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omments8.xml" ContentType="application/vnd.openxmlformats-officedocument.spreadsheetml.comments+xml"/>
  <Override PartName="/customXml/itemProps1.xml" ContentType="application/vnd.openxmlformats-officedocument.customXmlProperties+xml"/>
  <Override PartName="/xl/worksheets/sheet7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charts/chart2.xml" ContentType="application/vnd.openxmlformats-officedocument.drawingml.chart+xml"/>
  <Override PartName="/xl/comments6.xml" ContentType="application/vnd.openxmlformats-officedocument.spreadsheetml.comments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comments2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customXml/itemProps2.xml" ContentType="application/vnd.openxmlformats-officedocument.customXmlProperties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charts/chart3.xml" ContentType="application/vnd.openxmlformats-officedocument.drawingml.chart+xml"/>
  <Override PartName="/xl/comments7.xml" ContentType="application/vnd.openxmlformats-officedocument.spreadsheetml.comments+xml"/>
  <Override PartName="/xl/drawings/drawing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charts/chart1.xml" ContentType="application/vnd.openxmlformats-officedocument.drawingml.chart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drawings/drawing1.xml" ContentType="application/vnd.openxmlformats-officedocument.drawing+xml"/>
  <Override PartName="/xl/comments3.xml" ContentType="application/vnd.openxmlformats-officedocument.spreadsheetml.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-15" yWindow="1770" windowWidth="19260" windowHeight="6450" tabRatio="570" activeTab="1"/>
  </bookViews>
  <sheets>
    <sheet name="Gov" sheetId="9" r:id="rId1"/>
    <sheet name="System" sheetId="8" r:id="rId2"/>
    <sheet name="Whole" sheetId="7" r:id="rId3"/>
    <sheet name="Tot Retail" sheetId="6" r:id="rId4"/>
    <sheet name="SPA" sheetId="1" r:id="rId5"/>
    <sheet name="SHL" sheetId="5" r:id="rId6"/>
    <sheet name="IND" sheetId="4" r:id="rId7"/>
    <sheet name="COML" sheetId="2" r:id="rId8"/>
    <sheet name="RESID" sheetId="3" r:id="rId9"/>
    <sheet name="Sheet1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Regression_Out" localSheetId="0" hidden="1">#REF!</definedName>
    <definedName name="_Regression_Out" hidden="1">#REF!</definedName>
    <definedName name="_Regression_X" localSheetId="0" hidden="1">#REF!</definedName>
    <definedName name="_Regression_X" hidden="1">#REF!</definedName>
    <definedName name="_Regression_Y" localSheetId="0" hidden="1">#REF!</definedName>
    <definedName name="_Regression_Y" hidden="1">#REF!</definedName>
    <definedName name="APR">[1]Apr!$A$1:$T$72,[1]Apr!$A$74:$L$99,[1]Apr!$A$101:$T$171,[1]Apr!$A$173:$T$194</definedName>
    <definedName name="FEB">[1]Feb!$A$1:$T$72,[1]Feb!$A$75:$O$99,[1]Feb!$A$101:$T$171,[1]Feb!$A$174:$T$194</definedName>
    <definedName name="Jan">[1]Jan!$A$1:$T$72,[1]Jan!$A$75:$J$99,[1]Jan!$A$101:$T$171,[1]Jan!$A$174:$T$194</definedName>
    <definedName name="Mar" localSheetId="0">#REF!,#REF!,#REF!,#REF!</definedName>
    <definedName name="Mar">#REF!,#REF!,#REF!,#REF!</definedName>
    <definedName name="MAY">[1]May!$A$1:$T$72,[1]May!$A$74:$J$99,[1]May!$A$101:$T$171,[1]May!$A$173:$T$194</definedName>
    <definedName name="_xlnm.Print_Area" localSheetId="7">COML!$V$193:$AK$218</definedName>
    <definedName name="_xlnm.Print_Area" localSheetId="8">RESID!$BY$165:$CM$205</definedName>
    <definedName name="YTD">[1]YTD!$A$1:$T$72,[1]YTD!$A$74:$L$99,[1]YTD!$A$101:$T$171,[1]YTD!$A$174:$T$194</definedName>
  </definedNames>
  <calcPr calcId="145621"/>
</workbook>
</file>

<file path=xl/calcChain.xml><?xml version="1.0" encoding="utf-8"?>
<calcChain xmlns="http://schemas.openxmlformats.org/spreadsheetml/2006/main">
  <c r="AQ18" i="10"/>
  <c r="AQ19"/>
  <c r="AQ20"/>
  <c r="AQ21"/>
  <c r="AQ22"/>
  <c r="AQ23"/>
  <c r="AQ24"/>
  <c r="AQ25"/>
  <c r="AQ26"/>
  <c r="AQ27"/>
  <c r="AQ17"/>
  <c r="AP19" l="1"/>
  <c r="AP20"/>
  <c r="AP21"/>
  <c r="AP22"/>
  <c r="AP23"/>
  <c r="AP24"/>
  <c r="AP25"/>
  <c r="AP26"/>
  <c r="AP27"/>
  <c r="AP18"/>
  <c r="AO5" l="1"/>
  <c r="AO6"/>
  <c r="AO7"/>
  <c r="AO8"/>
  <c r="AO9"/>
  <c r="AO10"/>
  <c r="AO11"/>
  <c r="AO12"/>
  <c r="AO13"/>
  <c r="AO14"/>
  <c r="AO15"/>
  <c r="AO16"/>
  <c r="AO4"/>
  <c r="AN25"/>
  <c r="AN26"/>
  <c r="AN27" s="1"/>
  <c r="AN24"/>
  <c r="AN5"/>
  <c r="AN6"/>
  <c r="AN7"/>
  <c r="AN8"/>
  <c r="AN9"/>
  <c r="AN10"/>
  <c r="AN11"/>
  <c r="AN12"/>
  <c r="AN13"/>
  <c r="AN14"/>
  <c r="AN15"/>
  <c r="AN16"/>
  <c r="AN17"/>
  <c r="AN18"/>
  <c r="AN19"/>
  <c r="AN20"/>
  <c r="AN21"/>
  <c r="AN22"/>
  <c r="AN4"/>
  <c r="AT37" i="6" l="1"/>
  <c r="AV37" i="2" l="1"/>
  <c r="AU37"/>
  <c r="AW37"/>
  <c r="J353" i="5" l="1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L364" i="4"/>
  <c r="L363"/>
  <c r="L362"/>
  <c r="L361"/>
  <c r="L360"/>
  <c r="L359"/>
  <c r="L358"/>
  <c r="L357"/>
  <c r="L356"/>
  <c r="L355"/>
  <c r="L354"/>
  <c r="L353"/>
  <c r="L366"/>
  <c r="L367"/>
  <c r="L368"/>
  <c r="L369"/>
  <c r="L370"/>
  <c r="L371"/>
  <c r="L372"/>
  <c r="L373"/>
  <c r="L374"/>
  <c r="L375"/>
  <c r="L376"/>
  <c r="L365"/>
  <c r="DB372" i="3" l="1"/>
  <c r="DB373"/>
  <c r="DB374"/>
  <c r="DB375"/>
  <c r="DB376"/>
  <c r="BN376" i="9" l="1"/>
  <c r="BO376"/>
  <c r="BN376" i="8"/>
  <c r="BO376"/>
  <c r="C376" i="7"/>
  <c r="BP376" s="1"/>
  <c r="D376"/>
  <c r="BQ376" s="1"/>
  <c r="E376"/>
  <c r="BN376"/>
  <c r="BO376"/>
  <c r="BN376" i="6"/>
  <c r="BO376"/>
  <c r="C376" i="1"/>
  <c r="D376"/>
  <c r="F376" s="1"/>
  <c r="I376"/>
  <c r="J376"/>
  <c r="K376"/>
  <c r="M376"/>
  <c r="N376"/>
  <c r="O376" s="1"/>
  <c r="R376" s="1"/>
  <c r="S376" s="1"/>
  <c r="Q376"/>
  <c r="U376"/>
  <c r="V376"/>
  <c r="AC376"/>
  <c r="AD376"/>
  <c r="AE376"/>
  <c r="AY376"/>
  <c r="AZ376"/>
  <c r="BA376"/>
  <c r="BB376"/>
  <c r="BC376"/>
  <c r="BE376"/>
  <c r="BF376"/>
  <c r="BG376" s="1"/>
  <c r="BJ376" s="1"/>
  <c r="BK376" s="1"/>
  <c r="BI376"/>
  <c r="BN376"/>
  <c r="BO376"/>
  <c r="C376" i="5"/>
  <c r="Z376" s="1"/>
  <c r="D376"/>
  <c r="BN376"/>
  <c r="BO376"/>
  <c r="K376" i="4"/>
  <c r="J376"/>
  <c r="AL376" s="1"/>
  <c r="I376"/>
  <c r="H376"/>
  <c r="C376"/>
  <c r="Z376" s="1"/>
  <c r="D376"/>
  <c r="F376"/>
  <c r="AK376"/>
  <c r="BN376"/>
  <c r="BO376"/>
  <c r="I376" i="2"/>
  <c r="H376"/>
  <c r="AP376" s="1"/>
  <c r="AR376" s="1"/>
  <c r="G376"/>
  <c r="F376"/>
  <c r="AM376" s="1"/>
  <c r="C376"/>
  <c r="AD376" s="1"/>
  <c r="D376"/>
  <c r="AN376"/>
  <c r="AQ376"/>
  <c r="J376"/>
  <c r="K376"/>
  <c r="M376" s="1"/>
  <c r="Q376" s="1"/>
  <c r="S376" s="1"/>
  <c r="L376"/>
  <c r="N376"/>
  <c r="O376"/>
  <c r="P376" s="1"/>
  <c r="R376" s="1"/>
  <c r="U376"/>
  <c r="V376"/>
  <c r="AC376"/>
  <c r="AX376"/>
  <c r="AY376"/>
  <c r="AZ376"/>
  <c r="BA376"/>
  <c r="BB376"/>
  <c r="BD376"/>
  <c r="BF376" s="1"/>
  <c r="BI376" s="1"/>
  <c r="BE376"/>
  <c r="BH376"/>
  <c r="BK376" s="1"/>
  <c r="BN376"/>
  <c r="BO376"/>
  <c r="D376" i="9" l="1"/>
  <c r="G376" i="4"/>
  <c r="E376" i="1"/>
  <c r="Z376" i="2"/>
  <c r="AJ376" i="4"/>
  <c r="Z376" i="1"/>
  <c r="BW376" i="7"/>
  <c r="C376" i="9"/>
  <c r="AK376" i="2"/>
  <c r="BX376" i="7"/>
  <c r="BT376"/>
  <c r="Z376"/>
  <c r="AO376" i="2"/>
  <c r="AJ376"/>
  <c r="E376"/>
  <c r="AL376" l="1"/>
  <c r="AG376"/>
  <c r="W376"/>
  <c r="AA376"/>
  <c r="AA376" i="1"/>
  <c r="AG376"/>
  <c r="AF376" s="1"/>
  <c r="Z376" i="9"/>
  <c r="AA376" s="1"/>
  <c r="W376" i="1"/>
  <c r="BV376" i="7"/>
  <c r="AF376" i="2"/>
  <c r="CM376" i="3" l="1"/>
  <c r="CP376"/>
  <c r="CQ376"/>
  <c r="CS376" s="1"/>
  <c r="CR376"/>
  <c r="CT376"/>
  <c r="C376"/>
  <c r="C376" i="6" s="1"/>
  <c r="C376" i="8" s="1"/>
  <c r="D376" i="3"/>
  <c r="D376" i="6" s="1"/>
  <c r="D376" i="8" s="1"/>
  <c r="J376" i="3"/>
  <c r="K376"/>
  <c r="L376"/>
  <c r="Q376" s="1"/>
  <c r="M376"/>
  <c r="N376"/>
  <c r="O376"/>
  <c r="P376"/>
  <c r="R376" s="1"/>
  <c r="T376" s="1"/>
  <c r="S376"/>
  <c r="U376"/>
  <c r="AC376"/>
  <c r="AU376"/>
  <c r="AV376"/>
  <c r="AW376"/>
  <c r="AX376"/>
  <c r="AY376"/>
  <c r="AZ376"/>
  <c r="BA376"/>
  <c r="BB376"/>
  <c r="BC376"/>
  <c r="BE376" s="1"/>
  <c r="BG376" s="1"/>
  <c r="BD376"/>
  <c r="BF376"/>
  <c r="BH376"/>
  <c r="BI376"/>
  <c r="BJ376" l="1"/>
  <c r="BN375" i="9"/>
  <c r="BO375"/>
  <c r="BN375" i="8"/>
  <c r="BO375"/>
  <c r="C375" i="7"/>
  <c r="D375"/>
  <c r="E375"/>
  <c r="BN375"/>
  <c r="BO375"/>
  <c r="BQ376" i="3" l="1"/>
  <c r="Z375" i="7"/>
  <c r="BQ375"/>
  <c r="BX375" s="1"/>
  <c r="BP375"/>
  <c r="BW375" l="1"/>
  <c r="BT375"/>
  <c r="BV375" l="1"/>
  <c r="BN375" i="6"/>
  <c r="BO375"/>
  <c r="C375" i="1"/>
  <c r="D375"/>
  <c r="F375" s="1"/>
  <c r="I375"/>
  <c r="M375"/>
  <c r="U375"/>
  <c r="V375"/>
  <c r="AC375"/>
  <c r="AD375"/>
  <c r="AY375"/>
  <c r="AZ375"/>
  <c r="BA375"/>
  <c r="BE375"/>
  <c r="BN375"/>
  <c r="BO375"/>
  <c r="C375" i="5"/>
  <c r="D375"/>
  <c r="BN375"/>
  <c r="BO375"/>
  <c r="K375" i="4"/>
  <c r="J375"/>
  <c r="AL375" s="1"/>
  <c r="I375"/>
  <c r="H375"/>
  <c r="C375"/>
  <c r="D375"/>
  <c r="F375"/>
  <c r="AK375"/>
  <c r="Z375"/>
  <c r="BN375"/>
  <c r="BO375"/>
  <c r="I375" i="2"/>
  <c r="AQ375" s="1"/>
  <c r="H375"/>
  <c r="AP375" s="1"/>
  <c r="G375"/>
  <c r="AN375" s="1"/>
  <c r="F375"/>
  <c r="AM375" s="1"/>
  <c r="C375"/>
  <c r="D375"/>
  <c r="K375"/>
  <c r="N375"/>
  <c r="U375"/>
  <c r="V375"/>
  <c r="AX375"/>
  <c r="AY375"/>
  <c r="AZ375"/>
  <c r="BD375"/>
  <c r="BN375"/>
  <c r="BO375"/>
  <c r="CM375" i="3"/>
  <c r="CP375"/>
  <c r="CR375"/>
  <c r="C375"/>
  <c r="D375"/>
  <c r="J375"/>
  <c r="M375"/>
  <c r="Q375"/>
  <c r="AC375"/>
  <c r="AE375" i="1" s="1"/>
  <c r="AU375" i="3"/>
  <c r="AV375"/>
  <c r="AW375"/>
  <c r="AZ375"/>
  <c r="BH375"/>
  <c r="BI375"/>
  <c r="D375" i="9" l="1"/>
  <c r="AO375" i="2"/>
  <c r="AC375"/>
  <c r="AD375" s="1"/>
  <c r="C375" i="6"/>
  <c r="C375" i="8" s="1"/>
  <c r="G375" i="4"/>
  <c r="Z375" i="5"/>
  <c r="C375" i="9"/>
  <c r="E375" i="1"/>
  <c r="D375" i="6"/>
  <c r="D375" i="8" s="1"/>
  <c r="E375" i="2"/>
  <c r="AJ375" i="4"/>
  <c r="AR375" i="2"/>
  <c r="AK375"/>
  <c r="AJ375"/>
  <c r="BN374" i="9"/>
  <c r="BO374"/>
  <c r="BN374" i="8"/>
  <c r="BO374"/>
  <c r="C374" i="7"/>
  <c r="D374"/>
  <c r="BQ374" s="1"/>
  <c r="E374"/>
  <c r="BN374"/>
  <c r="BO374"/>
  <c r="BN374" i="6"/>
  <c r="BO374"/>
  <c r="C374" i="1"/>
  <c r="D374"/>
  <c r="F374" s="1"/>
  <c r="I374"/>
  <c r="M374"/>
  <c r="U374"/>
  <c r="V374"/>
  <c r="AC374"/>
  <c r="AD374"/>
  <c r="AY374"/>
  <c r="AZ374"/>
  <c r="BA374"/>
  <c r="BE374"/>
  <c r="BN374"/>
  <c r="BO374"/>
  <c r="C374" i="5"/>
  <c r="D374"/>
  <c r="BN374"/>
  <c r="BO374"/>
  <c r="K374" i="4"/>
  <c r="J374"/>
  <c r="AL374" s="1"/>
  <c r="I374"/>
  <c r="H374"/>
  <c r="I374" i="2"/>
  <c r="AQ374" s="1"/>
  <c r="H374"/>
  <c r="AP374" s="1"/>
  <c r="G374"/>
  <c r="AN374" s="1"/>
  <c r="F374"/>
  <c r="AM374" s="1"/>
  <c r="C374" i="4"/>
  <c r="Z374" s="1"/>
  <c r="D374"/>
  <c r="F374"/>
  <c r="AK374"/>
  <c r="BN374"/>
  <c r="BO374"/>
  <c r="C374" i="2"/>
  <c r="D374"/>
  <c r="K374"/>
  <c r="N374"/>
  <c r="U374"/>
  <c r="V374"/>
  <c r="AX374"/>
  <c r="AY374"/>
  <c r="AZ374"/>
  <c r="BD374"/>
  <c r="BN374"/>
  <c r="BO374"/>
  <c r="CM373" i="3"/>
  <c r="CP373"/>
  <c r="CR373"/>
  <c r="CM374"/>
  <c r="CP374"/>
  <c r="CR374"/>
  <c r="C374"/>
  <c r="D374"/>
  <c r="J374"/>
  <c r="M374"/>
  <c r="Q374"/>
  <c r="AC374"/>
  <c r="AE374" i="1" s="1"/>
  <c r="AU374" i="3"/>
  <c r="AV374"/>
  <c r="AW374"/>
  <c r="AZ374"/>
  <c r="BD374"/>
  <c r="BH374"/>
  <c r="BI374"/>
  <c r="AO374" i="2" l="1"/>
  <c r="AL375"/>
  <c r="AC374"/>
  <c r="AD374" s="1"/>
  <c r="E374"/>
  <c r="AZ38" i="6"/>
  <c r="Z374" i="7"/>
  <c r="BP374"/>
  <c r="C374" i="9"/>
  <c r="G374" i="4"/>
  <c r="Z374" i="5"/>
  <c r="AJ374" i="4"/>
  <c r="D374" i="9"/>
  <c r="D374" i="6"/>
  <c r="D374" i="8" s="1"/>
  <c r="E374" i="1"/>
  <c r="C374" i="6"/>
  <c r="C374" i="8" s="1"/>
  <c r="AK374" i="2"/>
  <c r="AJ374"/>
  <c r="AR374"/>
  <c r="AL374" l="1"/>
  <c r="BN373" i="9"/>
  <c r="BO373"/>
  <c r="BN373" i="8"/>
  <c r="BO373"/>
  <c r="C373" i="7"/>
  <c r="BP373" s="1"/>
  <c r="D373"/>
  <c r="BQ373" s="1"/>
  <c r="E373"/>
  <c r="BN373"/>
  <c r="BO373"/>
  <c r="BN373" i="6"/>
  <c r="BO373"/>
  <c r="Z373" i="7" l="1"/>
  <c r="C373" i="1" l="1"/>
  <c r="D373"/>
  <c r="F373" s="1"/>
  <c r="I373"/>
  <c r="M373"/>
  <c r="U373"/>
  <c r="V373"/>
  <c r="AC373"/>
  <c r="AD373"/>
  <c r="AY373"/>
  <c r="AZ373"/>
  <c r="BA373"/>
  <c r="BE373"/>
  <c r="BN373"/>
  <c r="BO373"/>
  <c r="C373" i="5"/>
  <c r="D373"/>
  <c r="BN373"/>
  <c r="BO373"/>
  <c r="K373" i="4"/>
  <c r="J373"/>
  <c r="AL373" s="1"/>
  <c r="I373"/>
  <c r="H373"/>
  <c r="AK373" s="1"/>
  <c r="C373"/>
  <c r="D373"/>
  <c r="F373"/>
  <c r="BN373"/>
  <c r="BO373"/>
  <c r="I373" i="2"/>
  <c r="AQ373" s="1"/>
  <c r="H373"/>
  <c r="AP373" s="1"/>
  <c r="G373"/>
  <c r="AN373" s="1"/>
  <c r="F373"/>
  <c r="AM373" s="1"/>
  <c r="C373"/>
  <c r="D373"/>
  <c r="K373"/>
  <c r="N373"/>
  <c r="U373"/>
  <c r="V373"/>
  <c r="AX373"/>
  <c r="AY373"/>
  <c r="AZ373"/>
  <c r="BD373"/>
  <c r="BN373"/>
  <c r="BO373"/>
  <c r="C373" i="3"/>
  <c r="D373"/>
  <c r="J373"/>
  <c r="M373"/>
  <c r="Q373"/>
  <c r="AC373"/>
  <c r="AE373" i="1" s="1"/>
  <c r="AU373" i="3"/>
  <c r="AV373"/>
  <c r="AW373"/>
  <c r="AZ373"/>
  <c r="BD373"/>
  <c r="BH373"/>
  <c r="BI373"/>
  <c r="D373" i="9" l="1"/>
  <c r="Z373" i="4"/>
  <c r="Z373" i="5"/>
  <c r="C373" i="9"/>
  <c r="C373" i="6"/>
  <c r="C373" i="8" s="1"/>
  <c r="D373" i="6"/>
  <c r="D373" i="8" s="1"/>
  <c r="G373" i="4"/>
  <c r="E373" i="2"/>
  <c r="AJ373" i="4"/>
  <c r="E373" i="1"/>
  <c r="AJ373" i="2"/>
  <c r="AC373"/>
  <c r="AD373" s="1"/>
  <c r="AR373"/>
  <c r="AO373"/>
  <c r="AK373"/>
  <c r="A372" i="10"/>
  <c r="B372"/>
  <c r="M372"/>
  <c r="O372" s="1"/>
  <c r="AL373" i="2" l="1"/>
  <c r="CM372" i="3" l="1"/>
  <c r="CP372"/>
  <c r="CR372"/>
  <c r="BN372" i="9" l="1"/>
  <c r="BO372"/>
  <c r="BN372" i="8"/>
  <c r="BO372"/>
  <c r="C372" i="7" l="1"/>
  <c r="D372"/>
  <c r="BQ372" s="1"/>
  <c r="E372"/>
  <c r="BN372"/>
  <c r="BO372"/>
  <c r="BN372" i="6"/>
  <c r="BO372"/>
  <c r="C372" i="1"/>
  <c r="D372"/>
  <c r="F372" s="1"/>
  <c r="I372"/>
  <c r="M372"/>
  <c r="U372"/>
  <c r="V372"/>
  <c r="AC372"/>
  <c r="AD372"/>
  <c r="AY372"/>
  <c r="AZ372"/>
  <c r="BA372"/>
  <c r="BE372"/>
  <c r="BN372"/>
  <c r="BO372"/>
  <c r="C372" i="5"/>
  <c r="D372"/>
  <c r="BN372"/>
  <c r="BO372"/>
  <c r="K372" i="4"/>
  <c r="J372"/>
  <c r="AL372" s="1"/>
  <c r="I372"/>
  <c r="H372"/>
  <c r="C372"/>
  <c r="D372"/>
  <c r="F372"/>
  <c r="AK372"/>
  <c r="BN372"/>
  <c r="BO372"/>
  <c r="I372" i="2"/>
  <c r="AQ372" s="1"/>
  <c r="H372"/>
  <c r="AP372" s="1"/>
  <c r="G372"/>
  <c r="AN372" s="1"/>
  <c r="F372"/>
  <c r="AM372" s="1"/>
  <c r="C372"/>
  <c r="D372"/>
  <c r="K372"/>
  <c r="N372"/>
  <c r="U372"/>
  <c r="V372"/>
  <c r="AX372"/>
  <c r="AY372"/>
  <c r="AZ372"/>
  <c r="BD372"/>
  <c r="BN372"/>
  <c r="BO372"/>
  <c r="C372" i="3"/>
  <c r="D372"/>
  <c r="J372"/>
  <c r="C372" i="10" s="1"/>
  <c r="M372" i="3"/>
  <c r="G372" i="10" s="1"/>
  <c r="Q372" i="3"/>
  <c r="AC372"/>
  <c r="AE372" i="1" s="1"/>
  <c r="AU372" i="3"/>
  <c r="AV372"/>
  <c r="AW372"/>
  <c r="AZ372"/>
  <c r="BD372"/>
  <c r="BH372"/>
  <c r="BI372"/>
  <c r="I371" i="1"/>
  <c r="M371"/>
  <c r="BA371"/>
  <c r="BE371"/>
  <c r="K371" i="4"/>
  <c r="J371"/>
  <c r="AL371" s="1"/>
  <c r="I371"/>
  <c r="H371"/>
  <c r="AK371" s="1"/>
  <c r="I371" i="2"/>
  <c r="H371"/>
  <c r="G371"/>
  <c r="F371"/>
  <c r="BP372" i="7" l="1"/>
  <c r="BT372" s="1"/>
  <c r="BV372" s="1"/>
  <c r="AK372" i="2"/>
  <c r="AO372"/>
  <c r="BX372" i="7"/>
  <c r="AC372" i="2"/>
  <c r="AD372" s="1"/>
  <c r="E372"/>
  <c r="E372" i="1"/>
  <c r="C372" i="6"/>
  <c r="C372" i="8" s="1"/>
  <c r="Z372" i="4"/>
  <c r="C372" i="9"/>
  <c r="AJ372" i="4"/>
  <c r="D372" i="6"/>
  <c r="D372" i="8" s="1"/>
  <c r="Z372" i="7"/>
  <c r="G372" i="4"/>
  <c r="Z372" i="5"/>
  <c r="D372" i="9"/>
  <c r="AJ372" i="2"/>
  <c r="AR372"/>
  <c r="M370" i="10"/>
  <c r="M371"/>
  <c r="O371" s="1"/>
  <c r="BW372" i="7" l="1"/>
  <c r="AL372" i="2"/>
  <c r="O370" i="10"/>
  <c r="K371" i="2" l="1"/>
  <c r="N371"/>
  <c r="AM371"/>
  <c r="AN371"/>
  <c r="AP371"/>
  <c r="AQ371"/>
  <c r="AZ371"/>
  <c r="BD371"/>
  <c r="CM371" i="3"/>
  <c r="AR371" i="2" l="1"/>
  <c r="AO371"/>
  <c r="J371" i="3" l="1"/>
  <c r="C371" i="10" s="1"/>
  <c r="M371" i="3"/>
  <c r="G371" i="10" s="1"/>
  <c r="AC371" i="3"/>
  <c r="AE371" i="1" s="1"/>
  <c r="AW371" i="3"/>
  <c r="AZ371"/>
  <c r="AC371" i="2" l="1"/>
  <c r="F17" i="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J352" i="2"/>
  <c r="J351"/>
  <c r="J350"/>
  <c r="J349"/>
  <c r="J348"/>
  <c r="J347"/>
  <c r="J346"/>
  <c r="J345"/>
  <c r="J344"/>
  <c r="J343"/>
  <c r="J342"/>
  <c r="J341"/>
  <c r="J340"/>
  <c r="J339"/>
  <c r="J338"/>
  <c r="J337"/>
  <c r="J336"/>
  <c r="J335"/>
  <c r="J334"/>
  <c r="J333"/>
  <c r="J332"/>
  <c r="J331"/>
  <c r="J330"/>
  <c r="J329"/>
  <c r="J328"/>
  <c r="J327"/>
  <c r="J326"/>
  <c r="J325"/>
  <c r="J324"/>
  <c r="J323"/>
  <c r="J322"/>
  <c r="J321"/>
  <c r="J320"/>
  <c r="J319"/>
  <c r="J318"/>
  <c r="J317"/>
  <c r="J316"/>
  <c r="J315"/>
  <c r="J314"/>
  <c r="J313"/>
  <c r="J312"/>
  <c r="J311"/>
  <c r="J310"/>
  <c r="J309"/>
  <c r="J308"/>
  <c r="J307"/>
  <c r="J306"/>
  <c r="J305"/>
  <c r="J304"/>
  <c r="J303"/>
  <c r="J302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U150" i="3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149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7"/>
  <c r="J148" i="2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BP220" i="1" l="1"/>
  <c r="BP219"/>
  <c r="BP218"/>
  <c r="BP217"/>
  <c r="BP216"/>
  <c r="BP215"/>
  <c r="BP214"/>
  <c r="BP213"/>
  <c r="BP212"/>
  <c r="BP211"/>
  <c r="BP210"/>
  <c r="BP209"/>
  <c r="BP208"/>
  <c r="BP207"/>
  <c r="BP206"/>
  <c r="BP205"/>
  <c r="BP204"/>
  <c r="BP203"/>
  <c r="BP202"/>
  <c r="BP201"/>
  <c r="BP200"/>
  <c r="BP199"/>
  <c r="BP198"/>
  <c r="BP197"/>
  <c r="BP196"/>
  <c r="BP195"/>
  <c r="BP194"/>
  <c r="BP193"/>
  <c r="BP192"/>
  <c r="BP191"/>
  <c r="BP190"/>
  <c r="BP189"/>
  <c r="BP188"/>
  <c r="BP187"/>
  <c r="BP186"/>
  <c r="BP185"/>
  <c r="BP184"/>
  <c r="BP183"/>
  <c r="BP182"/>
  <c r="BP181"/>
  <c r="BP180"/>
  <c r="BP179"/>
  <c r="BP178"/>
  <c r="BP177"/>
  <c r="BP176"/>
  <c r="BP175"/>
  <c r="BP174"/>
  <c r="BP173"/>
  <c r="BP220" i="2"/>
  <c r="BP219"/>
  <c r="BP218"/>
  <c r="BP217"/>
  <c r="BP216"/>
  <c r="BP215"/>
  <c r="BP214"/>
  <c r="BP213"/>
  <c r="BP212"/>
  <c r="BP211"/>
  <c r="BP210"/>
  <c r="BP209"/>
  <c r="BP208"/>
  <c r="BP207"/>
  <c r="BP206"/>
  <c r="BP205"/>
  <c r="BP204"/>
  <c r="BP203"/>
  <c r="BP202"/>
  <c r="BP201"/>
  <c r="BP200"/>
  <c r="BP199"/>
  <c r="BP198"/>
  <c r="BP197"/>
  <c r="BP196"/>
  <c r="BP195"/>
  <c r="BP194"/>
  <c r="BP193"/>
  <c r="BP192"/>
  <c r="BP191"/>
  <c r="BP190"/>
  <c r="BP189"/>
  <c r="BP188"/>
  <c r="BP187"/>
  <c r="BP186"/>
  <c r="BP185"/>
  <c r="BP184"/>
  <c r="BP183"/>
  <c r="BP182"/>
  <c r="BP181"/>
  <c r="BP180"/>
  <c r="BP179"/>
  <c r="BP178"/>
  <c r="BP177"/>
  <c r="BP176"/>
  <c r="BP175"/>
  <c r="BP174"/>
  <c r="BP173"/>
  <c r="BJ220" i="3"/>
  <c r="BJ219"/>
  <c r="BJ218"/>
  <c r="BJ217"/>
  <c r="BJ216"/>
  <c r="BJ215"/>
  <c r="BJ214"/>
  <c r="BJ213"/>
  <c r="BJ212"/>
  <c r="BJ211"/>
  <c r="BJ210"/>
  <c r="BJ209"/>
  <c r="BJ208"/>
  <c r="BJ207"/>
  <c r="BJ206"/>
  <c r="BJ205"/>
  <c r="BJ204"/>
  <c r="BJ203"/>
  <c r="BJ202"/>
  <c r="BJ201"/>
  <c r="BJ200"/>
  <c r="BJ199"/>
  <c r="BJ198"/>
  <c r="BJ197"/>
  <c r="BJ196"/>
  <c r="BJ195"/>
  <c r="BJ194"/>
  <c r="BJ193"/>
  <c r="BJ192"/>
  <c r="BJ191"/>
  <c r="BJ190"/>
  <c r="BJ189"/>
  <c r="BJ188"/>
  <c r="BJ187"/>
  <c r="BJ186"/>
  <c r="BJ185"/>
  <c r="BJ184"/>
  <c r="BJ183"/>
  <c r="BJ182"/>
  <c r="BJ181"/>
  <c r="BJ180"/>
  <c r="BJ179"/>
  <c r="BJ178"/>
  <c r="BJ177"/>
  <c r="BJ176"/>
  <c r="BJ175"/>
  <c r="BJ174"/>
  <c r="BJ173"/>
  <c r="I370" i="1"/>
  <c r="M370"/>
  <c r="BA370"/>
  <c r="BE370"/>
  <c r="K370" i="4"/>
  <c r="J370"/>
  <c r="AL370" s="1"/>
  <c r="I370"/>
  <c r="H370"/>
  <c r="AK370" s="1"/>
  <c r="I370" i="2"/>
  <c r="AQ370" s="1"/>
  <c r="H370"/>
  <c r="AP370" s="1"/>
  <c r="G370"/>
  <c r="AN370" s="1"/>
  <c r="F370"/>
  <c r="AM370" s="1"/>
  <c r="K370"/>
  <c r="N370"/>
  <c r="AZ370"/>
  <c r="BD370"/>
  <c r="CM369" i="3"/>
  <c r="CM370"/>
  <c r="J370"/>
  <c r="C370" i="10" s="1"/>
  <c r="M370" i="3"/>
  <c r="G370" i="10" s="1"/>
  <c r="AC370" i="3"/>
  <c r="AW370"/>
  <c r="AZ370"/>
  <c r="AC370" i="2" l="1"/>
  <c r="AR370"/>
  <c r="AE370" i="1"/>
  <c r="AO370" i="2"/>
  <c r="AP39" i="6" l="1"/>
  <c r="AP40"/>
  <c r="AP41"/>
  <c r="AP42"/>
  <c r="AO40" l="1"/>
  <c r="AQ43"/>
  <c r="AO42"/>
  <c r="AO41"/>
  <c r="AT35" l="1"/>
  <c r="AT34"/>
  <c r="AT33"/>
  <c r="AT32"/>
  <c r="AT31"/>
  <c r="AT30"/>
  <c r="AT29"/>
  <c r="AT28"/>
  <c r="AT27"/>
  <c r="AT26"/>
  <c r="AT25"/>
  <c r="AT24"/>
  <c r="AT23"/>
  <c r="AT22"/>
  <c r="AT21"/>
  <c r="AT20"/>
  <c r="AT19"/>
  <c r="AT18"/>
  <c r="M368" i="10"/>
  <c r="O368" s="1"/>
  <c r="M369"/>
  <c r="O369" s="1"/>
  <c r="AU20" i="6" l="1"/>
  <c r="AU22"/>
  <c r="AU24"/>
  <c r="AU26"/>
  <c r="AU28"/>
  <c r="AU30"/>
  <c r="AU32"/>
  <c r="AU34"/>
  <c r="AU35"/>
  <c r="AU33"/>
  <c r="AU31"/>
  <c r="AU29"/>
  <c r="AU27"/>
  <c r="AU25"/>
  <c r="AU23"/>
  <c r="AU21"/>
  <c r="AU19"/>
  <c r="I369" i="1"/>
  <c r="M369"/>
  <c r="BA369"/>
  <c r="BE369"/>
  <c r="K369" i="4"/>
  <c r="J369"/>
  <c r="AL369" s="1"/>
  <c r="I369"/>
  <c r="H369"/>
  <c r="AK369" s="1"/>
  <c r="I369" i="2"/>
  <c r="AQ369" s="1"/>
  <c r="H369"/>
  <c r="AP369" s="1"/>
  <c r="G369"/>
  <c r="AN369" s="1"/>
  <c r="F369"/>
  <c r="AM369" s="1"/>
  <c r="K369"/>
  <c r="N369"/>
  <c r="AZ369"/>
  <c r="BD369"/>
  <c r="J369" i="3"/>
  <c r="C369" i="10" s="1"/>
  <c r="M369" i="3"/>
  <c r="G369" i="10" s="1"/>
  <c r="AC369" i="3"/>
  <c r="AW369"/>
  <c r="AZ369"/>
  <c r="I368" i="1"/>
  <c r="M368"/>
  <c r="BA368"/>
  <c r="BE368"/>
  <c r="K368" i="4"/>
  <c r="J368"/>
  <c r="AL368" s="1"/>
  <c r="I368"/>
  <c r="H368"/>
  <c r="AK368" s="1"/>
  <c r="I368" i="2"/>
  <c r="AQ368" s="1"/>
  <c r="H368"/>
  <c r="AP368" s="1"/>
  <c r="G368"/>
  <c r="AN368" s="1"/>
  <c r="F368"/>
  <c r="AM368" s="1"/>
  <c r="K368"/>
  <c r="N368"/>
  <c r="AZ368"/>
  <c r="BD368"/>
  <c r="CM367" i="3"/>
  <c r="J368"/>
  <c r="C368" i="10" s="1"/>
  <c r="M368" i="3"/>
  <c r="G368" i="10" s="1"/>
  <c r="AC368" i="3"/>
  <c r="AW368"/>
  <c r="AZ368"/>
  <c r="AE368" i="1" l="1"/>
  <c r="AE369"/>
  <c r="AC369" i="2"/>
  <c r="AR369"/>
  <c r="AO369"/>
  <c r="AO368"/>
  <c r="AC368"/>
  <c r="AR368"/>
  <c r="M366" i="10"/>
  <c r="O366" s="1"/>
  <c r="M367"/>
  <c r="O367" s="1"/>
  <c r="AL364" i="4" l="1"/>
  <c r="AK364"/>
  <c r="AL363"/>
  <c r="AK363"/>
  <c r="AL362"/>
  <c r="AK362"/>
  <c r="AL361"/>
  <c r="AK361"/>
  <c r="AL360"/>
  <c r="AK360"/>
  <c r="AL359"/>
  <c r="AK359"/>
  <c r="AL358"/>
  <c r="AK358"/>
  <c r="AL357"/>
  <c r="AK357"/>
  <c r="AL356"/>
  <c r="AK356"/>
  <c r="AL355"/>
  <c r="AK355"/>
  <c r="AL354"/>
  <c r="AK354"/>
  <c r="AL353"/>
  <c r="AK353"/>
  <c r="AL352"/>
  <c r="AK352"/>
  <c r="AL351"/>
  <c r="AK351"/>
  <c r="AL350"/>
  <c r="AK350"/>
  <c r="AL349"/>
  <c r="AK349"/>
  <c r="AL348"/>
  <c r="AK348"/>
  <c r="AL347"/>
  <c r="AK347"/>
  <c r="AL346"/>
  <c r="AK346"/>
  <c r="AL345"/>
  <c r="AK345"/>
  <c r="AL344"/>
  <c r="AK344"/>
  <c r="AL343"/>
  <c r="AK343"/>
  <c r="AL342"/>
  <c r="AK342"/>
  <c r="AL341"/>
  <c r="AK341"/>
  <c r="AL340"/>
  <c r="AK340"/>
  <c r="AL339"/>
  <c r="AK339"/>
  <c r="AL338"/>
  <c r="AK338"/>
  <c r="AL337"/>
  <c r="AK337"/>
  <c r="AL336"/>
  <c r="AK336"/>
  <c r="AL335"/>
  <c r="AK335"/>
  <c r="AL334"/>
  <c r="AK334"/>
  <c r="AL333"/>
  <c r="AK333"/>
  <c r="AL332"/>
  <c r="AK332"/>
  <c r="AL331"/>
  <c r="AK331"/>
  <c r="AL330"/>
  <c r="AK330"/>
  <c r="AL329"/>
  <c r="AK329"/>
  <c r="AL328"/>
  <c r="AK328"/>
  <c r="AL327"/>
  <c r="AK327"/>
  <c r="AL326"/>
  <c r="AK326"/>
  <c r="AL325"/>
  <c r="AK325"/>
  <c r="AL324"/>
  <c r="AK324"/>
  <c r="AL323"/>
  <c r="AK323"/>
  <c r="AL322"/>
  <c r="AK322"/>
  <c r="AL321"/>
  <c r="AK321"/>
  <c r="AL320"/>
  <c r="AK320"/>
  <c r="AL319"/>
  <c r="AK319"/>
  <c r="AL318"/>
  <c r="AK318"/>
  <c r="AL317"/>
  <c r="AK317"/>
  <c r="AL316"/>
  <c r="AK316"/>
  <c r="AL315"/>
  <c r="AK315"/>
  <c r="AL314"/>
  <c r="AK314"/>
  <c r="AL313"/>
  <c r="AK313"/>
  <c r="AL312"/>
  <c r="AK312"/>
  <c r="AL311"/>
  <c r="AK311"/>
  <c r="AL310"/>
  <c r="AK310"/>
  <c r="AL309"/>
  <c r="AK309"/>
  <c r="AL308"/>
  <c r="AK308"/>
  <c r="AL307"/>
  <c r="AK307"/>
  <c r="AL306"/>
  <c r="AK306"/>
  <c r="AL304"/>
  <c r="AK304"/>
  <c r="AL303"/>
  <c r="AK303"/>
  <c r="AL302"/>
  <c r="AK302"/>
  <c r="AL301"/>
  <c r="AK301"/>
  <c r="AL300"/>
  <c r="AK300"/>
  <c r="AL299"/>
  <c r="AK299"/>
  <c r="AL298"/>
  <c r="AK298"/>
  <c r="AL297"/>
  <c r="AK297"/>
  <c r="AL296"/>
  <c r="AK296"/>
  <c r="AL295"/>
  <c r="AK295"/>
  <c r="AL294"/>
  <c r="AK294"/>
  <c r="AL293"/>
  <c r="AK293"/>
  <c r="AL292"/>
  <c r="AK292"/>
  <c r="AL291"/>
  <c r="AK291"/>
  <c r="AL290"/>
  <c r="AK290"/>
  <c r="AL289"/>
  <c r="AK289"/>
  <c r="AL288"/>
  <c r="AK288"/>
  <c r="AL287"/>
  <c r="AK287"/>
  <c r="AL286"/>
  <c r="AK286"/>
  <c r="AL285"/>
  <c r="AK285"/>
  <c r="AL284"/>
  <c r="AK284"/>
  <c r="AL283"/>
  <c r="AK283"/>
  <c r="AL282"/>
  <c r="AK282"/>
  <c r="AL281"/>
  <c r="AK281"/>
  <c r="AL280"/>
  <c r="AK280"/>
  <c r="AL279"/>
  <c r="AK279"/>
  <c r="AL278"/>
  <c r="AK278"/>
  <c r="AL277"/>
  <c r="AK277"/>
  <c r="AL276"/>
  <c r="AK276"/>
  <c r="AL275"/>
  <c r="AK275"/>
  <c r="AL274"/>
  <c r="AK274"/>
  <c r="AL273"/>
  <c r="AK273"/>
  <c r="AL272"/>
  <c r="AK272"/>
  <c r="AL271"/>
  <c r="AK271"/>
  <c r="AL270"/>
  <c r="AK270"/>
  <c r="AL269"/>
  <c r="AK269"/>
  <c r="AL268"/>
  <c r="AK268"/>
  <c r="AL267"/>
  <c r="AK267"/>
  <c r="AL266"/>
  <c r="AK266"/>
  <c r="AL265"/>
  <c r="AK265"/>
  <c r="AL264"/>
  <c r="AK264"/>
  <c r="AL263"/>
  <c r="AK263"/>
  <c r="AL262"/>
  <c r="AK262"/>
  <c r="AL261"/>
  <c r="AK261"/>
  <c r="AL260"/>
  <c r="AK260"/>
  <c r="AL259"/>
  <c r="AK259"/>
  <c r="AL258"/>
  <c r="AK258"/>
  <c r="AL257"/>
  <c r="AK257"/>
  <c r="AL256"/>
  <c r="AK256"/>
  <c r="AL255"/>
  <c r="AK255"/>
  <c r="AL254"/>
  <c r="AK254"/>
  <c r="AL253"/>
  <c r="AK253"/>
  <c r="AL252"/>
  <c r="AK252"/>
  <c r="AL251"/>
  <c r="AK251"/>
  <c r="AL250"/>
  <c r="AK250"/>
  <c r="AL249"/>
  <c r="AK249"/>
  <c r="AL248"/>
  <c r="AK248"/>
  <c r="AL247"/>
  <c r="AK247"/>
  <c r="AL246"/>
  <c r="AK246"/>
  <c r="AL245"/>
  <c r="AK245"/>
  <c r="AL244"/>
  <c r="AK244"/>
  <c r="AL243"/>
  <c r="AK243"/>
  <c r="AL242"/>
  <c r="AK242"/>
  <c r="AL241"/>
  <c r="AK241"/>
  <c r="AL240"/>
  <c r="AK240"/>
  <c r="AL239"/>
  <c r="AK239"/>
  <c r="AL238"/>
  <c r="AK238"/>
  <c r="AL237"/>
  <c r="AK237"/>
  <c r="AL236"/>
  <c r="AK236"/>
  <c r="AL235"/>
  <c r="AK235"/>
  <c r="AL234"/>
  <c r="AK234"/>
  <c r="AL233"/>
  <c r="AK233"/>
  <c r="AL232"/>
  <c r="AK232"/>
  <c r="AL231"/>
  <c r="AK231"/>
  <c r="AL230"/>
  <c r="AK230"/>
  <c r="AL229"/>
  <c r="AK229"/>
  <c r="AL228"/>
  <c r="AK228"/>
  <c r="AL227"/>
  <c r="AK227"/>
  <c r="AL226"/>
  <c r="AK226"/>
  <c r="AL225"/>
  <c r="AK225"/>
  <c r="AL224"/>
  <c r="AK224"/>
  <c r="AL223"/>
  <c r="AK223"/>
  <c r="AL222"/>
  <c r="AK222"/>
  <c r="AL221"/>
  <c r="AK221"/>
  <c r="AL220"/>
  <c r="AK220"/>
  <c r="AL219"/>
  <c r="AK219"/>
  <c r="AL218"/>
  <c r="AK218"/>
  <c r="AL217"/>
  <c r="AK217"/>
  <c r="AL216"/>
  <c r="AK216"/>
  <c r="AL215"/>
  <c r="AK215"/>
  <c r="AL214"/>
  <c r="AK214"/>
  <c r="AL213"/>
  <c r="AK213"/>
  <c r="AL212"/>
  <c r="AK212"/>
  <c r="AL211"/>
  <c r="AK211"/>
  <c r="AL210"/>
  <c r="AK210"/>
  <c r="AL209"/>
  <c r="AK209"/>
  <c r="AL208"/>
  <c r="AK208"/>
  <c r="AL207"/>
  <c r="AK207"/>
  <c r="AL206"/>
  <c r="AK206"/>
  <c r="AL205"/>
  <c r="AK205"/>
  <c r="AL204"/>
  <c r="AK204"/>
  <c r="AL203"/>
  <c r="AK203"/>
  <c r="AL202"/>
  <c r="AK202"/>
  <c r="AL201"/>
  <c r="AK201"/>
  <c r="AK198"/>
  <c r="AL198"/>
  <c r="AK199"/>
  <c r="AL199"/>
  <c r="AK200"/>
  <c r="AL200"/>
  <c r="AL197"/>
  <c r="AK197"/>
  <c r="I367" i="1" l="1"/>
  <c r="M367"/>
  <c r="BA367"/>
  <c r="BE367"/>
  <c r="K367" i="4"/>
  <c r="J367"/>
  <c r="AL367" s="1"/>
  <c r="I367"/>
  <c r="H367"/>
  <c r="AK367" s="1"/>
  <c r="I367" i="2"/>
  <c r="AQ367" s="1"/>
  <c r="H367"/>
  <c r="AP367" s="1"/>
  <c r="G367"/>
  <c r="AN367" s="1"/>
  <c r="F367"/>
  <c r="AM367" s="1"/>
  <c r="K367"/>
  <c r="N367"/>
  <c r="AZ367"/>
  <c r="BD367"/>
  <c r="J367" i="3"/>
  <c r="C367" i="10" s="1"/>
  <c r="M367" i="3"/>
  <c r="G367" i="10" s="1"/>
  <c r="AC367" i="3"/>
  <c r="AW367"/>
  <c r="AZ367"/>
  <c r="AE367" i="1" l="1"/>
  <c r="AC367" i="2"/>
  <c r="AR367"/>
  <c r="AO367"/>
  <c r="AB265" i="4"/>
  <c r="AB264"/>
  <c r="AB265" i="5"/>
  <c r="AB264"/>
  <c r="AB364"/>
  <c r="AB363"/>
  <c r="AB362"/>
  <c r="AB361"/>
  <c r="AB360"/>
  <c r="AB359"/>
  <c r="AB358"/>
  <c r="AB357"/>
  <c r="AB356"/>
  <c r="AB355"/>
  <c r="AB354"/>
  <c r="AB353"/>
  <c r="AB352"/>
  <c r="AB351"/>
  <c r="AB350"/>
  <c r="AB349"/>
  <c r="AB348"/>
  <c r="AB347"/>
  <c r="AB346"/>
  <c r="AB345"/>
  <c r="AB344"/>
  <c r="AB343"/>
  <c r="AB342"/>
  <c r="AB341"/>
  <c r="AB340"/>
  <c r="AB339"/>
  <c r="AB338"/>
  <c r="AB337"/>
  <c r="AB336"/>
  <c r="AB335"/>
  <c r="AB334"/>
  <c r="AB333"/>
  <c r="AB332"/>
  <c r="AB331"/>
  <c r="AB330"/>
  <c r="AB329"/>
  <c r="AB328"/>
  <c r="AB327"/>
  <c r="AB326"/>
  <c r="AB325"/>
  <c r="AB324"/>
  <c r="AB323"/>
  <c r="AB322"/>
  <c r="AB321"/>
  <c r="AB320"/>
  <c r="AB319"/>
  <c r="AB318"/>
  <c r="AB317"/>
  <c r="AB316"/>
  <c r="AB315"/>
  <c r="AB314"/>
  <c r="AB313"/>
  <c r="AB312"/>
  <c r="AB311"/>
  <c r="AB310"/>
  <c r="AB309"/>
  <c r="AB308"/>
  <c r="AB307"/>
  <c r="AB306"/>
  <c r="AB305"/>
  <c r="AB304"/>
  <c r="AB303"/>
  <c r="AB302"/>
  <c r="AB301"/>
  <c r="AB300"/>
  <c r="AB299"/>
  <c r="AB298"/>
  <c r="AB297"/>
  <c r="AB296"/>
  <c r="AB295"/>
  <c r="AB294"/>
  <c r="AB293"/>
  <c r="AB292"/>
  <c r="AB291"/>
  <c r="AB290"/>
  <c r="AB289"/>
  <c r="AB288"/>
  <c r="AB287"/>
  <c r="AB286"/>
  <c r="AB285"/>
  <c r="AB284"/>
  <c r="AB283"/>
  <c r="AB282"/>
  <c r="AB281"/>
  <c r="AB280"/>
  <c r="AB279"/>
  <c r="AB278"/>
  <c r="AB277"/>
  <c r="AB276"/>
  <c r="AB275"/>
  <c r="AB274"/>
  <c r="AB273"/>
  <c r="AB272"/>
  <c r="AB271"/>
  <c r="AB270"/>
  <c r="AB269"/>
  <c r="AB268"/>
  <c r="AB267"/>
  <c r="AB266"/>
  <c r="AB263"/>
  <c r="AB262"/>
  <c r="AB261"/>
  <c r="AB260"/>
  <c r="AB259"/>
  <c r="AB258"/>
  <c r="AB257"/>
  <c r="AB256"/>
  <c r="AB255"/>
  <c r="AB254"/>
  <c r="AB253"/>
  <c r="AB252"/>
  <c r="AB251"/>
  <c r="AB250"/>
  <c r="AB249"/>
  <c r="AB248"/>
  <c r="AB247"/>
  <c r="AB246"/>
  <c r="AB245"/>
  <c r="AB244"/>
  <c r="AB243"/>
  <c r="AB242"/>
  <c r="AB241"/>
  <c r="AB240"/>
  <c r="AB239"/>
  <c r="AB238"/>
  <c r="AB237"/>
  <c r="AB236"/>
  <c r="AB235"/>
  <c r="AB234"/>
  <c r="AB233"/>
  <c r="AB232"/>
  <c r="AB231"/>
  <c r="AB230"/>
  <c r="AB229"/>
  <c r="AB228"/>
  <c r="AB227"/>
  <c r="AB226"/>
  <c r="AB225"/>
  <c r="AB224"/>
  <c r="AB223"/>
  <c r="AB222"/>
  <c r="AB221"/>
  <c r="AB220"/>
  <c r="AB219"/>
  <c r="AB218"/>
  <c r="AB217"/>
  <c r="AB216"/>
  <c r="AB215"/>
  <c r="AB214"/>
  <c r="AB213"/>
  <c r="AB212"/>
  <c r="AB211"/>
  <c r="AB210"/>
  <c r="AB209"/>
  <c r="AB364" i="4"/>
  <c r="AB363"/>
  <c r="AB362"/>
  <c r="AB361"/>
  <c r="AB360"/>
  <c r="AB359"/>
  <c r="AB358"/>
  <c r="AB357"/>
  <c r="AB356"/>
  <c r="AB355"/>
  <c r="AB354"/>
  <c r="AB353"/>
  <c r="AB352"/>
  <c r="AB351"/>
  <c r="AB350"/>
  <c r="AB349"/>
  <c r="AB348"/>
  <c r="AB347"/>
  <c r="AB346"/>
  <c r="AB345"/>
  <c r="AB344"/>
  <c r="AB343"/>
  <c r="AB342"/>
  <c r="AB341"/>
  <c r="AB340"/>
  <c r="AB339"/>
  <c r="AB338"/>
  <c r="AB337"/>
  <c r="AB336"/>
  <c r="AB335"/>
  <c r="AB334"/>
  <c r="AB333"/>
  <c r="AB332"/>
  <c r="AB331"/>
  <c r="AB330"/>
  <c r="AB329"/>
  <c r="AB328"/>
  <c r="AB327"/>
  <c r="AB326"/>
  <c r="AB325"/>
  <c r="AB324"/>
  <c r="AB323"/>
  <c r="AB322"/>
  <c r="AB321"/>
  <c r="AB320"/>
  <c r="AB319"/>
  <c r="AB318"/>
  <c r="AB317"/>
  <c r="AB316"/>
  <c r="AB315"/>
  <c r="AB314"/>
  <c r="AB313"/>
  <c r="AB312"/>
  <c r="AB311"/>
  <c r="AB310"/>
  <c r="AB309"/>
  <c r="AB308"/>
  <c r="AB307"/>
  <c r="AB306"/>
  <c r="AB305"/>
  <c r="AB304"/>
  <c r="AB303"/>
  <c r="AB302"/>
  <c r="AB301"/>
  <c r="AB300"/>
  <c r="AB299"/>
  <c r="AB298"/>
  <c r="AB297"/>
  <c r="AB296"/>
  <c r="AB295"/>
  <c r="AB294"/>
  <c r="AB293"/>
  <c r="AB292"/>
  <c r="AB291"/>
  <c r="AB290"/>
  <c r="AB289"/>
  <c r="AB288"/>
  <c r="AB287"/>
  <c r="AB286"/>
  <c r="AB285"/>
  <c r="AB284"/>
  <c r="AB283"/>
  <c r="AB282"/>
  <c r="AB281"/>
  <c r="AB280"/>
  <c r="AB279"/>
  <c r="AB278"/>
  <c r="AB277"/>
  <c r="AB276"/>
  <c r="AB275"/>
  <c r="AB274"/>
  <c r="AB273"/>
  <c r="AB272"/>
  <c r="AB271"/>
  <c r="AB270"/>
  <c r="AB269"/>
  <c r="AB268"/>
  <c r="AB267"/>
  <c r="AB266"/>
  <c r="AB263"/>
  <c r="AB262"/>
  <c r="AB261"/>
  <c r="AB260"/>
  <c r="AB259"/>
  <c r="AB258"/>
  <c r="AB257"/>
  <c r="AB256"/>
  <c r="AB255"/>
  <c r="AB254"/>
  <c r="AB253"/>
  <c r="AB252"/>
  <c r="AB251"/>
  <c r="AB250"/>
  <c r="AB249"/>
  <c r="AB248"/>
  <c r="AB247"/>
  <c r="AB246"/>
  <c r="AB245"/>
  <c r="AB244"/>
  <c r="AB243"/>
  <c r="AB242"/>
  <c r="AB241"/>
  <c r="AB240"/>
  <c r="AB239"/>
  <c r="AB238"/>
  <c r="AB237"/>
  <c r="AB236"/>
  <c r="AB235"/>
  <c r="AB234"/>
  <c r="AB233"/>
  <c r="AB232"/>
  <c r="AB231"/>
  <c r="AB230"/>
  <c r="AB229"/>
  <c r="AB228"/>
  <c r="AB227"/>
  <c r="AB226"/>
  <c r="AB225"/>
  <c r="AB224"/>
  <c r="AB223"/>
  <c r="AB222"/>
  <c r="AB221"/>
  <c r="AB220"/>
  <c r="AB219"/>
  <c r="AB218"/>
  <c r="AB217"/>
  <c r="AB216"/>
  <c r="AB215"/>
  <c r="AB214"/>
  <c r="AB213"/>
  <c r="AB212"/>
  <c r="AB211"/>
  <c r="AB210"/>
  <c r="AB209"/>
  <c r="AB265" i="1"/>
  <c r="AB264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209"/>
  <c r="AB265" i="2"/>
  <c r="AB264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209"/>
  <c r="AB363" i="9" l="1"/>
  <c r="AB361"/>
  <c r="AB359"/>
  <c r="AB357"/>
  <c r="AB355"/>
  <c r="AB351"/>
  <c r="AB349"/>
  <c r="AB347"/>
  <c r="AB345"/>
  <c r="AB343"/>
  <c r="AB339"/>
  <c r="AB337"/>
  <c r="AB335"/>
  <c r="AB333"/>
  <c r="AB331"/>
  <c r="AB327"/>
  <c r="AB325"/>
  <c r="AB323"/>
  <c r="AB321"/>
  <c r="AB319"/>
  <c r="AB315"/>
  <c r="AB313"/>
  <c r="AB311"/>
  <c r="AB309"/>
  <c r="AB307"/>
  <c r="AB303"/>
  <c r="AB301"/>
  <c r="AB299"/>
  <c r="AB297"/>
  <c r="AB295"/>
  <c r="AB291"/>
  <c r="AB289"/>
  <c r="AB287"/>
  <c r="AB285"/>
  <c r="AB283"/>
  <c r="AB279"/>
  <c r="AB277"/>
  <c r="AB275"/>
  <c r="AB273"/>
  <c r="AB271"/>
  <c r="AB267"/>
  <c r="AB263"/>
  <c r="AB261"/>
  <c r="AB259"/>
  <c r="AB255"/>
  <c r="AB253"/>
  <c r="AB251"/>
  <c r="AB249"/>
  <c r="AB247"/>
  <c r="AB243"/>
  <c r="AB241"/>
  <c r="AB239"/>
  <c r="AB237"/>
  <c r="AB235"/>
  <c r="AB231"/>
  <c r="AB229"/>
  <c r="AB227"/>
  <c r="AB225"/>
  <c r="AB223"/>
  <c r="AB219"/>
  <c r="AB217"/>
  <c r="AB215"/>
  <c r="AB213"/>
  <c r="AB211"/>
  <c r="AB364"/>
  <c r="AB362"/>
  <c r="AB360"/>
  <c r="AB358"/>
  <c r="AB356"/>
  <c r="AB354"/>
  <c r="AB352"/>
  <c r="AB350"/>
  <c r="AB348"/>
  <c r="AB346"/>
  <c r="AB344"/>
  <c r="AB342"/>
  <c r="AB340"/>
  <c r="AB338"/>
  <c r="AB336"/>
  <c r="AB334"/>
  <c r="AB332"/>
  <c r="AB330"/>
  <c r="AB328"/>
  <c r="AB326"/>
  <c r="AB324"/>
  <c r="AB322"/>
  <c r="AB320"/>
  <c r="AB318"/>
  <c r="AB316"/>
  <c r="AB314"/>
  <c r="AB312"/>
  <c r="AB310"/>
  <c r="AB308"/>
  <c r="AB306"/>
  <c r="AB304"/>
  <c r="AB302"/>
  <c r="AB300"/>
  <c r="AB298"/>
  <c r="AB296"/>
  <c r="AB294"/>
  <c r="AB292"/>
  <c r="AB290"/>
  <c r="AB288"/>
  <c r="AB286"/>
  <c r="AB284"/>
  <c r="AB282"/>
  <c r="AB280"/>
  <c r="AB278"/>
  <c r="AB276"/>
  <c r="AB274"/>
  <c r="AB272"/>
  <c r="AB270"/>
  <c r="AB268"/>
  <c r="AB266"/>
  <c r="AB262"/>
  <c r="AB260"/>
  <c r="AB258"/>
  <c r="AB256"/>
  <c r="AB254"/>
  <c r="AB252"/>
  <c r="AB250"/>
  <c r="AB248"/>
  <c r="AB246"/>
  <c r="AB244"/>
  <c r="AB242"/>
  <c r="AB240"/>
  <c r="AB238"/>
  <c r="AB236"/>
  <c r="AB234"/>
  <c r="AB232"/>
  <c r="AB230"/>
  <c r="AB228"/>
  <c r="AB226"/>
  <c r="AB224"/>
  <c r="AB222"/>
  <c r="AB220"/>
  <c r="AB218"/>
  <c r="AB216"/>
  <c r="AB214"/>
  <c r="AB212"/>
  <c r="AB210"/>
  <c r="AB264"/>
  <c r="AB265"/>
  <c r="AM24" i="2"/>
  <c r="AR24" i="4"/>
  <c r="AR25"/>
  <c r="AR26"/>
  <c r="AR27"/>
  <c r="AR28"/>
  <c r="AR29"/>
  <c r="AR30"/>
  <c r="AR31"/>
  <c r="AR32"/>
  <c r="AR33"/>
  <c r="AM35" i="2"/>
  <c r="AN24" i="1"/>
  <c r="AB209" i="9"/>
  <c r="AN36" i="1"/>
  <c r="AB353" i="9"/>
  <c r="AN35" i="1"/>
  <c r="AB341" i="9"/>
  <c r="AN34" i="1"/>
  <c r="AB329" i="9"/>
  <c r="AN33" i="1"/>
  <c r="AB317" i="9"/>
  <c r="AN32" i="1"/>
  <c r="AB305" i="9"/>
  <c r="AN31" i="1"/>
  <c r="AB293" i="9"/>
  <c r="AN30" i="1"/>
  <c r="AB281" i="9"/>
  <c r="AN29" i="1"/>
  <c r="AB269" i="9"/>
  <c r="AN28" i="1"/>
  <c r="AB257" i="9"/>
  <c r="AN27" i="1"/>
  <c r="AB245" i="9"/>
  <c r="AN26" i="1"/>
  <c r="AB233" i="9"/>
  <c r="AN25" i="1"/>
  <c r="AB221" i="9"/>
  <c r="AM36" i="2"/>
  <c r="AM34"/>
  <c r="AM33"/>
  <c r="AM32"/>
  <c r="AM31"/>
  <c r="AM30"/>
  <c r="AM29"/>
  <c r="AM28"/>
  <c r="AM27"/>
  <c r="AM26"/>
  <c r="AM25"/>
  <c r="AR34" i="4"/>
  <c r="AR35"/>
  <c r="AR36"/>
  <c r="AR24" i="5"/>
  <c r="AR25"/>
  <c r="AR26"/>
  <c r="AR27"/>
  <c r="AR28"/>
  <c r="AR29"/>
  <c r="AR30"/>
  <c r="AR31"/>
  <c r="AR32"/>
  <c r="AR33"/>
  <c r="AR34"/>
  <c r="AR35"/>
  <c r="AR36"/>
  <c r="K366" i="4"/>
  <c r="J366"/>
  <c r="AL366" s="1"/>
  <c r="I366"/>
  <c r="H366"/>
  <c r="AK366" s="1"/>
  <c r="I366" i="2"/>
  <c r="H366"/>
  <c r="G366"/>
  <c r="F366"/>
  <c r="AP26" i="9" l="1"/>
  <c r="AP28"/>
  <c r="AP30"/>
  <c r="AP32"/>
  <c r="AP34"/>
  <c r="AP36"/>
  <c r="AP25"/>
  <c r="AP27"/>
  <c r="AP29"/>
  <c r="AP31"/>
  <c r="AP33"/>
  <c r="AP35"/>
  <c r="AP24"/>
  <c r="AN366" i="2"/>
  <c r="AQ366"/>
  <c r="K366"/>
  <c r="N366"/>
  <c r="AM366"/>
  <c r="AP366"/>
  <c r="AZ366"/>
  <c r="BD366"/>
  <c r="J366" i="3"/>
  <c r="C366" i="10" s="1"/>
  <c r="M366" i="3"/>
  <c r="G366" i="10" s="1"/>
  <c r="AC366" i="3"/>
  <c r="AW366"/>
  <c r="AZ366"/>
  <c r="I366" i="1"/>
  <c r="M366"/>
  <c r="BA366"/>
  <c r="BE366"/>
  <c r="CM364" i="3"/>
  <c r="CM363"/>
  <c r="CM362"/>
  <c r="CM361"/>
  <c r="CM360"/>
  <c r="CM359"/>
  <c r="CM358"/>
  <c r="CM357"/>
  <c r="CM356"/>
  <c r="CM355"/>
  <c r="CM354"/>
  <c r="CM353"/>
  <c r="CM352"/>
  <c r="CM351"/>
  <c r="CM350"/>
  <c r="CM349"/>
  <c r="CM348"/>
  <c r="CM347"/>
  <c r="CM346"/>
  <c r="CM345"/>
  <c r="CM344"/>
  <c r="CM343"/>
  <c r="CM342"/>
  <c r="CM341"/>
  <c r="CM340"/>
  <c r="CM339"/>
  <c r="CM338"/>
  <c r="CM337"/>
  <c r="CM336"/>
  <c r="CM335"/>
  <c r="CM334"/>
  <c r="CM333"/>
  <c r="CM332"/>
  <c r="CM331"/>
  <c r="CM330"/>
  <c r="CM329"/>
  <c r="CM328"/>
  <c r="CM327"/>
  <c r="CM326"/>
  <c r="CM325"/>
  <c r="CM324"/>
  <c r="CM323"/>
  <c r="CM322"/>
  <c r="CM321"/>
  <c r="CM320"/>
  <c r="CM319"/>
  <c r="CM318"/>
  <c r="CM317"/>
  <c r="CM316"/>
  <c r="CM315"/>
  <c r="CM314"/>
  <c r="CM313"/>
  <c r="CM312"/>
  <c r="CM311"/>
  <c r="CM310"/>
  <c r="CM309"/>
  <c r="CM308"/>
  <c r="CM307"/>
  <c r="CM306"/>
  <c r="CM305"/>
  <c r="CM304"/>
  <c r="CM303"/>
  <c r="CM302"/>
  <c r="CM301"/>
  <c r="CM300"/>
  <c r="CM299"/>
  <c r="CM298"/>
  <c r="CM297"/>
  <c r="CM296"/>
  <c r="CM295"/>
  <c r="CM294"/>
  <c r="CM293"/>
  <c r="CM292"/>
  <c r="CM291"/>
  <c r="CM290"/>
  <c r="CM289"/>
  <c r="CM288"/>
  <c r="CM287"/>
  <c r="CM286"/>
  <c r="CM285"/>
  <c r="CM284"/>
  <c r="CM283"/>
  <c r="CM282"/>
  <c r="CM281"/>
  <c r="CM280"/>
  <c r="CM279"/>
  <c r="CM278"/>
  <c r="CM277"/>
  <c r="CM276"/>
  <c r="CM275"/>
  <c r="CM274"/>
  <c r="CM273"/>
  <c r="CM272"/>
  <c r="CM271"/>
  <c r="CM270"/>
  <c r="CM269"/>
  <c r="CM268"/>
  <c r="CM267"/>
  <c r="CM266"/>
  <c r="CM265"/>
  <c r="CM264"/>
  <c r="CM263"/>
  <c r="CM262"/>
  <c r="CM261"/>
  <c r="CM260"/>
  <c r="CM259"/>
  <c r="CM258"/>
  <c r="CM257"/>
  <c r="CM256"/>
  <c r="CM255"/>
  <c r="CM254"/>
  <c r="CM253"/>
  <c r="CM252"/>
  <c r="CM251"/>
  <c r="CM250"/>
  <c r="CM249"/>
  <c r="CM248"/>
  <c r="CM247"/>
  <c r="CM246"/>
  <c r="CM245"/>
  <c r="CM244"/>
  <c r="CM243"/>
  <c r="CM242"/>
  <c r="CM241"/>
  <c r="CM240"/>
  <c r="CM239"/>
  <c r="CM238"/>
  <c r="CM237"/>
  <c r="CM236"/>
  <c r="CM235"/>
  <c r="CM234"/>
  <c r="CM233"/>
  <c r="CM232"/>
  <c r="CM231"/>
  <c r="CM230"/>
  <c r="CM229"/>
  <c r="CM228"/>
  <c r="CM227"/>
  <c r="CM226"/>
  <c r="CM225"/>
  <c r="CM224"/>
  <c r="CM223"/>
  <c r="CM222"/>
  <c r="CM221"/>
  <c r="CM220"/>
  <c r="CM219"/>
  <c r="CM218"/>
  <c r="CM217"/>
  <c r="CM216"/>
  <c r="CM215"/>
  <c r="CM214"/>
  <c r="CM213"/>
  <c r="CM212"/>
  <c r="CM211"/>
  <c r="CM210"/>
  <c r="CM209"/>
  <c r="CM208"/>
  <c r="CM207"/>
  <c r="CM206"/>
  <c r="CM205"/>
  <c r="CM204"/>
  <c r="CM203"/>
  <c r="CM202"/>
  <c r="CM201"/>
  <c r="CM200"/>
  <c r="CM199"/>
  <c r="CM198"/>
  <c r="CM197"/>
  <c r="AC366" i="2" l="1"/>
  <c r="AE366" i="1"/>
  <c r="AR366" i="2"/>
  <c r="AO366"/>
  <c r="DB364"/>
  <c r="DB363"/>
  <c r="DB362"/>
  <c r="DB361"/>
  <c r="DB360"/>
  <c r="DB359"/>
  <c r="DB358"/>
  <c r="DB357"/>
  <c r="DB356"/>
  <c r="DB355"/>
  <c r="DB354"/>
  <c r="DB353"/>
  <c r="DB352"/>
  <c r="DB351"/>
  <c r="DB350"/>
  <c r="DB349"/>
  <c r="DB348"/>
  <c r="DB347"/>
  <c r="DB346"/>
  <c r="DB345"/>
  <c r="DB344"/>
  <c r="DB343"/>
  <c r="DB342"/>
  <c r="DB341"/>
  <c r="DB340"/>
  <c r="DB339"/>
  <c r="DB338"/>
  <c r="DB337"/>
  <c r="DB336"/>
  <c r="DB335"/>
  <c r="DB334"/>
  <c r="DB333"/>
  <c r="DB332"/>
  <c r="DB331"/>
  <c r="DB330"/>
  <c r="DB329"/>
  <c r="DB364" i="1"/>
  <c r="DB363"/>
  <c r="DB362"/>
  <c r="DB361"/>
  <c r="DB360"/>
  <c r="DB359"/>
  <c r="DB358"/>
  <c r="DB357"/>
  <c r="DB356"/>
  <c r="DB355"/>
  <c r="DB354"/>
  <c r="DB353"/>
  <c r="DB352"/>
  <c r="DB351"/>
  <c r="DB350"/>
  <c r="DB349"/>
  <c r="DB348"/>
  <c r="DB347"/>
  <c r="DB346"/>
  <c r="DB345"/>
  <c r="DB344"/>
  <c r="DB343"/>
  <c r="DB342"/>
  <c r="DB341"/>
  <c r="DB340"/>
  <c r="DB339"/>
  <c r="DB338"/>
  <c r="DB337"/>
  <c r="DB336"/>
  <c r="DB335"/>
  <c r="DB334"/>
  <c r="DB333"/>
  <c r="DB332"/>
  <c r="DB331"/>
  <c r="DB330"/>
  <c r="DB329"/>
  <c r="M365" i="10" l="1"/>
  <c r="O365" s="1"/>
  <c r="BA365" i="1"/>
  <c r="BE365"/>
  <c r="I365"/>
  <c r="M365"/>
  <c r="K365" i="4"/>
  <c r="J365"/>
  <c r="AL365" s="1"/>
  <c r="I365"/>
  <c r="H365"/>
  <c r="AK365" s="1"/>
  <c r="CM365" i="3"/>
  <c r="AW365"/>
  <c r="AZ365"/>
  <c r="AC365"/>
  <c r="H364"/>
  <c r="J365"/>
  <c r="C365" i="10" s="1"/>
  <c r="M365" i="3"/>
  <c r="G365" i="10" s="1"/>
  <c r="AZ365" i="2"/>
  <c r="BD365"/>
  <c r="K365"/>
  <c r="N365"/>
  <c r="I365"/>
  <c r="AQ365" s="1"/>
  <c r="H365"/>
  <c r="AP365" s="1"/>
  <c r="G365"/>
  <c r="AN365" s="1"/>
  <c r="F365"/>
  <c r="AM365" s="1"/>
  <c r="AE365" i="1" l="1"/>
  <c r="AC365" i="2"/>
  <c r="AO365"/>
  <c r="AR365"/>
  <c r="BA364" i="1"/>
  <c r="BE364"/>
  <c r="CQ364" i="3" l="1"/>
  <c r="CS364" s="1"/>
  <c r="CT364"/>
  <c r="I364" i="1" l="1"/>
  <c r="M364"/>
  <c r="F364" i="4"/>
  <c r="AQ364" i="2"/>
  <c r="AN364"/>
  <c r="AM364"/>
  <c r="K364"/>
  <c r="N364"/>
  <c r="AP364"/>
  <c r="AZ364"/>
  <c r="BD364"/>
  <c r="I364" i="3"/>
  <c r="J364"/>
  <c r="C364" i="10" s="1"/>
  <c r="M364" i="3"/>
  <c r="G364" i="10" s="1"/>
  <c r="AC364" i="3"/>
  <c r="AW364"/>
  <c r="AZ364"/>
  <c r="M364" i="10"/>
  <c r="AC364" i="2" l="1"/>
  <c r="AE364" i="1"/>
  <c r="AO364" i="2"/>
  <c r="AR364"/>
  <c r="O364" i="10"/>
  <c r="I363" i="1"/>
  <c r="M363"/>
  <c r="BA363"/>
  <c r="BE363"/>
  <c r="F363" i="4"/>
  <c r="AQ363" i="2"/>
  <c r="AP363"/>
  <c r="AN363"/>
  <c r="AM363"/>
  <c r="K363"/>
  <c r="N363"/>
  <c r="AZ363"/>
  <c r="BD363"/>
  <c r="CQ363" i="3"/>
  <c r="CS363" s="1"/>
  <c r="CT363"/>
  <c r="J363"/>
  <c r="M363"/>
  <c r="AC363"/>
  <c r="AW363"/>
  <c r="AZ363"/>
  <c r="AE363" i="1" l="1"/>
  <c r="AC363" i="2"/>
  <c r="AR363"/>
  <c r="AO363"/>
  <c r="M360" i="10" l="1"/>
  <c r="O360" s="1"/>
  <c r="M361"/>
  <c r="O361" s="1"/>
  <c r="M362"/>
  <c r="O362" s="1"/>
  <c r="C363"/>
  <c r="G363"/>
  <c r="M363"/>
  <c r="O363" s="1"/>
  <c r="I362" i="1"/>
  <c r="M362"/>
  <c r="BA362"/>
  <c r="BE362"/>
  <c r="F362" i="4"/>
  <c r="AQ362" i="2"/>
  <c r="AP362"/>
  <c r="AN362"/>
  <c r="AM362"/>
  <c r="K362"/>
  <c r="N362"/>
  <c r="AZ362"/>
  <c r="BD362"/>
  <c r="J362" i="3"/>
  <c r="C362" i="10" s="1"/>
  <c r="M362" i="3"/>
  <c r="G362" i="10" s="1"/>
  <c r="AC362" i="3"/>
  <c r="AW362"/>
  <c r="AZ362"/>
  <c r="I361" i="1"/>
  <c r="M361"/>
  <c r="BA361"/>
  <c r="BE361"/>
  <c r="AQ361" i="2"/>
  <c r="AP361"/>
  <c r="AN361"/>
  <c r="AM361"/>
  <c r="K361"/>
  <c r="N361"/>
  <c r="AZ361"/>
  <c r="BD361"/>
  <c r="AE362" i="1" l="1"/>
  <c r="AC362" i="2"/>
  <c r="AR362"/>
  <c r="AO362"/>
  <c r="AO361"/>
  <c r="AR361"/>
  <c r="CQ361" i="3" l="1"/>
  <c r="CS361" s="1"/>
  <c r="CT361"/>
  <c r="J361"/>
  <c r="C361" i="10" s="1"/>
  <c r="M361" i="3"/>
  <c r="G361" i="10" s="1"/>
  <c r="AC361" i="3"/>
  <c r="AW361"/>
  <c r="AZ361"/>
  <c r="I360" i="1"/>
  <c r="M360"/>
  <c r="BA360"/>
  <c r="BE360"/>
  <c r="AQ360" i="2"/>
  <c r="AP360"/>
  <c r="AN360"/>
  <c r="AM360"/>
  <c r="K360"/>
  <c r="N360"/>
  <c r="AZ360"/>
  <c r="BD360"/>
  <c r="AC361" l="1"/>
  <c r="AE361" i="1"/>
  <c r="AO360" i="2"/>
  <c r="AR360"/>
  <c r="AW360" i="3" l="1"/>
  <c r="AZ360"/>
  <c r="CQ360"/>
  <c r="CS360" s="1"/>
  <c r="CT360"/>
  <c r="J360"/>
  <c r="C360" i="10" s="1"/>
  <c r="M360" i="3"/>
  <c r="G360" i="10" s="1"/>
  <c r="AC360" i="3"/>
  <c r="M357" i="10"/>
  <c r="O357" s="1"/>
  <c r="M358"/>
  <c r="O358" s="1"/>
  <c r="M359"/>
  <c r="O359" s="1"/>
  <c r="AE360" i="1" l="1"/>
  <c r="AC360" i="2"/>
  <c r="I359" i="1"/>
  <c r="M359"/>
  <c r="BA359"/>
  <c r="BE359"/>
  <c r="AQ359" i="2"/>
  <c r="AP359"/>
  <c r="AN359"/>
  <c r="AM359"/>
  <c r="K359"/>
  <c r="N359"/>
  <c r="AZ359"/>
  <c r="BD359"/>
  <c r="J359" i="3"/>
  <c r="C359" i="10" s="1"/>
  <c r="M359" i="3"/>
  <c r="G359" i="10" s="1"/>
  <c r="AC359" i="3"/>
  <c r="AW359"/>
  <c r="AZ359"/>
  <c r="CQ359"/>
  <c r="CS359" s="1"/>
  <c r="CT359"/>
  <c r="BA358" i="1"/>
  <c r="BE358"/>
  <c r="AC359" i="2" l="1"/>
  <c r="AE359" i="1"/>
  <c r="AO359" i="2"/>
  <c r="AR359"/>
  <c r="I358" i="1"/>
  <c r="M358"/>
  <c r="K358" i="2" l="1"/>
  <c r="N358"/>
  <c r="AM358"/>
  <c r="AN358"/>
  <c r="AP358"/>
  <c r="AQ358"/>
  <c r="AZ358"/>
  <c r="BD358"/>
  <c r="J358" i="3"/>
  <c r="C358" i="10" s="1"/>
  <c r="M358" i="3"/>
  <c r="G358" i="10" s="1"/>
  <c r="AC358" i="3"/>
  <c r="AW358"/>
  <c r="AZ358"/>
  <c r="CQ358"/>
  <c r="CS358" s="1"/>
  <c r="CT358"/>
  <c r="I357" i="1"/>
  <c r="M357"/>
  <c r="BA357"/>
  <c r="BE357"/>
  <c r="AM357" i="2"/>
  <c r="BD357"/>
  <c r="AZ357"/>
  <c r="N357"/>
  <c r="K357"/>
  <c r="AQ357"/>
  <c r="AP357"/>
  <c r="AN357"/>
  <c r="AZ357" i="3"/>
  <c r="AW357"/>
  <c r="AC357"/>
  <c r="M357"/>
  <c r="G357" i="10" s="1"/>
  <c r="J357" i="3"/>
  <c r="C357" i="10" s="1"/>
  <c r="CQ356" i="3"/>
  <c r="CS356" s="1"/>
  <c r="CT356"/>
  <c r="BA356" i="1"/>
  <c r="BE356"/>
  <c r="M356" i="10"/>
  <c r="O356" s="1"/>
  <c r="I356" i="1"/>
  <c r="M356"/>
  <c r="AQ356" i="2"/>
  <c r="AP356"/>
  <c r="AM356"/>
  <c r="K356"/>
  <c r="N356"/>
  <c r="AN356"/>
  <c r="AZ356"/>
  <c r="BD356"/>
  <c r="J356" i="3"/>
  <c r="M356"/>
  <c r="G356" i="10" s="1"/>
  <c r="AC356" i="3"/>
  <c r="AW356"/>
  <c r="AZ356"/>
  <c r="M355" i="10"/>
  <c r="O355" s="1"/>
  <c r="CQ355" i="3"/>
  <c r="CS355" s="1"/>
  <c r="CT355"/>
  <c r="AE356" i="1" l="1"/>
  <c r="AC357" i="2"/>
  <c r="AE358" i="1"/>
  <c r="AO358" i="2"/>
  <c r="AC358"/>
  <c r="AR358"/>
  <c r="AE357" i="1"/>
  <c r="AO357" i="2"/>
  <c r="AR357"/>
  <c r="AC356"/>
  <c r="C356" i="10"/>
  <c r="AO356" i="2"/>
  <c r="AR356"/>
  <c r="I355" i="1" l="1"/>
  <c r="M355"/>
  <c r="BA355"/>
  <c r="BE355"/>
  <c r="AP355" i="2"/>
  <c r="AN355"/>
  <c r="AM355"/>
  <c r="K355"/>
  <c r="N355"/>
  <c r="AQ355"/>
  <c r="AZ355"/>
  <c r="BD355"/>
  <c r="J355" i="3"/>
  <c r="C355" i="10" s="1"/>
  <c r="M355" i="3"/>
  <c r="G355" i="10" s="1"/>
  <c r="AC355" i="3"/>
  <c r="AW355"/>
  <c r="AZ355"/>
  <c r="M354" i="10"/>
  <c r="O354" s="1"/>
  <c r="I354" i="1"/>
  <c r="M354"/>
  <c r="BA354"/>
  <c r="BE354"/>
  <c r="AP354" i="2"/>
  <c r="AN354"/>
  <c r="AM354"/>
  <c r="AQ354"/>
  <c r="K354"/>
  <c r="N354"/>
  <c r="AZ354"/>
  <c r="BD354"/>
  <c r="AW354" i="3"/>
  <c r="AZ354"/>
  <c r="CQ354"/>
  <c r="CS354" s="1"/>
  <c r="CT354"/>
  <c r="J354"/>
  <c r="M354"/>
  <c r="AC354"/>
  <c r="BA353" i="1"/>
  <c r="BE353"/>
  <c r="I353"/>
  <c r="M353"/>
  <c r="AZ353" i="2"/>
  <c r="BD353"/>
  <c r="AE354" i="1" l="1"/>
  <c r="AE355"/>
  <c r="G354" i="10"/>
  <c r="T305"/>
  <c r="C354"/>
  <c r="P305"/>
  <c r="AC355" i="2"/>
  <c r="AO355"/>
  <c r="AR355"/>
  <c r="AC354"/>
  <c r="AR354"/>
  <c r="AO354"/>
  <c r="CQ353" i="3"/>
  <c r="CS353" s="1"/>
  <c r="CT353"/>
  <c r="AW353"/>
  <c r="AZ353"/>
  <c r="AC353"/>
  <c r="J353"/>
  <c r="P304" i="10" s="1"/>
  <c r="M353" i="3"/>
  <c r="AQ353" i="2"/>
  <c r="AP353"/>
  <c r="K353"/>
  <c r="N353"/>
  <c r="G353" i="10" l="1"/>
  <c r="T304"/>
  <c r="AM353" i="2"/>
  <c r="AU36"/>
  <c r="AN353"/>
  <c r="AO353" s="1"/>
  <c r="AV36"/>
  <c r="AR353"/>
  <c r="C353" i="10"/>
  <c r="AE353" i="1"/>
  <c r="AC353" i="2"/>
  <c r="B232" i="10" l="1"/>
  <c r="B244" s="1"/>
  <c r="B256" s="1"/>
  <c r="B268" s="1"/>
  <c r="B280" s="1"/>
  <c r="B292" s="1"/>
  <c r="B304" s="1"/>
  <c r="B316" s="1"/>
  <c r="B328" s="1"/>
  <c r="B340" s="1"/>
  <c r="B352" s="1"/>
  <c r="B364" s="1"/>
  <c r="A232"/>
  <c r="A244" s="1"/>
  <c r="A256" s="1"/>
  <c r="A268" s="1"/>
  <c r="A280" s="1"/>
  <c r="A292" s="1"/>
  <c r="A304" s="1"/>
  <c r="A316" s="1"/>
  <c r="A328" s="1"/>
  <c r="A340" s="1"/>
  <c r="A352" s="1"/>
  <c r="A364" s="1"/>
  <c r="B231"/>
  <c r="B243" s="1"/>
  <c r="B255" s="1"/>
  <c r="B267" s="1"/>
  <c r="B279" s="1"/>
  <c r="B291" s="1"/>
  <c r="B303" s="1"/>
  <c r="B315" s="1"/>
  <c r="B327" s="1"/>
  <c r="B339" s="1"/>
  <c r="B351" s="1"/>
  <c r="B363" s="1"/>
  <c r="A231"/>
  <c r="A243" s="1"/>
  <c r="A255" s="1"/>
  <c r="A267" s="1"/>
  <c r="A279" s="1"/>
  <c r="A291" s="1"/>
  <c r="A303" s="1"/>
  <c r="A315" s="1"/>
  <c r="A327" s="1"/>
  <c r="A339" s="1"/>
  <c r="A351" s="1"/>
  <c r="A363" s="1"/>
  <c r="B230"/>
  <c r="B242" s="1"/>
  <c r="B254" s="1"/>
  <c r="B266" s="1"/>
  <c r="B278" s="1"/>
  <c r="B290" s="1"/>
  <c r="B302" s="1"/>
  <c r="B314" s="1"/>
  <c r="B326" s="1"/>
  <c r="B338" s="1"/>
  <c r="B350" s="1"/>
  <c r="B362" s="1"/>
  <c r="A230"/>
  <c r="A242" s="1"/>
  <c r="A254" s="1"/>
  <c r="A266" s="1"/>
  <c r="A278" s="1"/>
  <c r="A290" s="1"/>
  <c r="A302" s="1"/>
  <c r="A314" s="1"/>
  <c r="A326" s="1"/>
  <c r="A338" s="1"/>
  <c r="A350" s="1"/>
  <c r="A362" s="1"/>
  <c r="B229"/>
  <c r="B241" s="1"/>
  <c r="B253" s="1"/>
  <c r="B265" s="1"/>
  <c r="B277" s="1"/>
  <c r="B289" s="1"/>
  <c r="B301" s="1"/>
  <c r="B313" s="1"/>
  <c r="B325" s="1"/>
  <c r="B337" s="1"/>
  <c r="B349" s="1"/>
  <c r="B361" s="1"/>
  <c r="A229"/>
  <c r="A241" s="1"/>
  <c r="A253" s="1"/>
  <c r="A265" s="1"/>
  <c r="A277" s="1"/>
  <c r="A289" s="1"/>
  <c r="A301" s="1"/>
  <c r="A313" s="1"/>
  <c r="A325" s="1"/>
  <c r="A337" s="1"/>
  <c r="A349" s="1"/>
  <c r="A361" s="1"/>
  <c r="B228"/>
  <c r="B240" s="1"/>
  <c r="B252" s="1"/>
  <c r="B264" s="1"/>
  <c r="B276" s="1"/>
  <c r="B288" s="1"/>
  <c r="B300" s="1"/>
  <c r="B312" s="1"/>
  <c r="B324" s="1"/>
  <c r="B336" s="1"/>
  <c r="B348" s="1"/>
  <c r="B360" s="1"/>
  <c r="A228"/>
  <c r="A240" s="1"/>
  <c r="A252" s="1"/>
  <c r="A264" s="1"/>
  <c r="A276" s="1"/>
  <c r="A288" s="1"/>
  <c r="A300" s="1"/>
  <c r="A312" s="1"/>
  <c r="A324" s="1"/>
  <c r="A336" s="1"/>
  <c r="A348" s="1"/>
  <c r="A360" s="1"/>
  <c r="B227"/>
  <c r="B239" s="1"/>
  <c r="B251" s="1"/>
  <c r="B263" s="1"/>
  <c r="B275" s="1"/>
  <c r="B287" s="1"/>
  <c r="B299" s="1"/>
  <c r="B311" s="1"/>
  <c r="B323" s="1"/>
  <c r="B335" s="1"/>
  <c r="B347" s="1"/>
  <c r="B359" s="1"/>
  <c r="B371" s="1"/>
  <c r="A227"/>
  <c r="A239" s="1"/>
  <c r="A251" s="1"/>
  <c r="A263" s="1"/>
  <c r="A275" s="1"/>
  <c r="A287" s="1"/>
  <c r="A299" s="1"/>
  <c r="A311" s="1"/>
  <c r="A323" s="1"/>
  <c r="A335" s="1"/>
  <c r="A347" s="1"/>
  <c r="A359" s="1"/>
  <c r="A371" s="1"/>
  <c r="B226"/>
  <c r="B238" s="1"/>
  <c r="B250" s="1"/>
  <c r="B262" s="1"/>
  <c r="B274" s="1"/>
  <c r="B286" s="1"/>
  <c r="B298" s="1"/>
  <c r="B310" s="1"/>
  <c r="B322" s="1"/>
  <c r="B334" s="1"/>
  <c r="B346" s="1"/>
  <c r="B358" s="1"/>
  <c r="B370" s="1"/>
  <c r="A226"/>
  <c r="A238" s="1"/>
  <c r="A250" s="1"/>
  <c r="A262" s="1"/>
  <c r="A274" s="1"/>
  <c r="A286" s="1"/>
  <c r="A298" s="1"/>
  <c r="A310" s="1"/>
  <c r="A322" s="1"/>
  <c r="A334" s="1"/>
  <c r="A346" s="1"/>
  <c r="A358" s="1"/>
  <c r="A370" s="1"/>
  <c r="B225"/>
  <c r="B237" s="1"/>
  <c r="B249" s="1"/>
  <c r="B261" s="1"/>
  <c r="B273" s="1"/>
  <c r="B285" s="1"/>
  <c r="B297" s="1"/>
  <c r="B309" s="1"/>
  <c r="B321" s="1"/>
  <c r="B333" s="1"/>
  <c r="B345" s="1"/>
  <c r="B357" s="1"/>
  <c r="B369" s="1"/>
  <c r="A225"/>
  <c r="A237" s="1"/>
  <c r="A249" s="1"/>
  <c r="A261" s="1"/>
  <c r="A273" s="1"/>
  <c r="A285" s="1"/>
  <c r="A297" s="1"/>
  <c r="A309" s="1"/>
  <c r="A321" s="1"/>
  <c r="A333" s="1"/>
  <c r="A345" s="1"/>
  <c r="A357" s="1"/>
  <c r="A369" s="1"/>
  <c r="B224"/>
  <c r="B236" s="1"/>
  <c r="B248" s="1"/>
  <c r="B260" s="1"/>
  <c r="B272" s="1"/>
  <c r="B284" s="1"/>
  <c r="B296" s="1"/>
  <c r="B308" s="1"/>
  <c r="B320" s="1"/>
  <c r="B332" s="1"/>
  <c r="B344" s="1"/>
  <c r="B356" s="1"/>
  <c r="B368" s="1"/>
  <c r="A224"/>
  <c r="A236" s="1"/>
  <c r="A248" s="1"/>
  <c r="A260" s="1"/>
  <c r="A272" s="1"/>
  <c r="A284" s="1"/>
  <c r="A296" s="1"/>
  <c r="A308" s="1"/>
  <c r="A320" s="1"/>
  <c r="A332" s="1"/>
  <c r="A344" s="1"/>
  <c r="A356" s="1"/>
  <c r="A368" s="1"/>
  <c r="B223"/>
  <c r="B235" s="1"/>
  <c r="B247" s="1"/>
  <c r="B259" s="1"/>
  <c r="B271" s="1"/>
  <c r="B283" s="1"/>
  <c r="B295" s="1"/>
  <c r="B307" s="1"/>
  <c r="B319" s="1"/>
  <c r="B331" s="1"/>
  <c r="B343" s="1"/>
  <c r="B355" s="1"/>
  <c r="B367" s="1"/>
  <c r="A223"/>
  <c r="A235" s="1"/>
  <c r="A247" s="1"/>
  <c r="A259" s="1"/>
  <c r="A271" s="1"/>
  <c r="A283" s="1"/>
  <c r="A295" s="1"/>
  <c r="A307" s="1"/>
  <c r="A319" s="1"/>
  <c r="A331" s="1"/>
  <c r="A343" s="1"/>
  <c r="A355" s="1"/>
  <c r="A367" s="1"/>
  <c r="B222"/>
  <c r="B234" s="1"/>
  <c r="B246" s="1"/>
  <c r="B258" s="1"/>
  <c r="B270" s="1"/>
  <c r="B282" s="1"/>
  <c r="B294" s="1"/>
  <c r="B306" s="1"/>
  <c r="B318" s="1"/>
  <c r="B330" s="1"/>
  <c r="B342" s="1"/>
  <c r="B354" s="1"/>
  <c r="B366" s="1"/>
  <c r="A222"/>
  <c r="A234" s="1"/>
  <c r="A246" s="1"/>
  <c r="A258" s="1"/>
  <c r="A270" s="1"/>
  <c r="A282" s="1"/>
  <c r="A294" s="1"/>
  <c r="A306" s="1"/>
  <c r="A318" s="1"/>
  <c r="A330" s="1"/>
  <c r="A342" s="1"/>
  <c r="A354" s="1"/>
  <c r="A366" s="1"/>
  <c r="B221"/>
  <c r="B233" s="1"/>
  <c r="B245" s="1"/>
  <c r="B257" s="1"/>
  <c r="B269" s="1"/>
  <c r="B281" s="1"/>
  <c r="B293" s="1"/>
  <c r="B305" s="1"/>
  <c r="B317" s="1"/>
  <c r="B329" s="1"/>
  <c r="B341" s="1"/>
  <c r="B353" s="1"/>
  <c r="B365" s="1"/>
  <c r="A221"/>
  <c r="A233" s="1"/>
  <c r="A245" s="1"/>
  <c r="A257" s="1"/>
  <c r="A269" s="1"/>
  <c r="A281" s="1"/>
  <c r="A293" s="1"/>
  <c r="A305" s="1"/>
  <c r="A317" s="1"/>
  <c r="A329" s="1"/>
  <c r="A341" s="1"/>
  <c r="A353" s="1"/>
  <c r="A365" s="1"/>
  <c r="AK56" i="3" l="1"/>
  <c r="CO352"/>
  <c r="CQ352"/>
  <c r="CS352" s="1"/>
  <c r="CR352"/>
  <c r="CT352"/>
  <c r="C352" i="7" l="1"/>
  <c r="D352"/>
  <c r="E352"/>
  <c r="C352" i="1"/>
  <c r="D352"/>
  <c r="F352" s="1"/>
  <c r="I352"/>
  <c r="M352"/>
  <c r="BA352"/>
  <c r="BE352"/>
  <c r="C352" i="5"/>
  <c r="D352"/>
  <c r="C352" i="4"/>
  <c r="BP352" s="1"/>
  <c r="D352"/>
  <c r="F352"/>
  <c r="AP352" i="2"/>
  <c r="AN352"/>
  <c r="AM352"/>
  <c r="C352"/>
  <c r="D352"/>
  <c r="K352"/>
  <c r="N352"/>
  <c r="AQ352"/>
  <c r="AZ352"/>
  <c r="BD352"/>
  <c r="C352" i="3"/>
  <c r="D352"/>
  <c r="J352"/>
  <c r="M352"/>
  <c r="AC352"/>
  <c r="AW352"/>
  <c r="AZ352"/>
  <c r="CP351"/>
  <c r="CQ351"/>
  <c r="CS351" s="1"/>
  <c r="CR351"/>
  <c r="CT351"/>
  <c r="C351" i="7"/>
  <c r="D351"/>
  <c r="E351"/>
  <c r="C351" i="1"/>
  <c r="D351"/>
  <c r="F351" s="1"/>
  <c r="I351"/>
  <c r="M351"/>
  <c r="BA351"/>
  <c r="BE351"/>
  <c r="C351" i="5"/>
  <c r="D351"/>
  <c r="C351" i="4"/>
  <c r="D351"/>
  <c r="F351"/>
  <c r="AQ351" i="2"/>
  <c r="AP351"/>
  <c r="AM351"/>
  <c r="C351"/>
  <c r="D351"/>
  <c r="K351"/>
  <c r="N351"/>
  <c r="AN351"/>
  <c r="AZ351"/>
  <c r="BD351"/>
  <c r="C351" i="3"/>
  <c r="D351"/>
  <c r="J351"/>
  <c r="M351"/>
  <c r="AC351"/>
  <c r="AW351"/>
  <c r="AZ351"/>
  <c r="CP350"/>
  <c r="CQ350"/>
  <c r="CS350" s="1"/>
  <c r="CR350"/>
  <c r="CT350"/>
  <c r="BJ351" l="1"/>
  <c r="BP352" i="1"/>
  <c r="BP351" i="2"/>
  <c r="BP351" i="1"/>
  <c r="BJ352" i="3"/>
  <c r="BP352" i="2"/>
  <c r="AE351" i="1"/>
  <c r="AE352"/>
  <c r="C352" i="9"/>
  <c r="BP352" i="5"/>
  <c r="AJ351" i="4"/>
  <c r="BP351"/>
  <c r="C351" i="9"/>
  <c r="BP351" i="5"/>
  <c r="D351" i="9"/>
  <c r="D352"/>
  <c r="Z352" i="4"/>
  <c r="AJ352"/>
  <c r="C351" i="10"/>
  <c r="P302"/>
  <c r="G352"/>
  <c r="T303"/>
  <c r="G351"/>
  <c r="T302"/>
  <c r="C352"/>
  <c r="P303"/>
  <c r="Z352" i="5"/>
  <c r="Z351"/>
  <c r="C352" i="6"/>
  <c r="D352"/>
  <c r="D352" i="8" s="1"/>
  <c r="G351" i="4"/>
  <c r="AC352" i="2"/>
  <c r="AD352" s="1"/>
  <c r="G352" i="4"/>
  <c r="D351" i="6"/>
  <c r="D351" i="8" s="1"/>
  <c r="E351" i="2"/>
  <c r="Z351" i="4"/>
  <c r="E352" i="1"/>
  <c r="AR351" i="2"/>
  <c r="C351" i="6"/>
  <c r="E352" i="2"/>
  <c r="Z352" i="7"/>
  <c r="AJ352" i="2"/>
  <c r="AR352"/>
  <c r="AK352"/>
  <c r="AO352"/>
  <c r="E351" i="1"/>
  <c r="AK351" i="2"/>
  <c r="AC351"/>
  <c r="AD351" s="1"/>
  <c r="AJ351"/>
  <c r="Z351" i="7"/>
  <c r="AO351" i="2"/>
  <c r="C350" i="7"/>
  <c r="D350"/>
  <c r="E350"/>
  <c r="C350" i="1"/>
  <c r="D350"/>
  <c r="F350" s="1"/>
  <c r="I350"/>
  <c r="M350"/>
  <c r="BA350"/>
  <c r="BE350"/>
  <c r="C350" i="5"/>
  <c r="BP350" s="1"/>
  <c r="D350"/>
  <c r="C350" i="4"/>
  <c r="BP350" s="1"/>
  <c r="D350"/>
  <c r="F350"/>
  <c r="D350" i="9" l="1"/>
  <c r="AL351" i="2"/>
  <c r="BP350" i="1"/>
  <c r="Z350" i="4"/>
  <c r="AJ350"/>
  <c r="C351" i="8"/>
  <c r="C352"/>
  <c r="Z350" i="5"/>
  <c r="C350" i="9"/>
  <c r="AL352" i="2"/>
  <c r="G350" i="4"/>
  <c r="E350" i="1"/>
  <c r="Z350" i="7"/>
  <c r="C350" i="2"/>
  <c r="D350"/>
  <c r="AP350"/>
  <c r="K350"/>
  <c r="N350"/>
  <c r="AM350"/>
  <c r="AN350"/>
  <c r="AQ350"/>
  <c r="AZ350"/>
  <c r="BD350"/>
  <c r="C350" i="3"/>
  <c r="D350"/>
  <c r="J350"/>
  <c r="M350"/>
  <c r="AC350"/>
  <c r="AW350"/>
  <c r="AZ350"/>
  <c r="O30" i="10"/>
  <c r="O42" s="1"/>
  <c r="O54" s="1"/>
  <c r="O66" s="1"/>
  <c r="O78" s="1"/>
  <c r="O90" s="1"/>
  <c r="O102" s="1"/>
  <c r="O114" s="1"/>
  <c r="O126" s="1"/>
  <c r="O138" s="1"/>
  <c r="O150" s="1"/>
  <c r="O162" s="1"/>
  <c r="O31"/>
  <c r="O32"/>
  <c r="O44" s="1"/>
  <c r="O56" s="1"/>
  <c r="O68" s="1"/>
  <c r="O80" s="1"/>
  <c r="O92" s="1"/>
  <c r="O104" s="1"/>
  <c r="O116" s="1"/>
  <c r="O128" s="1"/>
  <c r="O140" s="1"/>
  <c r="O152" s="1"/>
  <c r="O164" s="1"/>
  <c r="O176" s="1"/>
  <c r="O188" s="1"/>
  <c r="O200" s="1"/>
  <c r="O212" s="1"/>
  <c r="O224" s="1"/>
  <c r="O236" s="1"/>
  <c r="O248" s="1"/>
  <c r="O260" s="1"/>
  <c r="O272" s="1"/>
  <c r="O284" s="1"/>
  <c r="O296" s="1"/>
  <c r="O33"/>
  <c r="O34"/>
  <c r="O46" s="1"/>
  <c r="O58" s="1"/>
  <c r="O70" s="1"/>
  <c r="O82" s="1"/>
  <c r="O94" s="1"/>
  <c r="O106" s="1"/>
  <c r="O118" s="1"/>
  <c r="O130" s="1"/>
  <c r="O142" s="1"/>
  <c r="O154" s="1"/>
  <c r="O166" s="1"/>
  <c r="O178" s="1"/>
  <c r="O190" s="1"/>
  <c r="O202" s="1"/>
  <c r="O214" s="1"/>
  <c r="O226" s="1"/>
  <c r="O238" s="1"/>
  <c r="O250" s="1"/>
  <c r="O262" s="1"/>
  <c r="O274" s="1"/>
  <c r="O286" s="1"/>
  <c r="O298" s="1"/>
  <c r="O35"/>
  <c r="O36"/>
  <c r="O48" s="1"/>
  <c r="O60" s="1"/>
  <c r="O72" s="1"/>
  <c r="O84" s="1"/>
  <c r="O96" s="1"/>
  <c r="O108" s="1"/>
  <c r="O120" s="1"/>
  <c r="O132" s="1"/>
  <c r="O144" s="1"/>
  <c r="O156" s="1"/>
  <c r="O168" s="1"/>
  <c r="O37"/>
  <c r="O38"/>
  <c r="O50" s="1"/>
  <c r="O62" s="1"/>
  <c r="O74" s="1"/>
  <c r="O86" s="1"/>
  <c r="O98" s="1"/>
  <c r="O110" s="1"/>
  <c r="O122" s="1"/>
  <c r="O134" s="1"/>
  <c r="O146" s="1"/>
  <c r="O158" s="1"/>
  <c r="O170" s="1"/>
  <c r="O39"/>
  <c r="O40"/>
  <c r="O52" s="1"/>
  <c r="O64" s="1"/>
  <c r="O76" s="1"/>
  <c r="O88" s="1"/>
  <c r="O100" s="1"/>
  <c r="O112" s="1"/>
  <c r="O124" s="1"/>
  <c r="O136" s="1"/>
  <c r="O148" s="1"/>
  <c r="O43"/>
  <c r="O55" s="1"/>
  <c r="O67" s="1"/>
  <c r="O79" s="1"/>
  <c r="O91" s="1"/>
  <c r="O103" s="1"/>
  <c r="O115" s="1"/>
  <c r="O127" s="1"/>
  <c r="O139" s="1"/>
  <c r="O151" s="1"/>
  <c r="O163" s="1"/>
  <c r="O175" s="1"/>
  <c r="O187" s="1"/>
  <c r="O199" s="1"/>
  <c r="O211" s="1"/>
  <c r="O223" s="1"/>
  <c r="O235" s="1"/>
  <c r="O247" s="1"/>
  <c r="O259" s="1"/>
  <c r="O271" s="1"/>
  <c r="O283" s="1"/>
  <c r="O295" s="1"/>
  <c r="O45"/>
  <c r="O57" s="1"/>
  <c r="O69" s="1"/>
  <c r="O81" s="1"/>
  <c r="O93" s="1"/>
  <c r="O105" s="1"/>
  <c r="O117" s="1"/>
  <c r="O129" s="1"/>
  <c r="O141" s="1"/>
  <c r="O153" s="1"/>
  <c r="O165" s="1"/>
  <c r="O177" s="1"/>
  <c r="O189" s="1"/>
  <c r="O201" s="1"/>
  <c r="O213" s="1"/>
  <c r="O225" s="1"/>
  <c r="O237" s="1"/>
  <c r="O249" s="1"/>
  <c r="O261" s="1"/>
  <c r="O273" s="1"/>
  <c r="O285" s="1"/>
  <c r="O297" s="1"/>
  <c r="O47"/>
  <c r="O59" s="1"/>
  <c r="O71" s="1"/>
  <c r="O83" s="1"/>
  <c r="O95" s="1"/>
  <c r="O107" s="1"/>
  <c r="O119" s="1"/>
  <c r="O131" s="1"/>
  <c r="O143" s="1"/>
  <c r="O155" s="1"/>
  <c r="O167" s="1"/>
  <c r="O179" s="1"/>
  <c r="O49"/>
  <c r="O61" s="1"/>
  <c r="O73" s="1"/>
  <c r="O85" s="1"/>
  <c r="O97" s="1"/>
  <c r="O109" s="1"/>
  <c r="O121" s="1"/>
  <c r="O133" s="1"/>
  <c r="O145" s="1"/>
  <c r="O157" s="1"/>
  <c r="O51"/>
  <c r="O63" s="1"/>
  <c r="O75" s="1"/>
  <c r="O87" s="1"/>
  <c r="O99" s="1"/>
  <c r="O111" s="1"/>
  <c r="O123" s="1"/>
  <c r="O135" s="1"/>
  <c r="O147" s="1"/>
  <c r="O159" s="1"/>
  <c r="O160"/>
  <c r="O172" s="1"/>
  <c r="O184" s="1"/>
  <c r="O196" s="1"/>
  <c r="O208" s="1"/>
  <c r="O220" s="1"/>
  <c r="O232" s="1"/>
  <c r="O244" s="1"/>
  <c r="O256" s="1"/>
  <c r="O268" s="1"/>
  <c r="O280" s="1"/>
  <c r="O292" s="1"/>
  <c r="O304" s="1"/>
  <c r="O169"/>
  <c r="O181" s="1"/>
  <c r="O193" s="1"/>
  <c r="O205" s="1"/>
  <c r="O217" s="1"/>
  <c r="O229" s="1"/>
  <c r="O241" s="1"/>
  <c r="O253" s="1"/>
  <c r="O265" s="1"/>
  <c r="O277" s="1"/>
  <c r="O289" s="1"/>
  <c r="O301" s="1"/>
  <c r="O171"/>
  <c r="O183" s="1"/>
  <c r="O195" s="1"/>
  <c r="O207" s="1"/>
  <c r="O219" s="1"/>
  <c r="O231" s="1"/>
  <c r="O243" s="1"/>
  <c r="O255" s="1"/>
  <c r="O267" s="1"/>
  <c r="O279" s="1"/>
  <c r="O291" s="1"/>
  <c r="O303" s="1"/>
  <c r="O174"/>
  <c r="O186" s="1"/>
  <c r="O198" s="1"/>
  <c r="O210" s="1"/>
  <c r="O222" s="1"/>
  <c r="O234" s="1"/>
  <c r="O246" s="1"/>
  <c r="O258" s="1"/>
  <c r="O270" s="1"/>
  <c r="O282" s="1"/>
  <c r="O294" s="1"/>
  <c r="O180"/>
  <c r="O192" s="1"/>
  <c r="O204" s="1"/>
  <c r="O216" s="1"/>
  <c r="O228" s="1"/>
  <c r="O240" s="1"/>
  <c r="O252" s="1"/>
  <c r="O264" s="1"/>
  <c r="O276" s="1"/>
  <c r="O288" s="1"/>
  <c r="O300" s="1"/>
  <c r="O182"/>
  <c r="O194" s="1"/>
  <c r="O206" s="1"/>
  <c r="O218" s="1"/>
  <c r="O230" s="1"/>
  <c r="O242" s="1"/>
  <c r="O254" s="1"/>
  <c r="O266" s="1"/>
  <c r="O278" s="1"/>
  <c r="O290" s="1"/>
  <c r="O302" s="1"/>
  <c r="O191"/>
  <c r="O203" s="1"/>
  <c r="O215" s="1"/>
  <c r="O227" s="1"/>
  <c r="O239" s="1"/>
  <c r="O251" s="1"/>
  <c r="O263" s="1"/>
  <c r="O275" s="1"/>
  <c r="O287" s="1"/>
  <c r="O299" s="1"/>
  <c r="O29"/>
  <c r="O41" s="1"/>
  <c r="O53" s="1"/>
  <c r="O65" s="1"/>
  <c r="O77" s="1"/>
  <c r="O89" s="1"/>
  <c r="O101" s="1"/>
  <c r="O113" s="1"/>
  <c r="O125" s="1"/>
  <c r="O137" s="1"/>
  <c r="O149" s="1"/>
  <c r="O161" s="1"/>
  <c r="O173" s="1"/>
  <c r="O185" s="1"/>
  <c r="O197" s="1"/>
  <c r="O209" s="1"/>
  <c r="O221" s="1"/>
  <c r="O233" s="1"/>
  <c r="O245" s="1"/>
  <c r="O257" s="1"/>
  <c r="O269" s="1"/>
  <c r="O281" s="1"/>
  <c r="O293" s="1"/>
  <c r="O305" s="1"/>
  <c r="BJ350" i="3" l="1"/>
  <c r="BP350" i="2"/>
  <c r="AE350" i="1"/>
  <c r="C350" i="10"/>
  <c r="P301"/>
  <c r="G350"/>
  <c r="T301"/>
  <c r="C350" i="6"/>
  <c r="D350"/>
  <c r="D350" i="8" s="1"/>
  <c r="AK350" i="2"/>
  <c r="AJ350"/>
  <c r="E350"/>
  <c r="AC350"/>
  <c r="AD350" s="1"/>
  <c r="AO350"/>
  <c r="AR350"/>
  <c r="C349" i="7"/>
  <c r="D349"/>
  <c r="E349"/>
  <c r="C349" i="1"/>
  <c r="D349"/>
  <c r="F349" s="1"/>
  <c r="I349"/>
  <c r="M349"/>
  <c r="BA349"/>
  <c r="BE349"/>
  <c r="C349" i="5"/>
  <c r="D349"/>
  <c r="C349" i="4"/>
  <c r="D349"/>
  <c r="F349"/>
  <c r="AM349" i="2"/>
  <c r="C349"/>
  <c r="D349"/>
  <c r="K349"/>
  <c r="N349"/>
  <c r="AN349"/>
  <c r="AP349"/>
  <c r="AQ349"/>
  <c r="AZ349"/>
  <c r="BD349"/>
  <c r="CP349" i="3"/>
  <c r="CQ349"/>
  <c r="CS349" s="1"/>
  <c r="CR349"/>
  <c r="CT349"/>
  <c r="C349"/>
  <c r="D349"/>
  <c r="J349"/>
  <c r="M349"/>
  <c r="AC349"/>
  <c r="AW349"/>
  <c r="AZ349"/>
  <c r="BJ349" l="1"/>
  <c r="BP349" i="2"/>
  <c r="BP349" i="1"/>
  <c r="AE349"/>
  <c r="AJ349" i="4"/>
  <c r="BP349"/>
  <c r="C349" i="9"/>
  <c r="BP349" i="5"/>
  <c r="C350" i="8"/>
  <c r="C349" i="10"/>
  <c r="P300"/>
  <c r="G349"/>
  <c r="T300"/>
  <c r="Z349" i="5"/>
  <c r="AL350" i="2"/>
  <c r="D349" i="6"/>
  <c r="D349" i="8" s="1"/>
  <c r="E349" i="1"/>
  <c r="G349" i="4"/>
  <c r="C349" i="6"/>
  <c r="Z349" i="4"/>
  <c r="E349" i="2"/>
  <c r="D349" i="9"/>
  <c r="Z349" i="7"/>
  <c r="AC349" i="2"/>
  <c r="AD349" s="1"/>
  <c r="AJ349"/>
  <c r="AO349"/>
  <c r="AK349"/>
  <c r="AR349"/>
  <c r="CP348" i="3"/>
  <c r="CQ348"/>
  <c r="CS348" s="1"/>
  <c r="CR348"/>
  <c r="CT348"/>
  <c r="C349" i="8" l="1"/>
  <c r="AL349" i="2"/>
  <c r="AQ348" l="1"/>
  <c r="AP348"/>
  <c r="AM348"/>
  <c r="C348" i="7"/>
  <c r="D348"/>
  <c r="E348"/>
  <c r="C348" i="1"/>
  <c r="D348"/>
  <c r="F348" s="1"/>
  <c r="I348"/>
  <c r="M348"/>
  <c r="BA348"/>
  <c r="BE348"/>
  <c r="C348" i="5"/>
  <c r="D348"/>
  <c r="C348" i="4"/>
  <c r="BP348" s="1"/>
  <c r="D348"/>
  <c r="F348"/>
  <c r="C348" i="2"/>
  <c r="D348"/>
  <c r="K348"/>
  <c r="N348"/>
  <c r="AN348"/>
  <c r="AZ348"/>
  <c r="BD348"/>
  <c r="C348" i="3"/>
  <c r="D348"/>
  <c r="J348"/>
  <c r="M348"/>
  <c r="AC348"/>
  <c r="AW348"/>
  <c r="AZ348"/>
  <c r="BP348" i="2" l="1"/>
  <c r="BJ348" i="3"/>
  <c r="BP348" i="1"/>
  <c r="AE348"/>
  <c r="C348" i="9"/>
  <c r="BP348" i="5"/>
  <c r="Z348" i="4"/>
  <c r="AJ348"/>
  <c r="G348" i="10"/>
  <c r="T299"/>
  <c r="C348"/>
  <c r="P299"/>
  <c r="D348" i="9"/>
  <c r="Z348" i="5"/>
  <c r="G348" i="4"/>
  <c r="C348" i="6"/>
  <c r="Z348" i="7"/>
  <c r="E348" i="2"/>
  <c r="E348" i="1"/>
  <c r="D348" i="6"/>
  <c r="D348" i="8" s="1"/>
  <c r="AC348" i="2"/>
  <c r="AD348" s="1"/>
  <c r="AO348"/>
  <c r="AK348"/>
  <c r="AJ348"/>
  <c r="AR348"/>
  <c r="C348" i="8" l="1"/>
  <c r="AL348" i="2"/>
  <c r="BO232" i="9" l="1"/>
  <c r="BO244" s="1"/>
  <c r="BO256" s="1"/>
  <c r="BO268" s="1"/>
  <c r="BO280" s="1"/>
  <c r="BO292" s="1"/>
  <c r="BO304" s="1"/>
  <c r="BO316" s="1"/>
  <c r="BO328" s="1"/>
  <c r="BO340" s="1"/>
  <c r="BO352" s="1"/>
  <c r="BO364" s="1"/>
  <c r="BN232"/>
  <c r="BN244" s="1"/>
  <c r="BN256" s="1"/>
  <c r="BN268" s="1"/>
  <c r="BN280" s="1"/>
  <c r="BN292" s="1"/>
  <c r="BN304" s="1"/>
  <c r="BN316" s="1"/>
  <c r="BN328" s="1"/>
  <c r="BN340" s="1"/>
  <c r="BN352" s="1"/>
  <c r="BN364" s="1"/>
  <c r="B232"/>
  <c r="B244" s="1"/>
  <c r="B256" s="1"/>
  <c r="B268" s="1"/>
  <c r="B280" s="1"/>
  <c r="B292" s="1"/>
  <c r="B304" s="1"/>
  <c r="B316" s="1"/>
  <c r="B328" s="1"/>
  <c r="B340" s="1"/>
  <c r="B352" s="1"/>
  <c r="B364" s="1"/>
  <c r="B376" s="1"/>
  <c r="A232"/>
  <c r="A244" s="1"/>
  <c r="A256" s="1"/>
  <c r="A268" s="1"/>
  <c r="A280" s="1"/>
  <c r="A292" s="1"/>
  <c r="A304" s="1"/>
  <c r="A316" s="1"/>
  <c r="A328" s="1"/>
  <c r="A340" s="1"/>
  <c r="A352" s="1"/>
  <c r="A364" s="1"/>
  <c r="A376" s="1"/>
  <c r="BO231"/>
  <c r="BO243" s="1"/>
  <c r="BO255" s="1"/>
  <c r="BO267" s="1"/>
  <c r="BO279" s="1"/>
  <c r="BO291" s="1"/>
  <c r="BO303" s="1"/>
  <c r="BO315" s="1"/>
  <c r="BO327" s="1"/>
  <c r="BO339" s="1"/>
  <c r="BO351" s="1"/>
  <c r="BO363" s="1"/>
  <c r="BN231"/>
  <c r="BN243" s="1"/>
  <c r="BN255" s="1"/>
  <c r="BN267" s="1"/>
  <c r="BN279" s="1"/>
  <c r="BN291" s="1"/>
  <c r="BN303" s="1"/>
  <c r="BN315" s="1"/>
  <c r="BN327" s="1"/>
  <c r="BN339" s="1"/>
  <c r="BN351" s="1"/>
  <c r="BN363" s="1"/>
  <c r="B231"/>
  <c r="B243" s="1"/>
  <c r="B255" s="1"/>
  <c r="B267" s="1"/>
  <c r="B279" s="1"/>
  <c r="B291" s="1"/>
  <c r="B303" s="1"/>
  <c r="B315" s="1"/>
  <c r="B327" s="1"/>
  <c r="B339" s="1"/>
  <c r="B351" s="1"/>
  <c r="B363" s="1"/>
  <c r="B375" s="1"/>
  <c r="A231"/>
  <c r="A243" s="1"/>
  <c r="A255" s="1"/>
  <c r="A267" s="1"/>
  <c r="A279" s="1"/>
  <c r="A291" s="1"/>
  <c r="A303" s="1"/>
  <c r="A315" s="1"/>
  <c r="A327" s="1"/>
  <c r="A339" s="1"/>
  <c r="A351" s="1"/>
  <c r="A363" s="1"/>
  <c r="A375" s="1"/>
  <c r="BO230"/>
  <c r="BO242" s="1"/>
  <c r="BO254" s="1"/>
  <c r="BO266" s="1"/>
  <c r="BO278" s="1"/>
  <c r="BO290" s="1"/>
  <c r="BO302" s="1"/>
  <c r="BO314" s="1"/>
  <c r="BO326" s="1"/>
  <c r="BO338" s="1"/>
  <c r="BO350" s="1"/>
  <c r="BO362" s="1"/>
  <c r="BN230"/>
  <c r="BN242" s="1"/>
  <c r="BN254" s="1"/>
  <c r="BN266" s="1"/>
  <c r="BN278" s="1"/>
  <c r="BN290" s="1"/>
  <c r="BN302" s="1"/>
  <c r="BN314" s="1"/>
  <c r="BN326" s="1"/>
  <c r="BN338" s="1"/>
  <c r="BN350" s="1"/>
  <c r="BN362" s="1"/>
  <c r="B230"/>
  <c r="B242" s="1"/>
  <c r="B254" s="1"/>
  <c r="B266" s="1"/>
  <c r="B278" s="1"/>
  <c r="B290" s="1"/>
  <c r="B302" s="1"/>
  <c r="B314" s="1"/>
  <c r="B326" s="1"/>
  <c r="B338" s="1"/>
  <c r="B350" s="1"/>
  <c r="B362" s="1"/>
  <c r="B374" s="1"/>
  <c r="A230"/>
  <c r="A242" s="1"/>
  <c r="A254" s="1"/>
  <c r="A266" s="1"/>
  <c r="A278" s="1"/>
  <c r="A290" s="1"/>
  <c r="A302" s="1"/>
  <c r="A314" s="1"/>
  <c r="A326" s="1"/>
  <c r="A338" s="1"/>
  <c r="A350" s="1"/>
  <c r="A362" s="1"/>
  <c r="A374" s="1"/>
  <c r="BO229"/>
  <c r="BO241" s="1"/>
  <c r="BO253" s="1"/>
  <c r="BO265" s="1"/>
  <c r="BO277" s="1"/>
  <c r="BO289" s="1"/>
  <c r="BO301" s="1"/>
  <c r="BO313" s="1"/>
  <c r="BO325" s="1"/>
  <c r="BO337" s="1"/>
  <c r="BO349" s="1"/>
  <c r="BO361" s="1"/>
  <c r="BN229"/>
  <c r="BN241" s="1"/>
  <c r="BN253" s="1"/>
  <c r="BN265" s="1"/>
  <c r="BN277" s="1"/>
  <c r="BN289" s="1"/>
  <c r="BN301" s="1"/>
  <c r="BN313" s="1"/>
  <c r="BN325" s="1"/>
  <c r="BN337" s="1"/>
  <c r="BN349" s="1"/>
  <c r="BN361" s="1"/>
  <c r="B229"/>
  <c r="B241" s="1"/>
  <c r="B253" s="1"/>
  <c r="B265" s="1"/>
  <c r="B277" s="1"/>
  <c r="B289" s="1"/>
  <c r="B301" s="1"/>
  <c r="B313" s="1"/>
  <c r="B325" s="1"/>
  <c r="B337" s="1"/>
  <c r="B349" s="1"/>
  <c r="B361" s="1"/>
  <c r="B373" s="1"/>
  <c r="A229"/>
  <c r="A241" s="1"/>
  <c r="A253" s="1"/>
  <c r="A265" s="1"/>
  <c r="A277" s="1"/>
  <c r="A289" s="1"/>
  <c r="A301" s="1"/>
  <c r="A313" s="1"/>
  <c r="A325" s="1"/>
  <c r="A337" s="1"/>
  <c r="A349" s="1"/>
  <c r="A361" s="1"/>
  <c r="A373" s="1"/>
  <c r="BO228"/>
  <c r="BO240" s="1"/>
  <c r="BO252" s="1"/>
  <c r="BO264" s="1"/>
  <c r="BO276" s="1"/>
  <c r="BO288" s="1"/>
  <c r="BO300" s="1"/>
  <c r="BO312" s="1"/>
  <c r="BO324" s="1"/>
  <c r="BO336" s="1"/>
  <c r="BO348" s="1"/>
  <c r="BO360" s="1"/>
  <c r="BN228"/>
  <c r="BN240" s="1"/>
  <c r="BN252" s="1"/>
  <c r="BN264" s="1"/>
  <c r="BN276" s="1"/>
  <c r="BN288" s="1"/>
  <c r="BN300" s="1"/>
  <c r="BN312" s="1"/>
  <c r="BN324" s="1"/>
  <c r="BN336" s="1"/>
  <c r="BN348" s="1"/>
  <c r="BN360" s="1"/>
  <c r="B228"/>
  <c r="B240" s="1"/>
  <c r="B252" s="1"/>
  <c r="B264" s="1"/>
  <c r="B276" s="1"/>
  <c r="B288" s="1"/>
  <c r="B300" s="1"/>
  <c r="B312" s="1"/>
  <c r="B324" s="1"/>
  <c r="B336" s="1"/>
  <c r="B348" s="1"/>
  <c r="B360" s="1"/>
  <c r="B372" s="1"/>
  <c r="A228"/>
  <c r="A240" s="1"/>
  <c r="A252" s="1"/>
  <c r="A264" s="1"/>
  <c r="A276" s="1"/>
  <c r="A288" s="1"/>
  <c r="A300" s="1"/>
  <c r="A312" s="1"/>
  <c r="A324" s="1"/>
  <c r="A336" s="1"/>
  <c r="A348" s="1"/>
  <c r="A360" s="1"/>
  <c r="A372" s="1"/>
  <c r="BO227"/>
  <c r="BO239" s="1"/>
  <c r="BO251" s="1"/>
  <c r="BO263" s="1"/>
  <c r="BO275" s="1"/>
  <c r="BO287" s="1"/>
  <c r="BO299" s="1"/>
  <c r="BO311" s="1"/>
  <c r="BO323" s="1"/>
  <c r="BO335" s="1"/>
  <c r="BO347" s="1"/>
  <c r="BO359" s="1"/>
  <c r="BO371" s="1"/>
  <c r="BN227"/>
  <c r="BN239" s="1"/>
  <c r="BN251" s="1"/>
  <c r="BN263" s="1"/>
  <c r="BN275" s="1"/>
  <c r="BN287" s="1"/>
  <c r="BN299" s="1"/>
  <c r="BN311" s="1"/>
  <c r="BN323" s="1"/>
  <c r="BN335" s="1"/>
  <c r="BN347" s="1"/>
  <c r="BN359" s="1"/>
  <c r="BN371" s="1"/>
  <c r="B227"/>
  <c r="B239" s="1"/>
  <c r="B251" s="1"/>
  <c r="B263" s="1"/>
  <c r="B275" s="1"/>
  <c r="B287" s="1"/>
  <c r="B299" s="1"/>
  <c r="B311" s="1"/>
  <c r="B323" s="1"/>
  <c r="B335" s="1"/>
  <c r="B347" s="1"/>
  <c r="B359" s="1"/>
  <c r="B371" s="1"/>
  <c r="A227"/>
  <c r="A239" s="1"/>
  <c r="A251" s="1"/>
  <c r="A263" s="1"/>
  <c r="A275" s="1"/>
  <c r="A287" s="1"/>
  <c r="A299" s="1"/>
  <c r="A311" s="1"/>
  <c r="A323" s="1"/>
  <c r="A335" s="1"/>
  <c r="A347" s="1"/>
  <c r="A359" s="1"/>
  <c r="A371" s="1"/>
  <c r="BO226"/>
  <c r="BO238" s="1"/>
  <c r="BO250" s="1"/>
  <c r="BO262" s="1"/>
  <c r="BO274" s="1"/>
  <c r="BO286" s="1"/>
  <c r="BO298" s="1"/>
  <c r="BO310" s="1"/>
  <c r="BO322" s="1"/>
  <c r="BO334" s="1"/>
  <c r="BO346" s="1"/>
  <c r="BO358" s="1"/>
  <c r="BO370" s="1"/>
  <c r="BN226"/>
  <c r="BN238" s="1"/>
  <c r="BN250" s="1"/>
  <c r="BN262" s="1"/>
  <c r="BN274" s="1"/>
  <c r="BN286" s="1"/>
  <c r="BN298" s="1"/>
  <c r="BN310" s="1"/>
  <c r="BN322" s="1"/>
  <c r="BN334" s="1"/>
  <c r="BN346" s="1"/>
  <c r="BN358" s="1"/>
  <c r="BN370" s="1"/>
  <c r="B226"/>
  <c r="B238" s="1"/>
  <c r="B250" s="1"/>
  <c r="B262" s="1"/>
  <c r="B274" s="1"/>
  <c r="B286" s="1"/>
  <c r="B298" s="1"/>
  <c r="B310" s="1"/>
  <c r="B322" s="1"/>
  <c r="B334" s="1"/>
  <c r="B346" s="1"/>
  <c r="B358" s="1"/>
  <c r="B370" s="1"/>
  <c r="A226"/>
  <c r="A238" s="1"/>
  <c r="A250" s="1"/>
  <c r="A262" s="1"/>
  <c r="A274" s="1"/>
  <c r="A286" s="1"/>
  <c r="A298" s="1"/>
  <c r="A310" s="1"/>
  <c r="A322" s="1"/>
  <c r="A334" s="1"/>
  <c r="A346" s="1"/>
  <c r="A358" s="1"/>
  <c r="A370" s="1"/>
  <c r="BO225"/>
  <c r="BO237" s="1"/>
  <c r="BO249" s="1"/>
  <c r="BO261" s="1"/>
  <c r="BO273" s="1"/>
  <c r="BO285" s="1"/>
  <c r="BO297" s="1"/>
  <c r="BO309" s="1"/>
  <c r="BO321" s="1"/>
  <c r="BO333" s="1"/>
  <c r="BO345" s="1"/>
  <c r="BO357" s="1"/>
  <c r="BO369" s="1"/>
  <c r="BN225"/>
  <c r="BN237" s="1"/>
  <c r="BN249" s="1"/>
  <c r="BN261" s="1"/>
  <c r="BN273" s="1"/>
  <c r="BN285" s="1"/>
  <c r="BN297" s="1"/>
  <c r="BN309" s="1"/>
  <c r="BN321" s="1"/>
  <c r="BN333" s="1"/>
  <c r="BN345" s="1"/>
  <c r="BN357" s="1"/>
  <c r="BN369" s="1"/>
  <c r="B225"/>
  <c r="B237" s="1"/>
  <c r="B249" s="1"/>
  <c r="B261" s="1"/>
  <c r="B273" s="1"/>
  <c r="B285" s="1"/>
  <c r="B297" s="1"/>
  <c r="B309" s="1"/>
  <c r="B321" s="1"/>
  <c r="B333" s="1"/>
  <c r="B345" s="1"/>
  <c r="B357" s="1"/>
  <c r="B369" s="1"/>
  <c r="A225"/>
  <c r="A237" s="1"/>
  <c r="A249" s="1"/>
  <c r="A261" s="1"/>
  <c r="A273" s="1"/>
  <c r="A285" s="1"/>
  <c r="A297" s="1"/>
  <c r="A309" s="1"/>
  <c r="A321" s="1"/>
  <c r="A333" s="1"/>
  <c r="A345" s="1"/>
  <c r="A357" s="1"/>
  <c r="A369" s="1"/>
  <c r="BO224"/>
  <c r="BO236" s="1"/>
  <c r="BO248" s="1"/>
  <c r="BO260" s="1"/>
  <c r="BO272" s="1"/>
  <c r="BO284" s="1"/>
  <c r="BO296" s="1"/>
  <c r="BO308" s="1"/>
  <c r="BO320" s="1"/>
  <c r="BO332" s="1"/>
  <c r="BO344" s="1"/>
  <c r="BO356" s="1"/>
  <c r="BO368" s="1"/>
  <c r="BN224"/>
  <c r="BN236" s="1"/>
  <c r="BN248" s="1"/>
  <c r="BN260" s="1"/>
  <c r="BN272" s="1"/>
  <c r="BN284" s="1"/>
  <c r="BN296" s="1"/>
  <c r="BN308" s="1"/>
  <c r="BN320" s="1"/>
  <c r="BN332" s="1"/>
  <c r="BN344" s="1"/>
  <c r="BN356" s="1"/>
  <c r="BN368" s="1"/>
  <c r="B224"/>
  <c r="B236" s="1"/>
  <c r="B248" s="1"/>
  <c r="B260" s="1"/>
  <c r="B272" s="1"/>
  <c r="B284" s="1"/>
  <c r="B296" s="1"/>
  <c r="B308" s="1"/>
  <c r="B320" s="1"/>
  <c r="B332" s="1"/>
  <c r="B344" s="1"/>
  <c r="B356" s="1"/>
  <c r="B368" s="1"/>
  <c r="A224"/>
  <c r="A236" s="1"/>
  <c r="A248" s="1"/>
  <c r="A260" s="1"/>
  <c r="A272" s="1"/>
  <c r="A284" s="1"/>
  <c r="A296" s="1"/>
  <c r="A308" s="1"/>
  <c r="A320" s="1"/>
  <c r="A332" s="1"/>
  <c r="A344" s="1"/>
  <c r="A356" s="1"/>
  <c r="A368" s="1"/>
  <c r="BO223"/>
  <c r="BO235" s="1"/>
  <c r="BO247" s="1"/>
  <c r="BO259" s="1"/>
  <c r="BO271" s="1"/>
  <c r="BO283" s="1"/>
  <c r="BO295" s="1"/>
  <c r="BO307" s="1"/>
  <c r="BO319" s="1"/>
  <c r="BO331" s="1"/>
  <c r="BO343" s="1"/>
  <c r="BO355" s="1"/>
  <c r="BO367" s="1"/>
  <c r="BN223"/>
  <c r="BN235" s="1"/>
  <c r="BN247" s="1"/>
  <c r="BN259" s="1"/>
  <c r="BN271" s="1"/>
  <c r="BN283" s="1"/>
  <c r="BN295" s="1"/>
  <c r="BN307" s="1"/>
  <c r="BN319" s="1"/>
  <c r="BN331" s="1"/>
  <c r="BN343" s="1"/>
  <c r="BN355" s="1"/>
  <c r="BN367" s="1"/>
  <c r="B223"/>
  <c r="B235" s="1"/>
  <c r="B247" s="1"/>
  <c r="B259" s="1"/>
  <c r="B271" s="1"/>
  <c r="B283" s="1"/>
  <c r="B295" s="1"/>
  <c r="B307" s="1"/>
  <c r="B319" s="1"/>
  <c r="B331" s="1"/>
  <c r="B343" s="1"/>
  <c r="B355" s="1"/>
  <c r="B367" s="1"/>
  <c r="A223"/>
  <c r="A235" s="1"/>
  <c r="A247" s="1"/>
  <c r="A259" s="1"/>
  <c r="A271" s="1"/>
  <c r="A283" s="1"/>
  <c r="A295" s="1"/>
  <c r="A307" s="1"/>
  <c r="A319" s="1"/>
  <c r="A331" s="1"/>
  <c r="A343" s="1"/>
  <c r="A355" s="1"/>
  <c r="A367" s="1"/>
  <c r="BO222"/>
  <c r="BO234" s="1"/>
  <c r="BO246" s="1"/>
  <c r="BO258" s="1"/>
  <c r="BO270" s="1"/>
  <c r="BO282" s="1"/>
  <c r="BO294" s="1"/>
  <c r="BO306" s="1"/>
  <c r="BO318" s="1"/>
  <c r="BO330" s="1"/>
  <c r="BO342" s="1"/>
  <c r="BO354" s="1"/>
  <c r="BO366" s="1"/>
  <c r="BN222"/>
  <c r="BN234" s="1"/>
  <c r="BN246" s="1"/>
  <c r="BN258" s="1"/>
  <c r="BN270" s="1"/>
  <c r="BN282" s="1"/>
  <c r="BN294" s="1"/>
  <c r="BN306" s="1"/>
  <c r="BN318" s="1"/>
  <c r="BN330" s="1"/>
  <c r="BN342" s="1"/>
  <c r="BN354" s="1"/>
  <c r="BN366" s="1"/>
  <c r="B222"/>
  <c r="B234" s="1"/>
  <c r="B246" s="1"/>
  <c r="B258" s="1"/>
  <c r="B270" s="1"/>
  <c r="B282" s="1"/>
  <c r="B294" s="1"/>
  <c r="B306" s="1"/>
  <c r="B318" s="1"/>
  <c r="B330" s="1"/>
  <c r="B342" s="1"/>
  <c r="B354" s="1"/>
  <c r="B366" s="1"/>
  <c r="A222"/>
  <c r="A234" s="1"/>
  <c r="A246" s="1"/>
  <c r="A258" s="1"/>
  <c r="A270" s="1"/>
  <c r="A282" s="1"/>
  <c r="A294" s="1"/>
  <c r="A306" s="1"/>
  <c r="A318" s="1"/>
  <c r="A330" s="1"/>
  <c r="A342" s="1"/>
  <c r="A354" s="1"/>
  <c r="A366" s="1"/>
  <c r="BO221"/>
  <c r="BO233" s="1"/>
  <c r="BO245" s="1"/>
  <c r="BO257" s="1"/>
  <c r="BO269" s="1"/>
  <c r="BO281" s="1"/>
  <c r="BO293" s="1"/>
  <c r="BO305" s="1"/>
  <c r="BO317" s="1"/>
  <c r="BO329" s="1"/>
  <c r="BO341" s="1"/>
  <c r="BO353" s="1"/>
  <c r="BO365" s="1"/>
  <c r="BN221"/>
  <c r="BN233" s="1"/>
  <c r="BN245" s="1"/>
  <c r="BN257" s="1"/>
  <c r="BN269" s="1"/>
  <c r="BN281" s="1"/>
  <c r="BN293" s="1"/>
  <c r="BN305" s="1"/>
  <c r="BN317" s="1"/>
  <c r="BN329" s="1"/>
  <c r="BN341" s="1"/>
  <c r="BN353" s="1"/>
  <c r="BN365" s="1"/>
  <c r="B221"/>
  <c r="B233" s="1"/>
  <c r="B245" s="1"/>
  <c r="B257" s="1"/>
  <c r="B269" s="1"/>
  <c r="B281" s="1"/>
  <c r="B293" s="1"/>
  <c r="B305" s="1"/>
  <c r="B317" s="1"/>
  <c r="B329" s="1"/>
  <c r="B341" s="1"/>
  <c r="B353" s="1"/>
  <c r="B365" s="1"/>
  <c r="B377" s="1"/>
  <c r="A221"/>
  <c r="A233" s="1"/>
  <c r="A245" s="1"/>
  <c r="A257" s="1"/>
  <c r="A269" s="1"/>
  <c r="A281" s="1"/>
  <c r="A293" s="1"/>
  <c r="A305" s="1"/>
  <c r="A317" s="1"/>
  <c r="A329" s="1"/>
  <c r="A341" s="1"/>
  <c r="A353" s="1"/>
  <c r="A365" s="1"/>
  <c r="A377" s="1"/>
  <c r="CL7"/>
  <c r="C347" i="7"/>
  <c r="D347"/>
  <c r="E347"/>
  <c r="C347" i="1"/>
  <c r="D347"/>
  <c r="F347" s="1"/>
  <c r="I347"/>
  <c r="M347"/>
  <c r="BA347"/>
  <c r="BE347"/>
  <c r="C347" i="5"/>
  <c r="Z347" s="1"/>
  <c r="D347"/>
  <c r="C347" i="4"/>
  <c r="BP347" s="1"/>
  <c r="D347"/>
  <c r="F347"/>
  <c r="AQ347" i="2"/>
  <c r="AP347"/>
  <c r="AN347"/>
  <c r="AM347"/>
  <c r="C347"/>
  <c r="D347"/>
  <c r="K347"/>
  <c r="N347"/>
  <c r="AZ347"/>
  <c r="BD347"/>
  <c r="C347" i="3"/>
  <c r="D347"/>
  <c r="J347"/>
  <c r="M347"/>
  <c r="AC347"/>
  <c r="AW347"/>
  <c r="AZ347"/>
  <c r="CP347"/>
  <c r="CQ347"/>
  <c r="CS347" s="1"/>
  <c r="CR347"/>
  <c r="CT347"/>
  <c r="C346" i="7"/>
  <c r="D346"/>
  <c r="E346"/>
  <c r="C346" i="1"/>
  <c r="D346"/>
  <c r="F346" s="1"/>
  <c r="I346"/>
  <c r="M346"/>
  <c r="BA346"/>
  <c r="BE346"/>
  <c r="C346" i="5"/>
  <c r="D346"/>
  <c r="C346" i="4"/>
  <c r="D346"/>
  <c r="F346"/>
  <c r="D346" i="9" l="1"/>
  <c r="BP346" i="1"/>
  <c r="BJ347" i="3"/>
  <c r="BP347" i="2"/>
  <c r="BP347" i="1"/>
  <c r="AE347"/>
  <c r="AJ346" i="4"/>
  <c r="BP346"/>
  <c r="C346" i="9"/>
  <c r="BP346" i="5"/>
  <c r="C347" i="9"/>
  <c r="BP347" i="5"/>
  <c r="Z347" i="4"/>
  <c r="AJ347"/>
  <c r="C347" i="10"/>
  <c r="P298"/>
  <c r="G347"/>
  <c r="T298"/>
  <c r="D347" i="9"/>
  <c r="Z346" i="5"/>
  <c r="AO347" i="2"/>
  <c r="C347" i="6"/>
  <c r="Z347" i="7"/>
  <c r="Z346"/>
  <c r="AR347" i="2"/>
  <c r="D347" i="6"/>
  <c r="D347" i="8" s="1"/>
  <c r="AK347" i="2"/>
  <c r="AC347"/>
  <c r="AD347" s="1"/>
  <c r="G347" i="4"/>
  <c r="E347" i="2"/>
  <c r="E347" i="1"/>
  <c r="AJ347" i="2"/>
  <c r="E346" i="1"/>
  <c r="G346" i="4"/>
  <c r="Z346"/>
  <c r="C346" i="2"/>
  <c r="D346"/>
  <c r="K346"/>
  <c r="N346"/>
  <c r="AM346"/>
  <c r="AN346"/>
  <c r="AP346"/>
  <c r="AQ346"/>
  <c r="AZ346"/>
  <c r="BD346"/>
  <c r="CP346" i="3"/>
  <c r="CQ346"/>
  <c r="CS346" s="1"/>
  <c r="CR346"/>
  <c r="CT346"/>
  <c r="C346"/>
  <c r="D346"/>
  <c r="J346"/>
  <c r="M346"/>
  <c r="AC346"/>
  <c r="AW346"/>
  <c r="AZ346"/>
  <c r="BJ346" l="1"/>
  <c r="BP346" i="2"/>
  <c r="AE346" i="1"/>
  <c r="C346" i="10"/>
  <c r="P297"/>
  <c r="G346"/>
  <c r="T297"/>
  <c r="C347" i="8"/>
  <c r="AL347" i="2"/>
  <c r="D346" i="6"/>
  <c r="D346" i="8" s="1"/>
  <c r="AO346" i="2"/>
  <c r="E346"/>
  <c r="C346" i="6"/>
  <c r="AK346" i="2"/>
  <c r="AC346"/>
  <c r="AD346" s="1"/>
  <c r="AJ346"/>
  <c r="AR346"/>
  <c r="CP345" i="3"/>
  <c r="CQ345"/>
  <c r="CS345" s="1"/>
  <c r="CR345"/>
  <c r="CT345"/>
  <c r="C346" i="8" l="1"/>
  <c r="AL346" i="2"/>
  <c r="C345" i="7"/>
  <c r="D345"/>
  <c r="E345"/>
  <c r="C345" i="1"/>
  <c r="D345"/>
  <c r="F345" s="1"/>
  <c r="I345"/>
  <c r="M345"/>
  <c r="BA345"/>
  <c r="BE345"/>
  <c r="C345" i="5"/>
  <c r="D345"/>
  <c r="C345" i="4"/>
  <c r="BP345" s="1"/>
  <c r="D345"/>
  <c r="F345"/>
  <c r="AQ345" i="2"/>
  <c r="AP345"/>
  <c r="AN345"/>
  <c r="AM345"/>
  <c r="C345"/>
  <c r="D345"/>
  <c r="K345"/>
  <c r="N345"/>
  <c r="AZ345"/>
  <c r="BD345"/>
  <c r="D345" i="9" l="1"/>
  <c r="BP345" i="1"/>
  <c r="BP345" i="2"/>
  <c r="C345" i="9"/>
  <c r="BP345" i="5"/>
  <c r="Z345" i="4"/>
  <c r="AJ345"/>
  <c r="Z345" i="5"/>
  <c r="G345" i="4"/>
  <c r="Z345" i="7"/>
  <c r="E345" i="2"/>
  <c r="E345" i="1"/>
  <c r="AJ345" i="2"/>
  <c r="AR345"/>
  <c r="AK345"/>
  <c r="AO345"/>
  <c r="AL345" l="1"/>
  <c r="BA28" i="3" l="1"/>
  <c r="AX28"/>
  <c r="BA27"/>
  <c r="AX27"/>
  <c r="BA26"/>
  <c r="AX26"/>
  <c r="BA25"/>
  <c r="AX25"/>
  <c r="BA24"/>
  <c r="AX24"/>
  <c r="BA23"/>
  <c r="AX23"/>
  <c r="BA22"/>
  <c r="AX22"/>
  <c r="BA21"/>
  <c r="AX21"/>
  <c r="BA20"/>
  <c r="AX20"/>
  <c r="BA19"/>
  <c r="AX19"/>
  <c r="BA18"/>
  <c r="AX18"/>
  <c r="BA17"/>
  <c r="AX17"/>
  <c r="AW345"/>
  <c r="AW344"/>
  <c r="AW343"/>
  <c r="AW342"/>
  <c r="AW341"/>
  <c r="AW340"/>
  <c r="AW339"/>
  <c r="AW338"/>
  <c r="AW337"/>
  <c r="AW336"/>
  <c r="AW335"/>
  <c r="AW334"/>
  <c r="AW333"/>
  <c r="AW332"/>
  <c r="AW331"/>
  <c r="AW330"/>
  <c r="AW329"/>
  <c r="AW328"/>
  <c r="AW327"/>
  <c r="AW326"/>
  <c r="AW325"/>
  <c r="AW324"/>
  <c r="AW323"/>
  <c r="AW322"/>
  <c r="AW321"/>
  <c r="AW320"/>
  <c r="AW319"/>
  <c r="AW318"/>
  <c r="AW317"/>
  <c r="AW316"/>
  <c r="AW315"/>
  <c r="AW314"/>
  <c r="AW313"/>
  <c r="AW312"/>
  <c r="AW311"/>
  <c r="AW310"/>
  <c r="AW309"/>
  <c r="AW308"/>
  <c r="AW307"/>
  <c r="AW306"/>
  <c r="AW305"/>
  <c r="AW304"/>
  <c r="AW303"/>
  <c r="AW302"/>
  <c r="AW301"/>
  <c r="AW300"/>
  <c r="AW299"/>
  <c r="AW298"/>
  <c r="AW297"/>
  <c r="AW296"/>
  <c r="AW295"/>
  <c r="AW294"/>
  <c r="AW293"/>
  <c r="AW292"/>
  <c r="AW291"/>
  <c r="AW290"/>
  <c r="AW289"/>
  <c r="AW288"/>
  <c r="AW287"/>
  <c r="AW286"/>
  <c r="AW285"/>
  <c r="AW284"/>
  <c r="AW283"/>
  <c r="AW282"/>
  <c r="AW281"/>
  <c r="AW280"/>
  <c r="AW279"/>
  <c r="AW278"/>
  <c r="AW277"/>
  <c r="AW276"/>
  <c r="AW275"/>
  <c r="AW274"/>
  <c r="AW273"/>
  <c r="AW272"/>
  <c r="AW271"/>
  <c r="AW270"/>
  <c r="AW269"/>
  <c r="AW268"/>
  <c r="AW267"/>
  <c r="AW266"/>
  <c r="AW265"/>
  <c r="AW264"/>
  <c r="AW263"/>
  <c r="AW262"/>
  <c r="AW261"/>
  <c r="AW260"/>
  <c r="AW259"/>
  <c r="AW258"/>
  <c r="AW257"/>
  <c r="AW256"/>
  <c r="AW255"/>
  <c r="AW254"/>
  <c r="AW253"/>
  <c r="AW252"/>
  <c r="AW251"/>
  <c r="AW250"/>
  <c r="AW249"/>
  <c r="AW248"/>
  <c r="AW247"/>
  <c r="AW246"/>
  <c r="AW245"/>
  <c r="AW244"/>
  <c r="AW243"/>
  <c r="AW242"/>
  <c r="AW241"/>
  <c r="AW240"/>
  <c r="AW239"/>
  <c r="AW238"/>
  <c r="AW237"/>
  <c r="AW236"/>
  <c r="AW235"/>
  <c r="AW234"/>
  <c r="AW233"/>
  <c r="AW232"/>
  <c r="AW231"/>
  <c r="AW230"/>
  <c r="AW229"/>
  <c r="AW228"/>
  <c r="AW227"/>
  <c r="AW226"/>
  <c r="AW225"/>
  <c r="AW224"/>
  <c r="AW223"/>
  <c r="AW222"/>
  <c r="AW221"/>
  <c r="AW220"/>
  <c r="AW219"/>
  <c r="AW218"/>
  <c r="AW217"/>
  <c r="AW216"/>
  <c r="AW215"/>
  <c r="AW214"/>
  <c r="AW213"/>
  <c r="AW212"/>
  <c r="AW211"/>
  <c r="AW210"/>
  <c r="AW209"/>
  <c r="AW208"/>
  <c r="AW207"/>
  <c r="AW206"/>
  <c r="AW205"/>
  <c r="AW204"/>
  <c r="AW203"/>
  <c r="AW202"/>
  <c r="AW201"/>
  <c r="AW200"/>
  <c r="AW199"/>
  <c r="AW198"/>
  <c r="AW197"/>
  <c r="AW196"/>
  <c r="AW195"/>
  <c r="AW194"/>
  <c r="AW193"/>
  <c r="AW192"/>
  <c r="AW191"/>
  <c r="AW190"/>
  <c r="AW189"/>
  <c r="AW188"/>
  <c r="AW187"/>
  <c r="AW186"/>
  <c r="AW185"/>
  <c r="AW184"/>
  <c r="AW183"/>
  <c r="AW182"/>
  <c r="AW181"/>
  <c r="AW180"/>
  <c r="AW179"/>
  <c r="AW178"/>
  <c r="AW177"/>
  <c r="AW176"/>
  <c r="AW175"/>
  <c r="AW174"/>
  <c r="AW173"/>
  <c r="AW172"/>
  <c r="AW171"/>
  <c r="AW170"/>
  <c r="AW169"/>
  <c r="AW168"/>
  <c r="AW167"/>
  <c r="AW166"/>
  <c r="AW165"/>
  <c r="AW164"/>
  <c r="AW163"/>
  <c r="AW162"/>
  <c r="AW161"/>
  <c r="AW160"/>
  <c r="AW159"/>
  <c r="AW158"/>
  <c r="AW157"/>
  <c r="AW156"/>
  <c r="AW155"/>
  <c r="AW154"/>
  <c r="AW153"/>
  <c r="AW152"/>
  <c r="AW151"/>
  <c r="AW150"/>
  <c r="AW149"/>
  <c r="AW148"/>
  <c r="AW147"/>
  <c r="AW146"/>
  <c r="AW145"/>
  <c r="AW144"/>
  <c r="AW143"/>
  <c r="AW142"/>
  <c r="AW141"/>
  <c r="AW140"/>
  <c r="AW139"/>
  <c r="AW138"/>
  <c r="AW137"/>
  <c r="AW136"/>
  <c r="AW135"/>
  <c r="AW134"/>
  <c r="AW133"/>
  <c r="AW132"/>
  <c r="AW131"/>
  <c r="AW130"/>
  <c r="AW129"/>
  <c r="AW128"/>
  <c r="AW127"/>
  <c r="AW126"/>
  <c r="AW125"/>
  <c r="AW124"/>
  <c r="AW123"/>
  <c r="AW122"/>
  <c r="AW121"/>
  <c r="AW120"/>
  <c r="AW119"/>
  <c r="AW118"/>
  <c r="AW117"/>
  <c r="AW116"/>
  <c r="AW115"/>
  <c r="AW114"/>
  <c r="AW113"/>
  <c r="AW112"/>
  <c r="AW111"/>
  <c r="AW110"/>
  <c r="AW109"/>
  <c r="AW108"/>
  <c r="AW107"/>
  <c r="AW106"/>
  <c r="AW105"/>
  <c r="AW104"/>
  <c r="AW103"/>
  <c r="AW102"/>
  <c r="AW101"/>
  <c r="AW100"/>
  <c r="AW99"/>
  <c r="AW98"/>
  <c r="AW97"/>
  <c r="AW96"/>
  <c r="AW95"/>
  <c r="AW94"/>
  <c r="AW93"/>
  <c r="AW92"/>
  <c r="AW91"/>
  <c r="AW90"/>
  <c r="AW89"/>
  <c r="AW88"/>
  <c r="AW87"/>
  <c r="AW86"/>
  <c r="AW85"/>
  <c r="AW84"/>
  <c r="AW83"/>
  <c r="AW82"/>
  <c r="AW81"/>
  <c r="AW80"/>
  <c r="AW79"/>
  <c r="AW78"/>
  <c r="AW77"/>
  <c r="AW76"/>
  <c r="AW75"/>
  <c r="AW74"/>
  <c r="AW73"/>
  <c r="AW72"/>
  <c r="AW71"/>
  <c r="AW70"/>
  <c r="AW69"/>
  <c r="AW68"/>
  <c r="AW67"/>
  <c r="AW66"/>
  <c r="AW65"/>
  <c r="AW64"/>
  <c r="AW63"/>
  <c r="AW62"/>
  <c r="AW61"/>
  <c r="AW60"/>
  <c r="AW59"/>
  <c r="AW58"/>
  <c r="AW57"/>
  <c r="AW56"/>
  <c r="AW55"/>
  <c r="AW54"/>
  <c r="AW53"/>
  <c r="AW52"/>
  <c r="AW51"/>
  <c r="AW50"/>
  <c r="AW49"/>
  <c r="AW48"/>
  <c r="AW47"/>
  <c r="AW46"/>
  <c r="AW45"/>
  <c r="AW44"/>
  <c r="AW43"/>
  <c r="AW42"/>
  <c r="AW41"/>
  <c r="AW40"/>
  <c r="AW39"/>
  <c r="AW38"/>
  <c r="AW37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Z345"/>
  <c r="AZ344"/>
  <c r="AZ343"/>
  <c r="AZ342"/>
  <c r="AZ341"/>
  <c r="AZ340"/>
  <c r="AZ339"/>
  <c r="AZ338"/>
  <c r="AZ337"/>
  <c r="AZ336"/>
  <c r="AZ335"/>
  <c r="AZ334"/>
  <c r="AZ333"/>
  <c r="AZ332"/>
  <c r="AZ331"/>
  <c r="AZ330"/>
  <c r="AZ329"/>
  <c r="AZ328"/>
  <c r="AZ327"/>
  <c r="AZ326"/>
  <c r="AZ325"/>
  <c r="AZ324"/>
  <c r="AZ323"/>
  <c r="AZ322"/>
  <c r="AZ321"/>
  <c r="AZ320"/>
  <c r="AZ319"/>
  <c r="AZ318"/>
  <c r="AZ317"/>
  <c r="AZ316"/>
  <c r="AZ315"/>
  <c r="AZ314"/>
  <c r="AZ313"/>
  <c r="AZ312"/>
  <c r="AZ311"/>
  <c r="AZ310"/>
  <c r="AZ309"/>
  <c r="AZ308"/>
  <c r="AZ307"/>
  <c r="AZ306"/>
  <c r="AZ305"/>
  <c r="AZ304"/>
  <c r="AZ303"/>
  <c r="AZ302"/>
  <c r="AZ301"/>
  <c r="AZ300"/>
  <c r="AZ299"/>
  <c r="AZ298"/>
  <c r="AZ297"/>
  <c r="AZ296"/>
  <c r="AZ295"/>
  <c r="AZ294"/>
  <c r="AZ293"/>
  <c r="AZ292"/>
  <c r="AZ291"/>
  <c r="AZ290"/>
  <c r="AZ289"/>
  <c r="AZ288"/>
  <c r="AZ287"/>
  <c r="AZ286"/>
  <c r="AZ285"/>
  <c r="AZ284"/>
  <c r="AZ283"/>
  <c r="AZ282"/>
  <c r="AZ281"/>
  <c r="AZ280"/>
  <c r="AZ279"/>
  <c r="AZ278"/>
  <c r="AZ277"/>
  <c r="AZ276"/>
  <c r="AZ275"/>
  <c r="AZ274"/>
  <c r="AZ273"/>
  <c r="AZ272"/>
  <c r="AZ271"/>
  <c r="AZ270"/>
  <c r="AZ269"/>
  <c r="AZ268"/>
  <c r="AZ267"/>
  <c r="AZ266"/>
  <c r="AZ265"/>
  <c r="AZ264"/>
  <c r="AZ263"/>
  <c r="AZ262"/>
  <c r="AZ261"/>
  <c r="AZ260"/>
  <c r="AZ259"/>
  <c r="AZ258"/>
  <c r="AZ257"/>
  <c r="AZ256"/>
  <c r="AZ255"/>
  <c r="AZ254"/>
  <c r="AZ253"/>
  <c r="AZ252"/>
  <c r="AZ251"/>
  <c r="AZ250"/>
  <c r="AZ249"/>
  <c r="AZ248"/>
  <c r="AZ247"/>
  <c r="AZ246"/>
  <c r="AZ245"/>
  <c r="AZ244"/>
  <c r="AZ243"/>
  <c r="AZ242"/>
  <c r="AZ241"/>
  <c r="AZ240"/>
  <c r="AZ239"/>
  <c r="AZ238"/>
  <c r="AZ237"/>
  <c r="AZ236"/>
  <c r="AZ235"/>
  <c r="AZ234"/>
  <c r="AZ233"/>
  <c r="AZ232"/>
  <c r="AZ231"/>
  <c r="AZ230"/>
  <c r="AZ229"/>
  <c r="AZ228"/>
  <c r="AZ227"/>
  <c r="AZ226"/>
  <c r="AZ225"/>
  <c r="AZ224"/>
  <c r="AZ223"/>
  <c r="AZ222"/>
  <c r="AZ221"/>
  <c r="AZ220"/>
  <c r="AZ219"/>
  <c r="AZ218"/>
  <c r="AZ217"/>
  <c r="AZ216"/>
  <c r="AZ215"/>
  <c r="AZ214"/>
  <c r="AZ213"/>
  <c r="AZ212"/>
  <c r="AZ211"/>
  <c r="AZ210"/>
  <c r="AZ209"/>
  <c r="AZ208"/>
  <c r="AZ207"/>
  <c r="AZ206"/>
  <c r="AZ205"/>
  <c r="AZ204"/>
  <c r="AZ203"/>
  <c r="AZ202"/>
  <c r="AZ201"/>
  <c r="AZ200"/>
  <c r="AZ199"/>
  <c r="AZ198"/>
  <c r="AZ197"/>
  <c r="AZ196"/>
  <c r="AZ195"/>
  <c r="AZ194"/>
  <c r="AZ193"/>
  <c r="AZ192"/>
  <c r="AZ191"/>
  <c r="AZ190"/>
  <c r="AZ189"/>
  <c r="AZ188"/>
  <c r="AZ187"/>
  <c r="AZ186"/>
  <c r="AZ185"/>
  <c r="AZ184"/>
  <c r="AZ183"/>
  <c r="AZ182"/>
  <c r="AZ181"/>
  <c r="AZ180"/>
  <c r="AZ179"/>
  <c r="AZ178"/>
  <c r="AZ177"/>
  <c r="AZ176"/>
  <c r="AZ175"/>
  <c r="AZ174"/>
  <c r="AZ173"/>
  <c r="AZ172"/>
  <c r="AZ171"/>
  <c r="AZ170"/>
  <c r="AZ169"/>
  <c r="AZ168"/>
  <c r="AZ167"/>
  <c r="AZ166"/>
  <c r="AZ165"/>
  <c r="AZ164"/>
  <c r="AZ163"/>
  <c r="AZ162"/>
  <c r="AZ161"/>
  <c r="AZ160"/>
  <c r="AZ159"/>
  <c r="AZ158"/>
  <c r="AZ157"/>
  <c r="AZ156"/>
  <c r="AZ155"/>
  <c r="AZ154"/>
  <c r="AZ153"/>
  <c r="AZ152"/>
  <c r="AZ151"/>
  <c r="AZ150"/>
  <c r="AZ149"/>
  <c r="AZ148"/>
  <c r="AZ147"/>
  <c r="AZ146"/>
  <c r="AZ145"/>
  <c r="AZ144"/>
  <c r="AZ143"/>
  <c r="AZ142"/>
  <c r="AZ141"/>
  <c r="AZ140"/>
  <c r="AZ139"/>
  <c r="AZ138"/>
  <c r="AZ137"/>
  <c r="AZ136"/>
  <c r="AZ135"/>
  <c r="AZ134"/>
  <c r="AZ133"/>
  <c r="AZ132"/>
  <c r="AZ131"/>
  <c r="AZ130"/>
  <c r="AZ129"/>
  <c r="AZ128"/>
  <c r="AZ127"/>
  <c r="AZ126"/>
  <c r="AZ125"/>
  <c r="AZ124"/>
  <c r="AZ123"/>
  <c r="AZ122"/>
  <c r="AZ121"/>
  <c r="AZ120"/>
  <c r="AZ119"/>
  <c r="AZ118"/>
  <c r="AZ117"/>
  <c r="AZ116"/>
  <c r="AZ115"/>
  <c r="AZ114"/>
  <c r="AZ113"/>
  <c r="AZ112"/>
  <c r="AZ111"/>
  <c r="AZ110"/>
  <c r="AZ109"/>
  <c r="AZ108"/>
  <c r="AZ107"/>
  <c r="AZ106"/>
  <c r="AZ105"/>
  <c r="AZ104"/>
  <c r="AZ103"/>
  <c r="AZ102"/>
  <c r="AZ101"/>
  <c r="AZ100"/>
  <c r="AZ99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BE28" i="2"/>
  <c r="BE27"/>
  <c r="BE26"/>
  <c r="BE25"/>
  <c r="BE24"/>
  <c r="BE23"/>
  <c r="BE22"/>
  <c r="BE21"/>
  <c r="BE20"/>
  <c r="BE19"/>
  <c r="BE18"/>
  <c r="BE17"/>
  <c r="BA28"/>
  <c r="BA27"/>
  <c r="BA26"/>
  <c r="BA25"/>
  <c r="BA24"/>
  <c r="BA23"/>
  <c r="BA22"/>
  <c r="BA21"/>
  <c r="BA20"/>
  <c r="BA19"/>
  <c r="BA18"/>
  <c r="BA17"/>
  <c r="BD344"/>
  <c r="BD343"/>
  <c r="BD342"/>
  <c r="BD341"/>
  <c r="BD340"/>
  <c r="BD339"/>
  <c r="BD338"/>
  <c r="BD337"/>
  <c r="BD336"/>
  <c r="BD335"/>
  <c r="BD334"/>
  <c r="BD333"/>
  <c r="BD332"/>
  <c r="BD331"/>
  <c r="BD330"/>
  <c r="BD329"/>
  <c r="BD328"/>
  <c r="BD327"/>
  <c r="BD326"/>
  <c r="BD325"/>
  <c r="BD324"/>
  <c r="BD323"/>
  <c r="BD322"/>
  <c r="BD321"/>
  <c r="BD320"/>
  <c r="BD319"/>
  <c r="BD318"/>
  <c r="BD317"/>
  <c r="BD316"/>
  <c r="BD315"/>
  <c r="BD314"/>
  <c r="BD313"/>
  <c r="BD312"/>
  <c r="BD311"/>
  <c r="BD310"/>
  <c r="BD309"/>
  <c r="BD308"/>
  <c r="BD307"/>
  <c r="BD306"/>
  <c r="BD305"/>
  <c r="BD304"/>
  <c r="BD303"/>
  <c r="BD302"/>
  <c r="BD301"/>
  <c r="BD300"/>
  <c r="BD299"/>
  <c r="BD298"/>
  <c r="BD297"/>
  <c r="BD296"/>
  <c r="BD295"/>
  <c r="BD294"/>
  <c r="BD293"/>
  <c r="BD292"/>
  <c r="BD291"/>
  <c r="BD290"/>
  <c r="BD289"/>
  <c r="BD288"/>
  <c r="BD287"/>
  <c r="BD286"/>
  <c r="BD285"/>
  <c r="BD284"/>
  <c r="BD283"/>
  <c r="BD282"/>
  <c r="BD281"/>
  <c r="BD280"/>
  <c r="BD279"/>
  <c r="BD278"/>
  <c r="BD277"/>
  <c r="BD276"/>
  <c r="BD275"/>
  <c r="BD274"/>
  <c r="BD273"/>
  <c r="BD272"/>
  <c r="BD271"/>
  <c r="BD270"/>
  <c r="BD269"/>
  <c r="BD268"/>
  <c r="BD267"/>
  <c r="BD266"/>
  <c r="BD265"/>
  <c r="BD264"/>
  <c r="BD263"/>
  <c r="BD262"/>
  <c r="BD261"/>
  <c r="BD260"/>
  <c r="BD259"/>
  <c r="BD258"/>
  <c r="BD257"/>
  <c r="BD256"/>
  <c r="BD255"/>
  <c r="BD254"/>
  <c r="BD253"/>
  <c r="BD252"/>
  <c r="BD251"/>
  <c r="BD250"/>
  <c r="BD249"/>
  <c r="BD248"/>
  <c r="BD247"/>
  <c r="BD246"/>
  <c r="BD245"/>
  <c r="BD244"/>
  <c r="BD243"/>
  <c r="BD242"/>
  <c r="BD241"/>
  <c r="BD240"/>
  <c r="BD239"/>
  <c r="BD238"/>
  <c r="BD237"/>
  <c r="BD236"/>
  <c r="BD235"/>
  <c r="BD234"/>
  <c r="BD233"/>
  <c r="BD232"/>
  <c r="BD231"/>
  <c r="BD230"/>
  <c r="BD229"/>
  <c r="BD228"/>
  <c r="BD227"/>
  <c r="BD226"/>
  <c r="BD225"/>
  <c r="BD224"/>
  <c r="BD223"/>
  <c r="BD222"/>
  <c r="BD221"/>
  <c r="BD220"/>
  <c r="BD219"/>
  <c r="BD218"/>
  <c r="BD217"/>
  <c r="BD216"/>
  <c r="BD215"/>
  <c r="BD214"/>
  <c r="BD213"/>
  <c r="BD212"/>
  <c r="BD211"/>
  <c r="BD210"/>
  <c r="BD209"/>
  <c r="BD208"/>
  <c r="BD207"/>
  <c r="BD206"/>
  <c r="BD205"/>
  <c r="BD204"/>
  <c r="BD203"/>
  <c r="BD202"/>
  <c r="BD201"/>
  <c r="BD200"/>
  <c r="BD199"/>
  <c r="BD198"/>
  <c r="BD197"/>
  <c r="BD196"/>
  <c r="BD195"/>
  <c r="BD194"/>
  <c r="BD193"/>
  <c r="BD192"/>
  <c r="BD191"/>
  <c r="BD190"/>
  <c r="BD189"/>
  <c r="BD188"/>
  <c r="BD187"/>
  <c r="BD186"/>
  <c r="BD185"/>
  <c r="BD184"/>
  <c r="BD183"/>
  <c r="BD182"/>
  <c r="BD181"/>
  <c r="BD180"/>
  <c r="BD179"/>
  <c r="BD178"/>
  <c r="BD177"/>
  <c r="BD176"/>
  <c r="BD175"/>
  <c r="BD174"/>
  <c r="BD173"/>
  <c r="BD172"/>
  <c r="BD171"/>
  <c r="BD170"/>
  <c r="BD169"/>
  <c r="BD168"/>
  <c r="BD167"/>
  <c r="BD166"/>
  <c r="BD165"/>
  <c r="BD164"/>
  <c r="BD163"/>
  <c r="BD162"/>
  <c r="BD161"/>
  <c r="BD160"/>
  <c r="BD159"/>
  <c r="BD158"/>
  <c r="BD157"/>
  <c r="BD156"/>
  <c r="BD155"/>
  <c r="BD154"/>
  <c r="BD153"/>
  <c r="BD152"/>
  <c r="BD151"/>
  <c r="BD150"/>
  <c r="BD149"/>
  <c r="BD148"/>
  <c r="BD147"/>
  <c r="BD146"/>
  <c r="BD145"/>
  <c r="BD144"/>
  <c r="BD143"/>
  <c r="BD142"/>
  <c r="BD141"/>
  <c r="BD140"/>
  <c r="BD139"/>
  <c r="BD138"/>
  <c r="BD137"/>
  <c r="BD136"/>
  <c r="BD135"/>
  <c r="BD134"/>
  <c r="BD133"/>
  <c r="BD132"/>
  <c r="BD131"/>
  <c r="BD130"/>
  <c r="BD129"/>
  <c r="BD128"/>
  <c r="BD127"/>
  <c r="BD126"/>
  <c r="BD125"/>
  <c r="BD124"/>
  <c r="BD123"/>
  <c r="BD122"/>
  <c r="BD121"/>
  <c r="BD120"/>
  <c r="BD119"/>
  <c r="BD118"/>
  <c r="BD117"/>
  <c r="BD116"/>
  <c r="BD115"/>
  <c r="BD114"/>
  <c r="BD113"/>
  <c r="BD112"/>
  <c r="BD111"/>
  <c r="BD110"/>
  <c r="BD109"/>
  <c r="BD108"/>
  <c r="BD107"/>
  <c r="BD106"/>
  <c r="BD105"/>
  <c r="BD104"/>
  <c r="BD103"/>
  <c r="BD102"/>
  <c r="BD101"/>
  <c r="BD100"/>
  <c r="BD99"/>
  <c r="BD98"/>
  <c r="BD97"/>
  <c r="BD96"/>
  <c r="BD95"/>
  <c r="BD94"/>
  <c r="BD93"/>
  <c r="BD92"/>
  <c r="BD91"/>
  <c r="BD90"/>
  <c r="BD89"/>
  <c r="BD88"/>
  <c r="BD87"/>
  <c r="BD86"/>
  <c r="BD85"/>
  <c r="BD84"/>
  <c r="BD83"/>
  <c r="BD82"/>
  <c r="BD81"/>
  <c r="BD80"/>
  <c r="BD79"/>
  <c r="BD78"/>
  <c r="BD77"/>
  <c r="BD76"/>
  <c r="BD75"/>
  <c r="BD74"/>
  <c r="BD73"/>
  <c r="BD72"/>
  <c r="BD71"/>
  <c r="BD70"/>
  <c r="BD69"/>
  <c r="BD68"/>
  <c r="BD67"/>
  <c r="BD66"/>
  <c r="BD65"/>
  <c r="BD64"/>
  <c r="BD63"/>
  <c r="BD62"/>
  <c r="BD61"/>
  <c r="BD60"/>
  <c r="BD59"/>
  <c r="BD58"/>
  <c r="BD57"/>
  <c r="BD56"/>
  <c r="BD55"/>
  <c r="BD54"/>
  <c r="BD53"/>
  <c r="BD52"/>
  <c r="BD51"/>
  <c r="BD50"/>
  <c r="BD49"/>
  <c r="BD48"/>
  <c r="BD47"/>
  <c r="BD46"/>
  <c r="BD45"/>
  <c r="BD44"/>
  <c r="BD43"/>
  <c r="BD42"/>
  <c r="BD41"/>
  <c r="BD40"/>
  <c r="BD39"/>
  <c r="BD38"/>
  <c r="BD37"/>
  <c r="BD36"/>
  <c r="BD35"/>
  <c r="BD34"/>
  <c r="BD33"/>
  <c r="BD32"/>
  <c r="BD31"/>
  <c r="BD30"/>
  <c r="BD29"/>
  <c r="BD28"/>
  <c r="BD27"/>
  <c r="BD26"/>
  <c r="BD25"/>
  <c r="BD24"/>
  <c r="BD23"/>
  <c r="BD22"/>
  <c r="BD21"/>
  <c r="BD20"/>
  <c r="BD19"/>
  <c r="BD18"/>
  <c r="BD17"/>
  <c r="AZ344"/>
  <c r="AZ343"/>
  <c r="AZ342"/>
  <c r="AZ341"/>
  <c r="AZ340"/>
  <c r="AZ339"/>
  <c r="AZ338"/>
  <c r="AZ337"/>
  <c r="AZ336"/>
  <c r="AZ335"/>
  <c r="AZ334"/>
  <c r="AZ333"/>
  <c r="AZ332"/>
  <c r="AZ331"/>
  <c r="AZ330"/>
  <c r="AZ329"/>
  <c r="AZ328"/>
  <c r="AZ327"/>
  <c r="AZ326"/>
  <c r="AZ325"/>
  <c r="AZ324"/>
  <c r="AZ323"/>
  <c r="AZ322"/>
  <c r="AZ321"/>
  <c r="AZ320"/>
  <c r="AZ319"/>
  <c r="AZ318"/>
  <c r="AZ317"/>
  <c r="AZ316"/>
  <c r="AZ315"/>
  <c r="AZ314"/>
  <c r="AZ313"/>
  <c r="AZ312"/>
  <c r="AZ311"/>
  <c r="AZ310"/>
  <c r="AZ309"/>
  <c r="AZ308"/>
  <c r="AZ307"/>
  <c r="AZ306"/>
  <c r="AZ305"/>
  <c r="AZ304"/>
  <c r="AZ303"/>
  <c r="AZ302"/>
  <c r="AZ301"/>
  <c r="AZ300"/>
  <c r="AZ299"/>
  <c r="AZ298"/>
  <c r="AZ297"/>
  <c r="AZ296"/>
  <c r="AZ295"/>
  <c r="AZ294"/>
  <c r="AZ293"/>
  <c r="AZ292"/>
  <c r="AZ291"/>
  <c r="AZ290"/>
  <c r="AZ289"/>
  <c r="AZ288"/>
  <c r="AZ287"/>
  <c r="AZ286"/>
  <c r="AZ285"/>
  <c r="AZ284"/>
  <c r="AZ283"/>
  <c r="AZ282"/>
  <c r="AZ281"/>
  <c r="AZ280"/>
  <c r="AZ279"/>
  <c r="AZ278"/>
  <c r="AZ277"/>
  <c r="AZ276"/>
  <c r="AZ275"/>
  <c r="AZ274"/>
  <c r="AZ273"/>
  <c r="AZ272"/>
  <c r="AZ271"/>
  <c r="AZ270"/>
  <c r="AZ269"/>
  <c r="AZ268"/>
  <c r="AZ267"/>
  <c r="AZ266"/>
  <c r="AZ265"/>
  <c r="AZ264"/>
  <c r="AZ263"/>
  <c r="AZ262"/>
  <c r="AZ261"/>
  <c r="AZ260"/>
  <c r="AZ259"/>
  <c r="AZ258"/>
  <c r="AZ257"/>
  <c r="AZ256"/>
  <c r="AZ255"/>
  <c r="AZ254"/>
  <c r="AZ253"/>
  <c r="AZ252"/>
  <c r="AZ251"/>
  <c r="AZ250"/>
  <c r="AZ249"/>
  <c r="AZ248"/>
  <c r="AZ247"/>
  <c r="AZ246"/>
  <c r="AZ245"/>
  <c r="AZ244"/>
  <c r="AZ243"/>
  <c r="AZ242"/>
  <c r="AZ241"/>
  <c r="AZ240"/>
  <c r="AZ239"/>
  <c r="AZ238"/>
  <c r="AZ237"/>
  <c r="AZ236"/>
  <c r="AZ235"/>
  <c r="AZ234"/>
  <c r="AZ233"/>
  <c r="AZ232"/>
  <c r="AZ231"/>
  <c r="AZ230"/>
  <c r="AZ229"/>
  <c r="AZ228"/>
  <c r="AZ227"/>
  <c r="AZ226"/>
  <c r="AZ225"/>
  <c r="AZ224"/>
  <c r="AZ223"/>
  <c r="AZ222"/>
  <c r="AZ221"/>
  <c r="AZ220"/>
  <c r="AZ219"/>
  <c r="AZ218"/>
  <c r="AZ217"/>
  <c r="AZ216"/>
  <c r="AZ215"/>
  <c r="AZ214"/>
  <c r="AZ213"/>
  <c r="AZ212"/>
  <c r="AZ211"/>
  <c r="AZ210"/>
  <c r="AZ209"/>
  <c r="AZ208"/>
  <c r="AZ207"/>
  <c r="AZ206"/>
  <c r="AZ205"/>
  <c r="AZ204"/>
  <c r="AZ203"/>
  <c r="AZ202"/>
  <c r="AZ201"/>
  <c r="AZ200"/>
  <c r="AZ199"/>
  <c r="AZ198"/>
  <c r="AZ197"/>
  <c r="AZ196"/>
  <c r="AZ195"/>
  <c r="AZ194"/>
  <c r="AZ193"/>
  <c r="AZ192"/>
  <c r="AZ191"/>
  <c r="AZ190"/>
  <c r="AZ189"/>
  <c r="AZ188"/>
  <c r="AZ187"/>
  <c r="AZ186"/>
  <c r="AZ185"/>
  <c r="AZ184"/>
  <c r="AZ183"/>
  <c r="AZ182"/>
  <c r="AZ181"/>
  <c r="AZ180"/>
  <c r="AZ179"/>
  <c r="AZ178"/>
  <c r="AZ177"/>
  <c r="AZ176"/>
  <c r="AZ175"/>
  <c r="AZ174"/>
  <c r="AZ173"/>
  <c r="AZ172"/>
  <c r="AZ171"/>
  <c r="AZ170"/>
  <c r="AZ169"/>
  <c r="AZ168"/>
  <c r="AZ167"/>
  <c r="AZ166"/>
  <c r="AZ165"/>
  <c r="AZ164"/>
  <c r="AZ163"/>
  <c r="AZ162"/>
  <c r="AZ161"/>
  <c r="AZ160"/>
  <c r="AZ159"/>
  <c r="AZ158"/>
  <c r="AZ157"/>
  <c r="AZ156"/>
  <c r="AZ155"/>
  <c r="AZ154"/>
  <c r="AZ153"/>
  <c r="AZ152"/>
  <c r="AZ151"/>
  <c r="AZ150"/>
  <c r="AZ149"/>
  <c r="AZ148"/>
  <c r="AZ147"/>
  <c r="AZ146"/>
  <c r="AZ145"/>
  <c r="AZ144"/>
  <c r="AZ143"/>
  <c r="AZ142"/>
  <c r="AZ141"/>
  <c r="AZ140"/>
  <c r="AZ139"/>
  <c r="AZ138"/>
  <c r="AZ137"/>
  <c r="AZ136"/>
  <c r="AZ135"/>
  <c r="AZ134"/>
  <c r="AZ133"/>
  <c r="AZ132"/>
  <c r="AZ131"/>
  <c r="AZ130"/>
  <c r="AZ129"/>
  <c r="AZ128"/>
  <c r="AZ127"/>
  <c r="AZ126"/>
  <c r="AZ125"/>
  <c r="AZ124"/>
  <c r="AZ123"/>
  <c r="AZ122"/>
  <c r="AZ121"/>
  <c r="AZ120"/>
  <c r="AZ119"/>
  <c r="AZ118"/>
  <c r="AZ117"/>
  <c r="AZ116"/>
  <c r="AZ115"/>
  <c r="AZ114"/>
  <c r="AZ113"/>
  <c r="AZ112"/>
  <c r="AZ111"/>
  <c r="AZ110"/>
  <c r="AZ109"/>
  <c r="AZ108"/>
  <c r="AZ107"/>
  <c r="AZ106"/>
  <c r="AZ105"/>
  <c r="AZ104"/>
  <c r="AZ103"/>
  <c r="AZ102"/>
  <c r="AZ101"/>
  <c r="AZ100"/>
  <c r="AZ99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BF28" i="1"/>
  <c r="BF27"/>
  <c r="BF26"/>
  <c r="BF25"/>
  <c r="BF24"/>
  <c r="BF23"/>
  <c r="BF22"/>
  <c r="BF21"/>
  <c r="BF20"/>
  <c r="BF19"/>
  <c r="BF18"/>
  <c r="BF17"/>
  <c r="BB28"/>
  <c r="BB27"/>
  <c r="BB26"/>
  <c r="BB25"/>
  <c r="BB24"/>
  <c r="BB23"/>
  <c r="BB22"/>
  <c r="BB21"/>
  <c r="BB20"/>
  <c r="BB19"/>
  <c r="BB18"/>
  <c r="BB17"/>
  <c r="BE344"/>
  <c r="BE343"/>
  <c r="BE342"/>
  <c r="BE341"/>
  <c r="BE340"/>
  <c r="BE339"/>
  <c r="BE338"/>
  <c r="BE337"/>
  <c r="BE336"/>
  <c r="BE335"/>
  <c r="BE334"/>
  <c r="BE333"/>
  <c r="BE332"/>
  <c r="BE331"/>
  <c r="BE330"/>
  <c r="BE329"/>
  <c r="BE328"/>
  <c r="BE327"/>
  <c r="BE326"/>
  <c r="BE325"/>
  <c r="BE324"/>
  <c r="BE323"/>
  <c r="BE322"/>
  <c r="BE321"/>
  <c r="BE320"/>
  <c r="BE319"/>
  <c r="BE318"/>
  <c r="BE317"/>
  <c r="BE316"/>
  <c r="BE315"/>
  <c r="BE314"/>
  <c r="BE313"/>
  <c r="BE312"/>
  <c r="BE311"/>
  <c r="BE310"/>
  <c r="BE309"/>
  <c r="BE308"/>
  <c r="BE307"/>
  <c r="BE306"/>
  <c r="BE305"/>
  <c r="BE304"/>
  <c r="BE303"/>
  <c r="BE302"/>
  <c r="BE301"/>
  <c r="BE300"/>
  <c r="BE299"/>
  <c r="BE298"/>
  <c r="BE297"/>
  <c r="BE296"/>
  <c r="BE295"/>
  <c r="BE294"/>
  <c r="BE293"/>
  <c r="BE292"/>
  <c r="BE291"/>
  <c r="BE290"/>
  <c r="BE289"/>
  <c r="BE288"/>
  <c r="BE287"/>
  <c r="BE286"/>
  <c r="BE285"/>
  <c r="BE284"/>
  <c r="BE283"/>
  <c r="BE282"/>
  <c r="BE281"/>
  <c r="BE280"/>
  <c r="BE279"/>
  <c r="BE278"/>
  <c r="BE277"/>
  <c r="BE276"/>
  <c r="BE275"/>
  <c r="BE274"/>
  <c r="BE273"/>
  <c r="BE272"/>
  <c r="BE271"/>
  <c r="BE270"/>
  <c r="BE269"/>
  <c r="BE268"/>
  <c r="BE267"/>
  <c r="BE266"/>
  <c r="BE265"/>
  <c r="BE264"/>
  <c r="BE263"/>
  <c r="BE262"/>
  <c r="BE261"/>
  <c r="BE260"/>
  <c r="BE259"/>
  <c r="BE258"/>
  <c r="BE257"/>
  <c r="BE256"/>
  <c r="BE255"/>
  <c r="BE254"/>
  <c r="BE253"/>
  <c r="BE252"/>
  <c r="BE251"/>
  <c r="BE250"/>
  <c r="BE249"/>
  <c r="BE248"/>
  <c r="BE247"/>
  <c r="BE246"/>
  <c r="BE245"/>
  <c r="BE244"/>
  <c r="BE243"/>
  <c r="BE242"/>
  <c r="BE241"/>
  <c r="BE240"/>
  <c r="BE239"/>
  <c r="BE238"/>
  <c r="BE237"/>
  <c r="BE236"/>
  <c r="BE235"/>
  <c r="BE234"/>
  <c r="BE233"/>
  <c r="BE232"/>
  <c r="BE231"/>
  <c r="BE230"/>
  <c r="BE229"/>
  <c r="BE228"/>
  <c r="BE227"/>
  <c r="BE226"/>
  <c r="BE225"/>
  <c r="BE224"/>
  <c r="BE223"/>
  <c r="BE222"/>
  <c r="BE221"/>
  <c r="BE220"/>
  <c r="BE219"/>
  <c r="BE218"/>
  <c r="BE217"/>
  <c r="BE216"/>
  <c r="BE215"/>
  <c r="BE214"/>
  <c r="BE213"/>
  <c r="BE212"/>
  <c r="BE211"/>
  <c r="BE210"/>
  <c r="BE209"/>
  <c r="BE208"/>
  <c r="BE207"/>
  <c r="BE206"/>
  <c r="BE205"/>
  <c r="BE204"/>
  <c r="BE203"/>
  <c r="BE202"/>
  <c r="BE201"/>
  <c r="BE200"/>
  <c r="BE199"/>
  <c r="BE198"/>
  <c r="BE197"/>
  <c r="BE196"/>
  <c r="BE195"/>
  <c r="BE194"/>
  <c r="BE193"/>
  <c r="BE192"/>
  <c r="BE191"/>
  <c r="BE190"/>
  <c r="BE189"/>
  <c r="BE188"/>
  <c r="BE187"/>
  <c r="BE186"/>
  <c r="BE185"/>
  <c r="BE184"/>
  <c r="BE183"/>
  <c r="BE182"/>
  <c r="BE181"/>
  <c r="BE180"/>
  <c r="BE179"/>
  <c r="BE178"/>
  <c r="BE177"/>
  <c r="BE176"/>
  <c r="BE175"/>
  <c r="BE174"/>
  <c r="BE173"/>
  <c r="BE172"/>
  <c r="BE171"/>
  <c r="BE170"/>
  <c r="BE169"/>
  <c r="BE168"/>
  <c r="BE167"/>
  <c r="BE166"/>
  <c r="BE165"/>
  <c r="BE164"/>
  <c r="BE163"/>
  <c r="BE162"/>
  <c r="BE161"/>
  <c r="BE160"/>
  <c r="BE159"/>
  <c r="BE158"/>
  <c r="BE157"/>
  <c r="BE156"/>
  <c r="BE155"/>
  <c r="BE154"/>
  <c r="BE153"/>
  <c r="BE152"/>
  <c r="BE151"/>
  <c r="BE150"/>
  <c r="BE149"/>
  <c r="BE148"/>
  <c r="BE147"/>
  <c r="BE146"/>
  <c r="BE145"/>
  <c r="BE144"/>
  <c r="BE143"/>
  <c r="BE142"/>
  <c r="BE141"/>
  <c r="BE140"/>
  <c r="BE139"/>
  <c r="BE138"/>
  <c r="BE137"/>
  <c r="BE136"/>
  <c r="BE135"/>
  <c r="BE134"/>
  <c r="BE133"/>
  <c r="BE132"/>
  <c r="BE131"/>
  <c r="BE130"/>
  <c r="BE129"/>
  <c r="BE128"/>
  <c r="BE127"/>
  <c r="BE126"/>
  <c r="BE125"/>
  <c r="BE124"/>
  <c r="BE123"/>
  <c r="BE122"/>
  <c r="BE121"/>
  <c r="BE120"/>
  <c r="BE119"/>
  <c r="BE118"/>
  <c r="BE117"/>
  <c r="BE116"/>
  <c r="BE115"/>
  <c r="BE114"/>
  <c r="BE113"/>
  <c r="BE112"/>
  <c r="BE111"/>
  <c r="BE110"/>
  <c r="BE109"/>
  <c r="BE108"/>
  <c r="BE107"/>
  <c r="BE106"/>
  <c r="BE105"/>
  <c r="BE104"/>
  <c r="BE103"/>
  <c r="BE102"/>
  <c r="BE101"/>
  <c r="BE100"/>
  <c r="BE99"/>
  <c r="BE98"/>
  <c r="BE97"/>
  <c r="BE96"/>
  <c r="BE95"/>
  <c r="BE94"/>
  <c r="BE93"/>
  <c r="BE92"/>
  <c r="BE91"/>
  <c r="BE90"/>
  <c r="BE89"/>
  <c r="BE88"/>
  <c r="BE87"/>
  <c r="BE86"/>
  <c r="BE85"/>
  <c r="BE84"/>
  <c r="BE83"/>
  <c r="BE82"/>
  <c r="BE81"/>
  <c r="BE80"/>
  <c r="BE79"/>
  <c r="BE78"/>
  <c r="BE77"/>
  <c r="BE76"/>
  <c r="BE75"/>
  <c r="BE74"/>
  <c r="BE73"/>
  <c r="BE72"/>
  <c r="BE71"/>
  <c r="BE70"/>
  <c r="BE69"/>
  <c r="BE68"/>
  <c r="BE67"/>
  <c r="BE66"/>
  <c r="BE65"/>
  <c r="BE64"/>
  <c r="BE63"/>
  <c r="BE62"/>
  <c r="BE61"/>
  <c r="BE60"/>
  <c r="BE59"/>
  <c r="BE58"/>
  <c r="BE57"/>
  <c r="BE56"/>
  <c r="BE55"/>
  <c r="BE54"/>
  <c r="BE53"/>
  <c r="BE52"/>
  <c r="BE51"/>
  <c r="BE50"/>
  <c r="BE49"/>
  <c r="BE48"/>
  <c r="BE47"/>
  <c r="BE46"/>
  <c r="BE45"/>
  <c r="BE44"/>
  <c r="BE43"/>
  <c r="BE42"/>
  <c r="BE41"/>
  <c r="BE40"/>
  <c r="BE39"/>
  <c r="BE38"/>
  <c r="BE37"/>
  <c r="BE36"/>
  <c r="BE35"/>
  <c r="BE34"/>
  <c r="BE33"/>
  <c r="BE32"/>
  <c r="BE31"/>
  <c r="BE30"/>
  <c r="BE29"/>
  <c r="BE28"/>
  <c r="BE27"/>
  <c r="BE26"/>
  <c r="BE25"/>
  <c r="BE24"/>
  <c r="BE23"/>
  <c r="BE22"/>
  <c r="BE21"/>
  <c r="BE20"/>
  <c r="BE19"/>
  <c r="BE18"/>
  <c r="BE17"/>
  <c r="BA344"/>
  <c r="BA343"/>
  <c r="BA342"/>
  <c r="BA341"/>
  <c r="BA340"/>
  <c r="BA339"/>
  <c r="BA338"/>
  <c r="BA337"/>
  <c r="BA336"/>
  <c r="BA335"/>
  <c r="BA334"/>
  <c r="BA333"/>
  <c r="BA332"/>
  <c r="BA331"/>
  <c r="BA330"/>
  <c r="BA329"/>
  <c r="BA328"/>
  <c r="BA327"/>
  <c r="BA326"/>
  <c r="BA325"/>
  <c r="BA324"/>
  <c r="BA323"/>
  <c r="BA322"/>
  <c r="BA321"/>
  <c r="BA320"/>
  <c r="BA319"/>
  <c r="BA318"/>
  <c r="BA317"/>
  <c r="BA316"/>
  <c r="BA315"/>
  <c r="BA314"/>
  <c r="BA313"/>
  <c r="BA312"/>
  <c r="BA311"/>
  <c r="BA310"/>
  <c r="BA309"/>
  <c r="BA308"/>
  <c r="BA307"/>
  <c r="BA306"/>
  <c r="BA305"/>
  <c r="BA304"/>
  <c r="BA303"/>
  <c r="BA302"/>
  <c r="BA301"/>
  <c r="BA300"/>
  <c r="BA299"/>
  <c r="BA298"/>
  <c r="BA297"/>
  <c r="BA296"/>
  <c r="BA295"/>
  <c r="BA294"/>
  <c r="BA293"/>
  <c r="BA292"/>
  <c r="BA291"/>
  <c r="BA290"/>
  <c r="BA289"/>
  <c r="BA288"/>
  <c r="BA287"/>
  <c r="BA286"/>
  <c r="BA285"/>
  <c r="BA284"/>
  <c r="BA283"/>
  <c r="BA282"/>
  <c r="BA281"/>
  <c r="BA280"/>
  <c r="BA279"/>
  <c r="BA278"/>
  <c r="BA277"/>
  <c r="BA276"/>
  <c r="BA275"/>
  <c r="BA274"/>
  <c r="BA273"/>
  <c r="BA272"/>
  <c r="BA271"/>
  <c r="BA270"/>
  <c r="BA269"/>
  <c r="BA268"/>
  <c r="BA267"/>
  <c r="BA266"/>
  <c r="BA265"/>
  <c r="BA264"/>
  <c r="BA263"/>
  <c r="BA262"/>
  <c r="BA261"/>
  <c r="BA260"/>
  <c r="BA259"/>
  <c r="BA258"/>
  <c r="BA257"/>
  <c r="BA256"/>
  <c r="BA255"/>
  <c r="BA254"/>
  <c r="BA253"/>
  <c r="BA252"/>
  <c r="BA251"/>
  <c r="BA250"/>
  <c r="BA249"/>
  <c r="BA248"/>
  <c r="BA247"/>
  <c r="BA246"/>
  <c r="BA245"/>
  <c r="BA244"/>
  <c r="BA243"/>
  <c r="BA242"/>
  <c r="BA241"/>
  <c r="BA240"/>
  <c r="BA239"/>
  <c r="BA238"/>
  <c r="BA237"/>
  <c r="BA236"/>
  <c r="BA235"/>
  <c r="BA234"/>
  <c r="BA233"/>
  <c r="BA232"/>
  <c r="BA231"/>
  <c r="BA230"/>
  <c r="BA229"/>
  <c r="BA228"/>
  <c r="BA227"/>
  <c r="BA226"/>
  <c r="BA225"/>
  <c r="BA224"/>
  <c r="BA223"/>
  <c r="BA222"/>
  <c r="BA221"/>
  <c r="BA220"/>
  <c r="BA219"/>
  <c r="BA218"/>
  <c r="BA217"/>
  <c r="BA216"/>
  <c r="BA215"/>
  <c r="BA214"/>
  <c r="BA213"/>
  <c r="BA212"/>
  <c r="BA211"/>
  <c r="BA210"/>
  <c r="BA209"/>
  <c r="BA208"/>
  <c r="BA207"/>
  <c r="BA206"/>
  <c r="BA205"/>
  <c r="BA204"/>
  <c r="BA203"/>
  <c r="BA202"/>
  <c r="BA201"/>
  <c r="BA200"/>
  <c r="BA199"/>
  <c r="BA198"/>
  <c r="BA197"/>
  <c r="BA196"/>
  <c r="BA195"/>
  <c r="BA194"/>
  <c r="BA193"/>
  <c r="BA192"/>
  <c r="BA191"/>
  <c r="BA190"/>
  <c r="BA189"/>
  <c r="BA188"/>
  <c r="BA187"/>
  <c r="BA186"/>
  <c r="BA185"/>
  <c r="BA184"/>
  <c r="BA183"/>
  <c r="BA182"/>
  <c r="BA181"/>
  <c r="BA180"/>
  <c r="BA179"/>
  <c r="BA178"/>
  <c r="BA177"/>
  <c r="BA176"/>
  <c r="BA175"/>
  <c r="BA174"/>
  <c r="BA173"/>
  <c r="BA172"/>
  <c r="BA171"/>
  <c r="BA170"/>
  <c r="BA169"/>
  <c r="BA168"/>
  <c r="BA167"/>
  <c r="BA166"/>
  <c r="BA165"/>
  <c r="BA164"/>
  <c r="BA163"/>
  <c r="BA162"/>
  <c r="BA161"/>
  <c r="BA160"/>
  <c r="BA159"/>
  <c r="BA158"/>
  <c r="BA157"/>
  <c r="BA156"/>
  <c r="BA155"/>
  <c r="BA154"/>
  <c r="BA153"/>
  <c r="BA152"/>
  <c r="BA151"/>
  <c r="BA150"/>
  <c r="BA149"/>
  <c r="BA148"/>
  <c r="BA147"/>
  <c r="BA146"/>
  <c r="BA145"/>
  <c r="BA144"/>
  <c r="BA143"/>
  <c r="BA142"/>
  <c r="BA141"/>
  <c r="BA140"/>
  <c r="BA139"/>
  <c r="BA138"/>
  <c r="BA137"/>
  <c r="BA136"/>
  <c r="BA135"/>
  <c r="BA134"/>
  <c r="BA133"/>
  <c r="BA132"/>
  <c r="BA131"/>
  <c r="BA130"/>
  <c r="BA129"/>
  <c r="BA128"/>
  <c r="BA127"/>
  <c r="BA126"/>
  <c r="BA125"/>
  <c r="BA124"/>
  <c r="BA123"/>
  <c r="BA122"/>
  <c r="BA121"/>
  <c r="BA120"/>
  <c r="BA119"/>
  <c r="BA118"/>
  <c r="BA117"/>
  <c r="BA116"/>
  <c r="BA115"/>
  <c r="BA114"/>
  <c r="BA113"/>
  <c r="BA112"/>
  <c r="BA111"/>
  <c r="BA110"/>
  <c r="BA109"/>
  <c r="BA108"/>
  <c r="BA107"/>
  <c r="BA106"/>
  <c r="BA105"/>
  <c r="BA104"/>
  <c r="BA103"/>
  <c r="BA102"/>
  <c r="BA101"/>
  <c r="BA100"/>
  <c r="BA99"/>
  <c r="BA98"/>
  <c r="BA97"/>
  <c r="BA96"/>
  <c r="BA95"/>
  <c r="BA94"/>
  <c r="BA93"/>
  <c r="BA92"/>
  <c r="BA91"/>
  <c r="BA90"/>
  <c r="BA89"/>
  <c r="BA88"/>
  <c r="BA87"/>
  <c r="BA86"/>
  <c r="BA85"/>
  <c r="BA84"/>
  <c r="BA83"/>
  <c r="BA82"/>
  <c r="BA81"/>
  <c r="BA80"/>
  <c r="BA79"/>
  <c r="BA78"/>
  <c r="BA77"/>
  <c r="BA76"/>
  <c r="BA75"/>
  <c r="BA74"/>
  <c r="BA73"/>
  <c r="BA72"/>
  <c r="BA71"/>
  <c r="BA70"/>
  <c r="BA69"/>
  <c r="BA68"/>
  <c r="BA67"/>
  <c r="BA66"/>
  <c r="BA65"/>
  <c r="BA64"/>
  <c r="BA63"/>
  <c r="BA62"/>
  <c r="BA61"/>
  <c r="BA60"/>
  <c r="BA59"/>
  <c r="BA58"/>
  <c r="BA57"/>
  <c r="BA56"/>
  <c r="BA55"/>
  <c r="BA54"/>
  <c r="BA53"/>
  <c r="BA52"/>
  <c r="BA51"/>
  <c r="BA50"/>
  <c r="BA49"/>
  <c r="BA48"/>
  <c r="BA47"/>
  <c r="BA46"/>
  <c r="BA45"/>
  <c r="BA44"/>
  <c r="BA43"/>
  <c r="BA42"/>
  <c r="BA41"/>
  <c r="BA40"/>
  <c r="BA39"/>
  <c r="BA38"/>
  <c r="BA37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8"/>
  <c r="BA17"/>
  <c r="C345" i="3"/>
  <c r="D345"/>
  <c r="D345" i="6" s="1"/>
  <c r="D345" i="8" s="1"/>
  <c r="J345" i="3"/>
  <c r="M345"/>
  <c r="AC345"/>
  <c r="CP344"/>
  <c r="CQ344"/>
  <c r="CS344" s="1"/>
  <c r="CR344"/>
  <c r="CT344"/>
  <c r="BJ345" l="1"/>
  <c r="C345" i="10"/>
  <c r="P296"/>
  <c r="G345"/>
  <c r="T296"/>
  <c r="AC345" i="2"/>
  <c r="AD345" s="1"/>
  <c r="AE345" i="1"/>
  <c r="C345" i="6"/>
  <c r="C344" i="7"/>
  <c r="D344"/>
  <c r="E344"/>
  <c r="C344" i="1"/>
  <c r="D344"/>
  <c r="F344" s="1"/>
  <c r="I344"/>
  <c r="M344"/>
  <c r="C344" i="5"/>
  <c r="Z344" s="1"/>
  <c r="D344"/>
  <c r="C344" i="4"/>
  <c r="D344"/>
  <c r="F344"/>
  <c r="AQ344" i="2"/>
  <c r="AP344"/>
  <c r="AM344"/>
  <c r="C344"/>
  <c r="D344"/>
  <c r="K344"/>
  <c r="N344"/>
  <c r="AN344"/>
  <c r="C344" i="3"/>
  <c r="D344"/>
  <c r="J344"/>
  <c r="M344"/>
  <c r="AC344"/>
  <c r="CP343"/>
  <c r="CQ343"/>
  <c r="CS343" s="1"/>
  <c r="CR343"/>
  <c r="CT343"/>
  <c r="BP344" i="2" l="1"/>
  <c r="BJ344" i="3"/>
  <c r="BP344" i="1"/>
  <c r="AE344"/>
  <c r="AJ344" i="4"/>
  <c r="BP344"/>
  <c r="C344" i="9"/>
  <c r="BP344" i="5"/>
  <c r="G344" i="10"/>
  <c r="T295"/>
  <c r="C344"/>
  <c r="P295"/>
  <c r="C345" i="8"/>
  <c r="D344" i="9"/>
  <c r="AO344" i="2"/>
  <c r="AK344"/>
  <c r="G344" i="4"/>
  <c r="Z344"/>
  <c r="D344" i="6"/>
  <c r="D344" i="8" s="1"/>
  <c r="E344" i="2"/>
  <c r="C344" i="6"/>
  <c r="AR344" i="2"/>
  <c r="E344" i="1"/>
  <c r="Z344" i="7"/>
  <c r="AC344" i="2"/>
  <c r="AD344" s="1"/>
  <c r="AJ344"/>
  <c r="C343" i="7"/>
  <c r="D343"/>
  <c r="E343"/>
  <c r="C343" i="1"/>
  <c r="D343"/>
  <c r="F343" s="1"/>
  <c r="I343"/>
  <c r="M343"/>
  <c r="C343" i="5"/>
  <c r="BP343" s="1"/>
  <c r="D343"/>
  <c r="C343" i="4"/>
  <c r="D343"/>
  <c r="F343"/>
  <c r="AP343" i="2"/>
  <c r="AN343"/>
  <c r="AM343"/>
  <c r="C343"/>
  <c r="D343"/>
  <c r="K343"/>
  <c r="N343"/>
  <c r="AQ343"/>
  <c r="C343" i="3"/>
  <c r="D343"/>
  <c r="J343"/>
  <c r="M343"/>
  <c r="AC343"/>
  <c r="BP343" i="2" l="1"/>
  <c r="BP343" i="1"/>
  <c r="BJ343" i="3"/>
  <c r="AE343" i="1"/>
  <c r="D343" i="9"/>
  <c r="AJ343" i="4"/>
  <c r="BP343"/>
  <c r="C343" i="10"/>
  <c r="P294"/>
  <c r="G343"/>
  <c r="T294"/>
  <c r="C344" i="8"/>
  <c r="Z343" i="5"/>
  <c r="C343" i="9"/>
  <c r="AL344" i="2"/>
  <c r="G343" i="4"/>
  <c r="Z343"/>
  <c r="D343" i="6"/>
  <c r="D343" i="8" s="1"/>
  <c r="C343" i="6"/>
  <c r="E343" i="2"/>
  <c r="E343" i="1"/>
  <c r="Z343" i="7"/>
  <c r="AC343" i="2"/>
  <c r="AD343" s="1"/>
  <c r="AJ343"/>
  <c r="AO343"/>
  <c r="AK343"/>
  <c r="AR343"/>
  <c r="C343" i="8" l="1"/>
  <c r="AL343" i="2"/>
  <c r="I342" i="1"/>
  <c r="M342"/>
  <c r="F342" i="4"/>
  <c r="AQ342" i="2"/>
  <c r="AP342"/>
  <c r="AN342"/>
  <c r="AM342"/>
  <c r="K342"/>
  <c r="N342"/>
  <c r="AO342" l="1"/>
  <c r="AR342"/>
  <c r="CQ342" i="3" l="1"/>
  <c r="CT342"/>
  <c r="J342"/>
  <c r="M342"/>
  <c r="AC342"/>
  <c r="I341" i="1"/>
  <c r="M341"/>
  <c r="K341" i="2"/>
  <c r="N341"/>
  <c r="AQ341"/>
  <c r="AP341"/>
  <c r="G342" i="10" l="1"/>
  <c r="T293"/>
  <c r="C342"/>
  <c r="P293"/>
  <c r="AN341" i="2"/>
  <c r="AV35"/>
  <c r="AW36" s="1"/>
  <c r="AM341"/>
  <c r="AU35"/>
  <c r="AE342" i="1"/>
  <c r="AC342" i="2"/>
  <c r="CS342" i="3"/>
  <c r="AR341" i="2"/>
  <c r="AO341"/>
  <c r="CQ341" i="3" l="1"/>
  <c r="CS341" s="1"/>
  <c r="CT341"/>
  <c r="J341"/>
  <c r="M341"/>
  <c r="AC341"/>
  <c r="P292" i="10" l="1"/>
  <c r="C341"/>
  <c r="T292"/>
  <c r="G341"/>
  <c r="AC341" i="2"/>
  <c r="AE341" i="1"/>
  <c r="F341" i="4"/>
  <c r="AN35" s="1"/>
  <c r="C340" i="7" l="1"/>
  <c r="D340"/>
  <c r="E340"/>
  <c r="C340" i="1"/>
  <c r="D340"/>
  <c r="F340" s="1"/>
  <c r="I340"/>
  <c r="M340"/>
  <c r="C340" i="5"/>
  <c r="D340"/>
  <c r="D340" i="9" s="1"/>
  <c r="C340" i="4"/>
  <c r="BP340" s="1"/>
  <c r="D340"/>
  <c r="F340"/>
  <c r="AQ340" i="2"/>
  <c r="AP340"/>
  <c r="AM340"/>
  <c r="C340"/>
  <c r="D340"/>
  <c r="K340"/>
  <c r="N340"/>
  <c r="AN340"/>
  <c r="C340" i="3"/>
  <c r="D340"/>
  <c r="J340"/>
  <c r="M340"/>
  <c r="AC340"/>
  <c r="CQ340"/>
  <c r="CS340" s="1"/>
  <c r="CR340"/>
  <c r="CT340"/>
  <c r="C339" i="7"/>
  <c r="D339"/>
  <c r="E339"/>
  <c r="C339" i="1"/>
  <c r="D339"/>
  <c r="F339" s="1"/>
  <c r="I339"/>
  <c r="M339"/>
  <c r="C339" i="5"/>
  <c r="BP339" s="1"/>
  <c r="D339"/>
  <c r="D339" i="9" s="1"/>
  <c r="C339" i="4"/>
  <c r="BP339" s="1"/>
  <c r="D339"/>
  <c r="F339"/>
  <c r="AM339" i="2"/>
  <c r="C339"/>
  <c r="D339"/>
  <c r="K339"/>
  <c r="N339"/>
  <c r="AN339"/>
  <c r="AP339"/>
  <c r="AQ339"/>
  <c r="C339" i="3"/>
  <c r="D339"/>
  <c r="J339"/>
  <c r="C339" i="10" s="1"/>
  <c r="M339" i="3"/>
  <c r="AC339"/>
  <c r="CP339"/>
  <c r="CQ339"/>
  <c r="CS339" s="1"/>
  <c r="CR339"/>
  <c r="CT339"/>
  <c r="CQ338"/>
  <c r="CS338" s="1"/>
  <c r="CT338"/>
  <c r="I338" i="1"/>
  <c r="M338"/>
  <c r="F338" i="4"/>
  <c r="BP339" i="2" l="1"/>
  <c r="BP339" i="1"/>
  <c r="BP340" i="2"/>
  <c r="BP340" i="1"/>
  <c r="BJ339" i="3"/>
  <c r="BJ340"/>
  <c r="AE339" i="1"/>
  <c r="AE340"/>
  <c r="C340" i="9"/>
  <c r="BP340" i="5"/>
  <c r="G339" i="4"/>
  <c r="Z340"/>
  <c r="AA352" s="1"/>
  <c r="AJ340"/>
  <c r="Z339"/>
  <c r="AA351" s="1"/>
  <c r="AJ339"/>
  <c r="Z340" i="5"/>
  <c r="T290" i="10"/>
  <c r="G339"/>
  <c r="T291"/>
  <c r="G340"/>
  <c r="P291"/>
  <c r="C340"/>
  <c r="P290"/>
  <c r="Z339" i="5"/>
  <c r="C339" i="9"/>
  <c r="C340" i="6"/>
  <c r="E340" i="1"/>
  <c r="AK340" i="2"/>
  <c r="AO340"/>
  <c r="G340" i="4"/>
  <c r="D340" i="6"/>
  <c r="D340" i="8" s="1"/>
  <c r="E340" i="2"/>
  <c r="C339" i="6"/>
  <c r="Z340" i="7"/>
  <c r="AC340" i="2"/>
  <c r="AD340" s="1"/>
  <c r="AE352" s="1"/>
  <c r="AR340"/>
  <c r="AJ340"/>
  <c r="AC339"/>
  <c r="AD339" s="1"/>
  <c r="AE351" s="1"/>
  <c r="E339" i="1"/>
  <c r="Z339" i="7"/>
  <c r="D339" i="6"/>
  <c r="D339" i="8" s="1"/>
  <c r="E339" i="2"/>
  <c r="AJ339"/>
  <c r="AO339"/>
  <c r="AK339"/>
  <c r="AR339"/>
  <c r="AP338"/>
  <c r="K338"/>
  <c r="N338"/>
  <c r="AM338"/>
  <c r="AN338"/>
  <c r="AQ338"/>
  <c r="J338" i="3"/>
  <c r="M338"/>
  <c r="AC338"/>
  <c r="AE338" i="1" l="1"/>
  <c r="AB351" i="7"/>
  <c r="AB352"/>
  <c r="C339" i="8"/>
  <c r="C340"/>
  <c r="P289" i="10"/>
  <c r="C338"/>
  <c r="T289"/>
  <c r="G338"/>
  <c r="AL340" i="2"/>
  <c r="AL339"/>
  <c r="AR338"/>
  <c r="AC338"/>
  <c r="AO338"/>
  <c r="CQ337" i="3"/>
  <c r="CS337" s="1"/>
  <c r="CT337"/>
  <c r="N28"/>
  <c r="H28" i="10" s="1"/>
  <c r="K28" i="3"/>
  <c r="D28" i="10" s="1"/>
  <c r="N27" i="3"/>
  <c r="H27" i="10" s="1"/>
  <c r="K27" i="3"/>
  <c r="D27" i="10" s="1"/>
  <c r="N26" i="3"/>
  <c r="H26" i="10" s="1"/>
  <c r="K26" i="3"/>
  <c r="D26" i="10" s="1"/>
  <c r="N25" i="3"/>
  <c r="H25" i="10" s="1"/>
  <c r="K25" i="3"/>
  <c r="D25" i="10" s="1"/>
  <c r="N24" i="3"/>
  <c r="H24" i="10" s="1"/>
  <c r="K24" i="3"/>
  <c r="D24" i="10" s="1"/>
  <c r="N23" i="3"/>
  <c r="H23" i="10" s="1"/>
  <c r="K23" i="3"/>
  <c r="D23" i="10" s="1"/>
  <c r="N22" i="3"/>
  <c r="H22" i="10" s="1"/>
  <c r="K22" i="3"/>
  <c r="D22" i="10" s="1"/>
  <c r="N21" i="3"/>
  <c r="H21" i="10" s="1"/>
  <c r="K21" i="3"/>
  <c r="D21" i="10" s="1"/>
  <c r="N20" i="3"/>
  <c r="H20" i="10" s="1"/>
  <c r="K20" i="3"/>
  <c r="D20" i="10" s="1"/>
  <c r="N19" i="3"/>
  <c r="H19" i="10" s="1"/>
  <c r="K19" i="3"/>
  <c r="D19" i="10" s="1"/>
  <c r="N18" i="3"/>
  <c r="H18" i="10" s="1"/>
  <c r="K18" i="3"/>
  <c r="D18" i="10" s="1"/>
  <c r="N17" i="3"/>
  <c r="H17" i="10" s="1"/>
  <c r="K17" i="3"/>
  <c r="D17" i="10" s="1"/>
  <c r="M337" i="3"/>
  <c r="J337"/>
  <c r="M336"/>
  <c r="J336"/>
  <c r="M335"/>
  <c r="J335"/>
  <c r="M334"/>
  <c r="J334"/>
  <c r="M333"/>
  <c r="J333"/>
  <c r="M332"/>
  <c r="J332"/>
  <c r="M331"/>
  <c r="J331"/>
  <c r="M330"/>
  <c r="J330"/>
  <c r="M329"/>
  <c r="J329"/>
  <c r="M328"/>
  <c r="J328"/>
  <c r="M327"/>
  <c r="J327"/>
  <c r="M326"/>
  <c r="J326"/>
  <c r="M325"/>
  <c r="J325"/>
  <c r="M324"/>
  <c r="J324"/>
  <c r="M323"/>
  <c r="J323"/>
  <c r="M322"/>
  <c r="J322"/>
  <c r="M321"/>
  <c r="J321"/>
  <c r="M320"/>
  <c r="J320"/>
  <c r="M319"/>
  <c r="J319"/>
  <c r="M318"/>
  <c r="J318"/>
  <c r="M317"/>
  <c r="J317"/>
  <c r="M316"/>
  <c r="J316"/>
  <c r="M315"/>
  <c r="J315"/>
  <c r="M314"/>
  <c r="J314"/>
  <c r="M313"/>
  <c r="J313"/>
  <c r="M312"/>
  <c r="J312"/>
  <c r="M311"/>
  <c r="J311"/>
  <c r="M310"/>
  <c r="J310"/>
  <c r="M309"/>
  <c r="J309"/>
  <c r="M308"/>
  <c r="J308"/>
  <c r="M307"/>
  <c r="J307"/>
  <c r="M306"/>
  <c r="J306"/>
  <c r="M305"/>
  <c r="J305"/>
  <c r="M304"/>
  <c r="J304"/>
  <c r="M303"/>
  <c r="J303"/>
  <c r="M302"/>
  <c r="J302"/>
  <c r="M301"/>
  <c r="J301"/>
  <c r="M300"/>
  <c r="J300"/>
  <c r="M299"/>
  <c r="J299"/>
  <c r="M298"/>
  <c r="J298"/>
  <c r="M297"/>
  <c r="J297"/>
  <c r="M296"/>
  <c r="J296"/>
  <c r="M295"/>
  <c r="J295"/>
  <c r="M294"/>
  <c r="J294"/>
  <c r="M293"/>
  <c r="J293"/>
  <c r="M292"/>
  <c r="J292"/>
  <c r="M291"/>
  <c r="J291"/>
  <c r="M290"/>
  <c r="J290"/>
  <c r="M289"/>
  <c r="J289"/>
  <c r="M288"/>
  <c r="J288"/>
  <c r="M287"/>
  <c r="J287"/>
  <c r="M286"/>
  <c r="J286"/>
  <c r="M285"/>
  <c r="J285"/>
  <c r="M284"/>
  <c r="J284"/>
  <c r="M283"/>
  <c r="J283"/>
  <c r="M282"/>
  <c r="J282"/>
  <c r="M281"/>
  <c r="J281"/>
  <c r="M280"/>
  <c r="J280"/>
  <c r="M279"/>
  <c r="J279"/>
  <c r="M278"/>
  <c r="J278"/>
  <c r="M277"/>
  <c r="J277"/>
  <c r="M276"/>
  <c r="J276"/>
  <c r="M275"/>
  <c r="J275"/>
  <c r="M274"/>
  <c r="J274"/>
  <c r="M273"/>
  <c r="J273"/>
  <c r="M272"/>
  <c r="J272"/>
  <c r="M271"/>
  <c r="J271"/>
  <c r="M270"/>
  <c r="J270"/>
  <c r="M269"/>
  <c r="J269"/>
  <c r="M268"/>
  <c r="J268"/>
  <c r="M267"/>
  <c r="J267"/>
  <c r="M266"/>
  <c r="J266"/>
  <c r="M265"/>
  <c r="J265"/>
  <c r="M264"/>
  <c r="J264"/>
  <c r="M263"/>
  <c r="J263"/>
  <c r="M262"/>
  <c r="J262"/>
  <c r="M261"/>
  <c r="J261"/>
  <c r="M260"/>
  <c r="J260"/>
  <c r="M259"/>
  <c r="J259"/>
  <c r="M258"/>
  <c r="J258"/>
  <c r="M257"/>
  <c r="J257"/>
  <c r="M256"/>
  <c r="J256"/>
  <c r="M255"/>
  <c r="J255"/>
  <c r="M254"/>
  <c r="J254"/>
  <c r="M253"/>
  <c r="J253"/>
  <c r="M252"/>
  <c r="J252"/>
  <c r="M251"/>
  <c r="J251"/>
  <c r="M250"/>
  <c r="J250"/>
  <c r="M249"/>
  <c r="J249"/>
  <c r="M248"/>
  <c r="J248"/>
  <c r="M247"/>
  <c r="J247"/>
  <c r="M246"/>
  <c r="J246"/>
  <c r="M245"/>
  <c r="J245"/>
  <c r="M244"/>
  <c r="J244"/>
  <c r="M243"/>
  <c r="J243"/>
  <c r="M242"/>
  <c r="J242"/>
  <c r="M241"/>
  <c r="J241"/>
  <c r="M240"/>
  <c r="J240"/>
  <c r="M239"/>
  <c r="J239"/>
  <c r="M238"/>
  <c r="J238"/>
  <c r="M237"/>
  <c r="J237"/>
  <c r="M236"/>
  <c r="J236"/>
  <c r="M235"/>
  <c r="J235"/>
  <c r="M234"/>
  <c r="J234"/>
  <c r="M233"/>
  <c r="J233"/>
  <c r="M232"/>
  <c r="J232"/>
  <c r="M231"/>
  <c r="J231"/>
  <c r="M230"/>
  <c r="J230"/>
  <c r="M229"/>
  <c r="J229"/>
  <c r="M228"/>
  <c r="J228"/>
  <c r="M227"/>
  <c r="J227"/>
  <c r="M226"/>
  <c r="J226"/>
  <c r="M225"/>
  <c r="J225"/>
  <c r="M224"/>
  <c r="J224"/>
  <c r="M223"/>
  <c r="J223"/>
  <c r="M222"/>
  <c r="J222"/>
  <c r="M221"/>
  <c r="J221"/>
  <c r="M220"/>
  <c r="J220"/>
  <c r="M219"/>
  <c r="J219"/>
  <c r="M218"/>
  <c r="J218"/>
  <c r="M217"/>
  <c r="J217"/>
  <c r="M216"/>
  <c r="J216"/>
  <c r="M215"/>
  <c r="J215"/>
  <c r="M214"/>
  <c r="J214"/>
  <c r="M213"/>
  <c r="J213"/>
  <c r="M212"/>
  <c r="J212"/>
  <c r="M211"/>
  <c r="J211"/>
  <c r="M210"/>
  <c r="J210"/>
  <c r="M209"/>
  <c r="J209"/>
  <c r="M208"/>
  <c r="J208"/>
  <c r="M207"/>
  <c r="J207"/>
  <c r="M206"/>
  <c r="J206"/>
  <c r="M205"/>
  <c r="J205"/>
  <c r="M204"/>
  <c r="J204"/>
  <c r="M203"/>
  <c r="J203"/>
  <c r="M202"/>
  <c r="J202"/>
  <c r="M201"/>
  <c r="J201"/>
  <c r="M200"/>
  <c r="J200"/>
  <c r="M199"/>
  <c r="J199"/>
  <c r="M198"/>
  <c r="J198"/>
  <c r="M197"/>
  <c r="J197"/>
  <c r="M196"/>
  <c r="J196"/>
  <c r="M195"/>
  <c r="J195"/>
  <c r="M194"/>
  <c r="J194"/>
  <c r="M193"/>
  <c r="J193"/>
  <c r="M192"/>
  <c r="J192"/>
  <c r="M191"/>
  <c r="J191"/>
  <c r="M190"/>
  <c r="J190"/>
  <c r="M189"/>
  <c r="J189"/>
  <c r="M188"/>
  <c r="J188"/>
  <c r="M187"/>
  <c r="J187"/>
  <c r="M186"/>
  <c r="J186"/>
  <c r="M185"/>
  <c r="J185"/>
  <c r="M184"/>
  <c r="J184"/>
  <c r="M183"/>
  <c r="J183"/>
  <c r="M182"/>
  <c r="J182"/>
  <c r="M181"/>
  <c r="J181"/>
  <c r="M180"/>
  <c r="J180"/>
  <c r="M179"/>
  <c r="J179"/>
  <c r="M178"/>
  <c r="J178"/>
  <c r="M177"/>
  <c r="J177"/>
  <c r="M176"/>
  <c r="J176"/>
  <c r="M175"/>
  <c r="J175"/>
  <c r="M174"/>
  <c r="J174"/>
  <c r="M173"/>
  <c r="J173"/>
  <c r="M172"/>
  <c r="J172"/>
  <c r="M171"/>
  <c r="J171"/>
  <c r="M170"/>
  <c r="J170"/>
  <c r="M169"/>
  <c r="J169"/>
  <c r="M168"/>
  <c r="J168"/>
  <c r="M167"/>
  <c r="J167"/>
  <c r="M166"/>
  <c r="J166"/>
  <c r="M165"/>
  <c r="J165"/>
  <c r="M164"/>
  <c r="J164"/>
  <c r="M163"/>
  <c r="J163"/>
  <c r="M162"/>
  <c r="J162"/>
  <c r="M161"/>
  <c r="J161"/>
  <c r="M160"/>
  <c r="J160"/>
  <c r="M159"/>
  <c r="J159"/>
  <c r="M158"/>
  <c r="J158"/>
  <c r="M157"/>
  <c r="J157"/>
  <c r="M156"/>
  <c r="J156"/>
  <c r="M155"/>
  <c r="J155"/>
  <c r="M154"/>
  <c r="J154"/>
  <c r="M153"/>
  <c r="J153"/>
  <c r="M152"/>
  <c r="J152"/>
  <c r="M151"/>
  <c r="J151"/>
  <c r="M150"/>
  <c r="J150"/>
  <c r="M149"/>
  <c r="J149"/>
  <c r="M148"/>
  <c r="J148"/>
  <c r="M147"/>
  <c r="J147"/>
  <c r="M146"/>
  <c r="J146"/>
  <c r="M145"/>
  <c r="J145"/>
  <c r="M144"/>
  <c r="J144"/>
  <c r="M143"/>
  <c r="J143"/>
  <c r="M142"/>
  <c r="J142"/>
  <c r="M141"/>
  <c r="J141"/>
  <c r="M140"/>
  <c r="J140"/>
  <c r="M139"/>
  <c r="J139"/>
  <c r="M138"/>
  <c r="J138"/>
  <c r="M137"/>
  <c r="J137"/>
  <c r="M136"/>
  <c r="J136"/>
  <c r="M135"/>
  <c r="J135"/>
  <c r="M134"/>
  <c r="J134"/>
  <c r="M133"/>
  <c r="J133"/>
  <c r="M132"/>
  <c r="J132"/>
  <c r="M131"/>
  <c r="J131"/>
  <c r="M130"/>
  <c r="J130"/>
  <c r="M129"/>
  <c r="J129"/>
  <c r="M128"/>
  <c r="J128"/>
  <c r="M127"/>
  <c r="J127"/>
  <c r="M126"/>
  <c r="J126"/>
  <c r="M125"/>
  <c r="J125"/>
  <c r="M124"/>
  <c r="J124"/>
  <c r="M123"/>
  <c r="J123"/>
  <c r="M122"/>
  <c r="J122"/>
  <c r="M121"/>
  <c r="J121"/>
  <c r="M120"/>
  <c r="J120"/>
  <c r="M119"/>
  <c r="J119"/>
  <c r="M118"/>
  <c r="J118"/>
  <c r="M117"/>
  <c r="J117"/>
  <c r="M116"/>
  <c r="J116"/>
  <c r="M115"/>
  <c r="J115"/>
  <c r="M114"/>
  <c r="J114"/>
  <c r="M113"/>
  <c r="J113"/>
  <c r="M112"/>
  <c r="J112"/>
  <c r="M111"/>
  <c r="J111"/>
  <c r="M110"/>
  <c r="J110"/>
  <c r="M109"/>
  <c r="J109"/>
  <c r="M108"/>
  <c r="J108"/>
  <c r="M107"/>
  <c r="J107"/>
  <c r="M106"/>
  <c r="J106"/>
  <c r="M105"/>
  <c r="J105"/>
  <c r="M104"/>
  <c r="J104"/>
  <c r="M103"/>
  <c r="J103"/>
  <c r="M102"/>
  <c r="J102"/>
  <c r="M101"/>
  <c r="J101"/>
  <c r="M100"/>
  <c r="J100"/>
  <c r="M99"/>
  <c r="J99"/>
  <c r="M98"/>
  <c r="J98"/>
  <c r="M97"/>
  <c r="J97"/>
  <c r="M96"/>
  <c r="J96"/>
  <c r="M95"/>
  <c r="J95"/>
  <c r="M94"/>
  <c r="J94"/>
  <c r="M93"/>
  <c r="J93"/>
  <c r="M92"/>
  <c r="J92"/>
  <c r="M91"/>
  <c r="J91"/>
  <c r="M90"/>
  <c r="J90"/>
  <c r="M89"/>
  <c r="J89"/>
  <c r="M88"/>
  <c r="J88"/>
  <c r="M87"/>
  <c r="J87"/>
  <c r="M86"/>
  <c r="J86"/>
  <c r="M85"/>
  <c r="J85"/>
  <c r="M84"/>
  <c r="J84"/>
  <c r="M83"/>
  <c r="J83"/>
  <c r="M82"/>
  <c r="J82"/>
  <c r="M81"/>
  <c r="J81"/>
  <c r="M80"/>
  <c r="J80"/>
  <c r="M79"/>
  <c r="J79"/>
  <c r="M78"/>
  <c r="J78"/>
  <c r="M77"/>
  <c r="J77"/>
  <c r="M76"/>
  <c r="J76"/>
  <c r="M75"/>
  <c r="J75"/>
  <c r="M74"/>
  <c r="J74"/>
  <c r="M73"/>
  <c r="J73"/>
  <c r="M72"/>
  <c r="J72"/>
  <c r="M71"/>
  <c r="J71"/>
  <c r="M70"/>
  <c r="J70"/>
  <c r="M69"/>
  <c r="J69"/>
  <c r="M68"/>
  <c r="J68"/>
  <c r="M67"/>
  <c r="J67"/>
  <c r="M66"/>
  <c r="J66"/>
  <c r="M65"/>
  <c r="G65" i="10" s="1"/>
  <c r="J65" i="3"/>
  <c r="C65" i="10" s="1"/>
  <c r="M64" i="3"/>
  <c r="G64" i="10" s="1"/>
  <c r="J64" i="3"/>
  <c r="C64" i="10" s="1"/>
  <c r="M63" i="3"/>
  <c r="G63" i="10" s="1"/>
  <c r="J63" i="3"/>
  <c r="C63" i="10" s="1"/>
  <c r="M62" i="3"/>
  <c r="G62" i="10" s="1"/>
  <c r="J62" i="3"/>
  <c r="C62" i="10" s="1"/>
  <c r="M61" i="3"/>
  <c r="G61" i="10" s="1"/>
  <c r="J61" i="3"/>
  <c r="C61" i="10" s="1"/>
  <c r="M60" i="3"/>
  <c r="G60" i="10" s="1"/>
  <c r="J60" i="3"/>
  <c r="C60" i="10" s="1"/>
  <c r="M59" i="3"/>
  <c r="G59" i="10" s="1"/>
  <c r="J59" i="3"/>
  <c r="C59" i="10" s="1"/>
  <c r="M58" i="3"/>
  <c r="G58" i="10" s="1"/>
  <c r="J58" i="3"/>
  <c r="C58" i="10" s="1"/>
  <c r="M57" i="3"/>
  <c r="G57" i="10" s="1"/>
  <c r="J57" i="3"/>
  <c r="C57" i="10" s="1"/>
  <c r="M56" i="3"/>
  <c r="G56" i="10" s="1"/>
  <c r="J56" i="3"/>
  <c r="C56" i="10" s="1"/>
  <c r="M55" i="3"/>
  <c r="G55" i="10" s="1"/>
  <c r="J55" i="3"/>
  <c r="C55" i="10" s="1"/>
  <c r="M54" i="3"/>
  <c r="G54" i="10" s="1"/>
  <c r="J54" i="3"/>
  <c r="C54" i="10" s="1"/>
  <c r="M53" i="3"/>
  <c r="G53" i="10" s="1"/>
  <c r="J53" i="3"/>
  <c r="C53" i="10" s="1"/>
  <c r="M52" i="3"/>
  <c r="G52" i="10" s="1"/>
  <c r="J52" i="3"/>
  <c r="C52" i="10" s="1"/>
  <c r="M51" i="3"/>
  <c r="G51" i="10" s="1"/>
  <c r="J51" i="3"/>
  <c r="C51" i="10" s="1"/>
  <c r="M50" i="3"/>
  <c r="G50" i="10" s="1"/>
  <c r="J50" i="3"/>
  <c r="C50" i="10" s="1"/>
  <c r="M49" i="3"/>
  <c r="G49" i="10" s="1"/>
  <c r="J49" i="3"/>
  <c r="C49" i="10" s="1"/>
  <c r="M48" i="3"/>
  <c r="G48" i="10" s="1"/>
  <c r="J48" i="3"/>
  <c r="C48" i="10" s="1"/>
  <c r="M47" i="3"/>
  <c r="G47" i="10" s="1"/>
  <c r="J47" i="3"/>
  <c r="C47" i="10" s="1"/>
  <c r="M46" i="3"/>
  <c r="G46" i="10" s="1"/>
  <c r="J46" i="3"/>
  <c r="C46" i="10" s="1"/>
  <c r="M45" i="3"/>
  <c r="G45" i="10" s="1"/>
  <c r="J45" i="3"/>
  <c r="C45" i="10" s="1"/>
  <c r="M44" i="3"/>
  <c r="G44" i="10" s="1"/>
  <c r="J44" i="3"/>
  <c r="C44" i="10" s="1"/>
  <c r="M43" i="3"/>
  <c r="G43" i="10" s="1"/>
  <c r="J43" i="3"/>
  <c r="C43" i="10" s="1"/>
  <c r="M42" i="3"/>
  <c r="G42" i="10" s="1"/>
  <c r="J42" i="3"/>
  <c r="C42" i="10" s="1"/>
  <c r="M41" i="3"/>
  <c r="G41" i="10" s="1"/>
  <c r="J41" i="3"/>
  <c r="C41" i="10" s="1"/>
  <c r="M40" i="3"/>
  <c r="G40" i="10" s="1"/>
  <c r="J40" i="3"/>
  <c r="C40" i="10" s="1"/>
  <c r="M39" i="3"/>
  <c r="G39" i="10" s="1"/>
  <c r="J39" i="3"/>
  <c r="C39" i="10" s="1"/>
  <c r="M38" i="3"/>
  <c r="G38" i="10" s="1"/>
  <c r="J38" i="3"/>
  <c r="C38" i="10" s="1"/>
  <c r="M37" i="3"/>
  <c r="G37" i="10" s="1"/>
  <c r="J37" i="3"/>
  <c r="C37" i="10" s="1"/>
  <c r="M36" i="3"/>
  <c r="G36" i="10" s="1"/>
  <c r="J36" i="3"/>
  <c r="C36" i="10" s="1"/>
  <c r="M35" i="3"/>
  <c r="G35" i="10" s="1"/>
  <c r="J35" i="3"/>
  <c r="C35" i="10" s="1"/>
  <c r="M34" i="3"/>
  <c r="G34" i="10" s="1"/>
  <c r="J34" i="3"/>
  <c r="C34" i="10" s="1"/>
  <c r="M33" i="3"/>
  <c r="G33" i="10" s="1"/>
  <c r="J33" i="3"/>
  <c r="C33" i="10" s="1"/>
  <c r="M32" i="3"/>
  <c r="G32" i="10" s="1"/>
  <c r="J32" i="3"/>
  <c r="C32" i="10" s="1"/>
  <c r="M31" i="3"/>
  <c r="G31" i="10" s="1"/>
  <c r="J31" i="3"/>
  <c r="C31" i="10" s="1"/>
  <c r="M30" i="3"/>
  <c r="G30" i="10" s="1"/>
  <c r="J30" i="3"/>
  <c r="C30" i="10" s="1"/>
  <c r="M29" i="3"/>
  <c r="G29" i="10" s="1"/>
  <c r="J29" i="3"/>
  <c r="C29" i="10" s="1"/>
  <c r="M28" i="3"/>
  <c r="G28" i="10" s="1"/>
  <c r="I28" s="1"/>
  <c r="J28" i="3"/>
  <c r="C28" i="10" s="1"/>
  <c r="M27" i="3"/>
  <c r="G27" i="10" s="1"/>
  <c r="J27" i="3"/>
  <c r="C27" i="10" s="1"/>
  <c r="M26" i="3"/>
  <c r="G26" i="10" s="1"/>
  <c r="I26" s="1"/>
  <c r="J26" i="3"/>
  <c r="C26" i="10" s="1"/>
  <c r="M25" i="3"/>
  <c r="G25" i="10" s="1"/>
  <c r="J25" i="3"/>
  <c r="C25" i="10" s="1"/>
  <c r="M24" i="3"/>
  <c r="G24" i="10" s="1"/>
  <c r="I24" s="1"/>
  <c r="J24" i="3"/>
  <c r="C24" i="10" s="1"/>
  <c r="M23" i="3"/>
  <c r="G23" i="10" s="1"/>
  <c r="J23" i="3"/>
  <c r="C23" i="10" s="1"/>
  <c r="M22" i="3"/>
  <c r="G22" i="10" s="1"/>
  <c r="I22" s="1"/>
  <c r="J22" i="3"/>
  <c r="C22" i="10" s="1"/>
  <c r="M21" i="3"/>
  <c r="G21" i="10" s="1"/>
  <c r="J21" i="3"/>
  <c r="C21" i="10" s="1"/>
  <c r="M20" i="3"/>
  <c r="G20" i="10" s="1"/>
  <c r="I20" s="1"/>
  <c r="J20" i="3"/>
  <c r="C20" i="10" s="1"/>
  <c r="M19" i="3"/>
  <c r="G19" i="10" s="1"/>
  <c r="J19" i="3"/>
  <c r="C19" i="10" s="1"/>
  <c r="M18" i="3"/>
  <c r="G18" i="10" s="1"/>
  <c r="I18" s="1"/>
  <c r="J18" i="3"/>
  <c r="C18" i="10" s="1"/>
  <c r="M17" i="3"/>
  <c r="G17" i="10" s="1"/>
  <c r="J17" i="3"/>
  <c r="C17" i="10" s="1"/>
  <c r="O28" i="2"/>
  <c r="L28"/>
  <c r="O27"/>
  <c r="L27"/>
  <c r="O26"/>
  <c r="L26"/>
  <c r="O25"/>
  <c r="L25"/>
  <c r="O24"/>
  <c r="L24"/>
  <c r="O23"/>
  <c r="L23"/>
  <c r="O22"/>
  <c r="L22"/>
  <c r="O21"/>
  <c r="L21"/>
  <c r="O20"/>
  <c r="L20"/>
  <c r="O19"/>
  <c r="L19"/>
  <c r="O18"/>
  <c r="L18"/>
  <c r="O17"/>
  <c r="L17"/>
  <c r="N337"/>
  <c r="K337"/>
  <c r="N336"/>
  <c r="K336"/>
  <c r="N335"/>
  <c r="K335"/>
  <c r="N334"/>
  <c r="K334"/>
  <c r="N333"/>
  <c r="K333"/>
  <c r="N332"/>
  <c r="K332"/>
  <c r="N331"/>
  <c r="K331"/>
  <c r="N330"/>
  <c r="K330"/>
  <c r="N329"/>
  <c r="K329"/>
  <c r="N328"/>
  <c r="K328"/>
  <c r="N327"/>
  <c r="K327"/>
  <c r="N326"/>
  <c r="K326"/>
  <c r="N325"/>
  <c r="K325"/>
  <c r="N324"/>
  <c r="K324"/>
  <c r="N323"/>
  <c r="K323"/>
  <c r="N322"/>
  <c r="K322"/>
  <c r="N321"/>
  <c r="K321"/>
  <c r="N320"/>
  <c r="K320"/>
  <c r="N319"/>
  <c r="K319"/>
  <c r="N318"/>
  <c r="K318"/>
  <c r="N317"/>
  <c r="K317"/>
  <c r="N316"/>
  <c r="K316"/>
  <c r="N315"/>
  <c r="K315"/>
  <c r="N314"/>
  <c r="K314"/>
  <c r="N313"/>
  <c r="K313"/>
  <c r="N312"/>
  <c r="K312"/>
  <c r="N311"/>
  <c r="K311"/>
  <c r="N310"/>
  <c r="K310"/>
  <c r="N309"/>
  <c r="K309"/>
  <c r="N308"/>
  <c r="K308"/>
  <c r="N307"/>
  <c r="K307"/>
  <c r="N306"/>
  <c r="K306"/>
  <c r="N305"/>
  <c r="K305"/>
  <c r="N304"/>
  <c r="K304"/>
  <c r="N303"/>
  <c r="K303"/>
  <c r="N302"/>
  <c r="K302"/>
  <c r="N301"/>
  <c r="K301"/>
  <c r="N300"/>
  <c r="K300"/>
  <c r="N299"/>
  <c r="K299"/>
  <c r="N298"/>
  <c r="K298"/>
  <c r="N297"/>
  <c r="K297"/>
  <c r="N296"/>
  <c r="K296"/>
  <c r="N295"/>
  <c r="K295"/>
  <c r="N294"/>
  <c r="K294"/>
  <c r="N293"/>
  <c r="K293"/>
  <c r="N292"/>
  <c r="K292"/>
  <c r="N291"/>
  <c r="K291"/>
  <c r="N290"/>
  <c r="K290"/>
  <c r="N289"/>
  <c r="K289"/>
  <c r="N288"/>
  <c r="K288"/>
  <c r="N287"/>
  <c r="K287"/>
  <c r="N286"/>
  <c r="K286"/>
  <c r="N285"/>
  <c r="K285"/>
  <c r="N284"/>
  <c r="K284"/>
  <c r="N283"/>
  <c r="K283"/>
  <c r="N282"/>
  <c r="K282"/>
  <c r="N281"/>
  <c r="K281"/>
  <c r="N280"/>
  <c r="K280"/>
  <c r="N279"/>
  <c r="K279"/>
  <c r="N278"/>
  <c r="K278"/>
  <c r="N277"/>
  <c r="K277"/>
  <c r="N276"/>
  <c r="K276"/>
  <c r="N275"/>
  <c r="K275"/>
  <c r="N274"/>
  <c r="K274"/>
  <c r="N273"/>
  <c r="K273"/>
  <c r="N272"/>
  <c r="K272"/>
  <c r="N271"/>
  <c r="K271"/>
  <c r="N270"/>
  <c r="K270"/>
  <c r="N269"/>
  <c r="K269"/>
  <c r="N268"/>
  <c r="K268"/>
  <c r="N267"/>
  <c r="K267"/>
  <c r="N266"/>
  <c r="K266"/>
  <c r="N265"/>
  <c r="K265"/>
  <c r="N264"/>
  <c r="K264"/>
  <c r="N263"/>
  <c r="K263"/>
  <c r="N262"/>
  <c r="K262"/>
  <c r="N261"/>
  <c r="K261"/>
  <c r="N260"/>
  <c r="K260"/>
  <c r="N259"/>
  <c r="K259"/>
  <c r="N258"/>
  <c r="K258"/>
  <c r="N257"/>
  <c r="K257"/>
  <c r="N256"/>
  <c r="K256"/>
  <c r="N255"/>
  <c r="K255"/>
  <c r="N254"/>
  <c r="K254"/>
  <c r="N253"/>
  <c r="K253"/>
  <c r="N252"/>
  <c r="K252"/>
  <c r="N251"/>
  <c r="K251"/>
  <c r="N250"/>
  <c r="K250"/>
  <c r="N249"/>
  <c r="K249"/>
  <c r="N248"/>
  <c r="K248"/>
  <c r="N247"/>
  <c r="K247"/>
  <c r="N246"/>
  <c r="K246"/>
  <c r="N245"/>
  <c r="K245"/>
  <c r="N244"/>
  <c r="K244"/>
  <c r="N243"/>
  <c r="K243"/>
  <c r="N242"/>
  <c r="K242"/>
  <c r="N241"/>
  <c r="K241"/>
  <c r="N240"/>
  <c r="K240"/>
  <c r="N239"/>
  <c r="K239"/>
  <c r="N238"/>
  <c r="K238"/>
  <c r="N237"/>
  <c r="K237"/>
  <c r="N236"/>
  <c r="K236"/>
  <c r="N235"/>
  <c r="K235"/>
  <c r="N234"/>
  <c r="K234"/>
  <c r="N233"/>
  <c r="K233"/>
  <c r="N232"/>
  <c r="K232"/>
  <c r="N231"/>
  <c r="K231"/>
  <c r="N230"/>
  <c r="K230"/>
  <c r="N229"/>
  <c r="K229"/>
  <c r="N228"/>
  <c r="K228"/>
  <c r="N227"/>
  <c r="K227"/>
  <c r="N226"/>
  <c r="K226"/>
  <c r="N225"/>
  <c r="K225"/>
  <c r="N224"/>
  <c r="K224"/>
  <c r="N223"/>
  <c r="K223"/>
  <c r="N222"/>
  <c r="K222"/>
  <c r="N221"/>
  <c r="K221"/>
  <c r="N220"/>
  <c r="K220"/>
  <c r="N219"/>
  <c r="K219"/>
  <c r="N218"/>
  <c r="K218"/>
  <c r="N217"/>
  <c r="K217"/>
  <c r="N216"/>
  <c r="K216"/>
  <c r="N215"/>
  <c r="K215"/>
  <c r="N214"/>
  <c r="K214"/>
  <c r="N213"/>
  <c r="K213"/>
  <c r="N212"/>
  <c r="K212"/>
  <c r="N211"/>
  <c r="K211"/>
  <c r="N210"/>
  <c r="K210"/>
  <c r="N209"/>
  <c r="K209"/>
  <c r="N208"/>
  <c r="K208"/>
  <c r="N207"/>
  <c r="K207"/>
  <c r="N206"/>
  <c r="K206"/>
  <c r="N205"/>
  <c r="K205"/>
  <c r="N204"/>
  <c r="K204"/>
  <c r="N203"/>
  <c r="K203"/>
  <c r="N202"/>
  <c r="K202"/>
  <c r="N201"/>
  <c r="K201"/>
  <c r="N200"/>
  <c r="K200"/>
  <c r="N199"/>
  <c r="K199"/>
  <c r="N198"/>
  <c r="K198"/>
  <c r="N197"/>
  <c r="K197"/>
  <c r="N196"/>
  <c r="K196"/>
  <c r="N195"/>
  <c r="K195"/>
  <c r="N194"/>
  <c r="K194"/>
  <c r="N193"/>
  <c r="K193"/>
  <c r="N192"/>
  <c r="K192"/>
  <c r="N191"/>
  <c r="K191"/>
  <c r="N190"/>
  <c r="K190"/>
  <c r="N189"/>
  <c r="K189"/>
  <c r="N188"/>
  <c r="K188"/>
  <c r="N187"/>
  <c r="K187"/>
  <c r="N186"/>
  <c r="K186"/>
  <c r="N185"/>
  <c r="K185"/>
  <c r="N184"/>
  <c r="K184"/>
  <c r="N183"/>
  <c r="K183"/>
  <c r="N182"/>
  <c r="K182"/>
  <c r="N181"/>
  <c r="K181"/>
  <c r="N180"/>
  <c r="K180"/>
  <c r="N179"/>
  <c r="K179"/>
  <c r="N178"/>
  <c r="K178"/>
  <c r="N177"/>
  <c r="K177"/>
  <c r="N176"/>
  <c r="K176"/>
  <c r="N175"/>
  <c r="K175"/>
  <c r="N174"/>
  <c r="K174"/>
  <c r="N173"/>
  <c r="K173"/>
  <c r="N172"/>
  <c r="K172"/>
  <c r="N171"/>
  <c r="K171"/>
  <c r="N170"/>
  <c r="K170"/>
  <c r="N169"/>
  <c r="K169"/>
  <c r="N168"/>
  <c r="K168"/>
  <c r="N167"/>
  <c r="K167"/>
  <c r="N166"/>
  <c r="K166"/>
  <c r="N165"/>
  <c r="K165"/>
  <c r="N164"/>
  <c r="K164"/>
  <c r="N163"/>
  <c r="K163"/>
  <c r="N162"/>
  <c r="K162"/>
  <c r="N161"/>
  <c r="K161"/>
  <c r="N160"/>
  <c r="K160"/>
  <c r="N159"/>
  <c r="K159"/>
  <c r="N158"/>
  <c r="K158"/>
  <c r="N157"/>
  <c r="K157"/>
  <c r="N156"/>
  <c r="K156"/>
  <c r="N155"/>
  <c r="K155"/>
  <c r="N154"/>
  <c r="K154"/>
  <c r="N153"/>
  <c r="K153"/>
  <c r="N152"/>
  <c r="K152"/>
  <c r="N151"/>
  <c r="K151"/>
  <c r="N150"/>
  <c r="K150"/>
  <c r="N149"/>
  <c r="K149"/>
  <c r="N148"/>
  <c r="K148"/>
  <c r="N147"/>
  <c r="K147"/>
  <c r="N146"/>
  <c r="K146"/>
  <c r="N145"/>
  <c r="K145"/>
  <c r="N144"/>
  <c r="K144"/>
  <c r="N143"/>
  <c r="K143"/>
  <c r="N142"/>
  <c r="K142"/>
  <c r="N141"/>
  <c r="K141"/>
  <c r="N140"/>
  <c r="K140"/>
  <c r="N139"/>
  <c r="K139"/>
  <c r="N138"/>
  <c r="K138"/>
  <c r="N137"/>
  <c r="K137"/>
  <c r="N136"/>
  <c r="K136"/>
  <c r="N135"/>
  <c r="K135"/>
  <c r="N134"/>
  <c r="K134"/>
  <c r="N133"/>
  <c r="K133"/>
  <c r="N132"/>
  <c r="K132"/>
  <c r="N131"/>
  <c r="K131"/>
  <c r="N130"/>
  <c r="K130"/>
  <c r="N129"/>
  <c r="K129"/>
  <c r="N128"/>
  <c r="K128"/>
  <c r="N127"/>
  <c r="K127"/>
  <c r="N126"/>
  <c r="K126"/>
  <c r="N125"/>
  <c r="K125"/>
  <c r="N124"/>
  <c r="K124"/>
  <c r="N123"/>
  <c r="K123"/>
  <c r="N122"/>
  <c r="K122"/>
  <c r="N121"/>
  <c r="K121"/>
  <c r="N120"/>
  <c r="K120"/>
  <c r="N119"/>
  <c r="K119"/>
  <c r="N118"/>
  <c r="K118"/>
  <c r="N117"/>
  <c r="K117"/>
  <c r="N116"/>
  <c r="K116"/>
  <c r="N115"/>
  <c r="K115"/>
  <c r="N114"/>
  <c r="K114"/>
  <c r="N113"/>
  <c r="K113"/>
  <c r="N112"/>
  <c r="K112"/>
  <c r="N111"/>
  <c r="K111"/>
  <c r="N110"/>
  <c r="K110"/>
  <c r="N109"/>
  <c r="K109"/>
  <c r="N108"/>
  <c r="K108"/>
  <c r="N107"/>
  <c r="K107"/>
  <c r="N106"/>
  <c r="K106"/>
  <c r="N105"/>
  <c r="K105"/>
  <c r="N104"/>
  <c r="K104"/>
  <c r="N103"/>
  <c r="K103"/>
  <c r="N102"/>
  <c r="K102"/>
  <c r="N101"/>
  <c r="K101"/>
  <c r="N100"/>
  <c r="K100"/>
  <c r="N99"/>
  <c r="K99"/>
  <c r="N98"/>
  <c r="K98"/>
  <c r="N97"/>
  <c r="K97"/>
  <c r="N96"/>
  <c r="K96"/>
  <c r="N95"/>
  <c r="K95"/>
  <c r="N94"/>
  <c r="K94"/>
  <c r="N93"/>
  <c r="K93"/>
  <c r="N92"/>
  <c r="K92"/>
  <c r="N91"/>
  <c r="K91"/>
  <c r="N90"/>
  <c r="K90"/>
  <c r="N89"/>
  <c r="K89"/>
  <c r="N88"/>
  <c r="K88"/>
  <c r="N87"/>
  <c r="K87"/>
  <c r="N86"/>
  <c r="K86"/>
  <c r="N85"/>
  <c r="K85"/>
  <c r="N84"/>
  <c r="K84"/>
  <c r="N83"/>
  <c r="K83"/>
  <c r="N82"/>
  <c r="K82"/>
  <c r="N81"/>
  <c r="K81"/>
  <c r="N80"/>
  <c r="K80"/>
  <c r="N79"/>
  <c r="K79"/>
  <c r="N78"/>
  <c r="K78"/>
  <c r="N77"/>
  <c r="K77"/>
  <c r="N76"/>
  <c r="K76"/>
  <c r="N75"/>
  <c r="K75"/>
  <c r="N74"/>
  <c r="K74"/>
  <c r="N73"/>
  <c r="K73"/>
  <c r="N72"/>
  <c r="K72"/>
  <c r="N71"/>
  <c r="K71"/>
  <c r="N70"/>
  <c r="K70"/>
  <c r="N69"/>
  <c r="K69"/>
  <c r="N68"/>
  <c r="K68"/>
  <c r="N67"/>
  <c r="K67"/>
  <c r="N66"/>
  <c r="K66"/>
  <c r="N65"/>
  <c r="K65"/>
  <c r="N64"/>
  <c r="K64"/>
  <c r="N63"/>
  <c r="K63"/>
  <c r="N62"/>
  <c r="K62"/>
  <c r="N61"/>
  <c r="K61"/>
  <c r="N60"/>
  <c r="K60"/>
  <c r="N59"/>
  <c r="K59"/>
  <c r="N58"/>
  <c r="K58"/>
  <c r="N57"/>
  <c r="K57"/>
  <c r="N56"/>
  <c r="K56"/>
  <c r="N55"/>
  <c r="K55"/>
  <c r="N54"/>
  <c r="K54"/>
  <c r="N53"/>
  <c r="K53"/>
  <c r="N52"/>
  <c r="K52"/>
  <c r="N51"/>
  <c r="K51"/>
  <c r="N50"/>
  <c r="K50"/>
  <c r="N49"/>
  <c r="K49"/>
  <c r="N48"/>
  <c r="K48"/>
  <c r="N47"/>
  <c r="K47"/>
  <c r="N46"/>
  <c r="K46"/>
  <c r="N45"/>
  <c r="K45"/>
  <c r="N44"/>
  <c r="K44"/>
  <c r="N43"/>
  <c r="K43"/>
  <c r="N42"/>
  <c r="K42"/>
  <c r="N41"/>
  <c r="K41"/>
  <c r="N40"/>
  <c r="K40"/>
  <c r="N39"/>
  <c r="K39"/>
  <c r="N38"/>
  <c r="K38"/>
  <c r="N37"/>
  <c r="K37"/>
  <c r="N36"/>
  <c r="K36"/>
  <c r="N35"/>
  <c r="K35"/>
  <c r="N34"/>
  <c r="K34"/>
  <c r="N33"/>
  <c r="K33"/>
  <c r="N32"/>
  <c r="K32"/>
  <c r="N31"/>
  <c r="K31"/>
  <c r="N30"/>
  <c r="K30"/>
  <c r="N29"/>
  <c r="K29"/>
  <c r="N28"/>
  <c r="K28"/>
  <c r="N27"/>
  <c r="K27"/>
  <c r="N26"/>
  <c r="K26"/>
  <c r="N25"/>
  <c r="K25"/>
  <c r="N24"/>
  <c r="K24"/>
  <c r="N23"/>
  <c r="K23"/>
  <c r="N22"/>
  <c r="K22"/>
  <c r="N21"/>
  <c r="K21"/>
  <c r="N20"/>
  <c r="K20"/>
  <c r="N19"/>
  <c r="K19"/>
  <c r="N18"/>
  <c r="K18"/>
  <c r="N17"/>
  <c r="K17"/>
  <c r="N28" i="1"/>
  <c r="N27"/>
  <c r="N26"/>
  <c r="N25"/>
  <c r="N24"/>
  <c r="N23"/>
  <c r="N22"/>
  <c r="N21"/>
  <c r="N20"/>
  <c r="N19"/>
  <c r="N18"/>
  <c r="N17"/>
  <c r="J28"/>
  <c r="J27"/>
  <c r="J26"/>
  <c r="J25"/>
  <c r="J24"/>
  <c r="J23"/>
  <c r="J22"/>
  <c r="J21"/>
  <c r="J20"/>
  <c r="J19"/>
  <c r="J18"/>
  <c r="J17"/>
  <c r="AC337" i="3"/>
  <c r="AC336"/>
  <c r="AC335"/>
  <c r="AC334"/>
  <c r="AC333"/>
  <c r="AC332"/>
  <c r="AC331"/>
  <c r="AC330"/>
  <c r="AC329"/>
  <c r="AC328"/>
  <c r="AC327"/>
  <c r="AC326"/>
  <c r="AC325"/>
  <c r="AC324"/>
  <c r="AC323"/>
  <c r="AC322"/>
  <c r="AC321"/>
  <c r="AC320"/>
  <c r="AC319"/>
  <c r="AC318"/>
  <c r="AC317"/>
  <c r="AC316"/>
  <c r="AC315"/>
  <c r="AC314"/>
  <c r="AC313"/>
  <c r="AC312"/>
  <c r="AC311"/>
  <c r="AC310"/>
  <c r="AC309"/>
  <c r="AC308"/>
  <c r="AC307"/>
  <c r="AC306"/>
  <c r="AC305"/>
  <c r="AC304"/>
  <c r="AC303"/>
  <c r="AC302"/>
  <c r="AC301"/>
  <c r="AC300"/>
  <c r="AC299"/>
  <c r="AC298"/>
  <c r="AC297"/>
  <c r="AC296"/>
  <c r="AC295"/>
  <c r="AC294"/>
  <c r="AC293"/>
  <c r="AC292"/>
  <c r="AC291"/>
  <c r="AC290"/>
  <c r="AC289"/>
  <c r="AC288"/>
  <c r="AC287"/>
  <c r="AC286"/>
  <c r="AC285"/>
  <c r="AC284"/>
  <c r="AC283"/>
  <c r="AC282"/>
  <c r="AC281"/>
  <c r="AC280"/>
  <c r="AC279"/>
  <c r="AC278"/>
  <c r="AC277"/>
  <c r="AC276"/>
  <c r="AC275"/>
  <c r="AC274"/>
  <c r="AC273"/>
  <c r="AC272"/>
  <c r="AC271"/>
  <c r="AC270"/>
  <c r="AC269"/>
  <c r="AC268"/>
  <c r="AC267"/>
  <c r="AC266"/>
  <c r="AC265"/>
  <c r="AC264"/>
  <c r="AC263"/>
  <c r="AC262"/>
  <c r="AC261"/>
  <c r="AC260"/>
  <c r="AC259"/>
  <c r="AC258"/>
  <c r="AC257"/>
  <c r="AC256"/>
  <c r="AC255"/>
  <c r="AC254"/>
  <c r="AC253"/>
  <c r="AC252"/>
  <c r="AC251"/>
  <c r="AC250"/>
  <c r="AC249"/>
  <c r="AC248"/>
  <c r="AC247"/>
  <c r="AC246"/>
  <c r="AC245"/>
  <c r="AC244"/>
  <c r="AC243"/>
  <c r="AC242"/>
  <c r="AC241"/>
  <c r="AC240"/>
  <c r="AC239"/>
  <c r="AC238"/>
  <c r="AC237"/>
  <c r="AC236"/>
  <c r="AC235"/>
  <c r="AC234"/>
  <c r="AC233"/>
  <c r="AC232"/>
  <c r="AC231"/>
  <c r="AC230"/>
  <c r="AC229"/>
  <c r="AC228"/>
  <c r="AC227"/>
  <c r="AC226"/>
  <c r="AC225"/>
  <c r="AC224"/>
  <c r="AC223"/>
  <c r="AC222"/>
  <c r="AC221"/>
  <c r="AC220"/>
  <c r="AC219"/>
  <c r="AC218"/>
  <c r="AC217"/>
  <c r="AC216"/>
  <c r="AC215"/>
  <c r="AC214"/>
  <c r="AC213"/>
  <c r="AC212"/>
  <c r="AC211"/>
  <c r="AC210"/>
  <c r="AC209"/>
  <c r="AC208"/>
  <c r="AC207"/>
  <c r="AC206"/>
  <c r="AC205"/>
  <c r="AC204"/>
  <c r="AC203"/>
  <c r="AC202"/>
  <c r="AC201"/>
  <c r="AC200"/>
  <c r="AC199"/>
  <c r="AC198"/>
  <c r="AC197"/>
  <c r="AC196"/>
  <c r="AC195"/>
  <c r="AC194"/>
  <c r="AC193"/>
  <c r="AC192"/>
  <c r="AC191"/>
  <c r="AC190"/>
  <c r="AC189"/>
  <c r="AC188"/>
  <c r="AC187"/>
  <c r="AC186"/>
  <c r="AC185"/>
  <c r="AC184"/>
  <c r="AC183"/>
  <c r="AC182"/>
  <c r="AC181"/>
  <c r="AC180"/>
  <c r="AC179"/>
  <c r="AC178"/>
  <c r="AC177"/>
  <c r="AC176"/>
  <c r="AC175"/>
  <c r="AC174"/>
  <c r="AC173"/>
  <c r="AC172"/>
  <c r="AC171"/>
  <c r="AC170"/>
  <c r="AC169"/>
  <c r="AC168"/>
  <c r="AC167"/>
  <c r="AC166"/>
  <c r="AC165"/>
  <c r="AC164"/>
  <c r="AC163"/>
  <c r="AC162"/>
  <c r="AC161"/>
  <c r="AC160"/>
  <c r="AC159"/>
  <c r="AC158"/>
  <c r="AC157"/>
  <c r="AC156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AC45"/>
  <c r="AC44"/>
  <c r="AC43"/>
  <c r="AC42"/>
  <c r="AC41"/>
  <c r="AC40"/>
  <c r="AC39"/>
  <c r="AC38"/>
  <c r="AC37"/>
  <c r="AC36"/>
  <c r="AC35"/>
  <c r="AC34"/>
  <c r="AC33"/>
  <c r="AC32"/>
  <c r="AC31"/>
  <c r="AC30"/>
  <c r="AC29"/>
  <c r="AC28"/>
  <c r="AC27"/>
  <c r="AC26"/>
  <c r="AC25"/>
  <c r="AC24"/>
  <c r="AC23"/>
  <c r="AC22"/>
  <c r="AC21"/>
  <c r="AC20"/>
  <c r="AC19"/>
  <c r="AC18"/>
  <c r="AC17"/>
  <c r="M337" i="1"/>
  <c r="M336"/>
  <c r="M335"/>
  <c r="M334"/>
  <c r="M333"/>
  <c r="M332"/>
  <c r="M331"/>
  <c r="M330"/>
  <c r="M329"/>
  <c r="M328"/>
  <c r="M327"/>
  <c r="M326"/>
  <c r="M325"/>
  <c r="M324"/>
  <c r="M323"/>
  <c r="M322"/>
  <c r="M321"/>
  <c r="M320"/>
  <c r="M319"/>
  <c r="M318"/>
  <c r="M317"/>
  <c r="M316"/>
  <c r="M315"/>
  <c r="M314"/>
  <c r="M313"/>
  <c r="M312"/>
  <c r="M311"/>
  <c r="M310"/>
  <c r="M309"/>
  <c r="M308"/>
  <c r="M307"/>
  <c r="M306"/>
  <c r="M305"/>
  <c r="M304"/>
  <c r="M303"/>
  <c r="M302"/>
  <c r="M301"/>
  <c r="M300"/>
  <c r="M299"/>
  <c r="M298"/>
  <c r="M297"/>
  <c r="M296"/>
  <c r="M295"/>
  <c r="M294"/>
  <c r="M293"/>
  <c r="M292"/>
  <c r="M291"/>
  <c r="M290"/>
  <c r="M289"/>
  <c r="M288"/>
  <c r="M287"/>
  <c r="M286"/>
  <c r="M285"/>
  <c r="M284"/>
  <c r="M283"/>
  <c r="M282"/>
  <c r="M281"/>
  <c r="M280"/>
  <c r="M279"/>
  <c r="M278"/>
  <c r="M277"/>
  <c r="M276"/>
  <c r="M275"/>
  <c r="M274"/>
  <c r="M273"/>
  <c r="M272"/>
  <c r="M271"/>
  <c r="M270"/>
  <c r="M269"/>
  <c r="M268"/>
  <c r="M267"/>
  <c r="M266"/>
  <c r="M265"/>
  <c r="M264"/>
  <c r="M263"/>
  <c r="M262"/>
  <c r="M261"/>
  <c r="M260"/>
  <c r="M259"/>
  <c r="M258"/>
  <c r="M257"/>
  <c r="M256"/>
  <c r="M255"/>
  <c r="M254"/>
  <c r="M253"/>
  <c r="M252"/>
  <c r="M251"/>
  <c r="M250"/>
  <c r="M249"/>
  <c r="M248"/>
  <c r="M247"/>
  <c r="M246"/>
  <c r="M245"/>
  <c r="M244"/>
  <c r="M243"/>
  <c r="M242"/>
  <c r="M241"/>
  <c r="M240"/>
  <c r="M239"/>
  <c r="M238"/>
  <c r="M237"/>
  <c r="M236"/>
  <c r="M235"/>
  <c r="M234"/>
  <c r="M233"/>
  <c r="M232"/>
  <c r="M231"/>
  <c r="M230"/>
  <c r="M229"/>
  <c r="M228"/>
  <c r="M227"/>
  <c r="M226"/>
  <c r="M225"/>
  <c r="M224"/>
  <c r="M223"/>
  <c r="M222"/>
  <c r="M221"/>
  <c r="M220"/>
  <c r="M219"/>
  <c r="M218"/>
  <c r="M217"/>
  <c r="M216"/>
  <c r="M215"/>
  <c r="M214"/>
  <c r="M213"/>
  <c r="M212"/>
  <c r="M211"/>
  <c r="M210"/>
  <c r="M209"/>
  <c r="M208"/>
  <c r="M207"/>
  <c r="M206"/>
  <c r="M205"/>
  <c r="M204"/>
  <c r="M203"/>
  <c r="M202"/>
  <c r="M201"/>
  <c r="M200"/>
  <c r="M199"/>
  <c r="M198"/>
  <c r="M197"/>
  <c r="M196"/>
  <c r="M195"/>
  <c r="M194"/>
  <c r="M193"/>
  <c r="M192"/>
  <c r="M191"/>
  <c r="M190"/>
  <c r="M189"/>
  <c r="M188"/>
  <c r="M187"/>
  <c r="M186"/>
  <c r="M185"/>
  <c r="M184"/>
  <c r="M183"/>
  <c r="M182"/>
  <c r="M181"/>
  <c r="M180"/>
  <c r="M179"/>
  <c r="M178"/>
  <c r="M177"/>
  <c r="M176"/>
  <c r="M175"/>
  <c r="M174"/>
  <c r="M173"/>
  <c r="M172"/>
  <c r="M171"/>
  <c r="M170"/>
  <c r="M169"/>
  <c r="M168"/>
  <c r="M167"/>
  <c r="M166"/>
  <c r="M165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M120"/>
  <c r="M119"/>
  <c r="M118"/>
  <c r="M117"/>
  <c r="M116"/>
  <c r="M115"/>
  <c r="M114"/>
  <c r="M113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D328" i="3"/>
  <c r="C328"/>
  <c r="D327"/>
  <c r="C327"/>
  <c r="D326"/>
  <c r="C326"/>
  <c r="D325"/>
  <c r="C325"/>
  <c r="D324"/>
  <c r="C324"/>
  <c r="D323"/>
  <c r="C323"/>
  <c r="D322"/>
  <c r="C322"/>
  <c r="D321"/>
  <c r="C321"/>
  <c r="D320"/>
  <c r="C320"/>
  <c r="D319"/>
  <c r="C319"/>
  <c r="D318"/>
  <c r="C318"/>
  <c r="D317"/>
  <c r="C317"/>
  <c r="D316"/>
  <c r="C316"/>
  <c r="D315"/>
  <c r="C315"/>
  <c r="D314"/>
  <c r="C314"/>
  <c r="D313"/>
  <c r="C313"/>
  <c r="D312"/>
  <c r="C312"/>
  <c r="D311"/>
  <c r="C311"/>
  <c r="D310"/>
  <c r="C310"/>
  <c r="D309"/>
  <c r="C309"/>
  <c r="D308"/>
  <c r="C308"/>
  <c r="D307"/>
  <c r="C307"/>
  <c r="D306"/>
  <c r="C306"/>
  <c r="D305"/>
  <c r="C305"/>
  <c r="D304"/>
  <c r="C304"/>
  <c r="D303"/>
  <c r="C303"/>
  <c r="D302"/>
  <c r="C302"/>
  <c r="D301"/>
  <c r="C301"/>
  <c r="D300"/>
  <c r="C300"/>
  <c r="D299"/>
  <c r="C299"/>
  <c r="D298"/>
  <c r="C298"/>
  <c r="D297"/>
  <c r="C297"/>
  <c r="D296"/>
  <c r="C296"/>
  <c r="D295"/>
  <c r="C295"/>
  <c r="D294"/>
  <c r="C294"/>
  <c r="D293"/>
  <c r="C293"/>
  <c r="D292"/>
  <c r="C292"/>
  <c r="D291"/>
  <c r="C291"/>
  <c r="D290"/>
  <c r="C290"/>
  <c r="D289"/>
  <c r="C289"/>
  <c r="D288"/>
  <c r="C288"/>
  <c r="D287"/>
  <c r="C287"/>
  <c r="D286"/>
  <c r="C286"/>
  <c r="D285"/>
  <c r="C285"/>
  <c r="D284"/>
  <c r="C284"/>
  <c r="D283"/>
  <c r="C283"/>
  <c r="D282"/>
  <c r="C282"/>
  <c r="D281"/>
  <c r="C281"/>
  <c r="D280"/>
  <c r="C280"/>
  <c r="D279"/>
  <c r="C279"/>
  <c r="D278"/>
  <c r="C278"/>
  <c r="D277"/>
  <c r="C277"/>
  <c r="D276"/>
  <c r="C276"/>
  <c r="D275"/>
  <c r="C275"/>
  <c r="D274"/>
  <c r="C274"/>
  <c r="D273"/>
  <c r="C273"/>
  <c r="D272"/>
  <c r="C272"/>
  <c r="D271"/>
  <c r="C271"/>
  <c r="D270"/>
  <c r="C270"/>
  <c r="D269"/>
  <c r="C269"/>
  <c r="D268"/>
  <c r="C268"/>
  <c r="D267"/>
  <c r="C267"/>
  <c r="D266"/>
  <c r="C266"/>
  <c r="D265"/>
  <c r="C265"/>
  <c r="D264"/>
  <c r="C264"/>
  <c r="D263"/>
  <c r="C263"/>
  <c r="D262"/>
  <c r="C262"/>
  <c r="D261"/>
  <c r="C261"/>
  <c r="D260"/>
  <c r="C260"/>
  <c r="D259"/>
  <c r="C259"/>
  <c r="D258"/>
  <c r="C258"/>
  <c r="D257"/>
  <c r="C257"/>
  <c r="D256"/>
  <c r="C256"/>
  <c r="D255"/>
  <c r="C255"/>
  <c r="D254"/>
  <c r="C254"/>
  <c r="D253"/>
  <c r="C253"/>
  <c r="D252"/>
  <c r="C252"/>
  <c r="D251"/>
  <c r="C251"/>
  <c r="D250"/>
  <c r="C250"/>
  <c r="D249"/>
  <c r="C249"/>
  <c r="D248"/>
  <c r="C248"/>
  <c r="D247"/>
  <c r="C247"/>
  <c r="D246"/>
  <c r="C246"/>
  <c r="D245"/>
  <c r="C245"/>
  <c r="D244"/>
  <c r="C244"/>
  <c r="D243"/>
  <c r="C243"/>
  <c r="D242"/>
  <c r="C242"/>
  <c r="D241"/>
  <c r="C241"/>
  <c r="D240"/>
  <c r="C240"/>
  <c r="D239"/>
  <c r="C239"/>
  <c r="D238"/>
  <c r="C238"/>
  <c r="D237"/>
  <c r="C237"/>
  <c r="D236"/>
  <c r="C236"/>
  <c r="D235"/>
  <c r="C235"/>
  <c r="D234"/>
  <c r="C234"/>
  <c r="D233"/>
  <c r="C233"/>
  <c r="D232"/>
  <c r="C232"/>
  <c r="D231"/>
  <c r="C231"/>
  <c r="D230"/>
  <c r="C230"/>
  <c r="D229"/>
  <c r="C229"/>
  <c r="D228"/>
  <c r="C228"/>
  <c r="D227"/>
  <c r="C227"/>
  <c r="D226"/>
  <c r="C226"/>
  <c r="D225"/>
  <c r="C225"/>
  <c r="D224"/>
  <c r="C224"/>
  <c r="D223"/>
  <c r="C223"/>
  <c r="D222"/>
  <c r="C222"/>
  <c r="D221"/>
  <c r="C221"/>
  <c r="CT336"/>
  <c r="CQ336"/>
  <c r="CS336" s="1"/>
  <c r="CT335"/>
  <c r="CQ335"/>
  <c r="CS335" s="1"/>
  <c r="CT334"/>
  <c r="CQ334"/>
  <c r="CS334" s="1"/>
  <c r="CT333"/>
  <c r="CQ333"/>
  <c r="CS333" s="1"/>
  <c r="CT332"/>
  <c r="CQ332"/>
  <c r="CS332" s="1"/>
  <c r="CT331"/>
  <c r="CQ331"/>
  <c r="CS331" s="1"/>
  <c r="CT330"/>
  <c r="CQ330"/>
  <c r="CS330" s="1"/>
  <c r="CT329"/>
  <c r="CQ329"/>
  <c r="CS329" s="1"/>
  <c r="CT328"/>
  <c r="CR328"/>
  <c r="CQ328"/>
  <c r="CS328" s="1"/>
  <c r="CP328"/>
  <c r="CO328"/>
  <c r="CU327"/>
  <c r="CT327"/>
  <c r="CR327"/>
  <c r="CQ327"/>
  <c r="CS327" s="1"/>
  <c r="CP327"/>
  <c r="CO327"/>
  <c r="CU326"/>
  <c r="CT326"/>
  <c r="CR326"/>
  <c r="CQ326"/>
  <c r="CS326" s="1"/>
  <c r="CP326"/>
  <c r="CO326"/>
  <c r="CU325"/>
  <c r="CT325"/>
  <c r="CR325"/>
  <c r="CQ325"/>
  <c r="CS325" s="1"/>
  <c r="CP325"/>
  <c r="CO325"/>
  <c r="CU324"/>
  <c r="CT324"/>
  <c r="CR324"/>
  <c r="CQ324"/>
  <c r="CS324" s="1"/>
  <c r="CP324"/>
  <c r="CO324"/>
  <c r="CU323"/>
  <c r="CT323"/>
  <c r="CR323"/>
  <c r="CQ323"/>
  <c r="CS323" s="1"/>
  <c r="CP323"/>
  <c r="CO323"/>
  <c r="CU322"/>
  <c r="CT322"/>
  <c r="CR322"/>
  <c r="CQ322"/>
  <c r="CS322" s="1"/>
  <c r="CP322"/>
  <c r="CO322"/>
  <c r="CU321"/>
  <c r="CT321"/>
  <c r="CR321"/>
  <c r="CQ321"/>
  <c r="CS321" s="1"/>
  <c r="CP321"/>
  <c r="CO321"/>
  <c r="CU320"/>
  <c r="CT320"/>
  <c r="CR320"/>
  <c r="CQ320"/>
  <c r="CS320" s="1"/>
  <c r="CP320"/>
  <c r="CO320"/>
  <c r="CU319"/>
  <c r="CT319"/>
  <c r="CR319"/>
  <c r="CQ319"/>
  <c r="CS319" s="1"/>
  <c r="CP319"/>
  <c r="CO319"/>
  <c r="CU318"/>
  <c r="CT318"/>
  <c r="CR318"/>
  <c r="CQ318"/>
  <c r="CS318" s="1"/>
  <c r="CP318"/>
  <c r="CO318"/>
  <c r="CU317"/>
  <c r="CT317"/>
  <c r="CR317"/>
  <c r="CQ317"/>
  <c r="CS317" s="1"/>
  <c r="CP317"/>
  <c r="CO317"/>
  <c r="CU316"/>
  <c r="CT316"/>
  <c r="CR316"/>
  <c r="CQ316"/>
  <c r="CS316" s="1"/>
  <c r="CP316"/>
  <c r="CO316"/>
  <c r="CU315"/>
  <c r="CT315"/>
  <c r="CR315"/>
  <c r="CQ315"/>
  <c r="CS315" s="1"/>
  <c r="CP315"/>
  <c r="CO315"/>
  <c r="CU314"/>
  <c r="CT314"/>
  <c r="CR314"/>
  <c r="CQ314"/>
  <c r="CS314" s="1"/>
  <c r="CP314"/>
  <c r="CO314"/>
  <c r="CU313"/>
  <c r="CT313"/>
  <c r="CR313"/>
  <c r="CQ313"/>
  <c r="CS313" s="1"/>
  <c r="CP313"/>
  <c r="CO313"/>
  <c r="CU312"/>
  <c r="CT312"/>
  <c r="CR312"/>
  <c r="CQ312"/>
  <c r="CS312" s="1"/>
  <c r="CP312"/>
  <c r="CO312"/>
  <c r="CU311"/>
  <c r="CT311"/>
  <c r="CR311"/>
  <c r="CQ311"/>
  <c r="CS311" s="1"/>
  <c r="CP311"/>
  <c r="CO311"/>
  <c r="CU310"/>
  <c r="CT310"/>
  <c r="CR310"/>
  <c r="CQ310"/>
  <c r="CS310" s="1"/>
  <c r="CP310"/>
  <c r="CO310"/>
  <c r="CU309"/>
  <c r="CT309"/>
  <c r="CR309"/>
  <c r="CQ309"/>
  <c r="CS309" s="1"/>
  <c r="CP309"/>
  <c r="CO309"/>
  <c r="CU308"/>
  <c r="CT308"/>
  <c r="CR308"/>
  <c r="CQ308"/>
  <c r="CS308" s="1"/>
  <c r="CP308"/>
  <c r="CO308"/>
  <c r="CU307"/>
  <c r="CT307"/>
  <c r="CR307"/>
  <c r="CQ307"/>
  <c r="CS307" s="1"/>
  <c r="CP307"/>
  <c r="CO307"/>
  <c r="CU306"/>
  <c r="CT306"/>
  <c r="CR306"/>
  <c r="CQ306"/>
  <c r="CS306" s="1"/>
  <c r="CP306"/>
  <c r="CO306"/>
  <c r="CU305"/>
  <c r="CT305"/>
  <c r="CR305"/>
  <c r="CQ305"/>
  <c r="CS305" s="1"/>
  <c r="CP305"/>
  <c r="CO305"/>
  <c r="CU304"/>
  <c r="CT304"/>
  <c r="CR304"/>
  <c r="CQ304"/>
  <c r="CS304" s="1"/>
  <c r="CP304"/>
  <c r="CO304"/>
  <c r="CU303"/>
  <c r="CT303"/>
  <c r="CR303"/>
  <c r="CQ303"/>
  <c r="CS303" s="1"/>
  <c r="CP303"/>
  <c r="CO303"/>
  <c r="CU302"/>
  <c r="CT302"/>
  <c r="CR302"/>
  <c r="CQ302"/>
  <c r="CS302" s="1"/>
  <c r="CP302"/>
  <c r="CO302"/>
  <c r="CU301"/>
  <c r="CT301"/>
  <c r="CR301"/>
  <c r="CQ301"/>
  <c r="CS301" s="1"/>
  <c r="CP301"/>
  <c r="CO301"/>
  <c r="CU300"/>
  <c r="CT300"/>
  <c r="CR300"/>
  <c r="CQ300"/>
  <c r="CS300" s="1"/>
  <c r="CP300"/>
  <c r="CO300"/>
  <c r="CU299"/>
  <c r="CT299"/>
  <c r="CR299"/>
  <c r="CQ299"/>
  <c r="CS299" s="1"/>
  <c r="CP299"/>
  <c r="CO299"/>
  <c r="CU298"/>
  <c r="CT298"/>
  <c r="CR298"/>
  <c r="CQ298"/>
  <c r="CS298" s="1"/>
  <c r="CP298"/>
  <c r="CO298"/>
  <c r="CU297"/>
  <c r="CT297"/>
  <c r="CR297"/>
  <c r="CQ297"/>
  <c r="CS297" s="1"/>
  <c r="CP297"/>
  <c r="CO297"/>
  <c r="CU296"/>
  <c r="CT296"/>
  <c r="CR296"/>
  <c r="CQ296"/>
  <c r="CS296" s="1"/>
  <c r="CP296"/>
  <c r="CO296"/>
  <c r="CU295"/>
  <c r="CT295"/>
  <c r="CR295"/>
  <c r="CQ295"/>
  <c r="CS295" s="1"/>
  <c r="CP295"/>
  <c r="CO295"/>
  <c r="CU294"/>
  <c r="CT294"/>
  <c r="CR294"/>
  <c r="CQ294"/>
  <c r="CS294" s="1"/>
  <c r="CP294"/>
  <c r="CO294"/>
  <c r="CU293"/>
  <c r="CT293"/>
  <c r="CR293"/>
  <c r="CQ293"/>
  <c r="CS293" s="1"/>
  <c r="CP293"/>
  <c r="CO293"/>
  <c r="CU292"/>
  <c r="CT292"/>
  <c r="CR292"/>
  <c r="CQ292"/>
  <c r="CS292" s="1"/>
  <c r="CP292"/>
  <c r="CO292"/>
  <c r="CU291"/>
  <c r="CT291"/>
  <c r="CR291"/>
  <c r="CQ291"/>
  <c r="CS291" s="1"/>
  <c r="CP291"/>
  <c r="CO291"/>
  <c r="CU290"/>
  <c r="CT290"/>
  <c r="CR290"/>
  <c r="CQ290"/>
  <c r="CS290" s="1"/>
  <c r="CP290"/>
  <c r="CO290"/>
  <c r="CU289"/>
  <c r="CT289"/>
  <c r="CR289"/>
  <c r="CQ289"/>
  <c r="CS289" s="1"/>
  <c r="CP289"/>
  <c r="CO289"/>
  <c r="CU288"/>
  <c r="CT288"/>
  <c r="CR288"/>
  <c r="CQ288"/>
  <c r="CS288" s="1"/>
  <c r="CP288"/>
  <c r="CO288"/>
  <c r="CU287"/>
  <c r="CT287"/>
  <c r="CR287"/>
  <c r="CQ287"/>
  <c r="CS287" s="1"/>
  <c r="CP287"/>
  <c r="CO287"/>
  <c r="CU286"/>
  <c r="CT286"/>
  <c r="CR286"/>
  <c r="CQ286"/>
  <c r="CS286" s="1"/>
  <c r="CP286"/>
  <c r="CO286"/>
  <c r="CU285"/>
  <c r="CT285"/>
  <c r="CR285"/>
  <c r="CQ285"/>
  <c r="CS285" s="1"/>
  <c r="CP285"/>
  <c r="CO285"/>
  <c r="CU284"/>
  <c r="CT284"/>
  <c r="CR284"/>
  <c r="CQ284"/>
  <c r="CS284" s="1"/>
  <c r="CP284"/>
  <c r="CO284"/>
  <c r="CU283"/>
  <c r="CT283"/>
  <c r="CR283"/>
  <c r="CQ283"/>
  <c r="CS283" s="1"/>
  <c r="CP283"/>
  <c r="CO283"/>
  <c r="CU282"/>
  <c r="CT282"/>
  <c r="CR282"/>
  <c r="CQ282"/>
  <c r="CS282" s="1"/>
  <c r="CP282"/>
  <c r="CO282"/>
  <c r="CU281"/>
  <c r="CT281"/>
  <c r="CR281"/>
  <c r="CQ281"/>
  <c r="CS281" s="1"/>
  <c r="CP281"/>
  <c r="CO281"/>
  <c r="CU280"/>
  <c r="CT280"/>
  <c r="CR280"/>
  <c r="CQ280"/>
  <c r="CS280" s="1"/>
  <c r="CP280"/>
  <c r="CO280"/>
  <c r="CU279"/>
  <c r="CT279"/>
  <c r="CR279"/>
  <c r="CQ279"/>
  <c r="CS279" s="1"/>
  <c r="CP279"/>
  <c r="CO279"/>
  <c r="CU278"/>
  <c r="CT278"/>
  <c r="CR278"/>
  <c r="CQ278"/>
  <c r="CS278" s="1"/>
  <c r="CP278"/>
  <c r="CO278"/>
  <c r="CU277"/>
  <c r="CT277"/>
  <c r="CR277"/>
  <c r="CQ277"/>
  <c r="CS277" s="1"/>
  <c r="CP277"/>
  <c r="CO277"/>
  <c r="CU276"/>
  <c r="CT276"/>
  <c r="CR276"/>
  <c r="CQ276"/>
  <c r="CS276" s="1"/>
  <c r="CP276"/>
  <c r="CO276"/>
  <c r="CU275"/>
  <c r="CT275"/>
  <c r="CR275"/>
  <c r="CQ275"/>
  <c r="CS275" s="1"/>
  <c r="CP275"/>
  <c r="CO275"/>
  <c r="CU274"/>
  <c r="CT274"/>
  <c r="CR274"/>
  <c r="CQ274"/>
  <c r="CS274" s="1"/>
  <c r="CP274"/>
  <c r="CO274"/>
  <c r="CU273"/>
  <c r="CT273"/>
  <c r="CR273"/>
  <c r="CQ273"/>
  <c r="CS273" s="1"/>
  <c r="CP273"/>
  <c r="CO273"/>
  <c r="CU272"/>
  <c r="CT272"/>
  <c r="CR272"/>
  <c r="CQ272"/>
  <c r="CS272" s="1"/>
  <c r="CP272"/>
  <c r="CO272"/>
  <c r="CU271"/>
  <c r="CT271"/>
  <c r="CR271"/>
  <c r="CQ271"/>
  <c r="CS271" s="1"/>
  <c r="CP271"/>
  <c r="CO271"/>
  <c r="CU270"/>
  <c r="CT270"/>
  <c r="CR270"/>
  <c r="CQ270"/>
  <c r="CS270" s="1"/>
  <c r="CP270"/>
  <c r="CO270"/>
  <c r="CU269"/>
  <c r="CT269"/>
  <c r="CR269"/>
  <c r="CQ269"/>
  <c r="CS269" s="1"/>
  <c r="CP269"/>
  <c r="CO269"/>
  <c r="CU268"/>
  <c r="CT268"/>
  <c r="CR268"/>
  <c r="CQ268"/>
  <c r="CS268" s="1"/>
  <c r="CP268"/>
  <c r="CO268"/>
  <c r="CU267"/>
  <c r="CT267"/>
  <c r="CR267"/>
  <c r="CQ267"/>
  <c r="CS267" s="1"/>
  <c r="CP267"/>
  <c r="CO267"/>
  <c r="CU266"/>
  <c r="CT266"/>
  <c r="CR266"/>
  <c r="CQ266"/>
  <c r="CS266" s="1"/>
  <c r="CP266"/>
  <c r="CO266"/>
  <c r="CU265"/>
  <c r="CT265"/>
  <c r="CR265"/>
  <c r="CQ265"/>
  <c r="CS265" s="1"/>
  <c r="CP265"/>
  <c r="CO265"/>
  <c r="CU264"/>
  <c r="CT264"/>
  <c r="CR264"/>
  <c r="CQ264"/>
  <c r="CS264" s="1"/>
  <c r="CP264"/>
  <c r="CO264"/>
  <c r="CU263"/>
  <c r="CT263"/>
  <c r="CR263"/>
  <c r="CQ263"/>
  <c r="CS263" s="1"/>
  <c r="CP263"/>
  <c r="CO263"/>
  <c r="CU262"/>
  <c r="CT262"/>
  <c r="CR262"/>
  <c r="CQ262"/>
  <c r="CS262" s="1"/>
  <c r="CP262"/>
  <c r="CO262"/>
  <c r="CU261"/>
  <c r="CT261"/>
  <c r="CR261"/>
  <c r="CQ261"/>
  <c r="CS261" s="1"/>
  <c r="CP261"/>
  <c r="CO261"/>
  <c r="CU260"/>
  <c r="CT260"/>
  <c r="CR260"/>
  <c r="CQ260"/>
  <c r="CS260" s="1"/>
  <c r="CP260"/>
  <c r="CO260"/>
  <c r="CU259"/>
  <c r="CT259"/>
  <c r="CR259"/>
  <c r="CQ259"/>
  <c r="CS259" s="1"/>
  <c r="CP259"/>
  <c r="CO259"/>
  <c r="CU258"/>
  <c r="CT258"/>
  <c r="CR258"/>
  <c r="CQ258"/>
  <c r="CS258" s="1"/>
  <c r="CP258"/>
  <c r="CO258"/>
  <c r="CU257"/>
  <c r="CT257"/>
  <c r="CR257"/>
  <c r="CQ257"/>
  <c r="CS257" s="1"/>
  <c r="CP257"/>
  <c r="CO257"/>
  <c r="CU256"/>
  <c r="CT256"/>
  <c r="CR256"/>
  <c r="CQ256"/>
  <c r="CS256" s="1"/>
  <c r="CP256"/>
  <c r="CO256"/>
  <c r="CU255"/>
  <c r="CT255"/>
  <c r="CR255"/>
  <c r="CQ255"/>
  <c r="CS255" s="1"/>
  <c r="CP255"/>
  <c r="CO255"/>
  <c r="CU254"/>
  <c r="CT254"/>
  <c r="CR254"/>
  <c r="CQ254"/>
  <c r="CS254" s="1"/>
  <c r="CP254"/>
  <c r="CO254"/>
  <c r="CU253"/>
  <c r="CT253"/>
  <c r="CR253"/>
  <c r="CQ253"/>
  <c r="CS253" s="1"/>
  <c r="CP253"/>
  <c r="CO253"/>
  <c r="CU252"/>
  <c r="CT252"/>
  <c r="CR252"/>
  <c r="CQ252"/>
  <c r="CS252" s="1"/>
  <c r="CP252"/>
  <c r="CO252"/>
  <c r="CU251"/>
  <c r="CT251"/>
  <c r="CR251"/>
  <c r="CQ251"/>
  <c r="CS251" s="1"/>
  <c r="CP251"/>
  <c r="CO251"/>
  <c r="CU250"/>
  <c r="CT250"/>
  <c r="CR250"/>
  <c r="CQ250"/>
  <c r="CS250" s="1"/>
  <c r="CP250"/>
  <c r="CO250"/>
  <c r="CU249"/>
  <c r="CT249"/>
  <c r="CR249"/>
  <c r="CQ249"/>
  <c r="CS249" s="1"/>
  <c r="CP249"/>
  <c r="CO249"/>
  <c r="CU248"/>
  <c r="CT248"/>
  <c r="CR248"/>
  <c r="CQ248"/>
  <c r="CS248" s="1"/>
  <c r="CP248"/>
  <c r="CO248"/>
  <c r="CU247"/>
  <c r="CT247"/>
  <c r="CR247"/>
  <c r="CQ247"/>
  <c r="CS247" s="1"/>
  <c r="CP247"/>
  <c r="CO247"/>
  <c r="CU246"/>
  <c r="CT246"/>
  <c r="CR246"/>
  <c r="CQ246"/>
  <c r="CS246" s="1"/>
  <c r="CP246"/>
  <c r="CO246"/>
  <c r="CU245"/>
  <c r="CT245"/>
  <c r="CR245"/>
  <c r="CQ245"/>
  <c r="CS245" s="1"/>
  <c r="CP245"/>
  <c r="CO245"/>
  <c r="CU244"/>
  <c r="CT244"/>
  <c r="CR244"/>
  <c r="CQ244"/>
  <c r="CS244" s="1"/>
  <c r="CP244"/>
  <c r="CO244"/>
  <c r="CU243"/>
  <c r="CT243"/>
  <c r="CR243"/>
  <c r="CQ243"/>
  <c r="CS243" s="1"/>
  <c r="CP243"/>
  <c r="CO243"/>
  <c r="CU242"/>
  <c r="CT242"/>
  <c r="CR242"/>
  <c r="CQ242"/>
  <c r="CS242" s="1"/>
  <c r="CP242"/>
  <c r="CO242"/>
  <c r="CU241"/>
  <c r="CT241"/>
  <c r="CR241"/>
  <c r="CQ241"/>
  <c r="CS241" s="1"/>
  <c r="CP241"/>
  <c r="CO241"/>
  <c r="CU240"/>
  <c r="CT240"/>
  <c r="CR240"/>
  <c r="CQ240"/>
  <c r="CS240" s="1"/>
  <c r="CP240"/>
  <c r="CO240"/>
  <c r="CU239"/>
  <c r="CT239"/>
  <c r="CR239"/>
  <c r="CQ239"/>
  <c r="CS239" s="1"/>
  <c r="CP239"/>
  <c r="CO239"/>
  <c r="CU238"/>
  <c r="CT238"/>
  <c r="CR238"/>
  <c r="CQ238"/>
  <c r="CS238" s="1"/>
  <c r="CP238"/>
  <c r="CO238"/>
  <c r="CU237"/>
  <c r="CT237"/>
  <c r="CR237"/>
  <c r="CQ237"/>
  <c r="CS237" s="1"/>
  <c r="CP237"/>
  <c r="CO237"/>
  <c r="CU236"/>
  <c r="CT236"/>
  <c r="CR236"/>
  <c r="CQ236"/>
  <c r="CS236" s="1"/>
  <c r="CP236"/>
  <c r="CO236"/>
  <c r="CU235"/>
  <c r="CT235"/>
  <c r="CR235"/>
  <c r="CQ235"/>
  <c r="CS235" s="1"/>
  <c r="CP235"/>
  <c r="CO235"/>
  <c r="CU234"/>
  <c r="CT234"/>
  <c r="CR234"/>
  <c r="CQ234"/>
  <c r="CS234" s="1"/>
  <c r="CP234"/>
  <c r="CO234"/>
  <c r="CU233"/>
  <c r="CT233"/>
  <c r="CR233"/>
  <c r="CQ233"/>
  <c r="CS233" s="1"/>
  <c r="CP233"/>
  <c r="CO233"/>
  <c r="CU232"/>
  <c r="CT232"/>
  <c r="CR232"/>
  <c r="CQ232"/>
  <c r="CS232" s="1"/>
  <c r="CP232"/>
  <c r="CO232"/>
  <c r="CU231"/>
  <c r="CT231"/>
  <c r="CR231"/>
  <c r="CQ231"/>
  <c r="CS231" s="1"/>
  <c r="CP231"/>
  <c r="CO231"/>
  <c r="CU230"/>
  <c r="CT230"/>
  <c r="CR230"/>
  <c r="CQ230"/>
  <c r="CS230" s="1"/>
  <c r="CP230"/>
  <c r="CO230"/>
  <c r="CU229"/>
  <c r="CT229"/>
  <c r="CR229"/>
  <c r="CQ229"/>
  <c r="CS229" s="1"/>
  <c r="CP229"/>
  <c r="CO229"/>
  <c r="CU228"/>
  <c r="CT228"/>
  <c r="CR228"/>
  <c r="CQ228"/>
  <c r="CS228" s="1"/>
  <c r="CP228"/>
  <c r="CO228"/>
  <c r="CU227"/>
  <c r="CT227"/>
  <c r="CR227"/>
  <c r="CQ227"/>
  <c r="CS227" s="1"/>
  <c r="CP227"/>
  <c r="CO227"/>
  <c r="CU226"/>
  <c r="CT226"/>
  <c r="CR226"/>
  <c r="CQ226"/>
  <c r="CS226" s="1"/>
  <c r="CP226"/>
  <c r="CO226"/>
  <c r="CU225"/>
  <c r="CT225"/>
  <c r="CR225"/>
  <c r="CQ225"/>
  <c r="CS225" s="1"/>
  <c r="CP225"/>
  <c r="CO225"/>
  <c r="CU224"/>
  <c r="CT224"/>
  <c r="CR224"/>
  <c r="CQ224"/>
  <c r="CS224" s="1"/>
  <c r="CP224"/>
  <c r="CO224"/>
  <c r="CU223"/>
  <c r="CT223"/>
  <c r="CR223"/>
  <c r="CQ223"/>
  <c r="CS223" s="1"/>
  <c r="CP223"/>
  <c r="CO223"/>
  <c r="CU222"/>
  <c r="CT222"/>
  <c r="CR222"/>
  <c r="CQ222"/>
  <c r="CS222" s="1"/>
  <c r="CP222"/>
  <c r="CO222"/>
  <c r="CU221"/>
  <c r="CT221"/>
  <c r="CR221"/>
  <c r="CQ221"/>
  <c r="CS221" s="1"/>
  <c r="CP221"/>
  <c r="CO221"/>
  <c r="CU220"/>
  <c r="CT220"/>
  <c r="CR220"/>
  <c r="CQ220"/>
  <c r="CS220" s="1"/>
  <c r="CP220"/>
  <c r="CO220"/>
  <c r="CU219"/>
  <c r="CT219"/>
  <c r="CR219"/>
  <c r="CQ219"/>
  <c r="CS219" s="1"/>
  <c r="CP219"/>
  <c r="CO219"/>
  <c r="CU218"/>
  <c r="CT218"/>
  <c r="CR218"/>
  <c r="CQ218"/>
  <c r="CS218" s="1"/>
  <c r="CP218"/>
  <c r="CO218"/>
  <c r="CU217"/>
  <c r="CT217"/>
  <c r="CR217"/>
  <c r="CQ217"/>
  <c r="CS217" s="1"/>
  <c r="CP217"/>
  <c r="CO217"/>
  <c r="CU216"/>
  <c r="CT216"/>
  <c r="CR216"/>
  <c r="CQ216"/>
  <c r="CS216" s="1"/>
  <c r="CP216"/>
  <c r="CO216"/>
  <c r="CU215"/>
  <c r="CT215"/>
  <c r="CR215"/>
  <c r="CQ215"/>
  <c r="CS215" s="1"/>
  <c r="CP215"/>
  <c r="CO215"/>
  <c r="CU214"/>
  <c r="CT214"/>
  <c r="CR214"/>
  <c r="CQ214"/>
  <c r="CS214" s="1"/>
  <c r="CP214"/>
  <c r="CO214"/>
  <c r="CU213"/>
  <c r="CT213"/>
  <c r="CR213"/>
  <c r="CQ213"/>
  <c r="CS213" s="1"/>
  <c r="CP213"/>
  <c r="CO213"/>
  <c r="CU212"/>
  <c r="CT212"/>
  <c r="CR212"/>
  <c r="CQ212"/>
  <c r="CS212" s="1"/>
  <c r="CP212"/>
  <c r="CO212"/>
  <c r="CU211"/>
  <c r="CT211"/>
  <c r="CR211"/>
  <c r="CQ211"/>
  <c r="CS211" s="1"/>
  <c r="CP211"/>
  <c r="CO211"/>
  <c r="CU210"/>
  <c r="CT210"/>
  <c r="CR210"/>
  <c r="CQ210"/>
  <c r="CS210" s="1"/>
  <c r="CP210"/>
  <c r="CO210"/>
  <c r="CU209"/>
  <c r="CT209"/>
  <c r="CR209"/>
  <c r="CQ209"/>
  <c r="CS209" s="1"/>
  <c r="CP209"/>
  <c r="CO209"/>
  <c r="CU208"/>
  <c r="CT208"/>
  <c r="CR208"/>
  <c r="CQ208"/>
  <c r="CS208" s="1"/>
  <c r="CP208"/>
  <c r="CO208"/>
  <c r="CU207"/>
  <c r="CT207"/>
  <c r="CR207"/>
  <c r="CQ207"/>
  <c r="CS207" s="1"/>
  <c r="CP207"/>
  <c r="CO207"/>
  <c r="CU206"/>
  <c r="CT206"/>
  <c r="CR206"/>
  <c r="CQ206"/>
  <c r="CS206" s="1"/>
  <c r="CP206"/>
  <c r="CO206"/>
  <c r="CU205"/>
  <c r="CT205"/>
  <c r="CR205"/>
  <c r="CQ205"/>
  <c r="CS205" s="1"/>
  <c r="CP205"/>
  <c r="CO205"/>
  <c r="CU204"/>
  <c r="CT204"/>
  <c r="CR204"/>
  <c r="CQ204"/>
  <c r="CS204" s="1"/>
  <c r="CP204"/>
  <c r="CO204"/>
  <c r="CU203"/>
  <c r="CT203"/>
  <c r="CR203"/>
  <c r="CQ203"/>
  <c r="CS203" s="1"/>
  <c r="CP203"/>
  <c r="CO203"/>
  <c r="CU202"/>
  <c r="CT202"/>
  <c r="CR202"/>
  <c r="CQ202"/>
  <c r="CS202" s="1"/>
  <c r="CP202"/>
  <c r="CO202"/>
  <c r="CU201"/>
  <c r="CT201"/>
  <c r="CR201"/>
  <c r="CQ201"/>
  <c r="CS201" s="1"/>
  <c r="CP201"/>
  <c r="CO201"/>
  <c r="CU200"/>
  <c r="CT200"/>
  <c r="CR200"/>
  <c r="CQ200"/>
  <c r="CS200" s="1"/>
  <c r="CP200"/>
  <c r="CO200"/>
  <c r="CU199"/>
  <c r="CT199"/>
  <c r="CR199"/>
  <c r="CQ199"/>
  <c r="CS199" s="1"/>
  <c r="CP199"/>
  <c r="CO199"/>
  <c r="CU198"/>
  <c r="CT198"/>
  <c r="CR198"/>
  <c r="CQ198"/>
  <c r="CS198" s="1"/>
  <c r="CP198"/>
  <c r="CO198"/>
  <c r="CU197"/>
  <c r="CT197"/>
  <c r="CR197"/>
  <c r="CQ197"/>
  <c r="CS197" s="1"/>
  <c r="CP197"/>
  <c r="CO197"/>
  <c r="D328" i="2"/>
  <c r="C328"/>
  <c r="D327"/>
  <c r="C327"/>
  <c r="D326"/>
  <c r="C326"/>
  <c r="D325"/>
  <c r="C325"/>
  <c r="D324"/>
  <c r="C324"/>
  <c r="D323"/>
  <c r="C323"/>
  <c r="D322"/>
  <c r="C322"/>
  <c r="D321"/>
  <c r="C321"/>
  <c r="D320"/>
  <c r="C320"/>
  <c r="D319"/>
  <c r="C319"/>
  <c r="D318"/>
  <c r="C318"/>
  <c r="D317"/>
  <c r="C317"/>
  <c r="D316"/>
  <c r="C316"/>
  <c r="D315"/>
  <c r="C315"/>
  <c r="D314"/>
  <c r="C314"/>
  <c r="D313"/>
  <c r="C313"/>
  <c r="D312"/>
  <c r="C312"/>
  <c r="D311"/>
  <c r="C311"/>
  <c r="D310"/>
  <c r="C310"/>
  <c r="D309"/>
  <c r="C309"/>
  <c r="D308"/>
  <c r="C308"/>
  <c r="D307"/>
  <c r="C307"/>
  <c r="D306"/>
  <c r="C306"/>
  <c r="D305"/>
  <c r="C305"/>
  <c r="D304"/>
  <c r="C304"/>
  <c r="D303"/>
  <c r="C303"/>
  <c r="D302"/>
  <c r="C302"/>
  <c r="D301"/>
  <c r="C301"/>
  <c r="D300"/>
  <c r="C300"/>
  <c r="D299"/>
  <c r="C299"/>
  <c r="D298"/>
  <c r="C298"/>
  <c r="D297"/>
  <c r="C297"/>
  <c r="D296"/>
  <c r="C296"/>
  <c r="D295"/>
  <c r="C295"/>
  <c r="D294"/>
  <c r="C294"/>
  <c r="D293"/>
  <c r="C293"/>
  <c r="D292"/>
  <c r="C292"/>
  <c r="D291"/>
  <c r="C291"/>
  <c r="D290"/>
  <c r="C290"/>
  <c r="D289"/>
  <c r="C289"/>
  <c r="D288"/>
  <c r="C288"/>
  <c r="D287"/>
  <c r="C287"/>
  <c r="D286"/>
  <c r="C286"/>
  <c r="D285"/>
  <c r="C285"/>
  <c r="D284"/>
  <c r="C284"/>
  <c r="D283"/>
  <c r="C283"/>
  <c r="D282"/>
  <c r="C282"/>
  <c r="D281"/>
  <c r="C281"/>
  <c r="D280"/>
  <c r="C280"/>
  <c r="D279"/>
  <c r="C279"/>
  <c r="D278"/>
  <c r="C278"/>
  <c r="D277"/>
  <c r="C277"/>
  <c r="D276"/>
  <c r="C276"/>
  <c r="D275"/>
  <c r="C275"/>
  <c r="D274"/>
  <c r="C274"/>
  <c r="D273"/>
  <c r="C273"/>
  <c r="D272"/>
  <c r="C272"/>
  <c r="D271"/>
  <c r="C271"/>
  <c r="D270"/>
  <c r="C270"/>
  <c r="D269"/>
  <c r="C269"/>
  <c r="D268"/>
  <c r="C268"/>
  <c r="D267"/>
  <c r="C267"/>
  <c r="D266"/>
  <c r="C266"/>
  <c r="D265"/>
  <c r="C265"/>
  <c r="D264"/>
  <c r="C264"/>
  <c r="D263"/>
  <c r="C263"/>
  <c r="D262"/>
  <c r="C262"/>
  <c r="D261"/>
  <c r="C261"/>
  <c r="D260"/>
  <c r="C260"/>
  <c r="D259"/>
  <c r="C259"/>
  <c r="D258"/>
  <c r="C258"/>
  <c r="D257"/>
  <c r="C257"/>
  <c r="D256"/>
  <c r="C256"/>
  <c r="D255"/>
  <c r="C255"/>
  <c r="D254"/>
  <c r="C254"/>
  <c r="D253"/>
  <c r="C253"/>
  <c r="D252"/>
  <c r="C252"/>
  <c r="D251"/>
  <c r="C251"/>
  <c r="D250"/>
  <c r="C250"/>
  <c r="D249"/>
  <c r="C249"/>
  <c r="D248"/>
  <c r="C248"/>
  <c r="D247"/>
  <c r="C247"/>
  <c r="D246"/>
  <c r="C246"/>
  <c r="D245"/>
  <c r="C245"/>
  <c r="D244"/>
  <c r="C244"/>
  <c r="D243"/>
  <c r="C243"/>
  <c r="D242"/>
  <c r="C242"/>
  <c r="D241"/>
  <c r="C241"/>
  <c r="D240"/>
  <c r="C240"/>
  <c r="D239"/>
  <c r="C239"/>
  <c r="D238"/>
  <c r="C238"/>
  <c r="D237"/>
  <c r="C237"/>
  <c r="D236"/>
  <c r="C236"/>
  <c r="D235"/>
  <c r="C235"/>
  <c r="D234"/>
  <c r="C234"/>
  <c r="D233"/>
  <c r="C233"/>
  <c r="D232"/>
  <c r="C232"/>
  <c r="D231"/>
  <c r="C231"/>
  <c r="D230"/>
  <c r="C230"/>
  <c r="D229"/>
  <c r="C229"/>
  <c r="D228"/>
  <c r="C228"/>
  <c r="D227"/>
  <c r="C227"/>
  <c r="D226"/>
  <c r="C226"/>
  <c r="D225"/>
  <c r="C225"/>
  <c r="D224"/>
  <c r="C224"/>
  <c r="D223"/>
  <c r="C223"/>
  <c r="D222"/>
  <c r="C222"/>
  <c r="D221"/>
  <c r="C221"/>
  <c r="F337" i="4"/>
  <c r="F336"/>
  <c r="F335"/>
  <c r="F334"/>
  <c r="F333"/>
  <c r="F332"/>
  <c r="F331"/>
  <c r="F330"/>
  <c r="F329"/>
  <c r="F328"/>
  <c r="D328"/>
  <c r="C328"/>
  <c r="F327"/>
  <c r="D327"/>
  <c r="C327"/>
  <c r="F326"/>
  <c r="D326"/>
  <c r="C326"/>
  <c r="F325"/>
  <c r="D325"/>
  <c r="C325"/>
  <c r="F324"/>
  <c r="D324"/>
  <c r="C324"/>
  <c r="F323"/>
  <c r="D323"/>
  <c r="C323"/>
  <c r="F322"/>
  <c r="D322"/>
  <c r="C322"/>
  <c r="F321"/>
  <c r="D321"/>
  <c r="C321"/>
  <c r="F320"/>
  <c r="D320"/>
  <c r="C320"/>
  <c r="F319"/>
  <c r="D319"/>
  <c r="C319"/>
  <c r="F318"/>
  <c r="D318"/>
  <c r="C318"/>
  <c r="F317"/>
  <c r="D317"/>
  <c r="C317"/>
  <c r="F316"/>
  <c r="D316"/>
  <c r="C316"/>
  <c r="F315"/>
  <c r="D315"/>
  <c r="C315"/>
  <c r="F314"/>
  <c r="D314"/>
  <c r="C314"/>
  <c r="F313"/>
  <c r="D313"/>
  <c r="C313"/>
  <c r="F312"/>
  <c r="D312"/>
  <c r="C312"/>
  <c r="F311"/>
  <c r="D311"/>
  <c r="C311"/>
  <c r="F310"/>
  <c r="D310"/>
  <c r="C310"/>
  <c r="F309"/>
  <c r="D309"/>
  <c r="C309"/>
  <c r="F308"/>
  <c r="D308"/>
  <c r="C308"/>
  <c r="F307"/>
  <c r="D307"/>
  <c r="C307"/>
  <c r="F306"/>
  <c r="D306"/>
  <c r="C306"/>
  <c r="F305"/>
  <c r="D305"/>
  <c r="C305"/>
  <c r="F304"/>
  <c r="D304"/>
  <c r="C304"/>
  <c r="F303"/>
  <c r="D303"/>
  <c r="C303"/>
  <c r="F302"/>
  <c r="D302"/>
  <c r="C302"/>
  <c r="F301"/>
  <c r="D301"/>
  <c r="C301"/>
  <c r="F300"/>
  <c r="D300"/>
  <c r="C300"/>
  <c r="F299"/>
  <c r="D299"/>
  <c r="C299"/>
  <c r="F298"/>
  <c r="D298"/>
  <c r="C298"/>
  <c r="F297"/>
  <c r="D297"/>
  <c r="C297"/>
  <c r="F296"/>
  <c r="D296"/>
  <c r="C296"/>
  <c r="F295"/>
  <c r="D295"/>
  <c r="C295"/>
  <c r="F294"/>
  <c r="D294"/>
  <c r="C294"/>
  <c r="F293"/>
  <c r="D293"/>
  <c r="C293"/>
  <c r="F292"/>
  <c r="D292"/>
  <c r="C292"/>
  <c r="F291"/>
  <c r="D291"/>
  <c r="C291"/>
  <c r="F290"/>
  <c r="D290"/>
  <c r="C290"/>
  <c r="F289"/>
  <c r="D289"/>
  <c r="C289"/>
  <c r="F288"/>
  <c r="D288"/>
  <c r="C288"/>
  <c r="F287"/>
  <c r="D287"/>
  <c r="C287"/>
  <c r="F286"/>
  <c r="D286"/>
  <c r="C286"/>
  <c r="F285"/>
  <c r="D285"/>
  <c r="C285"/>
  <c r="F284"/>
  <c r="D284"/>
  <c r="C284"/>
  <c r="F283"/>
  <c r="D283"/>
  <c r="C283"/>
  <c r="F282"/>
  <c r="D282"/>
  <c r="C282"/>
  <c r="F281"/>
  <c r="D281"/>
  <c r="C281"/>
  <c r="F280"/>
  <c r="D280"/>
  <c r="C280"/>
  <c r="F279"/>
  <c r="D279"/>
  <c r="C279"/>
  <c r="F278"/>
  <c r="D278"/>
  <c r="C278"/>
  <c r="F277"/>
  <c r="D277"/>
  <c r="C277"/>
  <c r="F276"/>
  <c r="D276"/>
  <c r="C276"/>
  <c r="F275"/>
  <c r="D275"/>
  <c r="C275"/>
  <c r="F274"/>
  <c r="D274"/>
  <c r="C274"/>
  <c r="F273"/>
  <c r="D273"/>
  <c r="C273"/>
  <c r="F272"/>
  <c r="D272"/>
  <c r="C272"/>
  <c r="F271"/>
  <c r="D271"/>
  <c r="C271"/>
  <c r="F270"/>
  <c r="D270"/>
  <c r="C270"/>
  <c r="F269"/>
  <c r="D269"/>
  <c r="C269"/>
  <c r="F268"/>
  <c r="D268"/>
  <c r="C268"/>
  <c r="F267"/>
  <c r="D267"/>
  <c r="C267"/>
  <c r="F266"/>
  <c r="D266"/>
  <c r="C266"/>
  <c r="F265"/>
  <c r="D265"/>
  <c r="C265"/>
  <c r="BP265" s="1"/>
  <c r="F264"/>
  <c r="D264"/>
  <c r="C264"/>
  <c r="BP264" s="1"/>
  <c r="F263"/>
  <c r="D263"/>
  <c r="C263"/>
  <c r="F262"/>
  <c r="D262"/>
  <c r="C262"/>
  <c r="F261"/>
  <c r="D261"/>
  <c r="C261"/>
  <c r="F260"/>
  <c r="D260"/>
  <c r="C260"/>
  <c r="F259"/>
  <c r="D259"/>
  <c r="C259"/>
  <c r="F258"/>
  <c r="D258"/>
  <c r="C258"/>
  <c r="F257"/>
  <c r="D257"/>
  <c r="C257"/>
  <c r="F256"/>
  <c r="D256"/>
  <c r="C256"/>
  <c r="F255"/>
  <c r="D255"/>
  <c r="C255"/>
  <c r="F254"/>
  <c r="D254"/>
  <c r="C254"/>
  <c r="F253"/>
  <c r="D253"/>
  <c r="C253"/>
  <c r="F252"/>
  <c r="D252"/>
  <c r="C252"/>
  <c r="F251"/>
  <c r="D251"/>
  <c r="C251"/>
  <c r="F250"/>
  <c r="D250"/>
  <c r="C250"/>
  <c r="F249"/>
  <c r="D249"/>
  <c r="C249"/>
  <c r="F248"/>
  <c r="D248"/>
  <c r="C248"/>
  <c r="F247"/>
  <c r="D247"/>
  <c r="C247"/>
  <c r="F246"/>
  <c r="D246"/>
  <c r="C246"/>
  <c r="F245"/>
  <c r="D245"/>
  <c r="C245"/>
  <c r="F244"/>
  <c r="D244"/>
  <c r="C244"/>
  <c r="F243"/>
  <c r="D243"/>
  <c r="C243"/>
  <c r="F242"/>
  <c r="D242"/>
  <c r="C242"/>
  <c r="F241"/>
  <c r="D241"/>
  <c r="C241"/>
  <c r="F240"/>
  <c r="D240"/>
  <c r="C240"/>
  <c r="F239"/>
  <c r="D239"/>
  <c r="C239"/>
  <c r="F238"/>
  <c r="D238"/>
  <c r="C238"/>
  <c r="F237"/>
  <c r="D237"/>
  <c r="C237"/>
  <c r="F236"/>
  <c r="D236"/>
  <c r="C236"/>
  <c r="F235"/>
  <c r="D235"/>
  <c r="C235"/>
  <c r="F234"/>
  <c r="D234"/>
  <c r="C234"/>
  <c r="F233"/>
  <c r="D233"/>
  <c r="C233"/>
  <c r="F232"/>
  <c r="D232"/>
  <c r="C232"/>
  <c r="F231"/>
  <c r="D231"/>
  <c r="C231"/>
  <c r="F230"/>
  <c r="D230"/>
  <c r="C230"/>
  <c r="F229"/>
  <c r="D229"/>
  <c r="C229"/>
  <c r="F228"/>
  <c r="D228"/>
  <c r="C228"/>
  <c r="F227"/>
  <c r="D227"/>
  <c r="C227"/>
  <c r="F226"/>
  <c r="D226"/>
  <c r="C226"/>
  <c r="F225"/>
  <c r="D225"/>
  <c r="C225"/>
  <c r="F224"/>
  <c r="D224"/>
  <c r="C224"/>
  <c r="F223"/>
  <c r="D223"/>
  <c r="C223"/>
  <c r="F222"/>
  <c r="D222"/>
  <c r="C222"/>
  <c r="F221"/>
  <c r="D221"/>
  <c r="C221"/>
  <c r="F220"/>
  <c r="D220"/>
  <c r="C220"/>
  <c r="F219"/>
  <c r="D219"/>
  <c r="C219"/>
  <c r="F218"/>
  <c r="D218"/>
  <c r="C218"/>
  <c r="F217"/>
  <c r="D217"/>
  <c r="C217"/>
  <c r="F216"/>
  <c r="D216"/>
  <c r="C216"/>
  <c r="F215"/>
  <c r="D215"/>
  <c r="C215"/>
  <c r="F214"/>
  <c r="D214"/>
  <c r="C214"/>
  <c r="F213"/>
  <c r="D213"/>
  <c r="C213"/>
  <c r="F212"/>
  <c r="D212"/>
  <c r="C212"/>
  <c r="F211"/>
  <c r="D211"/>
  <c r="C211"/>
  <c r="F210"/>
  <c r="D210"/>
  <c r="C210"/>
  <c r="F209"/>
  <c r="D209"/>
  <c r="C209"/>
  <c r="F208"/>
  <c r="D208"/>
  <c r="C208"/>
  <c r="F207"/>
  <c r="D207"/>
  <c r="C207"/>
  <c r="F206"/>
  <c r="D206"/>
  <c r="C206"/>
  <c r="F205"/>
  <c r="D205"/>
  <c r="C205"/>
  <c r="F204"/>
  <c r="D204"/>
  <c r="C204"/>
  <c r="F203"/>
  <c r="D203"/>
  <c r="C203"/>
  <c r="F202"/>
  <c r="D202"/>
  <c r="C202"/>
  <c r="F201"/>
  <c r="D201"/>
  <c r="C201"/>
  <c r="F200"/>
  <c r="D200"/>
  <c r="C200"/>
  <c r="F199"/>
  <c r="D199"/>
  <c r="C199"/>
  <c r="F198"/>
  <c r="D198"/>
  <c r="C198"/>
  <c r="F197"/>
  <c r="D197"/>
  <c r="C197"/>
  <c r="F196"/>
  <c r="D196"/>
  <c r="C196"/>
  <c r="BP196" s="1"/>
  <c r="F195"/>
  <c r="D195"/>
  <c r="C195"/>
  <c r="BP195" s="1"/>
  <c r="F194"/>
  <c r="D194"/>
  <c r="C194"/>
  <c r="BP194" s="1"/>
  <c r="F193"/>
  <c r="D193"/>
  <c r="C193"/>
  <c r="BP193" s="1"/>
  <c r="F192"/>
  <c r="D192"/>
  <c r="C192"/>
  <c r="BP192" s="1"/>
  <c r="F191"/>
  <c r="D191"/>
  <c r="C191"/>
  <c r="BP191" s="1"/>
  <c r="F190"/>
  <c r="D190"/>
  <c r="C190"/>
  <c r="BP190" s="1"/>
  <c r="F189"/>
  <c r="D189"/>
  <c r="C189"/>
  <c r="BP189" s="1"/>
  <c r="F188"/>
  <c r="D188"/>
  <c r="C188"/>
  <c r="BP188" s="1"/>
  <c r="F187"/>
  <c r="D187"/>
  <c r="C187"/>
  <c r="BP187" s="1"/>
  <c r="F186"/>
  <c r="D186"/>
  <c r="C186"/>
  <c r="BP186" s="1"/>
  <c r="F185"/>
  <c r="D185"/>
  <c r="C185"/>
  <c r="BP185" s="1"/>
  <c r="F184"/>
  <c r="D184"/>
  <c r="C184"/>
  <c r="BP184" s="1"/>
  <c r="F183"/>
  <c r="D183"/>
  <c r="C183"/>
  <c r="BP183" s="1"/>
  <c r="F182"/>
  <c r="D182"/>
  <c r="C182"/>
  <c r="BP182" s="1"/>
  <c r="F181"/>
  <c r="D181"/>
  <c r="C181"/>
  <c r="BP181" s="1"/>
  <c r="F180"/>
  <c r="D180"/>
  <c r="C180"/>
  <c r="BP180" s="1"/>
  <c r="F179"/>
  <c r="D179"/>
  <c r="C179"/>
  <c r="BP179" s="1"/>
  <c r="F178"/>
  <c r="D178"/>
  <c r="C178"/>
  <c r="BP178" s="1"/>
  <c r="F177"/>
  <c r="D177"/>
  <c r="C177"/>
  <c r="BP177" s="1"/>
  <c r="F176"/>
  <c r="D176"/>
  <c r="C176"/>
  <c r="BP176" s="1"/>
  <c r="F175"/>
  <c r="D175"/>
  <c r="C175"/>
  <c r="BP175" s="1"/>
  <c r="F174"/>
  <c r="D174"/>
  <c r="C174"/>
  <c r="BP174" s="1"/>
  <c r="F173"/>
  <c r="D173"/>
  <c r="C173"/>
  <c r="BP173" s="1"/>
  <c r="F172"/>
  <c r="D172"/>
  <c r="C172"/>
  <c r="F171"/>
  <c r="D171"/>
  <c r="C171"/>
  <c r="F170"/>
  <c r="D170"/>
  <c r="C170"/>
  <c r="F169"/>
  <c r="D169"/>
  <c r="C169"/>
  <c r="F168"/>
  <c r="D168"/>
  <c r="C168"/>
  <c r="F167"/>
  <c r="D167"/>
  <c r="C167"/>
  <c r="F166"/>
  <c r="D166"/>
  <c r="C166"/>
  <c r="F165"/>
  <c r="D165"/>
  <c r="C165"/>
  <c r="F164"/>
  <c r="D164"/>
  <c r="C164"/>
  <c r="F163"/>
  <c r="D163"/>
  <c r="C163"/>
  <c r="F162"/>
  <c r="D162"/>
  <c r="C162"/>
  <c r="F161"/>
  <c r="D161"/>
  <c r="C161"/>
  <c r="F160"/>
  <c r="D160"/>
  <c r="C160"/>
  <c r="F159"/>
  <c r="D159"/>
  <c r="C159"/>
  <c r="F158"/>
  <c r="D158"/>
  <c r="C158"/>
  <c r="F157"/>
  <c r="D157"/>
  <c r="C157"/>
  <c r="F156"/>
  <c r="D156"/>
  <c r="C156"/>
  <c r="F155"/>
  <c r="D155"/>
  <c r="C155"/>
  <c r="F154"/>
  <c r="D154"/>
  <c r="C154"/>
  <c r="F153"/>
  <c r="D153"/>
  <c r="C153"/>
  <c r="F152"/>
  <c r="D152"/>
  <c r="C152"/>
  <c r="F151"/>
  <c r="D151"/>
  <c r="C151"/>
  <c r="F150"/>
  <c r="D150"/>
  <c r="C150"/>
  <c r="F149"/>
  <c r="D149"/>
  <c r="C149"/>
  <c r="F148"/>
  <c r="D148"/>
  <c r="C148"/>
  <c r="F147"/>
  <c r="D147"/>
  <c r="C147"/>
  <c r="F146"/>
  <c r="D146"/>
  <c r="C146"/>
  <c r="F145"/>
  <c r="D145"/>
  <c r="C145"/>
  <c r="F144"/>
  <c r="D144"/>
  <c r="C144"/>
  <c r="F143"/>
  <c r="D143"/>
  <c r="C143"/>
  <c r="F142"/>
  <c r="D142"/>
  <c r="C142"/>
  <c r="F141"/>
  <c r="D141"/>
  <c r="C141"/>
  <c r="F140"/>
  <c r="D140"/>
  <c r="C140"/>
  <c r="F139"/>
  <c r="D139"/>
  <c r="C139"/>
  <c r="F138"/>
  <c r="D138"/>
  <c r="C138"/>
  <c r="F137"/>
  <c r="D137"/>
  <c r="C137"/>
  <c r="F136"/>
  <c r="D136"/>
  <c r="C136"/>
  <c r="F135"/>
  <c r="D135"/>
  <c r="C135"/>
  <c r="F134"/>
  <c r="D134"/>
  <c r="C134"/>
  <c r="F133"/>
  <c r="D133"/>
  <c r="C133"/>
  <c r="F132"/>
  <c r="D132"/>
  <c r="C132"/>
  <c r="F131"/>
  <c r="D131"/>
  <c r="C131"/>
  <c r="F130"/>
  <c r="D130"/>
  <c r="C130"/>
  <c r="F129"/>
  <c r="D129"/>
  <c r="C129"/>
  <c r="F128"/>
  <c r="D128"/>
  <c r="C128"/>
  <c r="F127"/>
  <c r="D127"/>
  <c r="C127"/>
  <c r="F126"/>
  <c r="D126"/>
  <c r="C126"/>
  <c r="F125"/>
  <c r="D125"/>
  <c r="C125"/>
  <c r="F124"/>
  <c r="D124"/>
  <c r="C124"/>
  <c r="F123"/>
  <c r="D123"/>
  <c r="C123"/>
  <c r="F122"/>
  <c r="D122"/>
  <c r="C122"/>
  <c r="F121"/>
  <c r="D121"/>
  <c r="C121"/>
  <c r="F120"/>
  <c r="D120"/>
  <c r="C120"/>
  <c r="F119"/>
  <c r="D119"/>
  <c r="C119"/>
  <c r="F118"/>
  <c r="D118"/>
  <c r="C118"/>
  <c r="F117"/>
  <c r="D117"/>
  <c r="C117"/>
  <c r="F116"/>
  <c r="D116"/>
  <c r="C116"/>
  <c r="F115"/>
  <c r="D115"/>
  <c r="C115"/>
  <c r="F114"/>
  <c r="D114"/>
  <c r="C114"/>
  <c r="F113"/>
  <c r="D113"/>
  <c r="C113"/>
  <c r="F112"/>
  <c r="D112"/>
  <c r="C112"/>
  <c r="F111"/>
  <c r="D111"/>
  <c r="C111"/>
  <c r="F110"/>
  <c r="D110"/>
  <c r="C110"/>
  <c r="F109"/>
  <c r="D109"/>
  <c r="C109"/>
  <c r="F108"/>
  <c r="D108"/>
  <c r="C108"/>
  <c r="F107"/>
  <c r="D107"/>
  <c r="C107"/>
  <c r="F106"/>
  <c r="D106"/>
  <c r="C106"/>
  <c r="F105"/>
  <c r="D105"/>
  <c r="C105"/>
  <c r="F104"/>
  <c r="D104"/>
  <c r="C104"/>
  <c r="F103"/>
  <c r="D103"/>
  <c r="C103"/>
  <c r="F102"/>
  <c r="D102"/>
  <c r="C102"/>
  <c r="F101"/>
  <c r="D101"/>
  <c r="C101"/>
  <c r="F100"/>
  <c r="D100"/>
  <c r="C100"/>
  <c r="F99"/>
  <c r="D99"/>
  <c r="C99"/>
  <c r="F98"/>
  <c r="D98"/>
  <c r="C98"/>
  <c r="F97"/>
  <c r="D97"/>
  <c r="C97"/>
  <c r="F96"/>
  <c r="D96"/>
  <c r="C96"/>
  <c r="F95"/>
  <c r="D95"/>
  <c r="C95"/>
  <c r="F94"/>
  <c r="D94"/>
  <c r="C94"/>
  <c r="F93"/>
  <c r="D93"/>
  <c r="C93"/>
  <c r="F92"/>
  <c r="D92"/>
  <c r="C92"/>
  <c r="F91"/>
  <c r="D91"/>
  <c r="C91"/>
  <c r="F90"/>
  <c r="D90"/>
  <c r="C90"/>
  <c r="F89"/>
  <c r="D89"/>
  <c r="C89"/>
  <c r="F88"/>
  <c r="D88"/>
  <c r="C88"/>
  <c r="F87"/>
  <c r="D87"/>
  <c r="C87"/>
  <c r="F86"/>
  <c r="D86"/>
  <c r="C86"/>
  <c r="F85"/>
  <c r="D85"/>
  <c r="C85"/>
  <c r="F84"/>
  <c r="D84"/>
  <c r="C84"/>
  <c r="F83"/>
  <c r="D83"/>
  <c r="C83"/>
  <c r="F82"/>
  <c r="D82"/>
  <c r="C82"/>
  <c r="F81"/>
  <c r="D81"/>
  <c r="C81"/>
  <c r="F80"/>
  <c r="D80"/>
  <c r="C80"/>
  <c r="F79"/>
  <c r="D79"/>
  <c r="C79"/>
  <c r="F78"/>
  <c r="D78"/>
  <c r="C78"/>
  <c r="F77"/>
  <c r="D77"/>
  <c r="C77"/>
  <c r="F76"/>
  <c r="D76"/>
  <c r="C76"/>
  <c r="F75"/>
  <c r="D75"/>
  <c r="C75"/>
  <c r="F74"/>
  <c r="D74"/>
  <c r="C74"/>
  <c r="F73"/>
  <c r="D73"/>
  <c r="C73"/>
  <c r="F72"/>
  <c r="D72"/>
  <c r="C72"/>
  <c r="F71"/>
  <c r="D71"/>
  <c r="C71"/>
  <c r="F70"/>
  <c r="D70"/>
  <c r="C70"/>
  <c r="F69"/>
  <c r="D69"/>
  <c r="C69"/>
  <c r="F68"/>
  <c r="D68"/>
  <c r="C68"/>
  <c r="F67"/>
  <c r="D67"/>
  <c r="C67"/>
  <c r="F66"/>
  <c r="D66"/>
  <c r="C66"/>
  <c r="F65"/>
  <c r="D65"/>
  <c r="C65"/>
  <c r="F64"/>
  <c r="D64"/>
  <c r="C64"/>
  <c r="F63"/>
  <c r="D63"/>
  <c r="C63"/>
  <c r="F62"/>
  <c r="D62"/>
  <c r="C62"/>
  <c r="F61"/>
  <c r="D61"/>
  <c r="C61"/>
  <c r="F60"/>
  <c r="D60"/>
  <c r="C60"/>
  <c r="F59"/>
  <c r="D59"/>
  <c r="C59"/>
  <c r="F58"/>
  <c r="D58"/>
  <c r="C58"/>
  <c r="F57"/>
  <c r="D57"/>
  <c r="C57"/>
  <c r="F56"/>
  <c r="D56"/>
  <c r="C56"/>
  <c r="F55"/>
  <c r="D55"/>
  <c r="C55"/>
  <c r="F54"/>
  <c r="D54"/>
  <c r="C54"/>
  <c r="F53"/>
  <c r="D53"/>
  <c r="C53"/>
  <c r="F52"/>
  <c r="D52"/>
  <c r="C52"/>
  <c r="F51"/>
  <c r="D51"/>
  <c r="C51"/>
  <c r="F50"/>
  <c r="D50"/>
  <c r="C50"/>
  <c r="F49"/>
  <c r="D49"/>
  <c r="C49"/>
  <c r="F48"/>
  <c r="D48"/>
  <c r="C48"/>
  <c r="F47"/>
  <c r="D47"/>
  <c r="C47"/>
  <c r="F46"/>
  <c r="D46"/>
  <c r="C46"/>
  <c r="F45"/>
  <c r="D45"/>
  <c r="C45"/>
  <c r="F44"/>
  <c r="D44"/>
  <c r="C44"/>
  <c r="F43"/>
  <c r="D43"/>
  <c r="C43"/>
  <c r="F42"/>
  <c r="D42"/>
  <c r="C42"/>
  <c r="F41"/>
  <c r="D41"/>
  <c r="C41"/>
  <c r="F40"/>
  <c r="D40"/>
  <c r="C40"/>
  <c r="F39"/>
  <c r="D39"/>
  <c r="C39"/>
  <c r="F38"/>
  <c r="D38"/>
  <c r="C38"/>
  <c r="F37"/>
  <c r="D37"/>
  <c r="C37"/>
  <c r="F36"/>
  <c r="D36"/>
  <c r="C36"/>
  <c r="F35"/>
  <c r="D35"/>
  <c r="C35"/>
  <c r="F34"/>
  <c r="D34"/>
  <c r="C34"/>
  <c r="F33"/>
  <c r="D33"/>
  <c r="C33"/>
  <c r="F32"/>
  <c r="D32"/>
  <c r="C32"/>
  <c r="F31"/>
  <c r="D31"/>
  <c r="C31"/>
  <c r="F30"/>
  <c r="D30"/>
  <c r="C30"/>
  <c r="F29"/>
  <c r="D29"/>
  <c r="C29"/>
  <c r="F28"/>
  <c r="D28"/>
  <c r="C28"/>
  <c r="F27"/>
  <c r="D27"/>
  <c r="C27"/>
  <c r="F26"/>
  <c r="D26"/>
  <c r="C26"/>
  <c r="F25"/>
  <c r="D25"/>
  <c r="C25"/>
  <c r="F24"/>
  <c r="D24"/>
  <c r="C24"/>
  <c r="F23"/>
  <c r="D23"/>
  <c r="C23"/>
  <c r="F22"/>
  <c r="D22"/>
  <c r="C22"/>
  <c r="F21"/>
  <c r="D21"/>
  <c r="C21"/>
  <c r="F20"/>
  <c r="D20"/>
  <c r="C20"/>
  <c r="F19"/>
  <c r="D19"/>
  <c r="C19"/>
  <c r="F18"/>
  <c r="D18"/>
  <c r="C18"/>
  <c r="F17"/>
  <c r="D17"/>
  <c r="C17"/>
  <c r="D328" i="5"/>
  <c r="C328"/>
  <c r="BP328" s="1"/>
  <c r="D327"/>
  <c r="C327"/>
  <c r="BP327" s="1"/>
  <c r="D326"/>
  <c r="C326"/>
  <c r="BP326" s="1"/>
  <c r="D325"/>
  <c r="C325"/>
  <c r="BP325" s="1"/>
  <c r="D324"/>
  <c r="C324"/>
  <c r="BP324" s="1"/>
  <c r="D323"/>
  <c r="C323"/>
  <c r="BP323" s="1"/>
  <c r="D322"/>
  <c r="C322"/>
  <c r="BP322" s="1"/>
  <c r="D321"/>
  <c r="C321"/>
  <c r="BP321" s="1"/>
  <c r="D320"/>
  <c r="C320"/>
  <c r="BP320" s="1"/>
  <c r="D319"/>
  <c r="C319"/>
  <c r="BP319" s="1"/>
  <c r="D318"/>
  <c r="C318"/>
  <c r="BP318" s="1"/>
  <c r="D317"/>
  <c r="C317"/>
  <c r="BP317" s="1"/>
  <c r="D316"/>
  <c r="C316"/>
  <c r="BP316" s="1"/>
  <c r="D315"/>
  <c r="C315"/>
  <c r="BP315" s="1"/>
  <c r="D314"/>
  <c r="C314"/>
  <c r="BP314" s="1"/>
  <c r="D313"/>
  <c r="C313"/>
  <c r="BP313" s="1"/>
  <c r="D312"/>
  <c r="C312"/>
  <c r="BP312" s="1"/>
  <c r="D311"/>
  <c r="C311"/>
  <c r="BP311" s="1"/>
  <c r="D310"/>
  <c r="C310"/>
  <c r="BP310" s="1"/>
  <c r="D309"/>
  <c r="C309"/>
  <c r="BP309" s="1"/>
  <c r="D308"/>
  <c r="C308"/>
  <c r="BP308" s="1"/>
  <c r="D307"/>
  <c r="C307"/>
  <c r="BP307" s="1"/>
  <c r="D306"/>
  <c r="C306"/>
  <c r="BP306" s="1"/>
  <c r="D305"/>
  <c r="C305"/>
  <c r="BP305" s="1"/>
  <c r="D304"/>
  <c r="C304"/>
  <c r="BP304" s="1"/>
  <c r="D303"/>
  <c r="C303"/>
  <c r="BP303" s="1"/>
  <c r="D302"/>
  <c r="C302"/>
  <c r="BP302" s="1"/>
  <c r="D301"/>
  <c r="C301"/>
  <c r="BP301" s="1"/>
  <c r="D300"/>
  <c r="C300"/>
  <c r="BP300" s="1"/>
  <c r="D299"/>
  <c r="C299"/>
  <c r="BP299" s="1"/>
  <c r="D298"/>
  <c r="C298"/>
  <c r="BP298" s="1"/>
  <c r="D297"/>
  <c r="C297"/>
  <c r="BP297" s="1"/>
  <c r="D296"/>
  <c r="C296"/>
  <c r="BP296" s="1"/>
  <c r="D295"/>
  <c r="C295"/>
  <c r="BP295" s="1"/>
  <c r="D294"/>
  <c r="C294"/>
  <c r="BP294" s="1"/>
  <c r="D293"/>
  <c r="C293"/>
  <c r="BP293" s="1"/>
  <c r="D292"/>
  <c r="C292"/>
  <c r="BP292" s="1"/>
  <c r="D291"/>
  <c r="C291"/>
  <c r="BP291" s="1"/>
  <c r="D290"/>
  <c r="C290"/>
  <c r="BP290" s="1"/>
  <c r="D289"/>
  <c r="C289"/>
  <c r="BP289" s="1"/>
  <c r="D288"/>
  <c r="C288"/>
  <c r="BP288" s="1"/>
  <c r="D287"/>
  <c r="C287"/>
  <c r="BP287" s="1"/>
  <c r="D286"/>
  <c r="C286"/>
  <c r="BP286" s="1"/>
  <c r="D285"/>
  <c r="C285"/>
  <c r="BP285" s="1"/>
  <c r="D284"/>
  <c r="C284"/>
  <c r="BP284" s="1"/>
  <c r="D283"/>
  <c r="C283"/>
  <c r="BP283" s="1"/>
  <c r="D282"/>
  <c r="C282"/>
  <c r="BP282" s="1"/>
  <c r="D281"/>
  <c r="C281"/>
  <c r="BP281" s="1"/>
  <c r="D280"/>
  <c r="C280"/>
  <c r="BP280" s="1"/>
  <c r="D279"/>
  <c r="C279"/>
  <c r="BP279" s="1"/>
  <c r="D278"/>
  <c r="C278"/>
  <c r="BP278" s="1"/>
  <c r="D277"/>
  <c r="C277"/>
  <c r="BP277" s="1"/>
  <c r="D276"/>
  <c r="C276"/>
  <c r="BP276" s="1"/>
  <c r="D275"/>
  <c r="C275"/>
  <c r="BP275" s="1"/>
  <c r="D274"/>
  <c r="C274"/>
  <c r="BP274" s="1"/>
  <c r="D273"/>
  <c r="C273"/>
  <c r="BP273" s="1"/>
  <c r="D272"/>
  <c r="C272"/>
  <c r="BP272" s="1"/>
  <c r="D271"/>
  <c r="C271"/>
  <c r="BP271" s="1"/>
  <c r="D270"/>
  <c r="C270"/>
  <c r="BP270" s="1"/>
  <c r="D269"/>
  <c r="C269"/>
  <c r="BP269" s="1"/>
  <c r="D268"/>
  <c r="C268"/>
  <c r="BP268" s="1"/>
  <c r="D267"/>
  <c r="C267"/>
  <c r="BP267" s="1"/>
  <c r="D266"/>
  <c r="C266"/>
  <c r="BP266" s="1"/>
  <c r="D265"/>
  <c r="C265"/>
  <c r="D264"/>
  <c r="C264"/>
  <c r="D263"/>
  <c r="C263"/>
  <c r="BP263" s="1"/>
  <c r="D262"/>
  <c r="C262"/>
  <c r="BP262" s="1"/>
  <c r="D261"/>
  <c r="C261"/>
  <c r="BP261" s="1"/>
  <c r="D260"/>
  <c r="C260"/>
  <c r="BP260" s="1"/>
  <c r="D259"/>
  <c r="C259"/>
  <c r="BP259" s="1"/>
  <c r="D258"/>
  <c r="C258"/>
  <c r="BP258" s="1"/>
  <c r="D257"/>
  <c r="C257"/>
  <c r="BP257" s="1"/>
  <c r="D256"/>
  <c r="C256"/>
  <c r="BP256" s="1"/>
  <c r="D255"/>
  <c r="C255"/>
  <c r="BP255" s="1"/>
  <c r="D254"/>
  <c r="C254"/>
  <c r="BP254" s="1"/>
  <c r="D253"/>
  <c r="C253"/>
  <c r="BP253" s="1"/>
  <c r="D252"/>
  <c r="C252"/>
  <c r="BP252" s="1"/>
  <c r="D251"/>
  <c r="C251"/>
  <c r="BP251" s="1"/>
  <c r="D250"/>
  <c r="C250"/>
  <c r="BP250" s="1"/>
  <c r="D249"/>
  <c r="C249"/>
  <c r="BP249" s="1"/>
  <c r="D248"/>
  <c r="C248"/>
  <c r="BP248" s="1"/>
  <c r="D247"/>
  <c r="C247"/>
  <c r="BP247" s="1"/>
  <c r="D246"/>
  <c r="C246"/>
  <c r="BP246" s="1"/>
  <c r="D245"/>
  <c r="C245"/>
  <c r="BP245" s="1"/>
  <c r="D244"/>
  <c r="C244"/>
  <c r="BP244" s="1"/>
  <c r="D243"/>
  <c r="C243"/>
  <c r="BP243" s="1"/>
  <c r="D242"/>
  <c r="C242"/>
  <c r="BP242" s="1"/>
  <c r="D241"/>
  <c r="C241"/>
  <c r="BP241" s="1"/>
  <c r="D240"/>
  <c r="C240"/>
  <c r="BP240" s="1"/>
  <c r="D239"/>
  <c r="C239"/>
  <c r="BP239" s="1"/>
  <c r="D238"/>
  <c r="C238"/>
  <c r="BP238" s="1"/>
  <c r="D237"/>
  <c r="C237"/>
  <c r="BP237" s="1"/>
  <c r="D236"/>
  <c r="C236"/>
  <c r="BP236" s="1"/>
  <c r="D235"/>
  <c r="C235"/>
  <c r="BP235" s="1"/>
  <c r="D234"/>
  <c r="C234"/>
  <c r="BP234" s="1"/>
  <c r="D233"/>
  <c r="C233"/>
  <c r="BP233" s="1"/>
  <c r="D232"/>
  <c r="C232"/>
  <c r="BP232" s="1"/>
  <c r="D231"/>
  <c r="C231"/>
  <c r="BP231" s="1"/>
  <c r="D230"/>
  <c r="C230"/>
  <c r="BP230" s="1"/>
  <c r="D229"/>
  <c r="C229"/>
  <c r="BP229" s="1"/>
  <c r="D228"/>
  <c r="C228"/>
  <c r="BP228" s="1"/>
  <c r="D227"/>
  <c r="C227"/>
  <c r="BP227" s="1"/>
  <c r="D226"/>
  <c r="C226"/>
  <c r="BP226" s="1"/>
  <c r="D225"/>
  <c r="C225"/>
  <c r="BP225" s="1"/>
  <c r="D224"/>
  <c r="C224"/>
  <c r="BP224" s="1"/>
  <c r="D223"/>
  <c r="C223"/>
  <c r="BP223" s="1"/>
  <c r="D222"/>
  <c r="C222"/>
  <c r="BP222" s="1"/>
  <c r="D221"/>
  <c r="C221"/>
  <c r="BP221" s="1"/>
  <c r="D220"/>
  <c r="D220" i="9" s="1"/>
  <c r="C220" i="5"/>
  <c r="D219"/>
  <c r="D219" i="9" s="1"/>
  <c r="C219" i="5"/>
  <c r="D218"/>
  <c r="D218" i="9" s="1"/>
  <c r="C218" i="5"/>
  <c r="D217"/>
  <c r="D217" i="9" s="1"/>
  <c r="C217" i="5"/>
  <c r="D216"/>
  <c r="D216" i="9" s="1"/>
  <c r="C216" i="5"/>
  <c r="D215"/>
  <c r="D215" i="9" s="1"/>
  <c r="C215" i="5"/>
  <c r="D214"/>
  <c r="D214" i="9" s="1"/>
  <c r="C214" i="5"/>
  <c r="D213"/>
  <c r="D213" i="9" s="1"/>
  <c r="C213" i="5"/>
  <c r="D212"/>
  <c r="D212" i="9" s="1"/>
  <c r="C212" i="5"/>
  <c r="D211"/>
  <c r="D211" i="9" s="1"/>
  <c r="C211" i="5"/>
  <c r="D210"/>
  <c r="D210" i="9" s="1"/>
  <c r="C210" i="5"/>
  <c r="D209"/>
  <c r="D209" i="9" s="1"/>
  <c r="C209" i="5"/>
  <c r="D208"/>
  <c r="D208" i="9" s="1"/>
  <c r="C208" i="5"/>
  <c r="D207"/>
  <c r="D207" i="9" s="1"/>
  <c r="C207" i="5"/>
  <c r="D206"/>
  <c r="D206" i="9" s="1"/>
  <c r="C206" i="5"/>
  <c r="D205"/>
  <c r="D205" i="9" s="1"/>
  <c r="C205" i="5"/>
  <c r="D204"/>
  <c r="D204" i="9" s="1"/>
  <c r="C204" i="5"/>
  <c r="D203"/>
  <c r="D203" i="9" s="1"/>
  <c r="C203" i="5"/>
  <c r="D202"/>
  <c r="D202" i="9" s="1"/>
  <c r="C202" i="5"/>
  <c r="D201"/>
  <c r="D201" i="9" s="1"/>
  <c r="C201" i="5"/>
  <c r="D200"/>
  <c r="D200" i="9" s="1"/>
  <c r="C200" i="5"/>
  <c r="D199"/>
  <c r="D199" i="9" s="1"/>
  <c r="C199" i="5"/>
  <c r="D198"/>
  <c r="D198" i="9" s="1"/>
  <c r="C198" i="5"/>
  <c r="D197"/>
  <c r="D197" i="9" s="1"/>
  <c r="C197" i="5"/>
  <c r="D196"/>
  <c r="D196" i="9" s="1"/>
  <c r="C196" i="5"/>
  <c r="D195"/>
  <c r="D195" i="9" s="1"/>
  <c r="C195" i="5"/>
  <c r="D194"/>
  <c r="D194" i="9" s="1"/>
  <c r="C194" i="5"/>
  <c r="D193"/>
  <c r="D193" i="9" s="1"/>
  <c r="C193" i="5"/>
  <c r="D192"/>
  <c r="D192" i="9" s="1"/>
  <c r="C192" i="5"/>
  <c r="D191"/>
  <c r="D191" i="9" s="1"/>
  <c r="C191" i="5"/>
  <c r="D190"/>
  <c r="D190" i="9" s="1"/>
  <c r="C190" i="5"/>
  <c r="D189"/>
  <c r="D189" i="9" s="1"/>
  <c r="C189" i="5"/>
  <c r="D188"/>
  <c r="D188" i="9" s="1"/>
  <c r="C188" i="5"/>
  <c r="D187"/>
  <c r="D187" i="9" s="1"/>
  <c r="C187" i="5"/>
  <c r="D186"/>
  <c r="D186" i="9" s="1"/>
  <c r="C186" i="5"/>
  <c r="D185"/>
  <c r="D185" i="9" s="1"/>
  <c r="C185" i="5"/>
  <c r="D184"/>
  <c r="D184" i="9" s="1"/>
  <c r="C184" i="5"/>
  <c r="D183"/>
  <c r="D183" i="9" s="1"/>
  <c r="C183" i="5"/>
  <c r="D182"/>
  <c r="D182" i="9" s="1"/>
  <c r="C182" i="5"/>
  <c r="D181"/>
  <c r="D181" i="9" s="1"/>
  <c r="C181" i="5"/>
  <c r="D180"/>
  <c r="D180" i="9" s="1"/>
  <c r="C180" i="5"/>
  <c r="D179"/>
  <c r="D179" i="9" s="1"/>
  <c r="C179" i="5"/>
  <c r="D178"/>
  <c r="D178" i="9" s="1"/>
  <c r="C178" i="5"/>
  <c r="D177"/>
  <c r="D177" i="9" s="1"/>
  <c r="C177" i="5"/>
  <c r="D176"/>
  <c r="D176" i="9" s="1"/>
  <c r="C176" i="5"/>
  <c r="D175"/>
  <c r="D175" i="9" s="1"/>
  <c r="C175" i="5"/>
  <c r="D174"/>
  <c r="D174" i="9" s="1"/>
  <c r="C174" i="5"/>
  <c r="D173"/>
  <c r="D173" i="9" s="1"/>
  <c r="C173" i="5"/>
  <c r="D172"/>
  <c r="D172" i="9" s="1"/>
  <c r="C172" i="5"/>
  <c r="C172" i="9" s="1"/>
  <c r="D171" i="5"/>
  <c r="D171" i="9" s="1"/>
  <c r="C171" i="5"/>
  <c r="C171" i="9" s="1"/>
  <c r="D170" i="5"/>
  <c r="D170" i="9" s="1"/>
  <c r="C170" i="5"/>
  <c r="C170" i="9" s="1"/>
  <c r="D169" i="5"/>
  <c r="D169" i="9" s="1"/>
  <c r="C169" i="5"/>
  <c r="C169" i="9" s="1"/>
  <c r="D168" i="5"/>
  <c r="D168" i="9" s="1"/>
  <c r="C168" i="5"/>
  <c r="C168" i="9" s="1"/>
  <c r="D167" i="5"/>
  <c r="D167" i="9" s="1"/>
  <c r="C167" i="5"/>
  <c r="C167" i="9" s="1"/>
  <c r="D166" i="5"/>
  <c r="D166" i="9" s="1"/>
  <c r="C166" i="5"/>
  <c r="C166" i="9" s="1"/>
  <c r="D165" i="5"/>
  <c r="D165" i="9" s="1"/>
  <c r="C165" i="5"/>
  <c r="C165" i="9" s="1"/>
  <c r="D164" i="5"/>
  <c r="D164" i="9" s="1"/>
  <c r="C164" i="5"/>
  <c r="C164" i="9" s="1"/>
  <c r="D163" i="5"/>
  <c r="D163" i="9" s="1"/>
  <c r="C163" i="5"/>
  <c r="C163" i="9" s="1"/>
  <c r="D162" i="5"/>
  <c r="D162" i="9" s="1"/>
  <c r="C162" i="5"/>
  <c r="C162" i="9" s="1"/>
  <c r="D161" i="5"/>
  <c r="D161" i="9" s="1"/>
  <c r="C161" i="5"/>
  <c r="C161" i="9" s="1"/>
  <c r="D160" i="5"/>
  <c r="D160" i="9" s="1"/>
  <c r="C160" i="5"/>
  <c r="C160" i="9" s="1"/>
  <c r="D159" i="5"/>
  <c r="D159" i="9" s="1"/>
  <c r="C159" i="5"/>
  <c r="C159" i="9" s="1"/>
  <c r="D158" i="5"/>
  <c r="D158" i="9" s="1"/>
  <c r="C158" i="5"/>
  <c r="C158" i="9" s="1"/>
  <c r="D157" i="5"/>
  <c r="D157" i="9" s="1"/>
  <c r="C157" i="5"/>
  <c r="C157" i="9" s="1"/>
  <c r="D156" i="5"/>
  <c r="D156" i="9" s="1"/>
  <c r="C156" i="5"/>
  <c r="C156" i="9" s="1"/>
  <c r="D155" i="5"/>
  <c r="D155" i="9" s="1"/>
  <c r="C155" i="5"/>
  <c r="C155" i="9" s="1"/>
  <c r="D154" i="5"/>
  <c r="D154" i="9" s="1"/>
  <c r="C154" i="5"/>
  <c r="C154" i="9" s="1"/>
  <c r="D153" i="5"/>
  <c r="D153" i="9" s="1"/>
  <c r="C153" i="5"/>
  <c r="C153" i="9" s="1"/>
  <c r="D152" i="5"/>
  <c r="D152" i="9" s="1"/>
  <c r="C152" i="5"/>
  <c r="C152" i="9" s="1"/>
  <c r="D151" i="5"/>
  <c r="D151" i="9" s="1"/>
  <c r="C151" i="5"/>
  <c r="C151" i="9" s="1"/>
  <c r="D150" i="5"/>
  <c r="D150" i="9" s="1"/>
  <c r="C150" i="5"/>
  <c r="C150" i="9" s="1"/>
  <c r="D149" i="5"/>
  <c r="D149" i="9" s="1"/>
  <c r="C149" i="5"/>
  <c r="C149" i="9" s="1"/>
  <c r="D148" i="5"/>
  <c r="D148" i="9" s="1"/>
  <c r="C148" i="5"/>
  <c r="C148" i="9" s="1"/>
  <c r="D147" i="5"/>
  <c r="D147" i="9" s="1"/>
  <c r="C147" i="5"/>
  <c r="C147" i="9" s="1"/>
  <c r="D146" i="5"/>
  <c r="D146" i="9" s="1"/>
  <c r="C146" i="5"/>
  <c r="C146" i="9" s="1"/>
  <c r="D145" i="5"/>
  <c r="D145" i="9" s="1"/>
  <c r="C145" i="5"/>
  <c r="C145" i="9" s="1"/>
  <c r="D144" i="5"/>
  <c r="D144" i="9" s="1"/>
  <c r="C144" i="5"/>
  <c r="C144" i="9" s="1"/>
  <c r="D143" i="5"/>
  <c r="D143" i="9" s="1"/>
  <c r="C143" i="5"/>
  <c r="C143" i="9" s="1"/>
  <c r="D142" i="5"/>
  <c r="D142" i="9" s="1"/>
  <c r="C142" i="5"/>
  <c r="C142" i="9" s="1"/>
  <c r="D141" i="5"/>
  <c r="D141" i="9" s="1"/>
  <c r="C141" i="5"/>
  <c r="C141" i="9" s="1"/>
  <c r="D140" i="5"/>
  <c r="D140" i="9" s="1"/>
  <c r="C140" i="5"/>
  <c r="C140" i="9" s="1"/>
  <c r="D139" i="5"/>
  <c r="D139" i="9" s="1"/>
  <c r="C139" i="5"/>
  <c r="C139" i="9" s="1"/>
  <c r="D138" i="5"/>
  <c r="D138" i="9" s="1"/>
  <c r="C138" i="5"/>
  <c r="C138" i="9" s="1"/>
  <c r="D137" i="5"/>
  <c r="D137" i="9" s="1"/>
  <c r="C137" i="5"/>
  <c r="C137" i="9" s="1"/>
  <c r="D136" i="5"/>
  <c r="D136" i="9" s="1"/>
  <c r="C136" i="5"/>
  <c r="C136" i="9" s="1"/>
  <c r="D135" i="5"/>
  <c r="D135" i="9" s="1"/>
  <c r="C135" i="5"/>
  <c r="C135" i="9" s="1"/>
  <c r="D134" i="5"/>
  <c r="D134" i="9" s="1"/>
  <c r="C134" i="5"/>
  <c r="C134" i="9" s="1"/>
  <c r="D133" i="5"/>
  <c r="D133" i="9" s="1"/>
  <c r="C133" i="5"/>
  <c r="C133" i="9" s="1"/>
  <c r="D132" i="5"/>
  <c r="D132" i="9" s="1"/>
  <c r="C132" i="5"/>
  <c r="C132" i="9" s="1"/>
  <c r="D131" i="5"/>
  <c r="D131" i="9" s="1"/>
  <c r="C131" i="5"/>
  <c r="C131" i="9" s="1"/>
  <c r="D130" i="5"/>
  <c r="D130" i="9" s="1"/>
  <c r="C130" i="5"/>
  <c r="C130" i="9" s="1"/>
  <c r="D129" i="5"/>
  <c r="D129" i="9" s="1"/>
  <c r="C129" i="5"/>
  <c r="C129" i="9" s="1"/>
  <c r="D128" i="5"/>
  <c r="D128" i="9" s="1"/>
  <c r="C128" i="5"/>
  <c r="C128" i="9" s="1"/>
  <c r="D127" i="5"/>
  <c r="D127" i="9" s="1"/>
  <c r="C127" i="5"/>
  <c r="C127" i="9" s="1"/>
  <c r="D126" i="5"/>
  <c r="D126" i="9" s="1"/>
  <c r="C126" i="5"/>
  <c r="C126" i="9" s="1"/>
  <c r="D125" i="5"/>
  <c r="D125" i="9" s="1"/>
  <c r="C125" i="5"/>
  <c r="C125" i="9" s="1"/>
  <c r="D124" i="5"/>
  <c r="D124" i="9" s="1"/>
  <c r="C124" i="5"/>
  <c r="C124" i="9" s="1"/>
  <c r="D123" i="5"/>
  <c r="D123" i="9" s="1"/>
  <c r="C123" i="5"/>
  <c r="C123" i="9" s="1"/>
  <c r="D122" i="5"/>
  <c r="D122" i="9" s="1"/>
  <c r="C122" i="5"/>
  <c r="C122" i="9" s="1"/>
  <c r="D121" i="5"/>
  <c r="D121" i="9" s="1"/>
  <c r="C121" i="5"/>
  <c r="C121" i="9" s="1"/>
  <c r="D120" i="5"/>
  <c r="D120" i="9" s="1"/>
  <c r="C120" i="5"/>
  <c r="C120" i="9" s="1"/>
  <c r="D119" i="5"/>
  <c r="D119" i="9" s="1"/>
  <c r="C119" i="5"/>
  <c r="C119" i="9" s="1"/>
  <c r="D118" i="5"/>
  <c r="D118" i="9" s="1"/>
  <c r="C118" i="5"/>
  <c r="C118" i="9" s="1"/>
  <c r="D117" i="5"/>
  <c r="D117" i="9" s="1"/>
  <c r="C117" i="5"/>
  <c r="C117" i="9" s="1"/>
  <c r="D116" i="5"/>
  <c r="D116" i="9" s="1"/>
  <c r="C116" i="5"/>
  <c r="C116" i="9" s="1"/>
  <c r="D115" i="5"/>
  <c r="D115" i="9" s="1"/>
  <c r="C115" i="5"/>
  <c r="C115" i="9" s="1"/>
  <c r="D114" i="5"/>
  <c r="D114" i="9" s="1"/>
  <c r="C114" i="5"/>
  <c r="C114" i="9" s="1"/>
  <c r="D113" i="5"/>
  <c r="D113" i="9" s="1"/>
  <c r="C113" i="5"/>
  <c r="C113" i="9" s="1"/>
  <c r="D112" i="5"/>
  <c r="D112" i="9" s="1"/>
  <c r="C112" i="5"/>
  <c r="C112" i="9" s="1"/>
  <c r="D111" i="5"/>
  <c r="D111" i="9" s="1"/>
  <c r="C111" i="5"/>
  <c r="C111" i="9" s="1"/>
  <c r="D110" i="5"/>
  <c r="D110" i="9" s="1"/>
  <c r="C110" i="5"/>
  <c r="C110" i="9" s="1"/>
  <c r="D109" i="5"/>
  <c r="D109" i="9" s="1"/>
  <c r="C109" i="5"/>
  <c r="C109" i="9" s="1"/>
  <c r="D108" i="5"/>
  <c r="D108" i="9" s="1"/>
  <c r="C108" i="5"/>
  <c r="C108" i="9" s="1"/>
  <c r="D107" i="5"/>
  <c r="D107" i="9" s="1"/>
  <c r="C107" i="5"/>
  <c r="C107" i="9" s="1"/>
  <c r="D106" i="5"/>
  <c r="D106" i="9" s="1"/>
  <c r="C106" i="5"/>
  <c r="C106" i="9" s="1"/>
  <c r="D105" i="5"/>
  <c r="D105" i="9" s="1"/>
  <c r="C105" i="5"/>
  <c r="C105" i="9" s="1"/>
  <c r="D104" i="5"/>
  <c r="D104" i="9" s="1"/>
  <c r="C104" i="5"/>
  <c r="C104" i="9" s="1"/>
  <c r="D103" i="5"/>
  <c r="D103" i="9" s="1"/>
  <c r="C103" i="5"/>
  <c r="C103" i="9" s="1"/>
  <c r="D102" i="5"/>
  <c r="D102" i="9" s="1"/>
  <c r="C102" i="5"/>
  <c r="C102" i="9" s="1"/>
  <c r="D101" i="5"/>
  <c r="D101" i="9" s="1"/>
  <c r="C101" i="5"/>
  <c r="C101" i="9" s="1"/>
  <c r="D100" i="5"/>
  <c r="D100" i="9" s="1"/>
  <c r="C100" i="5"/>
  <c r="C100" i="9" s="1"/>
  <c r="D99" i="5"/>
  <c r="D99" i="9" s="1"/>
  <c r="C99" i="5"/>
  <c r="C99" i="9" s="1"/>
  <c r="D98" i="5"/>
  <c r="D98" i="9" s="1"/>
  <c r="C98" i="5"/>
  <c r="C98" i="9" s="1"/>
  <c r="D97" i="5"/>
  <c r="D97" i="9" s="1"/>
  <c r="C97" i="5"/>
  <c r="C97" i="9" s="1"/>
  <c r="D96" i="5"/>
  <c r="D96" i="9" s="1"/>
  <c r="C96" i="5"/>
  <c r="C96" i="9" s="1"/>
  <c r="D95" i="5"/>
  <c r="D95" i="9" s="1"/>
  <c r="C95" i="5"/>
  <c r="C95" i="9" s="1"/>
  <c r="D94" i="5"/>
  <c r="D94" i="9" s="1"/>
  <c r="C94" i="5"/>
  <c r="C94" i="9" s="1"/>
  <c r="D93" i="5"/>
  <c r="D93" i="9" s="1"/>
  <c r="C93" i="5"/>
  <c r="C93" i="9" s="1"/>
  <c r="D92" i="5"/>
  <c r="D92" i="9" s="1"/>
  <c r="C92" i="5"/>
  <c r="C92" i="9" s="1"/>
  <c r="D91" i="5"/>
  <c r="D91" i="9" s="1"/>
  <c r="C91" i="5"/>
  <c r="C91" i="9" s="1"/>
  <c r="D90" i="5"/>
  <c r="D90" i="9" s="1"/>
  <c r="C90" i="5"/>
  <c r="C90" i="9" s="1"/>
  <c r="D89" i="5"/>
  <c r="D89" i="9" s="1"/>
  <c r="C89" i="5"/>
  <c r="C89" i="9" s="1"/>
  <c r="D88" i="5"/>
  <c r="D88" i="9" s="1"/>
  <c r="C88" i="5"/>
  <c r="C88" i="9" s="1"/>
  <c r="D87" i="5"/>
  <c r="D87" i="9" s="1"/>
  <c r="C87" i="5"/>
  <c r="C87" i="9" s="1"/>
  <c r="D86" i="5"/>
  <c r="D86" i="9" s="1"/>
  <c r="C86" i="5"/>
  <c r="C86" i="9" s="1"/>
  <c r="D85" i="5"/>
  <c r="D85" i="9" s="1"/>
  <c r="C85" i="5"/>
  <c r="C85" i="9" s="1"/>
  <c r="D84" i="5"/>
  <c r="D84" i="9" s="1"/>
  <c r="C84" i="5"/>
  <c r="C84" i="9" s="1"/>
  <c r="D83" i="5"/>
  <c r="D83" i="9" s="1"/>
  <c r="C83" i="5"/>
  <c r="C83" i="9" s="1"/>
  <c r="D82" i="5"/>
  <c r="D82" i="9" s="1"/>
  <c r="C82" i="5"/>
  <c r="C82" i="9" s="1"/>
  <c r="D81" i="5"/>
  <c r="D81" i="9" s="1"/>
  <c r="C81" i="5"/>
  <c r="C81" i="9" s="1"/>
  <c r="D80" i="5"/>
  <c r="D80" i="9" s="1"/>
  <c r="C80" i="5"/>
  <c r="C80" i="9" s="1"/>
  <c r="D79" i="5"/>
  <c r="D79" i="9" s="1"/>
  <c r="C79" i="5"/>
  <c r="C79" i="9" s="1"/>
  <c r="D78" i="5"/>
  <c r="D78" i="9" s="1"/>
  <c r="C78" i="5"/>
  <c r="C78" i="9" s="1"/>
  <c r="D77" i="5"/>
  <c r="D77" i="9" s="1"/>
  <c r="C77" i="5"/>
  <c r="C77" i="9" s="1"/>
  <c r="D76" i="5"/>
  <c r="D76" i="9" s="1"/>
  <c r="C76" i="5"/>
  <c r="C76" i="9" s="1"/>
  <c r="D75" i="5"/>
  <c r="D75" i="9" s="1"/>
  <c r="C75" i="5"/>
  <c r="C75" i="9" s="1"/>
  <c r="D74" i="5"/>
  <c r="D74" i="9" s="1"/>
  <c r="C74" i="5"/>
  <c r="C74" i="9" s="1"/>
  <c r="D73" i="5"/>
  <c r="D73" i="9" s="1"/>
  <c r="C73" i="5"/>
  <c r="C73" i="9" s="1"/>
  <c r="D72" i="5"/>
  <c r="D72" i="9" s="1"/>
  <c r="C72" i="5"/>
  <c r="C72" i="9" s="1"/>
  <c r="D71" i="5"/>
  <c r="D71" i="9" s="1"/>
  <c r="C71" i="5"/>
  <c r="C71" i="9" s="1"/>
  <c r="D70" i="5"/>
  <c r="D70" i="9" s="1"/>
  <c r="C70" i="5"/>
  <c r="C70" i="9" s="1"/>
  <c r="D69" i="5"/>
  <c r="D69" i="9" s="1"/>
  <c r="C69" i="5"/>
  <c r="C69" i="9" s="1"/>
  <c r="D68" i="5"/>
  <c r="D68" i="9" s="1"/>
  <c r="C68" i="5"/>
  <c r="C68" i="9" s="1"/>
  <c r="D67" i="5"/>
  <c r="D67" i="9" s="1"/>
  <c r="C67" i="5"/>
  <c r="C67" i="9" s="1"/>
  <c r="D66" i="5"/>
  <c r="D66" i="9" s="1"/>
  <c r="C66" i="5"/>
  <c r="C66" i="9" s="1"/>
  <c r="D65" i="5"/>
  <c r="D65" i="9" s="1"/>
  <c r="C65" i="5"/>
  <c r="C65" i="9" s="1"/>
  <c r="D64" i="5"/>
  <c r="D64" i="9" s="1"/>
  <c r="C64" i="5"/>
  <c r="C64" i="9" s="1"/>
  <c r="D63" i="5"/>
  <c r="D63" i="9" s="1"/>
  <c r="C63" i="5"/>
  <c r="C63" i="9" s="1"/>
  <c r="D62" i="5"/>
  <c r="D62" i="9" s="1"/>
  <c r="C62" i="5"/>
  <c r="C62" i="9" s="1"/>
  <c r="D61" i="5"/>
  <c r="D61" i="9" s="1"/>
  <c r="C61" i="5"/>
  <c r="C61" i="9" s="1"/>
  <c r="D60" i="5"/>
  <c r="D60" i="9" s="1"/>
  <c r="C60" i="5"/>
  <c r="C60" i="9" s="1"/>
  <c r="D59" i="5"/>
  <c r="D59" i="9" s="1"/>
  <c r="C59" i="5"/>
  <c r="C59" i="9" s="1"/>
  <c r="D58" i="5"/>
  <c r="D58" i="9" s="1"/>
  <c r="C58" i="5"/>
  <c r="C58" i="9" s="1"/>
  <c r="D57" i="5"/>
  <c r="D57" i="9" s="1"/>
  <c r="C57" i="5"/>
  <c r="C57" i="9" s="1"/>
  <c r="D56" i="5"/>
  <c r="D56" i="9" s="1"/>
  <c r="C56" i="5"/>
  <c r="C56" i="9" s="1"/>
  <c r="D55" i="5"/>
  <c r="D55" i="9" s="1"/>
  <c r="C55" i="5"/>
  <c r="C55" i="9" s="1"/>
  <c r="D54" i="5"/>
  <c r="D54" i="9" s="1"/>
  <c r="C54" i="5"/>
  <c r="C54" i="9" s="1"/>
  <c r="D53" i="5"/>
  <c r="D53" i="9" s="1"/>
  <c r="C53" i="5"/>
  <c r="C53" i="9" s="1"/>
  <c r="D52" i="5"/>
  <c r="D52" i="9" s="1"/>
  <c r="C52" i="5"/>
  <c r="C52" i="9" s="1"/>
  <c r="D51" i="5"/>
  <c r="D51" i="9" s="1"/>
  <c r="C51" i="5"/>
  <c r="C51" i="9" s="1"/>
  <c r="D50" i="5"/>
  <c r="D50" i="9" s="1"/>
  <c r="C50" i="5"/>
  <c r="C50" i="9" s="1"/>
  <c r="D49" i="5"/>
  <c r="D49" i="9" s="1"/>
  <c r="C49" i="5"/>
  <c r="C49" i="9" s="1"/>
  <c r="D48" i="5"/>
  <c r="D48" i="9" s="1"/>
  <c r="C48" i="5"/>
  <c r="C48" i="9" s="1"/>
  <c r="D47" i="5"/>
  <c r="D47" i="9" s="1"/>
  <c r="C47" i="5"/>
  <c r="C47" i="9" s="1"/>
  <c r="D46" i="5"/>
  <c r="D46" i="9" s="1"/>
  <c r="C46" i="5"/>
  <c r="C46" i="9" s="1"/>
  <c r="D45" i="5"/>
  <c r="D45" i="9" s="1"/>
  <c r="C45" i="5"/>
  <c r="C45" i="9" s="1"/>
  <c r="D44" i="5"/>
  <c r="D44" i="9" s="1"/>
  <c r="C44" i="5"/>
  <c r="C44" i="9" s="1"/>
  <c r="D43" i="5"/>
  <c r="D43" i="9" s="1"/>
  <c r="C43" i="5"/>
  <c r="C43" i="9" s="1"/>
  <c r="D42" i="5"/>
  <c r="D42" i="9" s="1"/>
  <c r="C42" i="5"/>
  <c r="C42" i="9" s="1"/>
  <c r="D41" i="5"/>
  <c r="D41" i="9" s="1"/>
  <c r="C41" i="5"/>
  <c r="C41" i="9" s="1"/>
  <c r="D40" i="5"/>
  <c r="D40" i="9" s="1"/>
  <c r="C40" i="5"/>
  <c r="C40" i="9" s="1"/>
  <c r="D39" i="5"/>
  <c r="D39" i="9" s="1"/>
  <c r="C39" i="5"/>
  <c r="C39" i="9" s="1"/>
  <c r="D38" i="5"/>
  <c r="D38" i="9" s="1"/>
  <c r="C38" i="5"/>
  <c r="C38" i="9" s="1"/>
  <c r="D37" i="5"/>
  <c r="D37" i="9" s="1"/>
  <c r="C37" i="5"/>
  <c r="C37" i="9" s="1"/>
  <c r="D36" i="5"/>
  <c r="D36" i="9" s="1"/>
  <c r="C36" i="5"/>
  <c r="C36" i="9" s="1"/>
  <c r="D35" i="5"/>
  <c r="D35" i="9" s="1"/>
  <c r="C35" i="5"/>
  <c r="C35" i="9" s="1"/>
  <c r="D34" i="5"/>
  <c r="D34" i="9" s="1"/>
  <c r="C34" i="5"/>
  <c r="C34" i="9" s="1"/>
  <c r="D33" i="5"/>
  <c r="D33" i="9" s="1"/>
  <c r="C33" i="5"/>
  <c r="C33" i="9" s="1"/>
  <c r="D32" i="5"/>
  <c r="D32" i="9" s="1"/>
  <c r="C32" i="5"/>
  <c r="C32" i="9" s="1"/>
  <c r="D31" i="5"/>
  <c r="D31" i="9" s="1"/>
  <c r="C31" i="5"/>
  <c r="C31" i="9" s="1"/>
  <c r="D30" i="5"/>
  <c r="D30" i="9" s="1"/>
  <c r="C30" i="5"/>
  <c r="C30" i="9" s="1"/>
  <c r="D29" i="5"/>
  <c r="D29" i="9" s="1"/>
  <c r="C29" i="5"/>
  <c r="C29" i="9" s="1"/>
  <c r="D28" i="5"/>
  <c r="D28" i="9" s="1"/>
  <c r="C28" i="5"/>
  <c r="C28" i="9" s="1"/>
  <c r="D27" i="5"/>
  <c r="D27" i="9" s="1"/>
  <c r="C27" i="5"/>
  <c r="C27" i="9" s="1"/>
  <c r="D26" i="5"/>
  <c r="D26" i="9" s="1"/>
  <c r="C26" i="5"/>
  <c r="C26" i="9" s="1"/>
  <c r="D25" i="5"/>
  <c r="D25" i="9" s="1"/>
  <c r="C25" i="5"/>
  <c r="C25" i="9" s="1"/>
  <c r="D24" i="5"/>
  <c r="D24" i="9" s="1"/>
  <c r="C24" i="5"/>
  <c r="C24" i="9" s="1"/>
  <c r="D23" i="5"/>
  <c r="D23" i="9" s="1"/>
  <c r="C23" i="5"/>
  <c r="C23" i="9" s="1"/>
  <c r="D22" i="5"/>
  <c r="D22" i="9" s="1"/>
  <c r="C22" i="5"/>
  <c r="C22" i="9" s="1"/>
  <c r="D21" i="5"/>
  <c r="D21" i="9" s="1"/>
  <c r="C21" i="5"/>
  <c r="C21" i="9" s="1"/>
  <c r="D20" i="5"/>
  <c r="D20" i="9" s="1"/>
  <c r="C20" i="5"/>
  <c r="C20" i="9" s="1"/>
  <c r="D19" i="5"/>
  <c r="D19" i="9" s="1"/>
  <c r="C19" i="5"/>
  <c r="C19" i="9" s="1"/>
  <c r="D18" i="5"/>
  <c r="D18" i="9" s="1"/>
  <c r="C18" i="5"/>
  <c r="C18" i="9" s="1"/>
  <c r="D17" i="5"/>
  <c r="D17" i="9" s="1"/>
  <c r="C17" i="5"/>
  <c r="C17" i="9" s="1"/>
  <c r="D328" i="1"/>
  <c r="F328" s="1"/>
  <c r="C328"/>
  <c r="D327"/>
  <c r="F327" s="1"/>
  <c r="C327"/>
  <c r="D326"/>
  <c r="F326" s="1"/>
  <c r="C326"/>
  <c r="D325"/>
  <c r="F325" s="1"/>
  <c r="C325"/>
  <c r="D324"/>
  <c r="F324" s="1"/>
  <c r="C324"/>
  <c r="D323"/>
  <c r="F323" s="1"/>
  <c r="C323"/>
  <c r="D322"/>
  <c r="F322" s="1"/>
  <c r="C322"/>
  <c r="D321"/>
  <c r="F321" s="1"/>
  <c r="C321"/>
  <c r="D320"/>
  <c r="F320" s="1"/>
  <c r="C320"/>
  <c r="D319"/>
  <c r="F319" s="1"/>
  <c r="C319"/>
  <c r="D318"/>
  <c r="F318" s="1"/>
  <c r="C318"/>
  <c r="D317"/>
  <c r="F317" s="1"/>
  <c r="C317"/>
  <c r="D316"/>
  <c r="F316" s="1"/>
  <c r="C316"/>
  <c r="D315"/>
  <c r="F315" s="1"/>
  <c r="C315"/>
  <c r="D314"/>
  <c r="F314" s="1"/>
  <c r="C314"/>
  <c r="D313"/>
  <c r="F313" s="1"/>
  <c r="C313"/>
  <c r="D312"/>
  <c r="F312" s="1"/>
  <c r="C312"/>
  <c r="D311"/>
  <c r="F311" s="1"/>
  <c r="C311"/>
  <c r="D310"/>
  <c r="F310" s="1"/>
  <c r="C310"/>
  <c r="D309"/>
  <c r="F309" s="1"/>
  <c r="C309"/>
  <c r="D308"/>
  <c r="F308" s="1"/>
  <c r="C308"/>
  <c r="D307"/>
  <c r="F307" s="1"/>
  <c r="C307"/>
  <c r="D306"/>
  <c r="F306" s="1"/>
  <c r="C306"/>
  <c r="D305"/>
  <c r="F305" s="1"/>
  <c r="C305"/>
  <c r="D304"/>
  <c r="F304" s="1"/>
  <c r="C304"/>
  <c r="D303"/>
  <c r="F303" s="1"/>
  <c r="C303"/>
  <c r="D302"/>
  <c r="F302" s="1"/>
  <c r="C302"/>
  <c r="D301"/>
  <c r="F301" s="1"/>
  <c r="C301"/>
  <c r="D300"/>
  <c r="F300" s="1"/>
  <c r="C300"/>
  <c r="D299"/>
  <c r="F299" s="1"/>
  <c r="C299"/>
  <c r="D298"/>
  <c r="F298" s="1"/>
  <c r="C298"/>
  <c r="D297"/>
  <c r="F297" s="1"/>
  <c r="C297"/>
  <c r="D296"/>
  <c r="F296" s="1"/>
  <c r="C296"/>
  <c r="D295"/>
  <c r="F295" s="1"/>
  <c r="C295"/>
  <c r="D294"/>
  <c r="F294" s="1"/>
  <c r="C294"/>
  <c r="D293"/>
  <c r="F293" s="1"/>
  <c r="C293"/>
  <c r="D292"/>
  <c r="F292" s="1"/>
  <c r="C292"/>
  <c r="D291"/>
  <c r="F291" s="1"/>
  <c r="C291"/>
  <c r="D290"/>
  <c r="F290" s="1"/>
  <c r="C290"/>
  <c r="D289"/>
  <c r="F289" s="1"/>
  <c r="C289"/>
  <c r="D288"/>
  <c r="F288" s="1"/>
  <c r="C288"/>
  <c r="D287"/>
  <c r="F287" s="1"/>
  <c r="C287"/>
  <c r="D286"/>
  <c r="F286" s="1"/>
  <c r="C286"/>
  <c r="D285"/>
  <c r="F285" s="1"/>
  <c r="C285"/>
  <c r="D284"/>
  <c r="F284" s="1"/>
  <c r="C284"/>
  <c r="D283"/>
  <c r="F283" s="1"/>
  <c r="C283"/>
  <c r="D282"/>
  <c r="F282" s="1"/>
  <c r="C282"/>
  <c r="D281"/>
  <c r="F281" s="1"/>
  <c r="C281"/>
  <c r="D280"/>
  <c r="F280" s="1"/>
  <c r="C280"/>
  <c r="D279"/>
  <c r="F279" s="1"/>
  <c r="C279"/>
  <c r="D278"/>
  <c r="F278" s="1"/>
  <c r="C278"/>
  <c r="D277"/>
  <c r="F277" s="1"/>
  <c r="C277"/>
  <c r="D276"/>
  <c r="F276" s="1"/>
  <c r="C276"/>
  <c r="D275"/>
  <c r="F275" s="1"/>
  <c r="C275"/>
  <c r="D274"/>
  <c r="F274" s="1"/>
  <c r="C274"/>
  <c r="D273"/>
  <c r="F273" s="1"/>
  <c r="C273"/>
  <c r="D272"/>
  <c r="F272" s="1"/>
  <c r="C272"/>
  <c r="D271"/>
  <c r="F271" s="1"/>
  <c r="C271"/>
  <c r="D270"/>
  <c r="F270" s="1"/>
  <c r="C270"/>
  <c r="D269"/>
  <c r="F269" s="1"/>
  <c r="C269"/>
  <c r="D268"/>
  <c r="F268" s="1"/>
  <c r="C268"/>
  <c r="D267"/>
  <c r="F267" s="1"/>
  <c r="C267"/>
  <c r="D266"/>
  <c r="F266" s="1"/>
  <c r="C266"/>
  <c r="D265"/>
  <c r="F265" s="1"/>
  <c r="C265"/>
  <c r="D264"/>
  <c r="F264" s="1"/>
  <c r="C264"/>
  <c r="D263"/>
  <c r="F263" s="1"/>
  <c r="C263"/>
  <c r="D262"/>
  <c r="F262" s="1"/>
  <c r="C262"/>
  <c r="D261"/>
  <c r="F261" s="1"/>
  <c r="C261"/>
  <c r="D260"/>
  <c r="F260" s="1"/>
  <c r="C260"/>
  <c r="D259"/>
  <c r="F259" s="1"/>
  <c r="C259"/>
  <c r="D258"/>
  <c r="F258" s="1"/>
  <c r="C258"/>
  <c r="D257"/>
  <c r="F257" s="1"/>
  <c r="C257"/>
  <c r="D256"/>
  <c r="F256" s="1"/>
  <c r="C256"/>
  <c r="D255"/>
  <c r="F255" s="1"/>
  <c r="C255"/>
  <c r="D254"/>
  <c r="F254" s="1"/>
  <c r="C254"/>
  <c r="D253"/>
  <c r="F253" s="1"/>
  <c r="C253"/>
  <c r="D252"/>
  <c r="F252" s="1"/>
  <c r="C252"/>
  <c r="D251"/>
  <c r="F251" s="1"/>
  <c r="C251"/>
  <c r="D250"/>
  <c r="F250" s="1"/>
  <c r="C250"/>
  <c r="D249"/>
  <c r="F249" s="1"/>
  <c r="C249"/>
  <c r="D248"/>
  <c r="F248" s="1"/>
  <c r="C248"/>
  <c r="D247"/>
  <c r="F247" s="1"/>
  <c r="C247"/>
  <c r="D246"/>
  <c r="F246" s="1"/>
  <c r="C246"/>
  <c r="D245"/>
  <c r="F245" s="1"/>
  <c r="C245"/>
  <c r="D244"/>
  <c r="F244" s="1"/>
  <c r="C244"/>
  <c r="D243"/>
  <c r="F243" s="1"/>
  <c r="C243"/>
  <c r="D242"/>
  <c r="F242" s="1"/>
  <c r="C242"/>
  <c r="D241"/>
  <c r="F241" s="1"/>
  <c r="C241"/>
  <c r="D240"/>
  <c r="F240" s="1"/>
  <c r="C240"/>
  <c r="D239"/>
  <c r="F239" s="1"/>
  <c r="C239"/>
  <c r="D238"/>
  <c r="F238" s="1"/>
  <c r="C238"/>
  <c r="D237"/>
  <c r="F237" s="1"/>
  <c r="C237"/>
  <c r="D236"/>
  <c r="F236" s="1"/>
  <c r="C236"/>
  <c r="D235"/>
  <c r="F235" s="1"/>
  <c r="C235"/>
  <c r="D234"/>
  <c r="F234" s="1"/>
  <c r="C234"/>
  <c r="D233"/>
  <c r="F233" s="1"/>
  <c r="C233"/>
  <c r="D232"/>
  <c r="F232" s="1"/>
  <c r="C232"/>
  <c r="D231"/>
  <c r="F231" s="1"/>
  <c r="C231"/>
  <c r="D230"/>
  <c r="F230" s="1"/>
  <c r="C230"/>
  <c r="D229"/>
  <c r="F229" s="1"/>
  <c r="C229"/>
  <c r="D228"/>
  <c r="F228" s="1"/>
  <c r="C228"/>
  <c r="D227"/>
  <c r="F227" s="1"/>
  <c r="C227"/>
  <c r="D226"/>
  <c r="F226" s="1"/>
  <c r="C226"/>
  <c r="D225"/>
  <c r="F225" s="1"/>
  <c r="C225"/>
  <c r="D224"/>
  <c r="F224" s="1"/>
  <c r="C224"/>
  <c r="D223"/>
  <c r="F223" s="1"/>
  <c r="C223"/>
  <c r="D222"/>
  <c r="F222" s="1"/>
  <c r="C222"/>
  <c r="D221"/>
  <c r="F221" s="1"/>
  <c r="C221"/>
  <c r="E328" i="7"/>
  <c r="D328"/>
  <c r="C328"/>
  <c r="E327"/>
  <c r="D327"/>
  <c r="C327"/>
  <c r="E326"/>
  <c r="D326"/>
  <c r="C326"/>
  <c r="E325"/>
  <c r="D325"/>
  <c r="C325"/>
  <c r="E324"/>
  <c r="D324"/>
  <c r="C324"/>
  <c r="E323"/>
  <c r="D323"/>
  <c r="C323"/>
  <c r="E322"/>
  <c r="D322"/>
  <c r="C322"/>
  <c r="E321"/>
  <c r="D321"/>
  <c r="C321"/>
  <c r="E320"/>
  <c r="D320"/>
  <c r="C320"/>
  <c r="E319"/>
  <c r="D319"/>
  <c r="C319"/>
  <c r="E318"/>
  <c r="D318"/>
  <c r="C318"/>
  <c r="E317"/>
  <c r="D317"/>
  <c r="C317"/>
  <c r="E316"/>
  <c r="D316"/>
  <c r="C316"/>
  <c r="E315"/>
  <c r="D315"/>
  <c r="C315"/>
  <c r="E314"/>
  <c r="D314"/>
  <c r="C314"/>
  <c r="E313"/>
  <c r="D313"/>
  <c r="C313"/>
  <c r="E312"/>
  <c r="D312"/>
  <c r="C312"/>
  <c r="E311"/>
  <c r="D311"/>
  <c r="C311"/>
  <c r="E310"/>
  <c r="D310"/>
  <c r="C310"/>
  <c r="E309"/>
  <c r="D309"/>
  <c r="C309"/>
  <c r="E308"/>
  <c r="D308"/>
  <c r="C308"/>
  <c r="E307"/>
  <c r="D307"/>
  <c r="C307"/>
  <c r="E306"/>
  <c r="D306"/>
  <c r="C306"/>
  <c r="E305"/>
  <c r="D305"/>
  <c r="C305"/>
  <c r="E304"/>
  <c r="D304"/>
  <c r="C304"/>
  <c r="E303"/>
  <c r="D303"/>
  <c r="C303"/>
  <c r="E302"/>
  <c r="D302"/>
  <c r="C302"/>
  <c r="E301"/>
  <c r="D301"/>
  <c r="C301"/>
  <c r="E300"/>
  <c r="D300"/>
  <c r="C300"/>
  <c r="E299"/>
  <c r="D299"/>
  <c r="C299"/>
  <c r="E298"/>
  <c r="D298"/>
  <c r="C298"/>
  <c r="E297"/>
  <c r="D297"/>
  <c r="C297"/>
  <c r="E296"/>
  <c r="D296"/>
  <c r="C296"/>
  <c r="E295"/>
  <c r="D295"/>
  <c r="C295"/>
  <c r="E294"/>
  <c r="D294"/>
  <c r="C294"/>
  <c r="E293"/>
  <c r="D293"/>
  <c r="C293"/>
  <c r="E292"/>
  <c r="D292"/>
  <c r="C292"/>
  <c r="E291"/>
  <c r="D291"/>
  <c r="C291"/>
  <c r="E290"/>
  <c r="D290"/>
  <c r="C290"/>
  <c r="E289"/>
  <c r="D289"/>
  <c r="C289"/>
  <c r="E288"/>
  <c r="D288"/>
  <c r="C288"/>
  <c r="E287"/>
  <c r="D287"/>
  <c r="C287"/>
  <c r="E286"/>
  <c r="D286"/>
  <c r="C286"/>
  <c r="E285"/>
  <c r="D285"/>
  <c r="C285"/>
  <c r="E284"/>
  <c r="D284"/>
  <c r="C284"/>
  <c r="E283"/>
  <c r="D283"/>
  <c r="C283"/>
  <c r="E282"/>
  <c r="D282"/>
  <c r="C282"/>
  <c r="E281"/>
  <c r="D281"/>
  <c r="C281"/>
  <c r="E280"/>
  <c r="D280"/>
  <c r="C280"/>
  <c r="E279"/>
  <c r="D279"/>
  <c r="C279"/>
  <c r="E278"/>
  <c r="D278"/>
  <c r="C278"/>
  <c r="E277"/>
  <c r="D277"/>
  <c r="C277"/>
  <c r="E276"/>
  <c r="D276"/>
  <c r="C276"/>
  <c r="E275"/>
  <c r="D275"/>
  <c r="C275"/>
  <c r="E274"/>
  <c r="D274"/>
  <c r="C274"/>
  <c r="E273"/>
  <c r="D273"/>
  <c r="C273"/>
  <c r="E272"/>
  <c r="D272"/>
  <c r="C272"/>
  <c r="E271"/>
  <c r="D271"/>
  <c r="C271"/>
  <c r="E270"/>
  <c r="D270"/>
  <c r="C270"/>
  <c r="E269"/>
  <c r="D269"/>
  <c r="C269"/>
  <c r="E268"/>
  <c r="D268"/>
  <c r="C268"/>
  <c r="E267"/>
  <c r="D267"/>
  <c r="C267"/>
  <c r="E266"/>
  <c r="D266"/>
  <c r="C266"/>
  <c r="E265"/>
  <c r="D265"/>
  <c r="C265"/>
  <c r="E264"/>
  <c r="D264"/>
  <c r="C264"/>
  <c r="E263"/>
  <c r="D263"/>
  <c r="C263"/>
  <c r="E262"/>
  <c r="D262"/>
  <c r="C262"/>
  <c r="E261"/>
  <c r="D261"/>
  <c r="C261"/>
  <c r="E260"/>
  <c r="D260"/>
  <c r="C260"/>
  <c r="E259"/>
  <c r="D259"/>
  <c r="C259"/>
  <c r="E258"/>
  <c r="D258"/>
  <c r="C258"/>
  <c r="E257"/>
  <c r="D257"/>
  <c r="C257"/>
  <c r="E256"/>
  <c r="D256"/>
  <c r="C256"/>
  <c r="E255"/>
  <c r="D255"/>
  <c r="C255"/>
  <c r="E254"/>
  <c r="D254"/>
  <c r="C254"/>
  <c r="E253"/>
  <c r="D253"/>
  <c r="C253"/>
  <c r="E252"/>
  <c r="D252"/>
  <c r="C252"/>
  <c r="E251"/>
  <c r="D251"/>
  <c r="C251"/>
  <c r="E250"/>
  <c r="D250"/>
  <c r="C250"/>
  <c r="E249"/>
  <c r="D249"/>
  <c r="C249"/>
  <c r="E248"/>
  <c r="D248"/>
  <c r="C248"/>
  <c r="E247"/>
  <c r="D247"/>
  <c r="C247"/>
  <c r="E246"/>
  <c r="D246"/>
  <c r="C246"/>
  <c r="E245"/>
  <c r="D245"/>
  <c r="C245"/>
  <c r="E244"/>
  <c r="D244"/>
  <c r="C244"/>
  <c r="E243"/>
  <c r="D243"/>
  <c r="C243"/>
  <c r="E242"/>
  <c r="D242"/>
  <c r="C242"/>
  <c r="E241"/>
  <c r="D241"/>
  <c r="C241"/>
  <c r="E240"/>
  <c r="D240"/>
  <c r="C240"/>
  <c r="E239"/>
  <c r="D239"/>
  <c r="C239"/>
  <c r="E238"/>
  <c r="D238"/>
  <c r="C238"/>
  <c r="E237"/>
  <c r="D237"/>
  <c r="C237"/>
  <c r="E236"/>
  <c r="D236"/>
  <c r="C236"/>
  <c r="E235"/>
  <c r="D235"/>
  <c r="C235"/>
  <c r="E234"/>
  <c r="D234"/>
  <c r="C234"/>
  <c r="E233"/>
  <c r="D233"/>
  <c r="C233"/>
  <c r="E232"/>
  <c r="D232"/>
  <c r="C232"/>
  <c r="E231"/>
  <c r="D231"/>
  <c r="C231"/>
  <c r="E230"/>
  <c r="D230"/>
  <c r="C230"/>
  <c r="E229"/>
  <c r="D229"/>
  <c r="C229"/>
  <c r="E228"/>
  <c r="D228"/>
  <c r="C228"/>
  <c r="E227"/>
  <c r="D227"/>
  <c r="C227"/>
  <c r="E226"/>
  <c r="D226"/>
  <c r="C226"/>
  <c r="E225"/>
  <c r="D225"/>
  <c r="C225"/>
  <c r="E224"/>
  <c r="D224"/>
  <c r="C224"/>
  <c r="E223"/>
  <c r="D223"/>
  <c r="C223"/>
  <c r="E222"/>
  <c r="D222"/>
  <c r="C222"/>
  <c r="E221"/>
  <c r="D221"/>
  <c r="C221"/>
  <c r="E220"/>
  <c r="D220"/>
  <c r="C220"/>
  <c r="E219"/>
  <c r="D219"/>
  <c r="C219"/>
  <c r="E218"/>
  <c r="D218"/>
  <c r="C218"/>
  <c r="E217"/>
  <c r="D217"/>
  <c r="C217"/>
  <c r="E216"/>
  <c r="D216"/>
  <c r="C216"/>
  <c r="E215"/>
  <c r="D215"/>
  <c r="C215"/>
  <c r="E214"/>
  <c r="D214"/>
  <c r="C214"/>
  <c r="E213"/>
  <c r="D213"/>
  <c r="C213"/>
  <c r="E212"/>
  <c r="D212"/>
  <c r="C212"/>
  <c r="E211"/>
  <c r="D211"/>
  <c r="C211"/>
  <c r="E210"/>
  <c r="D210"/>
  <c r="C210"/>
  <c r="E209"/>
  <c r="D209"/>
  <c r="C209"/>
  <c r="E208"/>
  <c r="D208"/>
  <c r="C208"/>
  <c r="E207"/>
  <c r="D207"/>
  <c r="C207"/>
  <c r="E206"/>
  <c r="D206"/>
  <c r="C206"/>
  <c r="E205"/>
  <c r="D205"/>
  <c r="C205"/>
  <c r="E204"/>
  <c r="D204"/>
  <c r="C204"/>
  <c r="E203"/>
  <c r="D203"/>
  <c r="C203"/>
  <c r="E202"/>
  <c r="D202"/>
  <c r="C202"/>
  <c r="E201"/>
  <c r="D201"/>
  <c r="C201"/>
  <c r="E200"/>
  <c r="D200"/>
  <c r="C200"/>
  <c r="E199"/>
  <c r="D199"/>
  <c r="C199"/>
  <c r="E198"/>
  <c r="D198"/>
  <c r="C198"/>
  <c r="E197"/>
  <c r="D197"/>
  <c r="C197"/>
  <c r="E196"/>
  <c r="D196"/>
  <c r="C196"/>
  <c r="E195"/>
  <c r="D195"/>
  <c r="C195"/>
  <c r="E194"/>
  <c r="D194"/>
  <c r="C194"/>
  <c r="E193"/>
  <c r="D193"/>
  <c r="C193"/>
  <c r="E192"/>
  <c r="D192"/>
  <c r="C192"/>
  <c r="E191"/>
  <c r="D191"/>
  <c r="C191"/>
  <c r="E190"/>
  <c r="D190"/>
  <c r="C190"/>
  <c r="E189"/>
  <c r="D189"/>
  <c r="C189"/>
  <c r="E188"/>
  <c r="D188"/>
  <c r="C188"/>
  <c r="E187"/>
  <c r="D187"/>
  <c r="C187"/>
  <c r="E186"/>
  <c r="D186"/>
  <c r="C186"/>
  <c r="E185"/>
  <c r="D185"/>
  <c r="C185"/>
  <c r="E184"/>
  <c r="D184"/>
  <c r="C184"/>
  <c r="E183"/>
  <c r="D183"/>
  <c r="C183"/>
  <c r="E182"/>
  <c r="D182"/>
  <c r="C182"/>
  <c r="E181"/>
  <c r="D181"/>
  <c r="C181"/>
  <c r="E180"/>
  <c r="D180"/>
  <c r="C180"/>
  <c r="E179"/>
  <c r="D179"/>
  <c r="C179"/>
  <c r="E178"/>
  <c r="D178"/>
  <c r="C178"/>
  <c r="E177"/>
  <c r="D177"/>
  <c r="C177"/>
  <c r="E176"/>
  <c r="D176"/>
  <c r="C176"/>
  <c r="E175"/>
  <c r="D175"/>
  <c r="C175"/>
  <c r="E174"/>
  <c r="D174"/>
  <c r="C174"/>
  <c r="E173"/>
  <c r="D173"/>
  <c r="C173"/>
  <c r="E172"/>
  <c r="D172"/>
  <c r="C172"/>
  <c r="E171"/>
  <c r="D171"/>
  <c r="C171"/>
  <c r="E170"/>
  <c r="D170"/>
  <c r="C170"/>
  <c r="E169"/>
  <c r="D169"/>
  <c r="C169"/>
  <c r="E168"/>
  <c r="D168"/>
  <c r="C168"/>
  <c r="E167"/>
  <c r="D167"/>
  <c r="C167"/>
  <c r="E166"/>
  <c r="D166"/>
  <c r="C166"/>
  <c r="E165"/>
  <c r="D165"/>
  <c r="C165"/>
  <c r="E164"/>
  <c r="D164"/>
  <c r="C164"/>
  <c r="E163"/>
  <c r="D163"/>
  <c r="C163"/>
  <c r="E162"/>
  <c r="D162"/>
  <c r="C162"/>
  <c r="E161"/>
  <c r="D161"/>
  <c r="C161"/>
  <c r="E160"/>
  <c r="D160"/>
  <c r="C160"/>
  <c r="E159"/>
  <c r="D159"/>
  <c r="C159"/>
  <c r="E158"/>
  <c r="D158"/>
  <c r="C158"/>
  <c r="E157"/>
  <c r="D157"/>
  <c r="C157"/>
  <c r="E156"/>
  <c r="D156"/>
  <c r="C156"/>
  <c r="E155"/>
  <c r="D155"/>
  <c r="C155"/>
  <c r="E154"/>
  <c r="D154"/>
  <c r="C154"/>
  <c r="E153"/>
  <c r="D153"/>
  <c r="C153"/>
  <c r="E152"/>
  <c r="D152"/>
  <c r="C152"/>
  <c r="E151"/>
  <c r="D151"/>
  <c r="C151"/>
  <c r="E150"/>
  <c r="D150"/>
  <c r="C150"/>
  <c r="E149"/>
  <c r="D149"/>
  <c r="C149"/>
  <c r="E148"/>
  <c r="D148"/>
  <c r="C148"/>
  <c r="E147"/>
  <c r="D147"/>
  <c r="C147"/>
  <c r="E146"/>
  <c r="D146"/>
  <c r="C146"/>
  <c r="E145"/>
  <c r="D145"/>
  <c r="C145"/>
  <c r="E144"/>
  <c r="D144"/>
  <c r="C144"/>
  <c r="E143"/>
  <c r="D143"/>
  <c r="C143"/>
  <c r="E142"/>
  <c r="D142"/>
  <c r="C142"/>
  <c r="E141"/>
  <c r="D141"/>
  <c r="C141"/>
  <c r="E140"/>
  <c r="D140"/>
  <c r="C140"/>
  <c r="E139"/>
  <c r="D139"/>
  <c r="C139"/>
  <c r="E138"/>
  <c r="D138"/>
  <c r="C138"/>
  <c r="E137"/>
  <c r="D137"/>
  <c r="C137"/>
  <c r="E136"/>
  <c r="D136"/>
  <c r="C136"/>
  <c r="E135"/>
  <c r="D135"/>
  <c r="C135"/>
  <c r="E134"/>
  <c r="D134"/>
  <c r="C134"/>
  <c r="E133"/>
  <c r="D133"/>
  <c r="C133"/>
  <c r="E132"/>
  <c r="D132"/>
  <c r="C132"/>
  <c r="E131"/>
  <c r="D131"/>
  <c r="C131"/>
  <c r="E130"/>
  <c r="D130"/>
  <c r="C130"/>
  <c r="E129"/>
  <c r="D129"/>
  <c r="C129"/>
  <c r="E128"/>
  <c r="D128"/>
  <c r="C128"/>
  <c r="E127"/>
  <c r="D127"/>
  <c r="C127"/>
  <c r="E126"/>
  <c r="D126"/>
  <c r="C126"/>
  <c r="E125"/>
  <c r="D125"/>
  <c r="C125"/>
  <c r="E124"/>
  <c r="D124"/>
  <c r="C124"/>
  <c r="E123"/>
  <c r="D123"/>
  <c r="C123"/>
  <c r="E122"/>
  <c r="D122"/>
  <c r="C122"/>
  <c r="E121"/>
  <c r="D121"/>
  <c r="C121"/>
  <c r="E120"/>
  <c r="D120"/>
  <c r="C120"/>
  <c r="E119"/>
  <c r="D119"/>
  <c r="C119"/>
  <c r="E118"/>
  <c r="D118"/>
  <c r="C118"/>
  <c r="E117"/>
  <c r="D117"/>
  <c r="C117"/>
  <c r="E116"/>
  <c r="D116"/>
  <c r="C116"/>
  <c r="E115"/>
  <c r="D115"/>
  <c r="C115"/>
  <c r="E114"/>
  <c r="D114"/>
  <c r="C114"/>
  <c r="E113"/>
  <c r="D113"/>
  <c r="C113"/>
  <c r="E112"/>
  <c r="D112"/>
  <c r="C112"/>
  <c r="E111"/>
  <c r="D111"/>
  <c r="C111"/>
  <c r="E110"/>
  <c r="D110"/>
  <c r="C110"/>
  <c r="E109"/>
  <c r="D109"/>
  <c r="C109"/>
  <c r="E108"/>
  <c r="D108"/>
  <c r="C108"/>
  <c r="E107"/>
  <c r="D107"/>
  <c r="C107"/>
  <c r="E106"/>
  <c r="D106"/>
  <c r="C106"/>
  <c r="E105"/>
  <c r="D105"/>
  <c r="C105"/>
  <c r="E104"/>
  <c r="D104"/>
  <c r="C104"/>
  <c r="E103"/>
  <c r="D103"/>
  <c r="C103"/>
  <c r="E102"/>
  <c r="D102"/>
  <c r="C102"/>
  <c r="E101"/>
  <c r="D101"/>
  <c r="C101"/>
  <c r="E100"/>
  <c r="D100"/>
  <c r="C100"/>
  <c r="E99"/>
  <c r="D99"/>
  <c r="C99"/>
  <c r="E98"/>
  <c r="D98"/>
  <c r="C98"/>
  <c r="E97"/>
  <c r="D97"/>
  <c r="C97"/>
  <c r="E96"/>
  <c r="D96"/>
  <c r="C96"/>
  <c r="E95"/>
  <c r="D95"/>
  <c r="C95"/>
  <c r="E94"/>
  <c r="D94"/>
  <c r="C94"/>
  <c r="E93"/>
  <c r="D93"/>
  <c r="C93"/>
  <c r="E92"/>
  <c r="D92"/>
  <c r="C92"/>
  <c r="E91"/>
  <c r="D91"/>
  <c r="C91"/>
  <c r="E90"/>
  <c r="D90"/>
  <c r="C90"/>
  <c r="E89"/>
  <c r="D89"/>
  <c r="C89"/>
  <c r="E88"/>
  <c r="D88"/>
  <c r="C88"/>
  <c r="E87"/>
  <c r="D87"/>
  <c r="C87"/>
  <c r="E86"/>
  <c r="D86"/>
  <c r="C86"/>
  <c r="E85"/>
  <c r="D85"/>
  <c r="C85"/>
  <c r="E84"/>
  <c r="D84"/>
  <c r="C84"/>
  <c r="E83"/>
  <c r="D83"/>
  <c r="C83"/>
  <c r="E82"/>
  <c r="D82"/>
  <c r="C82"/>
  <c r="E81"/>
  <c r="D81"/>
  <c r="C81"/>
  <c r="E80"/>
  <c r="D80"/>
  <c r="C80"/>
  <c r="E79"/>
  <c r="D79"/>
  <c r="C79"/>
  <c r="E78"/>
  <c r="D78"/>
  <c r="C78"/>
  <c r="E77"/>
  <c r="D77"/>
  <c r="C77"/>
  <c r="E76"/>
  <c r="D76"/>
  <c r="C76"/>
  <c r="E75"/>
  <c r="D75"/>
  <c r="C75"/>
  <c r="E74"/>
  <c r="D74"/>
  <c r="C74"/>
  <c r="E73"/>
  <c r="D73"/>
  <c r="C73"/>
  <c r="E72"/>
  <c r="D72"/>
  <c r="C72"/>
  <c r="E71"/>
  <c r="D71"/>
  <c r="C71"/>
  <c r="E70"/>
  <c r="D70"/>
  <c r="C70"/>
  <c r="E69"/>
  <c r="D69"/>
  <c r="C69"/>
  <c r="E68"/>
  <c r="D68"/>
  <c r="C68"/>
  <c r="E67"/>
  <c r="D67"/>
  <c r="C67"/>
  <c r="E66"/>
  <c r="D66"/>
  <c r="C66"/>
  <c r="E65"/>
  <c r="D65"/>
  <c r="C65"/>
  <c r="E64"/>
  <c r="D64"/>
  <c r="C64"/>
  <c r="E63"/>
  <c r="D63"/>
  <c r="C63"/>
  <c r="E62"/>
  <c r="D62"/>
  <c r="C62"/>
  <c r="E61"/>
  <c r="D61"/>
  <c r="C61"/>
  <c r="E60"/>
  <c r="D60"/>
  <c r="C60"/>
  <c r="E59"/>
  <c r="D59"/>
  <c r="C59"/>
  <c r="E58"/>
  <c r="D58"/>
  <c r="C58"/>
  <c r="E57"/>
  <c r="D57"/>
  <c r="C57"/>
  <c r="E56"/>
  <c r="D56"/>
  <c r="C56"/>
  <c r="E55"/>
  <c r="D55"/>
  <c r="C55"/>
  <c r="E54"/>
  <c r="D54"/>
  <c r="C54"/>
  <c r="E53"/>
  <c r="D53"/>
  <c r="C53"/>
  <c r="E52"/>
  <c r="D52"/>
  <c r="C52"/>
  <c r="E51"/>
  <c r="D51"/>
  <c r="C51"/>
  <c r="E50"/>
  <c r="D50"/>
  <c r="C50"/>
  <c r="E49"/>
  <c r="D49"/>
  <c r="C49"/>
  <c r="E48"/>
  <c r="D48"/>
  <c r="C48"/>
  <c r="E47"/>
  <c r="D47"/>
  <c r="C47"/>
  <c r="E46"/>
  <c r="D46"/>
  <c r="C46"/>
  <c r="E45"/>
  <c r="D45"/>
  <c r="C45"/>
  <c r="E44"/>
  <c r="D44"/>
  <c r="C44"/>
  <c r="E43"/>
  <c r="D43"/>
  <c r="C43"/>
  <c r="E42"/>
  <c r="D42"/>
  <c r="C42"/>
  <c r="E41"/>
  <c r="D41"/>
  <c r="C41"/>
  <c r="E40"/>
  <c r="D40"/>
  <c r="C40"/>
  <c r="E39"/>
  <c r="D39"/>
  <c r="C39"/>
  <c r="E38"/>
  <c r="D38"/>
  <c r="C38"/>
  <c r="E37"/>
  <c r="D37"/>
  <c r="C37"/>
  <c r="E36"/>
  <c r="D36"/>
  <c r="C36"/>
  <c r="E35"/>
  <c r="D35"/>
  <c r="C35"/>
  <c r="E34"/>
  <c r="D34"/>
  <c r="C34"/>
  <c r="E33"/>
  <c r="D33"/>
  <c r="C33"/>
  <c r="E32"/>
  <c r="D32"/>
  <c r="C32"/>
  <c r="E31"/>
  <c r="D31"/>
  <c r="C31"/>
  <c r="E30"/>
  <c r="D30"/>
  <c r="C30"/>
  <c r="E29"/>
  <c r="D29"/>
  <c r="C29"/>
  <c r="E28"/>
  <c r="D28"/>
  <c r="C28"/>
  <c r="E27"/>
  <c r="D27"/>
  <c r="C27"/>
  <c r="E26"/>
  <c r="D26"/>
  <c r="C26"/>
  <c r="E25"/>
  <c r="D25"/>
  <c r="C25"/>
  <c r="E24"/>
  <c r="D24"/>
  <c r="C24"/>
  <c r="E23"/>
  <c r="D23"/>
  <c r="C23"/>
  <c r="E22"/>
  <c r="D22"/>
  <c r="C22"/>
  <c r="E21"/>
  <c r="D21"/>
  <c r="C21"/>
  <c r="E20"/>
  <c r="D20"/>
  <c r="C20"/>
  <c r="E19"/>
  <c r="D19"/>
  <c r="C19"/>
  <c r="E18"/>
  <c r="D18"/>
  <c r="C18"/>
  <c r="E17"/>
  <c r="D17"/>
  <c r="C17"/>
  <c r="I17" i="10" l="1"/>
  <c r="I19"/>
  <c r="I21"/>
  <c r="I23"/>
  <c r="I25"/>
  <c r="I27"/>
  <c r="E18"/>
  <c r="F18" s="1"/>
  <c r="E20"/>
  <c r="F20" s="1"/>
  <c r="E22"/>
  <c r="E24"/>
  <c r="E26"/>
  <c r="F26" s="1"/>
  <c r="E28"/>
  <c r="F28" s="1"/>
  <c r="AM10" i="9"/>
  <c r="AM12"/>
  <c r="AM13"/>
  <c r="AM14"/>
  <c r="AM15"/>
  <c r="AM16"/>
  <c r="AM17"/>
  <c r="AM18"/>
  <c r="AM19"/>
  <c r="AM20"/>
  <c r="AR8"/>
  <c r="AR10"/>
  <c r="AR11"/>
  <c r="AR12"/>
  <c r="AR13"/>
  <c r="AR14"/>
  <c r="AR15"/>
  <c r="AR16"/>
  <c r="AR17"/>
  <c r="AR18"/>
  <c r="AR19"/>
  <c r="AR20"/>
  <c r="AR21"/>
  <c r="AR22"/>
  <c r="AR23"/>
  <c r="AR24"/>
  <c r="E17" i="10"/>
  <c r="F17" s="1"/>
  <c r="E19"/>
  <c r="F19" s="1"/>
  <c r="E21"/>
  <c r="E23"/>
  <c r="F23" s="1"/>
  <c r="E25"/>
  <c r="F25" s="1"/>
  <c r="E27"/>
  <c r="F27" s="1"/>
  <c r="AM8" i="9"/>
  <c r="BP221" i="1"/>
  <c r="BP222"/>
  <c r="BP223"/>
  <c r="BP224"/>
  <c r="BP225"/>
  <c r="BP226"/>
  <c r="BP227"/>
  <c r="BP228"/>
  <c r="BP229"/>
  <c r="BP230"/>
  <c r="BP231"/>
  <c r="BP232"/>
  <c r="BP233"/>
  <c r="BP234"/>
  <c r="BP235"/>
  <c r="BP236"/>
  <c r="BP237"/>
  <c r="BP238"/>
  <c r="BP239"/>
  <c r="BP240"/>
  <c r="BP241"/>
  <c r="BP242"/>
  <c r="BP243"/>
  <c r="BP244"/>
  <c r="BP245"/>
  <c r="BP246"/>
  <c r="BP247"/>
  <c r="BP248"/>
  <c r="BP249"/>
  <c r="BP250"/>
  <c r="BP251"/>
  <c r="BP252"/>
  <c r="BP253"/>
  <c r="BP254"/>
  <c r="BP255"/>
  <c r="BP256"/>
  <c r="BP257"/>
  <c r="BP258"/>
  <c r="BP259"/>
  <c r="BP260"/>
  <c r="BP261"/>
  <c r="BP262"/>
  <c r="BP263"/>
  <c r="BP264"/>
  <c r="BP265"/>
  <c r="BP266"/>
  <c r="BP267"/>
  <c r="BP268"/>
  <c r="BP269"/>
  <c r="BP270"/>
  <c r="BP271"/>
  <c r="BP272"/>
  <c r="BP273"/>
  <c r="BP274"/>
  <c r="BP275"/>
  <c r="BP276"/>
  <c r="BP277"/>
  <c r="BP278"/>
  <c r="BP279"/>
  <c r="BP280"/>
  <c r="BP281"/>
  <c r="BP282"/>
  <c r="BP283"/>
  <c r="BP284"/>
  <c r="BP285"/>
  <c r="BP286"/>
  <c r="BP287"/>
  <c r="BP288"/>
  <c r="BP289"/>
  <c r="BP290"/>
  <c r="BP291"/>
  <c r="BP292"/>
  <c r="BP293"/>
  <c r="BP294"/>
  <c r="BP295"/>
  <c r="BP296"/>
  <c r="BP297"/>
  <c r="BP298"/>
  <c r="BP299"/>
  <c r="BP300"/>
  <c r="BP301"/>
  <c r="BP302"/>
  <c r="BP303"/>
  <c r="BP304"/>
  <c r="BP305"/>
  <c r="BP306"/>
  <c r="BP307"/>
  <c r="BP308"/>
  <c r="BP309"/>
  <c r="BP310"/>
  <c r="BP311"/>
  <c r="BP312"/>
  <c r="BP313"/>
  <c r="BP314"/>
  <c r="BP315"/>
  <c r="BP316"/>
  <c r="BP317"/>
  <c r="BP318"/>
  <c r="BP319"/>
  <c r="BP320"/>
  <c r="BP321"/>
  <c r="BP322"/>
  <c r="BP323"/>
  <c r="BP324"/>
  <c r="BP325"/>
  <c r="BP326"/>
  <c r="BP327"/>
  <c r="BP328"/>
  <c r="BJ221" i="3"/>
  <c r="BJ222"/>
  <c r="BJ223"/>
  <c r="BJ224"/>
  <c r="BJ225"/>
  <c r="BJ226"/>
  <c r="BJ227"/>
  <c r="BJ228"/>
  <c r="BJ229"/>
  <c r="BJ230"/>
  <c r="BJ231"/>
  <c r="BJ232"/>
  <c r="BJ233"/>
  <c r="BJ234"/>
  <c r="BJ235"/>
  <c r="BJ236"/>
  <c r="BJ237"/>
  <c r="BJ238"/>
  <c r="BJ239"/>
  <c r="BJ240"/>
  <c r="BJ241"/>
  <c r="BJ242"/>
  <c r="BJ243"/>
  <c r="BJ244"/>
  <c r="BJ245"/>
  <c r="BJ246"/>
  <c r="BJ247"/>
  <c r="BJ248"/>
  <c r="BJ249"/>
  <c r="BJ250"/>
  <c r="BJ251"/>
  <c r="BJ252"/>
  <c r="BJ253"/>
  <c r="BJ254"/>
  <c r="BJ255"/>
  <c r="BJ256"/>
  <c r="BJ257"/>
  <c r="BJ258"/>
  <c r="BJ259"/>
  <c r="BJ260"/>
  <c r="BJ261"/>
  <c r="BJ262"/>
  <c r="BJ263"/>
  <c r="BJ264"/>
  <c r="BJ265"/>
  <c r="BJ266"/>
  <c r="BJ267"/>
  <c r="BJ268"/>
  <c r="BJ269"/>
  <c r="BJ270"/>
  <c r="BJ271"/>
  <c r="BJ272"/>
  <c r="BJ273"/>
  <c r="BJ274"/>
  <c r="BJ275"/>
  <c r="BJ276"/>
  <c r="BJ277"/>
  <c r="BJ278"/>
  <c r="BJ279"/>
  <c r="BJ280"/>
  <c r="BJ281"/>
  <c r="BJ282"/>
  <c r="BJ283"/>
  <c r="BJ284"/>
  <c r="BJ285"/>
  <c r="BJ286"/>
  <c r="BJ287"/>
  <c r="BJ288"/>
  <c r="BJ289"/>
  <c r="BJ290"/>
  <c r="BJ291"/>
  <c r="BJ292"/>
  <c r="BJ293"/>
  <c r="BJ294"/>
  <c r="BJ295"/>
  <c r="BJ296"/>
  <c r="BJ297"/>
  <c r="BJ298"/>
  <c r="BJ299"/>
  <c r="BJ300"/>
  <c r="BJ301"/>
  <c r="BJ302"/>
  <c r="BJ303"/>
  <c r="BJ304"/>
  <c r="BJ305"/>
  <c r="BJ306"/>
  <c r="BJ307"/>
  <c r="BJ308"/>
  <c r="BJ309"/>
  <c r="BJ310"/>
  <c r="BJ311"/>
  <c r="BJ312"/>
  <c r="BJ313"/>
  <c r="BJ314"/>
  <c r="BJ315"/>
  <c r="BJ316"/>
  <c r="BJ317"/>
  <c r="BJ318"/>
  <c r="BJ319"/>
  <c r="BJ320"/>
  <c r="BJ321"/>
  <c r="BJ322"/>
  <c r="BJ323"/>
  <c r="BJ324"/>
  <c r="BJ325"/>
  <c r="BJ326"/>
  <c r="BJ327"/>
  <c r="BJ328"/>
  <c r="BP221" i="2"/>
  <c r="BP222"/>
  <c r="BP223"/>
  <c r="BP224"/>
  <c r="BP225"/>
  <c r="BP226"/>
  <c r="BP227"/>
  <c r="BP228"/>
  <c r="BP229"/>
  <c r="BP230"/>
  <c r="BP231"/>
  <c r="BP232"/>
  <c r="BP233"/>
  <c r="BP234"/>
  <c r="BP235"/>
  <c r="BP236"/>
  <c r="BP237"/>
  <c r="BP238"/>
  <c r="BP239"/>
  <c r="BP240"/>
  <c r="BP241"/>
  <c r="BP242"/>
  <c r="BP243"/>
  <c r="BP244"/>
  <c r="BP245"/>
  <c r="BP246"/>
  <c r="BP247"/>
  <c r="BP248"/>
  <c r="BP249"/>
  <c r="BP250"/>
  <c r="BP251"/>
  <c r="BP252"/>
  <c r="BP253"/>
  <c r="BP254"/>
  <c r="BP255"/>
  <c r="BP256"/>
  <c r="BP257"/>
  <c r="BP258"/>
  <c r="BP259"/>
  <c r="BP260"/>
  <c r="BP261"/>
  <c r="BP262"/>
  <c r="BP263"/>
  <c r="BP264"/>
  <c r="BP265"/>
  <c r="BP266"/>
  <c r="BP267"/>
  <c r="BP268"/>
  <c r="BP269"/>
  <c r="BP270"/>
  <c r="BP271"/>
  <c r="BP272"/>
  <c r="BP273"/>
  <c r="BP274"/>
  <c r="BP275"/>
  <c r="BP276"/>
  <c r="BP277"/>
  <c r="BP278"/>
  <c r="BP279"/>
  <c r="BP280"/>
  <c r="BP281"/>
  <c r="BP282"/>
  <c r="BP283"/>
  <c r="BP284"/>
  <c r="BP285"/>
  <c r="BP286"/>
  <c r="BP287"/>
  <c r="BP288"/>
  <c r="BP289"/>
  <c r="BP290"/>
  <c r="BP291"/>
  <c r="BP292"/>
  <c r="BP293"/>
  <c r="BP294"/>
  <c r="BP295"/>
  <c r="BP296"/>
  <c r="BP297"/>
  <c r="BP298"/>
  <c r="BP299"/>
  <c r="BP300"/>
  <c r="BP301"/>
  <c r="BP302"/>
  <c r="BP303"/>
  <c r="BP304"/>
  <c r="BP305"/>
  <c r="BP306"/>
  <c r="BP307"/>
  <c r="BP308"/>
  <c r="BP309"/>
  <c r="BP310"/>
  <c r="BP311"/>
  <c r="BP312"/>
  <c r="BP313"/>
  <c r="BP314"/>
  <c r="BP315"/>
  <c r="BP316"/>
  <c r="BP317"/>
  <c r="BP318"/>
  <c r="BP319"/>
  <c r="BP320"/>
  <c r="BP321"/>
  <c r="BP322"/>
  <c r="BP323"/>
  <c r="BP324"/>
  <c r="BP325"/>
  <c r="BP326"/>
  <c r="BP327"/>
  <c r="BP328"/>
  <c r="AJ198" i="4"/>
  <c r="BP198"/>
  <c r="AJ200"/>
  <c r="BP200"/>
  <c r="AJ202"/>
  <c r="BP202"/>
  <c r="AJ204"/>
  <c r="BP204"/>
  <c r="AJ206"/>
  <c r="BP206"/>
  <c r="AJ208"/>
  <c r="BP208"/>
  <c r="AJ210"/>
  <c r="BP210"/>
  <c r="AJ212"/>
  <c r="BP212"/>
  <c r="AJ214"/>
  <c r="BP214"/>
  <c r="AJ216"/>
  <c r="BP216"/>
  <c r="AJ218"/>
  <c r="BP218"/>
  <c r="AJ220"/>
  <c r="BP220"/>
  <c r="AJ222"/>
  <c r="BP222"/>
  <c r="AJ224"/>
  <c r="BP224"/>
  <c r="AJ226"/>
  <c r="BP226"/>
  <c r="AJ228"/>
  <c r="BP228"/>
  <c r="AJ230"/>
  <c r="BP230"/>
  <c r="AJ232"/>
  <c r="BP232"/>
  <c r="AJ234"/>
  <c r="BP234"/>
  <c r="AJ236"/>
  <c r="BP236"/>
  <c r="AJ238"/>
  <c r="BP238"/>
  <c r="AJ240"/>
  <c r="BP240"/>
  <c r="AJ242"/>
  <c r="BP242"/>
  <c r="AJ244"/>
  <c r="BP244"/>
  <c r="AJ246"/>
  <c r="BP246"/>
  <c r="AJ248"/>
  <c r="BP248"/>
  <c r="AJ250"/>
  <c r="BP250"/>
  <c r="AJ252"/>
  <c r="BP252"/>
  <c r="AJ254"/>
  <c r="BP254"/>
  <c r="AJ256"/>
  <c r="BP256"/>
  <c r="AJ258"/>
  <c r="BP258"/>
  <c r="AJ260"/>
  <c r="BP260"/>
  <c r="AJ262"/>
  <c r="BP262"/>
  <c r="AJ266"/>
  <c r="BP266"/>
  <c r="AJ268"/>
  <c r="BP268"/>
  <c r="AJ270"/>
  <c r="BP270"/>
  <c r="AJ272"/>
  <c r="BP272"/>
  <c r="AJ274"/>
  <c r="BP274"/>
  <c r="AJ276"/>
  <c r="BP276"/>
  <c r="AJ278"/>
  <c r="BP278"/>
  <c r="AJ280"/>
  <c r="BP280"/>
  <c r="AJ282"/>
  <c r="BP282"/>
  <c r="AJ284"/>
  <c r="BP284"/>
  <c r="AJ286"/>
  <c r="BP286"/>
  <c r="AJ288"/>
  <c r="BP288"/>
  <c r="AJ290"/>
  <c r="BP290"/>
  <c r="AJ292"/>
  <c r="BP292"/>
  <c r="AJ294"/>
  <c r="BP294"/>
  <c r="AJ296"/>
  <c r="BP296"/>
  <c r="AJ298"/>
  <c r="BP298"/>
  <c r="AJ300"/>
  <c r="BP300"/>
  <c r="AJ302"/>
  <c r="BP302"/>
  <c r="AJ304"/>
  <c r="BP304"/>
  <c r="AJ306"/>
  <c r="BP306"/>
  <c r="AJ308"/>
  <c r="BP308"/>
  <c r="AJ310"/>
  <c r="BP310"/>
  <c r="AJ312"/>
  <c r="BP312"/>
  <c r="AJ314"/>
  <c r="BP314"/>
  <c r="AJ316"/>
  <c r="BP316"/>
  <c r="AJ318"/>
  <c r="BP318"/>
  <c r="AJ320"/>
  <c r="BP320"/>
  <c r="AJ322"/>
  <c r="BP322"/>
  <c r="AJ324"/>
  <c r="BP324"/>
  <c r="AJ326"/>
  <c r="BP326"/>
  <c r="AJ328"/>
  <c r="BP328"/>
  <c r="C173" i="9"/>
  <c r="BP173" i="5"/>
  <c r="BT173" s="1"/>
  <c r="C174" i="9"/>
  <c r="BP174" i="5"/>
  <c r="C175" i="9"/>
  <c r="BP175" i="5"/>
  <c r="C176" i="9"/>
  <c r="BP176" i="5"/>
  <c r="C177" i="9"/>
  <c r="BP177" i="5"/>
  <c r="C178" i="9"/>
  <c r="BP178" i="5"/>
  <c r="C179" i="9"/>
  <c r="BP179" i="5"/>
  <c r="C180" i="9"/>
  <c r="BP180" i="5"/>
  <c r="C181" i="9"/>
  <c r="BP181" i="5"/>
  <c r="C182" i="9"/>
  <c r="BP182" i="5"/>
  <c r="C183" i="9"/>
  <c r="BP183" i="5"/>
  <c r="C184" i="9"/>
  <c r="BP184" i="5"/>
  <c r="C185" i="9"/>
  <c r="BP185" i="5"/>
  <c r="C186" i="9"/>
  <c r="BP186" i="5"/>
  <c r="C187" i="9"/>
  <c r="BP187" i="5"/>
  <c r="C188" i="9"/>
  <c r="BP188" i="5"/>
  <c r="C189" i="9"/>
  <c r="BP189" i="5"/>
  <c r="C190" i="9"/>
  <c r="BP190" i="5"/>
  <c r="C191" i="9"/>
  <c r="BP191" i="5"/>
  <c r="C192" i="9"/>
  <c r="BP192" i="5"/>
  <c r="C193" i="9"/>
  <c r="BP193" i="5"/>
  <c r="C194" i="9"/>
  <c r="BP194" i="5"/>
  <c r="C195" i="9"/>
  <c r="BP195" i="5"/>
  <c r="C196" i="9"/>
  <c r="BP196" i="5"/>
  <c r="C197" i="9"/>
  <c r="BP197" i="5"/>
  <c r="C198" i="9"/>
  <c r="BP198" i="5"/>
  <c r="C199" i="9"/>
  <c r="BP199" i="5"/>
  <c r="C200" i="9"/>
  <c r="BP200" i="5"/>
  <c r="C201" i="9"/>
  <c r="BP201" i="5"/>
  <c r="C202" i="9"/>
  <c r="BP202" i="5"/>
  <c r="C203" i="9"/>
  <c r="BP203" i="5"/>
  <c r="C204" i="9"/>
  <c r="BP204" i="5"/>
  <c r="C205" i="9"/>
  <c r="BP205" i="5"/>
  <c r="C206" i="9"/>
  <c r="BP206" i="5"/>
  <c r="C207" i="9"/>
  <c r="BP207" i="5"/>
  <c r="C208" i="9"/>
  <c r="BP208" i="5"/>
  <c r="C209" i="9"/>
  <c r="BP209" i="5"/>
  <c r="C210" i="9"/>
  <c r="BP210" i="5"/>
  <c r="C211" i="9"/>
  <c r="BP211" i="5"/>
  <c r="C212" i="9"/>
  <c r="BP212" i="5"/>
  <c r="C213" i="9"/>
  <c r="BP213" i="5"/>
  <c r="C214" i="9"/>
  <c r="BP214" i="5"/>
  <c r="C215" i="9"/>
  <c r="BP215" i="5"/>
  <c r="C216" i="9"/>
  <c r="BP216" i="5"/>
  <c r="C217" i="9"/>
  <c r="BP217" i="5"/>
  <c r="C218" i="9"/>
  <c r="BP218" i="5"/>
  <c r="C219" i="9"/>
  <c r="BP219" i="5"/>
  <c r="C220" i="9"/>
  <c r="BP220" i="5"/>
  <c r="Z264"/>
  <c r="BP264"/>
  <c r="Z265"/>
  <c r="BP265"/>
  <c r="AJ197" i="4"/>
  <c r="BP197"/>
  <c r="AJ199"/>
  <c r="BP199"/>
  <c r="AJ201"/>
  <c r="BP201"/>
  <c r="AJ203"/>
  <c r="BP203"/>
  <c r="AJ205"/>
  <c r="BP205"/>
  <c r="AJ207"/>
  <c r="BP207"/>
  <c r="AJ209"/>
  <c r="BP209"/>
  <c r="AJ211"/>
  <c r="BP211"/>
  <c r="AJ213"/>
  <c r="BP213"/>
  <c r="AJ215"/>
  <c r="BP215"/>
  <c r="AJ217"/>
  <c r="BP217"/>
  <c r="AJ219"/>
  <c r="BP219"/>
  <c r="AJ221"/>
  <c r="BP221"/>
  <c r="AJ223"/>
  <c r="BP223"/>
  <c r="AJ225"/>
  <c r="BP225"/>
  <c r="AJ227"/>
  <c r="BP227"/>
  <c r="AJ229"/>
  <c r="BP229"/>
  <c r="AJ231"/>
  <c r="BP231"/>
  <c r="AJ233"/>
  <c r="BP233"/>
  <c r="AJ235"/>
  <c r="BP235"/>
  <c r="AJ237"/>
  <c r="BP237"/>
  <c r="AJ239"/>
  <c r="BP239"/>
  <c r="AJ241"/>
  <c r="BP241"/>
  <c r="AJ243"/>
  <c r="BP243"/>
  <c r="AJ245"/>
  <c r="BP245"/>
  <c r="AJ247"/>
  <c r="BP247"/>
  <c r="AJ249"/>
  <c r="BP249"/>
  <c r="AJ251"/>
  <c r="BP251"/>
  <c r="AJ253"/>
  <c r="BP253"/>
  <c r="AJ255"/>
  <c r="BP255"/>
  <c r="AJ257"/>
  <c r="BP257"/>
  <c r="AJ259"/>
  <c r="BP259"/>
  <c r="AJ261"/>
  <c r="BP261"/>
  <c r="AJ263"/>
  <c r="BP263"/>
  <c r="AJ267"/>
  <c r="BP267"/>
  <c r="AJ269"/>
  <c r="BP269"/>
  <c r="AJ271"/>
  <c r="BP271"/>
  <c r="AJ273"/>
  <c r="BP273"/>
  <c r="AJ275"/>
  <c r="BP275"/>
  <c r="AJ277"/>
  <c r="BP277"/>
  <c r="AJ279"/>
  <c r="BP279"/>
  <c r="AJ281"/>
  <c r="BP281"/>
  <c r="AJ283"/>
  <c r="BP283"/>
  <c r="AJ285"/>
  <c r="BP285"/>
  <c r="AJ287"/>
  <c r="BP287"/>
  <c r="AJ289"/>
  <c r="BP289"/>
  <c r="AJ291"/>
  <c r="BP291"/>
  <c r="AJ293"/>
  <c r="BP293"/>
  <c r="AJ295"/>
  <c r="BP295"/>
  <c r="AJ297"/>
  <c r="BP297"/>
  <c r="AJ299"/>
  <c r="BP299"/>
  <c r="AJ301"/>
  <c r="BP301"/>
  <c r="AJ303"/>
  <c r="BP303"/>
  <c r="BP305"/>
  <c r="AJ307"/>
  <c r="BP307"/>
  <c r="AJ309"/>
  <c r="BP309"/>
  <c r="AJ311"/>
  <c r="BP311"/>
  <c r="AJ313"/>
  <c r="BP313"/>
  <c r="AJ315"/>
  <c r="BP315"/>
  <c r="AJ317"/>
  <c r="BP317"/>
  <c r="AJ319"/>
  <c r="BP319"/>
  <c r="AJ321"/>
  <c r="BP321"/>
  <c r="AJ323"/>
  <c r="BP323"/>
  <c r="AJ325"/>
  <c r="BP325"/>
  <c r="AJ327"/>
  <c r="BP327"/>
  <c r="Z264"/>
  <c r="AJ264"/>
  <c r="Z265"/>
  <c r="AJ265"/>
  <c r="AR9" i="9"/>
  <c r="AN8" i="7"/>
  <c r="AN9"/>
  <c r="AN10"/>
  <c r="AN11"/>
  <c r="AN12"/>
  <c r="AN13"/>
  <c r="AN14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M9" i="9"/>
  <c r="T17" i="10"/>
  <c r="G66"/>
  <c r="T18"/>
  <c r="G67"/>
  <c r="T19"/>
  <c r="G68"/>
  <c r="T20"/>
  <c r="G69"/>
  <c r="T21"/>
  <c r="G70"/>
  <c r="T22"/>
  <c r="G71"/>
  <c r="T23"/>
  <c r="G72"/>
  <c r="T24"/>
  <c r="G73"/>
  <c r="T25"/>
  <c r="G74"/>
  <c r="T26"/>
  <c r="G75"/>
  <c r="T27"/>
  <c r="G76"/>
  <c r="T28"/>
  <c r="G77"/>
  <c r="T29"/>
  <c r="G78"/>
  <c r="T30"/>
  <c r="G79"/>
  <c r="T31"/>
  <c r="G80"/>
  <c r="T32"/>
  <c r="G81"/>
  <c r="F21"/>
  <c r="F22"/>
  <c r="F24"/>
  <c r="P17"/>
  <c r="C66"/>
  <c r="P18"/>
  <c r="C67"/>
  <c r="P19"/>
  <c r="C68"/>
  <c r="P20"/>
  <c r="C69"/>
  <c r="P21"/>
  <c r="C70"/>
  <c r="P22"/>
  <c r="C71"/>
  <c r="P23"/>
  <c r="C72"/>
  <c r="P24"/>
  <c r="C73"/>
  <c r="P25"/>
  <c r="C74"/>
  <c r="P26"/>
  <c r="C75"/>
  <c r="P27"/>
  <c r="C76"/>
  <c r="P28"/>
  <c r="C77"/>
  <c r="P29"/>
  <c r="C78"/>
  <c r="P30"/>
  <c r="C79"/>
  <c r="P31"/>
  <c r="C80"/>
  <c r="P32"/>
  <c r="C81"/>
  <c r="P33"/>
  <c r="C82"/>
  <c r="P34"/>
  <c r="C83"/>
  <c r="P35"/>
  <c r="C84"/>
  <c r="P36"/>
  <c r="C85"/>
  <c r="P37"/>
  <c r="C86"/>
  <c r="P38"/>
  <c r="C87"/>
  <c r="P39"/>
  <c r="C88"/>
  <c r="P40"/>
  <c r="C89"/>
  <c r="P41"/>
  <c r="C90"/>
  <c r="P42"/>
  <c r="C91"/>
  <c r="P43"/>
  <c r="C92"/>
  <c r="P44"/>
  <c r="C93"/>
  <c r="P45"/>
  <c r="C94"/>
  <c r="P46"/>
  <c r="C95"/>
  <c r="P47"/>
  <c r="C96"/>
  <c r="P48"/>
  <c r="C97"/>
  <c r="P49"/>
  <c r="C98"/>
  <c r="P50"/>
  <c r="C99"/>
  <c r="P51"/>
  <c r="C100"/>
  <c r="P52"/>
  <c r="C101"/>
  <c r="P53"/>
  <c r="C102"/>
  <c r="P54"/>
  <c r="C103"/>
  <c r="P55"/>
  <c r="C104"/>
  <c r="P56"/>
  <c r="C105"/>
  <c r="P57"/>
  <c r="C106"/>
  <c r="P58"/>
  <c r="C107"/>
  <c r="P59"/>
  <c r="C108"/>
  <c r="P60"/>
  <c r="C109"/>
  <c r="P61"/>
  <c r="C110"/>
  <c r="P62"/>
  <c r="C111"/>
  <c r="T33"/>
  <c r="G82"/>
  <c r="T34"/>
  <c r="G83"/>
  <c r="T35"/>
  <c r="G84"/>
  <c r="T36"/>
  <c r="G85"/>
  <c r="T37"/>
  <c r="G86"/>
  <c r="T38"/>
  <c r="G87"/>
  <c r="T39"/>
  <c r="G88"/>
  <c r="T40"/>
  <c r="G89"/>
  <c r="T41"/>
  <c r="G90"/>
  <c r="T42"/>
  <c r="G91"/>
  <c r="T43"/>
  <c r="G92"/>
  <c r="T44"/>
  <c r="G93"/>
  <c r="T45"/>
  <c r="G94"/>
  <c r="T46"/>
  <c r="G95"/>
  <c r="T47"/>
  <c r="G96"/>
  <c r="T48"/>
  <c r="G97"/>
  <c r="T49"/>
  <c r="G98"/>
  <c r="T50"/>
  <c r="G99"/>
  <c r="T51"/>
  <c r="G100"/>
  <c r="T52"/>
  <c r="G101"/>
  <c r="T53"/>
  <c r="G102"/>
  <c r="T54"/>
  <c r="G103"/>
  <c r="T55"/>
  <c r="G104"/>
  <c r="T56"/>
  <c r="G105"/>
  <c r="T57"/>
  <c r="G106"/>
  <c r="T58"/>
  <c r="G107"/>
  <c r="T59"/>
  <c r="G108"/>
  <c r="T60"/>
  <c r="G109"/>
  <c r="T61"/>
  <c r="G110"/>
  <c r="T62"/>
  <c r="G111"/>
  <c r="T63"/>
  <c r="G112"/>
  <c r="T64"/>
  <c r="G113"/>
  <c r="T65"/>
  <c r="G114"/>
  <c r="T66"/>
  <c r="G115"/>
  <c r="T67"/>
  <c r="G116"/>
  <c r="T68"/>
  <c r="G117"/>
  <c r="T69"/>
  <c r="G118"/>
  <c r="T70"/>
  <c r="G119"/>
  <c r="T71"/>
  <c r="G120"/>
  <c r="T72"/>
  <c r="G121"/>
  <c r="T73"/>
  <c r="G122"/>
  <c r="T74"/>
  <c r="G123"/>
  <c r="T75"/>
  <c r="G124"/>
  <c r="T76"/>
  <c r="G125"/>
  <c r="T77"/>
  <c r="G126"/>
  <c r="T78"/>
  <c r="G127"/>
  <c r="T79"/>
  <c r="G128"/>
  <c r="T80"/>
  <c r="G129"/>
  <c r="T81"/>
  <c r="G130"/>
  <c r="T82"/>
  <c r="G131"/>
  <c r="T83"/>
  <c r="G132"/>
  <c r="T84"/>
  <c r="G133"/>
  <c r="T85"/>
  <c r="G134"/>
  <c r="T86"/>
  <c r="G135"/>
  <c r="T87"/>
  <c r="G136"/>
  <c r="T88"/>
  <c r="G137"/>
  <c r="T89"/>
  <c r="G138"/>
  <c r="T90"/>
  <c r="G139"/>
  <c r="T91"/>
  <c r="G140"/>
  <c r="T92"/>
  <c r="G141"/>
  <c r="T93"/>
  <c r="G142"/>
  <c r="T94"/>
  <c r="G143"/>
  <c r="T95"/>
  <c r="G144"/>
  <c r="T96"/>
  <c r="G145"/>
  <c r="T97"/>
  <c r="G146"/>
  <c r="T98"/>
  <c r="G147"/>
  <c r="T99"/>
  <c r="G148"/>
  <c r="T100"/>
  <c r="G149"/>
  <c r="T101"/>
  <c r="G150"/>
  <c r="T102"/>
  <c r="G151"/>
  <c r="T103"/>
  <c r="G152"/>
  <c r="T104"/>
  <c r="G153"/>
  <c r="T105"/>
  <c r="G154"/>
  <c r="T106"/>
  <c r="G155"/>
  <c r="T107"/>
  <c r="G156"/>
  <c r="T108"/>
  <c r="G157"/>
  <c r="T109"/>
  <c r="G158"/>
  <c r="T110"/>
  <c r="G159"/>
  <c r="T111"/>
  <c r="G160"/>
  <c r="T112"/>
  <c r="G161"/>
  <c r="T113"/>
  <c r="G162"/>
  <c r="T114"/>
  <c r="G163"/>
  <c r="T115"/>
  <c r="G164"/>
  <c r="T116"/>
  <c r="G165"/>
  <c r="T117"/>
  <c r="G166"/>
  <c r="T118"/>
  <c r="G167"/>
  <c r="T119"/>
  <c r="G168"/>
  <c r="T120"/>
  <c r="G169"/>
  <c r="T121"/>
  <c r="G170"/>
  <c r="T122"/>
  <c r="G171"/>
  <c r="T123"/>
  <c r="G172"/>
  <c r="T124"/>
  <c r="G173"/>
  <c r="T125"/>
  <c r="G174"/>
  <c r="T126"/>
  <c r="G175"/>
  <c r="T127"/>
  <c r="G176"/>
  <c r="T128"/>
  <c r="G177"/>
  <c r="T129"/>
  <c r="G178"/>
  <c r="T130"/>
  <c r="G179"/>
  <c r="T131"/>
  <c r="G180"/>
  <c r="T132"/>
  <c r="G181"/>
  <c r="T133"/>
  <c r="G182"/>
  <c r="T134"/>
  <c r="G183"/>
  <c r="T135"/>
  <c r="G184"/>
  <c r="T136"/>
  <c r="G185"/>
  <c r="T137"/>
  <c r="G186"/>
  <c r="T138"/>
  <c r="G187"/>
  <c r="T139"/>
  <c r="G188"/>
  <c r="T140"/>
  <c r="G189"/>
  <c r="T141"/>
  <c r="G190"/>
  <c r="T142"/>
  <c r="G191"/>
  <c r="T143"/>
  <c r="G192"/>
  <c r="T144"/>
  <c r="G193"/>
  <c r="T145"/>
  <c r="G194"/>
  <c r="T146"/>
  <c r="G195"/>
  <c r="T147"/>
  <c r="G196"/>
  <c r="T148"/>
  <c r="G197"/>
  <c r="T149"/>
  <c r="G198"/>
  <c r="T150"/>
  <c r="G199"/>
  <c r="T151"/>
  <c r="G200"/>
  <c r="T152"/>
  <c r="G201"/>
  <c r="T153"/>
  <c r="G202"/>
  <c r="T154"/>
  <c r="G203"/>
  <c r="T155"/>
  <c r="G204"/>
  <c r="T156"/>
  <c r="G205"/>
  <c r="T157"/>
  <c r="G206"/>
  <c r="T158"/>
  <c r="G207"/>
  <c r="T159"/>
  <c r="G208"/>
  <c r="T160"/>
  <c r="G209"/>
  <c r="T161"/>
  <c r="G210"/>
  <c r="T162"/>
  <c r="G211"/>
  <c r="T163"/>
  <c r="G212"/>
  <c r="T164"/>
  <c r="G213"/>
  <c r="T165"/>
  <c r="G214"/>
  <c r="T166"/>
  <c r="G215"/>
  <c r="T167"/>
  <c r="G216"/>
  <c r="T168"/>
  <c r="G217"/>
  <c r="T169"/>
  <c r="G218"/>
  <c r="T170"/>
  <c r="G219"/>
  <c r="T171"/>
  <c r="G220"/>
  <c r="T172"/>
  <c r="G221"/>
  <c r="T173"/>
  <c r="G222"/>
  <c r="T174"/>
  <c r="G223"/>
  <c r="T175"/>
  <c r="G224"/>
  <c r="T176"/>
  <c r="G225"/>
  <c r="T177"/>
  <c r="G226"/>
  <c r="T178"/>
  <c r="G227"/>
  <c r="T179"/>
  <c r="G228"/>
  <c r="T180"/>
  <c r="G229"/>
  <c r="T181"/>
  <c r="G230"/>
  <c r="T182"/>
  <c r="G231"/>
  <c r="T183"/>
  <c r="G232"/>
  <c r="T184"/>
  <c r="G233"/>
  <c r="T185"/>
  <c r="G234"/>
  <c r="T186"/>
  <c r="G235"/>
  <c r="T187"/>
  <c r="G236"/>
  <c r="T188"/>
  <c r="G237"/>
  <c r="T189"/>
  <c r="G238"/>
  <c r="T190"/>
  <c r="G239"/>
  <c r="T191"/>
  <c r="G240"/>
  <c r="T192"/>
  <c r="G241"/>
  <c r="T193"/>
  <c r="G242"/>
  <c r="T194"/>
  <c r="G243"/>
  <c r="T195"/>
  <c r="G244"/>
  <c r="T196"/>
  <c r="G245"/>
  <c r="T197"/>
  <c r="G246"/>
  <c r="T198"/>
  <c r="G247"/>
  <c r="T199"/>
  <c r="G248"/>
  <c r="T200"/>
  <c r="G249"/>
  <c r="T201"/>
  <c r="G250"/>
  <c r="T202"/>
  <c r="G251"/>
  <c r="T203"/>
  <c r="G252"/>
  <c r="T204"/>
  <c r="G253"/>
  <c r="T205"/>
  <c r="G254"/>
  <c r="T206"/>
  <c r="G255"/>
  <c r="T207"/>
  <c r="G256"/>
  <c r="T208"/>
  <c r="G257"/>
  <c r="T209"/>
  <c r="G258"/>
  <c r="T210"/>
  <c r="G259"/>
  <c r="T211"/>
  <c r="G260"/>
  <c r="T212"/>
  <c r="G261"/>
  <c r="T213"/>
  <c r="G262"/>
  <c r="T214"/>
  <c r="G263"/>
  <c r="T215"/>
  <c r="G264"/>
  <c r="T216"/>
  <c r="G265"/>
  <c r="T217"/>
  <c r="G266"/>
  <c r="T218"/>
  <c r="G267"/>
  <c r="T219"/>
  <c r="G268"/>
  <c r="T220"/>
  <c r="G269"/>
  <c r="T221"/>
  <c r="G270"/>
  <c r="T222"/>
  <c r="G271"/>
  <c r="T223"/>
  <c r="G272"/>
  <c r="T224"/>
  <c r="G273"/>
  <c r="T225"/>
  <c r="G274"/>
  <c r="T226"/>
  <c r="G275"/>
  <c r="T227"/>
  <c r="G276"/>
  <c r="T228"/>
  <c r="G277"/>
  <c r="T229"/>
  <c r="G278"/>
  <c r="T230"/>
  <c r="G279"/>
  <c r="T231"/>
  <c r="G280"/>
  <c r="T232"/>
  <c r="G281"/>
  <c r="T233"/>
  <c r="G282"/>
  <c r="T234"/>
  <c r="G283"/>
  <c r="T235"/>
  <c r="G284"/>
  <c r="T236"/>
  <c r="G285"/>
  <c r="T237"/>
  <c r="G286"/>
  <c r="T238"/>
  <c r="G287"/>
  <c r="T239"/>
  <c r="G288"/>
  <c r="T240"/>
  <c r="G289"/>
  <c r="T241"/>
  <c r="G290"/>
  <c r="T242"/>
  <c r="G291"/>
  <c r="T243"/>
  <c r="G292"/>
  <c r="T244"/>
  <c r="G293"/>
  <c r="T245"/>
  <c r="G294"/>
  <c r="T246"/>
  <c r="G295"/>
  <c r="T247"/>
  <c r="G296"/>
  <c r="T248"/>
  <c r="G297"/>
  <c r="T249"/>
  <c r="G298"/>
  <c r="T250"/>
  <c r="G299"/>
  <c r="T251"/>
  <c r="G300"/>
  <c r="T252"/>
  <c r="G301"/>
  <c r="T253"/>
  <c r="G302"/>
  <c r="T254"/>
  <c r="G303"/>
  <c r="T255"/>
  <c r="G304"/>
  <c r="T256"/>
  <c r="G305"/>
  <c r="T257"/>
  <c r="G306"/>
  <c r="T258"/>
  <c r="G307"/>
  <c r="T259"/>
  <c r="G308"/>
  <c r="T260"/>
  <c r="G309"/>
  <c r="T261"/>
  <c r="G310"/>
  <c r="T262"/>
  <c r="G311"/>
  <c r="T263"/>
  <c r="G312"/>
  <c r="T264"/>
  <c r="G313"/>
  <c r="T265"/>
  <c r="G314"/>
  <c r="T266"/>
  <c r="G315"/>
  <c r="T267"/>
  <c r="G316"/>
  <c r="T268"/>
  <c r="G317"/>
  <c r="T269"/>
  <c r="G318"/>
  <c r="T270"/>
  <c r="G319"/>
  <c r="T271"/>
  <c r="G320"/>
  <c r="T272"/>
  <c r="G321"/>
  <c r="T273"/>
  <c r="G322"/>
  <c r="T274"/>
  <c r="G323"/>
  <c r="T275"/>
  <c r="G324"/>
  <c r="T276"/>
  <c r="G325"/>
  <c r="T277"/>
  <c r="G326"/>
  <c r="T278"/>
  <c r="G327"/>
  <c r="T279"/>
  <c r="G328"/>
  <c r="T280"/>
  <c r="G329"/>
  <c r="T281"/>
  <c r="G330"/>
  <c r="T282"/>
  <c r="G331"/>
  <c r="T283"/>
  <c r="G332"/>
  <c r="T284"/>
  <c r="G333"/>
  <c r="T285"/>
  <c r="G334"/>
  <c r="T286"/>
  <c r="G335"/>
  <c r="T287"/>
  <c r="G336"/>
  <c r="T288"/>
  <c r="G337"/>
  <c r="P63"/>
  <c r="C112"/>
  <c r="P64"/>
  <c r="C113"/>
  <c r="P65"/>
  <c r="C114"/>
  <c r="P66"/>
  <c r="C115"/>
  <c r="P67"/>
  <c r="C116"/>
  <c r="P68"/>
  <c r="C117"/>
  <c r="P69"/>
  <c r="C118"/>
  <c r="P70"/>
  <c r="C119"/>
  <c r="P71"/>
  <c r="C120"/>
  <c r="P72"/>
  <c r="C121"/>
  <c r="P73"/>
  <c r="C122"/>
  <c r="P74"/>
  <c r="C123"/>
  <c r="P75"/>
  <c r="C124"/>
  <c r="P76"/>
  <c r="C125"/>
  <c r="P77"/>
  <c r="C126"/>
  <c r="P78"/>
  <c r="C127"/>
  <c r="P79"/>
  <c r="C128"/>
  <c r="P80"/>
  <c r="C129"/>
  <c r="P81"/>
  <c r="C130"/>
  <c r="P82"/>
  <c r="C131"/>
  <c r="P83"/>
  <c r="C132"/>
  <c r="P84"/>
  <c r="C133"/>
  <c r="P85"/>
  <c r="C134"/>
  <c r="P86"/>
  <c r="C135"/>
  <c r="P87"/>
  <c r="C136"/>
  <c r="P88"/>
  <c r="C137"/>
  <c r="P89"/>
  <c r="C138"/>
  <c r="P90"/>
  <c r="C139"/>
  <c r="P91"/>
  <c r="C140"/>
  <c r="P92"/>
  <c r="C141"/>
  <c r="P93"/>
  <c r="C142"/>
  <c r="P94"/>
  <c r="C143"/>
  <c r="P95"/>
  <c r="C144"/>
  <c r="P96"/>
  <c r="C145"/>
  <c r="P97"/>
  <c r="C146"/>
  <c r="P98"/>
  <c r="C147"/>
  <c r="P99"/>
  <c r="C148"/>
  <c r="P100"/>
  <c r="C149"/>
  <c r="P101"/>
  <c r="C150"/>
  <c r="P102"/>
  <c r="C151"/>
  <c r="P103"/>
  <c r="C152"/>
  <c r="P104"/>
  <c r="C153"/>
  <c r="P105"/>
  <c r="C154"/>
  <c r="P106"/>
  <c r="C155"/>
  <c r="P107"/>
  <c r="C156"/>
  <c r="P108"/>
  <c r="C157"/>
  <c r="P109"/>
  <c r="C158"/>
  <c r="P110"/>
  <c r="C159"/>
  <c r="P111"/>
  <c r="C160"/>
  <c r="P112"/>
  <c r="C161"/>
  <c r="P113"/>
  <c r="C162"/>
  <c r="P114"/>
  <c r="C163"/>
  <c r="P115"/>
  <c r="C164"/>
  <c r="P116"/>
  <c r="C165"/>
  <c r="P117"/>
  <c r="C166"/>
  <c r="P118"/>
  <c r="C167"/>
  <c r="P119"/>
  <c r="C168"/>
  <c r="P120"/>
  <c r="C169"/>
  <c r="P121"/>
  <c r="C170"/>
  <c r="P122"/>
  <c r="C171"/>
  <c r="P123"/>
  <c r="C172"/>
  <c r="P124"/>
  <c r="C173"/>
  <c r="P125"/>
  <c r="C174"/>
  <c r="P126"/>
  <c r="C175"/>
  <c r="P127"/>
  <c r="C176"/>
  <c r="P128"/>
  <c r="C177"/>
  <c r="P129"/>
  <c r="C178"/>
  <c r="P130"/>
  <c r="C179"/>
  <c r="P131"/>
  <c r="C180"/>
  <c r="P132"/>
  <c r="C181"/>
  <c r="P133"/>
  <c r="C182"/>
  <c r="P134"/>
  <c r="C183"/>
  <c r="P135"/>
  <c r="C184"/>
  <c r="P136"/>
  <c r="C185"/>
  <c r="P137"/>
  <c r="C186"/>
  <c r="P138"/>
  <c r="C187"/>
  <c r="P139"/>
  <c r="C188"/>
  <c r="P140"/>
  <c r="C189"/>
  <c r="P141"/>
  <c r="C190"/>
  <c r="P142"/>
  <c r="C191"/>
  <c r="P143"/>
  <c r="C192"/>
  <c r="P144"/>
  <c r="C193"/>
  <c r="P145"/>
  <c r="C194"/>
  <c r="P146"/>
  <c r="C195"/>
  <c r="P147"/>
  <c r="C196"/>
  <c r="P148"/>
  <c r="C197"/>
  <c r="P149"/>
  <c r="C198"/>
  <c r="P150"/>
  <c r="C199"/>
  <c r="P151"/>
  <c r="C200"/>
  <c r="P152"/>
  <c r="C201"/>
  <c r="P153"/>
  <c r="C202"/>
  <c r="P154"/>
  <c r="C203"/>
  <c r="P155"/>
  <c r="C204"/>
  <c r="P156"/>
  <c r="C205"/>
  <c r="P157"/>
  <c r="C206"/>
  <c r="P158"/>
  <c r="C207"/>
  <c r="P159"/>
  <c r="C208"/>
  <c r="P160"/>
  <c r="C209"/>
  <c r="P161"/>
  <c r="C210"/>
  <c r="P162"/>
  <c r="C211"/>
  <c r="P163"/>
  <c r="C212"/>
  <c r="P164"/>
  <c r="C213"/>
  <c r="P165"/>
  <c r="C214"/>
  <c r="P166"/>
  <c r="C215"/>
  <c r="P167"/>
  <c r="C216"/>
  <c r="P168"/>
  <c r="C217"/>
  <c r="P169"/>
  <c r="C218"/>
  <c r="P170"/>
  <c r="C219"/>
  <c r="P171"/>
  <c r="C220"/>
  <c r="P172"/>
  <c r="C221"/>
  <c r="P173"/>
  <c r="C222"/>
  <c r="P174"/>
  <c r="C223"/>
  <c r="P175"/>
  <c r="C224"/>
  <c r="P176"/>
  <c r="C225"/>
  <c r="P177"/>
  <c r="C226"/>
  <c r="P178"/>
  <c r="C227"/>
  <c r="P179"/>
  <c r="C228"/>
  <c r="P180"/>
  <c r="C229"/>
  <c r="P181"/>
  <c r="C230"/>
  <c r="P182"/>
  <c r="C231"/>
  <c r="P183"/>
  <c r="C232"/>
  <c r="P184"/>
  <c r="C233"/>
  <c r="P185"/>
  <c r="C234"/>
  <c r="P186"/>
  <c r="C235"/>
  <c r="P187"/>
  <c r="C236"/>
  <c r="P188"/>
  <c r="C237"/>
  <c r="P189"/>
  <c r="C238"/>
  <c r="P190"/>
  <c r="C239"/>
  <c r="P191"/>
  <c r="C240"/>
  <c r="P192"/>
  <c r="C241"/>
  <c r="P193"/>
  <c r="C242"/>
  <c r="P194"/>
  <c r="C243"/>
  <c r="P195"/>
  <c r="C244"/>
  <c r="P196"/>
  <c r="C245"/>
  <c r="P197"/>
  <c r="C246"/>
  <c r="P198"/>
  <c r="C247"/>
  <c r="P199"/>
  <c r="C248"/>
  <c r="P200"/>
  <c r="C249"/>
  <c r="P201"/>
  <c r="C250"/>
  <c r="P202"/>
  <c r="C251"/>
  <c r="P203"/>
  <c r="C252"/>
  <c r="P204"/>
  <c r="C253"/>
  <c r="P205"/>
  <c r="C254"/>
  <c r="P206"/>
  <c r="C255"/>
  <c r="P207"/>
  <c r="C256"/>
  <c r="P208"/>
  <c r="C257"/>
  <c r="P209"/>
  <c r="C258"/>
  <c r="P210"/>
  <c r="C259"/>
  <c r="P211"/>
  <c r="C260"/>
  <c r="P212"/>
  <c r="C261"/>
  <c r="P213"/>
  <c r="C262"/>
  <c r="P214"/>
  <c r="C263"/>
  <c r="P215"/>
  <c r="C264"/>
  <c r="P216"/>
  <c r="C265"/>
  <c r="P217"/>
  <c r="C266"/>
  <c r="P218"/>
  <c r="C267"/>
  <c r="P219"/>
  <c r="C268"/>
  <c r="P220"/>
  <c r="C269"/>
  <c r="P221"/>
  <c r="C270"/>
  <c r="P222"/>
  <c r="C271"/>
  <c r="P223"/>
  <c r="C272"/>
  <c r="P224"/>
  <c r="C273"/>
  <c r="P225"/>
  <c r="C274"/>
  <c r="P226"/>
  <c r="C275"/>
  <c r="P227"/>
  <c r="C276"/>
  <c r="P228"/>
  <c r="C277"/>
  <c r="P229"/>
  <c r="C278"/>
  <c r="P230"/>
  <c r="C279"/>
  <c r="P231"/>
  <c r="C280"/>
  <c r="P232"/>
  <c r="C281"/>
  <c r="P233"/>
  <c r="C282"/>
  <c r="P234"/>
  <c r="C283"/>
  <c r="P235"/>
  <c r="C284"/>
  <c r="P236"/>
  <c r="C285"/>
  <c r="P237"/>
  <c r="C286"/>
  <c r="P238"/>
  <c r="C287"/>
  <c r="P239"/>
  <c r="C288"/>
  <c r="P240"/>
  <c r="C289"/>
  <c r="P241"/>
  <c r="C290"/>
  <c r="P242"/>
  <c r="C291"/>
  <c r="P243"/>
  <c r="C292"/>
  <c r="P244"/>
  <c r="C293"/>
  <c r="P245"/>
  <c r="C294"/>
  <c r="P246"/>
  <c r="C295"/>
  <c r="P247"/>
  <c r="C296"/>
  <c r="P248"/>
  <c r="C297"/>
  <c r="P249"/>
  <c r="C298"/>
  <c r="P250"/>
  <c r="C299"/>
  <c r="P251"/>
  <c r="C300"/>
  <c r="P252"/>
  <c r="C301"/>
  <c r="P253"/>
  <c r="C302"/>
  <c r="P254"/>
  <c r="C303"/>
  <c r="P255"/>
  <c r="C304"/>
  <c r="P256"/>
  <c r="C305"/>
  <c r="P257"/>
  <c r="C306"/>
  <c r="P258"/>
  <c r="C307"/>
  <c r="P259"/>
  <c r="C308"/>
  <c r="P260"/>
  <c r="C309"/>
  <c r="P261"/>
  <c r="C310"/>
  <c r="P262"/>
  <c r="C311"/>
  <c r="P263"/>
  <c r="C312"/>
  <c r="P264"/>
  <c r="C313"/>
  <c r="P265"/>
  <c r="C314"/>
  <c r="P266"/>
  <c r="C315"/>
  <c r="P267"/>
  <c r="C316"/>
  <c r="P268"/>
  <c r="C317"/>
  <c r="P269"/>
  <c r="C318"/>
  <c r="P270"/>
  <c r="C319"/>
  <c r="P271"/>
  <c r="C320"/>
  <c r="P272"/>
  <c r="C321"/>
  <c r="P273"/>
  <c r="C322"/>
  <c r="P274"/>
  <c r="C323"/>
  <c r="P275"/>
  <c r="C324"/>
  <c r="P276"/>
  <c r="C325"/>
  <c r="P277"/>
  <c r="C326"/>
  <c r="P278"/>
  <c r="C327"/>
  <c r="P279"/>
  <c r="C328"/>
  <c r="P280"/>
  <c r="C329"/>
  <c r="P281"/>
  <c r="C330"/>
  <c r="P282"/>
  <c r="C331"/>
  <c r="P283"/>
  <c r="C332"/>
  <c r="P284"/>
  <c r="C333"/>
  <c r="P285"/>
  <c r="C334"/>
  <c r="P286"/>
  <c r="C335"/>
  <c r="P287"/>
  <c r="C336"/>
  <c r="P288"/>
  <c r="C337"/>
  <c r="AM11" i="9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AU31" i="4"/>
  <c r="AU32"/>
  <c r="AN34"/>
  <c r="AU33"/>
  <c r="AE337" i="1"/>
  <c r="AS24" i="9" l="1"/>
  <c r="AN11"/>
  <c r="AN10"/>
  <c r="AN20"/>
  <c r="AN16"/>
  <c r="AN19"/>
  <c r="AN15"/>
  <c r="AS22"/>
  <c r="AS17"/>
  <c r="AN17"/>
  <c r="AN13"/>
  <c r="AN18"/>
  <c r="AS21"/>
  <c r="AS13"/>
  <c r="AN14"/>
  <c r="AS18"/>
  <c r="AS9"/>
  <c r="AS20"/>
  <c r="AS16"/>
  <c r="AS12"/>
  <c r="AS14"/>
  <c r="AS23"/>
  <c r="AS19"/>
  <c r="AS15"/>
  <c r="AS11"/>
  <c r="AN9"/>
  <c r="AS10"/>
  <c r="AM24"/>
  <c r="AM23"/>
  <c r="AM22"/>
  <c r="AM21"/>
  <c r="AN21" s="1"/>
  <c r="AN12"/>
  <c r="AR33"/>
  <c r="AR31"/>
  <c r="AR30"/>
  <c r="AR29"/>
  <c r="AR28"/>
  <c r="AR27"/>
  <c r="AR25"/>
  <c r="AS25" s="1"/>
  <c r="AR32"/>
  <c r="AR26"/>
  <c r="AM33"/>
  <c r="AM32"/>
  <c r="AM31"/>
  <c r="AM30"/>
  <c r="AM29"/>
  <c r="AM28"/>
  <c r="AM27"/>
  <c r="AM26"/>
  <c r="AM25"/>
  <c r="AC337" i="2"/>
  <c r="AM337"/>
  <c r="AN337"/>
  <c r="AP337"/>
  <c r="AQ337"/>
  <c r="AS32" i="9" l="1"/>
  <c r="AN25"/>
  <c r="AN23"/>
  <c r="AN22"/>
  <c r="AN24"/>
  <c r="AS28"/>
  <c r="AS30"/>
  <c r="AN27"/>
  <c r="AN29"/>
  <c r="AN31"/>
  <c r="AN33"/>
  <c r="AN26"/>
  <c r="AN28"/>
  <c r="AN30"/>
  <c r="AN32"/>
  <c r="AS26"/>
  <c r="AS33"/>
  <c r="AS27"/>
  <c r="AS29"/>
  <c r="AS31"/>
  <c r="AO337" i="2"/>
  <c r="AR337"/>
  <c r="AE336" i="1" l="1"/>
  <c r="AN336" i="2" l="1"/>
  <c r="AQ336"/>
  <c r="AM336"/>
  <c r="AO336" s="1"/>
  <c r="AP336"/>
  <c r="AC336"/>
  <c r="AE335" i="1"/>
  <c r="AR336" i="2" l="1"/>
  <c r="AN335"/>
  <c r="AQ335"/>
  <c r="AM335"/>
  <c r="AO335" s="1"/>
  <c r="AP335"/>
  <c r="AR335" s="1"/>
  <c r="AC335"/>
  <c r="AQ334"/>
  <c r="AP334"/>
  <c r="AN334"/>
  <c r="AM334"/>
  <c r="AE334" i="1"/>
  <c r="AC334" i="2" l="1"/>
  <c r="AR334"/>
  <c r="AO334"/>
  <c r="AQ333" l="1"/>
  <c r="AP333"/>
  <c r="AN333"/>
  <c r="AM333"/>
  <c r="AC333"/>
  <c r="AO333" l="1"/>
  <c r="AE333" i="1"/>
  <c r="AR333" i="2"/>
  <c r="AQ332" l="1"/>
  <c r="AP332"/>
  <c r="AM332"/>
  <c r="AN332"/>
  <c r="AR332" l="1"/>
  <c r="AO332"/>
  <c r="AE332" i="1" l="1"/>
  <c r="AC332" i="2"/>
  <c r="AN33" i="4" l="1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9"/>
  <c r="AN8"/>
  <c r="AN331" i="2" l="1"/>
  <c r="AQ331"/>
  <c r="AM331"/>
  <c r="AP331"/>
  <c r="AR331" l="1"/>
  <c r="AO331"/>
  <c r="AE331" i="1" l="1"/>
  <c r="AC331" i="2"/>
  <c r="AQ330" l="1"/>
  <c r="AP330"/>
  <c r="AN330"/>
  <c r="AM330"/>
  <c r="AO330" l="1"/>
  <c r="AR330"/>
  <c r="AE330" i="1" l="1"/>
  <c r="AC330" i="2"/>
  <c r="AE329" i="1" l="1"/>
  <c r="AC329" i="2" l="1"/>
  <c r="AR33" i="7" l="1"/>
  <c r="AP33" i="1"/>
  <c r="AL33"/>
  <c r="AU33" i="5"/>
  <c r="AM33"/>
  <c r="AM33" i="4"/>
  <c r="AV33" i="2"/>
  <c r="AU33"/>
  <c r="AO33"/>
  <c r="AK33"/>
  <c r="AM33" i="3"/>
  <c r="AI33"/>
  <c r="BE12" i="2"/>
  <c r="BE13"/>
  <c r="O13"/>
  <c r="O12"/>
  <c r="N13" i="1"/>
  <c r="AO33" i="3" l="1"/>
  <c r="AR33" i="1"/>
  <c r="AQ33" i="2"/>
  <c r="CB33" i="3"/>
  <c r="AQ329" i="2"/>
  <c r="AP329"/>
  <c r="Z328" i="7"/>
  <c r="Z328" i="5"/>
  <c r="G328" i="4"/>
  <c r="Z328"/>
  <c r="AA340" s="1"/>
  <c r="AQ328" i="2"/>
  <c r="AP328"/>
  <c r="AN328"/>
  <c r="AM328"/>
  <c r="E328"/>
  <c r="D328" i="6"/>
  <c r="D328" i="8" s="1"/>
  <c r="E328" i="3"/>
  <c r="F328"/>
  <c r="AE328" i="1"/>
  <c r="AB340" i="7" l="1"/>
  <c r="AM329" i="2"/>
  <c r="AU34"/>
  <c r="AN329"/>
  <c r="AV34"/>
  <c r="AO329"/>
  <c r="AR329"/>
  <c r="C328" i="6"/>
  <c r="E328" i="1"/>
  <c r="G328" i="3"/>
  <c r="AI328" s="1"/>
  <c r="AC328" i="2"/>
  <c r="AD328" s="1"/>
  <c r="AE340" s="1"/>
  <c r="AK328"/>
  <c r="AR328"/>
  <c r="AJ328"/>
  <c r="AO328"/>
  <c r="CV327" i="3"/>
  <c r="CW327"/>
  <c r="Z327" i="5"/>
  <c r="Z327" i="4"/>
  <c r="AA339" s="1"/>
  <c r="AM327" i="2"/>
  <c r="AN327"/>
  <c r="AP327"/>
  <c r="AQ327"/>
  <c r="E327" i="3"/>
  <c r="AC327" i="2"/>
  <c r="AO327" l="1"/>
  <c r="AW34"/>
  <c r="AW35"/>
  <c r="C328" i="8"/>
  <c r="AL328" i="2"/>
  <c r="AK327"/>
  <c r="AJ327"/>
  <c r="F327" i="3"/>
  <c r="G327" s="1"/>
  <c r="AI327" s="1"/>
  <c r="C327" i="6"/>
  <c r="E327" i="1"/>
  <c r="AD327" i="2"/>
  <c r="AE339" s="1"/>
  <c r="E327"/>
  <c r="G327" i="4"/>
  <c r="AE327" i="1"/>
  <c r="D327" i="6"/>
  <c r="D327" i="8" s="1"/>
  <c r="Z327" i="7"/>
  <c r="AR327" i="2"/>
  <c r="AB339" i="7" l="1"/>
  <c r="C327" i="8"/>
  <c r="AL327" i="2"/>
  <c r="Z326" i="5"/>
  <c r="Z326" i="4"/>
  <c r="E326" i="1" l="1"/>
  <c r="Z326" i="7"/>
  <c r="AQ326" i="2"/>
  <c r="AM326"/>
  <c r="AN326"/>
  <c r="AP326"/>
  <c r="AE326" i="1"/>
  <c r="Z325" i="5"/>
  <c r="Z325" i="4"/>
  <c r="AQ325" i="2"/>
  <c r="AP325"/>
  <c r="AM325"/>
  <c r="AN325"/>
  <c r="E325" i="3"/>
  <c r="AE325" i="1"/>
  <c r="F325" i="3" l="1"/>
  <c r="G325" s="1"/>
  <c r="AI325" s="1"/>
  <c r="C326" i="6"/>
  <c r="E326" i="2"/>
  <c r="F326" i="3"/>
  <c r="E326"/>
  <c r="D326" i="6"/>
  <c r="D326" i="8" s="1"/>
  <c r="AC326" i="2"/>
  <c r="AD326" s="1"/>
  <c r="AK326"/>
  <c r="AO326"/>
  <c r="AJ326"/>
  <c r="AR326"/>
  <c r="D325" i="6"/>
  <c r="D325" i="8" s="1"/>
  <c r="Z325" i="7"/>
  <c r="AO325" i="2"/>
  <c r="E325"/>
  <c r="AK325"/>
  <c r="AC325"/>
  <c r="AD325" s="1"/>
  <c r="E325" i="1"/>
  <c r="C325" i="6"/>
  <c r="AJ325" i="2"/>
  <c r="AR325"/>
  <c r="AL325" l="1"/>
  <c r="C325" i="8"/>
  <c r="C326"/>
  <c r="AL326" i="2"/>
  <c r="G326" i="3"/>
  <c r="AI326" s="1"/>
  <c r="Z324" i="7"/>
  <c r="E324" i="1"/>
  <c r="AE324"/>
  <c r="Z324" i="5"/>
  <c r="AQ324" i="2"/>
  <c r="AP324"/>
  <c r="AN324"/>
  <c r="AM324"/>
  <c r="AC324"/>
  <c r="AD324" s="1"/>
  <c r="C324" i="6"/>
  <c r="D324"/>
  <c r="E324" i="3" l="1"/>
  <c r="AO324" i="2"/>
  <c r="F324" i="3"/>
  <c r="AK324" i="2"/>
  <c r="Z324" i="4"/>
  <c r="D324" i="8"/>
  <c r="C324"/>
  <c r="E324" i="2"/>
  <c r="AJ324"/>
  <c r="AR324"/>
  <c r="AL324" l="1"/>
  <c r="G324" i="3"/>
  <c r="AI324" l="1"/>
  <c r="Z323" i="5"/>
  <c r="AQ323" i="2"/>
  <c r="AP323"/>
  <c r="AN323"/>
  <c r="AM323"/>
  <c r="AK323"/>
  <c r="F323" i="3"/>
  <c r="AE320" i="1"/>
  <c r="AE322"/>
  <c r="Z322" i="7"/>
  <c r="Z322" i="5"/>
  <c r="Z322" i="4"/>
  <c r="AQ322" i="2"/>
  <c r="AP322"/>
  <c r="AN322"/>
  <c r="AM322"/>
  <c r="AC322"/>
  <c r="AD322" s="1"/>
  <c r="C322" i="6"/>
  <c r="D322"/>
  <c r="Z321" i="5"/>
  <c r="Z321" i="4"/>
  <c r="AQ321" i="2"/>
  <c r="AP321"/>
  <c r="AN321"/>
  <c r="AM321"/>
  <c r="AC321"/>
  <c r="AQ320"/>
  <c r="AP320"/>
  <c r="AN320"/>
  <c r="AM320"/>
  <c r="Z320" i="5"/>
  <c r="Z320" i="4"/>
  <c r="E320" i="2"/>
  <c r="Z319" i="7"/>
  <c r="C319" i="6"/>
  <c r="D319"/>
  <c r="D319" i="8" s="1"/>
  <c r="E319" i="1"/>
  <c r="Z319" i="5"/>
  <c r="Z319" i="4"/>
  <c r="AQ319" i="2"/>
  <c r="AP319"/>
  <c r="AN319"/>
  <c r="AM319"/>
  <c r="AE319" i="1"/>
  <c r="E319" i="2"/>
  <c r="AC319"/>
  <c r="AD319" s="1"/>
  <c r="C319" i="8" l="1"/>
  <c r="F319" i="3"/>
  <c r="E320"/>
  <c r="E321"/>
  <c r="E322"/>
  <c r="E319"/>
  <c r="F320"/>
  <c r="F321"/>
  <c r="F322"/>
  <c r="E323"/>
  <c r="Z323" i="7"/>
  <c r="E322" i="2"/>
  <c r="E322" i="1"/>
  <c r="AD321" i="2"/>
  <c r="C323" i="6"/>
  <c r="AO323" i="2"/>
  <c r="AR323"/>
  <c r="E323" i="1"/>
  <c r="D323" i="6"/>
  <c r="D323" i="8" s="1"/>
  <c r="AC323" i="2"/>
  <c r="AD323" s="1"/>
  <c r="AE323" i="1"/>
  <c r="Z323" i="4"/>
  <c r="E323" i="2"/>
  <c r="AJ323"/>
  <c r="AL323" s="1"/>
  <c r="D322" i="8"/>
  <c r="C322"/>
  <c r="AJ322" i="2"/>
  <c r="AR322"/>
  <c r="AK322"/>
  <c r="AO322"/>
  <c r="E321"/>
  <c r="AJ321"/>
  <c r="Z320" i="7"/>
  <c r="C321" i="6"/>
  <c r="E321" i="1"/>
  <c r="Z321" i="7"/>
  <c r="D321" i="6"/>
  <c r="D321" i="8" s="1"/>
  <c r="AR321" i="2"/>
  <c r="AE321" i="1"/>
  <c r="E320"/>
  <c r="AK321" i="2"/>
  <c r="AO321"/>
  <c r="AO319"/>
  <c r="C320" i="6"/>
  <c r="AJ320" i="2"/>
  <c r="AO320"/>
  <c r="AR320"/>
  <c r="AC320"/>
  <c r="AD320" s="1"/>
  <c r="AK320"/>
  <c r="D320" i="6"/>
  <c r="D320" i="8" s="1"/>
  <c r="AK319" i="2"/>
  <c r="AJ319"/>
  <c r="AR319"/>
  <c r="AQ318"/>
  <c r="AP318"/>
  <c r="AN318"/>
  <c r="AM318"/>
  <c r="Z318" i="7"/>
  <c r="C318" i="6"/>
  <c r="D318"/>
  <c r="D318" i="8" s="1"/>
  <c r="E318" i="1"/>
  <c r="AE318"/>
  <c r="Z318" i="5"/>
  <c r="Z318" i="4"/>
  <c r="E318" i="2"/>
  <c r="AC318"/>
  <c r="AD318" s="1"/>
  <c r="AC317"/>
  <c r="AD317" s="1"/>
  <c r="Z317" i="7"/>
  <c r="C317" i="6"/>
  <c r="D317"/>
  <c r="AE317" i="1"/>
  <c r="E317"/>
  <c r="Z317" i="5"/>
  <c r="Z317" i="4"/>
  <c r="E317" i="2"/>
  <c r="I305"/>
  <c r="H305"/>
  <c r="G305"/>
  <c r="F305"/>
  <c r="K305" i="4"/>
  <c r="J305"/>
  <c r="AL305" s="1"/>
  <c r="I305"/>
  <c r="H305"/>
  <c r="AK305" s="1"/>
  <c r="AJ305" s="1"/>
  <c r="G321" i="3" l="1"/>
  <c r="AI321" s="1"/>
  <c r="C320" i="8"/>
  <c r="C318"/>
  <c r="C321"/>
  <c r="C323"/>
  <c r="AM33" i="7"/>
  <c r="AO33" s="1"/>
  <c r="G323" i="3"/>
  <c r="AI323" s="1"/>
  <c r="G319"/>
  <c r="AI319" s="1"/>
  <c r="AP33" i="7"/>
  <c r="D317" i="8"/>
  <c r="AR33" s="1"/>
  <c r="CA73" i="3" s="1"/>
  <c r="AR33" i="6"/>
  <c r="C317" i="8"/>
  <c r="AM33" i="6"/>
  <c r="G322" i="3"/>
  <c r="AI322" s="1"/>
  <c r="G320"/>
  <c r="AI320" s="1"/>
  <c r="AL321" i="2"/>
  <c r="AL322"/>
  <c r="AL320"/>
  <c r="AL319"/>
  <c r="AN317"/>
  <c r="AQ317"/>
  <c r="AM317"/>
  <c r="AP317"/>
  <c r="AJ318"/>
  <c r="AR318"/>
  <c r="AK318"/>
  <c r="AO318"/>
  <c r="AW33" i="7" l="1"/>
  <c r="AM33" i="8"/>
  <c r="CC73" i="3"/>
  <c r="AR317" i="2"/>
  <c r="AO317"/>
  <c r="AL318"/>
  <c r="AJ317"/>
  <c r="AK317"/>
  <c r="AL317" l="1"/>
  <c r="F315" i="3"/>
  <c r="F314"/>
  <c r="E314"/>
  <c r="CW312"/>
  <c r="E312"/>
  <c r="CW311"/>
  <c r="E309"/>
  <c r="CW306"/>
  <c r="F306"/>
  <c r="F304"/>
  <c r="E300"/>
  <c r="CW299"/>
  <c r="F299"/>
  <c r="CW298"/>
  <c r="CV298" s="1"/>
  <c r="E298"/>
  <c r="CW297"/>
  <c r="F297"/>
  <c r="CW300" l="1"/>
  <c r="CV303"/>
  <c r="CW309"/>
  <c r="CW310"/>
  <c r="CW313"/>
  <c r="G314"/>
  <c r="AI314" s="1"/>
  <c r="CW314"/>
  <c r="CW296"/>
  <c r="E297"/>
  <c r="CV297"/>
  <c r="F298"/>
  <c r="G298" s="1"/>
  <c r="AI298" s="1"/>
  <c r="E299"/>
  <c r="CV299"/>
  <c r="F300"/>
  <c r="G300" s="1"/>
  <c r="AI300" s="1"/>
  <c r="CV300"/>
  <c r="F301"/>
  <c r="CW301"/>
  <c r="E302"/>
  <c r="CW302"/>
  <c r="E303"/>
  <c r="CW303"/>
  <c r="E304"/>
  <c r="CW304"/>
  <c r="E305"/>
  <c r="CW305"/>
  <c r="E306"/>
  <c r="CV306"/>
  <c r="F307"/>
  <c r="F308"/>
  <c r="F309"/>
  <c r="G309" s="1"/>
  <c r="CV309"/>
  <c r="F310"/>
  <c r="CV310"/>
  <c r="F311"/>
  <c r="CV311"/>
  <c r="F312"/>
  <c r="G312" s="1"/>
  <c r="CV312"/>
  <c r="F313"/>
  <c r="CV313"/>
  <c r="CV314"/>
  <c r="E316"/>
  <c r="CV296"/>
  <c r="E301"/>
  <c r="CV301"/>
  <c r="F302"/>
  <c r="CV302"/>
  <c r="F303"/>
  <c r="CV304"/>
  <c r="F305"/>
  <c r="CV305"/>
  <c r="E307"/>
  <c r="CV307"/>
  <c r="E308"/>
  <c r="CV308"/>
  <c r="E310"/>
  <c r="E311"/>
  <c r="E313"/>
  <c r="E315"/>
  <c r="F316"/>
  <c r="E296"/>
  <c r="CW295"/>
  <c r="CW294"/>
  <c r="F294"/>
  <c r="F293"/>
  <c r="G315" l="1"/>
  <c r="AI315" s="1"/>
  <c r="G301"/>
  <c r="G297"/>
  <c r="AI297" s="1"/>
  <c r="G311"/>
  <c r="G306"/>
  <c r="AI306" s="1"/>
  <c r="G304"/>
  <c r="G299"/>
  <c r="AI299" s="1"/>
  <c r="G313"/>
  <c r="AI313" s="1"/>
  <c r="G307"/>
  <c r="G310"/>
  <c r="G308"/>
  <c r="AI308" s="1"/>
  <c r="G305"/>
  <c r="G303"/>
  <c r="G302"/>
  <c r="CW292"/>
  <c r="CW293"/>
  <c r="CV295"/>
  <c r="G316"/>
  <c r="AI316" s="1"/>
  <c r="E293"/>
  <c r="E294"/>
  <c r="F295"/>
  <c r="F296"/>
  <c r="G296" s="1"/>
  <c r="AI296" s="1"/>
  <c r="CV292"/>
  <c r="CV293"/>
  <c r="CV294"/>
  <c r="E295"/>
  <c r="F292"/>
  <c r="E292"/>
  <c r="F291"/>
  <c r="E291"/>
  <c r="CW290"/>
  <c r="E290"/>
  <c r="CW289"/>
  <c r="F289"/>
  <c r="F288"/>
  <c r="CW287"/>
  <c r="G294" l="1"/>
  <c r="AI294" s="1"/>
  <c r="G293"/>
  <c r="AI293" s="1"/>
  <c r="G295"/>
  <c r="AI295" s="1"/>
  <c r="G291"/>
  <c r="AI291" s="1"/>
  <c r="CW288"/>
  <c r="G292"/>
  <c r="AI292" s="1"/>
  <c r="CV289"/>
  <c r="E289"/>
  <c r="E288"/>
  <c r="CV288"/>
  <c r="F290"/>
  <c r="G290" s="1"/>
  <c r="AI290" s="1"/>
  <c r="CV290"/>
  <c r="CW291"/>
  <c r="CV287"/>
  <c r="CV291"/>
  <c r="CW286"/>
  <c r="F286"/>
  <c r="E286"/>
  <c r="F285"/>
  <c r="E285"/>
  <c r="CW284"/>
  <c r="F284"/>
  <c r="E283"/>
  <c r="F282"/>
  <c r="E282"/>
  <c r="CW281"/>
  <c r="E281"/>
  <c r="F277"/>
  <c r="F275"/>
  <c r="E275"/>
  <c r="CV274"/>
  <c r="CW274"/>
  <c r="F273"/>
  <c r="CW270"/>
  <c r="CV270" s="1"/>
  <c r="E270"/>
  <c r="E268"/>
  <c r="E267"/>
  <c r="CW266"/>
  <c r="E266"/>
  <c r="F265"/>
  <c r="E265"/>
  <c r="CW264"/>
  <c r="F264"/>
  <c r="F263"/>
  <c r="E263"/>
  <c r="F262"/>
  <c r="CW260"/>
  <c r="F259"/>
  <c r="E259"/>
  <c r="E258"/>
  <c r="CW257"/>
  <c r="E257"/>
  <c r="CW253"/>
  <c r="E252"/>
  <c r="E251"/>
  <c r="CW250"/>
  <c r="E250"/>
  <c r="CW249"/>
  <c r="CW248"/>
  <c r="F248"/>
  <c r="F247"/>
  <c r="E245"/>
  <c r="CW244"/>
  <c r="F244"/>
  <c r="CW241"/>
  <c r="CW240"/>
  <c r="G288" l="1"/>
  <c r="AI288" s="1"/>
  <c r="G289"/>
  <c r="AI289" s="1"/>
  <c r="CW251"/>
  <c r="CW254"/>
  <c r="CV257"/>
  <c r="CW259"/>
  <c r="CW261"/>
  <c r="CW268"/>
  <c r="CW275"/>
  <c r="CW280"/>
  <c r="CW283"/>
  <c r="G285"/>
  <c r="AI285" s="1"/>
  <c r="CW285"/>
  <c r="G286"/>
  <c r="CW242"/>
  <c r="CW243"/>
  <c r="CV245"/>
  <c r="CW263"/>
  <c r="CW267"/>
  <c r="CW269"/>
  <c r="CW273"/>
  <c r="CW277"/>
  <c r="CW278"/>
  <c r="CW279"/>
  <c r="CV240"/>
  <c r="F241"/>
  <c r="CV241"/>
  <c r="F242"/>
  <c r="CV242"/>
  <c r="F243"/>
  <c r="CV243"/>
  <c r="G259"/>
  <c r="CV260"/>
  <c r="E241"/>
  <c r="E242"/>
  <c r="E243"/>
  <c r="E244"/>
  <c r="CV244"/>
  <c r="F245"/>
  <c r="G245" s="1"/>
  <c r="AI245" s="1"/>
  <c r="CW245"/>
  <c r="E246"/>
  <c r="CW246"/>
  <c r="E247"/>
  <c r="CW247"/>
  <c r="E248"/>
  <c r="CV248"/>
  <c r="F249"/>
  <c r="CV249"/>
  <c r="F250"/>
  <c r="G250" s="1"/>
  <c r="AI250" s="1"/>
  <c r="CV250"/>
  <c r="F251"/>
  <c r="G251" s="1"/>
  <c r="AI251" s="1"/>
  <c r="CV251"/>
  <c r="F252"/>
  <c r="G252" s="1"/>
  <c r="AI252" s="1"/>
  <c r="CW252"/>
  <c r="E253"/>
  <c r="CV253"/>
  <c r="F254"/>
  <c r="CV254"/>
  <c r="F255"/>
  <c r="CW255"/>
  <c r="E256"/>
  <c r="CW256"/>
  <c r="CW258"/>
  <c r="AI259"/>
  <c r="CV259"/>
  <c r="F260"/>
  <c r="E261"/>
  <c r="CV261"/>
  <c r="CW262"/>
  <c r="G263"/>
  <c r="AI263" s="1"/>
  <c r="CV263"/>
  <c r="CV264"/>
  <c r="CW265"/>
  <c r="CV266"/>
  <c r="CV267"/>
  <c r="G275"/>
  <c r="AI275" s="1"/>
  <c r="CV277"/>
  <c r="CV281"/>
  <c r="F266"/>
  <c r="G266" s="1"/>
  <c r="AI266" s="1"/>
  <c r="F267"/>
  <c r="G267" s="1"/>
  <c r="AI267" s="1"/>
  <c r="F246"/>
  <c r="CV246"/>
  <c r="CV247"/>
  <c r="E249"/>
  <c r="CV252"/>
  <c r="F253"/>
  <c r="E254"/>
  <c r="E255"/>
  <c r="CV255"/>
  <c r="F256"/>
  <c r="CV256"/>
  <c r="F257"/>
  <c r="G257" s="1"/>
  <c r="AI257" s="1"/>
  <c r="F258"/>
  <c r="G258" s="1"/>
  <c r="AI258" s="1"/>
  <c r="CV258"/>
  <c r="E260"/>
  <c r="F261"/>
  <c r="E262"/>
  <c r="CV262"/>
  <c r="E264"/>
  <c r="G265"/>
  <c r="AI265" s="1"/>
  <c r="CV265"/>
  <c r="F268"/>
  <c r="G268" s="1"/>
  <c r="AI268" s="1"/>
  <c r="CV268"/>
  <c r="F269"/>
  <c r="CV269"/>
  <c r="F270"/>
  <c r="G270" s="1"/>
  <c r="AI270" s="1"/>
  <c r="E271"/>
  <c r="CW271"/>
  <c r="E272"/>
  <c r="CW272"/>
  <c r="E273"/>
  <c r="CV273"/>
  <c r="F274"/>
  <c r="CV275"/>
  <c r="F276"/>
  <c r="CW276"/>
  <c r="E277"/>
  <c r="F278"/>
  <c r="CV278"/>
  <c r="F279"/>
  <c r="CV279"/>
  <c r="F280"/>
  <c r="CV280"/>
  <c r="F281"/>
  <c r="G281" s="1"/>
  <c r="AI281" s="1"/>
  <c r="G282"/>
  <c r="AI282" s="1"/>
  <c r="CW282"/>
  <c r="CV283"/>
  <c r="CV284"/>
  <c r="CV285"/>
  <c r="AI286"/>
  <c r="CV286"/>
  <c r="F287"/>
  <c r="E269"/>
  <c r="F271"/>
  <c r="CV271"/>
  <c r="F272"/>
  <c r="CV272"/>
  <c r="E274"/>
  <c r="E276"/>
  <c r="CV276"/>
  <c r="E278"/>
  <c r="E279"/>
  <c r="E280"/>
  <c r="CV282"/>
  <c r="F283"/>
  <c r="G283" s="1"/>
  <c r="AI283" s="1"/>
  <c r="E284"/>
  <c r="E287"/>
  <c r="F240"/>
  <c r="CW239"/>
  <c r="F239"/>
  <c r="F238"/>
  <c r="CW237"/>
  <c r="G253" l="1"/>
  <c r="AI253" s="1"/>
  <c r="G287"/>
  <c r="AI287" s="1"/>
  <c r="G280"/>
  <c r="AI280" s="1"/>
  <c r="G284"/>
  <c r="AI284" s="1"/>
  <c r="G279"/>
  <c r="AI279" s="1"/>
  <c r="G264"/>
  <c r="AI264" s="1"/>
  <c r="G255"/>
  <c r="AI255" s="1"/>
  <c r="G248"/>
  <c r="AI248" s="1"/>
  <c r="G247"/>
  <c r="AI247" s="1"/>
  <c r="G244"/>
  <c r="AI244" s="1"/>
  <c r="G274"/>
  <c r="AI274" s="1"/>
  <c r="G277"/>
  <c r="AI277" s="1"/>
  <c r="G273"/>
  <c r="AI273" s="1"/>
  <c r="G262"/>
  <c r="AI262" s="1"/>
  <c r="G260"/>
  <c r="AI260" s="1"/>
  <c r="G254"/>
  <c r="AI254" s="1"/>
  <c r="G243"/>
  <c r="AI243" s="1"/>
  <c r="G241"/>
  <c r="AI241" s="1"/>
  <c r="G278"/>
  <c r="AI278" s="1"/>
  <c r="G276"/>
  <c r="AI276" s="1"/>
  <c r="G269"/>
  <c r="AI269" s="1"/>
  <c r="G261"/>
  <c r="AI261" s="1"/>
  <c r="G249"/>
  <c r="AI249" s="1"/>
  <c r="G242"/>
  <c r="AI242" s="1"/>
  <c r="G246"/>
  <c r="AI246" s="1"/>
  <c r="CW236"/>
  <c r="G271"/>
  <c r="AI271" s="1"/>
  <c r="E237"/>
  <c r="CV236"/>
  <c r="F237"/>
  <c r="CV237"/>
  <c r="CW238"/>
  <c r="E239"/>
  <c r="CV239"/>
  <c r="G272"/>
  <c r="AI272" s="1"/>
  <c r="G256"/>
  <c r="AI256" s="1"/>
  <c r="E238"/>
  <c r="CV238"/>
  <c r="E240"/>
  <c r="CW235"/>
  <c r="F235"/>
  <c r="E235"/>
  <c r="E234"/>
  <c r="BI232"/>
  <c r="BI244" s="1"/>
  <c r="BI256" s="1"/>
  <c r="BI268" s="1"/>
  <c r="BI280" s="1"/>
  <c r="BI292" s="1"/>
  <c r="BI304" s="1"/>
  <c r="BI316" s="1"/>
  <c r="BI328" s="1"/>
  <c r="BI340" s="1"/>
  <c r="BI352" s="1"/>
  <c r="BI364" s="1"/>
  <c r="BH232"/>
  <c r="BH244" s="1"/>
  <c r="BH256" s="1"/>
  <c r="BH268" s="1"/>
  <c r="BH280" s="1"/>
  <c r="BH292" s="1"/>
  <c r="BH304" s="1"/>
  <c r="BH316" s="1"/>
  <c r="BH328" s="1"/>
  <c r="BH340" s="1"/>
  <c r="BH352" s="1"/>
  <c r="BH364" s="1"/>
  <c r="AV232"/>
  <c r="AV244" s="1"/>
  <c r="AV256" s="1"/>
  <c r="AV268" s="1"/>
  <c r="AV280" s="1"/>
  <c r="AV292" s="1"/>
  <c r="AV304" s="1"/>
  <c r="AV316" s="1"/>
  <c r="AV328" s="1"/>
  <c r="AV340" s="1"/>
  <c r="AV352" s="1"/>
  <c r="AV364" s="1"/>
  <c r="AU232"/>
  <c r="AU244" s="1"/>
  <c r="AU256" s="1"/>
  <c r="AU268" s="1"/>
  <c r="AU280" s="1"/>
  <c r="AU292" s="1"/>
  <c r="AU304" s="1"/>
  <c r="AU316" s="1"/>
  <c r="AU328" s="1"/>
  <c r="AU340" s="1"/>
  <c r="AU352" s="1"/>
  <c r="AU364" s="1"/>
  <c r="F232"/>
  <c r="B232"/>
  <c r="B244" s="1"/>
  <c r="B256" s="1"/>
  <c r="B268" s="1"/>
  <c r="B280" s="1"/>
  <c r="B292" s="1"/>
  <c r="B304" s="1"/>
  <c r="B316" s="1"/>
  <c r="B328" s="1"/>
  <c r="B340" s="1"/>
  <c r="B352" s="1"/>
  <c r="B364" s="1"/>
  <c r="B376" s="1"/>
  <c r="A232"/>
  <c r="A244" s="1"/>
  <c r="A256" s="1"/>
  <c r="A268" s="1"/>
  <c r="A280" s="1"/>
  <c r="A292" s="1"/>
  <c r="A304" s="1"/>
  <c r="A316" s="1"/>
  <c r="A328" s="1"/>
  <c r="A340" s="1"/>
  <c r="A352" s="1"/>
  <c r="A364" s="1"/>
  <c r="A376" s="1"/>
  <c r="BI231"/>
  <c r="BI243" s="1"/>
  <c r="BI255" s="1"/>
  <c r="BI267" s="1"/>
  <c r="BI279" s="1"/>
  <c r="BI291" s="1"/>
  <c r="BI303" s="1"/>
  <c r="BI315" s="1"/>
  <c r="BI327" s="1"/>
  <c r="BI339" s="1"/>
  <c r="BI351" s="1"/>
  <c r="BI363" s="1"/>
  <c r="BH231"/>
  <c r="BH243" s="1"/>
  <c r="BH255" s="1"/>
  <c r="BH267" s="1"/>
  <c r="BH279" s="1"/>
  <c r="BH291" s="1"/>
  <c r="BH303" s="1"/>
  <c r="BH315" s="1"/>
  <c r="BH327" s="1"/>
  <c r="BH339" s="1"/>
  <c r="BH351" s="1"/>
  <c r="BH363" s="1"/>
  <c r="AV231"/>
  <c r="AV243" s="1"/>
  <c r="AV255" s="1"/>
  <c r="AV267" s="1"/>
  <c r="AV279" s="1"/>
  <c r="AV291" s="1"/>
  <c r="AV303" s="1"/>
  <c r="AV315" s="1"/>
  <c r="AV327" s="1"/>
  <c r="AV339" s="1"/>
  <c r="AV351" s="1"/>
  <c r="AV363" s="1"/>
  <c r="AU231"/>
  <c r="AU243" s="1"/>
  <c r="AU255" s="1"/>
  <c r="AU267" s="1"/>
  <c r="AU279" s="1"/>
  <c r="AU291" s="1"/>
  <c r="AU303" s="1"/>
  <c r="AU315" s="1"/>
  <c r="AU327" s="1"/>
  <c r="AU339" s="1"/>
  <c r="AU351" s="1"/>
  <c r="AU363" s="1"/>
  <c r="F231"/>
  <c r="B231"/>
  <c r="B243" s="1"/>
  <c r="A231"/>
  <c r="A243" s="1"/>
  <c r="A255" s="1"/>
  <c r="A267" s="1"/>
  <c r="A279" s="1"/>
  <c r="A291" s="1"/>
  <c r="A303" s="1"/>
  <c r="A315" s="1"/>
  <c r="A327" s="1"/>
  <c r="A339" s="1"/>
  <c r="A351" s="1"/>
  <c r="A363" s="1"/>
  <c r="A375" s="1"/>
  <c r="BI230"/>
  <c r="BI242" s="1"/>
  <c r="BI254" s="1"/>
  <c r="BI266" s="1"/>
  <c r="BI278" s="1"/>
  <c r="BI290" s="1"/>
  <c r="BI302" s="1"/>
  <c r="BI314" s="1"/>
  <c r="BI326" s="1"/>
  <c r="BI338" s="1"/>
  <c r="BI350" s="1"/>
  <c r="BI362" s="1"/>
  <c r="BH230"/>
  <c r="BH242" s="1"/>
  <c r="BH254" s="1"/>
  <c r="BH266" s="1"/>
  <c r="BH278" s="1"/>
  <c r="BH290" s="1"/>
  <c r="BH302" s="1"/>
  <c r="BH314" s="1"/>
  <c r="BH326" s="1"/>
  <c r="BH338" s="1"/>
  <c r="BH350" s="1"/>
  <c r="BH362" s="1"/>
  <c r="AV230"/>
  <c r="AV242" s="1"/>
  <c r="AV254" s="1"/>
  <c r="AV266" s="1"/>
  <c r="AV278" s="1"/>
  <c r="AV290" s="1"/>
  <c r="AV302" s="1"/>
  <c r="AV314" s="1"/>
  <c r="AV326" s="1"/>
  <c r="AV338" s="1"/>
  <c r="AV350" s="1"/>
  <c r="AV362" s="1"/>
  <c r="AU230"/>
  <c r="AU242" s="1"/>
  <c r="AU254" s="1"/>
  <c r="AU266" s="1"/>
  <c r="AU278" s="1"/>
  <c r="AU290" s="1"/>
  <c r="AU302" s="1"/>
  <c r="AU314" s="1"/>
  <c r="AU326" s="1"/>
  <c r="AU338" s="1"/>
  <c r="AU350" s="1"/>
  <c r="AU362" s="1"/>
  <c r="E230"/>
  <c r="B230"/>
  <c r="B242" s="1"/>
  <c r="A230"/>
  <c r="A242" s="1"/>
  <c r="A254" s="1"/>
  <c r="A266" s="1"/>
  <c r="A278" s="1"/>
  <c r="A290" s="1"/>
  <c r="A302" s="1"/>
  <c r="A314" s="1"/>
  <c r="A326" s="1"/>
  <c r="A338" s="1"/>
  <c r="A350" s="1"/>
  <c r="A362" s="1"/>
  <c r="A374" s="1"/>
  <c r="CW229"/>
  <c r="BI229"/>
  <c r="BI241" s="1"/>
  <c r="BI253" s="1"/>
  <c r="BI265" s="1"/>
  <c r="BI277" s="1"/>
  <c r="BI289" s="1"/>
  <c r="BI301" s="1"/>
  <c r="BI313" s="1"/>
  <c r="BI325" s="1"/>
  <c r="BI337" s="1"/>
  <c r="BI349" s="1"/>
  <c r="BI361" s="1"/>
  <c r="BH229"/>
  <c r="BH241" s="1"/>
  <c r="BH253" s="1"/>
  <c r="BH265" s="1"/>
  <c r="BH277" s="1"/>
  <c r="BH289" s="1"/>
  <c r="BH301" s="1"/>
  <c r="BH313" s="1"/>
  <c r="BH325" s="1"/>
  <c r="BH337" s="1"/>
  <c r="BH349" s="1"/>
  <c r="BH361" s="1"/>
  <c r="AV229"/>
  <c r="AV241" s="1"/>
  <c r="AV253" s="1"/>
  <c r="AV265" s="1"/>
  <c r="AV277" s="1"/>
  <c r="AV289" s="1"/>
  <c r="AV301" s="1"/>
  <c r="AV313" s="1"/>
  <c r="AV325" s="1"/>
  <c r="AV337" s="1"/>
  <c r="AV349" s="1"/>
  <c r="AV361" s="1"/>
  <c r="AU229"/>
  <c r="AU241" s="1"/>
  <c r="AU253" s="1"/>
  <c r="AU265" s="1"/>
  <c r="AU277" s="1"/>
  <c r="AU289" s="1"/>
  <c r="AU301" s="1"/>
  <c r="AU313" s="1"/>
  <c r="AU325" s="1"/>
  <c r="AU337" s="1"/>
  <c r="AU349" s="1"/>
  <c r="AU361" s="1"/>
  <c r="F229"/>
  <c r="B229"/>
  <c r="B241" s="1"/>
  <c r="A229"/>
  <c r="A241" s="1"/>
  <c r="A253" s="1"/>
  <c r="A265" s="1"/>
  <c r="A277" s="1"/>
  <c r="A289" s="1"/>
  <c r="A301" s="1"/>
  <c r="A313" s="1"/>
  <c r="A325" s="1"/>
  <c r="A337" s="1"/>
  <c r="A349" s="1"/>
  <c r="A361" s="1"/>
  <c r="A373" s="1"/>
  <c r="BD230" l="1"/>
  <c r="BD229"/>
  <c r="BD241"/>
  <c r="B253"/>
  <c r="Q241"/>
  <c r="B254"/>
  <c r="Q242"/>
  <c r="BD242"/>
  <c r="Q229"/>
  <c r="Q230"/>
  <c r="B255"/>
  <c r="Q243"/>
  <c r="Q231"/>
  <c r="G237"/>
  <c r="AI237" s="1"/>
  <c r="G239"/>
  <c r="AI239" s="1"/>
  <c r="G240"/>
  <c r="AI240" s="1"/>
  <c r="G238"/>
  <c r="AI238" s="1"/>
  <c r="CW233"/>
  <c r="G235"/>
  <c r="AI235" s="1"/>
  <c r="CV233"/>
  <c r="CW228"/>
  <c r="E229"/>
  <c r="CV229"/>
  <c r="F230"/>
  <c r="G230" s="1"/>
  <c r="AI230" s="1"/>
  <c r="CW230"/>
  <c r="E231"/>
  <c r="CW231"/>
  <c r="E232"/>
  <c r="CW232"/>
  <c r="E233"/>
  <c r="CW234"/>
  <c r="CV235"/>
  <c r="F236"/>
  <c r="CV228"/>
  <c r="CV230"/>
  <c r="CV231"/>
  <c r="CV232"/>
  <c r="F233"/>
  <c r="F234"/>
  <c r="G234" s="1"/>
  <c r="AI234" s="1"/>
  <c r="CV234"/>
  <c r="E236"/>
  <c r="BI228"/>
  <c r="BI240" s="1"/>
  <c r="BI252" s="1"/>
  <c r="BI264" s="1"/>
  <c r="BI276" s="1"/>
  <c r="BI288" s="1"/>
  <c r="BI300" s="1"/>
  <c r="BI312" s="1"/>
  <c r="BI324" s="1"/>
  <c r="BI336" s="1"/>
  <c r="BI348" s="1"/>
  <c r="BI360" s="1"/>
  <c r="BH228"/>
  <c r="BH240" s="1"/>
  <c r="BH252" s="1"/>
  <c r="BH264" s="1"/>
  <c r="BH276" s="1"/>
  <c r="BH288" s="1"/>
  <c r="BH300" s="1"/>
  <c r="BH312" s="1"/>
  <c r="BH324" s="1"/>
  <c r="BH336" s="1"/>
  <c r="BH348" s="1"/>
  <c r="BH360" s="1"/>
  <c r="AV228"/>
  <c r="AV240" s="1"/>
  <c r="AV252" s="1"/>
  <c r="AV264" s="1"/>
  <c r="AV276" s="1"/>
  <c r="AV288" s="1"/>
  <c r="AV300" s="1"/>
  <c r="AV312" s="1"/>
  <c r="AV324" s="1"/>
  <c r="AV336" s="1"/>
  <c r="AV348" s="1"/>
  <c r="AV360" s="1"/>
  <c r="AU228"/>
  <c r="AU240" s="1"/>
  <c r="AU252" s="1"/>
  <c r="AU264" s="1"/>
  <c r="AU276" s="1"/>
  <c r="AU288" s="1"/>
  <c r="AU300" s="1"/>
  <c r="AU312" s="1"/>
  <c r="AU324" s="1"/>
  <c r="AU336" s="1"/>
  <c r="AU348" s="1"/>
  <c r="AU360" s="1"/>
  <c r="F228"/>
  <c r="E228"/>
  <c r="B228"/>
  <c r="B240" s="1"/>
  <c r="A228"/>
  <c r="A240" s="1"/>
  <c r="A252" s="1"/>
  <c r="A264" s="1"/>
  <c r="A276" s="1"/>
  <c r="A288" s="1"/>
  <c r="A300" s="1"/>
  <c r="A312" s="1"/>
  <c r="A324" s="1"/>
  <c r="A336" s="1"/>
  <c r="A348" s="1"/>
  <c r="A360" s="1"/>
  <c r="A372" s="1"/>
  <c r="BI227"/>
  <c r="BI239" s="1"/>
  <c r="BI251" s="1"/>
  <c r="BI263" s="1"/>
  <c r="BI275" s="1"/>
  <c r="BI287" s="1"/>
  <c r="BI299" s="1"/>
  <c r="BI311" s="1"/>
  <c r="BI323" s="1"/>
  <c r="BI335" s="1"/>
  <c r="BI347" s="1"/>
  <c r="BI359" s="1"/>
  <c r="BI371" s="1"/>
  <c r="BH227"/>
  <c r="BH239" s="1"/>
  <c r="BH251" s="1"/>
  <c r="BH263" s="1"/>
  <c r="BH275" s="1"/>
  <c r="BH287" s="1"/>
  <c r="BH299" s="1"/>
  <c r="BH311" s="1"/>
  <c r="BH323" s="1"/>
  <c r="BH335" s="1"/>
  <c r="BH347" s="1"/>
  <c r="BH359" s="1"/>
  <c r="BH371" s="1"/>
  <c r="AV227"/>
  <c r="AV239" s="1"/>
  <c r="AV251" s="1"/>
  <c r="AV263" s="1"/>
  <c r="AV275" s="1"/>
  <c r="AV287" s="1"/>
  <c r="AV299" s="1"/>
  <c r="AV311" s="1"/>
  <c r="AV323" s="1"/>
  <c r="AV335" s="1"/>
  <c r="AV347" s="1"/>
  <c r="AV359" s="1"/>
  <c r="AV371" s="1"/>
  <c r="AU227"/>
  <c r="AU239" s="1"/>
  <c r="AU251" s="1"/>
  <c r="AU263" s="1"/>
  <c r="AU275" s="1"/>
  <c r="AU287" s="1"/>
  <c r="AU299" s="1"/>
  <c r="AU311" s="1"/>
  <c r="AU323" s="1"/>
  <c r="AU335" s="1"/>
  <c r="AU347" s="1"/>
  <c r="AU359" s="1"/>
  <c r="AU371" s="1"/>
  <c r="F227"/>
  <c r="B227"/>
  <c r="B239" s="1"/>
  <c r="A227"/>
  <c r="A239" s="1"/>
  <c r="A251" s="1"/>
  <c r="A263" s="1"/>
  <c r="A275" s="1"/>
  <c r="A287" s="1"/>
  <c r="A299" s="1"/>
  <c r="A311" s="1"/>
  <c r="A323" s="1"/>
  <c r="A335" s="1"/>
  <c r="A347" s="1"/>
  <c r="A359" s="1"/>
  <c r="A371" s="1"/>
  <c r="BI226"/>
  <c r="BI238" s="1"/>
  <c r="BI250" s="1"/>
  <c r="BI262" s="1"/>
  <c r="BI274" s="1"/>
  <c r="BI286" s="1"/>
  <c r="BI298" s="1"/>
  <c r="BI310" s="1"/>
  <c r="BI322" s="1"/>
  <c r="BI334" s="1"/>
  <c r="BI346" s="1"/>
  <c r="BI358" s="1"/>
  <c r="BI370" s="1"/>
  <c r="BH226"/>
  <c r="BH238" s="1"/>
  <c r="BH250" s="1"/>
  <c r="BH262" s="1"/>
  <c r="BH274" s="1"/>
  <c r="BH286" s="1"/>
  <c r="BH298" s="1"/>
  <c r="BH310" s="1"/>
  <c r="BH322" s="1"/>
  <c r="BH334" s="1"/>
  <c r="BH346" s="1"/>
  <c r="BH358" s="1"/>
  <c r="BH370" s="1"/>
  <c r="AV226"/>
  <c r="AV238" s="1"/>
  <c r="AV250" s="1"/>
  <c r="AV262" s="1"/>
  <c r="AV274" s="1"/>
  <c r="AV286" s="1"/>
  <c r="AV298" s="1"/>
  <c r="AV310" s="1"/>
  <c r="AV322" s="1"/>
  <c r="AV334" s="1"/>
  <c r="AV346" s="1"/>
  <c r="AV358" s="1"/>
  <c r="AV370" s="1"/>
  <c r="AU226"/>
  <c r="AU238" s="1"/>
  <c r="AU250" s="1"/>
  <c r="AU262" s="1"/>
  <c r="AU274" s="1"/>
  <c r="AU286" s="1"/>
  <c r="AU298" s="1"/>
  <c r="AU310" s="1"/>
  <c r="AU322" s="1"/>
  <c r="AU334" s="1"/>
  <c r="AU346" s="1"/>
  <c r="AU358" s="1"/>
  <c r="AU370" s="1"/>
  <c r="B226"/>
  <c r="B238" s="1"/>
  <c r="A226"/>
  <c r="A238" s="1"/>
  <c r="A250" s="1"/>
  <c r="A262" s="1"/>
  <c r="A274" s="1"/>
  <c r="A286" s="1"/>
  <c r="A298" s="1"/>
  <c r="A310" s="1"/>
  <c r="A322" s="1"/>
  <c r="A334" s="1"/>
  <c r="A346" s="1"/>
  <c r="A358" s="1"/>
  <c r="A370" s="1"/>
  <c r="CW225"/>
  <c r="BI225"/>
  <c r="BI237" s="1"/>
  <c r="BI249" s="1"/>
  <c r="BI261" s="1"/>
  <c r="BI273" s="1"/>
  <c r="BI285" s="1"/>
  <c r="BI297" s="1"/>
  <c r="BI309" s="1"/>
  <c r="BI321" s="1"/>
  <c r="BI333" s="1"/>
  <c r="BI345" s="1"/>
  <c r="BI357" s="1"/>
  <c r="BI369" s="1"/>
  <c r="BH225"/>
  <c r="BH237" s="1"/>
  <c r="BH249" s="1"/>
  <c r="BH261" s="1"/>
  <c r="BH273" s="1"/>
  <c r="BH285" s="1"/>
  <c r="BH297" s="1"/>
  <c r="BH309" s="1"/>
  <c r="BH321" s="1"/>
  <c r="BH333" s="1"/>
  <c r="BH345" s="1"/>
  <c r="BH357" s="1"/>
  <c r="BH369" s="1"/>
  <c r="AV225"/>
  <c r="AV237" s="1"/>
  <c r="AV249" s="1"/>
  <c r="AV261" s="1"/>
  <c r="AV273" s="1"/>
  <c r="AV285" s="1"/>
  <c r="AV297" s="1"/>
  <c r="AV309" s="1"/>
  <c r="AV321" s="1"/>
  <c r="AV333" s="1"/>
  <c r="AV345" s="1"/>
  <c r="AV357" s="1"/>
  <c r="AV369" s="1"/>
  <c r="AU225"/>
  <c r="AU237" s="1"/>
  <c r="AU249" s="1"/>
  <c r="AU261" s="1"/>
  <c r="AU273" s="1"/>
  <c r="AU285" s="1"/>
  <c r="AU297" s="1"/>
  <c r="AU309" s="1"/>
  <c r="AU321" s="1"/>
  <c r="AU333" s="1"/>
  <c r="AU345" s="1"/>
  <c r="AU357" s="1"/>
  <c r="AU369" s="1"/>
  <c r="F225"/>
  <c r="B225"/>
  <c r="B237" s="1"/>
  <c r="A225"/>
  <c r="A237" s="1"/>
  <c r="A249" s="1"/>
  <c r="A261" s="1"/>
  <c r="A273" s="1"/>
  <c r="A285" s="1"/>
  <c r="A297" s="1"/>
  <c r="A309" s="1"/>
  <c r="A321" s="1"/>
  <c r="A333" s="1"/>
  <c r="A345" s="1"/>
  <c r="A357" s="1"/>
  <c r="A369" s="1"/>
  <c r="BI224"/>
  <c r="BI236" s="1"/>
  <c r="BI248" s="1"/>
  <c r="BI260" s="1"/>
  <c r="BI272" s="1"/>
  <c r="BI284" s="1"/>
  <c r="BI296" s="1"/>
  <c r="BI308" s="1"/>
  <c r="BI320" s="1"/>
  <c r="BI332" s="1"/>
  <c r="BI344" s="1"/>
  <c r="BI356" s="1"/>
  <c r="BI368" s="1"/>
  <c r="BH224"/>
  <c r="BH236" s="1"/>
  <c r="BH248" s="1"/>
  <c r="BH260" s="1"/>
  <c r="BH272" s="1"/>
  <c r="BH284" s="1"/>
  <c r="BH296" s="1"/>
  <c r="BH308" s="1"/>
  <c r="BH320" s="1"/>
  <c r="BH332" s="1"/>
  <c r="BH344" s="1"/>
  <c r="BH356" s="1"/>
  <c r="BH368" s="1"/>
  <c r="AV224"/>
  <c r="AV236" s="1"/>
  <c r="AV248" s="1"/>
  <c r="AV260" s="1"/>
  <c r="AV272" s="1"/>
  <c r="AV284" s="1"/>
  <c r="AV296" s="1"/>
  <c r="AV308" s="1"/>
  <c r="AV320" s="1"/>
  <c r="AV332" s="1"/>
  <c r="AV344" s="1"/>
  <c r="AV356" s="1"/>
  <c r="AV368" s="1"/>
  <c r="AU224"/>
  <c r="AU236" s="1"/>
  <c r="AU248" s="1"/>
  <c r="AU260" s="1"/>
  <c r="AU272" s="1"/>
  <c r="AU284" s="1"/>
  <c r="AU296" s="1"/>
  <c r="AU308" s="1"/>
  <c r="AU320" s="1"/>
  <c r="AU332" s="1"/>
  <c r="AU344" s="1"/>
  <c r="AU356" s="1"/>
  <c r="AU368" s="1"/>
  <c r="F224"/>
  <c r="E224"/>
  <c r="B224"/>
  <c r="B236" s="1"/>
  <c r="B248" s="1"/>
  <c r="B260" s="1"/>
  <c r="B272" s="1"/>
  <c r="B284" s="1"/>
  <c r="B296" s="1"/>
  <c r="B308" s="1"/>
  <c r="B320" s="1"/>
  <c r="B332" s="1"/>
  <c r="B344" s="1"/>
  <c r="B356" s="1"/>
  <c r="B368" s="1"/>
  <c r="A224"/>
  <c r="A236" s="1"/>
  <c r="A248" s="1"/>
  <c r="A260" s="1"/>
  <c r="A272" s="1"/>
  <c r="A284" s="1"/>
  <c r="A296" s="1"/>
  <c r="A308" s="1"/>
  <c r="A320" s="1"/>
  <c r="A332" s="1"/>
  <c r="A344" s="1"/>
  <c r="A356" s="1"/>
  <c r="A368" s="1"/>
  <c r="BI223"/>
  <c r="BI235" s="1"/>
  <c r="BI247" s="1"/>
  <c r="BI259" s="1"/>
  <c r="BI271" s="1"/>
  <c r="BI283" s="1"/>
  <c r="BI295" s="1"/>
  <c r="BI307" s="1"/>
  <c r="BI319" s="1"/>
  <c r="BI331" s="1"/>
  <c r="BI343" s="1"/>
  <c r="BI355" s="1"/>
  <c r="BI367" s="1"/>
  <c r="BH223"/>
  <c r="BH235" s="1"/>
  <c r="BH247" s="1"/>
  <c r="BH259" s="1"/>
  <c r="BH271" s="1"/>
  <c r="BH283" s="1"/>
  <c r="BH295" s="1"/>
  <c r="BH307" s="1"/>
  <c r="BH319" s="1"/>
  <c r="BH331" s="1"/>
  <c r="BH343" s="1"/>
  <c r="BH355" s="1"/>
  <c r="BH367" s="1"/>
  <c r="AV223"/>
  <c r="AV235" s="1"/>
  <c r="AV247" s="1"/>
  <c r="AV259" s="1"/>
  <c r="AV271" s="1"/>
  <c r="AV283" s="1"/>
  <c r="AV295" s="1"/>
  <c r="AV307" s="1"/>
  <c r="AV319" s="1"/>
  <c r="AV331" s="1"/>
  <c r="AV343" s="1"/>
  <c r="AV355" s="1"/>
  <c r="AV367" s="1"/>
  <c r="AU223"/>
  <c r="AU235" s="1"/>
  <c r="AU247" s="1"/>
  <c r="AU259" s="1"/>
  <c r="AU271" s="1"/>
  <c r="AU283" s="1"/>
  <c r="AU295" s="1"/>
  <c r="AU307" s="1"/>
  <c r="AU319" s="1"/>
  <c r="AU331" s="1"/>
  <c r="AU343" s="1"/>
  <c r="AU355" s="1"/>
  <c r="AU367" s="1"/>
  <c r="F223"/>
  <c r="E223"/>
  <c r="B223"/>
  <c r="B235" s="1"/>
  <c r="B247" s="1"/>
  <c r="B259" s="1"/>
  <c r="B271" s="1"/>
  <c r="B283" s="1"/>
  <c r="B295" s="1"/>
  <c r="B307" s="1"/>
  <c r="B319" s="1"/>
  <c r="B331" s="1"/>
  <c r="B343" s="1"/>
  <c r="B355" s="1"/>
  <c r="B367" s="1"/>
  <c r="A223"/>
  <c r="A235" s="1"/>
  <c r="A247" s="1"/>
  <c r="A259" s="1"/>
  <c r="A271" s="1"/>
  <c r="A283" s="1"/>
  <c r="A295" s="1"/>
  <c r="A307" s="1"/>
  <c r="A319" s="1"/>
  <c r="A331" s="1"/>
  <c r="A343" s="1"/>
  <c r="A355" s="1"/>
  <c r="A367" s="1"/>
  <c r="BI222"/>
  <c r="BI234" s="1"/>
  <c r="BI246" s="1"/>
  <c r="BI258" s="1"/>
  <c r="BI270" s="1"/>
  <c r="BI282" s="1"/>
  <c r="BI294" s="1"/>
  <c r="BI306" s="1"/>
  <c r="BI318" s="1"/>
  <c r="BI330" s="1"/>
  <c r="BI342" s="1"/>
  <c r="BI354" s="1"/>
  <c r="BI366" s="1"/>
  <c r="BH222"/>
  <c r="BH234" s="1"/>
  <c r="BH246" s="1"/>
  <c r="BH258" s="1"/>
  <c r="BH270" s="1"/>
  <c r="BH282" s="1"/>
  <c r="BH294" s="1"/>
  <c r="BH306" s="1"/>
  <c r="BH318" s="1"/>
  <c r="BH330" s="1"/>
  <c r="BH342" s="1"/>
  <c r="BH354" s="1"/>
  <c r="BH366" s="1"/>
  <c r="AV222"/>
  <c r="AV234" s="1"/>
  <c r="AV246" s="1"/>
  <c r="AV258" s="1"/>
  <c r="AV270" s="1"/>
  <c r="AV282" s="1"/>
  <c r="AV294" s="1"/>
  <c r="AV306" s="1"/>
  <c r="AV318" s="1"/>
  <c r="AV330" s="1"/>
  <c r="AV342" s="1"/>
  <c r="AV354" s="1"/>
  <c r="AV366" s="1"/>
  <c r="AU222"/>
  <c r="AU234" s="1"/>
  <c r="AU246" s="1"/>
  <c r="AU258" s="1"/>
  <c r="AU270" s="1"/>
  <c r="AU282" s="1"/>
  <c r="AU294" s="1"/>
  <c r="AU306" s="1"/>
  <c r="AU318" s="1"/>
  <c r="AU330" s="1"/>
  <c r="AU342" s="1"/>
  <c r="AU354" s="1"/>
  <c r="AU366" s="1"/>
  <c r="F222"/>
  <c r="E222"/>
  <c r="B222"/>
  <c r="B234" s="1"/>
  <c r="B246" s="1"/>
  <c r="B258" s="1"/>
  <c r="B270" s="1"/>
  <c r="B282" s="1"/>
  <c r="B294" s="1"/>
  <c r="B306" s="1"/>
  <c r="B318" s="1"/>
  <c r="B330" s="1"/>
  <c r="B342" s="1"/>
  <c r="B354" s="1"/>
  <c r="B366" s="1"/>
  <c r="A222"/>
  <c r="A234" s="1"/>
  <c r="A246" s="1"/>
  <c r="A258" s="1"/>
  <c r="A270" s="1"/>
  <c r="A282" s="1"/>
  <c r="A294" s="1"/>
  <c r="A306" s="1"/>
  <c r="A318" s="1"/>
  <c r="A330" s="1"/>
  <c r="A342" s="1"/>
  <c r="A354" s="1"/>
  <c r="A366" s="1"/>
  <c r="CW221"/>
  <c r="BI221"/>
  <c r="BI233" s="1"/>
  <c r="BI245" s="1"/>
  <c r="BI257" s="1"/>
  <c r="BI269" s="1"/>
  <c r="BI281" s="1"/>
  <c r="BI293" s="1"/>
  <c r="BI305" s="1"/>
  <c r="BI317" s="1"/>
  <c r="BI329" s="1"/>
  <c r="BI341" s="1"/>
  <c r="BI353" s="1"/>
  <c r="BI365" s="1"/>
  <c r="BH221"/>
  <c r="BH233" s="1"/>
  <c r="BH245" s="1"/>
  <c r="BH257" s="1"/>
  <c r="BH269" s="1"/>
  <c r="BH281" s="1"/>
  <c r="BH293" s="1"/>
  <c r="BH305" s="1"/>
  <c r="BH317" s="1"/>
  <c r="BH329" s="1"/>
  <c r="BH341" s="1"/>
  <c r="BH353" s="1"/>
  <c r="BH365" s="1"/>
  <c r="AV221"/>
  <c r="AV233" s="1"/>
  <c r="AV245" s="1"/>
  <c r="AV257" s="1"/>
  <c r="AV269" s="1"/>
  <c r="AV281" s="1"/>
  <c r="AV293" s="1"/>
  <c r="AV305" s="1"/>
  <c r="AV317" s="1"/>
  <c r="AV329" s="1"/>
  <c r="AV341" s="1"/>
  <c r="AV353" s="1"/>
  <c r="AV365" s="1"/>
  <c r="AU221"/>
  <c r="AU233" s="1"/>
  <c r="AU245" s="1"/>
  <c r="AU257" s="1"/>
  <c r="AU269" s="1"/>
  <c r="AU281" s="1"/>
  <c r="AU293" s="1"/>
  <c r="AU305" s="1"/>
  <c r="AU317" s="1"/>
  <c r="AU329" s="1"/>
  <c r="AU341" s="1"/>
  <c r="AU353" s="1"/>
  <c r="AU365" s="1"/>
  <c r="F221"/>
  <c r="B221"/>
  <c r="B233" s="1"/>
  <c r="B245" s="1"/>
  <c r="B257" s="1"/>
  <c r="B269" s="1"/>
  <c r="B281" s="1"/>
  <c r="B293" s="1"/>
  <c r="B305" s="1"/>
  <c r="B317" s="1"/>
  <c r="B329" s="1"/>
  <c r="B341" s="1"/>
  <c r="B353" s="1"/>
  <c r="B365" s="1"/>
  <c r="B377" s="1"/>
  <c r="A221"/>
  <c r="A233" s="1"/>
  <c r="A245" s="1"/>
  <c r="A257" s="1"/>
  <c r="A269" s="1"/>
  <c r="A281" s="1"/>
  <c r="A293" s="1"/>
  <c r="A305" s="1"/>
  <c r="A317" s="1"/>
  <c r="A329" s="1"/>
  <c r="A341" s="1"/>
  <c r="A353" s="1"/>
  <c r="A365" s="1"/>
  <c r="A377" s="1"/>
  <c r="F220"/>
  <c r="E220"/>
  <c r="Q219"/>
  <c r="F219"/>
  <c r="E219"/>
  <c r="BD218"/>
  <c r="Q218"/>
  <c r="F218"/>
  <c r="E218"/>
  <c r="CW217"/>
  <c r="BD217"/>
  <c r="Q217"/>
  <c r="F217"/>
  <c r="E217"/>
  <c r="BD216"/>
  <c r="Q216"/>
  <c r="F216"/>
  <c r="E216"/>
  <c r="BD215"/>
  <c r="Q215"/>
  <c r="F215"/>
  <c r="E215"/>
  <c r="BD214"/>
  <c r="Q214"/>
  <c r="F214"/>
  <c r="E214"/>
  <c r="CW213"/>
  <c r="BD213"/>
  <c r="Q213"/>
  <c r="F213"/>
  <c r="E213"/>
  <c r="F212"/>
  <c r="E212"/>
  <c r="F211"/>
  <c r="E211"/>
  <c r="F210"/>
  <c r="E210"/>
  <c r="CW209"/>
  <c r="F209"/>
  <c r="E209"/>
  <c r="F208"/>
  <c r="E208"/>
  <c r="Q207"/>
  <c r="F207"/>
  <c r="E207"/>
  <c r="BD206"/>
  <c r="Q206"/>
  <c r="F206"/>
  <c r="E206"/>
  <c r="BD205"/>
  <c r="Q205"/>
  <c r="F205"/>
  <c r="E205"/>
  <c r="CW204"/>
  <c r="BD204"/>
  <c r="Q204"/>
  <c r="F204"/>
  <c r="E204"/>
  <c r="BD203"/>
  <c r="Q203"/>
  <c r="F203"/>
  <c r="E203"/>
  <c r="BD202"/>
  <c r="Q202"/>
  <c r="F202"/>
  <c r="E202"/>
  <c r="CW201"/>
  <c r="BD201"/>
  <c r="Q201"/>
  <c r="F201"/>
  <c r="E201"/>
  <c r="F200"/>
  <c r="E200"/>
  <c r="F199"/>
  <c r="E199"/>
  <c r="F198"/>
  <c r="E198"/>
  <c r="CW197"/>
  <c r="F197"/>
  <c r="E197"/>
  <c r="G197" l="1"/>
  <c r="AI197" s="1"/>
  <c r="G202"/>
  <c r="AI202" s="1"/>
  <c r="G203"/>
  <c r="AI203" s="1"/>
  <c r="G204"/>
  <c r="AI204" s="1"/>
  <c r="G208"/>
  <c r="AI208" s="1"/>
  <c r="G209"/>
  <c r="AI209" s="1"/>
  <c r="G214"/>
  <c r="AI214" s="1"/>
  <c r="G215"/>
  <c r="AI215" s="1"/>
  <c r="G216"/>
  <c r="AI216" s="1"/>
  <c r="G217"/>
  <c r="AI217" s="1"/>
  <c r="G220"/>
  <c r="AI220" s="1"/>
  <c r="G198"/>
  <c r="AI198" s="1"/>
  <c r="G199"/>
  <c r="AI199" s="1"/>
  <c r="G200"/>
  <c r="AI200" s="1"/>
  <c r="G201"/>
  <c r="AI201" s="1"/>
  <c r="G205"/>
  <c r="AI205" s="1"/>
  <c r="G206"/>
  <c r="AI206" s="1"/>
  <c r="G207"/>
  <c r="AI207" s="1"/>
  <c r="G210"/>
  <c r="AI210" s="1"/>
  <c r="G211"/>
  <c r="AI211" s="1"/>
  <c r="G212"/>
  <c r="AI212" s="1"/>
  <c r="G213"/>
  <c r="AI213" s="1"/>
  <c r="G218"/>
  <c r="AI218" s="1"/>
  <c r="G219"/>
  <c r="AI219" s="1"/>
  <c r="Q228"/>
  <c r="B252"/>
  <c r="Q240"/>
  <c r="BD240"/>
  <c r="B267"/>
  <c r="Q255"/>
  <c r="BD225"/>
  <c r="Q226"/>
  <c r="BD227"/>
  <c r="BD228"/>
  <c r="B249"/>
  <c r="BD237"/>
  <c r="Q237"/>
  <c r="B250"/>
  <c r="BD238"/>
  <c r="Q238"/>
  <c r="B251"/>
  <c r="Q239"/>
  <c r="BD239"/>
  <c r="B266"/>
  <c r="BD254"/>
  <c r="Q254"/>
  <c r="Q253"/>
  <c r="B265"/>
  <c r="BD253"/>
  <c r="Q225"/>
  <c r="BD226"/>
  <c r="Q227"/>
  <c r="G232"/>
  <c r="AI232" s="1"/>
  <c r="G231"/>
  <c r="AI231" s="1"/>
  <c r="G229"/>
  <c r="AI229" s="1"/>
  <c r="G236"/>
  <c r="AI236" s="1"/>
  <c r="G222"/>
  <c r="AI222" s="1"/>
  <c r="CW199"/>
  <c r="CW206"/>
  <c r="CW208"/>
  <c r="CW214"/>
  <c r="CW216"/>
  <c r="CW219"/>
  <c r="CW224"/>
  <c r="CW226"/>
  <c r="CW198"/>
  <c r="CW200"/>
  <c r="CW207"/>
  <c r="CW215"/>
  <c r="CW223"/>
  <c r="G223"/>
  <c r="AI223" s="1"/>
  <c r="G224"/>
  <c r="AI224" s="1"/>
  <c r="G228"/>
  <c r="AI228" s="1"/>
  <c r="CV197"/>
  <c r="CV198"/>
  <c r="CV200"/>
  <c r="CV201"/>
  <c r="CW202"/>
  <c r="CW203"/>
  <c r="CW205"/>
  <c r="CV206"/>
  <c r="CV207"/>
  <c r="CV208"/>
  <c r="CV209"/>
  <c r="CW210"/>
  <c r="CW211"/>
  <c r="CW212"/>
  <c r="CV213"/>
  <c r="CV214"/>
  <c r="CV215"/>
  <c r="CV216"/>
  <c r="CV217"/>
  <c r="CW218"/>
  <c r="CV219"/>
  <c r="CW220"/>
  <c r="E221"/>
  <c r="CV221"/>
  <c r="CW222"/>
  <c r="CV223"/>
  <c r="CV224"/>
  <c r="CV225"/>
  <c r="F226"/>
  <c r="CV226"/>
  <c r="CW227"/>
  <c r="G233"/>
  <c r="AI233" s="1"/>
  <c r="CV202"/>
  <c r="CV204"/>
  <c r="CV205"/>
  <c r="CV210"/>
  <c r="CV211"/>
  <c r="CV212"/>
  <c r="CV218"/>
  <c r="CV220"/>
  <c r="CV222"/>
  <c r="E225"/>
  <c r="E226"/>
  <c r="E227"/>
  <c r="CV227"/>
  <c r="BI196"/>
  <c r="BH196"/>
  <c r="F196"/>
  <c r="E196"/>
  <c r="BI195"/>
  <c r="BH195"/>
  <c r="Q195"/>
  <c r="F195"/>
  <c r="E195"/>
  <c r="BI194"/>
  <c r="BH194"/>
  <c r="BD194"/>
  <c r="Q194"/>
  <c r="F194"/>
  <c r="E194"/>
  <c r="BI193"/>
  <c r="BH193"/>
  <c r="BD193"/>
  <c r="Q193"/>
  <c r="F193"/>
  <c r="E193"/>
  <c r="BI192"/>
  <c r="BH192"/>
  <c r="BD192"/>
  <c r="Q192"/>
  <c r="F192"/>
  <c r="E192"/>
  <c r="BI191"/>
  <c r="BH191"/>
  <c r="BD191"/>
  <c r="Q191"/>
  <c r="F191"/>
  <c r="E191"/>
  <c r="BI190"/>
  <c r="BH190"/>
  <c r="BD190"/>
  <c r="Q190"/>
  <c r="F190"/>
  <c r="E190"/>
  <c r="BI189"/>
  <c r="BH189"/>
  <c r="BD189"/>
  <c r="Q189"/>
  <c r="F189"/>
  <c r="E189"/>
  <c r="BI188"/>
  <c r="BH188"/>
  <c r="F188"/>
  <c r="E188"/>
  <c r="BI187"/>
  <c r="BH187"/>
  <c r="F187"/>
  <c r="E187"/>
  <c r="BI186"/>
  <c r="BH186"/>
  <c r="F186"/>
  <c r="E186"/>
  <c r="BI185"/>
  <c r="BH185"/>
  <c r="F185"/>
  <c r="E185"/>
  <c r="BI184"/>
  <c r="BH184"/>
  <c r="F184"/>
  <c r="E184"/>
  <c r="BI183"/>
  <c r="BH183"/>
  <c r="Q183"/>
  <c r="F183"/>
  <c r="E183"/>
  <c r="BI182"/>
  <c r="BH182"/>
  <c r="BD182"/>
  <c r="Q182"/>
  <c r="F182"/>
  <c r="E182"/>
  <c r="BI181"/>
  <c r="BH181"/>
  <c r="BD181"/>
  <c r="Q181"/>
  <c r="F181"/>
  <c r="E181"/>
  <c r="BI180"/>
  <c r="BH180"/>
  <c r="BD180"/>
  <c r="Q180"/>
  <c r="F180"/>
  <c r="E180"/>
  <c r="BI179"/>
  <c r="BH179"/>
  <c r="BD179"/>
  <c r="Q179"/>
  <c r="F179"/>
  <c r="E179"/>
  <c r="BI178"/>
  <c r="BH178"/>
  <c r="BD178"/>
  <c r="Q178"/>
  <c r="F178"/>
  <c r="E178"/>
  <c r="BI177"/>
  <c r="BH177"/>
  <c r="BD177"/>
  <c r="Q177"/>
  <c r="F177"/>
  <c r="E177"/>
  <c r="BI176"/>
  <c r="BH176"/>
  <c r="F176"/>
  <c r="E176"/>
  <c r="BI175"/>
  <c r="BH175"/>
  <c r="F175"/>
  <c r="E175"/>
  <c r="BI174"/>
  <c r="BH174"/>
  <c r="F174"/>
  <c r="E174"/>
  <c r="BI173"/>
  <c r="BH173"/>
  <c r="F173"/>
  <c r="E173"/>
  <c r="BI172"/>
  <c r="BH172"/>
  <c r="F172"/>
  <c r="E172"/>
  <c r="BI171"/>
  <c r="BH171"/>
  <c r="Q171"/>
  <c r="F171"/>
  <c r="E171"/>
  <c r="BI170"/>
  <c r="BH170"/>
  <c r="BD170"/>
  <c r="Q170"/>
  <c r="F170"/>
  <c r="E170"/>
  <c r="BI169"/>
  <c r="BH169"/>
  <c r="BD169"/>
  <c r="Q169"/>
  <c r="F169"/>
  <c r="E169"/>
  <c r="BI168"/>
  <c r="BH168"/>
  <c r="BD168"/>
  <c r="Q168"/>
  <c r="F168"/>
  <c r="E168"/>
  <c r="BI167"/>
  <c r="BH167"/>
  <c r="BD167"/>
  <c r="Q167"/>
  <c r="F167"/>
  <c r="E167"/>
  <c r="BI166"/>
  <c r="BH166"/>
  <c r="BD166"/>
  <c r="Q166"/>
  <c r="F166"/>
  <c r="E166"/>
  <c r="BI165"/>
  <c r="BH165"/>
  <c r="BD165"/>
  <c r="Q165"/>
  <c r="F165"/>
  <c r="E165"/>
  <c r="BI164"/>
  <c r="BH164"/>
  <c r="F164"/>
  <c r="E164"/>
  <c r="BI163"/>
  <c r="BH163"/>
  <c r="F163"/>
  <c r="E163"/>
  <c r="BI162"/>
  <c r="BH162"/>
  <c r="F162"/>
  <c r="E162"/>
  <c r="BI161"/>
  <c r="BH161"/>
  <c r="F161"/>
  <c r="E161"/>
  <c r="BI160"/>
  <c r="BH160"/>
  <c r="F160"/>
  <c r="E160"/>
  <c r="BI159"/>
  <c r="BH159"/>
  <c r="Q159"/>
  <c r="F159"/>
  <c r="E159"/>
  <c r="BI158"/>
  <c r="BH158"/>
  <c r="BD158"/>
  <c r="Q158"/>
  <c r="F158"/>
  <c r="E158"/>
  <c r="BI157"/>
  <c r="BH157"/>
  <c r="BD157"/>
  <c r="Q157"/>
  <c r="F157"/>
  <c r="E157"/>
  <c r="BI156"/>
  <c r="BH156"/>
  <c r="BD156"/>
  <c r="Q156"/>
  <c r="F156"/>
  <c r="E156"/>
  <c r="BI155"/>
  <c r="BH155"/>
  <c r="BD155"/>
  <c r="Q155"/>
  <c r="F155"/>
  <c r="E155"/>
  <c r="BI154"/>
  <c r="BH154"/>
  <c r="BD154"/>
  <c r="Q154"/>
  <c r="F154"/>
  <c r="E154"/>
  <c r="BI153"/>
  <c r="BH153"/>
  <c r="BD153"/>
  <c r="Q153"/>
  <c r="F153"/>
  <c r="E153"/>
  <c r="BI152"/>
  <c r="BH152"/>
  <c r="F152"/>
  <c r="E152"/>
  <c r="BI151"/>
  <c r="BH151"/>
  <c r="F151"/>
  <c r="E151"/>
  <c r="BI150"/>
  <c r="BH150"/>
  <c r="F150"/>
  <c r="E150"/>
  <c r="BI149"/>
  <c r="BH149"/>
  <c r="F149"/>
  <c r="E149"/>
  <c r="BI148"/>
  <c r="BH148"/>
  <c r="F148"/>
  <c r="E148"/>
  <c r="BI147"/>
  <c r="BH147"/>
  <c r="Q147"/>
  <c r="F147"/>
  <c r="E147"/>
  <c r="BI146"/>
  <c r="BH146"/>
  <c r="BD146"/>
  <c r="Q146"/>
  <c r="F146"/>
  <c r="E146"/>
  <c r="BI145"/>
  <c r="BH145"/>
  <c r="BD145"/>
  <c r="Q145"/>
  <c r="F145"/>
  <c r="E145"/>
  <c r="BI144"/>
  <c r="BH144"/>
  <c r="BD144"/>
  <c r="Q144"/>
  <c r="F144"/>
  <c r="E144"/>
  <c r="BI143"/>
  <c r="BH143"/>
  <c r="BD143"/>
  <c r="Q143"/>
  <c r="F143"/>
  <c r="E143"/>
  <c r="BI142"/>
  <c r="BH142"/>
  <c r="BD142"/>
  <c r="Q142"/>
  <c r="F142"/>
  <c r="E142"/>
  <c r="BI141"/>
  <c r="BH141"/>
  <c r="BD141"/>
  <c r="Q141"/>
  <c r="F141"/>
  <c r="E141"/>
  <c r="BI140"/>
  <c r="BH140"/>
  <c r="F140"/>
  <c r="E140"/>
  <c r="BI139"/>
  <c r="BH139"/>
  <c r="F139"/>
  <c r="E139"/>
  <c r="BI138"/>
  <c r="BH138"/>
  <c r="F138"/>
  <c r="E138"/>
  <c r="BI137"/>
  <c r="BH137"/>
  <c r="F137"/>
  <c r="E137"/>
  <c r="BI136"/>
  <c r="BH136"/>
  <c r="F136"/>
  <c r="E136"/>
  <c r="BI135"/>
  <c r="BH135"/>
  <c r="Q135"/>
  <c r="F135"/>
  <c r="E135"/>
  <c r="BI134"/>
  <c r="BH134"/>
  <c r="BD134"/>
  <c r="Q134"/>
  <c r="F134"/>
  <c r="E134"/>
  <c r="BI133"/>
  <c r="BH133"/>
  <c r="BD133"/>
  <c r="Q133"/>
  <c r="F133"/>
  <c r="E133"/>
  <c r="BI132"/>
  <c r="BH132"/>
  <c r="BD132"/>
  <c r="Q132"/>
  <c r="F132"/>
  <c r="E132"/>
  <c r="BI131"/>
  <c r="BH131"/>
  <c r="BD131"/>
  <c r="Q131"/>
  <c r="F131"/>
  <c r="E131"/>
  <c r="BI130"/>
  <c r="BH130"/>
  <c r="BD130"/>
  <c r="Q130"/>
  <c r="F130"/>
  <c r="E130"/>
  <c r="BI129"/>
  <c r="BH129"/>
  <c r="BD129"/>
  <c r="Q129"/>
  <c r="F129"/>
  <c r="E129"/>
  <c r="BI128"/>
  <c r="BH128"/>
  <c r="F128"/>
  <c r="E128"/>
  <c r="BI127"/>
  <c r="BH127"/>
  <c r="F127"/>
  <c r="E127"/>
  <c r="BI126"/>
  <c r="BH126"/>
  <c r="F126"/>
  <c r="E126"/>
  <c r="BI125"/>
  <c r="BH125"/>
  <c r="F125"/>
  <c r="E125"/>
  <c r="BI124"/>
  <c r="BH124"/>
  <c r="F124"/>
  <c r="E124"/>
  <c r="BI123"/>
  <c r="BH123"/>
  <c r="Q123"/>
  <c r="F123"/>
  <c r="E123"/>
  <c r="BI122"/>
  <c r="BH122"/>
  <c r="BD122"/>
  <c r="Q122"/>
  <c r="F122"/>
  <c r="E122"/>
  <c r="BI121"/>
  <c r="BH121"/>
  <c r="BD121"/>
  <c r="Q121"/>
  <c r="F121"/>
  <c r="E121"/>
  <c r="BI120"/>
  <c r="BH120"/>
  <c r="BD120"/>
  <c r="Q120"/>
  <c r="F120"/>
  <c r="E120"/>
  <c r="BI119"/>
  <c r="BH119"/>
  <c r="BD119"/>
  <c r="Q119"/>
  <c r="F119"/>
  <c r="E119"/>
  <c r="BI118"/>
  <c r="BH118"/>
  <c r="BD118"/>
  <c r="Q118"/>
  <c r="F118"/>
  <c r="E118"/>
  <c r="BI117"/>
  <c r="BH117"/>
  <c r="BD117"/>
  <c r="Q117"/>
  <c r="F117"/>
  <c r="E117"/>
  <c r="BI116"/>
  <c r="BH116"/>
  <c r="F116"/>
  <c r="E116"/>
  <c r="BI115"/>
  <c r="BH115"/>
  <c r="F115"/>
  <c r="E115"/>
  <c r="BI114"/>
  <c r="BH114"/>
  <c r="F114"/>
  <c r="E114"/>
  <c r="BI113"/>
  <c r="BH113"/>
  <c r="F113"/>
  <c r="E113"/>
  <c r="BI112"/>
  <c r="BH112"/>
  <c r="F112"/>
  <c r="E112"/>
  <c r="BI111"/>
  <c r="BH111"/>
  <c r="Q111"/>
  <c r="F111"/>
  <c r="E111"/>
  <c r="BI110"/>
  <c r="BH110"/>
  <c r="BD110"/>
  <c r="Q110"/>
  <c r="F110"/>
  <c r="E110"/>
  <c r="BI109"/>
  <c r="BH109"/>
  <c r="BD109"/>
  <c r="Q109"/>
  <c r="F109"/>
  <c r="E109"/>
  <c r="BI108"/>
  <c r="BH108"/>
  <c r="BD108"/>
  <c r="Q108"/>
  <c r="F108"/>
  <c r="E108"/>
  <c r="BI107"/>
  <c r="BH107"/>
  <c r="BD107"/>
  <c r="Q107"/>
  <c r="F107"/>
  <c r="E107"/>
  <c r="BI106"/>
  <c r="BH106"/>
  <c r="BD106"/>
  <c r="Q106"/>
  <c r="F106"/>
  <c r="E106"/>
  <c r="BI105"/>
  <c r="BH105"/>
  <c r="BD105"/>
  <c r="Q105"/>
  <c r="F105"/>
  <c r="E105"/>
  <c r="BI104"/>
  <c r="BH104"/>
  <c r="F104"/>
  <c r="E104"/>
  <c r="BI103"/>
  <c r="BH103"/>
  <c r="F103"/>
  <c r="E103"/>
  <c r="BI102"/>
  <c r="BH102"/>
  <c r="F102"/>
  <c r="E102"/>
  <c r="BI101"/>
  <c r="BH101"/>
  <c r="F101"/>
  <c r="E101"/>
  <c r="BI100"/>
  <c r="BH100"/>
  <c r="F100"/>
  <c r="E100"/>
  <c r="BI99"/>
  <c r="BH99"/>
  <c r="Q99"/>
  <c r="F99"/>
  <c r="E99"/>
  <c r="BI98"/>
  <c r="BH98"/>
  <c r="BD98"/>
  <c r="Q98"/>
  <c r="F98"/>
  <c r="E98"/>
  <c r="BI97"/>
  <c r="BH97"/>
  <c r="BD97"/>
  <c r="Q97"/>
  <c r="F97"/>
  <c r="E97"/>
  <c r="BI96"/>
  <c r="BH96"/>
  <c r="BD96"/>
  <c r="Q96"/>
  <c r="F96"/>
  <c r="E96"/>
  <c r="BI95"/>
  <c r="BH95"/>
  <c r="BD95"/>
  <c r="Q95"/>
  <c r="F95"/>
  <c r="E95"/>
  <c r="BI94"/>
  <c r="BH94"/>
  <c r="BD94"/>
  <c r="Q94"/>
  <c r="F94"/>
  <c r="E94"/>
  <c r="BI93"/>
  <c r="BH93"/>
  <c r="BD93"/>
  <c r="Q93"/>
  <c r="F93"/>
  <c r="E93"/>
  <c r="BI92"/>
  <c r="BH92"/>
  <c r="F92"/>
  <c r="E92"/>
  <c r="BI91"/>
  <c r="BH91"/>
  <c r="F91"/>
  <c r="E91"/>
  <c r="BI90"/>
  <c r="BH90"/>
  <c r="F90"/>
  <c r="E90"/>
  <c r="BI89"/>
  <c r="BH89"/>
  <c r="F89"/>
  <c r="E89"/>
  <c r="BI88"/>
  <c r="BH88"/>
  <c r="F88"/>
  <c r="E88"/>
  <c r="BI87"/>
  <c r="BH87"/>
  <c r="Q87"/>
  <c r="F87"/>
  <c r="E87"/>
  <c r="BI86"/>
  <c r="BH86"/>
  <c r="BD86"/>
  <c r="Q86"/>
  <c r="F86"/>
  <c r="E86"/>
  <c r="BI85"/>
  <c r="BH85"/>
  <c r="BD85"/>
  <c r="Q85"/>
  <c r="F85"/>
  <c r="E85"/>
  <c r="BI84"/>
  <c r="BH84"/>
  <c r="BD84"/>
  <c r="Q84"/>
  <c r="F84"/>
  <c r="E84"/>
  <c r="BI83"/>
  <c r="BH83"/>
  <c r="BD83"/>
  <c r="Q83"/>
  <c r="F83"/>
  <c r="E83"/>
  <c r="BI82"/>
  <c r="BH82"/>
  <c r="BD82"/>
  <c r="Q82"/>
  <c r="F82"/>
  <c r="E82"/>
  <c r="BI81"/>
  <c r="BH81"/>
  <c r="BD81"/>
  <c r="Q81"/>
  <c r="F81"/>
  <c r="E81"/>
  <c r="BI80"/>
  <c r="BH80"/>
  <c r="F80"/>
  <c r="E80"/>
  <c r="BI79"/>
  <c r="BH79"/>
  <c r="F79"/>
  <c r="E79"/>
  <c r="BI78"/>
  <c r="BH78"/>
  <c r="F78"/>
  <c r="E78"/>
  <c r="BI77"/>
  <c r="BH77"/>
  <c r="F77"/>
  <c r="E77"/>
  <c r="BI76"/>
  <c r="BH76"/>
  <c r="F76"/>
  <c r="E76"/>
  <c r="BI75"/>
  <c r="BH75"/>
  <c r="Q75"/>
  <c r="F75"/>
  <c r="E75"/>
  <c r="G75" s="1"/>
  <c r="BI74"/>
  <c r="BH74"/>
  <c r="BD74"/>
  <c r="Q74"/>
  <c r="F74"/>
  <c r="E74"/>
  <c r="G74" s="1"/>
  <c r="BI73"/>
  <c r="BH73"/>
  <c r="BD73"/>
  <c r="Q73"/>
  <c r="F73"/>
  <c r="E73"/>
  <c r="G73" s="1"/>
  <c r="BI72"/>
  <c r="BH72"/>
  <c r="BD72"/>
  <c r="Q72"/>
  <c r="F72"/>
  <c r="E72"/>
  <c r="G72" s="1"/>
  <c r="BI71"/>
  <c r="BH71"/>
  <c r="BD71"/>
  <c r="Q71"/>
  <c r="F71"/>
  <c r="E71"/>
  <c r="G71" s="1"/>
  <c r="BI70"/>
  <c r="BH70"/>
  <c r="BD70"/>
  <c r="Q70"/>
  <c r="F70"/>
  <c r="E70"/>
  <c r="BI69"/>
  <c r="BH69"/>
  <c r="BD69"/>
  <c r="Q69"/>
  <c r="F69"/>
  <c r="E69"/>
  <c r="BI68"/>
  <c r="BH68"/>
  <c r="F68"/>
  <c r="E68"/>
  <c r="BI67"/>
  <c r="BH67"/>
  <c r="F67"/>
  <c r="E67"/>
  <c r="G67" s="1"/>
  <c r="BI66"/>
  <c r="BH66"/>
  <c r="F66"/>
  <c r="E66"/>
  <c r="BI65"/>
  <c r="BH65"/>
  <c r="F65"/>
  <c r="E65"/>
  <c r="G65" s="1"/>
  <c r="BI64"/>
  <c r="BH64"/>
  <c r="F64"/>
  <c r="E64"/>
  <c r="BI63"/>
  <c r="BH63"/>
  <c r="Q63"/>
  <c r="F63"/>
  <c r="E63"/>
  <c r="BI62"/>
  <c r="BH62"/>
  <c r="BD62"/>
  <c r="Q62"/>
  <c r="F62"/>
  <c r="E62"/>
  <c r="BI61"/>
  <c r="BH61"/>
  <c r="BD61"/>
  <c r="Q61"/>
  <c r="F61"/>
  <c r="E61"/>
  <c r="BI60"/>
  <c r="BH60"/>
  <c r="BD60"/>
  <c r="Q60"/>
  <c r="F60"/>
  <c r="E60"/>
  <c r="BI59"/>
  <c r="BH59"/>
  <c r="BD59"/>
  <c r="Q59"/>
  <c r="F59"/>
  <c r="E59"/>
  <c r="BI58"/>
  <c r="BH58"/>
  <c r="BD58"/>
  <c r="Q58"/>
  <c r="F58"/>
  <c r="E58"/>
  <c r="BI57"/>
  <c r="BH57"/>
  <c r="BD57"/>
  <c r="Q57"/>
  <c r="F57"/>
  <c r="E57"/>
  <c r="BI56"/>
  <c r="BH56"/>
  <c r="F56"/>
  <c r="E56"/>
  <c r="BI55"/>
  <c r="BH55"/>
  <c r="F55"/>
  <c r="E55"/>
  <c r="BI54"/>
  <c r="BH54"/>
  <c r="F54"/>
  <c r="E54"/>
  <c r="BI53"/>
  <c r="BH53"/>
  <c r="F53"/>
  <c r="E53"/>
  <c r="BI52"/>
  <c r="BH52"/>
  <c r="F52"/>
  <c r="E52"/>
  <c r="BI51"/>
  <c r="BH51"/>
  <c r="Q51"/>
  <c r="F51"/>
  <c r="E51"/>
  <c r="BI50"/>
  <c r="BH50"/>
  <c r="BD50"/>
  <c r="Q50"/>
  <c r="F50"/>
  <c r="E50"/>
  <c r="BI49"/>
  <c r="BH49"/>
  <c r="BD49"/>
  <c r="Q49"/>
  <c r="F49"/>
  <c r="E49"/>
  <c r="BI48"/>
  <c r="BH48"/>
  <c r="BD48"/>
  <c r="Q48"/>
  <c r="F48"/>
  <c r="E48"/>
  <c r="BI47"/>
  <c r="BH47"/>
  <c r="BD47"/>
  <c r="Q47"/>
  <c r="F47"/>
  <c r="E47"/>
  <c r="BI46"/>
  <c r="BH46"/>
  <c r="BD46"/>
  <c r="Q46"/>
  <c r="F46"/>
  <c r="E46"/>
  <c r="BI45"/>
  <c r="BH45"/>
  <c r="BD45"/>
  <c r="Q45"/>
  <c r="F45"/>
  <c r="E45"/>
  <c r="BI44"/>
  <c r="BH44"/>
  <c r="F44"/>
  <c r="E44"/>
  <c r="BI43"/>
  <c r="BH43"/>
  <c r="F43"/>
  <c r="E43"/>
  <c r="BI42"/>
  <c r="F42"/>
  <c r="E42"/>
  <c r="BI41"/>
  <c r="F41"/>
  <c r="E41"/>
  <c r="BI40"/>
  <c r="BA40"/>
  <c r="BA52" s="1"/>
  <c r="AX40"/>
  <c r="AX52" s="1"/>
  <c r="N40"/>
  <c r="K40"/>
  <c r="F40"/>
  <c r="E40"/>
  <c r="BI39"/>
  <c r="BA39"/>
  <c r="BA51" s="1"/>
  <c r="AX39"/>
  <c r="AX51" s="1"/>
  <c r="Q39"/>
  <c r="N39"/>
  <c r="K39"/>
  <c r="F39"/>
  <c r="E39"/>
  <c r="BI38"/>
  <c r="BD38"/>
  <c r="BA38"/>
  <c r="BA50" s="1"/>
  <c r="AX38"/>
  <c r="AX50" s="1"/>
  <c r="Q38"/>
  <c r="N38"/>
  <c r="K38"/>
  <c r="F38"/>
  <c r="E38"/>
  <c r="BI37"/>
  <c r="BD37"/>
  <c r="BA37"/>
  <c r="BA49" s="1"/>
  <c r="AX37"/>
  <c r="AX49" s="1"/>
  <c r="Q37"/>
  <c r="N37"/>
  <c r="K37"/>
  <c r="F37"/>
  <c r="E37"/>
  <c r="BI36"/>
  <c r="BH36"/>
  <c r="BD36"/>
  <c r="BA36"/>
  <c r="BA48" s="1"/>
  <c r="AX36"/>
  <c r="AX48" s="1"/>
  <c r="Q36"/>
  <c r="N36"/>
  <c r="F36"/>
  <c r="E36"/>
  <c r="G36" s="1"/>
  <c r="BI35"/>
  <c r="BH35"/>
  <c r="BD35"/>
  <c r="BA35"/>
  <c r="BA47" s="1"/>
  <c r="BA59" s="1"/>
  <c r="BA71" s="1"/>
  <c r="BA83" s="1"/>
  <c r="AX35"/>
  <c r="AY35" s="1"/>
  <c r="Q35"/>
  <c r="N35"/>
  <c r="K35"/>
  <c r="F35"/>
  <c r="E35"/>
  <c r="G35" s="1"/>
  <c r="BI34"/>
  <c r="BH34"/>
  <c r="BD34"/>
  <c r="BA34"/>
  <c r="BB34" s="1"/>
  <c r="AX34"/>
  <c r="AY34" s="1"/>
  <c r="Q34"/>
  <c r="F34"/>
  <c r="E34"/>
  <c r="BI33"/>
  <c r="BH33"/>
  <c r="BD33"/>
  <c r="BA33"/>
  <c r="BB33" s="1"/>
  <c r="BF33" s="1"/>
  <c r="AX33"/>
  <c r="AX45" s="1"/>
  <c r="AY45" s="1"/>
  <c r="Q33"/>
  <c r="N33"/>
  <c r="K33"/>
  <c r="F33"/>
  <c r="E33"/>
  <c r="BI32"/>
  <c r="BH32"/>
  <c r="BA32"/>
  <c r="BA44" s="1"/>
  <c r="AX32"/>
  <c r="AX44" s="1"/>
  <c r="AI32"/>
  <c r="N32"/>
  <c r="F32"/>
  <c r="E32"/>
  <c r="BI31"/>
  <c r="BH31"/>
  <c r="BA31"/>
  <c r="BA43" s="1"/>
  <c r="BA55" s="1"/>
  <c r="AX31"/>
  <c r="AX43" s="1"/>
  <c r="AM31"/>
  <c r="AI31"/>
  <c r="N31"/>
  <c r="K31"/>
  <c r="F31"/>
  <c r="E31"/>
  <c r="BI30"/>
  <c r="BH30"/>
  <c r="BA30"/>
  <c r="BA42" s="1"/>
  <c r="AX30"/>
  <c r="AY30" s="1"/>
  <c r="BC30" s="1"/>
  <c r="AM30"/>
  <c r="AI30"/>
  <c r="N30"/>
  <c r="K30"/>
  <c r="F30"/>
  <c r="E30"/>
  <c r="BI29"/>
  <c r="BH29"/>
  <c r="BA29"/>
  <c r="BA41" s="1"/>
  <c r="BA53" s="1"/>
  <c r="AX29"/>
  <c r="AX41" s="1"/>
  <c r="AM29"/>
  <c r="AI29"/>
  <c r="N29"/>
  <c r="K29"/>
  <c r="F29"/>
  <c r="E29"/>
  <c r="BI28"/>
  <c r="BH28"/>
  <c r="BB28"/>
  <c r="AY28"/>
  <c r="BC28" s="1"/>
  <c r="AM28"/>
  <c r="AI28"/>
  <c r="O28"/>
  <c r="L28"/>
  <c r="Q28" s="1"/>
  <c r="F28"/>
  <c r="E28"/>
  <c r="BI27"/>
  <c r="BH27"/>
  <c r="BB27"/>
  <c r="BF27" s="1"/>
  <c r="AY27"/>
  <c r="BC27" s="1"/>
  <c r="AM27"/>
  <c r="AI27"/>
  <c r="Q27"/>
  <c r="O27"/>
  <c r="L27"/>
  <c r="F27"/>
  <c r="E27"/>
  <c r="BI26"/>
  <c r="BH26"/>
  <c r="BD26"/>
  <c r="BB26"/>
  <c r="BF26" s="1"/>
  <c r="AY26"/>
  <c r="BC26" s="1"/>
  <c r="AM26"/>
  <c r="AI26"/>
  <c r="Q26"/>
  <c r="O26"/>
  <c r="L26"/>
  <c r="F26"/>
  <c r="E26"/>
  <c r="BI25"/>
  <c r="BH25"/>
  <c r="BD25"/>
  <c r="BB25"/>
  <c r="AY25"/>
  <c r="AM25"/>
  <c r="AI25"/>
  <c r="Q25"/>
  <c r="O25"/>
  <c r="L25"/>
  <c r="F25"/>
  <c r="E25"/>
  <c r="BI24"/>
  <c r="BH24"/>
  <c r="BD24"/>
  <c r="BB24"/>
  <c r="AY24"/>
  <c r="AM24"/>
  <c r="CB24" s="1"/>
  <c r="AI24"/>
  <c r="Q24"/>
  <c r="O24"/>
  <c r="L24"/>
  <c r="F24"/>
  <c r="E24"/>
  <c r="BI23"/>
  <c r="BH23"/>
  <c r="BD23"/>
  <c r="BB23"/>
  <c r="AY23"/>
  <c r="AM23"/>
  <c r="CB23" s="1"/>
  <c r="AI23"/>
  <c r="Q23"/>
  <c r="O23"/>
  <c r="L23"/>
  <c r="F23"/>
  <c r="E23"/>
  <c r="BI22"/>
  <c r="BH22"/>
  <c r="BD22"/>
  <c r="BB22"/>
  <c r="AY22"/>
  <c r="BC22" s="1"/>
  <c r="AM22"/>
  <c r="AI22"/>
  <c r="Q22"/>
  <c r="O22"/>
  <c r="L22"/>
  <c r="F22"/>
  <c r="E22"/>
  <c r="BI21"/>
  <c r="BH21"/>
  <c r="BD21"/>
  <c r="BB21"/>
  <c r="AY21"/>
  <c r="AM21"/>
  <c r="CB21" s="1"/>
  <c r="AI21"/>
  <c r="Q21"/>
  <c r="O21"/>
  <c r="L21"/>
  <c r="F21"/>
  <c r="E21"/>
  <c r="BI20"/>
  <c r="BH20"/>
  <c r="BB20"/>
  <c r="AY20"/>
  <c r="BC20" s="1"/>
  <c r="AM20"/>
  <c r="AI20"/>
  <c r="O20"/>
  <c r="L20"/>
  <c r="P20" s="1"/>
  <c r="F20"/>
  <c r="E20"/>
  <c r="BI19"/>
  <c r="BH19"/>
  <c r="BB19"/>
  <c r="AY19"/>
  <c r="BD19" s="1"/>
  <c r="BC19" s="1"/>
  <c r="AM19"/>
  <c r="AI19"/>
  <c r="O19"/>
  <c r="L19"/>
  <c r="P19" s="1"/>
  <c r="F19"/>
  <c r="E19"/>
  <c r="BI18"/>
  <c r="BH18"/>
  <c r="BB18"/>
  <c r="AY18"/>
  <c r="BC18" s="1"/>
  <c r="AM18"/>
  <c r="AI18"/>
  <c r="O18"/>
  <c r="L18"/>
  <c r="P18" s="1"/>
  <c r="F18"/>
  <c r="E18"/>
  <c r="BI17"/>
  <c r="BH17"/>
  <c r="BB17"/>
  <c r="BF17" s="1"/>
  <c r="AY17"/>
  <c r="BC17" s="1"/>
  <c r="AM17"/>
  <c r="AI17"/>
  <c r="O17"/>
  <c r="L17"/>
  <c r="P17" s="1"/>
  <c r="F17"/>
  <c r="E17"/>
  <c r="AM16"/>
  <c r="AI16"/>
  <c r="AM15"/>
  <c r="AI15"/>
  <c r="AZ14"/>
  <c r="BC14" s="1"/>
  <c r="AM14"/>
  <c r="AI14"/>
  <c r="AM13"/>
  <c r="AI13"/>
  <c r="N13"/>
  <c r="AM12"/>
  <c r="AI12"/>
  <c r="N12"/>
  <c r="AM11"/>
  <c r="AI11"/>
  <c r="K11"/>
  <c r="AM10"/>
  <c r="AI10"/>
  <c r="O10"/>
  <c r="O11" s="1"/>
  <c r="K10"/>
  <c r="AM9"/>
  <c r="AI9"/>
  <c r="M9"/>
  <c r="K9"/>
  <c r="AM8"/>
  <c r="AI8"/>
  <c r="AQ316" i="2"/>
  <c r="AP316"/>
  <c r="AN316"/>
  <c r="AM316"/>
  <c r="AJ316" s="1"/>
  <c r="AC316"/>
  <c r="AQ315"/>
  <c r="AP315"/>
  <c r="AN315"/>
  <c r="AM315"/>
  <c r="AC315"/>
  <c r="J17" i="10" l="1"/>
  <c r="K17"/>
  <c r="L17" s="1"/>
  <c r="J18"/>
  <c r="K18"/>
  <c r="S19" i="3"/>
  <c r="J20" i="10"/>
  <c r="K20"/>
  <c r="J21"/>
  <c r="K21"/>
  <c r="J22"/>
  <c r="K22"/>
  <c r="J23"/>
  <c r="K23"/>
  <c r="J24"/>
  <c r="K24"/>
  <c r="J25"/>
  <c r="K25"/>
  <c r="J26"/>
  <c r="K26"/>
  <c r="J27"/>
  <c r="K27"/>
  <c r="K41" i="3"/>
  <c r="D41" i="10" s="1"/>
  <c r="E41" s="1"/>
  <c r="D29"/>
  <c r="E29" s="1"/>
  <c r="K42" i="3"/>
  <c r="D42" i="10" s="1"/>
  <c r="E42" s="1"/>
  <c r="D30"/>
  <c r="E30" s="1"/>
  <c r="K43" i="3"/>
  <c r="D43" i="10" s="1"/>
  <c r="E43" s="1"/>
  <c r="D31"/>
  <c r="E31" s="1"/>
  <c r="N44" i="3"/>
  <c r="H32" i="10"/>
  <c r="I32" s="1"/>
  <c r="L33" i="3"/>
  <c r="P33" s="1"/>
  <c r="R33" s="1"/>
  <c r="D33" i="10"/>
  <c r="E33" s="1"/>
  <c r="K47" i="3"/>
  <c r="D47" i="10" s="1"/>
  <c r="E47" s="1"/>
  <c r="D35"/>
  <c r="E35" s="1"/>
  <c r="N48" i="3"/>
  <c r="H36" i="10"/>
  <c r="I36" s="1"/>
  <c r="N49" i="3"/>
  <c r="H49" i="10" s="1"/>
  <c r="I49" s="1"/>
  <c r="H37"/>
  <c r="I37" s="1"/>
  <c r="N50" i="3"/>
  <c r="H50" i="10" s="1"/>
  <c r="I50" s="1"/>
  <c r="H38"/>
  <c r="I38" s="1"/>
  <c r="N51" i="3"/>
  <c r="H51" i="10" s="1"/>
  <c r="I51" s="1"/>
  <c r="H39"/>
  <c r="I39" s="1"/>
  <c r="L40" i="3"/>
  <c r="P40" s="1"/>
  <c r="D40" i="10"/>
  <c r="E40" s="1"/>
  <c r="J28"/>
  <c r="K28"/>
  <c r="N41" i="3"/>
  <c r="H41" i="10" s="1"/>
  <c r="I41" s="1"/>
  <c r="H29"/>
  <c r="I29" s="1"/>
  <c r="N42" i="3"/>
  <c r="H42" i="10" s="1"/>
  <c r="I42" s="1"/>
  <c r="H30"/>
  <c r="I30" s="1"/>
  <c r="N43" i="3"/>
  <c r="H43" i="10" s="1"/>
  <c r="I43" s="1"/>
  <c r="H31"/>
  <c r="I31" s="1"/>
  <c r="O33" i="3"/>
  <c r="H33" i="10"/>
  <c r="I33" s="1"/>
  <c r="N47" i="3"/>
  <c r="H47" i="10" s="1"/>
  <c r="I47" s="1"/>
  <c r="H35"/>
  <c r="I35" s="1"/>
  <c r="K49" i="3"/>
  <c r="D49" i="10" s="1"/>
  <c r="E49" s="1"/>
  <c r="D37"/>
  <c r="E37" s="1"/>
  <c r="K50" i="3"/>
  <c r="D50" i="10" s="1"/>
  <c r="E50" s="1"/>
  <c r="D38"/>
  <c r="E38" s="1"/>
  <c r="K51" i="3"/>
  <c r="D51" i="10" s="1"/>
  <c r="E51" s="1"/>
  <c r="D39"/>
  <c r="E39" s="1"/>
  <c r="O40" i="3"/>
  <c r="H40" i="10"/>
  <c r="I40" s="1"/>
  <c r="AJ33" i="3"/>
  <c r="AK320"/>
  <c r="AO315" i="2"/>
  <c r="AO21" i="3"/>
  <c r="G113"/>
  <c r="G115"/>
  <c r="G119"/>
  <c r="G120"/>
  <c r="G121"/>
  <c r="G122"/>
  <c r="G123"/>
  <c r="G32"/>
  <c r="AJ11"/>
  <c r="G136"/>
  <c r="G137"/>
  <c r="G138"/>
  <c r="G139"/>
  <c r="G140"/>
  <c r="G141"/>
  <c r="G142"/>
  <c r="G143"/>
  <c r="G144"/>
  <c r="G145"/>
  <c r="G146"/>
  <c r="G147"/>
  <c r="G89"/>
  <c r="G160"/>
  <c r="G161"/>
  <c r="G162"/>
  <c r="G163"/>
  <c r="G164"/>
  <c r="G165"/>
  <c r="G166"/>
  <c r="G167"/>
  <c r="G168"/>
  <c r="G169"/>
  <c r="G170"/>
  <c r="G171"/>
  <c r="G41"/>
  <c r="G184"/>
  <c r="G185"/>
  <c r="G186"/>
  <c r="G187"/>
  <c r="G188"/>
  <c r="AI188" s="1"/>
  <c r="AK308" s="1"/>
  <c r="G189"/>
  <c r="AI189" s="1"/>
  <c r="G190"/>
  <c r="AI190" s="1"/>
  <c r="G191"/>
  <c r="AI191" s="1"/>
  <c r="G192"/>
  <c r="AI192" s="1"/>
  <c r="G193"/>
  <c r="AI193" s="1"/>
  <c r="G194"/>
  <c r="AI194" s="1"/>
  <c r="G195"/>
  <c r="AI195" s="1"/>
  <c r="BE22"/>
  <c r="BE26"/>
  <c r="BG26" s="1"/>
  <c r="G38"/>
  <c r="G52"/>
  <c r="G77"/>
  <c r="G79"/>
  <c r="G69"/>
  <c r="G91"/>
  <c r="G54"/>
  <c r="G100"/>
  <c r="AJ13"/>
  <c r="G102"/>
  <c r="AJ315" i="2"/>
  <c r="G22" i="3"/>
  <c r="G24"/>
  <c r="G56"/>
  <c r="G58"/>
  <c r="G81"/>
  <c r="G83"/>
  <c r="G104"/>
  <c r="G106"/>
  <c r="G125"/>
  <c r="G127"/>
  <c r="G129"/>
  <c r="G131"/>
  <c r="G133"/>
  <c r="G149"/>
  <c r="G151"/>
  <c r="G153"/>
  <c r="G155"/>
  <c r="G157"/>
  <c r="G159"/>
  <c r="G173"/>
  <c r="G175"/>
  <c r="G177"/>
  <c r="G179"/>
  <c r="G181"/>
  <c r="G183"/>
  <c r="G29"/>
  <c r="G31"/>
  <c r="G43"/>
  <c r="G45"/>
  <c r="G47"/>
  <c r="G93"/>
  <c r="G95"/>
  <c r="G117"/>
  <c r="AN9"/>
  <c r="AN10"/>
  <c r="AJ14"/>
  <c r="AN15"/>
  <c r="AN16"/>
  <c r="AN17"/>
  <c r="AN18"/>
  <c r="AN19"/>
  <c r="AN20"/>
  <c r="AJ22"/>
  <c r="AJ24"/>
  <c r="G40"/>
  <c r="G42"/>
  <c r="G44"/>
  <c r="G46"/>
  <c r="G48"/>
  <c r="G49"/>
  <c r="G50"/>
  <c r="G51"/>
  <c r="G53"/>
  <c r="G55"/>
  <c r="G57"/>
  <c r="G59"/>
  <c r="G64"/>
  <c r="G66"/>
  <c r="G68"/>
  <c r="G70"/>
  <c r="G76"/>
  <c r="G78"/>
  <c r="G80"/>
  <c r="G82"/>
  <c r="G84"/>
  <c r="G88"/>
  <c r="G90"/>
  <c r="G92"/>
  <c r="G94"/>
  <c r="G96"/>
  <c r="G97"/>
  <c r="G98"/>
  <c r="G99"/>
  <c r="G101"/>
  <c r="G103"/>
  <c r="G105"/>
  <c r="G107"/>
  <c r="G112"/>
  <c r="G114"/>
  <c r="G116"/>
  <c r="G118"/>
  <c r="G124"/>
  <c r="G126"/>
  <c r="G128"/>
  <c r="G130"/>
  <c r="G132"/>
  <c r="G148"/>
  <c r="G150"/>
  <c r="G152"/>
  <c r="G154"/>
  <c r="G156"/>
  <c r="G158"/>
  <c r="G172"/>
  <c r="G174"/>
  <c r="G176"/>
  <c r="G178"/>
  <c r="G180"/>
  <c r="G182"/>
  <c r="G196"/>
  <c r="AI196" s="1"/>
  <c r="AO8"/>
  <c r="AJ9"/>
  <c r="AJ10"/>
  <c r="AN11"/>
  <c r="AO12"/>
  <c r="AN13"/>
  <c r="AN14"/>
  <c r="AJ15"/>
  <c r="AJ16"/>
  <c r="AJ17"/>
  <c r="AJ18"/>
  <c r="AJ19"/>
  <c r="AJ20"/>
  <c r="G23"/>
  <c r="AJ23"/>
  <c r="G25"/>
  <c r="G26"/>
  <c r="G27"/>
  <c r="G30"/>
  <c r="CC54"/>
  <c r="CC24"/>
  <c r="B263"/>
  <c r="BD251"/>
  <c r="Q251"/>
  <c r="BD249"/>
  <c r="B261"/>
  <c r="Q249"/>
  <c r="B264"/>
  <c r="Q252"/>
  <c r="BD252"/>
  <c r="AO10"/>
  <c r="AO11"/>
  <c r="AJ12"/>
  <c r="AO15"/>
  <c r="AO16"/>
  <c r="G17"/>
  <c r="AO17"/>
  <c r="AP17" s="1"/>
  <c r="G18"/>
  <c r="AO18"/>
  <c r="G19"/>
  <c r="AO19"/>
  <c r="AP19" s="1"/>
  <c r="G20"/>
  <c r="AO20"/>
  <c r="G21"/>
  <c r="AJ21"/>
  <c r="AN21"/>
  <c r="AO22"/>
  <c r="AO23"/>
  <c r="AO24"/>
  <c r="G28"/>
  <c r="G33"/>
  <c r="G34"/>
  <c r="G37"/>
  <c r="G39"/>
  <c r="G60"/>
  <c r="G61"/>
  <c r="G62"/>
  <c r="G63"/>
  <c r="G85"/>
  <c r="G86"/>
  <c r="G87"/>
  <c r="G108"/>
  <c r="G109"/>
  <c r="G110"/>
  <c r="G111"/>
  <c r="G134"/>
  <c r="G135"/>
  <c r="B277"/>
  <c r="BD265"/>
  <c r="Q265"/>
  <c r="Q266"/>
  <c r="B278"/>
  <c r="BD266"/>
  <c r="BD250"/>
  <c r="B262"/>
  <c r="Q250"/>
  <c r="Q267"/>
  <c r="B279"/>
  <c r="AO9"/>
  <c r="AN12"/>
  <c r="AO13"/>
  <c r="AO14"/>
  <c r="AN22"/>
  <c r="CB22"/>
  <c r="CC22" s="1"/>
  <c r="AN23"/>
  <c r="AN24"/>
  <c r="AN25"/>
  <c r="AO25"/>
  <c r="G227"/>
  <c r="AI227" s="1"/>
  <c r="G225"/>
  <c r="AI225" s="1"/>
  <c r="G221"/>
  <c r="AI221" s="1"/>
  <c r="G226"/>
  <c r="AI226" s="1"/>
  <c r="AY32"/>
  <c r="BC32" s="1"/>
  <c r="BB32"/>
  <c r="BF32" s="1"/>
  <c r="AO316" i="2"/>
  <c r="AR316"/>
  <c r="AY29" i="3"/>
  <c r="BD29" s="1"/>
  <c r="BB29"/>
  <c r="BF29" s="1"/>
  <c r="AY40"/>
  <c r="BC40" s="1"/>
  <c r="BB40"/>
  <c r="BB35"/>
  <c r="L30"/>
  <c r="Q30" s="1"/>
  <c r="O30"/>
  <c r="L38"/>
  <c r="P38" s="1"/>
  <c r="R38" s="1"/>
  <c r="O38"/>
  <c r="J38" i="10" s="1"/>
  <c r="L29" i="3"/>
  <c r="Q29" s="1"/>
  <c r="O29"/>
  <c r="L35"/>
  <c r="P35" s="1"/>
  <c r="R35" s="1"/>
  <c r="O35"/>
  <c r="J35" i="10" s="1"/>
  <c r="O36" i="3"/>
  <c r="AY41"/>
  <c r="BC41" s="1"/>
  <c r="BB41" s="1"/>
  <c r="AX53"/>
  <c r="AY53" s="1"/>
  <c r="BD53" s="1"/>
  <c r="BC53" s="1"/>
  <c r="BB53"/>
  <c r="BA65"/>
  <c r="AX55"/>
  <c r="AY43"/>
  <c r="AY44"/>
  <c r="AX56"/>
  <c r="BB44"/>
  <c r="BA56"/>
  <c r="BA95"/>
  <c r="BB83"/>
  <c r="AX60"/>
  <c r="AY48"/>
  <c r="BC48" s="1"/>
  <c r="BA61"/>
  <c r="BB49"/>
  <c r="BF49" s="1"/>
  <c r="AX62"/>
  <c r="AY50"/>
  <c r="BC50" s="1"/>
  <c r="AX63"/>
  <c r="AY51"/>
  <c r="AX64"/>
  <c r="AY52"/>
  <c r="BA64"/>
  <c r="BB52"/>
  <c r="BA54"/>
  <c r="BA66" s="1"/>
  <c r="BB42"/>
  <c r="BA67"/>
  <c r="BB67" s="1"/>
  <c r="BB55"/>
  <c r="BA60"/>
  <c r="BA72" s="1"/>
  <c r="BA84" s="1"/>
  <c r="BB84" s="1"/>
  <c r="BF84" s="1"/>
  <c r="BB48"/>
  <c r="BF48" s="1"/>
  <c r="AX61"/>
  <c r="AY61" s="1"/>
  <c r="BC61" s="1"/>
  <c r="AY49"/>
  <c r="BC49" s="1"/>
  <c r="BB50"/>
  <c r="BA62"/>
  <c r="BB62" s="1"/>
  <c r="BA63"/>
  <c r="BB51"/>
  <c r="BD17"/>
  <c r="BE17" s="1"/>
  <c r="BG17" s="1"/>
  <c r="BC21"/>
  <c r="BC23"/>
  <c r="BE23" s="1"/>
  <c r="BC24"/>
  <c r="BC25"/>
  <c r="BE25" s="1"/>
  <c r="BD27"/>
  <c r="BE27" s="1"/>
  <c r="BG27" s="1"/>
  <c r="BD28"/>
  <c r="BB30"/>
  <c r="AY31"/>
  <c r="BB31"/>
  <c r="AY33"/>
  <c r="BC33" s="1"/>
  <c r="BE33" s="1"/>
  <c r="BG33" s="1"/>
  <c r="BC34"/>
  <c r="BC35"/>
  <c r="AY36"/>
  <c r="BC36" s="1"/>
  <c r="BE36" s="1"/>
  <c r="BB36"/>
  <c r="AY37"/>
  <c r="BC37" s="1"/>
  <c r="BE37" s="1"/>
  <c r="BB37"/>
  <c r="AY38"/>
  <c r="BC38" s="1"/>
  <c r="BB38"/>
  <c r="AY39"/>
  <c r="BC39" s="1"/>
  <c r="BB39"/>
  <c r="BC45"/>
  <c r="Q17"/>
  <c r="R17" s="1"/>
  <c r="Q18"/>
  <c r="Q19"/>
  <c r="R19" s="1"/>
  <c r="Q20"/>
  <c r="P24"/>
  <c r="R24" s="1"/>
  <c r="P25"/>
  <c r="R25" s="1"/>
  <c r="P28"/>
  <c r="R28" s="1"/>
  <c r="L31"/>
  <c r="O31"/>
  <c r="L37"/>
  <c r="P37" s="1"/>
  <c r="R37" s="1"/>
  <c r="O37"/>
  <c r="K45"/>
  <c r="D45" i="10" s="1"/>
  <c r="E45" s="1"/>
  <c r="N45" i="3"/>
  <c r="H45" i="10" s="1"/>
  <c r="I45" s="1"/>
  <c r="K52" i="3"/>
  <c r="D52" i="10" s="1"/>
  <c r="E52" s="1"/>
  <c r="N52" i="3"/>
  <c r="H52" i="10" s="1"/>
  <c r="I52" s="1"/>
  <c r="L9" i="3"/>
  <c r="R10"/>
  <c r="P21"/>
  <c r="R21" s="1"/>
  <c r="P22"/>
  <c r="R22" s="1"/>
  <c r="P23"/>
  <c r="R23" s="1"/>
  <c r="P26"/>
  <c r="R26" s="1"/>
  <c r="P27"/>
  <c r="R27" s="1"/>
  <c r="O32"/>
  <c r="L39"/>
  <c r="P39" s="1"/>
  <c r="R39" s="1"/>
  <c r="O39"/>
  <c r="AN27"/>
  <c r="AN31"/>
  <c r="AJ25"/>
  <c r="AN26"/>
  <c r="AN29"/>
  <c r="AJ31"/>
  <c r="E315" i="2"/>
  <c r="AK315"/>
  <c r="E316"/>
  <c r="AK316"/>
  <c r="AL316" s="1"/>
  <c r="AO26" i="3"/>
  <c r="AO27"/>
  <c r="AJ28"/>
  <c r="AN28"/>
  <c r="AO29"/>
  <c r="AJ30"/>
  <c r="AN30"/>
  <c r="AO31"/>
  <c r="CV199"/>
  <c r="AJ26"/>
  <c r="AJ27"/>
  <c r="AO28"/>
  <c r="AJ29"/>
  <c r="AO30"/>
  <c r="CV203"/>
  <c r="AQ314" i="2"/>
  <c r="AP314"/>
  <c r="AN314"/>
  <c r="AM314"/>
  <c r="AC314"/>
  <c r="AQ313"/>
  <c r="AP313"/>
  <c r="AN313"/>
  <c r="AM313"/>
  <c r="AC313"/>
  <c r="E313"/>
  <c r="AQ312"/>
  <c r="AP312"/>
  <c r="AN312"/>
  <c r="AM312"/>
  <c r="AQ311"/>
  <c r="AP311"/>
  <c r="AN311"/>
  <c r="AM311"/>
  <c r="AQ310"/>
  <c r="AP310"/>
  <c r="AN310"/>
  <c r="AM310"/>
  <c r="AC310"/>
  <c r="E310"/>
  <c r="AQ309"/>
  <c r="AP309"/>
  <c r="AN309"/>
  <c r="AK309" s="1"/>
  <c r="AM309"/>
  <c r="AC309"/>
  <c r="AQ308"/>
  <c r="AP308"/>
  <c r="AN308"/>
  <c r="AM308"/>
  <c r="AQ307"/>
  <c r="AP307"/>
  <c r="AN307"/>
  <c r="AM307"/>
  <c r="AC307"/>
  <c r="AJ307"/>
  <c r="AQ306"/>
  <c r="AP306"/>
  <c r="AN306"/>
  <c r="AK306" s="1"/>
  <c r="AM306"/>
  <c r="AJ306" s="1"/>
  <c r="AC306"/>
  <c r="K54" i="3" l="1"/>
  <c r="L54" s="1"/>
  <c r="Q54" s="1"/>
  <c r="N63"/>
  <c r="N75" s="1"/>
  <c r="H75" i="10" s="1"/>
  <c r="I75" s="1"/>
  <c r="O49" i="3"/>
  <c r="J49" i="10" s="1"/>
  <c r="K61" i="3"/>
  <c r="D61" i="10" s="1"/>
  <c r="E61" s="1"/>
  <c r="F61" s="1"/>
  <c r="AJ308" i="2"/>
  <c r="K55" i="3"/>
  <c r="D55" i="10" s="1"/>
  <c r="E55" s="1"/>
  <c r="J29"/>
  <c r="AP22" i="3"/>
  <c r="AP20"/>
  <c r="AP18"/>
  <c r="AK308" i="2"/>
  <c r="N53" i="3"/>
  <c r="H53" i="10" s="1"/>
  <c r="I53" s="1"/>
  <c r="L18"/>
  <c r="Q40" i="3"/>
  <c r="R40" s="1"/>
  <c r="O43"/>
  <c r="S43" s="1"/>
  <c r="K53"/>
  <c r="D53" i="10" s="1"/>
  <c r="E53" s="1"/>
  <c r="F53" s="1"/>
  <c r="O50" i="3"/>
  <c r="J50" i="10" s="1"/>
  <c r="L47" i="3"/>
  <c r="P47" s="1"/>
  <c r="N54"/>
  <c r="H54" i="10" s="1"/>
  <c r="I54" s="1"/>
  <c r="J39"/>
  <c r="J32"/>
  <c r="J37"/>
  <c r="K63" i="3"/>
  <c r="D63" i="10" s="1"/>
  <c r="E63" s="1"/>
  <c r="F63" s="1"/>
  <c r="N61" i="3"/>
  <c r="O61" s="1"/>
  <c r="O41"/>
  <c r="J41" i="10" s="1"/>
  <c r="L41" i="3"/>
  <c r="P41" s="1"/>
  <c r="O51"/>
  <c r="J51" i="10" s="1"/>
  <c r="N62" i="3"/>
  <c r="H62" i="10" s="1"/>
  <c r="I62" s="1"/>
  <c r="L50" i="3"/>
  <c r="P50" s="1"/>
  <c r="N59"/>
  <c r="H59" i="10" s="1"/>
  <c r="I59" s="1"/>
  <c r="K59" i="3"/>
  <c r="D59" i="10" s="1"/>
  <c r="E59" s="1"/>
  <c r="F59" s="1"/>
  <c r="L43" i="3"/>
  <c r="Q43" s="1"/>
  <c r="P43" s="1"/>
  <c r="L42"/>
  <c r="Q42" s="1"/>
  <c r="L51"/>
  <c r="P51" s="1"/>
  <c r="N55"/>
  <c r="H55" i="10" s="1"/>
  <c r="I55" s="1"/>
  <c r="K62" i="3"/>
  <c r="D62" i="10" s="1"/>
  <c r="E62" s="1"/>
  <c r="F62" s="1"/>
  <c r="L49" i="3"/>
  <c r="P49" s="1"/>
  <c r="O47"/>
  <c r="S47" s="1"/>
  <c r="O42"/>
  <c r="J42" i="10" s="1"/>
  <c r="J31"/>
  <c r="T19" i="3"/>
  <c r="J36" i="10"/>
  <c r="J40"/>
  <c r="J33"/>
  <c r="J47"/>
  <c r="F55"/>
  <c r="S30" i="3"/>
  <c r="J30" i="10"/>
  <c r="K51"/>
  <c r="F51"/>
  <c r="K50"/>
  <c r="F50"/>
  <c r="F49"/>
  <c r="K49"/>
  <c r="N60" i="3"/>
  <c r="H48" i="10"/>
  <c r="I48" s="1"/>
  <c r="F47"/>
  <c r="K47"/>
  <c r="N56" i="3"/>
  <c r="H44" i="10"/>
  <c r="I44" s="1"/>
  <c r="F43"/>
  <c r="F42"/>
  <c r="K42"/>
  <c r="F41"/>
  <c r="K41"/>
  <c r="F52"/>
  <c r="F45"/>
  <c r="J43"/>
  <c r="D54"/>
  <c r="E54" s="1"/>
  <c r="F39"/>
  <c r="K39"/>
  <c r="F38"/>
  <c r="K38"/>
  <c r="F37"/>
  <c r="K37"/>
  <c r="F40"/>
  <c r="K40"/>
  <c r="F35"/>
  <c r="K35"/>
  <c r="F33"/>
  <c r="K33"/>
  <c r="F31"/>
  <c r="K31"/>
  <c r="F30"/>
  <c r="K30"/>
  <c r="F29"/>
  <c r="K29"/>
  <c r="J19"/>
  <c r="K19"/>
  <c r="AL315" i="2"/>
  <c r="AP26" i="3"/>
  <c r="AP13"/>
  <c r="AP9"/>
  <c r="P29"/>
  <c r="AO309" i="2"/>
  <c r="AR309"/>
  <c r="AO310"/>
  <c r="AR310"/>
  <c r="AO311"/>
  <c r="AO312"/>
  <c r="AO313"/>
  <c r="AR313"/>
  <c r="BC29" i="3"/>
  <c r="BE29" s="1"/>
  <c r="BG29" s="1"/>
  <c r="AO306" i="2"/>
  <c r="AR306"/>
  <c r="AO307"/>
  <c r="AR307"/>
  <c r="AO308"/>
  <c r="AR308"/>
  <c r="AJ309"/>
  <c r="AL309" s="1"/>
  <c r="AK313"/>
  <c r="AO314"/>
  <c r="AR314"/>
  <c r="AP25" i="3"/>
  <c r="AP14"/>
  <c r="AP23"/>
  <c r="AP11"/>
  <c r="B274"/>
  <c r="BD262"/>
  <c r="Q262"/>
  <c r="AJ312" i="2"/>
  <c r="AJ314"/>
  <c r="AP24" i="3"/>
  <c r="AP16"/>
  <c r="AP10"/>
  <c r="AP12"/>
  <c r="AP21"/>
  <c r="B291"/>
  <c r="Q279"/>
  <c r="B290"/>
  <c r="Q278"/>
  <c r="BD278"/>
  <c r="B289"/>
  <c r="Q277"/>
  <c r="BD277"/>
  <c r="B276"/>
  <c r="BD264"/>
  <c r="Q264"/>
  <c r="Q261"/>
  <c r="B273"/>
  <c r="BD261"/>
  <c r="B275"/>
  <c r="BD263"/>
  <c r="Q263"/>
  <c r="AP15"/>
  <c r="CC23"/>
  <c r="P30"/>
  <c r="R30" s="1"/>
  <c r="AP28"/>
  <c r="BC31"/>
  <c r="BD31"/>
  <c r="BA76"/>
  <c r="BB64"/>
  <c r="AX76"/>
  <c r="AY76" s="1"/>
  <c r="AY64"/>
  <c r="AX75"/>
  <c r="AY75" s="1"/>
  <c r="BC75" s="1"/>
  <c r="AY63"/>
  <c r="BD63" s="1"/>
  <c r="BC63" s="1"/>
  <c r="BE63" s="1"/>
  <c r="AX74"/>
  <c r="AY62"/>
  <c r="BC62" s="1"/>
  <c r="BA73"/>
  <c r="BB61"/>
  <c r="AX72"/>
  <c r="AY60"/>
  <c r="BC60" s="1"/>
  <c r="BB60" s="1"/>
  <c r="BA107"/>
  <c r="BB95"/>
  <c r="BD44"/>
  <c r="BC44"/>
  <c r="AX67"/>
  <c r="AY55"/>
  <c r="BE48"/>
  <c r="BG48" s="1"/>
  <c r="BA75"/>
  <c r="BB63"/>
  <c r="BA78"/>
  <c r="BB78" s="1"/>
  <c r="BB66"/>
  <c r="BC52"/>
  <c r="BD52"/>
  <c r="BC51"/>
  <c r="BD51"/>
  <c r="BB56"/>
  <c r="BF56" s="1"/>
  <c r="BA68"/>
  <c r="AX68"/>
  <c r="AY56"/>
  <c r="BC43"/>
  <c r="BD43"/>
  <c r="BA77"/>
  <c r="BB65"/>
  <c r="BE49"/>
  <c r="BG49" s="1"/>
  <c r="K64"/>
  <c r="D64" i="10" s="1"/>
  <c r="E64" s="1"/>
  <c r="L52" i="3"/>
  <c r="Q52" s="1"/>
  <c r="P52" s="1"/>
  <c r="K57"/>
  <c r="D57" i="10" s="1"/>
  <c r="E57" s="1"/>
  <c r="L45" i="3"/>
  <c r="P45" s="1"/>
  <c r="P31"/>
  <c r="Q31"/>
  <c r="O59"/>
  <c r="J59" i="10" s="1"/>
  <c r="N64" i="3"/>
  <c r="H64" i="10" s="1"/>
  <c r="I64" s="1"/>
  <c r="O52" i="3"/>
  <c r="N57"/>
  <c r="O45"/>
  <c r="J45" i="10" s="1"/>
  <c r="R47" i="3"/>
  <c r="AJ310" i="2"/>
  <c r="E311"/>
  <c r="AK311"/>
  <c r="E307"/>
  <c r="E306"/>
  <c r="AL306"/>
  <c r="AK307"/>
  <c r="AL307" s="1"/>
  <c r="E308"/>
  <c r="AK310"/>
  <c r="AJ311"/>
  <c r="AK312"/>
  <c r="AJ313"/>
  <c r="E314"/>
  <c r="AK314"/>
  <c r="AP30" i="3"/>
  <c r="AP31"/>
  <c r="AP27"/>
  <c r="E309" i="2"/>
  <c r="E312"/>
  <c r="AQ305"/>
  <c r="AP305"/>
  <c r="AN305"/>
  <c r="AM305"/>
  <c r="AC305"/>
  <c r="AD305" s="1"/>
  <c r="AE317" s="1"/>
  <c r="AQ304"/>
  <c r="AP304"/>
  <c r="AN304"/>
  <c r="AM304"/>
  <c r="E304"/>
  <c r="AQ303"/>
  <c r="AP303"/>
  <c r="AN303"/>
  <c r="AM303"/>
  <c r="AC303"/>
  <c r="AJ303"/>
  <c r="AQ302"/>
  <c r="AP302"/>
  <c r="AN302"/>
  <c r="AM302"/>
  <c r="AJ302" s="1"/>
  <c r="AC302"/>
  <c r="AQ301"/>
  <c r="AP301"/>
  <c r="AN301"/>
  <c r="AK301" s="1"/>
  <c r="AM301"/>
  <c r="AC301"/>
  <c r="AQ300"/>
  <c r="AP300"/>
  <c r="AN300"/>
  <c r="AM300"/>
  <c r="AC300"/>
  <c r="E300"/>
  <c r="AQ299"/>
  <c r="AP299"/>
  <c r="AN299"/>
  <c r="AM299"/>
  <c r="AC299"/>
  <c r="AD299" s="1"/>
  <c r="AQ298"/>
  <c r="AP298"/>
  <c r="AN298"/>
  <c r="AM298"/>
  <c r="AC298"/>
  <c r="AD298" s="1"/>
  <c r="AQ297"/>
  <c r="AP297"/>
  <c r="AN297"/>
  <c r="AM297"/>
  <c r="AC297"/>
  <c r="AD297" s="1"/>
  <c r="AQ296"/>
  <c r="AP296"/>
  <c r="AN296"/>
  <c r="AM296"/>
  <c r="AJ296" s="1"/>
  <c r="AC296"/>
  <c r="AD296" s="1"/>
  <c r="AQ295"/>
  <c r="AP295"/>
  <c r="AN295"/>
  <c r="AM295"/>
  <c r="AJ295" s="1"/>
  <c r="AC295"/>
  <c r="AQ294"/>
  <c r="AP294"/>
  <c r="AN294"/>
  <c r="AM294"/>
  <c r="AC294"/>
  <c r="AQ293"/>
  <c r="AP293"/>
  <c r="AN293"/>
  <c r="AM293"/>
  <c r="AJ293" s="1"/>
  <c r="AC293"/>
  <c r="AD293" s="1"/>
  <c r="AQ292"/>
  <c r="AP292"/>
  <c r="AN292"/>
  <c r="AM292"/>
  <c r="AC292"/>
  <c r="AD292" s="1"/>
  <c r="AQ291"/>
  <c r="AP291"/>
  <c r="AN291"/>
  <c r="AM291"/>
  <c r="AC291"/>
  <c r="AD291" s="1"/>
  <c r="AQ290"/>
  <c r="AP290"/>
  <c r="AN290"/>
  <c r="AM290"/>
  <c r="AC290"/>
  <c r="AJ290"/>
  <c r="AQ289"/>
  <c r="AP289"/>
  <c r="AN289"/>
  <c r="AM289"/>
  <c r="AC289"/>
  <c r="AD289" s="1"/>
  <c r="AQ288"/>
  <c r="AP288"/>
  <c r="AN288"/>
  <c r="AM288"/>
  <c r="AC288"/>
  <c r="E288"/>
  <c r="AQ287"/>
  <c r="AP287"/>
  <c r="AN287"/>
  <c r="AM287"/>
  <c r="AC287"/>
  <c r="AJ287"/>
  <c r="AQ286"/>
  <c r="AP286"/>
  <c r="AN286"/>
  <c r="AM286"/>
  <c r="AC286"/>
  <c r="AD286" s="1"/>
  <c r="AQ285"/>
  <c r="AP285"/>
  <c r="AN285"/>
  <c r="AM285"/>
  <c r="AC285"/>
  <c r="AD285" s="1"/>
  <c r="AQ284"/>
  <c r="AP284"/>
  <c r="AN284"/>
  <c r="AM284"/>
  <c r="AC284"/>
  <c r="AQ283"/>
  <c r="AP283"/>
  <c r="AN283"/>
  <c r="AM283"/>
  <c r="AC283"/>
  <c r="AD283" s="1"/>
  <c r="AQ282"/>
  <c r="AP282"/>
  <c r="AN282"/>
  <c r="AK282" s="1"/>
  <c r="AM282"/>
  <c r="AC282"/>
  <c r="AQ281"/>
  <c r="AP281"/>
  <c r="AN281"/>
  <c r="AM281"/>
  <c r="AC281"/>
  <c r="AD281" s="1"/>
  <c r="AQ280"/>
  <c r="AP280"/>
  <c r="AN280"/>
  <c r="AM280"/>
  <c r="AC280"/>
  <c r="AD280" s="1"/>
  <c r="AQ279"/>
  <c r="AP279"/>
  <c r="AN279"/>
  <c r="AM279"/>
  <c r="AC279"/>
  <c r="AD279" s="1"/>
  <c r="AQ278"/>
  <c r="AP278"/>
  <c r="AN278"/>
  <c r="AK278" s="1"/>
  <c r="AM278"/>
  <c r="AC278"/>
  <c r="AQ277"/>
  <c r="AP277"/>
  <c r="AN277"/>
  <c r="AM277"/>
  <c r="AC277"/>
  <c r="AQ276"/>
  <c r="AP276"/>
  <c r="AN276"/>
  <c r="AM276"/>
  <c r="AC276"/>
  <c r="E276"/>
  <c r="AQ275"/>
  <c r="AP275"/>
  <c r="AN275"/>
  <c r="AM275"/>
  <c r="AC275"/>
  <c r="AJ275"/>
  <c r="AQ274"/>
  <c r="AP274"/>
  <c r="AN274"/>
  <c r="AM274"/>
  <c r="AJ274" s="1"/>
  <c r="AC274"/>
  <c r="AQ273"/>
  <c r="AP273"/>
  <c r="AN273"/>
  <c r="AM273"/>
  <c r="AJ273" s="1"/>
  <c r="AC273"/>
  <c r="AQ272"/>
  <c r="AP272"/>
  <c r="AN272"/>
  <c r="AK272" s="1"/>
  <c r="AM272"/>
  <c r="AC272"/>
  <c r="AQ271"/>
  <c r="AP271"/>
  <c r="AN271"/>
  <c r="AM271"/>
  <c r="AC271"/>
  <c r="AJ271"/>
  <c r="AQ270"/>
  <c r="AP270"/>
  <c r="AN270"/>
  <c r="AM270"/>
  <c r="AC270"/>
  <c r="AJ270"/>
  <c r="AQ269"/>
  <c r="AP269"/>
  <c r="AN269"/>
  <c r="AM269"/>
  <c r="AC269"/>
  <c r="AJ269"/>
  <c r="AQ268"/>
  <c r="AP268"/>
  <c r="AN268"/>
  <c r="AK268" s="1"/>
  <c r="AM268"/>
  <c r="AC268"/>
  <c r="AJ268"/>
  <c r="AQ267"/>
  <c r="AP267"/>
  <c r="AN267"/>
  <c r="AM267"/>
  <c r="AC267"/>
  <c r="AJ267"/>
  <c r="AQ266"/>
  <c r="AP266"/>
  <c r="AN266"/>
  <c r="AM266"/>
  <c r="AC266"/>
  <c r="AJ266"/>
  <c r="AQ265"/>
  <c r="AP265"/>
  <c r="AN265"/>
  <c r="AM265"/>
  <c r="AC265"/>
  <c r="K67" i="3" l="1"/>
  <c r="D67" i="10" s="1"/>
  <c r="E67" s="1"/>
  <c r="H63"/>
  <c r="I63" s="1"/>
  <c r="K63" s="1"/>
  <c r="K65" i="3"/>
  <c r="D65" i="10" s="1"/>
  <c r="E65" s="1"/>
  <c r="L55" i="3"/>
  <c r="Q55" s="1"/>
  <c r="P55" s="1"/>
  <c r="K73"/>
  <c r="D73" i="10" s="1"/>
  <c r="E73" s="1"/>
  <c r="F73" s="1"/>
  <c r="O53" i="3"/>
  <c r="S53" s="1"/>
  <c r="L61"/>
  <c r="P61" s="1"/>
  <c r="N65"/>
  <c r="H65" i="10" s="1"/>
  <c r="I65" s="1"/>
  <c r="K74" i="3"/>
  <c r="D74" i="10" s="1"/>
  <c r="E74" s="1"/>
  <c r="F74" s="1"/>
  <c r="L53" i="3"/>
  <c r="Q53" s="1"/>
  <c r="N74"/>
  <c r="H74" i="10" s="1"/>
  <c r="I74" s="1"/>
  <c r="P42" i="3"/>
  <c r="R42" s="1"/>
  <c r="L59"/>
  <c r="P59" s="1"/>
  <c r="K75"/>
  <c r="D75" i="10" s="1"/>
  <c r="E75" s="1"/>
  <c r="K75" s="1"/>
  <c r="L19"/>
  <c r="L20" s="1"/>
  <c r="L21" s="1"/>
  <c r="L22" s="1"/>
  <c r="L23" s="1"/>
  <c r="L24" s="1"/>
  <c r="L25" s="1"/>
  <c r="L26" s="1"/>
  <c r="L27" s="1"/>
  <c r="L28" s="1"/>
  <c r="L29" s="1"/>
  <c r="L30" s="1"/>
  <c r="L31" s="1"/>
  <c r="AL311" i="2"/>
  <c r="AL308"/>
  <c r="N66" i="3"/>
  <c r="H66" i="10" s="1"/>
  <c r="I66" s="1"/>
  <c r="N67" i="3"/>
  <c r="H67" i="10" s="1"/>
  <c r="I67" s="1"/>
  <c r="AJ277" i="2"/>
  <c r="AK284"/>
  <c r="AJ294"/>
  <c r="K71" i="3"/>
  <c r="D71" i="10" s="1"/>
  <c r="E71" s="1"/>
  <c r="F71" s="1"/>
  <c r="L63" i="3"/>
  <c r="P63" s="1"/>
  <c r="O63" s="1"/>
  <c r="O55"/>
  <c r="O54"/>
  <c r="J54" i="10"/>
  <c r="P54" i="3"/>
  <c r="R54" s="1"/>
  <c r="O75"/>
  <c r="J75" i="10" s="1"/>
  <c r="H61"/>
  <c r="I61" s="1"/>
  <c r="K61" s="1"/>
  <c r="N71" i="3"/>
  <c r="H71" i="10" s="1"/>
  <c r="I71" s="1"/>
  <c r="R43" i="3"/>
  <c r="AL313" i="2"/>
  <c r="L62" i="3"/>
  <c r="P62" s="1"/>
  <c r="O62" s="1"/>
  <c r="J62" i="10" s="1"/>
  <c r="N79" i="3"/>
  <c r="H79" i="10" s="1"/>
  <c r="I79" s="1"/>
  <c r="J55"/>
  <c r="N87" i="3"/>
  <c r="H87" i="10" s="1"/>
  <c r="I87" s="1"/>
  <c r="O79" i="3"/>
  <c r="J79" i="10" s="1"/>
  <c r="T30" i="3"/>
  <c r="F67" i="10"/>
  <c r="N69" i="3"/>
  <c r="H69" i="10" s="1"/>
  <c r="I69" s="1"/>
  <c r="H57"/>
  <c r="I57" s="1"/>
  <c r="F65"/>
  <c r="F57"/>
  <c r="F64"/>
  <c r="N68" i="3"/>
  <c r="H56" i="10"/>
  <c r="I56" s="1"/>
  <c r="H60"/>
  <c r="I60" s="1"/>
  <c r="O60" i="3"/>
  <c r="N72"/>
  <c r="K59" i="10"/>
  <c r="K55"/>
  <c r="K62"/>
  <c r="S52" i="3"/>
  <c r="R52" s="1"/>
  <c r="T52" s="1"/>
  <c r="K54" i="10"/>
  <c r="F54"/>
  <c r="K45"/>
  <c r="K43"/>
  <c r="L74" i="3"/>
  <c r="P74" s="1"/>
  <c r="L67"/>
  <c r="Q67" s="1"/>
  <c r="AL314" i="2"/>
  <c r="AL312"/>
  <c r="AO297"/>
  <c r="AR297"/>
  <c r="AO299"/>
  <c r="AR299"/>
  <c r="AO300"/>
  <c r="AR300"/>
  <c r="AO301"/>
  <c r="AR301"/>
  <c r="AO302"/>
  <c r="AR302"/>
  <c r="AO303"/>
  <c r="AR303"/>
  <c r="AO265"/>
  <c r="AR265"/>
  <c r="AO266"/>
  <c r="AR266"/>
  <c r="AO267"/>
  <c r="AR267"/>
  <c r="AO272"/>
  <c r="AR272"/>
  <c r="AO273"/>
  <c r="AR273"/>
  <c r="AO274"/>
  <c r="AR274"/>
  <c r="AO275"/>
  <c r="AR275"/>
  <c r="AO276"/>
  <c r="AR276"/>
  <c r="AO277"/>
  <c r="AR277"/>
  <c r="AO278"/>
  <c r="AR278"/>
  <c r="AO280"/>
  <c r="AR280"/>
  <c r="AO284"/>
  <c r="AR284"/>
  <c r="AO286"/>
  <c r="AR286"/>
  <c r="AO287"/>
  <c r="AR287"/>
  <c r="AO288"/>
  <c r="AR288"/>
  <c r="AO291"/>
  <c r="AR291"/>
  <c r="AR293"/>
  <c r="AR296"/>
  <c r="AO282"/>
  <c r="AR282"/>
  <c r="AJ265"/>
  <c r="AO268"/>
  <c r="AR268"/>
  <c r="AO269"/>
  <c r="AR269"/>
  <c r="AO270"/>
  <c r="AR270"/>
  <c r="AO271"/>
  <c r="AR271"/>
  <c r="AJ272"/>
  <c r="AL272" s="1"/>
  <c r="AO279"/>
  <c r="AR279"/>
  <c r="AO281"/>
  <c r="AR281"/>
  <c r="AJ282"/>
  <c r="AL282" s="1"/>
  <c r="AO283"/>
  <c r="AR283"/>
  <c r="AJ284"/>
  <c r="AO285"/>
  <c r="AR285"/>
  <c r="AO289"/>
  <c r="AR289"/>
  <c r="AO290"/>
  <c r="AR290"/>
  <c r="AO292"/>
  <c r="AR292"/>
  <c r="AR294"/>
  <c r="AO295"/>
  <c r="AR295"/>
  <c r="AJ297"/>
  <c r="AO298"/>
  <c r="AR298"/>
  <c r="AO304"/>
  <c r="AR304"/>
  <c r="B287" i="3"/>
  <c r="BD275"/>
  <c r="Q275"/>
  <c r="BD273"/>
  <c r="B285"/>
  <c r="Q273"/>
  <c r="B288"/>
  <c r="BD276"/>
  <c r="Q276"/>
  <c r="B302"/>
  <c r="Q290"/>
  <c r="BD290"/>
  <c r="B303"/>
  <c r="Q291"/>
  <c r="BD274"/>
  <c r="B286"/>
  <c r="Q274"/>
  <c r="AJ278" i="2"/>
  <c r="AL278" s="1"/>
  <c r="AO293"/>
  <c r="AO294"/>
  <c r="AO296"/>
  <c r="AJ301"/>
  <c r="AL301" s="1"/>
  <c r="B301" i="3"/>
  <c r="BD289"/>
  <c r="Q289"/>
  <c r="AL310" i="2"/>
  <c r="R31" i="3"/>
  <c r="BE44"/>
  <c r="AO305" i="2"/>
  <c r="AR305"/>
  <c r="BA89" i="3"/>
  <c r="BB77"/>
  <c r="BB43"/>
  <c r="BE43"/>
  <c r="AX80"/>
  <c r="AY80" s="1"/>
  <c r="BC80" s="1"/>
  <c r="AY68"/>
  <c r="BC68" s="1"/>
  <c r="BA87"/>
  <c r="BA99" s="1"/>
  <c r="BB75"/>
  <c r="AX79"/>
  <c r="AY67"/>
  <c r="BA119"/>
  <c r="BB107"/>
  <c r="BF107" s="1"/>
  <c r="AX84"/>
  <c r="AY72"/>
  <c r="BC72" s="1"/>
  <c r="BB72" s="1"/>
  <c r="BB73"/>
  <c r="BA85"/>
  <c r="BA97" s="1"/>
  <c r="AX86"/>
  <c r="AY74"/>
  <c r="BC74" s="1"/>
  <c r="BC76"/>
  <c r="BD76"/>
  <c r="BA88"/>
  <c r="BB88" s="1"/>
  <c r="BB76"/>
  <c r="BE51"/>
  <c r="BE52"/>
  <c r="BE31"/>
  <c r="BD56"/>
  <c r="BC56"/>
  <c r="BA80"/>
  <c r="BB68"/>
  <c r="BF68" s="1"/>
  <c r="BC55"/>
  <c r="BD55"/>
  <c r="BC64"/>
  <c r="BD64"/>
  <c r="N76"/>
  <c r="H76" i="10" s="1"/>
  <c r="I76" s="1"/>
  <c r="O64" i="3"/>
  <c r="J64" i="10" s="1"/>
  <c r="K77" i="3"/>
  <c r="D77" i="10" s="1"/>
  <c r="E77" s="1"/>
  <c r="O65" i="3"/>
  <c r="J65" i="10" s="1"/>
  <c r="K69" i="3"/>
  <c r="D69" i="10" s="1"/>
  <c r="E69" s="1"/>
  <c r="L57" i="3"/>
  <c r="P57" s="1"/>
  <c r="O57" s="1"/>
  <c r="K76"/>
  <c r="D76" i="10" s="1"/>
  <c r="E76" s="1"/>
  <c r="L64" i="3"/>
  <c r="L73"/>
  <c r="P73" s="1"/>
  <c r="K85"/>
  <c r="D85" i="10" s="1"/>
  <c r="E85" s="1"/>
  <c r="AK276" i="2"/>
  <c r="AK280"/>
  <c r="AJ281"/>
  <c r="AK285"/>
  <c r="AJ286"/>
  <c r="AK288"/>
  <c r="AK289"/>
  <c r="AK291"/>
  <c r="E294"/>
  <c r="AK298"/>
  <c r="AK300"/>
  <c r="AD301"/>
  <c r="AE301" s="1"/>
  <c r="E305"/>
  <c r="AJ305"/>
  <c r="AJ279"/>
  <c r="AJ283"/>
  <c r="AE291"/>
  <c r="AK292"/>
  <c r="AK299"/>
  <c r="AJ304"/>
  <c r="AL268"/>
  <c r="AE292"/>
  <c r="AE293"/>
  <c r="AE297"/>
  <c r="AE298"/>
  <c r="E265"/>
  <c r="E266"/>
  <c r="E267"/>
  <c r="E268"/>
  <c r="AK265"/>
  <c r="AK266"/>
  <c r="AL266" s="1"/>
  <c r="AK267"/>
  <c r="AL267" s="1"/>
  <c r="E269"/>
  <c r="E270"/>
  <c r="AK271"/>
  <c r="AL271" s="1"/>
  <c r="E273"/>
  <c r="E274"/>
  <c r="AK275"/>
  <c r="AL275" s="1"/>
  <c r="AJ276"/>
  <c r="AD277"/>
  <c r="AE289" s="1"/>
  <c r="AK277"/>
  <c r="E279"/>
  <c r="AK279"/>
  <c r="AJ280"/>
  <c r="E281"/>
  <c r="AK281"/>
  <c r="E283"/>
  <c r="AK283"/>
  <c r="E284"/>
  <c r="AJ285"/>
  <c r="E286"/>
  <c r="AK286"/>
  <c r="AK287"/>
  <c r="AL287" s="1"/>
  <c r="AJ288"/>
  <c r="AJ289"/>
  <c r="E290"/>
  <c r="AJ291"/>
  <c r="AJ292"/>
  <c r="E293"/>
  <c r="AK293"/>
  <c r="AL293" s="1"/>
  <c r="AK294"/>
  <c r="AK295"/>
  <c r="AL295" s="1"/>
  <c r="E296"/>
  <c r="AK296"/>
  <c r="AL296" s="1"/>
  <c r="E297"/>
  <c r="AK297"/>
  <c r="AJ298"/>
  <c r="AJ299"/>
  <c r="AJ300"/>
  <c r="E301"/>
  <c r="AK302"/>
  <c r="AL302" s="1"/>
  <c r="AK303"/>
  <c r="AL303" s="1"/>
  <c r="AK304"/>
  <c r="AK305"/>
  <c r="AK269"/>
  <c r="AL269" s="1"/>
  <c r="AK270"/>
  <c r="AL270" s="1"/>
  <c r="E271"/>
  <c r="E272"/>
  <c r="AK273"/>
  <c r="AL273" s="1"/>
  <c r="AK274"/>
  <c r="AL274" s="1"/>
  <c r="E275"/>
  <c r="E277"/>
  <c r="E278"/>
  <c r="E280"/>
  <c r="E282"/>
  <c r="E285"/>
  <c r="E287"/>
  <c r="AD287"/>
  <c r="AE299" s="1"/>
  <c r="E289"/>
  <c r="AK290"/>
  <c r="AL290" s="1"/>
  <c r="E291"/>
  <c r="E292"/>
  <c r="E295"/>
  <c r="E298"/>
  <c r="E299"/>
  <c r="E302"/>
  <c r="AD302"/>
  <c r="E303"/>
  <c r="AD303"/>
  <c r="AQ264"/>
  <c r="AP264"/>
  <c r="AN264"/>
  <c r="AM264"/>
  <c r="AC264"/>
  <c r="AQ263"/>
  <c r="AP263"/>
  <c r="AN263"/>
  <c r="AM263"/>
  <c r="AC263"/>
  <c r="AQ262"/>
  <c r="AP262"/>
  <c r="AN262"/>
  <c r="AM262"/>
  <c r="AC262"/>
  <c r="E262"/>
  <c r="AQ261"/>
  <c r="AP261"/>
  <c r="AN261"/>
  <c r="AM261"/>
  <c r="AC261"/>
  <c r="AQ260"/>
  <c r="AP260"/>
  <c r="AN260"/>
  <c r="AM260"/>
  <c r="AC260"/>
  <c r="AQ259"/>
  <c r="AP259"/>
  <c r="AN259"/>
  <c r="AM259"/>
  <c r="AC259"/>
  <c r="AQ258"/>
  <c r="AP258"/>
  <c r="AN258"/>
  <c r="AM258"/>
  <c r="AC258"/>
  <c r="J63" i="10" l="1"/>
  <c r="L65" i="3"/>
  <c r="Q65" s="1"/>
  <c r="N77"/>
  <c r="H77" i="10" s="1"/>
  <c r="I77" s="1"/>
  <c r="AL284" i="2"/>
  <c r="N81" i="3"/>
  <c r="H81" i="10" s="1"/>
  <c r="I81" s="1"/>
  <c r="N78" i="3"/>
  <c r="H78" i="10" s="1"/>
  <c r="I78" s="1"/>
  <c r="J61"/>
  <c r="P53" i="3"/>
  <c r="N99"/>
  <c r="H99" i="10" s="1"/>
  <c r="I99" s="1"/>
  <c r="O74" i="3"/>
  <c r="J74" i="10" s="1"/>
  <c r="N86" i="3"/>
  <c r="N98" s="1"/>
  <c r="H98" i="10" s="1"/>
  <c r="I98" s="1"/>
  <c r="O71" i="3"/>
  <c r="L75"/>
  <c r="P75" s="1"/>
  <c r="N83"/>
  <c r="H83" i="10" s="1"/>
  <c r="I83" s="1"/>
  <c r="L71" i="3"/>
  <c r="P71" s="1"/>
  <c r="F75" i="10"/>
  <c r="K87" i="3"/>
  <c r="D87" i="10" s="1"/>
  <c r="E87" s="1"/>
  <c r="K87" s="1"/>
  <c r="AK264" i="2"/>
  <c r="AL294"/>
  <c r="AL277"/>
  <c r="J57" i="10"/>
  <c r="AL265" i="2"/>
  <c r="O87" i="3"/>
  <c r="J87" i="10" s="1"/>
  <c r="N91" i="3"/>
  <c r="O91" s="1"/>
  <c r="J60" i="10"/>
  <c r="H86"/>
  <c r="I86" s="1"/>
  <c r="K74"/>
  <c r="F76"/>
  <c r="F69"/>
  <c r="J53"/>
  <c r="K53"/>
  <c r="J52"/>
  <c r="K52"/>
  <c r="H72"/>
  <c r="I72" s="1"/>
  <c r="N84" i="3"/>
  <c r="H68" i="10"/>
  <c r="I68" s="1"/>
  <c r="N80" i="3"/>
  <c r="O68"/>
  <c r="K64" i="10"/>
  <c r="K57"/>
  <c r="K65"/>
  <c r="F85"/>
  <c r="F77"/>
  <c r="S71" i="3"/>
  <c r="R71" s="1"/>
  <c r="P67"/>
  <c r="O67" s="1"/>
  <c r="L85"/>
  <c r="P85" s="1"/>
  <c r="N89"/>
  <c r="H89" i="10" s="1"/>
  <c r="I89" s="1"/>
  <c r="L77" i="3"/>
  <c r="P77" s="1"/>
  <c r="O77" s="1"/>
  <c r="J77" i="10" s="1"/>
  <c r="L76" i="3"/>
  <c r="P76" s="1"/>
  <c r="AL297" i="2"/>
  <c r="AL299"/>
  <c r="AL281"/>
  <c r="AO258"/>
  <c r="AO260"/>
  <c r="AR260"/>
  <c r="AO264"/>
  <c r="AR264"/>
  <c r="AL298"/>
  <c r="AL291"/>
  <c r="AO261"/>
  <c r="AR261"/>
  <c r="AO262"/>
  <c r="AR262"/>
  <c r="AJ258"/>
  <c r="AO259"/>
  <c r="AR259"/>
  <c r="AJ261"/>
  <c r="AO263"/>
  <c r="AR263"/>
  <c r="AJ264"/>
  <c r="B313" i="3"/>
  <c r="B325" s="1"/>
  <c r="BD301"/>
  <c r="Q301"/>
  <c r="B315"/>
  <c r="Q303"/>
  <c r="B300"/>
  <c r="Q288"/>
  <c r="BD288"/>
  <c r="B297"/>
  <c r="Q285"/>
  <c r="BD285"/>
  <c r="B299"/>
  <c r="BD287"/>
  <c r="Q287"/>
  <c r="AR258" i="2"/>
  <c r="AJ259"/>
  <c r="AJ260"/>
  <c r="AJ263"/>
  <c r="B298" i="3"/>
  <c r="Q286"/>
  <c r="BD286"/>
  <c r="B314"/>
  <c r="B326" s="1"/>
  <c r="BD302"/>
  <c r="Q302"/>
  <c r="AL279" i="2"/>
  <c r="AL300"/>
  <c r="AL304"/>
  <c r="AL292"/>
  <c r="AL288"/>
  <c r="AL285"/>
  <c r="AL280"/>
  <c r="AL283"/>
  <c r="AL286"/>
  <c r="AL305"/>
  <c r="BE56" i="3"/>
  <c r="BG56" s="1"/>
  <c r="AL289" i="2"/>
  <c r="AL276"/>
  <c r="R53" i="3"/>
  <c r="BB80"/>
  <c r="BA92"/>
  <c r="AX98"/>
  <c r="AY86"/>
  <c r="BC86" s="1"/>
  <c r="AX96"/>
  <c r="AY84"/>
  <c r="BC84" s="1"/>
  <c r="BE84" s="1"/>
  <c r="BG84" s="1"/>
  <c r="BA131"/>
  <c r="BB131" s="1"/>
  <c r="BB119"/>
  <c r="AX91"/>
  <c r="AY79"/>
  <c r="BC79" s="1"/>
  <c r="BA111"/>
  <c r="BB99"/>
  <c r="BA101"/>
  <c r="BB101" s="1"/>
  <c r="BB89"/>
  <c r="BE55"/>
  <c r="BE76"/>
  <c r="BB97"/>
  <c r="BA109"/>
  <c r="BC67"/>
  <c r="BD67"/>
  <c r="L69"/>
  <c r="P69" s="1"/>
  <c r="O69" s="1"/>
  <c r="J69" i="10" s="1"/>
  <c r="K81" i="3"/>
  <c r="D81" i="10" s="1"/>
  <c r="E81" s="1"/>
  <c r="P65" i="3"/>
  <c r="N111"/>
  <c r="H111" i="10" s="1"/>
  <c r="I111" s="1"/>
  <c r="N88" i="3"/>
  <c r="H88" i="10" s="1"/>
  <c r="I88" s="1"/>
  <c r="O76" i="3"/>
  <c r="J76" i="10" s="1"/>
  <c r="P64" i="3"/>
  <c r="Q64"/>
  <c r="E261" i="2"/>
  <c r="AK262"/>
  <c r="E264"/>
  <c r="E258"/>
  <c r="E259"/>
  <c r="E260"/>
  <c r="AK261"/>
  <c r="AJ262"/>
  <c r="AK263"/>
  <c r="AK258"/>
  <c r="AK259"/>
  <c r="AK260"/>
  <c r="E263"/>
  <c r="AQ257"/>
  <c r="AP257"/>
  <c r="AN257"/>
  <c r="AM257"/>
  <c r="AC257"/>
  <c r="AD257" s="1"/>
  <c r="AQ256"/>
  <c r="AP256"/>
  <c r="AN256"/>
  <c r="AM256"/>
  <c r="AJ256" s="1"/>
  <c r="AC256"/>
  <c r="AD256" s="1"/>
  <c r="AQ255"/>
  <c r="AP255"/>
  <c r="AN255"/>
  <c r="AM255"/>
  <c r="AC255"/>
  <c r="AQ254"/>
  <c r="AP254"/>
  <c r="AN254"/>
  <c r="AM254"/>
  <c r="AC254"/>
  <c r="AD254" s="1"/>
  <c r="AQ253"/>
  <c r="AP253"/>
  <c r="AN253"/>
  <c r="AM253"/>
  <c r="AC253"/>
  <c r="AQ252"/>
  <c r="AP252"/>
  <c r="AN252"/>
  <c r="AM252"/>
  <c r="AC252"/>
  <c r="AQ251"/>
  <c r="AP251"/>
  <c r="AN251"/>
  <c r="AM251"/>
  <c r="AC251"/>
  <c r="AQ250"/>
  <c r="AP250"/>
  <c r="AN250"/>
  <c r="AM250"/>
  <c r="AC250"/>
  <c r="AQ249"/>
  <c r="AP249"/>
  <c r="AN249"/>
  <c r="AM249"/>
  <c r="AC249"/>
  <c r="AQ248"/>
  <c r="AP248"/>
  <c r="AN248"/>
  <c r="AM248"/>
  <c r="AC248"/>
  <c r="AQ247"/>
  <c r="AP247"/>
  <c r="AN247"/>
  <c r="AM247"/>
  <c r="AC247"/>
  <c r="E247"/>
  <c r="AQ246"/>
  <c r="AP246"/>
  <c r="AN246"/>
  <c r="AM246"/>
  <c r="AC246"/>
  <c r="AQ245"/>
  <c r="AP245"/>
  <c r="AN245"/>
  <c r="AM245"/>
  <c r="AJ245" s="1"/>
  <c r="AC245"/>
  <c r="AQ244"/>
  <c r="AP244"/>
  <c r="AN244"/>
  <c r="AM244"/>
  <c r="AC244"/>
  <c r="AJ244"/>
  <c r="AQ243"/>
  <c r="AP243"/>
  <c r="AN243"/>
  <c r="AM243"/>
  <c r="AC243"/>
  <c r="AQ242"/>
  <c r="AP242"/>
  <c r="AN242"/>
  <c r="AM242"/>
  <c r="AJ242" s="1"/>
  <c r="AC242"/>
  <c r="AQ241"/>
  <c r="AP241"/>
  <c r="AN241"/>
  <c r="AM241"/>
  <c r="AC241"/>
  <c r="AQ240"/>
  <c r="AP240"/>
  <c r="AN240"/>
  <c r="AM240"/>
  <c r="AC240"/>
  <c r="AQ239"/>
  <c r="AP239"/>
  <c r="AN239"/>
  <c r="AM239"/>
  <c r="AC239"/>
  <c r="AQ238"/>
  <c r="AP238"/>
  <c r="AN238"/>
  <c r="AM238"/>
  <c r="AC238"/>
  <c r="AJ238"/>
  <c r="AQ237"/>
  <c r="AP237"/>
  <c r="AN237"/>
  <c r="AM237"/>
  <c r="AC237"/>
  <c r="AJ237"/>
  <c r="AQ236"/>
  <c r="AP236"/>
  <c r="AN236"/>
  <c r="AK236" s="1"/>
  <c r="AM236"/>
  <c r="AC236"/>
  <c r="E236"/>
  <c r="AQ235"/>
  <c r="AP235"/>
  <c r="AN235"/>
  <c r="AM235"/>
  <c r="AC235"/>
  <c r="AQ234"/>
  <c r="AP234"/>
  <c r="AN234"/>
  <c r="AM234"/>
  <c r="AC234"/>
  <c r="AD234" s="1"/>
  <c r="N95" i="3" l="1"/>
  <c r="H95" i="10" s="1"/>
  <c r="I95" s="1"/>
  <c r="N90" i="3"/>
  <c r="H90" i="10" s="1"/>
  <c r="I90" s="1"/>
  <c r="N93" i="3"/>
  <c r="H93" i="10" s="1"/>
  <c r="I93" s="1"/>
  <c r="F87"/>
  <c r="O98" i="3"/>
  <c r="N110"/>
  <c r="N122" s="1"/>
  <c r="N134" s="1"/>
  <c r="H134" i="10" s="1"/>
  <c r="I134" s="1"/>
  <c r="O86" i="3"/>
  <c r="O99"/>
  <c r="J99" i="10" s="1"/>
  <c r="Q77" i="3"/>
  <c r="L87"/>
  <c r="P87" s="1"/>
  <c r="N103"/>
  <c r="H103" i="10" s="1"/>
  <c r="I103" s="1"/>
  <c r="AL264" i="2"/>
  <c r="H91" i="10"/>
  <c r="I91" s="1"/>
  <c r="J91" s="1"/>
  <c r="J98"/>
  <c r="AL259" i="2"/>
  <c r="J86" i="10"/>
  <c r="AL263" i="2"/>
  <c r="AL260"/>
  <c r="O89" i="3"/>
  <c r="S89" s="1"/>
  <c r="O110"/>
  <c r="J67" i="10"/>
  <c r="K67"/>
  <c r="S68" i="3"/>
  <c r="J68" i="10"/>
  <c r="K77"/>
  <c r="K76"/>
  <c r="J89"/>
  <c r="F81"/>
  <c r="J71"/>
  <c r="K71"/>
  <c r="H80"/>
  <c r="I80" s="1"/>
  <c r="O80" i="3"/>
  <c r="N92"/>
  <c r="H84" i="10"/>
  <c r="I84" s="1"/>
  <c r="O84" i="3"/>
  <c r="K69" i="10"/>
  <c r="O93" i="3"/>
  <c r="J93" i="10" s="1"/>
  <c r="N107" i="3"/>
  <c r="H107" i="10" s="1"/>
  <c r="I107" s="1"/>
  <c r="N102" i="3"/>
  <c r="H102" i="10" s="1"/>
  <c r="I102" s="1"/>
  <c r="O90" i="3"/>
  <c r="J90" i="10" s="1"/>
  <c r="N101" i="3"/>
  <c r="H101" i="10" s="1"/>
  <c r="I101" s="1"/>
  <c r="Q326" i="3"/>
  <c r="B338"/>
  <c r="BD326"/>
  <c r="Q315"/>
  <c r="B327"/>
  <c r="B337"/>
  <c r="Q325"/>
  <c r="BD325"/>
  <c r="AL261" i="2"/>
  <c r="AO234"/>
  <c r="AR234"/>
  <c r="AO236"/>
  <c r="AR236"/>
  <c r="AO237"/>
  <c r="AR237"/>
  <c r="AO238"/>
  <c r="AR238"/>
  <c r="AO240"/>
  <c r="AR240"/>
  <c r="AO243"/>
  <c r="AR243"/>
  <c r="AO244"/>
  <c r="AR244"/>
  <c r="AO248"/>
  <c r="AR248"/>
  <c r="AL258"/>
  <c r="AO250"/>
  <c r="AO245"/>
  <c r="AR250"/>
  <c r="AO257"/>
  <c r="AR245"/>
  <c r="AO252"/>
  <c r="AR252"/>
  <c r="AO254"/>
  <c r="AR254"/>
  <c r="AR257"/>
  <c r="AO235"/>
  <c r="AR235"/>
  <c r="AO239"/>
  <c r="AR239"/>
  <c r="AO241"/>
  <c r="AR241"/>
  <c r="AO242"/>
  <c r="AR242"/>
  <c r="AO246"/>
  <c r="AR246"/>
  <c r="AO247"/>
  <c r="AR247"/>
  <c r="AO249"/>
  <c r="AR249"/>
  <c r="AO251"/>
  <c r="AR251"/>
  <c r="AO253"/>
  <c r="AR253"/>
  <c r="AO255"/>
  <c r="AR255"/>
  <c r="AO256"/>
  <c r="AR256"/>
  <c r="BD298" i="3"/>
  <c r="B310"/>
  <c r="Q298"/>
  <c r="B309"/>
  <c r="Q297"/>
  <c r="BD297"/>
  <c r="BD313"/>
  <c r="Q313"/>
  <c r="AJ240" i="2"/>
  <c r="AJ243"/>
  <c r="AJ248"/>
  <c r="AJ249"/>
  <c r="AJ250"/>
  <c r="AJ251"/>
  <c r="AJ252"/>
  <c r="AJ253"/>
  <c r="BD314" i="3"/>
  <c r="Q314"/>
  <c r="BD299"/>
  <c r="B311"/>
  <c r="Q299"/>
  <c r="B312"/>
  <c r="B324" s="1"/>
  <c r="BD300"/>
  <c r="Q300"/>
  <c r="R64"/>
  <c r="AL262" i="2"/>
  <c r="BA123" i="3"/>
  <c r="BB111"/>
  <c r="AX103"/>
  <c r="AY91"/>
  <c r="BC91" s="1"/>
  <c r="AY96"/>
  <c r="BC96" s="1"/>
  <c r="AX108"/>
  <c r="AX110"/>
  <c r="AY98"/>
  <c r="BC98" s="1"/>
  <c r="BE67"/>
  <c r="BA121"/>
  <c r="BB109"/>
  <c r="BF109" s="1"/>
  <c r="BB92"/>
  <c r="BF92" s="1"/>
  <c r="BA104"/>
  <c r="N100"/>
  <c r="H100" i="10" s="1"/>
  <c r="I100" s="1"/>
  <c r="O88" i="3"/>
  <c r="J88" i="10" s="1"/>
  <c r="N123" i="3"/>
  <c r="H123" i="10" s="1"/>
  <c r="I123" s="1"/>
  <c r="O111" i="3"/>
  <c r="L81"/>
  <c r="P81" s="1"/>
  <c r="O81" s="1"/>
  <c r="J81" i="10" s="1"/>
  <c r="K93" i="3"/>
  <c r="D93" i="10" s="1"/>
  <c r="E93" s="1"/>
  <c r="R65" i="3"/>
  <c r="AK234" i="2"/>
  <c r="E235"/>
  <c r="E239"/>
  <c r="E241"/>
  <c r="AJ241"/>
  <c r="E243"/>
  <c r="E246"/>
  <c r="AJ246"/>
  <c r="AK247"/>
  <c r="AJ254"/>
  <c r="E255"/>
  <c r="AJ257"/>
  <c r="AJ235"/>
  <c r="AK238"/>
  <c r="AL238" s="1"/>
  <c r="AJ239"/>
  <c r="AD253"/>
  <c r="AK255"/>
  <c r="E234"/>
  <c r="AJ236"/>
  <c r="AL236" s="1"/>
  <c r="E238"/>
  <c r="AJ234"/>
  <c r="AL234" s="1"/>
  <c r="AK235"/>
  <c r="E237"/>
  <c r="AK239"/>
  <c r="AK240"/>
  <c r="AK241"/>
  <c r="E242"/>
  <c r="AK243"/>
  <c r="E244"/>
  <c r="E245"/>
  <c r="AK246"/>
  <c r="AJ247"/>
  <c r="E248"/>
  <c r="E249"/>
  <c r="AK250"/>
  <c r="AK251"/>
  <c r="AK252"/>
  <c r="E253"/>
  <c r="E254"/>
  <c r="AK254"/>
  <c r="AJ255"/>
  <c r="E256"/>
  <c r="AK256"/>
  <c r="AL256" s="1"/>
  <c r="E257"/>
  <c r="AK257"/>
  <c r="AK237"/>
  <c r="AL237" s="1"/>
  <c r="E240"/>
  <c r="AK242"/>
  <c r="AL242" s="1"/>
  <c r="AK244"/>
  <c r="AL244" s="1"/>
  <c r="AK245"/>
  <c r="AL245" s="1"/>
  <c r="AK248"/>
  <c r="AK249"/>
  <c r="E250"/>
  <c r="E251"/>
  <c r="E252"/>
  <c r="AK253"/>
  <c r="AQ233"/>
  <c r="AP233"/>
  <c r="AN233"/>
  <c r="AM233"/>
  <c r="AC233"/>
  <c r="BO232"/>
  <c r="BO244" s="1"/>
  <c r="BO256" s="1"/>
  <c r="BO268" s="1"/>
  <c r="BO280" s="1"/>
  <c r="BO292" s="1"/>
  <c r="BO304" s="1"/>
  <c r="BO316" s="1"/>
  <c r="BO328" s="1"/>
  <c r="BO340" s="1"/>
  <c r="BO352" s="1"/>
  <c r="BO364" s="1"/>
  <c r="BN232"/>
  <c r="BN244" s="1"/>
  <c r="BN256" s="1"/>
  <c r="BN268" s="1"/>
  <c r="BN280" s="1"/>
  <c r="BN292" s="1"/>
  <c r="BN304" s="1"/>
  <c r="BN316" s="1"/>
  <c r="BN328" s="1"/>
  <c r="BN340" s="1"/>
  <c r="BN352" s="1"/>
  <c r="BN364" s="1"/>
  <c r="AY232"/>
  <c r="AY244" s="1"/>
  <c r="AY256" s="1"/>
  <c r="AY268" s="1"/>
  <c r="AY280" s="1"/>
  <c r="AY292" s="1"/>
  <c r="AY304" s="1"/>
  <c r="AY316" s="1"/>
  <c r="AY328" s="1"/>
  <c r="AY340" s="1"/>
  <c r="AY352" s="1"/>
  <c r="AY364" s="1"/>
  <c r="AX232"/>
  <c r="AX244" s="1"/>
  <c r="AX256" s="1"/>
  <c r="AX268" s="1"/>
  <c r="AX280" s="1"/>
  <c r="AX292" s="1"/>
  <c r="AX304" s="1"/>
  <c r="AX316" s="1"/>
  <c r="AX328" s="1"/>
  <c r="AX340" s="1"/>
  <c r="AX352" s="1"/>
  <c r="AX364" s="1"/>
  <c r="AQ232"/>
  <c r="AP232"/>
  <c r="AN232"/>
  <c r="AM232"/>
  <c r="AC232"/>
  <c r="AD232" s="1"/>
  <c r="V232"/>
  <c r="V244" s="1"/>
  <c r="V256" s="1"/>
  <c r="V268" s="1"/>
  <c r="V280" s="1"/>
  <c r="V292" s="1"/>
  <c r="V304" s="1"/>
  <c r="V316" s="1"/>
  <c r="V328" s="1"/>
  <c r="V340" s="1"/>
  <c r="V352" s="1"/>
  <c r="V364" s="1"/>
  <c r="U232"/>
  <c r="U244" s="1"/>
  <c r="U256" s="1"/>
  <c r="U268" s="1"/>
  <c r="U280" s="1"/>
  <c r="U292" s="1"/>
  <c r="U304" s="1"/>
  <c r="U316" s="1"/>
  <c r="U328" s="1"/>
  <c r="U340" s="1"/>
  <c r="U352" s="1"/>
  <c r="U364" s="1"/>
  <c r="B232"/>
  <c r="B244" s="1"/>
  <c r="B256" s="1"/>
  <c r="B268" s="1"/>
  <c r="B280" s="1"/>
  <c r="B292" s="1"/>
  <c r="B304" s="1"/>
  <c r="B316" s="1"/>
  <c r="B328" s="1"/>
  <c r="B340" s="1"/>
  <c r="B352" s="1"/>
  <c r="B364" s="1"/>
  <c r="B376" s="1"/>
  <c r="A232"/>
  <c r="A244" s="1"/>
  <c r="A256" s="1"/>
  <c r="A268" s="1"/>
  <c r="A280" s="1"/>
  <c r="A292" s="1"/>
  <c r="A304" s="1"/>
  <c r="A316" s="1"/>
  <c r="A328" s="1"/>
  <c r="A340" s="1"/>
  <c r="A352" s="1"/>
  <c r="A364" s="1"/>
  <c r="A376" s="1"/>
  <c r="BO231"/>
  <c r="BO243" s="1"/>
  <c r="BO255" s="1"/>
  <c r="BO267" s="1"/>
  <c r="BO279" s="1"/>
  <c r="BO291" s="1"/>
  <c r="BO303" s="1"/>
  <c r="BO315" s="1"/>
  <c r="BO327" s="1"/>
  <c r="BO339" s="1"/>
  <c r="BO351" s="1"/>
  <c r="BO363" s="1"/>
  <c r="BN231"/>
  <c r="BN243" s="1"/>
  <c r="BN255" s="1"/>
  <c r="BN267" s="1"/>
  <c r="BN279" s="1"/>
  <c r="BN291" s="1"/>
  <c r="BN303" s="1"/>
  <c r="BN315" s="1"/>
  <c r="BN327" s="1"/>
  <c r="BN339" s="1"/>
  <c r="BN351" s="1"/>
  <c r="BN363" s="1"/>
  <c r="AY231"/>
  <c r="AY243" s="1"/>
  <c r="AY255" s="1"/>
  <c r="AY267" s="1"/>
  <c r="AY279" s="1"/>
  <c r="AY291" s="1"/>
  <c r="AY303" s="1"/>
  <c r="AY315" s="1"/>
  <c r="AY327" s="1"/>
  <c r="AY339" s="1"/>
  <c r="AY351" s="1"/>
  <c r="AY363" s="1"/>
  <c r="AX231"/>
  <c r="AX243" s="1"/>
  <c r="AX255" s="1"/>
  <c r="AX267" s="1"/>
  <c r="AX279" s="1"/>
  <c r="AX291" s="1"/>
  <c r="AX303" s="1"/>
  <c r="AX315" s="1"/>
  <c r="AQ231"/>
  <c r="AP231"/>
  <c r="AN231"/>
  <c r="AM231"/>
  <c r="AC231"/>
  <c r="V231"/>
  <c r="V243" s="1"/>
  <c r="V255" s="1"/>
  <c r="V267" s="1"/>
  <c r="V279" s="1"/>
  <c r="V291" s="1"/>
  <c r="V303" s="1"/>
  <c r="V315" s="1"/>
  <c r="V327" s="1"/>
  <c r="V339" s="1"/>
  <c r="V351" s="1"/>
  <c r="V363" s="1"/>
  <c r="U231"/>
  <c r="U243" s="1"/>
  <c r="U255" s="1"/>
  <c r="U267" s="1"/>
  <c r="U279" s="1"/>
  <c r="U291" s="1"/>
  <c r="U303" s="1"/>
  <c r="U315" s="1"/>
  <c r="U327" s="1"/>
  <c r="U339" s="1"/>
  <c r="U351" s="1"/>
  <c r="U363" s="1"/>
  <c r="B231"/>
  <c r="B243" s="1"/>
  <c r="B255" s="1"/>
  <c r="B267" s="1"/>
  <c r="B279" s="1"/>
  <c r="B291" s="1"/>
  <c r="B303" s="1"/>
  <c r="B315" s="1"/>
  <c r="B327" s="1"/>
  <c r="B339" s="1"/>
  <c r="B351" s="1"/>
  <c r="B363" s="1"/>
  <c r="B375" s="1"/>
  <c r="A231"/>
  <c r="A243" s="1"/>
  <c r="A255" s="1"/>
  <c r="A267" s="1"/>
  <c r="A279" s="1"/>
  <c r="A291" s="1"/>
  <c r="A303" s="1"/>
  <c r="A315" s="1"/>
  <c r="A327" s="1"/>
  <c r="A339" s="1"/>
  <c r="A351" s="1"/>
  <c r="A363" s="1"/>
  <c r="A375" s="1"/>
  <c r="BO230"/>
  <c r="BO242" s="1"/>
  <c r="BO254" s="1"/>
  <c r="BO266" s="1"/>
  <c r="BO278" s="1"/>
  <c r="BO290" s="1"/>
  <c r="BO302" s="1"/>
  <c r="BO314" s="1"/>
  <c r="BO326" s="1"/>
  <c r="BO338" s="1"/>
  <c r="BO350" s="1"/>
  <c r="BO362" s="1"/>
  <c r="BN230"/>
  <c r="BN242" s="1"/>
  <c r="BN254" s="1"/>
  <c r="BN266" s="1"/>
  <c r="BN278" s="1"/>
  <c r="BN290" s="1"/>
  <c r="BN302" s="1"/>
  <c r="BN314" s="1"/>
  <c r="BN326" s="1"/>
  <c r="BN338" s="1"/>
  <c r="BN350" s="1"/>
  <c r="BN362" s="1"/>
  <c r="AY230"/>
  <c r="AY242" s="1"/>
  <c r="AY254" s="1"/>
  <c r="AY266" s="1"/>
  <c r="AY278" s="1"/>
  <c r="AY290" s="1"/>
  <c r="AY302" s="1"/>
  <c r="AY314" s="1"/>
  <c r="AY326" s="1"/>
  <c r="AY338" s="1"/>
  <c r="AY350" s="1"/>
  <c r="AY362" s="1"/>
  <c r="AX230"/>
  <c r="AX242" s="1"/>
  <c r="AX254" s="1"/>
  <c r="AX266" s="1"/>
  <c r="AX278" s="1"/>
  <c r="AX290" s="1"/>
  <c r="AX302" s="1"/>
  <c r="AX314" s="1"/>
  <c r="AX326" s="1"/>
  <c r="AX338" s="1"/>
  <c r="AX350" s="1"/>
  <c r="AX362" s="1"/>
  <c r="AQ230"/>
  <c r="AP230"/>
  <c r="AN230"/>
  <c r="AM230"/>
  <c r="AC230"/>
  <c r="AD230" s="1"/>
  <c r="V230"/>
  <c r="V242" s="1"/>
  <c r="V254" s="1"/>
  <c r="V266" s="1"/>
  <c r="V278" s="1"/>
  <c r="V290" s="1"/>
  <c r="V302" s="1"/>
  <c r="V314" s="1"/>
  <c r="V326" s="1"/>
  <c r="V338" s="1"/>
  <c r="V350" s="1"/>
  <c r="V362" s="1"/>
  <c r="U230"/>
  <c r="U242" s="1"/>
  <c r="U254" s="1"/>
  <c r="U266" s="1"/>
  <c r="U278" s="1"/>
  <c r="U290" s="1"/>
  <c r="U302" s="1"/>
  <c r="U314" s="1"/>
  <c r="U326" s="1"/>
  <c r="U338" s="1"/>
  <c r="U350" s="1"/>
  <c r="U362" s="1"/>
  <c r="B230"/>
  <c r="B242" s="1"/>
  <c r="B254" s="1"/>
  <c r="B266" s="1"/>
  <c r="B278" s="1"/>
  <c r="B290" s="1"/>
  <c r="B302" s="1"/>
  <c r="B314" s="1"/>
  <c r="B326" s="1"/>
  <c r="B338" s="1"/>
  <c r="B350" s="1"/>
  <c r="B362" s="1"/>
  <c r="B374" s="1"/>
  <c r="A230"/>
  <c r="A242" s="1"/>
  <c r="A254" s="1"/>
  <c r="A266" s="1"/>
  <c r="A278" s="1"/>
  <c r="A290" s="1"/>
  <c r="A302" s="1"/>
  <c r="A314" s="1"/>
  <c r="A326" s="1"/>
  <c r="A338" s="1"/>
  <c r="A350" s="1"/>
  <c r="A362" s="1"/>
  <c r="A374" s="1"/>
  <c r="BO229"/>
  <c r="BO241" s="1"/>
  <c r="BO253" s="1"/>
  <c r="BO265" s="1"/>
  <c r="BO277" s="1"/>
  <c r="BO289" s="1"/>
  <c r="BO301" s="1"/>
  <c r="BO313" s="1"/>
  <c r="BO325" s="1"/>
  <c r="BO337" s="1"/>
  <c r="BO349" s="1"/>
  <c r="BO361" s="1"/>
  <c r="BN229"/>
  <c r="BN241" s="1"/>
  <c r="BN253" s="1"/>
  <c r="BN265" s="1"/>
  <c r="BN277" s="1"/>
  <c r="BN289" s="1"/>
  <c r="BN301" s="1"/>
  <c r="BN313" s="1"/>
  <c r="BN325" s="1"/>
  <c r="BN337" s="1"/>
  <c r="BN349" s="1"/>
  <c r="BN361" s="1"/>
  <c r="AY229"/>
  <c r="AY241" s="1"/>
  <c r="AY253" s="1"/>
  <c r="AY265" s="1"/>
  <c r="AY277" s="1"/>
  <c r="AY289" s="1"/>
  <c r="AY301" s="1"/>
  <c r="AY313" s="1"/>
  <c r="AY325" s="1"/>
  <c r="AY337" s="1"/>
  <c r="AY349" s="1"/>
  <c r="AY361" s="1"/>
  <c r="AX229"/>
  <c r="AX241" s="1"/>
  <c r="AX253" s="1"/>
  <c r="AX265" s="1"/>
  <c r="AX277" s="1"/>
  <c r="AX289" s="1"/>
  <c r="AX301" s="1"/>
  <c r="AX313" s="1"/>
  <c r="AX325" s="1"/>
  <c r="AX337" s="1"/>
  <c r="AX349" s="1"/>
  <c r="AX361" s="1"/>
  <c r="AQ229"/>
  <c r="AP229"/>
  <c r="AN229"/>
  <c r="AM229"/>
  <c r="AC229"/>
  <c r="V229"/>
  <c r="V241" s="1"/>
  <c r="V253" s="1"/>
  <c r="V265" s="1"/>
  <c r="V277" s="1"/>
  <c r="V289" s="1"/>
  <c r="V301" s="1"/>
  <c r="V313" s="1"/>
  <c r="V325" s="1"/>
  <c r="V337" s="1"/>
  <c r="V349" s="1"/>
  <c r="V361" s="1"/>
  <c r="U229"/>
  <c r="U241" s="1"/>
  <c r="U253" s="1"/>
  <c r="U265" s="1"/>
  <c r="U277" s="1"/>
  <c r="U289" s="1"/>
  <c r="U301" s="1"/>
  <c r="U313" s="1"/>
  <c r="U325" s="1"/>
  <c r="U337" s="1"/>
  <c r="U349" s="1"/>
  <c r="U361" s="1"/>
  <c r="E229"/>
  <c r="B229"/>
  <c r="B241" s="1"/>
  <c r="B253" s="1"/>
  <c r="B265" s="1"/>
  <c r="B277" s="1"/>
  <c r="B289" s="1"/>
  <c r="B301" s="1"/>
  <c r="B313" s="1"/>
  <c r="B325" s="1"/>
  <c r="B337" s="1"/>
  <c r="B349" s="1"/>
  <c r="B361" s="1"/>
  <c r="B373" s="1"/>
  <c r="A229"/>
  <c r="A241" s="1"/>
  <c r="A253" s="1"/>
  <c r="A265" s="1"/>
  <c r="A277" s="1"/>
  <c r="A289" s="1"/>
  <c r="A301" s="1"/>
  <c r="A313" s="1"/>
  <c r="A325" s="1"/>
  <c r="A337" s="1"/>
  <c r="A349" s="1"/>
  <c r="A361" s="1"/>
  <c r="A373" s="1"/>
  <c r="BO228"/>
  <c r="BO240" s="1"/>
  <c r="BO252" s="1"/>
  <c r="BO264" s="1"/>
  <c r="BO276" s="1"/>
  <c r="BO288" s="1"/>
  <c r="BO300" s="1"/>
  <c r="BO312" s="1"/>
  <c r="BO324" s="1"/>
  <c r="BO336" s="1"/>
  <c r="BO348" s="1"/>
  <c r="BO360" s="1"/>
  <c r="BN228"/>
  <c r="BN240" s="1"/>
  <c r="BN252" s="1"/>
  <c r="BN264" s="1"/>
  <c r="BN276" s="1"/>
  <c r="BN288" s="1"/>
  <c r="BN300" s="1"/>
  <c r="BN312" s="1"/>
  <c r="BN324" s="1"/>
  <c r="BN336" s="1"/>
  <c r="BN348" s="1"/>
  <c r="BN360" s="1"/>
  <c r="AY228"/>
  <c r="AY240" s="1"/>
  <c r="AY252" s="1"/>
  <c r="AY264" s="1"/>
  <c r="AY276" s="1"/>
  <c r="AY288" s="1"/>
  <c r="AY300" s="1"/>
  <c r="AY312" s="1"/>
  <c r="AY324" s="1"/>
  <c r="AY336" s="1"/>
  <c r="AY348" s="1"/>
  <c r="AY360" s="1"/>
  <c r="AX228"/>
  <c r="AX240" s="1"/>
  <c r="AX252" s="1"/>
  <c r="AX264" s="1"/>
  <c r="AX276" s="1"/>
  <c r="AX288" s="1"/>
  <c r="AX300" s="1"/>
  <c r="AX312" s="1"/>
  <c r="AQ228"/>
  <c r="AP228"/>
  <c r="AN228"/>
  <c r="AM228"/>
  <c r="AC228"/>
  <c r="V228"/>
  <c r="V240" s="1"/>
  <c r="V252" s="1"/>
  <c r="V264" s="1"/>
  <c r="V276" s="1"/>
  <c r="V288" s="1"/>
  <c r="V300" s="1"/>
  <c r="V312" s="1"/>
  <c r="V324" s="1"/>
  <c r="V336" s="1"/>
  <c r="V348" s="1"/>
  <c r="V360" s="1"/>
  <c r="U228"/>
  <c r="U240" s="1"/>
  <c r="U252" s="1"/>
  <c r="U264" s="1"/>
  <c r="U276" s="1"/>
  <c r="U288" s="1"/>
  <c r="U300" s="1"/>
  <c r="U312" s="1"/>
  <c r="U324" s="1"/>
  <c r="U336" s="1"/>
  <c r="U348" s="1"/>
  <c r="U360" s="1"/>
  <c r="E228"/>
  <c r="B228"/>
  <c r="B240" s="1"/>
  <c r="B252" s="1"/>
  <c r="B264" s="1"/>
  <c r="B276" s="1"/>
  <c r="B288" s="1"/>
  <c r="B300" s="1"/>
  <c r="B312" s="1"/>
  <c r="B324" s="1"/>
  <c r="B336" s="1"/>
  <c r="B348" s="1"/>
  <c r="B360" s="1"/>
  <c r="B372" s="1"/>
  <c r="A228"/>
  <c r="A240" s="1"/>
  <c r="A252" s="1"/>
  <c r="A264" s="1"/>
  <c r="A276" s="1"/>
  <c r="A288" s="1"/>
  <c r="A300" s="1"/>
  <c r="A312" s="1"/>
  <c r="A324" s="1"/>
  <c r="A336" s="1"/>
  <c r="A348" s="1"/>
  <c r="A360" s="1"/>
  <c r="A372" s="1"/>
  <c r="BO227"/>
  <c r="BO239" s="1"/>
  <c r="BO251" s="1"/>
  <c r="BO263" s="1"/>
  <c r="BO275" s="1"/>
  <c r="BO287" s="1"/>
  <c r="BO299" s="1"/>
  <c r="BO311" s="1"/>
  <c r="BO323" s="1"/>
  <c r="BO335" s="1"/>
  <c r="BO347" s="1"/>
  <c r="BO359" s="1"/>
  <c r="BO371" s="1"/>
  <c r="BN227"/>
  <c r="BN239" s="1"/>
  <c r="BN251" s="1"/>
  <c r="BN263" s="1"/>
  <c r="BN275" s="1"/>
  <c r="BN287" s="1"/>
  <c r="BN299" s="1"/>
  <c r="BN311" s="1"/>
  <c r="BN323" s="1"/>
  <c r="BN335" s="1"/>
  <c r="BN347" s="1"/>
  <c r="BN359" s="1"/>
  <c r="BN371" s="1"/>
  <c r="AY227"/>
  <c r="AY239" s="1"/>
  <c r="AY251" s="1"/>
  <c r="AY263" s="1"/>
  <c r="AY275" s="1"/>
  <c r="AY287" s="1"/>
  <c r="AY299" s="1"/>
  <c r="AY311" s="1"/>
  <c r="AY323" s="1"/>
  <c r="AY335" s="1"/>
  <c r="AY347" s="1"/>
  <c r="AY359" s="1"/>
  <c r="AY371" s="1"/>
  <c r="AX227"/>
  <c r="AX239" s="1"/>
  <c r="AX251" s="1"/>
  <c r="AX263" s="1"/>
  <c r="AX275" s="1"/>
  <c r="AX287" s="1"/>
  <c r="AX299" s="1"/>
  <c r="AX311" s="1"/>
  <c r="AQ227"/>
  <c r="AP227"/>
  <c r="AN227"/>
  <c r="AM227"/>
  <c r="AC227"/>
  <c r="V227"/>
  <c r="V239" s="1"/>
  <c r="V251" s="1"/>
  <c r="V263" s="1"/>
  <c r="V275" s="1"/>
  <c r="V287" s="1"/>
  <c r="V299" s="1"/>
  <c r="V311" s="1"/>
  <c r="V323" s="1"/>
  <c r="V335" s="1"/>
  <c r="V347" s="1"/>
  <c r="V359" s="1"/>
  <c r="V371" s="1"/>
  <c r="U227"/>
  <c r="U239" s="1"/>
  <c r="U251" s="1"/>
  <c r="U263" s="1"/>
  <c r="U275" s="1"/>
  <c r="U287" s="1"/>
  <c r="U299" s="1"/>
  <c r="U311" s="1"/>
  <c r="U323" s="1"/>
  <c r="U335" s="1"/>
  <c r="U347" s="1"/>
  <c r="U359" s="1"/>
  <c r="U371" s="1"/>
  <c r="AJ227"/>
  <c r="B227"/>
  <c r="B239" s="1"/>
  <c r="B251" s="1"/>
  <c r="B263" s="1"/>
  <c r="B275" s="1"/>
  <c r="B287" s="1"/>
  <c r="B299" s="1"/>
  <c r="B311" s="1"/>
  <c r="B323" s="1"/>
  <c r="B335" s="1"/>
  <c r="B347" s="1"/>
  <c r="B359" s="1"/>
  <c r="B371" s="1"/>
  <c r="A227"/>
  <c r="A239" s="1"/>
  <c r="A251" s="1"/>
  <c r="A263" s="1"/>
  <c r="A275" s="1"/>
  <c r="A287" s="1"/>
  <c r="A299" s="1"/>
  <c r="A311" s="1"/>
  <c r="A323" s="1"/>
  <c r="A335" s="1"/>
  <c r="A347" s="1"/>
  <c r="A359" s="1"/>
  <c r="A371" s="1"/>
  <c r="BO226"/>
  <c r="BO238" s="1"/>
  <c r="BO250" s="1"/>
  <c r="BO262" s="1"/>
  <c r="BO274" s="1"/>
  <c r="BO286" s="1"/>
  <c r="BO298" s="1"/>
  <c r="BO310" s="1"/>
  <c r="BO322" s="1"/>
  <c r="BO334" s="1"/>
  <c r="BO346" s="1"/>
  <c r="BO358" s="1"/>
  <c r="BO370" s="1"/>
  <c r="BN226"/>
  <c r="BN238" s="1"/>
  <c r="BN250" s="1"/>
  <c r="BN262" s="1"/>
  <c r="BN274" s="1"/>
  <c r="BN286" s="1"/>
  <c r="BN298" s="1"/>
  <c r="BN310" s="1"/>
  <c r="BN322" s="1"/>
  <c r="BN334" s="1"/>
  <c r="BN346" s="1"/>
  <c r="BN358" s="1"/>
  <c r="BN370" s="1"/>
  <c r="AY226"/>
  <c r="AY238" s="1"/>
  <c r="AY250" s="1"/>
  <c r="AY262" s="1"/>
  <c r="AY274" s="1"/>
  <c r="AY286" s="1"/>
  <c r="AY298" s="1"/>
  <c r="AY310" s="1"/>
  <c r="AY322" s="1"/>
  <c r="AY334" s="1"/>
  <c r="AY346" s="1"/>
  <c r="AY358" s="1"/>
  <c r="AY370" s="1"/>
  <c r="AX226"/>
  <c r="AX238" s="1"/>
  <c r="AX250" s="1"/>
  <c r="AX262" s="1"/>
  <c r="AX274" s="1"/>
  <c r="AX286" s="1"/>
  <c r="AX298" s="1"/>
  <c r="AX310" s="1"/>
  <c r="AX322" s="1"/>
  <c r="AX334" s="1"/>
  <c r="AX346" s="1"/>
  <c r="AX358" s="1"/>
  <c r="AX370" s="1"/>
  <c r="AQ226"/>
  <c r="AP226"/>
  <c r="AJ226" s="1"/>
  <c r="AN226"/>
  <c r="AM226"/>
  <c r="AC226"/>
  <c r="V226"/>
  <c r="V238" s="1"/>
  <c r="V250" s="1"/>
  <c r="V262" s="1"/>
  <c r="V274" s="1"/>
  <c r="V286" s="1"/>
  <c r="V298" s="1"/>
  <c r="V310" s="1"/>
  <c r="V322" s="1"/>
  <c r="V334" s="1"/>
  <c r="V346" s="1"/>
  <c r="V358" s="1"/>
  <c r="V370" s="1"/>
  <c r="U226"/>
  <c r="U238" s="1"/>
  <c r="U250" s="1"/>
  <c r="U262" s="1"/>
  <c r="U274" s="1"/>
  <c r="U286" s="1"/>
  <c r="U298" s="1"/>
  <c r="U310" s="1"/>
  <c r="U322" s="1"/>
  <c r="U334" s="1"/>
  <c r="U346" s="1"/>
  <c r="U358" s="1"/>
  <c r="U370" s="1"/>
  <c r="B226"/>
  <c r="B238" s="1"/>
  <c r="B250" s="1"/>
  <c r="B262" s="1"/>
  <c r="B274" s="1"/>
  <c r="B286" s="1"/>
  <c r="B298" s="1"/>
  <c r="B310" s="1"/>
  <c r="B322" s="1"/>
  <c r="B334" s="1"/>
  <c r="B346" s="1"/>
  <c r="B358" s="1"/>
  <c r="B370" s="1"/>
  <c r="A226"/>
  <c r="A238" s="1"/>
  <c r="A250" s="1"/>
  <c r="A262" s="1"/>
  <c r="A274" s="1"/>
  <c r="A286" s="1"/>
  <c r="A298" s="1"/>
  <c r="A310" s="1"/>
  <c r="A322" s="1"/>
  <c r="A334" s="1"/>
  <c r="A346" s="1"/>
  <c r="A358" s="1"/>
  <c r="A370" s="1"/>
  <c r="BO225"/>
  <c r="BO237" s="1"/>
  <c r="BO249" s="1"/>
  <c r="BO261" s="1"/>
  <c r="BO273" s="1"/>
  <c r="BO285" s="1"/>
  <c r="BO297" s="1"/>
  <c r="BO309" s="1"/>
  <c r="BO321" s="1"/>
  <c r="BO333" s="1"/>
  <c r="BO345" s="1"/>
  <c r="BO357" s="1"/>
  <c r="BO369" s="1"/>
  <c r="BN225"/>
  <c r="BN237" s="1"/>
  <c r="BN249" s="1"/>
  <c r="BN261" s="1"/>
  <c r="BN273" s="1"/>
  <c r="BN285" s="1"/>
  <c r="BN297" s="1"/>
  <c r="BN309" s="1"/>
  <c r="BN321" s="1"/>
  <c r="BN333" s="1"/>
  <c r="BN345" s="1"/>
  <c r="BN357" s="1"/>
  <c r="BN369" s="1"/>
  <c r="AY225"/>
  <c r="AY237" s="1"/>
  <c r="AY249" s="1"/>
  <c r="AY261" s="1"/>
  <c r="AY273" s="1"/>
  <c r="AY285" s="1"/>
  <c r="AY297" s="1"/>
  <c r="AY309" s="1"/>
  <c r="AY321" s="1"/>
  <c r="AY333" s="1"/>
  <c r="AY345" s="1"/>
  <c r="AY357" s="1"/>
  <c r="AY369" s="1"/>
  <c r="AX225"/>
  <c r="AX237" s="1"/>
  <c r="AX249" s="1"/>
  <c r="AX261" s="1"/>
  <c r="AX273" s="1"/>
  <c r="AX285" s="1"/>
  <c r="AX297" s="1"/>
  <c r="AX309" s="1"/>
  <c r="AX321" s="1"/>
  <c r="AX333" s="1"/>
  <c r="AX345" s="1"/>
  <c r="AX357" s="1"/>
  <c r="AX369" s="1"/>
  <c r="AQ225"/>
  <c r="AP225"/>
  <c r="AN225"/>
  <c r="AM225"/>
  <c r="AC225"/>
  <c r="V225"/>
  <c r="V237" s="1"/>
  <c r="V249" s="1"/>
  <c r="V261" s="1"/>
  <c r="V273" s="1"/>
  <c r="V285" s="1"/>
  <c r="V297" s="1"/>
  <c r="V309" s="1"/>
  <c r="V321" s="1"/>
  <c r="V333" s="1"/>
  <c r="V345" s="1"/>
  <c r="V357" s="1"/>
  <c r="V369" s="1"/>
  <c r="U225"/>
  <c r="U237" s="1"/>
  <c r="U249" s="1"/>
  <c r="U261" s="1"/>
  <c r="U273" s="1"/>
  <c r="U285" s="1"/>
  <c r="U297" s="1"/>
  <c r="U309" s="1"/>
  <c r="U321" s="1"/>
  <c r="U333" s="1"/>
  <c r="U345" s="1"/>
  <c r="U357" s="1"/>
  <c r="U369" s="1"/>
  <c r="AJ225"/>
  <c r="B225"/>
  <c r="B237" s="1"/>
  <c r="B249" s="1"/>
  <c r="B261" s="1"/>
  <c r="B273" s="1"/>
  <c r="B285" s="1"/>
  <c r="B297" s="1"/>
  <c r="B309" s="1"/>
  <c r="B321" s="1"/>
  <c r="B333" s="1"/>
  <c r="B345" s="1"/>
  <c r="B357" s="1"/>
  <c r="B369" s="1"/>
  <c r="A225"/>
  <c r="A237" s="1"/>
  <c r="A249" s="1"/>
  <c r="A261" s="1"/>
  <c r="A273" s="1"/>
  <c r="A285" s="1"/>
  <c r="A297" s="1"/>
  <c r="A309" s="1"/>
  <c r="A321" s="1"/>
  <c r="A333" s="1"/>
  <c r="A345" s="1"/>
  <c r="A357" s="1"/>
  <c r="A369" s="1"/>
  <c r="BO224"/>
  <c r="BO236" s="1"/>
  <c r="BO248" s="1"/>
  <c r="BO260" s="1"/>
  <c r="BO272" s="1"/>
  <c r="BO284" s="1"/>
  <c r="BO296" s="1"/>
  <c r="BO308" s="1"/>
  <c r="BO320" s="1"/>
  <c r="BO332" s="1"/>
  <c r="BO344" s="1"/>
  <c r="BO356" s="1"/>
  <c r="BO368" s="1"/>
  <c r="BN224"/>
  <c r="BN236" s="1"/>
  <c r="BN248" s="1"/>
  <c r="BN260" s="1"/>
  <c r="BN272" s="1"/>
  <c r="BN284" s="1"/>
  <c r="BN296" s="1"/>
  <c r="BN308" s="1"/>
  <c r="BN320" s="1"/>
  <c r="BN332" s="1"/>
  <c r="BN344" s="1"/>
  <c r="BN356" s="1"/>
  <c r="BN368" s="1"/>
  <c r="AY224"/>
  <c r="AY236" s="1"/>
  <c r="AY248" s="1"/>
  <c r="AY260" s="1"/>
  <c r="AY272" s="1"/>
  <c r="AY284" s="1"/>
  <c r="AY296" s="1"/>
  <c r="AY308" s="1"/>
  <c r="AY320" s="1"/>
  <c r="AY332" s="1"/>
  <c r="AY344" s="1"/>
  <c r="AY356" s="1"/>
  <c r="AY368" s="1"/>
  <c r="AX224"/>
  <c r="AX236" s="1"/>
  <c r="AX248" s="1"/>
  <c r="AX260" s="1"/>
  <c r="AX272" s="1"/>
  <c r="AX284" s="1"/>
  <c r="AX296" s="1"/>
  <c r="AX308" s="1"/>
  <c r="AX320" s="1"/>
  <c r="AX332" s="1"/>
  <c r="AX344" s="1"/>
  <c r="AX356" s="1"/>
  <c r="AX368" s="1"/>
  <c r="AQ224"/>
  <c r="AP224"/>
  <c r="AJ224" s="1"/>
  <c r="AN224"/>
  <c r="AM224"/>
  <c r="AC224"/>
  <c r="V224"/>
  <c r="V236" s="1"/>
  <c r="V248" s="1"/>
  <c r="V260" s="1"/>
  <c r="V272" s="1"/>
  <c r="V284" s="1"/>
  <c r="V296" s="1"/>
  <c r="V308" s="1"/>
  <c r="V320" s="1"/>
  <c r="V332" s="1"/>
  <c r="V344" s="1"/>
  <c r="V356" s="1"/>
  <c r="V368" s="1"/>
  <c r="U224"/>
  <c r="U236" s="1"/>
  <c r="U248" s="1"/>
  <c r="U260" s="1"/>
  <c r="U272" s="1"/>
  <c r="U284" s="1"/>
  <c r="U296" s="1"/>
  <c r="U308" s="1"/>
  <c r="U320" s="1"/>
  <c r="U332" s="1"/>
  <c r="U344" s="1"/>
  <c r="U356" s="1"/>
  <c r="U368" s="1"/>
  <c r="B224"/>
  <c r="B236" s="1"/>
  <c r="B248" s="1"/>
  <c r="B260" s="1"/>
  <c r="B272" s="1"/>
  <c r="B284" s="1"/>
  <c r="B296" s="1"/>
  <c r="B308" s="1"/>
  <c r="B320" s="1"/>
  <c r="B332" s="1"/>
  <c r="B344" s="1"/>
  <c r="B356" s="1"/>
  <c r="B368" s="1"/>
  <c r="A224"/>
  <c r="A236" s="1"/>
  <c r="A248" s="1"/>
  <c r="A260" s="1"/>
  <c r="A272" s="1"/>
  <c r="A284" s="1"/>
  <c r="A296" s="1"/>
  <c r="A308" s="1"/>
  <c r="A320" s="1"/>
  <c r="A332" s="1"/>
  <c r="A344" s="1"/>
  <c r="A356" s="1"/>
  <c r="A368" s="1"/>
  <c r="BO223"/>
  <c r="BO235" s="1"/>
  <c r="BO247" s="1"/>
  <c r="BO259" s="1"/>
  <c r="BO271" s="1"/>
  <c r="BO283" s="1"/>
  <c r="BO295" s="1"/>
  <c r="BO307" s="1"/>
  <c r="BO319" s="1"/>
  <c r="BO331" s="1"/>
  <c r="BO343" s="1"/>
  <c r="BO355" s="1"/>
  <c r="BO367" s="1"/>
  <c r="BN223"/>
  <c r="BN235" s="1"/>
  <c r="BN247" s="1"/>
  <c r="BN259" s="1"/>
  <c r="BN271" s="1"/>
  <c r="BN283" s="1"/>
  <c r="BN295" s="1"/>
  <c r="BN307" s="1"/>
  <c r="BN319" s="1"/>
  <c r="BN331" s="1"/>
  <c r="BN343" s="1"/>
  <c r="BN355" s="1"/>
  <c r="BN367" s="1"/>
  <c r="AY223"/>
  <c r="AY235" s="1"/>
  <c r="AY247" s="1"/>
  <c r="AY259" s="1"/>
  <c r="AY271" s="1"/>
  <c r="AY283" s="1"/>
  <c r="AY295" s="1"/>
  <c r="AY307" s="1"/>
  <c r="AY319" s="1"/>
  <c r="AY331" s="1"/>
  <c r="AY343" s="1"/>
  <c r="AY355" s="1"/>
  <c r="AY367" s="1"/>
  <c r="AX223"/>
  <c r="AX235" s="1"/>
  <c r="AX247" s="1"/>
  <c r="AX259" s="1"/>
  <c r="AX271" s="1"/>
  <c r="AX283" s="1"/>
  <c r="AX295" s="1"/>
  <c r="AX307" s="1"/>
  <c r="AX319" s="1"/>
  <c r="AX331" s="1"/>
  <c r="AX343" s="1"/>
  <c r="AX355" s="1"/>
  <c r="AX367" s="1"/>
  <c r="AQ223"/>
  <c r="AP223"/>
  <c r="AN223"/>
  <c r="AM223"/>
  <c r="AC223"/>
  <c r="V223"/>
  <c r="V235" s="1"/>
  <c r="V247" s="1"/>
  <c r="V259" s="1"/>
  <c r="V271" s="1"/>
  <c r="V283" s="1"/>
  <c r="V295" s="1"/>
  <c r="V307" s="1"/>
  <c r="V319" s="1"/>
  <c r="V331" s="1"/>
  <c r="V343" s="1"/>
  <c r="V355" s="1"/>
  <c r="V367" s="1"/>
  <c r="U223"/>
  <c r="U235" s="1"/>
  <c r="U247" s="1"/>
  <c r="U259" s="1"/>
  <c r="U271" s="1"/>
  <c r="U283" s="1"/>
  <c r="U295" s="1"/>
  <c r="U307" s="1"/>
  <c r="U319" s="1"/>
  <c r="U331" s="1"/>
  <c r="U343" s="1"/>
  <c r="U355" s="1"/>
  <c r="U367" s="1"/>
  <c r="AJ223"/>
  <c r="B223"/>
  <c r="B235" s="1"/>
  <c r="B247" s="1"/>
  <c r="B259" s="1"/>
  <c r="B271" s="1"/>
  <c r="B283" s="1"/>
  <c r="B295" s="1"/>
  <c r="B307" s="1"/>
  <c r="B319" s="1"/>
  <c r="B331" s="1"/>
  <c r="B343" s="1"/>
  <c r="B355" s="1"/>
  <c r="B367" s="1"/>
  <c r="A223"/>
  <c r="A235" s="1"/>
  <c r="A247" s="1"/>
  <c r="A259" s="1"/>
  <c r="A271" s="1"/>
  <c r="A283" s="1"/>
  <c r="A295" s="1"/>
  <c r="A307" s="1"/>
  <c r="A319" s="1"/>
  <c r="A331" s="1"/>
  <c r="A343" s="1"/>
  <c r="A355" s="1"/>
  <c r="A367" s="1"/>
  <c r="BO222"/>
  <c r="BO234" s="1"/>
  <c r="BO246" s="1"/>
  <c r="BO258" s="1"/>
  <c r="BO270" s="1"/>
  <c r="BO282" s="1"/>
  <c r="BO294" s="1"/>
  <c r="BO306" s="1"/>
  <c r="BO318" s="1"/>
  <c r="BO330" s="1"/>
  <c r="BO342" s="1"/>
  <c r="BO354" s="1"/>
  <c r="BO366" s="1"/>
  <c r="BN222"/>
  <c r="BN234" s="1"/>
  <c r="BN246" s="1"/>
  <c r="BN258" s="1"/>
  <c r="BN270" s="1"/>
  <c r="BN282" s="1"/>
  <c r="BN294" s="1"/>
  <c r="BN306" s="1"/>
  <c r="BN318" s="1"/>
  <c r="BN330" s="1"/>
  <c r="BN342" s="1"/>
  <c r="BN354" s="1"/>
  <c r="BN366" s="1"/>
  <c r="AY222"/>
  <c r="AY234" s="1"/>
  <c r="AY246" s="1"/>
  <c r="AY258" s="1"/>
  <c r="AY270" s="1"/>
  <c r="AY282" s="1"/>
  <c r="AY294" s="1"/>
  <c r="AY306" s="1"/>
  <c r="AY318" s="1"/>
  <c r="AY330" s="1"/>
  <c r="AY342" s="1"/>
  <c r="AY354" s="1"/>
  <c r="AY366" s="1"/>
  <c r="AX222"/>
  <c r="AX234" s="1"/>
  <c r="AX246" s="1"/>
  <c r="AX258" s="1"/>
  <c r="AX270" s="1"/>
  <c r="AX282" s="1"/>
  <c r="AX294" s="1"/>
  <c r="AX306" s="1"/>
  <c r="AX318" s="1"/>
  <c r="AX330" s="1"/>
  <c r="AX342" s="1"/>
  <c r="AX354" s="1"/>
  <c r="AX366" s="1"/>
  <c r="AQ222"/>
  <c r="AP222"/>
  <c r="AJ222" s="1"/>
  <c r="AN222"/>
  <c r="AM222"/>
  <c r="AC222"/>
  <c r="V222"/>
  <c r="V234" s="1"/>
  <c r="V246" s="1"/>
  <c r="V258" s="1"/>
  <c r="V270" s="1"/>
  <c r="V282" s="1"/>
  <c r="V294" s="1"/>
  <c r="V306" s="1"/>
  <c r="V318" s="1"/>
  <c r="V330" s="1"/>
  <c r="V342" s="1"/>
  <c r="V354" s="1"/>
  <c r="V366" s="1"/>
  <c r="U222"/>
  <c r="U234" s="1"/>
  <c r="U246" s="1"/>
  <c r="U258" s="1"/>
  <c r="U270" s="1"/>
  <c r="U282" s="1"/>
  <c r="U294" s="1"/>
  <c r="U306" s="1"/>
  <c r="U318" s="1"/>
  <c r="U330" s="1"/>
  <c r="U342" s="1"/>
  <c r="U354" s="1"/>
  <c r="U366" s="1"/>
  <c r="B222"/>
  <c r="B234" s="1"/>
  <c r="B246" s="1"/>
  <c r="B258" s="1"/>
  <c r="B270" s="1"/>
  <c r="B282" s="1"/>
  <c r="B294" s="1"/>
  <c r="B306" s="1"/>
  <c r="B318" s="1"/>
  <c r="B330" s="1"/>
  <c r="B342" s="1"/>
  <c r="B354" s="1"/>
  <c r="B366" s="1"/>
  <c r="A222"/>
  <c r="A234" s="1"/>
  <c r="A246" s="1"/>
  <c r="A258" s="1"/>
  <c r="A270" s="1"/>
  <c r="A282" s="1"/>
  <c r="A294" s="1"/>
  <c r="A306" s="1"/>
  <c r="A318" s="1"/>
  <c r="A330" s="1"/>
  <c r="A342" s="1"/>
  <c r="A354" s="1"/>
  <c r="A366" s="1"/>
  <c r="BO221"/>
  <c r="BO233" s="1"/>
  <c r="BO245" s="1"/>
  <c r="BO257" s="1"/>
  <c r="BO269" s="1"/>
  <c r="BO281" s="1"/>
  <c r="BO293" s="1"/>
  <c r="BO305" s="1"/>
  <c r="BO317" s="1"/>
  <c r="BO329" s="1"/>
  <c r="BO341" s="1"/>
  <c r="BO353" s="1"/>
  <c r="BO365" s="1"/>
  <c r="BN221"/>
  <c r="BN233" s="1"/>
  <c r="BN245" s="1"/>
  <c r="BN257" s="1"/>
  <c r="BN269" s="1"/>
  <c r="BN281" s="1"/>
  <c r="BN293" s="1"/>
  <c r="BN305" s="1"/>
  <c r="BN317" s="1"/>
  <c r="BN329" s="1"/>
  <c r="BN341" s="1"/>
  <c r="BN353" s="1"/>
  <c r="BN365" s="1"/>
  <c r="AY221"/>
  <c r="AY233" s="1"/>
  <c r="AY245" s="1"/>
  <c r="AY257" s="1"/>
  <c r="AY269" s="1"/>
  <c r="AY281" s="1"/>
  <c r="AY293" s="1"/>
  <c r="AY305" s="1"/>
  <c r="AY317" s="1"/>
  <c r="AY329" s="1"/>
  <c r="AY341" s="1"/>
  <c r="AY353" s="1"/>
  <c r="AY365" s="1"/>
  <c r="AX221"/>
  <c r="AX233" s="1"/>
  <c r="AX245" s="1"/>
  <c r="AX257" s="1"/>
  <c r="AX269" s="1"/>
  <c r="AX281" s="1"/>
  <c r="AX293" s="1"/>
  <c r="AX305" s="1"/>
  <c r="AX317" s="1"/>
  <c r="AX329" s="1"/>
  <c r="AX341" s="1"/>
  <c r="AX353" s="1"/>
  <c r="AX365" s="1"/>
  <c r="AQ221"/>
  <c r="AP221"/>
  <c r="AN221"/>
  <c r="AM221"/>
  <c r="AC221"/>
  <c r="V221"/>
  <c r="V233" s="1"/>
  <c r="V245" s="1"/>
  <c r="V257" s="1"/>
  <c r="V269" s="1"/>
  <c r="V281" s="1"/>
  <c r="V293" s="1"/>
  <c r="V305" s="1"/>
  <c r="V317" s="1"/>
  <c r="V329" s="1"/>
  <c r="V341" s="1"/>
  <c r="V353" s="1"/>
  <c r="V365" s="1"/>
  <c r="U221"/>
  <c r="U233" s="1"/>
  <c r="U245" s="1"/>
  <c r="U257" s="1"/>
  <c r="U269" s="1"/>
  <c r="U281" s="1"/>
  <c r="U293" s="1"/>
  <c r="U305" s="1"/>
  <c r="U317" s="1"/>
  <c r="U329" s="1"/>
  <c r="U341" s="1"/>
  <c r="U353" s="1"/>
  <c r="U365" s="1"/>
  <c r="AJ221"/>
  <c r="B221"/>
  <c r="B233" s="1"/>
  <c r="B245" s="1"/>
  <c r="B257" s="1"/>
  <c r="B269" s="1"/>
  <c r="B281" s="1"/>
  <c r="B293" s="1"/>
  <c r="B305" s="1"/>
  <c r="B317" s="1"/>
  <c r="B329" s="1"/>
  <c r="B341" s="1"/>
  <c r="B353" s="1"/>
  <c r="B365" s="1"/>
  <c r="B377" s="1"/>
  <c r="A221"/>
  <c r="A233" s="1"/>
  <c r="A245" s="1"/>
  <c r="A257" s="1"/>
  <c r="A269" s="1"/>
  <c r="A281" s="1"/>
  <c r="A293" s="1"/>
  <c r="A305" s="1"/>
  <c r="A317" s="1"/>
  <c r="A329" s="1"/>
  <c r="A341" s="1"/>
  <c r="A353" s="1"/>
  <c r="A365" s="1"/>
  <c r="A377" s="1"/>
  <c r="AQ220"/>
  <c r="AP220"/>
  <c r="AN220"/>
  <c r="AM220"/>
  <c r="AC220"/>
  <c r="E220"/>
  <c r="AQ219"/>
  <c r="AP219"/>
  <c r="AN219"/>
  <c r="AM219"/>
  <c r="AC219"/>
  <c r="E219"/>
  <c r="AQ218"/>
  <c r="AP218"/>
  <c r="AN218"/>
  <c r="AM218"/>
  <c r="AC218"/>
  <c r="E218"/>
  <c r="AQ217"/>
  <c r="AP217"/>
  <c r="AN217"/>
  <c r="AM217"/>
  <c r="AC217"/>
  <c r="E217"/>
  <c r="AQ216"/>
  <c r="AP216"/>
  <c r="AN216"/>
  <c r="AM216"/>
  <c r="AC216"/>
  <c r="E216"/>
  <c r="AQ215"/>
  <c r="AP215"/>
  <c r="AN215"/>
  <c r="AM215"/>
  <c r="AC215"/>
  <c r="E215"/>
  <c r="AQ214"/>
  <c r="AP214"/>
  <c r="AN214"/>
  <c r="AM214"/>
  <c r="AC214"/>
  <c r="E214"/>
  <c r="AQ213"/>
  <c r="AP213"/>
  <c r="AN213"/>
  <c r="AM213"/>
  <c r="AC213"/>
  <c r="E213"/>
  <c r="AQ212"/>
  <c r="AP212"/>
  <c r="AN212"/>
  <c r="AM212"/>
  <c r="AK212"/>
  <c r="AC212"/>
  <c r="E212"/>
  <c r="AQ211"/>
  <c r="AP211"/>
  <c r="AN211"/>
  <c r="AK211" s="1"/>
  <c r="AM211"/>
  <c r="AC211"/>
  <c r="E211"/>
  <c r="AQ210"/>
  <c r="AP210"/>
  <c r="AN210"/>
  <c r="AM210"/>
  <c r="AK210"/>
  <c r="AC210"/>
  <c r="E210"/>
  <c r="AQ209"/>
  <c r="AP209"/>
  <c r="AN209"/>
  <c r="AM209"/>
  <c r="AC209"/>
  <c r="AD209" s="1"/>
  <c r="E209"/>
  <c r="AQ208"/>
  <c r="AP208"/>
  <c r="AN208"/>
  <c r="AK208" s="1"/>
  <c r="AM208"/>
  <c r="AC208"/>
  <c r="E208"/>
  <c r="AQ207"/>
  <c r="AP207"/>
  <c r="AN207"/>
  <c r="AM207"/>
  <c r="AJ207" s="1"/>
  <c r="AC207"/>
  <c r="E207"/>
  <c r="AQ206"/>
  <c r="AP206"/>
  <c r="AN206"/>
  <c r="AK206" s="1"/>
  <c r="AM206"/>
  <c r="AC206"/>
  <c r="E206"/>
  <c r="AQ205"/>
  <c r="AP205"/>
  <c r="AN205"/>
  <c r="AK205" s="1"/>
  <c r="AM205"/>
  <c r="AJ205" s="1"/>
  <c r="AC205"/>
  <c r="E205"/>
  <c r="AQ204"/>
  <c r="AP204"/>
  <c r="AN204"/>
  <c r="AM204"/>
  <c r="AK204"/>
  <c r="AC204"/>
  <c r="E204"/>
  <c r="AQ203"/>
  <c r="AP203"/>
  <c r="AN203"/>
  <c r="AK203" s="1"/>
  <c r="AM203"/>
  <c r="AC203"/>
  <c r="E203"/>
  <c r="AQ202"/>
  <c r="AP202"/>
  <c r="AN202"/>
  <c r="AM202"/>
  <c r="AK202"/>
  <c r="AC202"/>
  <c r="AD202" s="1"/>
  <c r="E202"/>
  <c r="AQ201"/>
  <c r="AP201"/>
  <c r="AN201"/>
  <c r="AM201"/>
  <c r="AC201"/>
  <c r="E201"/>
  <c r="AQ200"/>
  <c r="AP200"/>
  <c r="AN200"/>
  <c r="AK200" s="1"/>
  <c r="AM200"/>
  <c r="AC200"/>
  <c r="E200"/>
  <c r="AQ199"/>
  <c r="AP199"/>
  <c r="AN199"/>
  <c r="AM199"/>
  <c r="AJ199" s="1"/>
  <c r="AC199"/>
  <c r="E199"/>
  <c r="AQ198"/>
  <c r="AP198"/>
  <c r="AN198"/>
  <c r="AK198" s="1"/>
  <c r="AM198"/>
  <c r="AC198"/>
  <c r="E198"/>
  <c r="AQ197"/>
  <c r="AP197"/>
  <c r="AN197"/>
  <c r="AK197" s="1"/>
  <c r="AM197"/>
  <c r="AJ197" s="1"/>
  <c r="AC197"/>
  <c r="E197"/>
  <c r="AQ196"/>
  <c r="AP196"/>
  <c r="AN196"/>
  <c r="AM196"/>
  <c r="AK196"/>
  <c r="AC196"/>
  <c r="E196"/>
  <c r="AQ195"/>
  <c r="AP195"/>
  <c r="AN195"/>
  <c r="AK195" s="1"/>
  <c r="AM195"/>
  <c r="AC195"/>
  <c r="E195"/>
  <c r="AQ194"/>
  <c r="AP194"/>
  <c r="AN194"/>
  <c r="AM194"/>
  <c r="AJ194" s="1"/>
  <c r="AK194"/>
  <c r="AC194"/>
  <c r="E194"/>
  <c r="AQ193"/>
  <c r="AP193"/>
  <c r="AN193"/>
  <c r="AM193"/>
  <c r="AC193"/>
  <c r="E193"/>
  <c r="AQ192"/>
  <c r="AP192"/>
  <c r="AN192"/>
  <c r="AK192" s="1"/>
  <c r="AM192"/>
  <c r="AC192"/>
  <c r="E192"/>
  <c r="AQ191"/>
  <c r="AP191"/>
  <c r="AN191"/>
  <c r="AM191"/>
  <c r="AJ191" s="1"/>
  <c r="AC191"/>
  <c r="E191"/>
  <c r="AQ190"/>
  <c r="AP190"/>
  <c r="AN190"/>
  <c r="AK190" s="1"/>
  <c r="AM190"/>
  <c r="AC190"/>
  <c r="E190"/>
  <c r="AQ189"/>
  <c r="AP189"/>
  <c r="AN189"/>
  <c r="AK189" s="1"/>
  <c r="AM189"/>
  <c r="AJ189" s="1"/>
  <c r="AC189"/>
  <c r="E189"/>
  <c r="AQ188"/>
  <c r="AP188"/>
  <c r="AN188"/>
  <c r="AM188"/>
  <c r="AK188"/>
  <c r="AC188"/>
  <c r="E188"/>
  <c r="AQ187"/>
  <c r="AP187"/>
  <c r="AN187"/>
  <c r="AK187" s="1"/>
  <c r="AM187"/>
  <c r="AC187"/>
  <c r="E187"/>
  <c r="AQ186"/>
  <c r="AP186"/>
  <c r="AN186"/>
  <c r="AC186"/>
  <c r="F186"/>
  <c r="AM186" s="1"/>
  <c r="E186"/>
  <c r="H110" i="10" l="1"/>
  <c r="I110" s="1"/>
  <c r="O101" i="3"/>
  <c r="S101" s="1"/>
  <c r="N115"/>
  <c r="N127" s="1"/>
  <c r="O127" s="1"/>
  <c r="AJ187" i="2"/>
  <c r="AJ190"/>
  <c r="AK193"/>
  <c r="AJ195"/>
  <c r="AK201"/>
  <c r="AL201" s="1"/>
  <c r="AJ203"/>
  <c r="AK209"/>
  <c r="AL209" s="1"/>
  <c r="AJ211"/>
  <c r="AL257"/>
  <c r="AK186"/>
  <c r="AJ188"/>
  <c r="AL188" s="1"/>
  <c r="AK191"/>
  <c r="AJ193"/>
  <c r="AJ196"/>
  <c r="AK199"/>
  <c r="AJ201"/>
  <c r="AK207"/>
  <c r="AJ209"/>
  <c r="AJ214"/>
  <c r="AJ220"/>
  <c r="AL241"/>
  <c r="AR312"/>
  <c r="AX324"/>
  <c r="AX336" s="1"/>
  <c r="AX348" s="1"/>
  <c r="AX360" s="1"/>
  <c r="AR315"/>
  <c r="AX327"/>
  <c r="AX339" s="1"/>
  <c r="AX351" s="1"/>
  <c r="AX363" s="1"/>
  <c r="J84" i="10"/>
  <c r="J80"/>
  <c r="J110"/>
  <c r="H115"/>
  <c r="I115" s="1"/>
  <c r="K93"/>
  <c r="F93"/>
  <c r="S111" i="3"/>
  <c r="J111" i="10"/>
  <c r="J101"/>
  <c r="H92"/>
  <c r="I92" s="1"/>
  <c r="O92" i="3"/>
  <c r="N104"/>
  <c r="O122"/>
  <c r="H122" i="10"/>
  <c r="I122" s="1"/>
  <c r="K81"/>
  <c r="N119" i="3"/>
  <c r="H119" i="10" s="1"/>
  <c r="I119" s="1"/>
  <c r="O107" i="3"/>
  <c r="J107" i="10" s="1"/>
  <c r="O102" i="3"/>
  <c r="J102" i="10" s="1"/>
  <c r="N114" i="3"/>
  <c r="H114" i="10" s="1"/>
  <c r="I114" s="1"/>
  <c r="N113" i="3"/>
  <c r="H113" i="10" s="1"/>
  <c r="I113" s="1"/>
  <c r="Q327" i="3"/>
  <c r="B339"/>
  <c r="B336"/>
  <c r="Q324"/>
  <c r="BD324"/>
  <c r="B349"/>
  <c r="B361" s="1"/>
  <c r="B373" s="1"/>
  <c r="BD337"/>
  <c r="Q337"/>
  <c r="B350"/>
  <c r="B362" s="1"/>
  <c r="B374" s="1"/>
  <c r="Q338"/>
  <c r="BD338"/>
  <c r="AL248" i="2"/>
  <c r="AL193"/>
  <c r="AL205"/>
  <c r="AL187"/>
  <c r="AL191"/>
  <c r="AL189"/>
  <c r="AL195"/>
  <c r="AL203"/>
  <c r="AL211"/>
  <c r="AO186"/>
  <c r="AR186"/>
  <c r="AR188"/>
  <c r="AL190"/>
  <c r="AR190"/>
  <c r="AO192"/>
  <c r="AR192"/>
  <c r="AL194"/>
  <c r="AR194"/>
  <c r="AL196"/>
  <c r="AR196"/>
  <c r="AO198"/>
  <c r="AR198"/>
  <c r="AO200"/>
  <c r="AR200"/>
  <c r="AO202"/>
  <c r="AR202"/>
  <c r="AO204"/>
  <c r="AR204"/>
  <c r="AO206"/>
  <c r="AR206"/>
  <c r="AO208"/>
  <c r="AR208"/>
  <c r="AO210"/>
  <c r="AR210"/>
  <c r="AO212"/>
  <c r="AR212"/>
  <c r="AO217"/>
  <c r="AR217"/>
  <c r="AO218"/>
  <c r="AR218"/>
  <c r="AO219"/>
  <c r="AR219"/>
  <c r="AO230"/>
  <c r="AR230"/>
  <c r="AO232"/>
  <c r="AR232"/>
  <c r="AL252"/>
  <c r="AL250"/>
  <c r="AL240"/>
  <c r="AO213"/>
  <c r="AR213"/>
  <c r="AO187"/>
  <c r="AR187"/>
  <c r="AO189"/>
  <c r="AR189"/>
  <c r="AO191"/>
  <c r="AR191"/>
  <c r="AO195"/>
  <c r="AR195"/>
  <c r="AO197"/>
  <c r="AR197"/>
  <c r="AO199"/>
  <c r="AR199"/>
  <c r="AO203"/>
  <c r="AR203"/>
  <c r="AO205"/>
  <c r="AR205"/>
  <c r="AO207"/>
  <c r="AR207"/>
  <c r="AO209"/>
  <c r="AR209"/>
  <c r="AO211"/>
  <c r="AR211"/>
  <c r="AO214"/>
  <c r="AR214"/>
  <c r="AO215"/>
  <c r="AR215"/>
  <c r="AO216"/>
  <c r="AR216"/>
  <c r="AJ217"/>
  <c r="AR220"/>
  <c r="AO221"/>
  <c r="AR221"/>
  <c r="AO222"/>
  <c r="AR222"/>
  <c r="AO223"/>
  <c r="AR223"/>
  <c r="AO224"/>
  <c r="AR224"/>
  <c r="AO225"/>
  <c r="AR225"/>
  <c r="AO226"/>
  <c r="AR226"/>
  <c r="AO227"/>
  <c r="AR227"/>
  <c r="AO228"/>
  <c r="AR228"/>
  <c r="AO229"/>
  <c r="AR229"/>
  <c r="AO231"/>
  <c r="AR231"/>
  <c r="AL253"/>
  <c r="AL249"/>
  <c r="AL251"/>
  <c r="AL243"/>
  <c r="AO193"/>
  <c r="AR193"/>
  <c r="AO201"/>
  <c r="AR201"/>
  <c r="AK214"/>
  <c r="AL214" s="1"/>
  <c r="AJ216"/>
  <c r="AK216"/>
  <c r="AJ218"/>
  <c r="AK218"/>
  <c r="AK220"/>
  <c r="AL220" s="1"/>
  <c r="AJ232"/>
  <c r="AO233"/>
  <c r="AR233"/>
  <c r="AJ213"/>
  <c r="AK213"/>
  <c r="AJ215"/>
  <c r="AK215"/>
  <c r="AK217"/>
  <c r="AJ219"/>
  <c r="AK219"/>
  <c r="AO220"/>
  <c r="AL197"/>
  <c r="AL199"/>
  <c r="AL207"/>
  <c r="AO188"/>
  <c r="AO190"/>
  <c r="AO194"/>
  <c r="AO196"/>
  <c r="AJ186"/>
  <c r="AL186" s="1"/>
  <c r="AJ192"/>
  <c r="AL192" s="1"/>
  <c r="AJ198"/>
  <c r="AL198" s="1"/>
  <c r="AJ200"/>
  <c r="AL200" s="1"/>
  <c r="AJ202"/>
  <c r="AL202" s="1"/>
  <c r="AJ204"/>
  <c r="AL204" s="1"/>
  <c r="AJ206"/>
  <c r="AL206" s="1"/>
  <c r="AJ208"/>
  <c r="AL208" s="1"/>
  <c r="AJ210"/>
  <c r="AL210" s="1"/>
  <c r="AJ212"/>
  <c r="AL212" s="1"/>
  <c r="AJ231"/>
  <c r="AJ233"/>
  <c r="AR311"/>
  <c r="AX323"/>
  <c r="AX335" s="1"/>
  <c r="AX347" s="1"/>
  <c r="AX359" s="1"/>
  <c r="AX371" s="1"/>
  <c r="Q312" i="3"/>
  <c r="BD312"/>
  <c r="B323"/>
  <c r="B335" s="1"/>
  <c r="Q311"/>
  <c r="BD311"/>
  <c r="B321"/>
  <c r="B333" s="1"/>
  <c r="Q309"/>
  <c r="BD309"/>
  <c r="B322"/>
  <c r="B334" s="1"/>
  <c r="Q310"/>
  <c r="BD310"/>
  <c r="AL254" i="2"/>
  <c r="AL246"/>
  <c r="AL239"/>
  <c r="AL235"/>
  <c r="AL255"/>
  <c r="AL247"/>
  <c r="BB104" i="3"/>
  <c r="BA116"/>
  <c r="AX122"/>
  <c r="AY110"/>
  <c r="BC110" s="1"/>
  <c r="AX115"/>
  <c r="AY103"/>
  <c r="BA135"/>
  <c r="BB123"/>
  <c r="BA133"/>
  <c r="BB121"/>
  <c r="AX120"/>
  <c r="AY108"/>
  <c r="BC108" s="1"/>
  <c r="K105"/>
  <c r="D105" i="10" s="1"/>
  <c r="E105" s="1"/>
  <c r="L93" i="3"/>
  <c r="P93" s="1"/>
  <c r="O123"/>
  <c r="J123" i="10" s="1"/>
  <c r="N135" i="3"/>
  <c r="H135" i="10" s="1"/>
  <c r="I135" s="1"/>
  <c r="N112" i="3"/>
  <c r="H112" i="10" s="1"/>
  <c r="I112" s="1"/>
  <c r="O100" i="3"/>
  <c r="J100" i="10" s="1"/>
  <c r="O134" i="3"/>
  <c r="J134" i="10" s="1"/>
  <c r="N146" i="3"/>
  <c r="H146" i="10" s="1"/>
  <c r="I146" s="1"/>
  <c r="AD186" i="2"/>
  <c r="AD194"/>
  <c r="AJ228"/>
  <c r="AK230"/>
  <c r="AJ229"/>
  <c r="E221"/>
  <c r="AK222"/>
  <c r="E223"/>
  <c r="AD223"/>
  <c r="AK224"/>
  <c r="AL224" s="1"/>
  <c r="AK225"/>
  <c r="AK226"/>
  <c r="AL226" s="1"/>
  <c r="AK227"/>
  <c r="AL227" s="1"/>
  <c r="AK228"/>
  <c r="AK229"/>
  <c r="AJ230"/>
  <c r="AK231"/>
  <c r="E232"/>
  <c r="AK232"/>
  <c r="E233"/>
  <c r="AK221"/>
  <c r="AL221" s="1"/>
  <c r="E222"/>
  <c r="AL222"/>
  <c r="AK223"/>
  <c r="AL223" s="1"/>
  <c r="E224"/>
  <c r="E225"/>
  <c r="AL225"/>
  <c r="E226"/>
  <c r="E227"/>
  <c r="E230"/>
  <c r="E231"/>
  <c r="AK233"/>
  <c r="AQ185"/>
  <c r="AP185"/>
  <c r="AN185"/>
  <c r="AM185"/>
  <c r="AC185"/>
  <c r="E185"/>
  <c r="AQ184"/>
  <c r="AP184"/>
  <c r="AN184"/>
  <c r="AK184" s="1"/>
  <c r="AM184"/>
  <c r="AC184"/>
  <c r="E184"/>
  <c r="AQ183"/>
  <c r="AP183"/>
  <c r="AN183"/>
  <c r="AM183"/>
  <c r="AC183"/>
  <c r="E183"/>
  <c r="AQ182"/>
  <c r="AP182"/>
  <c r="AN182"/>
  <c r="AK182" s="1"/>
  <c r="AM182"/>
  <c r="AC182"/>
  <c r="E182"/>
  <c r="AQ181"/>
  <c r="AP181"/>
  <c r="AN181"/>
  <c r="AK181" s="1"/>
  <c r="AM181"/>
  <c r="AC181"/>
  <c r="AD181" s="1"/>
  <c r="E181"/>
  <c r="AQ180"/>
  <c r="AP180"/>
  <c r="AN180"/>
  <c r="AM180"/>
  <c r="AK180"/>
  <c r="AC180"/>
  <c r="E180"/>
  <c r="AQ179"/>
  <c r="AP179"/>
  <c r="AN179"/>
  <c r="AK179" s="1"/>
  <c r="AM179"/>
  <c r="AC179"/>
  <c r="E179"/>
  <c r="AQ178"/>
  <c r="AP178"/>
  <c r="AN178"/>
  <c r="AM178"/>
  <c r="AK178"/>
  <c r="AC178"/>
  <c r="E178"/>
  <c r="AQ177"/>
  <c r="AP177"/>
  <c r="AN177"/>
  <c r="AM177"/>
  <c r="AC177"/>
  <c r="E177"/>
  <c r="AQ176"/>
  <c r="AP176"/>
  <c r="AN176"/>
  <c r="AK176" s="1"/>
  <c r="AM176"/>
  <c r="AC176"/>
  <c r="E176"/>
  <c r="AQ175"/>
  <c r="AP175"/>
  <c r="AN175"/>
  <c r="AM175"/>
  <c r="AC175"/>
  <c r="E175"/>
  <c r="AQ174"/>
  <c r="AP174"/>
  <c r="AN174"/>
  <c r="AK174" s="1"/>
  <c r="AM174"/>
  <c r="AC174"/>
  <c r="AD174" s="1"/>
  <c r="E174"/>
  <c r="AQ173"/>
  <c r="AP173"/>
  <c r="AN173"/>
  <c r="AK173" s="1"/>
  <c r="AM173"/>
  <c r="AJ173" s="1"/>
  <c r="AC173"/>
  <c r="E173"/>
  <c r="AQ172"/>
  <c r="AP172"/>
  <c r="AN172"/>
  <c r="AM172"/>
  <c r="AC172"/>
  <c r="E172"/>
  <c r="AQ171"/>
  <c r="AP171"/>
  <c r="AN171"/>
  <c r="AM171"/>
  <c r="AJ171" s="1"/>
  <c r="AC171"/>
  <c r="E171"/>
  <c r="AQ170"/>
  <c r="AP170"/>
  <c r="AN170"/>
  <c r="AK170" s="1"/>
  <c r="AM170"/>
  <c r="AC170"/>
  <c r="E170"/>
  <c r="AQ169"/>
  <c r="AP169"/>
  <c r="AN169"/>
  <c r="AK169" s="1"/>
  <c r="AM169"/>
  <c r="AJ169" s="1"/>
  <c r="AC169"/>
  <c r="O115" i="3" l="1"/>
  <c r="H127" i="10"/>
  <c r="I127" s="1"/>
  <c r="J127" s="1"/>
  <c r="N139" i="3"/>
  <c r="AK183" i="2"/>
  <c r="AJ170"/>
  <c r="AJ172"/>
  <c r="AK175"/>
  <c r="AK177"/>
  <c r="AL177" s="1"/>
  <c r="AK185"/>
  <c r="Q361" i="3"/>
  <c r="BD361"/>
  <c r="Q362"/>
  <c r="BD362"/>
  <c r="O113"/>
  <c r="S113" s="1"/>
  <c r="AL232" i="2"/>
  <c r="J92" i="10"/>
  <c r="J115"/>
  <c r="Q350" i="3"/>
  <c r="BD350"/>
  <c r="N125"/>
  <c r="H125" i="10" s="1"/>
  <c r="I125" s="1"/>
  <c r="F105"/>
  <c r="H104"/>
  <c r="I104" s="1"/>
  <c r="N116" i="3"/>
  <c r="O104"/>
  <c r="J113" i="10"/>
  <c r="S122" i="3"/>
  <c r="J122" i="10"/>
  <c r="O135" i="3"/>
  <c r="J135" i="10" s="1"/>
  <c r="N126" i="3"/>
  <c r="H126" i="10" s="1"/>
  <c r="I126" s="1"/>
  <c r="O114" i="3"/>
  <c r="J114" i="10" s="1"/>
  <c r="N131" i="3"/>
  <c r="H131" i="10" s="1"/>
  <c r="I131" s="1"/>
  <c r="O119" i="3"/>
  <c r="J119" i="10" s="1"/>
  <c r="B345" i="3"/>
  <c r="B357" s="1"/>
  <c r="B369" s="1"/>
  <c r="Q333"/>
  <c r="BD333"/>
  <c r="B348"/>
  <c r="B360" s="1"/>
  <c r="B372" s="1"/>
  <c r="BD336"/>
  <c r="Q336"/>
  <c r="B346"/>
  <c r="B358" s="1"/>
  <c r="B370" s="1"/>
  <c r="Q334"/>
  <c r="BD334"/>
  <c r="B347"/>
  <c r="B359" s="1"/>
  <c r="B371" s="1"/>
  <c r="Q335"/>
  <c r="BD335"/>
  <c r="Q349"/>
  <c r="BD349"/>
  <c r="B351"/>
  <c r="Q339"/>
  <c r="AK171" i="2"/>
  <c r="AL171" s="1"/>
  <c r="AK172"/>
  <c r="AL169"/>
  <c r="AL233"/>
  <c r="AL215"/>
  <c r="AL170"/>
  <c r="AR170"/>
  <c r="AL172"/>
  <c r="AR172"/>
  <c r="AL231"/>
  <c r="AO174"/>
  <c r="AR174"/>
  <c r="AO175"/>
  <c r="AR175"/>
  <c r="AO179"/>
  <c r="AR179"/>
  <c r="AL219"/>
  <c r="AL217"/>
  <c r="AL213"/>
  <c r="AL218"/>
  <c r="AL216"/>
  <c r="AO169"/>
  <c r="AO177"/>
  <c r="AR177"/>
  <c r="AO181"/>
  <c r="AR181"/>
  <c r="AO185"/>
  <c r="AR185"/>
  <c r="AR169"/>
  <c r="AO171"/>
  <c r="AR171"/>
  <c r="AO183"/>
  <c r="AR183"/>
  <c r="AJ175"/>
  <c r="AL175" s="1"/>
  <c r="AO176"/>
  <c r="AR176"/>
  <c r="AJ177"/>
  <c r="AO178"/>
  <c r="AR178"/>
  <c r="AJ179"/>
  <c r="AL179" s="1"/>
  <c r="AO180"/>
  <c r="AR180"/>
  <c r="AJ181"/>
  <c r="AL181" s="1"/>
  <c r="AO182"/>
  <c r="AR182"/>
  <c r="AJ183"/>
  <c r="AO184"/>
  <c r="AR184"/>
  <c r="AJ185"/>
  <c r="AL185" s="1"/>
  <c r="AO173"/>
  <c r="AR173"/>
  <c r="AL173"/>
  <c r="Q322" i="3"/>
  <c r="BD322"/>
  <c r="BD323"/>
  <c r="Q323"/>
  <c r="AO170" i="2"/>
  <c r="AO172"/>
  <c r="AJ174"/>
  <c r="AL174" s="1"/>
  <c r="AJ176"/>
  <c r="AL176" s="1"/>
  <c r="AJ178"/>
  <c r="AL178" s="1"/>
  <c r="AJ180"/>
  <c r="AL180" s="1"/>
  <c r="AJ182"/>
  <c r="AL182" s="1"/>
  <c r="AJ184"/>
  <c r="AL184" s="1"/>
  <c r="Q321" i="3"/>
  <c r="BD321"/>
  <c r="AL228" i="2"/>
  <c r="AL230"/>
  <c r="AX132" i="3"/>
  <c r="AY120"/>
  <c r="BC120" s="1"/>
  <c r="BB133"/>
  <c r="BA145"/>
  <c r="BA147"/>
  <c r="BB135"/>
  <c r="BF135" s="1"/>
  <c r="AX127"/>
  <c r="AY115"/>
  <c r="BD115" s="1"/>
  <c r="BC115" s="1"/>
  <c r="AX134"/>
  <c r="AY134" s="1"/>
  <c r="BC134" s="1"/>
  <c r="AY122"/>
  <c r="BC122" s="1"/>
  <c r="BD103"/>
  <c r="BC103"/>
  <c r="BB116"/>
  <c r="BA128"/>
  <c r="BB128" s="1"/>
  <c r="N124"/>
  <c r="H124" i="10" s="1"/>
  <c r="I124" s="1"/>
  <c r="O112" i="3"/>
  <c r="J112" i="10" s="1"/>
  <c r="K117" i="3"/>
  <c r="D117" i="10" s="1"/>
  <c r="E117" s="1"/>
  <c r="L105" i="3"/>
  <c r="P105" s="1"/>
  <c r="N158"/>
  <c r="H158" i="10" s="1"/>
  <c r="I158" s="1"/>
  <c r="O146" i="3"/>
  <c r="J146" i="10" s="1"/>
  <c r="AE186" i="2"/>
  <c r="AL229"/>
  <c r="E169"/>
  <c r="AQ168"/>
  <c r="AP168"/>
  <c r="AN168"/>
  <c r="AK168" s="1"/>
  <c r="AM168"/>
  <c r="AC168"/>
  <c r="E168"/>
  <c r="AQ167"/>
  <c r="AP167"/>
  <c r="AN167"/>
  <c r="AK167" s="1"/>
  <c r="AM167"/>
  <c r="AC167"/>
  <c r="E167"/>
  <c r="AQ166"/>
  <c r="AP166"/>
  <c r="AN166"/>
  <c r="AM166"/>
  <c r="AK166"/>
  <c r="AC166"/>
  <c r="E166"/>
  <c r="AQ165"/>
  <c r="AP165"/>
  <c r="AN165"/>
  <c r="AK165" s="1"/>
  <c r="AM165"/>
  <c r="AC165"/>
  <c r="E165"/>
  <c r="AQ164"/>
  <c r="AP164"/>
  <c r="AN164"/>
  <c r="AM164"/>
  <c r="AK164"/>
  <c r="AC164"/>
  <c r="E164"/>
  <c r="AQ163"/>
  <c r="AP163"/>
  <c r="AN163"/>
  <c r="AM163"/>
  <c r="AC163"/>
  <c r="E163"/>
  <c r="AQ162"/>
  <c r="AP162"/>
  <c r="AN162"/>
  <c r="AK162" s="1"/>
  <c r="AM162"/>
  <c r="AC162"/>
  <c r="E162"/>
  <c r="AQ161"/>
  <c r="AP161"/>
  <c r="AN161"/>
  <c r="AK161" s="1"/>
  <c r="AM161"/>
  <c r="AC161"/>
  <c r="E161"/>
  <c r="AQ160"/>
  <c r="AP160"/>
  <c r="AN160"/>
  <c r="AM160"/>
  <c r="AK160"/>
  <c r="AC160"/>
  <c r="E160"/>
  <c r="AQ159"/>
  <c r="AP159"/>
  <c r="AN159"/>
  <c r="AK159" s="1"/>
  <c r="AM159"/>
  <c r="AC159"/>
  <c r="E159"/>
  <c r="AQ158"/>
  <c r="AP158"/>
  <c r="AN158"/>
  <c r="AM158"/>
  <c r="AK158"/>
  <c r="AC158"/>
  <c r="E158"/>
  <c r="AQ157"/>
  <c r="AP157"/>
  <c r="AM157"/>
  <c r="AC157"/>
  <c r="G157"/>
  <c r="AN157" s="1"/>
  <c r="E157"/>
  <c r="AQ156"/>
  <c r="AP156"/>
  <c r="AN156"/>
  <c r="AK156" s="1"/>
  <c r="AM156"/>
  <c r="AJ156" s="1"/>
  <c r="AC156"/>
  <c r="E156"/>
  <c r="AQ155"/>
  <c r="AP155"/>
  <c r="AN155"/>
  <c r="AM155"/>
  <c r="AK155"/>
  <c r="AC155"/>
  <c r="E155"/>
  <c r="AQ154"/>
  <c r="AP154"/>
  <c r="AN154"/>
  <c r="AK154" s="1"/>
  <c r="AM154"/>
  <c r="AC154"/>
  <c r="AD154" s="1"/>
  <c r="E154"/>
  <c r="AQ153"/>
  <c r="AP153"/>
  <c r="AN153"/>
  <c r="AM153"/>
  <c r="AK153"/>
  <c r="AC153"/>
  <c r="E153"/>
  <c r="AQ152"/>
  <c r="AP152"/>
  <c r="AN152"/>
  <c r="AK152" s="1"/>
  <c r="AM152"/>
  <c r="AC152"/>
  <c r="E152"/>
  <c r="AQ151"/>
  <c r="AP151"/>
  <c r="AN151"/>
  <c r="AM151"/>
  <c r="AK151"/>
  <c r="AC151"/>
  <c r="E151"/>
  <c r="AQ150"/>
  <c r="AP150"/>
  <c r="AN150"/>
  <c r="AM150"/>
  <c r="AC150"/>
  <c r="E150"/>
  <c r="AQ149"/>
  <c r="AP149"/>
  <c r="AN149"/>
  <c r="AK149" s="1"/>
  <c r="AM149"/>
  <c r="AC149"/>
  <c r="E149"/>
  <c r="AC148"/>
  <c r="E148"/>
  <c r="AC147"/>
  <c r="E147"/>
  <c r="AC146"/>
  <c r="E146"/>
  <c r="AC145"/>
  <c r="E145"/>
  <c r="AC144"/>
  <c r="E144"/>
  <c r="AC143"/>
  <c r="E143"/>
  <c r="AC142"/>
  <c r="E142"/>
  <c r="AC141"/>
  <c r="E141"/>
  <c r="AC140"/>
  <c r="E140"/>
  <c r="AC139"/>
  <c r="E139"/>
  <c r="AC138"/>
  <c r="E138"/>
  <c r="AC137"/>
  <c r="E137"/>
  <c r="AC136"/>
  <c r="E136"/>
  <c r="AC135"/>
  <c r="E135"/>
  <c r="AC134"/>
  <c r="E134"/>
  <c r="AC133"/>
  <c r="E133"/>
  <c r="AC132"/>
  <c r="E132"/>
  <c r="AC131"/>
  <c r="E131"/>
  <c r="AC130"/>
  <c r="E130"/>
  <c r="AC129"/>
  <c r="E129"/>
  <c r="AC128"/>
  <c r="E128"/>
  <c r="AC127"/>
  <c r="E127"/>
  <c r="AC126"/>
  <c r="E126"/>
  <c r="AC125"/>
  <c r="E125"/>
  <c r="AC124"/>
  <c r="E124"/>
  <c r="AC123"/>
  <c r="E123"/>
  <c r="AC122"/>
  <c r="E122"/>
  <c r="AC121"/>
  <c r="E121"/>
  <c r="AC120"/>
  <c r="E120"/>
  <c r="AC119"/>
  <c r="E119"/>
  <c r="AC118"/>
  <c r="E118"/>
  <c r="AC117"/>
  <c r="E117"/>
  <c r="AC116"/>
  <c r="E116"/>
  <c r="AC115"/>
  <c r="E115"/>
  <c r="AC114"/>
  <c r="E114"/>
  <c r="AC113"/>
  <c r="E113"/>
  <c r="AC112"/>
  <c r="E112"/>
  <c r="AC111"/>
  <c r="E111"/>
  <c r="AC110"/>
  <c r="E110"/>
  <c r="AC109"/>
  <c r="E109"/>
  <c r="AC108"/>
  <c r="E108"/>
  <c r="AC107"/>
  <c r="AD107" s="1"/>
  <c r="E107"/>
  <c r="AC106"/>
  <c r="E106"/>
  <c r="AC105"/>
  <c r="E105"/>
  <c r="AC104"/>
  <c r="E104"/>
  <c r="AC103"/>
  <c r="E103"/>
  <c r="AC102"/>
  <c r="E102"/>
  <c r="AC101"/>
  <c r="E101"/>
  <c r="AC100"/>
  <c r="E100"/>
  <c r="AC99"/>
  <c r="E99"/>
  <c r="AC98"/>
  <c r="AD98" s="1"/>
  <c r="E98"/>
  <c r="AC97"/>
  <c r="E97"/>
  <c r="AC96"/>
  <c r="E96"/>
  <c r="AC95"/>
  <c r="E95"/>
  <c r="AC94"/>
  <c r="E94"/>
  <c r="AC93"/>
  <c r="E93"/>
  <c r="AC92"/>
  <c r="E92"/>
  <c r="AC91"/>
  <c r="E91"/>
  <c r="AC90"/>
  <c r="E90"/>
  <c r="AC89"/>
  <c r="E89"/>
  <c r="AC88"/>
  <c r="E88"/>
  <c r="AC87"/>
  <c r="E87"/>
  <c r="AC86"/>
  <c r="E86"/>
  <c r="AC85"/>
  <c r="E85"/>
  <c r="AC84"/>
  <c r="E84"/>
  <c r="AC83"/>
  <c r="E83"/>
  <c r="AC82"/>
  <c r="E82"/>
  <c r="AC81"/>
  <c r="E81"/>
  <c r="AC80"/>
  <c r="E80"/>
  <c r="AC79"/>
  <c r="E79"/>
  <c r="AC78"/>
  <c r="E78"/>
  <c r="AC77"/>
  <c r="E77"/>
  <c r="AC76"/>
  <c r="E76"/>
  <c r="AC75"/>
  <c r="E75"/>
  <c r="AC74"/>
  <c r="E74"/>
  <c r="AC73"/>
  <c r="E73"/>
  <c r="AC72"/>
  <c r="E72"/>
  <c r="AC71"/>
  <c r="E71"/>
  <c r="AC70"/>
  <c r="E70"/>
  <c r="AC69"/>
  <c r="E69"/>
  <c r="AC68"/>
  <c r="AD68" s="1"/>
  <c r="E68"/>
  <c r="AC67"/>
  <c r="E67"/>
  <c r="AC66"/>
  <c r="E66"/>
  <c r="AC65"/>
  <c r="E65"/>
  <c r="AC64"/>
  <c r="E64"/>
  <c r="AC63"/>
  <c r="E63"/>
  <c r="AC62"/>
  <c r="E62"/>
  <c r="AC61"/>
  <c r="E61"/>
  <c r="AC60"/>
  <c r="E60"/>
  <c r="AC59"/>
  <c r="E59"/>
  <c r="AC58"/>
  <c r="E58"/>
  <c r="AC57"/>
  <c r="E57"/>
  <c r="AC56"/>
  <c r="E56"/>
  <c r="AC55"/>
  <c r="E55"/>
  <c r="AC54"/>
  <c r="E54"/>
  <c r="AC53"/>
  <c r="E53"/>
  <c r="AC52"/>
  <c r="AD52" s="1"/>
  <c r="E52"/>
  <c r="AC51"/>
  <c r="E51"/>
  <c r="AC50"/>
  <c r="E50"/>
  <c r="AC49"/>
  <c r="E49"/>
  <c r="AC48"/>
  <c r="E48"/>
  <c r="AC47"/>
  <c r="E47"/>
  <c r="AC46"/>
  <c r="E46"/>
  <c r="AC45"/>
  <c r="E45"/>
  <c r="AC44"/>
  <c r="E44"/>
  <c r="AC43"/>
  <c r="E43"/>
  <c r="AC42"/>
  <c r="E42"/>
  <c r="AC41"/>
  <c r="E41"/>
  <c r="BE40"/>
  <c r="BE52" s="1"/>
  <c r="BA40"/>
  <c r="BA52" s="1"/>
  <c r="AC40"/>
  <c r="O40"/>
  <c r="L40"/>
  <c r="M40" s="1"/>
  <c r="E40"/>
  <c r="BE39"/>
  <c r="BE51" s="1"/>
  <c r="BA39"/>
  <c r="BA51" s="1"/>
  <c r="AC39"/>
  <c r="O39"/>
  <c r="P39" s="1"/>
  <c r="L39"/>
  <c r="M39" s="1"/>
  <c r="E39"/>
  <c r="BE38"/>
  <c r="BF38" s="1"/>
  <c r="BI38" s="1"/>
  <c r="BA38"/>
  <c r="BB38" s="1"/>
  <c r="BH38" s="1"/>
  <c r="AC38"/>
  <c r="O38"/>
  <c r="P38" s="1"/>
  <c r="L38"/>
  <c r="M38" s="1"/>
  <c r="E38"/>
  <c r="BE37"/>
  <c r="BE49" s="1"/>
  <c r="BA37"/>
  <c r="BA49" s="1"/>
  <c r="AC37"/>
  <c r="O37"/>
  <c r="L37"/>
  <c r="E37"/>
  <c r="BE36"/>
  <c r="BE48" s="1"/>
  <c r="BA36"/>
  <c r="BA48" s="1"/>
  <c r="AC36"/>
  <c r="O36"/>
  <c r="P36" s="1"/>
  <c r="L36"/>
  <c r="M36" s="1"/>
  <c r="E36"/>
  <c r="BE35"/>
  <c r="BF35" s="1"/>
  <c r="BI35" s="1"/>
  <c r="BA35"/>
  <c r="BB35" s="1"/>
  <c r="BH35" s="1"/>
  <c r="AC35"/>
  <c r="O35"/>
  <c r="O47" s="1"/>
  <c r="O59" s="1"/>
  <c r="P59" s="1"/>
  <c r="R59" s="1"/>
  <c r="L35"/>
  <c r="L47" s="1"/>
  <c r="L59" s="1"/>
  <c r="E35"/>
  <c r="BE34"/>
  <c r="BF34" s="1"/>
  <c r="BI34" s="1"/>
  <c r="BA34"/>
  <c r="BB34" s="1"/>
  <c r="BH34" s="1"/>
  <c r="AC34"/>
  <c r="AD34" s="1"/>
  <c r="O34"/>
  <c r="P34" s="1"/>
  <c r="L34"/>
  <c r="M34" s="1"/>
  <c r="E34"/>
  <c r="BE33"/>
  <c r="BF33" s="1"/>
  <c r="BI33" s="1"/>
  <c r="BA33"/>
  <c r="BB33" s="1"/>
  <c r="BH33" s="1"/>
  <c r="AC33"/>
  <c r="AD33" s="1"/>
  <c r="O33"/>
  <c r="P33" s="1"/>
  <c r="L33"/>
  <c r="M33" s="1"/>
  <c r="E33"/>
  <c r="BE32"/>
  <c r="BE44" s="1"/>
  <c r="BA32"/>
  <c r="BA44" s="1"/>
  <c r="AV32"/>
  <c r="AW33" s="1"/>
  <c r="AU32"/>
  <c r="AO32"/>
  <c r="AP33" s="1"/>
  <c r="AK32"/>
  <c r="AC32"/>
  <c r="O32"/>
  <c r="O44" s="1"/>
  <c r="P44" s="1"/>
  <c r="L32"/>
  <c r="L44" s="1"/>
  <c r="M44" s="1"/>
  <c r="E32"/>
  <c r="BE31"/>
  <c r="BF31" s="1"/>
  <c r="BI31" s="1"/>
  <c r="BA31"/>
  <c r="BB31" s="1"/>
  <c r="BH31" s="1"/>
  <c r="AV31"/>
  <c r="AU31"/>
  <c r="AO31"/>
  <c r="AK31"/>
  <c r="AC31"/>
  <c r="O31"/>
  <c r="O43" s="1"/>
  <c r="L31"/>
  <c r="L43" s="1"/>
  <c r="E31"/>
  <c r="BE30"/>
  <c r="BF30" s="1"/>
  <c r="BI30" s="1"/>
  <c r="BA30"/>
  <c r="BB30" s="1"/>
  <c r="BH30" s="1"/>
  <c r="AV30"/>
  <c r="AU30"/>
  <c r="AO30"/>
  <c r="AK30"/>
  <c r="AC30"/>
  <c r="O30"/>
  <c r="O42" s="1"/>
  <c r="O54" s="1"/>
  <c r="O66" s="1"/>
  <c r="L30"/>
  <c r="L42" s="1"/>
  <c r="L54" s="1"/>
  <c r="L66" s="1"/>
  <c r="E30"/>
  <c r="BE29"/>
  <c r="BE41" s="1"/>
  <c r="BA29"/>
  <c r="BA41" s="1"/>
  <c r="AV29"/>
  <c r="AU29"/>
  <c r="AO29"/>
  <c r="AK29"/>
  <c r="AC29"/>
  <c r="O29"/>
  <c r="L29"/>
  <c r="E29"/>
  <c r="BF28"/>
  <c r="BI28" s="1"/>
  <c r="BB28"/>
  <c r="BH28" s="1"/>
  <c r="AV28"/>
  <c r="AU28"/>
  <c r="AO28"/>
  <c r="AK28"/>
  <c r="AC28"/>
  <c r="P28"/>
  <c r="M28"/>
  <c r="E28"/>
  <c r="BF27"/>
  <c r="BI27" s="1"/>
  <c r="BB27"/>
  <c r="BH27" s="1"/>
  <c r="AV27"/>
  <c r="AU27"/>
  <c r="AO27"/>
  <c r="AK27"/>
  <c r="AC27"/>
  <c r="P27"/>
  <c r="M27"/>
  <c r="E27"/>
  <c r="BF26"/>
  <c r="BI26" s="1"/>
  <c r="BB26"/>
  <c r="BH26" s="1"/>
  <c r="AV26"/>
  <c r="AU26"/>
  <c r="AO26"/>
  <c r="AK26"/>
  <c r="AC26"/>
  <c r="P26"/>
  <c r="M26"/>
  <c r="E26"/>
  <c r="BF25"/>
  <c r="BI25" s="1"/>
  <c r="BB25"/>
  <c r="BH25" s="1"/>
  <c r="AV25"/>
  <c r="AU25"/>
  <c r="AO25"/>
  <c r="AK25"/>
  <c r="AC25"/>
  <c r="AD25" s="1"/>
  <c r="P25"/>
  <c r="M25"/>
  <c r="E25"/>
  <c r="BF24"/>
  <c r="BI24" s="1"/>
  <c r="BB24"/>
  <c r="BH24" s="1"/>
  <c r="AV24"/>
  <c r="AU24"/>
  <c r="AO24"/>
  <c r="AK24"/>
  <c r="AC24"/>
  <c r="P24"/>
  <c r="M24"/>
  <c r="E24"/>
  <c r="BF23"/>
  <c r="BI23" s="1"/>
  <c r="BB23"/>
  <c r="BH23" s="1"/>
  <c r="AV23"/>
  <c r="AU23"/>
  <c r="AO23"/>
  <c r="AK23"/>
  <c r="AC23"/>
  <c r="P23"/>
  <c r="M23"/>
  <c r="E23"/>
  <c r="BF22"/>
  <c r="BI22" s="1"/>
  <c r="BB22"/>
  <c r="BH22" s="1"/>
  <c r="AV22"/>
  <c r="AU22"/>
  <c r="AO22"/>
  <c r="AK22"/>
  <c r="AC22"/>
  <c r="P22"/>
  <c r="M22"/>
  <c r="E22"/>
  <c r="BF21"/>
  <c r="BI21" s="1"/>
  <c r="BB21"/>
  <c r="BH21" s="1"/>
  <c r="AV21"/>
  <c r="AU21"/>
  <c r="AO21"/>
  <c r="AK21"/>
  <c r="AC21"/>
  <c r="P21"/>
  <c r="M21"/>
  <c r="E21"/>
  <c r="BF20"/>
  <c r="BI20" s="1"/>
  <c r="BB20"/>
  <c r="BH20" s="1"/>
  <c r="AV20"/>
  <c r="AU20"/>
  <c r="AO20"/>
  <c r="AK20"/>
  <c r="AC20"/>
  <c r="P20"/>
  <c r="M20"/>
  <c r="E20"/>
  <c r="BF19"/>
  <c r="BI19" s="1"/>
  <c r="BB19"/>
  <c r="BH19" s="1"/>
  <c r="AV19"/>
  <c r="AU19"/>
  <c r="AO19"/>
  <c r="AK19"/>
  <c r="AC19"/>
  <c r="P19"/>
  <c r="M19"/>
  <c r="E19"/>
  <c r="BF18"/>
  <c r="BI18" s="1"/>
  <c r="BB18"/>
  <c r="BH18" s="1"/>
  <c r="AO18"/>
  <c r="AK18"/>
  <c r="AC18"/>
  <c r="P18"/>
  <c r="M18"/>
  <c r="E18"/>
  <c r="BF17"/>
  <c r="BI17" s="1"/>
  <c r="BB17"/>
  <c r="BH17" s="1"/>
  <c r="AO17"/>
  <c r="AK17"/>
  <c r="AC17"/>
  <c r="P17"/>
  <c r="M17"/>
  <c r="E17"/>
  <c r="AO16"/>
  <c r="AK16"/>
  <c r="AO15"/>
  <c r="AK15"/>
  <c r="AO14"/>
  <c r="AK14"/>
  <c r="AO13"/>
  <c r="AK13"/>
  <c r="AO12"/>
  <c r="AK12"/>
  <c r="AO11"/>
  <c r="AK11"/>
  <c r="AO10"/>
  <c r="AK10"/>
  <c r="M10"/>
  <c r="K10"/>
  <c r="AO9"/>
  <c r="AK9"/>
  <c r="AO8"/>
  <c r="AK8"/>
  <c r="Z316" i="4"/>
  <c r="AA328" s="1"/>
  <c r="G315"/>
  <c r="Z314"/>
  <c r="AA326" s="1"/>
  <c r="G313"/>
  <c r="Z312"/>
  <c r="AA324" s="1"/>
  <c r="Z311"/>
  <c r="AA323" s="1"/>
  <c r="Z310"/>
  <c r="AA322" s="1"/>
  <c r="Z309"/>
  <c r="AA321" s="1"/>
  <c r="Z308"/>
  <c r="AA320" s="1"/>
  <c r="Z307"/>
  <c r="AA319" s="1"/>
  <c r="Z306"/>
  <c r="AA318" s="1"/>
  <c r="Z305"/>
  <c r="AA317" s="1"/>
  <c r="G304"/>
  <c r="Z304"/>
  <c r="Z303"/>
  <c r="Z302"/>
  <c r="Z301"/>
  <c r="Z300"/>
  <c r="Z299"/>
  <c r="Z298"/>
  <c r="G297"/>
  <c r="Z297"/>
  <c r="G296"/>
  <c r="Z296"/>
  <c r="G295"/>
  <c r="Z295"/>
  <c r="G294"/>
  <c r="Z294"/>
  <c r="G293"/>
  <c r="Z292"/>
  <c r="Z291"/>
  <c r="Z290"/>
  <c r="Z289"/>
  <c r="Z288"/>
  <c r="Z287"/>
  <c r="G286"/>
  <c r="G285"/>
  <c r="G284"/>
  <c r="Z283"/>
  <c r="G282"/>
  <c r="Z281"/>
  <c r="Z280"/>
  <c r="G279"/>
  <c r="Z278"/>
  <c r="Z277"/>
  <c r="G276"/>
  <c r="G275"/>
  <c r="Z274"/>
  <c r="Z273"/>
  <c r="Z272"/>
  <c r="G271"/>
  <c r="G270"/>
  <c r="Z269"/>
  <c r="Z268"/>
  <c r="Z267"/>
  <c r="Z266"/>
  <c r="Z263"/>
  <c r="Z262"/>
  <c r="Z261"/>
  <c r="Z260"/>
  <c r="Z259"/>
  <c r="Z258"/>
  <c r="G257"/>
  <c r="BO256"/>
  <c r="BO268" s="1"/>
  <c r="BO280" s="1"/>
  <c r="BO292" s="1"/>
  <c r="BO304" s="1"/>
  <c r="BO316" s="1"/>
  <c r="BO328" s="1"/>
  <c r="BO340" s="1"/>
  <c r="BO352" s="1"/>
  <c r="BO364" s="1"/>
  <c r="BN256"/>
  <c r="BN268" s="1"/>
  <c r="BN280" s="1"/>
  <c r="BN292" s="1"/>
  <c r="BN304" s="1"/>
  <c r="BN316" s="1"/>
  <c r="BN328" s="1"/>
  <c r="BN340" s="1"/>
  <c r="BN352" s="1"/>
  <c r="BN364" s="1"/>
  <c r="Z256"/>
  <c r="BO255"/>
  <c r="BO267" s="1"/>
  <c r="BO279" s="1"/>
  <c r="BO291" s="1"/>
  <c r="BO303" s="1"/>
  <c r="BO315" s="1"/>
  <c r="BO327" s="1"/>
  <c r="BO339" s="1"/>
  <c r="BO351" s="1"/>
  <c r="BO363" s="1"/>
  <c r="BN255"/>
  <c r="BN267" s="1"/>
  <c r="BN279" s="1"/>
  <c r="BN291" s="1"/>
  <c r="BN303" s="1"/>
  <c r="BN315" s="1"/>
  <c r="BN327" s="1"/>
  <c r="BN339" s="1"/>
  <c r="BN351" s="1"/>
  <c r="BN363" s="1"/>
  <c r="Z255"/>
  <c r="BO254"/>
  <c r="BO266" s="1"/>
  <c r="BO278" s="1"/>
  <c r="BO290" s="1"/>
  <c r="BO302" s="1"/>
  <c r="BO314" s="1"/>
  <c r="BO326" s="1"/>
  <c r="BO338" s="1"/>
  <c r="BO350" s="1"/>
  <c r="BO362" s="1"/>
  <c r="BN254"/>
  <c r="BN266" s="1"/>
  <c r="BN278" s="1"/>
  <c r="BN290" s="1"/>
  <c r="BN302" s="1"/>
  <c r="BN314" s="1"/>
  <c r="BN326" s="1"/>
  <c r="BN338" s="1"/>
  <c r="BN350" s="1"/>
  <c r="BN362" s="1"/>
  <c r="Z254"/>
  <c r="BO253"/>
  <c r="BO265" s="1"/>
  <c r="BO277" s="1"/>
  <c r="BO289" s="1"/>
  <c r="BO301" s="1"/>
  <c r="BO313" s="1"/>
  <c r="BO325" s="1"/>
  <c r="BO337" s="1"/>
  <c r="BO349" s="1"/>
  <c r="BO361" s="1"/>
  <c r="BN253"/>
  <c r="BN265" s="1"/>
  <c r="BN277" s="1"/>
  <c r="BN289" s="1"/>
  <c r="BN301" s="1"/>
  <c r="BN313" s="1"/>
  <c r="BN325" s="1"/>
  <c r="BN337" s="1"/>
  <c r="BN349" s="1"/>
  <c r="BN361" s="1"/>
  <c r="G253"/>
  <c r="BO252"/>
  <c r="BO264" s="1"/>
  <c r="BO276" s="1"/>
  <c r="BO288" s="1"/>
  <c r="BO300" s="1"/>
  <c r="BO312" s="1"/>
  <c r="BO324" s="1"/>
  <c r="BO336" s="1"/>
  <c r="BO348" s="1"/>
  <c r="BO360" s="1"/>
  <c r="BN252"/>
  <c r="BN264" s="1"/>
  <c r="BN276" s="1"/>
  <c r="BN288" s="1"/>
  <c r="BN300" s="1"/>
  <c r="BN312" s="1"/>
  <c r="BN324" s="1"/>
  <c r="BN336" s="1"/>
  <c r="BN348" s="1"/>
  <c r="BN360" s="1"/>
  <c r="G252"/>
  <c r="BO251"/>
  <c r="BO263" s="1"/>
  <c r="BO275" s="1"/>
  <c r="BO287" s="1"/>
  <c r="BO299" s="1"/>
  <c r="BO311" s="1"/>
  <c r="BO323" s="1"/>
  <c r="BO335" s="1"/>
  <c r="BO347" s="1"/>
  <c r="BO359" s="1"/>
  <c r="BO371" s="1"/>
  <c r="BN251"/>
  <c r="BN263" s="1"/>
  <c r="BN275" s="1"/>
  <c r="BN287" s="1"/>
  <c r="BN299" s="1"/>
  <c r="BN311" s="1"/>
  <c r="BN323" s="1"/>
  <c r="BN335" s="1"/>
  <c r="BN347" s="1"/>
  <c r="BN359" s="1"/>
  <c r="BN371" s="1"/>
  <c r="G251"/>
  <c r="BO250"/>
  <c r="BO262" s="1"/>
  <c r="BO274" s="1"/>
  <c r="BO286" s="1"/>
  <c r="BO298" s="1"/>
  <c r="BO310" s="1"/>
  <c r="BO322" s="1"/>
  <c r="BO334" s="1"/>
  <c r="BO346" s="1"/>
  <c r="BO358" s="1"/>
  <c r="BO370" s="1"/>
  <c r="BN250"/>
  <c r="BN262" s="1"/>
  <c r="BN274" s="1"/>
  <c r="BN286" s="1"/>
  <c r="BN298" s="1"/>
  <c r="BN310" s="1"/>
  <c r="BN322" s="1"/>
  <c r="BN334" s="1"/>
  <c r="BN346" s="1"/>
  <c r="BN358" s="1"/>
  <c r="BN370" s="1"/>
  <c r="Z250"/>
  <c r="BO249"/>
  <c r="BO261" s="1"/>
  <c r="BO273" s="1"/>
  <c r="BO285" s="1"/>
  <c r="BO297" s="1"/>
  <c r="BO309" s="1"/>
  <c r="BO321" s="1"/>
  <c r="BO333" s="1"/>
  <c r="BO345" s="1"/>
  <c r="BO357" s="1"/>
  <c r="BO369" s="1"/>
  <c r="BN249"/>
  <c r="BN261" s="1"/>
  <c r="BN273" s="1"/>
  <c r="BN285" s="1"/>
  <c r="BN297" s="1"/>
  <c r="BN309" s="1"/>
  <c r="BN321" s="1"/>
  <c r="BN333" s="1"/>
  <c r="BN345" s="1"/>
  <c r="BN357" s="1"/>
  <c r="BN369" s="1"/>
  <c r="G249"/>
  <c r="BO248"/>
  <c r="BO260" s="1"/>
  <c r="BO272" s="1"/>
  <c r="BO284" s="1"/>
  <c r="BO296" s="1"/>
  <c r="BO308" s="1"/>
  <c r="BO320" s="1"/>
  <c r="BO332" s="1"/>
  <c r="BO344" s="1"/>
  <c r="BO356" s="1"/>
  <c r="BO368" s="1"/>
  <c r="BN248"/>
  <c r="BN260" s="1"/>
  <c r="BN272" s="1"/>
  <c r="BN284" s="1"/>
  <c r="BN296" s="1"/>
  <c r="BN308" s="1"/>
  <c r="BN320" s="1"/>
  <c r="BN332" s="1"/>
  <c r="BN344" s="1"/>
  <c r="BN356" s="1"/>
  <c r="BN368" s="1"/>
  <c r="G248"/>
  <c r="BO247"/>
  <c r="BO259" s="1"/>
  <c r="BO271" s="1"/>
  <c r="BO283" s="1"/>
  <c r="BO295" s="1"/>
  <c r="BO307" s="1"/>
  <c r="BO319" s="1"/>
  <c r="BO331" s="1"/>
  <c r="BO343" s="1"/>
  <c r="BO355" s="1"/>
  <c r="BO367" s="1"/>
  <c r="BN247"/>
  <c r="BN259" s="1"/>
  <c r="BN271" s="1"/>
  <c r="BN283" s="1"/>
  <c r="BN295" s="1"/>
  <c r="BN307" s="1"/>
  <c r="BN319" s="1"/>
  <c r="BN331" s="1"/>
  <c r="BN343" s="1"/>
  <c r="BN355" s="1"/>
  <c r="BN367" s="1"/>
  <c r="Z247"/>
  <c r="BO246"/>
  <c r="BO258" s="1"/>
  <c r="BO270" s="1"/>
  <c r="BO282" s="1"/>
  <c r="BO294" s="1"/>
  <c r="BO306" s="1"/>
  <c r="BO318" s="1"/>
  <c r="BO330" s="1"/>
  <c r="BO342" s="1"/>
  <c r="BO354" s="1"/>
  <c r="BO366" s="1"/>
  <c r="BN246"/>
  <c r="BN258" s="1"/>
  <c r="BN270" s="1"/>
  <c r="BN282" s="1"/>
  <c r="BN294" s="1"/>
  <c r="BN306" s="1"/>
  <c r="BN318" s="1"/>
  <c r="BN330" s="1"/>
  <c r="BN342" s="1"/>
  <c r="BN354" s="1"/>
  <c r="BN366" s="1"/>
  <c r="Z246"/>
  <c r="BO245"/>
  <c r="BO257" s="1"/>
  <c r="BO269" s="1"/>
  <c r="BO281" s="1"/>
  <c r="BO293" s="1"/>
  <c r="BO305" s="1"/>
  <c r="BO317" s="1"/>
  <c r="BO329" s="1"/>
  <c r="BO341" s="1"/>
  <c r="BO353" s="1"/>
  <c r="BO365" s="1"/>
  <c r="BN245"/>
  <c r="BN257" s="1"/>
  <c r="BN269" s="1"/>
  <c r="BN281" s="1"/>
  <c r="BN293" s="1"/>
  <c r="BN305" s="1"/>
  <c r="BN317" s="1"/>
  <c r="BN329" s="1"/>
  <c r="BN341" s="1"/>
  <c r="BN353" s="1"/>
  <c r="BN365" s="1"/>
  <c r="G245"/>
  <c r="G244"/>
  <c r="Z243"/>
  <c r="Z242"/>
  <c r="G241"/>
  <c r="G240"/>
  <c r="G239"/>
  <c r="G238"/>
  <c r="G237"/>
  <c r="G236"/>
  <c r="G235"/>
  <c r="Z234"/>
  <c r="Z233"/>
  <c r="Z232"/>
  <c r="B232"/>
  <c r="B244" s="1"/>
  <c r="B256" s="1"/>
  <c r="B268" s="1"/>
  <c r="B280" s="1"/>
  <c r="B292" s="1"/>
  <c r="B304" s="1"/>
  <c r="B316" s="1"/>
  <c r="B328" s="1"/>
  <c r="B340" s="1"/>
  <c r="B352" s="1"/>
  <c r="B364" s="1"/>
  <c r="B376" s="1"/>
  <c r="A232"/>
  <c r="A244" s="1"/>
  <c r="A256" s="1"/>
  <c r="A268" s="1"/>
  <c r="A280" s="1"/>
  <c r="A292" s="1"/>
  <c r="A304" s="1"/>
  <c r="A316" s="1"/>
  <c r="A328" s="1"/>
  <c r="A340" s="1"/>
  <c r="A352" s="1"/>
  <c r="A364" s="1"/>
  <c r="A376" s="1"/>
  <c r="Z231"/>
  <c r="B231"/>
  <c r="B243" s="1"/>
  <c r="B255" s="1"/>
  <c r="B267" s="1"/>
  <c r="B279" s="1"/>
  <c r="B291" s="1"/>
  <c r="B303" s="1"/>
  <c r="B315" s="1"/>
  <c r="B327" s="1"/>
  <c r="B339" s="1"/>
  <c r="B351" s="1"/>
  <c r="B363" s="1"/>
  <c r="B375" s="1"/>
  <c r="A231"/>
  <c r="A243" s="1"/>
  <c r="A255" s="1"/>
  <c r="A267" s="1"/>
  <c r="A279" s="1"/>
  <c r="A291" s="1"/>
  <c r="A303" s="1"/>
  <c r="A315" s="1"/>
  <c r="A327" s="1"/>
  <c r="A339" s="1"/>
  <c r="A351" s="1"/>
  <c r="A363" s="1"/>
  <c r="A375" s="1"/>
  <c r="Z230"/>
  <c r="B230"/>
  <c r="B242" s="1"/>
  <c r="B254" s="1"/>
  <c r="B266" s="1"/>
  <c r="B278" s="1"/>
  <c r="B290" s="1"/>
  <c r="B302" s="1"/>
  <c r="B314" s="1"/>
  <c r="B326" s="1"/>
  <c r="B338" s="1"/>
  <c r="B350" s="1"/>
  <c r="B362" s="1"/>
  <c r="B374" s="1"/>
  <c r="A230"/>
  <c r="A242" s="1"/>
  <c r="A254" s="1"/>
  <c r="A266" s="1"/>
  <c r="A278" s="1"/>
  <c r="A290" s="1"/>
  <c r="A302" s="1"/>
  <c r="A314" s="1"/>
  <c r="A326" s="1"/>
  <c r="A338" s="1"/>
  <c r="A350" s="1"/>
  <c r="A362" s="1"/>
  <c r="A374" s="1"/>
  <c r="G229"/>
  <c r="B229"/>
  <c r="B241" s="1"/>
  <c r="B253" s="1"/>
  <c r="B265" s="1"/>
  <c r="B277" s="1"/>
  <c r="B289" s="1"/>
  <c r="B301" s="1"/>
  <c r="B313" s="1"/>
  <c r="B325" s="1"/>
  <c r="B337" s="1"/>
  <c r="B349" s="1"/>
  <c r="B361" s="1"/>
  <c r="B373" s="1"/>
  <c r="A229"/>
  <c r="A241" s="1"/>
  <c r="A253" s="1"/>
  <c r="A265" s="1"/>
  <c r="A277" s="1"/>
  <c r="A289" s="1"/>
  <c r="A301" s="1"/>
  <c r="A313" s="1"/>
  <c r="A325" s="1"/>
  <c r="A337" s="1"/>
  <c r="A349" s="1"/>
  <c r="A361" s="1"/>
  <c r="A373" s="1"/>
  <c r="G228"/>
  <c r="B228"/>
  <c r="B240" s="1"/>
  <c r="B252" s="1"/>
  <c r="B264" s="1"/>
  <c r="B276" s="1"/>
  <c r="B288" s="1"/>
  <c r="B300" s="1"/>
  <c r="B312" s="1"/>
  <c r="B324" s="1"/>
  <c r="B336" s="1"/>
  <c r="B348" s="1"/>
  <c r="B360" s="1"/>
  <c r="B372" s="1"/>
  <c r="A228"/>
  <c r="A240" s="1"/>
  <c r="A252" s="1"/>
  <c r="A264" s="1"/>
  <c r="A276" s="1"/>
  <c r="A288" s="1"/>
  <c r="A300" s="1"/>
  <c r="A312" s="1"/>
  <c r="A324" s="1"/>
  <c r="A336" s="1"/>
  <c r="A348" s="1"/>
  <c r="A360" s="1"/>
  <c r="A372" s="1"/>
  <c r="G227"/>
  <c r="B227"/>
  <c r="B239" s="1"/>
  <c r="B251" s="1"/>
  <c r="B263" s="1"/>
  <c r="B275" s="1"/>
  <c r="B287" s="1"/>
  <c r="B299" s="1"/>
  <c r="B311" s="1"/>
  <c r="B323" s="1"/>
  <c r="B335" s="1"/>
  <c r="B347" s="1"/>
  <c r="B359" s="1"/>
  <c r="B371" s="1"/>
  <c r="A227"/>
  <c r="A239" s="1"/>
  <c r="A251" s="1"/>
  <c r="A263" s="1"/>
  <c r="A275" s="1"/>
  <c r="A287" s="1"/>
  <c r="A299" s="1"/>
  <c r="A311" s="1"/>
  <c r="A323" s="1"/>
  <c r="A335" s="1"/>
  <c r="A347" s="1"/>
  <c r="A359" s="1"/>
  <c r="A371" s="1"/>
  <c r="Z226"/>
  <c r="B226"/>
  <c r="B238" s="1"/>
  <c r="B250" s="1"/>
  <c r="B262" s="1"/>
  <c r="B274" s="1"/>
  <c r="B286" s="1"/>
  <c r="B298" s="1"/>
  <c r="B310" s="1"/>
  <c r="B322" s="1"/>
  <c r="B334" s="1"/>
  <c r="B346" s="1"/>
  <c r="B358" s="1"/>
  <c r="B370" s="1"/>
  <c r="A226"/>
  <c r="A238" s="1"/>
  <c r="A250" s="1"/>
  <c r="A262" s="1"/>
  <c r="A274" s="1"/>
  <c r="A286" s="1"/>
  <c r="A298" s="1"/>
  <c r="A310" s="1"/>
  <c r="A322" s="1"/>
  <c r="A334" s="1"/>
  <c r="A346" s="1"/>
  <c r="A358" s="1"/>
  <c r="A370" s="1"/>
  <c r="Z225"/>
  <c r="B225"/>
  <c r="B237" s="1"/>
  <c r="B249" s="1"/>
  <c r="B261" s="1"/>
  <c r="B273" s="1"/>
  <c r="B285" s="1"/>
  <c r="B297" s="1"/>
  <c r="B309" s="1"/>
  <c r="B321" s="1"/>
  <c r="B333" s="1"/>
  <c r="B345" s="1"/>
  <c r="B357" s="1"/>
  <c r="B369" s="1"/>
  <c r="A225"/>
  <c r="A237" s="1"/>
  <c r="A249" s="1"/>
  <c r="A261" s="1"/>
  <c r="A273" s="1"/>
  <c r="A285" s="1"/>
  <c r="A297" s="1"/>
  <c r="A309" s="1"/>
  <c r="A321" s="1"/>
  <c r="A333" s="1"/>
  <c r="A345" s="1"/>
  <c r="A357" s="1"/>
  <c r="A369" s="1"/>
  <c r="G224"/>
  <c r="B224"/>
  <c r="B236" s="1"/>
  <c r="B248" s="1"/>
  <c r="B260" s="1"/>
  <c r="B272" s="1"/>
  <c r="B284" s="1"/>
  <c r="B296" s="1"/>
  <c r="B308" s="1"/>
  <c r="B320" s="1"/>
  <c r="B332" s="1"/>
  <c r="B344" s="1"/>
  <c r="B356" s="1"/>
  <c r="B368" s="1"/>
  <c r="A224"/>
  <c r="A236" s="1"/>
  <c r="A248" s="1"/>
  <c r="A260" s="1"/>
  <c r="A272" s="1"/>
  <c r="A284" s="1"/>
  <c r="A296" s="1"/>
  <c r="A308" s="1"/>
  <c r="A320" s="1"/>
  <c r="A332" s="1"/>
  <c r="A344" s="1"/>
  <c r="A356" s="1"/>
  <c r="A368" s="1"/>
  <c r="G223"/>
  <c r="B223"/>
  <c r="B235" s="1"/>
  <c r="B247" s="1"/>
  <c r="B259" s="1"/>
  <c r="B271" s="1"/>
  <c r="B283" s="1"/>
  <c r="B295" s="1"/>
  <c r="B307" s="1"/>
  <c r="B319" s="1"/>
  <c r="B331" s="1"/>
  <c r="B343" s="1"/>
  <c r="B355" s="1"/>
  <c r="B367" s="1"/>
  <c r="A223"/>
  <c r="A235" s="1"/>
  <c r="A247" s="1"/>
  <c r="A259" s="1"/>
  <c r="A271" s="1"/>
  <c r="A283" s="1"/>
  <c r="A295" s="1"/>
  <c r="A307" s="1"/>
  <c r="A319" s="1"/>
  <c r="A331" s="1"/>
  <c r="A343" s="1"/>
  <c r="A355" s="1"/>
  <c r="A367" s="1"/>
  <c r="G222"/>
  <c r="B222"/>
  <c r="B234" s="1"/>
  <c r="B246" s="1"/>
  <c r="B258" s="1"/>
  <c r="B270" s="1"/>
  <c r="B282" s="1"/>
  <c r="B294" s="1"/>
  <c r="B306" s="1"/>
  <c r="B318" s="1"/>
  <c r="B330" s="1"/>
  <c r="B342" s="1"/>
  <c r="B354" s="1"/>
  <c r="B366" s="1"/>
  <c r="A222"/>
  <c r="A234" s="1"/>
  <c r="A246" s="1"/>
  <c r="A258" s="1"/>
  <c r="A270" s="1"/>
  <c r="A282" s="1"/>
  <c r="A294" s="1"/>
  <c r="A306" s="1"/>
  <c r="A318" s="1"/>
  <c r="A330" s="1"/>
  <c r="A342" s="1"/>
  <c r="A354" s="1"/>
  <c r="A366" s="1"/>
  <c r="Z221"/>
  <c r="B221"/>
  <c r="B233" s="1"/>
  <c r="B245" s="1"/>
  <c r="B257" s="1"/>
  <c r="B269" s="1"/>
  <c r="B281" s="1"/>
  <c r="B293" s="1"/>
  <c r="B305" s="1"/>
  <c r="B317" s="1"/>
  <c r="B329" s="1"/>
  <c r="B341" s="1"/>
  <c r="B353" s="1"/>
  <c r="B365" s="1"/>
  <c r="B377" s="1"/>
  <c r="A221"/>
  <c r="A233" s="1"/>
  <c r="A245" s="1"/>
  <c r="A257" s="1"/>
  <c r="A269" s="1"/>
  <c r="A281" s="1"/>
  <c r="A293" s="1"/>
  <c r="A305" s="1"/>
  <c r="A317" s="1"/>
  <c r="A329" s="1"/>
  <c r="A341" s="1"/>
  <c r="A353" s="1"/>
  <c r="A365" s="1"/>
  <c r="A377" s="1"/>
  <c r="Z219"/>
  <c r="G218"/>
  <c r="Z216"/>
  <c r="Z215"/>
  <c r="Z212"/>
  <c r="Z211"/>
  <c r="Z209"/>
  <c r="Z208"/>
  <c r="AB208" s="1"/>
  <c r="Z206"/>
  <c r="AB206" s="1"/>
  <c r="Z205"/>
  <c r="AB205" s="1"/>
  <c r="Z204"/>
  <c r="AB204" s="1"/>
  <c r="G203"/>
  <c r="G202"/>
  <c r="Z200"/>
  <c r="AB200" s="1"/>
  <c r="Z198"/>
  <c r="AB198" s="1"/>
  <c r="G195"/>
  <c r="G193"/>
  <c r="Z192"/>
  <c r="AB192" s="1"/>
  <c r="Z189"/>
  <c r="AB189" s="1"/>
  <c r="G188"/>
  <c r="Z186"/>
  <c r="AB186" s="1"/>
  <c r="G185"/>
  <c r="Z184"/>
  <c r="AB184" s="1"/>
  <c r="Z180"/>
  <c r="AB180" s="1"/>
  <c r="G179"/>
  <c r="G178"/>
  <c r="Z175"/>
  <c r="AB175" s="1"/>
  <c r="Z174"/>
  <c r="AB174" s="1"/>
  <c r="Z173"/>
  <c r="AB173" s="1"/>
  <c r="Z172"/>
  <c r="AB172" s="1"/>
  <c r="Z171"/>
  <c r="AB171" s="1"/>
  <c r="Z170"/>
  <c r="AB170" s="1"/>
  <c r="Z169"/>
  <c r="AB169" s="1"/>
  <c r="Z168"/>
  <c r="AB168" s="1"/>
  <c r="Z167"/>
  <c r="AB167" s="1"/>
  <c r="Z166"/>
  <c r="AB166" s="1"/>
  <c r="Z165"/>
  <c r="AB165" s="1"/>
  <c r="Z164"/>
  <c r="AB164" s="1"/>
  <c r="Z163"/>
  <c r="AB163" s="1"/>
  <c r="Z162"/>
  <c r="AB162" s="1"/>
  <c r="Z161"/>
  <c r="AB161" s="1"/>
  <c r="Z160"/>
  <c r="AB160" s="1"/>
  <c r="Z159"/>
  <c r="AB159" s="1"/>
  <c r="Z158"/>
  <c r="AB158" s="1"/>
  <c r="Z157"/>
  <c r="AB157" s="1"/>
  <c r="Z156"/>
  <c r="AB156" s="1"/>
  <c r="Z155"/>
  <c r="AB155" s="1"/>
  <c r="Z154"/>
  <c r="AB154" s="1"/>
  <c r="Z153"/>
  <c r="AB153" s="1"/>
  <c r="Z152"/>
  <c r="AB152" s="1"/>
  <c r="Z151"/>
  <c r="AB151" s="1"/>
  <c r="Z150"/>
  <c r="AB150" s="1"/>
  <c r="Z149"/>
  <c r="AB149" s="1"/>
  <c r="Z148"/>
  <c r="AB148" s="1"/>
  <c r="Z147"/>
  <c r="AB147" s="1"/>
  <c r="Z146"/>
  <c r="AB146" s="1"/>
  <c r="Z145"/>
  <c r="AB145" s="1"/>
  <c r="Z144"/>
  <c r="AB144" s="1"/>
  <c r="Z143"/>
  <c r="AB143" s="1"/>
  <c r="Z142"/>
  <c r="AB142" s="1"/>
  <c r="Z141"/>
  <c r="AB141" s="1"/>
  <c r="Z140"/>
  <c r="AB140" s="1"/>
  <c r="Z139"/>
  <c r="AB139" s="1"/>
  <c r="Z138"/>
  <c r="AB138" s="1"/>
  <c r="Z137"/>
  <c r="AB137" s="1"/>
  <c r="Z136"/>
  <c r="AB136" s="1"/>
  <c r="Z135"/>
  <c r="AB135" s="1"/>
  <c r="Z134"/>
  <c r="AB134" s="1"/>
  <c r="Z133"/>
  <c r="AB133" s="1"/>
  <c r="Z132"/>
  <c r="AB132" s="1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Z61"/>
  <c r="AB61" s="1"/>
  <c r="Z60"/>
  <c r="AB60" s="1"/>
  <c r="Z59"/>
  <c r="AB59" s="1"/>
  <c r="Z58"/>
  <c r="AB58" s="1"/>
  <c r="Z57"/>
  <c r="AB57" s="1"/>
  <c r="Z56"/>
  <c r="AB56" s="1"/>
  <c r="Z55"/>
  <c r="AB55" s="1"/>
  <c r="Z54"/>
  <c r="AB54" s="1"/>
  <c r="Z53"/>
  <c r="AB53" s="1"/>
  <c r="G52"/>
  <c r="Z51"/>
  <c r="AB51" s="1"/>
  <c r="Z50"/>
  <c r="AB50" s="1"/>
  <c r="Z49"/>
  <c r="AB49" s="1"/>
  <c r="Z48"/>
  <c r="AB48" s="1"/>
  <c r="Z47"/>
  <c r="AB47" s="1"/>
  <c r="G46"/>
  <c r="G45"/>
  <c r="G44"/>
  <c r="G43"/>
  <c r="G42"/>
  <c r="G41"/>
  <c r="G40"/>
  <c r="G39"/>
  <c r="G38"/>
  <c r="G37"/>
  <c r="G36"/>
  <c r="G35"/>
  <c r="G34"/>
  <c r="AM32"/>
  <c r="AM31"/>
  <c r="G31"/>
  <c r="AU30"/>
  <c r="AM30"/>
  <c r="G30"/>
  <c r="AU29"/>
  <c r="AM29"/>
  <c r="AU28"/>
  <c r="AM28"/>
  <c r="G28"/>
  <c r="AU27"/>
  <c r="AM27"/>
  <c r="G27"/>
  <c r="AU26"/>
  <c r="AM26"/>
  <c r="Z26"/>
  <c r="AB26" s="1"/>
  <c r="AU25"/>
  <c r="AM25"/>
  <c r="AU24"/>
  <c r="AM24"/>
  <c r="G24"/>
  <c r="AU23"/>
  <c r="AM23"/>
  <c r="G23"/>
  <c r="AU22"/>
  <c r="AM22"/>
  <c r="Z22"/>
  <c r="AB22" s="1"/>
  <c r="AU21"/>
  <c r="AM21"/>
  <c r="G21"/>
  <c r="AU20"/>
  <c r="AM20"/>
  <c r="Z20"/>
  <c r="AB20" s="1"/>
  <c r="AU19"/>
  <c r="AM19"/>
  <c r="G19"/>
  <c r="AU18"/>
  <c r="AM18"/>
  <c r="Z18"/>
  <c r="AB18" s="1"/>
  <c r="AU17"/>
  <c r="AM17"/>
  <c r="Z17"/>
  <c r="AB17" s="1"/>
  <c r="AU16"/>
  <c r="AM16"/>
  <c r="AU15"/>
  <c r="AM15"/>
  <c r="AU14"/>
  <c r="AM14"/>
  <c r="AU13"/>
  <c r="AM13"/>
  <c r="AU12"/>
  <c r="AM12"/>
  <c r="AU11"/>
  <c r="AM11"/>
  <c r="AU10"/>
  <c r="AM10"/>
  <c r="AU9"/>
  <c r="AM9"/>
  <c r="AU8"/>
  <c r="AM8"/>
  <c r="CJ7"/>
  <c r="Z316" i="5"/>
  <c r="Z315"/>
  <c r="Z314"/>
  <c r="Z313"/>
  <c r="Z312"/>
  <c r="Z311"/>
  <c r="Z310"/>
  <c r="Z309"/>
  <c r="Z308"/>
  <c r="Z307"/>
  <c r="Z306"/>
  <c r="Z305"/>
  <c r="Z304"/>
  <c r="Z303"/>
  <c r="Z302"/>
  <c r="Z301"/>
  <c r="Z300"/>
  <c r="Z299"/>
  <c r="Z298"/>
  <c r="Z297"/>
  <c r="Z296"/>
  <c r="Z295"/>
  <c r="Z294"/>
  <c r="Z293"/>
  <c r="Z292"/>
  <c r="Z291"/>
  <c r="Z290"/>
  <c r="Z289"/>
  <c r="Z288"/>
  <c r="Z287"/>
  <c r="Z286"/>
  <c r="Z285"/>
  <c r="Z284"/>
  <c r="Z283"/>
  <c r="Z282"/>
  <c r="Z281"/>
  <c r="Z280"/>
  <c r="Z279"/>
  <c r="Z278"/>
  <c r="Z277"/>
  <c r="Z276"/>
  <c r="Z275"/>
  <c r="Z274"/>
  <c r="Z273"/>
  <c r="Z272"/>
  <c r="Z271"/>
  <c r="Z270"/>
  <c r="Z269"/>
  <c r="Z268"/>
  <c r="Z267"/>
  <c r="Z266"/>
  <c r="Z263"/>
  <c r="Z262"/>
  <c r="Z261"/>
  <c r="Z260"/>
  <c r="Z259"/>
  <c r="Z258"/>
  <c r="Z257"/>
  <c r="BO256"/>
  <c r="BO268" s="1"/>
  <c r="BO280" s="1"/>
  <c r="BO292" s="1"/>
  <c r="BO304" s="1"/>
  <c r="BO316" s="1"/>
  <c r="BO328" s="1"/>
  <c r="BO340" s="1"/>
  <c r="BO352" s="1"/>
  <c r="BO364" s="1"/>
  <c r="BN256"/>
  <c r="BN268" s="1"/>
  <c r="BN280" s="1"/>
  <c r="BN292" s="1"/>
  <c r="BN304" s="1"/>
  <c r="BN316" s="1"/>
  <c r="BN328" s="1"/>
  <c r="BN340" s="1"/>
  <c r="BN352" s="1"/>
  <c r="BN364" s="1"/>
  <c r="Z256"/>
  <c r="BO255"/>
  <c r="BO267" s="1"/>
  <c r="BO279" s="1"/>
  <c r="BO291" s="1"/>
  <c r="BO303" s="1"/>
  <c r="BO315" s="1"/>
  <c r="BO327" s="1"/>
  <c r="BO339" s="1"/>
  <c r="BO351" s="1"/>
  <c r="BO363" s="1"/>
  <c r="BN255"/>
  <c r="BN267" s="1"/>
  <c r="BN279" s="1"/>
  <c r="BN291" s="1"/>
  <c r="BN303" s="1"/>
  <c r="BN315" s="1"/>
  <c r="BN327" s="1"/>
  <c r="BN339" s="1"/>
  <c r="BN351" s="1"/>
  <c r="BN363" s="1"/>
  <c r="Z255"/>
  <c r="BO254"/>
  <c r="BO266" s="1"/>
  <c r="BO278" s="1"/>
  <c r="BO290" s="1"/>
  <c r="BO302" s="1"/>
  <c r="BO314" s="1"/>
  <c r="BO326" s="1"/>
  <c r="BO338" s="1"/>
  <c r="BO350" s="1"/>
  <c r="BO362" s="1"/>
  <c r="BN254"/>
  <c r="BN266" s="1"/>
  <c r="BN278" s="1"/>
  <c r="BN290" s="1"/>
  <c r="BN302" s="1"/>
  <c r="BN314" s="1"/>
  <c r="BN326" s="1"/>
  <c r="BN338" s="1"/>
  <c r="BN350" s="1"/>
  <c r="BN362" s="1"/>
  <c r="Z254"/>
  <c r="BO253"/>
  <c r="BO265" s="1"/>
  <c r="BO277" s="1"/>
  <c r="BO289" s="1"/>
  <c r="BO301" s="1"/>
  <c r="BO313" s="1"/>
  <c r="BO325" s="1"/>
  <c r="BO337" s="1"/>
  <c r="BO349" s="1"/>
  <c r="BO361" s="1"/>
  <c r="BN253"/>
  <c r="BN265" s="1"/>
  <c r="BN277" s="1"/>
  <c r="BN289" s="1"/>
  <c r="BN301" s="1"/>
  <c r="BN313" s="1"/>
  <c r="BN325" s="1"/>
  <c r="BN337" s="1"/>
  <c r="BN349" s="1"/>
  <c r="BN361" s="1"/>
  <c r="Z253"/>
  <c r="BO252"/>
  <c r="BO264" s="1"/>
  <c r="BO276" s="1"/>
  <c r="BO288" s="1"/>
  <c r="BO300" s="1"/>
  <c r="BO312" s="1"/>
  <c r="BO324" s="1"/>
  <c r="BO336" s="1"/>
  <c r="BO348" s="1"/>
  <c r="BO360" s="1"/>
  <c r="BN252"/>
  <c r="BN264" s="1"/>
  <c r="BN276" s="1"/>
  <c r="BN288" s="1"/>
  <c r="BN300" s="1"/>
  <c r="BN312" s="1"/>
  <c r="BN324" s="1"/>
  <c r="BN336" s="1"/>
  <c r="BN348" s="1"/>
  <c r="BN360" s="1"/>
  <c r="Z252"/>
  <c r="BO251"/>
  <c r="BO263" s="1"/>
  <c r="BO275" s="1"/>
  <c r="BO287" s="1"/>
  <c r="BO299" s="1"/>
  <c r="BO311" s="1"/>
  <c r="BO323" s="1"/>
  <c r="BO335" s="1"/>
  <c r="BO347" s="1"/>
  <c r="BO359" s="1"/>
  <c r="BO371" s="1"/>
  <c r="BN251"/>
  <c r="BN263" s="1"/>
  <c r="BN275" s="1"/>
  <c r="BN287" s="1"/>
  <c r="BN299" s="1"/>
  <c r="BN311" s="1"/>
  <c r="BN323" s="1"/>
  <c r="BN335" s="1"/>
  <c r="BN347" s="1"/>
  <c r="BN359" s="1"/>
  <c r="BN371" s="1"/>
  <c r="Z251"/>
  <c r="BO250"/>
  <c r="BO262" s="1"/>
  <c r="BO274" s="1"/>
  <c r="BO286" s="1"/>
  <c r="BO298" s="1"/>
  <c r="BO310" s="1"/>
  <c r="BO322" s="1"/>
  <c r="BO334" s="1"/>
  <c r="BO346" s="1"/>
  <c r="BO358" s="1"/>
  <c r="BO370" s="1"/>
  <c r="BN250"/>
  <c r="BN262" s="1"/>
  <c r="BN274" s="1"/>
  <c r="BN286" s="1"/>
  <c r="BN298" s="1"/>
  <c r="BN310" s="1"/>
  <c r="BN322" s="1"/>
  <c r="BN334" s="1"/>
  <c r="BN346" s="1"/>
  <c r="BN358" s="1"/>
  <c r="BN370" s="1"/>
  <c r="Z250"/>
  <c r="BO249"/>
  <c r="BO261" s="1"/>
  <c r="BO273" s="1"/>
  <c r="BO285" s="1"/>
  <c r="BO297" s="1"/>
  <c r="BO309" s="1"/>
  <c r="BO321" s="1"/>
  <c r="BO333" s="1"/>
  <c r="BO345" s="1"/>
  <c r="BO357" s="1"/>
  <c r="BO369" s="1"/>
  <c r="BN249"/>
  <c r="BN261" s="1"/>
  <c r="BN273" s="1"/>
  <c r="BN285" s="1"/>
  <c r="BN297" s="1"/>
  <c r="BN309" s="1"/>
  <c r="BN321" s="1"/>
  <c r="BN333" s="1"/>
  <c r="BN345" s="1"/>
  <c r="BN357" s="1"/>
  <c r="BN369" s="1"/>
  <c r="Z249"/>
  <c r="BO248"/>
  <c r="BO260" s="1"/>
  <c r="BO272" s="1"/>
  <c r="BO284" s="1"/>
  <c r="BO296" s="1"/>
  <c r="BO308" s="1"/>
  <c r="BO320" s="1"/>
  <c r="BO332" s="1"/>
  <c r="BO344" s="1"/>
  <c r="BO356" s="1"/>
  <c r="BO368" s="1"/>
  <c r="BN248"/>
  <c r="BN260" s="1"/>
  <c r="BN272" s="1"/>
  <c r="BN284" s="1"/>
  <c r="BN296" s="1"/>
  <c r="BN308" s="1"/>
  <c r="BN320" s="1"/>
  <c r="BN332" s="1"/>
  <c r="BN344" s="1"/>
  <c r="BN356" s="1"/>
  <c r="BN368" s="1"/>
  <c r="Z248"/>
  <c r="BO247"/>
  <c r="BO259" s="1"/>
  <c r="BO271" s="1"/>
  <c r="BO283" s="1"/>
  <c r="BO295" s="1"/>
  <c r="BO307" s="1"/>
  <c r="BO319" s="1"/>
  <c r="BO331" s="1"/>
  <c r="BO343" s="1"/>
  <c r="BO355" s="1"/>
  <c r="BO367" s="1"/>
  <c r="BN247"/>
  <c r="BN259" s="1"/>
  <c r="BN271" s="1"/>
  <c r="BN283" s="1"/>
  <c r="BN295" s="1"/>
  <c r="BN307" s="1"/>
  <c r="BN319" s="1"/>
  <c r="BN331" s="1"/>
  <c r="BN343" s="1"/>
  <c r="BN355" s="1"/>
  <c r="BN367" s="1"/>
  <c r="Z247"/>
  <c r="BO246"/>
  <c r="BO258" s="1"/>
  <c r="BO270" s="1"/>
  <c r="BO282" s="1"/>
  <c r="BO294" s="1"/>
  <c r="BO306" s="1"/>
  <c r="BO318" s="1"/>
  <c r="BO330" s="1"/>
  <c r="BO342" s="1"/>
  <c r="BO354" s="1"/>
  <c r="BO366" s="1"/>
  <c r="BN246"/>
  <c r="BN258" s="1"/>
  <c r="BN270" s="1"/>
  <c r="BN282" s="1"/>
  <c r="BN294" s="1"/>
  <c r="BN306" s="1"/>
  <c r="BN318" s="1"/>
  <c r="BN330" s="1"/>
  <c r="BN342" s="1"/>
  <c r="BN354" s="1"/>
  <c r="BN366" s="1"/>
  <c r="Z246"/>
  <c r="BO245"/>
  <c r="BO257" s="1"/>
  <c r="BO269" s="1"/>
  <c r="BO281" s="1"/>
  <c r="BO293" s="1"/>
  <c r="BO305" s="1"/>
  <c r="BO317" s="1"/>
  <c r="BO329" s="1"/>
  <c r="BO341" s="1"/>
  <c r="BO353" s="1"/>
  <c r="BO365" s="1"/>
  <c r="BN245"/>
  <c r="BN257" s="1"/>
  <c r="BN269" s="1"/>
  <c r="BN281" s="1"/>
  <c r="BN293" s="1"/>
  <c r="BN305" s="1"/>
  <c r="BN317" s="1"/>
  <c r="BN329" s="1"/>
  <c r="BN341" s="1"/>
  <c r="BN353" s="1"/>
  <c r="BN365" s="1"/>
  <c r="Z245"/>
  <c r="Z244"/>
  <c r="Z243"/>
  <c r="Z242"/>
  <c r="Z241"/>
  <c r="Z240"/>
  <c r="Z239"/>
  <c r="Z238"/>
  <c r="Z237"/>
  <c r="Z236"/>
  <c r="Z235"/>
  <c r="Z234"/>
  <c r="Z233"/>
  <c r="Z232"/>
  <c r="B232"/>
  <c r="B244" s="1"/>
  <c r="B256" s="1"/>
  <c r="B268" s="1"/>
  <c r="B280" s="1"/>
  <c r="B292" s="1"/>
  <c r="B304" s="1"/>
  <c r="B316" s="1"/>
  <c r="B328" s="1"/>
  <c r="B340" s="1"/>
  <c r="B352" s="1"/>
  <c r="B364" s="1"/>
  <c r="B376" s="1"/>
  <c r="A232"/>
  <c r="A244" s="1"/>
  <c r="A256" s="1"/>
  <c r="A268" s="1"/>
  <c r="A280" s="1"/>
  <c r="A292" s="1"/>
  <c r="A304" s="1"/>
  <c r="A316" s="1"/>
  <c r="A328" s="1"/>
  <c r="A340" s="1"/>
  <c r="A352" s="1"/>
  <c r="A364" s="1"/>
  <c r="A376" s="1"/>
  <c r="Z231"/>
  <c r="B231"/>
  <c r="B243" s="1"/>
  <c r="B255" s="1"/>
  <c r="B267" s="1"/>
  <c r="B279" s="1"/>
  <c r="B291" s="1"/>
  <c r="B303" s="1"/>
  <c r="B315" s="1"/>
  <c r="B327" s="1"/>
  <c r="B339" s="1"/>
  <c r="B351" s="1"/>
  <c r="B363" s="1"/>
  <c r="B375" s="1"/>
  <c r="A231"/>
  <c r="A243" s="1"/>
  <c r="A255" s="1"/>
  <c r="A267" s="1"/>
  <c r="A279" s="1"/>
  <c r="A291" s="1"/>
  <c r="A303" s="1"/>
  <c r="A315" s="1"/>
  <c r="A327" s="1"/>
  <c r="A339" s="1"/>
  <c r="A351" s="1"/>
  <c r="A363" s="1"/>
  <c r="A375" s="1"/>
  <c r="Z230"/>
  <c r="B230"/>
  <c r="B242" s="1"/>
  <c r="B254" s="1"/>
  <c r="B266" s="1"/>
  <c r="B278" s="1"/>
  <c r="B290" s="1"/>
  <c r="B302" s="1"/>
  <c r="B314" s="1"/>
  <c r="B326" s="1"/>
  <c r="B338" s="1"/>
  <c r="B350" s="1"/>
  <c r="B362" s="1"/>
  <c r="B374" s="1"/>
  <c r="A230"/>
  <c r="A242" s="1"/>
  <c r="A254" s="1"/>
  <c r="A266" s="1"/>
  <c r="A278" s="1"/>
  <c r="A290" s="1"/>
  <c r="A302" s="1"/>
  <c r="A314" s="1"/>
  <c r="A326" s="1"/>
  <c r="A338" s="1"/>
  <c r="A350" s="1"/>
  <c r="A362" s="1"/>
  <c r="A374" s="1"/>
  <c r="Z229"/>
  <c r="B229"/>
  <c r="B241" s="1"/>
  <c r="B253" s="1"/>
  <c r="B265" s="1"/>
  <c r="B277" s="1"/>
  <c r="B289" s="1"/>
  <c r="B301" s="1"/>
  <c r="B313" s="1"/>
  <c r="B325" s="1"/>
  <c r="B337" s="1"/>
  <c r="B349" s="1"/>
  <c r="B361" s="1"/>
  <c r="B373" s="1"/>
  <c r="A229"/>
  <c r="A241" s="1"/>
  <c r="A253" s="1"/>
  <c r="A265" s="1"/>
  <c r="A277" s="1"/>
  <c r="A289" s="1"/>
  <c r="A301" s="1"/>
  <c r="A313" s="1"/>
  <c r="A325" s="1"/>
  <c r="A337" s="1"/>
  <c r="A349" s="1"/>
  <c r="A361" s="1"/>
  <c r="A373" s="1"/>
  <c r="Z228"/>
  <c r="B228"/>
  <c r="B240" s="1"/>
  <c r="B252" s="1"/>
  <c r="B264" s="1"/>
  <c r="B276" s="1"/>
  <c r="B288" s="1"/>
  <c r="B300" s="1"/>
  <c r="B312" s="1"/>
  <c r="B324" s="1"/>
  <c r="B336" s="1"/>
  <c r="B348" s="1"/>
  <c r="B360" s="1"/>
  <c r="B372" s="1"/>
  <c r="A228"/>
  <c r="A240" s="1"/>
  <c r="A252" s="1"/>
  <c r="A264" s="1"/>
  <c r="A276" s="1"/>
  <c r="A288" s="1"/>
  <c r="A300" s="1"/>
  <c r="A312" s="1"/>
  <c r="A324" s="1"/>
  <c r="A336" s="1"/>
  <c r="A348" s="1"/>
  <c r="A360" s="1"/>
  <c r="A372" s="1"/>
  <c r="Z227"/>
  <c r="B227"/>
  <c r="B239" s="1"/>
  <c r="B251" s="1"/>
  <c r="B263" s="1"/>
  <c r="B275" s="1"/>
  <c r="B287" s="1"/>
  <c r="B299" s="1"/>
  <c r="B311" s="1"/>
  <c r="B323" s="1"/>
  <c r="B335" s="1"/>
  <c r="B347" s="1"/>
  <c r="B359" s="1"/>
  <c r="B371" s="1"/>
  <c r="A227"/>
  <c r="A239" s="1"/>
  <c r="A251" s="1"/>
  <c r="A263" s="1"/>
  <c r="A275" s="1"/>
  <c r="A287" s="1"/>
  <c r="A299" s="1"/>
  <c r="A311" s="1"/>
  <c r="A323" s="1"/>
  <c r="A335" s="1"/>
  <c r="A347" s="1"/>
  <c r="A359" s="1"/>
  <c r="A371" s="1"/>
  <c r="Z226"/>
  <c r="B226"/>
  <c r="B238" s="1"/>
  <c r="B250" s="1"/>
  <c r="B262" s="1"/>
  <c r="B274" s="1"/>
  <c r="B286" s="1"/>
  <c r="B298" s="1"/>
  <c r="B310" s="1"/>
  <c r="B322" s="1"/>
  <c r="B334" s="1"/>
  <c r="B346" s="1"/>
  <c r="B358" s="1"/>
  <c r="B370" s="1"/>
  <c r="A226"/>
  <c r="A238" s="1"/>
  <c r="A250" s="1"/>
  <c r="A262" s="1"/>
  <c r="A274" s="1"/>
  <c r="A286" s="1"/>
  <c r="A298" s="1"/>
  <c r="A310" s="1"/>
  <c r="A322" s="1"/>
  <c r="A334" s="1"/>
  <c r="A346" s="1"/>
  <c r="A358" s="1"/>
  <c r="A370" s="1"/>
  <c r="Z225"/>
  <c r="B225"/>
  <c r="B237" s="1"/>
  <c r="B249" s="1"/>
  <c r="B261" s="1"/>
  <c r="B273" s="1"/>
  <c r="B285" s="1"/>
  <c r="B297" s="1"/>
  <c r="B309" s="1"/>
  <c r="B321" s="1"/>
  <c r="B333" s="1"/>
  <c r="B345" s="1"/>
  <c r="B357" s="1"/>
  <c r="B369" s="1"/>
  <c r="A225"/>
  <c r="A237" s="1"/>
  <c r="A249" s="1"/>
  <c r="A261" s="1"/>
  <c r="A273" s="1"/>
  <c r="A285" s="1"/>
  <c r="A297" s="1"/>
  <c r="A309" s="1"/>
  <c r="A321" s="1"/>
  <c r="A333" s="1"/>
  <c r="A345" s="1"/>
  <c r="A357" s="1"/>
  <c r="A369" s="1"/>
  <c r="Z224"/>
  <c r="B224"/>
  <c r="B236" s="1"/>
  <c r="B248" s="1"/>
  <c r="B260" s="1"/>
  <c r="B272" s="1"/>
  <c r="B284" s="1"/>
  <c r="B296" s="1"/>
  <c r="B308" s="1"/>
  <c r="B320" s="1"/>
  <c r="B332" s="1"/>
  <c r="B344" s="1"/>
  <c r="B356" s="1"/>
  <c r="B368" s="1"/>
  <c r="A224"/>
  <c r="A236" s="1"/>
  <c r="A248" s="1"/>
  <c r="A260" s="1"/>
  <c r="A272" s="1"/>
  <c r="A284" s="1"/>
  <c r="A296" s="1"/>
  <c r="A308" s="1"/>
  <c r="A320" s="1"/>
  <c r="A332" s="1"/>
  <c r="A344" s="1"/>
  <c r="A356" s="1"/>
  <c r="A368" s="1"/>
  <c r="Z223"/>
  <c r="B223"/>
  <c r="B235" s="1"/>
  <c r="B247" s="1"/>
  <c r="B259" s="1"/>
  <c r="B271" s="1"/>
  <c r="B283" s="1"/>
  <c r="B295" s="1"/>
  <c r="B307" s="1"/>
  <c r="B319" s="1"/>
  <c r="B331" s="1"/>
  <c r="B343" s="1"/>
  <c r="B355" s="1"/>
  <c r="B367" s="1"/>
  <c r="A223"/>
  <c r="A235" s="1"/>
  <c r="A247" s="1"/>
  <c r="A259" s="1"/>
  <c r="A271" s="1"/>
  <c r="A283" s="1"/>
  <c r="A295" s="1"/>
  <c r="A307" s="1"/>
  <c r="A319" s="1"/>
  <c r="A331" s="1"/>
  <c r="A343" s="1"/>
  <c r="A355" s="1"/>
  <c r="A367" s="1"/>
  <c r="Z222"/>
  <c r="B222"/>
  <c r="B234" s="1"/>
  <c r="B246" s="1"/>
  <c r="B258" s="1"/>
  <c r="B270" s="1"/>
  <c r="B282" s="1"/>
  <c r="B294" s="1"/>
  <c r="B306" s="1"/>
  <c r="B318" s="1"/>
  <c r="B330" s="1"/>
  <c r="B342" s="1"/>
  <c r="B354" s="1"/>
  <c r="B366" s="1"/>
  <c r="A222"/>
  <c r="A234" s="1"/>
  <c r="A246" s="1"/>
  <c r="A258" s="1"/>
  <c r="A270" s="1"/>
  <c r="A282" s="1"/>
  <c r="A294" s="1"/>
  <c r="A306" s="1"/>
  <c r="A318" s="1"/>
  <c r="A330" s="1"/>
  <c r="A342" s="1"/>
  <c r="A354" s="1"/>
  <c r="A366" s="1"/>
  <c r="Z221"/>
  <c r="B221"/>
  <c r="B233" s="1"/>
  <c r="B245" s="1"/>
  <c r="B257" s="1"/>
  <c r="B269" s="1"/>
  <c r="B281" s="1"/>
  <c r="B293" s="1"/>
  <c r="B305" s="1"/>
  <c r="B317" s="1"/>
  <c r="B329" s="1"/>
  <c r="B341" s="1"/>
  <c r="B353" s="1"/>
  <c r="B365" s="1"/>
  <c r="B377" s="1"/>
  <c r="A221"/>
  <c r="A233" s="1"/>
  <c r="A245" s="1"/>
  <c r="A257" s="1"/>
  <c r="A269" s="1"/>
  <c r="A281" s="1"/>
  <c r="A293" s="1"/>
  <c r="A305" s="1"/>
  <c r="A317" s="1"/>
  <c r="A329" s="1"/>
  <c r="A341" s="1"/>
  <c r="A353" s="1"/>
  <c r="A365" s="1"/>
  <c r="A377" s="1"/>
  <c r="Z220"/>
  <c r="Z216"/>
  <c r="Z215"/>
  <c r="Z214"/>
  <c r="Z213"/>
  <c r="Z212"/>
  <c r="Z211"/>
  <c r="Z210"/>
  <c r="Z207"/>
  <c r="AB207" s="1"/>
  <c r="Z206"/>
  <c r="AB206" s="1"/>
  <c r="Z205"/>
  <c r="AB205" s="1"/>
  <c r="Z204"/>
  <c r="AB204" s="1"/>
  <c r="Z203"/>
  <c r="AB203" s="1"/>
  <c r="Z202"/>
  <c r="AB202" s="1"/>
  <c r="Z201"/>
  <c r="AB201" s="1"/>
  <c r="Z199"/>
  <c r="AB199" s="1"/>
  <c r="Z198"/>
  <c r="AB198" s="1"/>
  <c r="Z197"/>
  <c r="AB197" s="1"/>
  <c r="Z196"/>
  <c r="AB196" s="1"/>
  <c r="Z195"/>
  <c r="AB195" s="1"/>
  <c r="Z190"/>
  <c r="AB190" s="1"/>
  <c r="Z188"/>
  <c r="AB188" s="1"/>
  <c r="Z187"/>
  <c r="AB187" s="1"/>
  <c r="Z186"/>
  <c r="AB186" s="1"/>
  <c r="Z185"/>
  <c r="AB185" s="1"/>
  <c r="Z184"/>
  <c r="AB184" s="1"/>
  <c r="Z183"/>
  <c r="AB183" s="1"/>
  <c r="Z180"/>
  <c r="AB180" s="1"/>
  <c r="Z176"/>
  <c r="AB176" s="1"/>
  <c r="Z174"/>
  <c r="AB174" s="1"/>
  <c r="Z173"/>
  <c r="AB173" s="1"/>
  <c r="Z172"/>
  <c r="AB172" s="1"/>
  <c r="Z171"/>
  <c r="AB171" s="1"/>
  <c r="Z170"/>
  <c r="AB170" s="1"/>
  <c r="Z169"/>
  <c r="AB169" s="1"/>
  <c r="Z168"/>
  <c r="AB168" s="1"/>
  <c r="Z167"/>
  <c r="AB167" s="1"/>
  <c r="Z166"/>
  <c r="AB166" s="1"/>
  <c r="Z165"/>
  <c r="AB165" s="1"/>
  <c r="Z164"/>
  <c r="AB164" s="1"/>
  <c r="Z163"/>
  <c r="AB163" s="1"/>
  <c r="Z162"/>
  <c r="AB162" s="1"/>
  <c r="Z161"/>
  <c r="AB161" s="1"/>
  <c r="Z160"/>
  <c r="AB160" s="1"/>
  <c r="Z159"/>
  <c r="AB159" s="1"/>
  <c r="Z158"/>
  <c r="AB158" s="1"/>
  <c r="Z157"/>
  <c r="AB157" s="1"/>
  <c r="Z156"/>
  <c r="AB156" s="1"/>
  <c r="Z155"/>
  <c r="AB155" s="1"/>
  <c r="Z154"/>
  <c r="AB154" s="1"/>
  <c r="Z153"/>
  <c r="AB153" s="1"/>
  <c r="Z152"/>
  <c r="AB152" s="1"/>
  <c r="Z151"/>
  <c r="AB151" s="1"/>
  <c r="Z150"/>
  <c r="AB150" s="1"/>
  <c r="Z149"/>
  <c r="AB149" s="1"/>
  <c r="Z148"/>
  <c r="AB148" s="1"/>
  <c r="Z147"/>
  <c r="AB147" s="1"/>
  <c r="Z146"/>
  <c r="AB146" s="1"/>
  <c r="Z145"/>
  <c r="AB145" s="1"/>
  <c r="Z144"/>
  <c r="AB144" s="1"/>
  <c r="Z143"/>
  <c r="AB143" s="1"/>
  <c r="Z142"/>
  <c r="AB142" s="1"/>
  <c r="Z141"/>
  <c r="AB141" s="1"/>
  <c r="Z140"/>
  <c r="AB140" s="1"/>
  <c r="Z139"/>
  <c r="AB139" s="1"/>
  <c r="Z138"/>
  <c r="AB138" s="1"/>
  <c r="Z137"/>
  <c r="AB137" s="1"/>
  <c r="Z136"/>
  <c r="AB136" s="1"/>
  <c r="Z135"/>
  <c r="AB135" s="1"/>
  <c r="Z134"/>
  <c r="AB134" s="1"/>
  <c r="Z133"/>
  <c r="AB133" s="1"/>
  <c r="Z132"/>
  <c r="AB132" s="1"/>
  <c r="Z131"/>
  <c r="AB131" s="1"/>
  <c r="Z130"/>
  <c r="AB130" s="1"/>
  <c r="Z129"/>
  <c r="AB129" s="1"/>
  <c r="Z128"/>
  <c r="AB128" s="1"/>
  <c r="Z127"/>
  <c r="AB127" s="1"/>
  <c r="Z126"/>
  <c r="AB126" s="1"/>
  <c r="Z125"/>
  <c r="AB125" s="1"/>
  <c r="Z124"/>
  <c r="AB124" s="1"/>
  <c r="Z123"/>
  <c r="AB123" s="1"/>
  <c r="Z122"/>
  <c r="AB122" s="1"/>
  <c r="Z121"/>
  <c r="AB121" s="1"/>
  <c r="Z120"/>
  <c r="AB120" s="1"/>
  <c r="Z119"/>
  <c r="AB119" s="1"/>
  <c r="Z118"/>
  <c r="AB118" s="1"/>
  <c r="Z117"/>
  <c r="AB117" s="1"/>
  <c r="Z116"/>
  <c r="AB116" s="1"/>
  <c r="Z115"/>
  <c r="AB115" s="1"/>
  <c r="Z114"/>
  <c r="AB114" s="1"/>
  <c r="Z113"/>
  <c r="AB113" s="1"/>
  <c r="Z112"/>
  <c r="AB112" s="1"/>
  <c r="Z111"/>
  <c r="AB111" s="1"/>
  <c r="Z110"/>
  <c r="AB110" s="1"/>
  <c r="Z109"/>
  <c r="AB109" s="1"/>
  <c r="Z108"/>
  <c r="AB108" s="1"/>
  <c r="Z107"/>
  <c r="AB107" s="1"/>
  <c r="Z106"/>
  <c r="AB106" s="1"/>
  <c r="Z105"/>
  <c r="AB105" s="1"/>
  <c r="Z104"/>
  <c r="AB104" s="1"/>
  <c r="Z103"/>
  <c r="AB103" s="1"/>
  <c r="Z102"/>
  <c r="AB102" s="1"/>
  <c r="Z101"/>
  <c r="AB101" s="1"/>
  <c r="Z100"/>
  <c r="AB100" s="1"/>
  <c r="Z99"/>
  <c r="AB99" s="1"/>
  <c r="Z98"/>
  <c r="AB98" s="1"/>
  <c r="Z97"/>
  <c r="AB97" s="1"/>
  <c r="Z96"/>
  <c r="AB96" s="1"/>
  <c r="Z95"/>
  <c r="AB95" s="1"/>
  <c r="Z94"/>
  <c r="AB94" s="1"/>
  <c r="Z93"/>
  <c r="AB93" s="1"/>
  <c r="Z92"/>
  <c r="AB92" s="1"/>
  <c r="Z91"/>
  <c r="AB91" s="1"/>
  <c r="Z90"/>
  <c r="AB90" s="1"/>
  <c r="Z89"/>
  <c r="AB89" s="1"/>
  <c r="Z88"/>
  <c r="AB88" s="1"/>
  <c r="Z87"/>
  <c r="AB87" s="1"/>
  <c r="Z86"/>
  <c r="AB86" s="1"/>
  <c r="Z85"/>
  <c r="AB85" s="1"/>
  <c r="Z84"/>
  <c r="AB84" s="1"/>
  <c r="Z83"/>
  <c r="AB83" s="1"/>
  <c r="Z82"/>
  <c r="AB82" s="1"/>
  <c r="Z81"/>
  <c r="AB81" s="1"/>
  <c r="Z80"/>
  <c r="AB80" s="1"/>
  <c r="Z79"/>
  <c r="AB79" s="1"/>
  <c r="Z78"/>
  <c r="AB78" s="1"/>
  <c r="Z77"/>
  <c r="AB77" s="1"/>
  <c r="Z76"/>
  <c r="AB76" s="1"/>
  <c r="Z75"/>
  <c r="AB75" s="1"/>
  <c r="Z74"/>
  <c r="AB74" s="1"/>
  <c r="Z73"/>
  <c r="AB73" s="1"/>
  <c r="Z72"/>
  <c r="AB72" s="1"/>
  <c r="Z71"/>
  <c r="AB71" s="1"/>
  <c r="Z70"/>
  <c r="AB70" s="1"/>
  <c r="Z69"/>
  <c r="AB69" s="1"/>
  <c r="Z68"/>
  <c r="AB68" s="1"/>
  <c r="Z67"/>
  <c r="AB67" s="1"/>
  <c r="Z66"/>
  <c r="AB66" s="1"/>
  <c r="Z65"/>
  <c r="AB65" s="1"/>
  <c r="Z64"/>
  <c r="AB64" s="1"/>
  <c r="Z63"/>
  <c r="AB63" s="1"/>
  <c r="Z62"/>
  <c r="AB62" s="1"/>
  <c r="Z61"/>
  <c r="AB61" s="1"/>
  <c r="Z60"/>
  <c r="AB60" s="1"/>
  <c r="Z59"/>
  <c r="AB59" s="1"/>
  <c r="Z58"/>
  <c r="AB58" s="1"/>
  <c r="Z57"/>
  <c r="AB57" s="1"/>
  <c r="Z56"/>
  <c r="AB56" s="1"/>
  <c r="Z55"/>
  <c r="AB55" s="1"/>
  <c r="Z54"/>
  <c r="AB54" s="1"/>
  <c r="Z53"/>
  <c r="AB53" s="1"/>
  <c r="Z52"/>
  <c r="AB52" s="1"/>
  <c r="Z51"/>
  <c r="AB51" s="1"/>
  <c r="Z50"/>
  <c r="AB50" s="1"/>
  <c r="Z49"/>
  <c r="AB49" s="1"/>
  <c r="Z48"/>
  <c r="AB48" s="1"/>
  <c r="Z47"/>
  <c r="AB47" s="1"/>
  <c r="Z46"/>
  <c r="AB46" s="1"/>
  <c r="Z45"/>
  <c r="AB45" s="1"/>
  <c r="Z44"/>
  <c r="AB44" s="1"/>
  <c r="Z43"/>
  <c r="AB43" s="1"/>
  <c r="Z42"/>
  <c r="AB42" s="1"/>
  <c r="Z41"/>
  <c r="AB41" s="1"/>
  <c r="Z40"/>
  <c r="AB40" s="1"/>
  <c r="Z39"/>
  <c r="AB39" s="1"/>
  <c r="Z38"/>
  <c r="AB38" s="1"/>
  <c r="Z37"/>
  <c r="AB37" s="1"/>
  <c r="Z36"/>
  <c r="AB36" s="1"/>
  <c r="Z35"/>
  <c r="AB35" s="1"/>
  <c r="Z34"/>
  <c r="AB34" s="1"/>
  <c r="Z33"/>
  <c r="AB33" s="1"/>
  <c r="AU32"/>
  <c r="AM32"/>
  <c r="Z32"/>
  <c r="AB32" s="1"/>
  <c r="AU31"/>
  <c r="AM31"/>
  <c r="Z31"/>
  <c r="AB31" s="1"/>
  <c r="AU30"/>
  <c r="AM30"/>
  <c r="Z30"/>
  <c r="AB30" s="1"/>
  <c r="AU29"/>
  <c r="AM29"/>
  <c r="AU9"/>
  <c r="AU28"/>
  <c r="AM28"/>
  <c r="Z28"/>
  <c r="AB28" s="1"/>
  <c r="AU27"/>
  <c r="AM27"/>
  <c r="AU26"/>
  <c r="AM26"/>
  <c r="AU25"/>
  <c r="AM25"/>
  <c r="AU24"/>
  <c r="AM24"/>
  <c r="Z24"/>
  <c r="AB24" s="1"/>
  <c r="AU23"/>
  <c r="AM23"/>
  <c r="AU8"/>
  <c r="Z23"/>
  <c r="AB23" s="1"/>
  <c r="AU22"/>
  <c r="AM22"/>
  <c r="Z22"/>
  <c r="AB22" s="1"/>
  <c r="AU21"/>
  <c r="AM21"/>
  <c r="Z21"/>
  <c r="AB21" s="1"/>
  <c r="AU20"/>
  <c r="AM20"/>
  <c r="Z20"/>
  <c r="AB20" s="1"/>
  <c r="AU19"/>
  <c r="AM19"/>
  <c r="Z19"/>
  <c r="AB19" s="1"/>
  <c r="AU18"/>
  <c r="AM18"/>
  <c r="Z18"/>
  <c r="AB18" s="1"/>
  <c r="AU17"/>
  <c r="AM17"/>
  <c r="Z17"/>
  <c r="AB17" s="1"/>
  <c r="AU16"/>
  <c r="AM16"/>
  <c r="AU15"/>
  <c r="AM15"/>
  <c r="AU14"/>
  <c r="AM14"/>
  <c r="AU13"/>
  <c r="AM13"/>
  <c r="AU12"/>
  <c r="AM12"/>
  <c r="AU11"/>
  <c r="AM11"/>
  <c r="AU10"/>
  <c r="AM10"/>
  <c r="AM9"/>
  <c r="CJ7"/>
  <c r="AE316" i="1"/>
  <c r="AE313"/>
  <c r="E313"/>
  <c r="AE312"/>
  <c r="AE311"/>
  <c r="E309"/>
  <c r="AE308"/>
  <c r="E308"/>
  <c r="E306"/>
  <c r="H139" i="10" l="1"/>
  <c r="I139" s="1"/>
  <c r="N151" i="3"/>
  <c r="O139"/>
  <c r="J104" i="10"/>
  <c r="Q370" i="3"/>
  <c r="BD370"/>
  <c r="AK150" i="2"/>
  <c r="AK163"/>
  <c r="AL183"/>
  <c r="Q371" i="3"/>
  <c r="BD371"/>
  <c r="Q369"/>
  <c r="BD369"/>
  <c r="Q359"/>
  <c r="BD359"/>
  <c r="BD360"/>
  <c r="Q360"/>
  <c r="Q351"/>
  <c r="B363"/>
  <c r="Q358"/>
  <c r="BD358"/>
  <c r="BD357"/>
  <c r="Q357"/>
  <c r="N137"/>
  <c r="H137" i="10" s="1"/>
  <c r="I137" s="1"/>
  <c r="O125" i="3"/>
  <c r="J125" i="10" s="1"/>
  <c r="F117"/>
  <c r="H116"/>
  <c r="I116" s="1"/>
  <c r="N128" i="3"/>
  <c r="O116"/>
  <c r="N170"/>
  <c r="H170" i="10" s="1"/>
  <c r="I170" s="1"/>
  <c r="N143" i="3"/>
  <c r="H143" i="10" s="1"/>
  <c r="I143" s="1"/>
  <c r="O131" i="3"/>
  <c r="J131" i="10" s="1"/>
  <c r="N138" i="3"/>
  <c r="H138" i="10" s="1"/>
  <c r="I138" s="1"/>
  <c r="O126" i="3"/>
  <c r="Q346"/>
  <c r="BD346"/>
  <c r="Q345"/>
  <c r="BD345"/>
  <c r="Q347"/>
  <c r="BD347"/>
  <c r="Q348"/>
  <c r="BD348"/>
  <c r="AL33" i="2"/>
  <c r="AO12" i="4"/>
  <c r="AO13"/>
  <c r="AO14"/>
  <c r="AO15"/>
  <c r="AO16"/>
  <c r="AQ21" i="2"/>
  <c r="AQ23"/>
  <c r="AJ157"/>
  <c r="AL156"/>
  <c r="AO151"/>
  <c r="AR151"/>
  <c r="AO152"/>
  <c r="AR152"/>
  <c r="AO155"/>
  <c r="AR155"/>
  <c r="AK157"/>
  <c r="AR157"/>
  <c r="AO161"/>
  <c r="AR161"/>
  <c r="AO165"/>
  <c r="AR165"/>
  <c r="AO149"/>
  <c r="AR149"/>
  <c r="AO150"/>
  <c r="AR150"/>
  <c r="AO154"/>
  <c r="AR154"/>
  <c r="AO156"/>
  <c r="AO159"/>
  <c r="AO163"/>
  <c r="AR163"/>
  <c r="AO167"/>
  <c r="AR167"/>
  <c r="AJ150"/>
  <c r="AL150" s="1"/>
  <c r="AW20"/>
  <c r="AJ152"/>
  <c r="AL152" s="1"/>
  <c r="AO153"/>
  <c r="AR159"/>
  <c r="AP9"/>
  <c r="AP10"/>
  <c r="AP11"/>
  <c r="AP12"/>
  <c r="AP13"/>
  <c r="AP14"/>
  <c r="AP15"/>
  <c r="AP16"/>
  <c r="AP17"/>
  <c r="AP18"/>
  <c r="AP19"/>
  <c r="AP20"/>
  <c r="AL22"/>
  <c r="AL24"/>
  <c r="AR156"/>
  <c r="AO157"/>
  <c r="AO158"/>
  <c r="AR158"/>
  <c r="AJ159"/>
  <c r="AL159" s="1"/>
  <c r="AO160"/>
  <c r="AR160"/>
  <c r="AJ161"/>
  <c r="AL161" s="1"/>
  <c r="AO162"/>
  <c r="AR162"/>
  <c r="AJ163"/>
  <c r="AL163" s="1"/>
  <c r="AO164"/>
  <c r="AR164"/>
  <c r="AJ165"/>
  <c r="AL165" s="1"/>
  <c r="AO166"/>
  <c r="AR166"/>
  <c r="AJ167"/>
  <c r="AL167" s="1"/>
  <c r="AO168"/>
  <c r="AR168"/>
  <c r="AQ8"/>
  <c r="AL9"/>
  <c r="AL10"/>
  <c r="AL11"/>
  <c r="AL12"/>
  <c r="AL13"/>
  <c r="AL14"/>
  <c r="AL15"/>
  <c r="AL16"/>
  <c r="AL17"/>
  <c r="AL18"/>
  <c r="AL19"/>
  <c r="AL20"/>
  <c r="AW21"/>
  <c r="AP22"/>
  <c r="AW23"/>
  <c r="AP24"/>
  <c r="AW25"/>
  <c r="AW27"/>
  <c r="AW29"/>
  <c r="AW31"/>
  <c r="AR153"/>
  <c r="AJ154"/>
  <c r="AL154" s="1"/>
  <c r="AR10" i="5"/>
  <c r="AR11"/>
  <c r="AR12"/>
  <c r="AR13"/>
  <c r="AQ9" i="2"/>
  <c r="AQ10"/>
  <c r="AQ11"/>
  <c r="AQ12"/>
  <c r="AQ13"/>
  <c r="AQ14"/>
  <c r="AQ15"/>
  <c r="AQ16"/>
  <c r="AQ17"/>
  <c r="AQ18"/>
  <c r="AQ19"/>
  <c r="AQ20"/>
  <c r="AR21" s="1"/>
  <c r="AL21"/>
  <c r="AP21"/>
  <c r="AQ22"/>
  <c r="AR23" s="1"/>
  <c r="AW22"/>
  <c r="AL23"/>
  <c r="AP23"/>
  <c r="AQ24"/>
  <c r="AR24" s="1"/>
  <c r="AW24"/>
  <c r="AW26"/>
  <c r="AW28"/>
  <c r="AW30"/>
  <c r="AJ149"/>
  <c r="AL149" s="1"/>
  <c r="AJ151"/>
  <c r="AL151" s="1"/>
  <c r="AJ153"/>
  <c r="AL153" s="1"/>
  <c r="AJ155"/>
  <c r="AL155" s="1"/>
  <c r="AJ158"/>
  <c r="AL158" s="1"/>
  <c r="AJ160"/>
  <c r="AL160" s="1"/>
  <c r="AJ162"/>
  <c r="AL162" s="1"/>
  <c r="AJ164"/>
  <c r="AL164" s="1"/>
  <c r="AJ166"/>
  <c r="AL166" s="1"/>
  <c r="AJ168"/>
  <c r="AL168" s="1"/>
  <c r="AW32"/>
  <c r="AR14" i="5"/>
  <c r="AQ29" i="2"/>
  <c r="AP26"/>
  <c r="AP28"/>
  <c r="AQ28"/>
  <c r="AR15" i="5"/>
  <c r="AR16"/>
  <c r="AR17"/>
  <c r="AA277" i="4"/>
  <c r="AR18" i="5"/>
  <c r="AR19"/>
  <c r="AR20"/>
  <c r="AQ30" i="2"/>
  <c r="AQ31"/>
  <c r="AQ26"/>
  <c r="BK28"/>
  <c r="BK33"/>
  <c r="BK34"/>
  <c r="M35"/>
  <c r="P35"/>
  <c r="BK38"/>
  <c r="BK20"/>
  <c r="BK22"/>
  <c r="BK24"/>
  <c r="BB29"/>
  <c r="BH29" s="1"/>
  <c r="BF29"/>
  <c r="BI29" s="1"/>
  <c r="BK31"/>
  <c r="M30"/>
  <c r="P30"/>
  <c r="M31"/>
  <c r="P31"/>
  <c r="M32"/>
  <c r="P32"/>
  <c r="L51"/>
  <c r="L63" s="1"/>
  <c r="AQ32"/>
  <c r="BA53"/>
  <c r="BB41"/>
  <c r="BE53"/>
  <c r="BE65" s="1"/>
  <c r="BF41"/>
  <c r="BA56"/>
  <c r="BB44"/>
  <c r="BH44" s="1"/>
  <c r="BE60"/>
  <c r="BF60" s="1"/>
  <c r="BI60" s="1"/>
  <c r="BF48"/>
  <c r="BF49"/>
  <c r="BI49" s="1"/>
  <c r="BE61"/>
  <c r="BF51"/>
  <c r="BI51" s="1"/>
  <c r="BE63"/>
  <c r="BE75" s="1"/>
  <c r="BF75" s="1"/>
  <c r="BE64"/>
  <c r="BE76" s="1"/>
  <c r="BF52"/>
  <c r="BK17"/>
  <c r="BK18"/>
  <c r="BK19"/>
  <c r="BK23"/>
  <c r="BK25"/>
  <c r="BK26"/>
  <c r="BK27"/>
  <c r="BK30"/>
  <c r="BE56"/>
  <c r="BF56" s="1"/>
  <c r="BF44"/>
  <c r="BI44" s="1"/>
  <c r="BA60"/>
  <c r="BB48"/>
  <c r="BB49"/>
  <c r="BA61"/>
  <c r="BB61" s="1"/>
  <c r="BB51"/>
  <c r="BA63"/>
  <c r="BA64"/>
  <c r="BB52"/>
  <c r="AX139" i="3"/>
  <c r="AY127"/>
  <c r="BA159"/>
  <c r="BA171" s="1"/>
  <c r="BB147"/>
  <c r="AX144"/>
  <c r="AY132"/>
  <c r="BC132" s="1"/>
  <c r="BK35" i="2"/>
  <c r="BB37"/>
  <c r="BH37" s="1"/>
  <c r="BF37"/>
  <c r="BI37" s="1"/>
  <c r="BB39"/>
  <c r="BH39" s="1"/>
  <c r="BF39"/>
  <c r="BI39" s="1"/>
  <c r="BE43"/>
  <c r="BA45"/>
  <c r="BE45"/>
  <c r="BA50"/>
  <c r="BE50"/>
  <c r="BA157" i="3"/>
  <c r="BB145"/>
  <c r="BF145" s="1"/>
  <c r="BB32" i="2"/>
  <c r="BH32" s="1"/>
  <c r="BF32"/>
  <c r="BI32" s="1"/>
  <c r="BB36"/>
  <c r="BH36" s="1"/>
  <c r="BF36"/>
  <c r="BI36" s="1"/>
  <c r="BB40"/>
  <c r="BH40" s="1"/>
  <c r="BF40"/>
  <c r="BI40" s="1"/>
  <c r="L71"/>
  <c r="M71" s="1"/>
  <c r="M59"/>
  <c r="Q59" s="1"/>
  <c r="S59" s="1"/>
  <c r="L10"/>
  <c r="O41"/>
  <c r="P29"/>
  <c r="M66"/>
  <c r="L78"/>
  <c r="P66"/>
  <c r="O78"/>
  <c r="O49"/>
  <c r="P37"/>
  <c r="O52"/>
  <c r="P40"/>
  <c r="L55"/>
  <c r="M55" s="1"/>
  <c r="M43"/>
  <c r="L41"/>
  <c r="M29"/>
  <c r="L49"/>
  <c r="M37"/>
  <c r="O55"/>
  <c r="P43"/>
  <c r="AD60"/>
  <c r="M42"/>
  <c r="O45"/>
  <c r="L46"/>
  <c r="P47"/>
  <c r="L50"/>
  <c r="L56"/>
  <c r="P42"/>
  <c r="R42" s="1"/>
  <c r="O46"/>
  <c r="M47"/>
  <c r="Q47" s="1"/>
  <c r="O50"/>
  <c r="O51"/>
  <c r="M54"/>
  <c r="K129" i="3"/>
  <c r="D129" i="10" s="1"/>
  <c r="E129" s="1"/>
  <c r="L117" i="3"/>
  <c r="P117" s="1"/>
  <c r="O124"/>
  <c r="J124" i="10" s="1"/>
  <c r="N136" i="3"/>
  <c r="H136" i="10" s="1"/>
  <c r="I136" s="1"/>
  <c r="AD85" i="2"/>
  <c r="AD167"/>
  <c r="AD38"/>
  <c r="AD76"/>
  <c r="AD136"/>
  <c r="AD143"/>
  <c r="AD161"/>
  <c r="G20" i="4"/>
  <c r="G182"/>
  <c r="AA204"/>
  <c r="AA212"/>
  <c r="AA307"/>
  <c r="AA308"/>
  <c r="AA309"/>
  <c r="G316"/>
  <c r="AL29" i="2"/>
  <c r="AP29"/>
  <c r="AL30"/>
  <c r="AP30"/>
  <c r="E307" i="1"/>
  <c r="E310"/>
  <c r="E312"/>
  <c r="E314"/>
  <c r="E315"/>
  <c r="G17" i="4"/>
  <c r="G18"/>
  <c r="G22"/>
  <c r="G25"/>
  <c r="G26"/>
  <c r="G29"/>
  <c r="G47"/>
  <c r="G48"/>
  <c r="G49"/>
  <c r="G50"/>
  <c r="G51"/>
  <c r="G180"/>
  <c r="G308"/>
  <c r="G309"/>
  <c r="G310"/>
  <c r="G311"/>
  <c r="AL31" i="2"/>
  <c r="AP31"/>
  <c r="AP32"/>
  <c r="AR18" i="4"/>
  <c r="AA149"/>
  <c r="AR19"/>
  <c r="AR20"/>
  <c r="AA161"/>
  <c r="AA173"/>
  <c r="AA221"/>
  <c r="AA233"/>
  <c r="AA281"/>
  <c r="AM8" i="5"/>
  <c r="Z25"/>
  <c r="AB25" s="1"/>
  <c r="Z27"/>
  <c r="AB27" s="1"/>
  <c r="Z177"/>
  <c r="AB177" s="1"/>
  <c r="Z178"/>
  <c r="AB178" s="1"/>
  <c r="Z179"/>
  <c r="AB179" s="1"/>
  <c r="Z194"/>
  <c r="AB194" s="1"/>
  <c r="Z208"/>
  <c r="AB208" s="1"/>
  <c r="AA59" i="4"/>
  <c r="AA145"/>
  <c r="AA147"/>
  <c r="AA151"/>
  <c r="AA153"/>
  <c r="AA155"/>
  <c r="AA157"/>
  <c r="AA159"/>
  <c r="AA163"/>
  <c r="AA165"/>
  <c r="AA167"/>
  <c r="AA169"/>
  <c r="AA171"/>
  <c r="AA175"/>
  <c r="AA184"/>
  <c r="AA192"/>
  <c r="AA198"/>
  <c r="AA231"/>
  <c r="AA243"/>
  <c r="AA255"/>
  <c r="AA259"/>
  <c r="AA267"/>
  <c r="AA273"/>
  <c r="AA289"/>
  <c r="AA295"/>
  <c r="AA299"/>
  <c r="AA301"/>
  <c r="AA303"/>
  <c r="E311" i="1"/>
  <c r="E316"/>
  <c r="Z26" i="5"/>
  <c r="AB26" s="1"/>
  <c r="Z29"/>
  <c r="AB29" s="1"/>
  <c r="Z175"/>
  <c r="AB175" s="1"/>
  <c r="Z181"/>
  <c r="AB181" s="1"/>
  <c r="Z182"/>
  <c r="AB182" s="1"/>
  <c r="Z189"/>
  <c r="AB189" s="1"/>
  <c r="Z191"/>
  <c r="AB191" s="1"/>
  <c r="Z192"/>
  <c r="AB192" s="1"/>
  <c r="Z193"/>
  <c r="AB193" s="1"/>
  <c r="Z200"/>
  <c r="AB200" s="1"/>
  <c r="Z209"/>
  <c r="Z217"/>
  <c r="Z218"/>
  <c r="Z219"/>
  <c r="AA60" i="4"/>
  <c r="AA144"/>
  <c r="AA146"/>
  <c r="AA148"/>
  <c r="AA150"/>
  <c r="AA152"/>
  <c r="AA154"/>
  <c r="AA156"/>
  <c r="AA158"/>
  <c r="AA160"/>
  <c r="AA162"/>
  <c r="AA164"/>
  <c r="AA166"/>
  <c r="AA168"/>
  <c r="AA170"/>
  <c r="AA172"/>
  <c r="AA174"/>
  <c r="AA180"/>
  <c r="AA186"/>
  <c r="AA216"/>
  <c r="AA242"/>
  <c r="AA246"/>
  <c r="AA254"/>
  <c r="AA258"/>
  <c r="AA262"/>
  <c r="AA266"/>
  <c r="AA268"/>
  <c r="AA272"/>
  <c r="AA274"/>
  <c r="AA278"/>
  <c r="AA280"/>
  <c r="AA290"/>
  <c r="AA292"/>
  <c r="AA300"/>
  <c r="AA302"/>
  <c r="AA310"/>
  <c r="AA312"/>
  <c r="AA314"/>
  <c r="Z19"/>
  <c r="AB19" s="1"/>
  <c r="Z21"/>
  <c r="AB21" s="1"/>
  <c r="Z23"/>
  <c r="AB23" s="1"/>
  <c r="Z24"/>
  <c r="AB24" s="1"/>
  <c r="Z27"/>
  <c r="AB27" s="1"/>
  <c r="Z28"/>
  <c r="AB28" s="1"/>
  <c r="Z30"/>
  <c r="Z31"/>
  <c r="AB31" s="1"/>
  <c r="Z32"/>
  <c r="Z33"/>
  <c r="AB33" s="1"/>
  <c r="Z34"/>
  <c r="Z35"/>
  <c r="AB35" s="1"/>
  <c r="Z36"/>
  <c r="AB36" s="1"/>
  <c r="Z37"/>
  <c r="AB37" s="1"/>
  <c r="Z38"/>
  <c r="Z39"/>
  <c r="AB39" s="1"/>
  <c r="Z40"/>
  <c r="AB40" s="1"/>
  <c r="Z41"/>
  <c r="AB41" s="1"/>
  <c r="Z42"/>
  <c r="Z43"/>
  <c r="AB43" s="1"/>
  <c r="Z44"/>
  <c r="Z45"/>
  <c r="Z46"/>
  <c r="G53"/>
  <c r="G54"/>
  <c r="G55"/>
  <c r="G56"/>
  <c r="G57"/>
  <c r="G58"/>
  <c r="G59"/>
  <c r="G60"/>
  <c r="G61"/>
  <c r="AA61"/>
  <c r="Z62"/>
  <c r="Z63"/>
  <c r="Z64"/>
  <c r="AB64" s="1"/>
  <c r="Z65"/>
  <c r="AB65" s="1"/>
  <c r="Z66"/>
  <c r="Z67"/>
  <c r="Z68"/>
  <c r="Z69"/>
  <c r="Z70"/>
  <c r="Z71"/>
  <c r="Z72"/>
  <c r="Z73"/>
  <c r="Z74"/>
  <c r="Z75"/>
  <c r="Z76"/>
  <c r="Z77"/>
  <c r="AB77" s="1"/>
  <c r="Z78"/>
  <c r="Z79"/>
  <c r="Z80"/>
  <c r="Z81"/>
  <c r="Z82"/>
  <c r="Z83"/>
  <c r="Z84"/>
  <c r="Z85"/>
  <c r="Z86"/>
  <c r="Z87"/>
  <c r="Z88"/>
  <c r="Z89"/>
  <c r="AB89" s="1"/>
  <c r="Z90"/>
  <c r="Z91"/>
  <c r="Z92"/>
  <c r="Z93"/>
  <c r="Z94"/>
  <c r="Z95"/>
  <c r="Z96"/>
  <c r="Z97"/>
  <c r="Z98"/>
  <c r="Z99"/>
  <c r="Z100"/>
  <c r="Z101"/>
  <c r="AB101" s="1"/>
  <c r="Z102"/>
  <c r="Z103"/>
  <c r="Z104"/>
  <c r="Z105"/>
  <c r="Z106"/>
  <c r="Z107"/>
  <c r="Z108"/>
  <c r="Z109"/>
  <c r="Z110"/>
  <c r="Z111"/>
  <c r="Z112"/>
  <c r="Z113"/>
  <c r="AB113" s="1"/>
  <c r="Z114"/>
  <c r="Z115"/>
  <c r="Z116"/>
  <c r="Z117"/>
  <c r="Z118"/>
  <c r="Z119"/>
  <c r="Z120"/>
  <c r="Z121"/>
  <c r="Z122"/>
  <c r="Z123"/>
  <c r="Z124"/>
  <c r="Z125"/>
  <c r="AB125" s="1"/>
  <c r="Z126"/>
  <c r="Z127"/>
  <c r="Z128"/>
  <c r="Z129"/>
  <c r="AB129" s="1"/>
  <c r="Z130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Z176"/>
  <c r="Z177"/>
  <c r="Z178"/>
  <c r="Z179"/>
  <c r="G181"/>
  <c r="Z182"/>
  <c r="G183"/>
  <c r="G184"/>
  <c r="Z185"/>
  <c r="AB185" s="1"/>
  <c r="G186"/>
  <c r="G187"/>
  <c r="Z188"/>
  <c r="AB188" s="1"/>
  <c r="G189"/>
  <c r="Z190"/>
  <c r="AB190" s="1"/>
  <c r="Z191"/>
  <c r="AB191" s="1"/>
  <c r="G192"/>
  <c r="Z193"/>
  <c r="AB193" s="1"/>
  <c r="Z194"/>
  <c r="Z195"/>
  <c r="AB195" s="1"/>
  <c r="G196"/>
  <c r="Z197"/>
  <c r="AB197" s="1"/>
  <c r="G198"/>
  <c r="G199"/>
  <c r="G200"/>
  <c r="Z201"/>
  <c r="Z202"/>
  <c r="Z203"/>
  <c r="G204"/>
  <c r="G205"/>
  <c r="G206"/>
  <c r="G207"/>
  <c r="G208"/>
  <c r="G209"/>
  <c r="G210"/>
  <c r="G211"/>
  <c r="G212"/>
  <c r="G213"/>
  <c r="Z214"/>
  <c r="AA214" s="1"/>
  <c r="G215"/>
  <c r="G216"/>
  <c r="Z217"/>
  <c r="AA217" s="1"/>
  <c r="Z218"/>
  <c r="AA218" s="1"/>
  <c r="G219"/>
  <c r="Z220"/>
  <c r="AA220" s="1"/>
  <c r="G221"/>
  <c r="Z222"/>
  <c r="Z223"/>
  <c r="AA223" s="1"/>
  <c r="Z224"/>
  <c r="AA224" s="1"/>
  <c r="G225"/>
  <c r="G226"/>
  <c r="Z227"/>
  <c r="AA227" s="1"/>
  <c r="Z228"/>
  <c r="AA228" s="1"/>
  <c r="Z229"/>
  <c r="AA229" s="1"/>
  <c r="G230"/>
  <c r="G231"/>
  <c r="G232"/>
  <c r="G233"/>
  <c r="G234"/>
  <c r="Z235"/>
  <c r="AA235" s="1"/>
  <c r="Z236"/>
  <c r="AA236" s="1"/>
  <c r="Z237"/>
  <c r="AA237" s="1"/>
  <c r="Z238"/>
  <c r="AA238" s="1"/>
  <c r="Z239"/>
  <c r="AA239" s="1"/>
  <c r="Z240"/>
  <c r="AA240" s="1"/>
  <c r="Z241"/>
  <c r="AA241" s="1"/>
  <c r="G242"/>
  <c r="G243"/>
  <c r="Z244"/>
  <c r="AA244" s="1"/>
  <c r="Z245"/>
  <c r="G246"/>
  <c r="G247"/>
  <c r="Z248"/>
  <c r="AA248" s="1"/>
  <c r="Z249"/>
  <c r="AA249" s="1"/>
  <c r="G250"/>
  <c r="Z251"/>
  <c r="AA251" s="1"/>
  <c r="Z252"/>
  <c r="AA252" s="1"/>
  <c r="Z253"/>
  <c r="AA253" s="1"/>
  <c r="G254"/>
  <c r="G255"/>
  <c r="G256"/>
  <c r="Z257"/>
  <c r="G258"/>
  <c r="G259"/>
  <c r="G260"/>
  <c r="G261"/>
  <c r="G262"/>
  <c r="G263"/>
  <c r="G264"/>
  <c r="G265"/>
  <c r="G266"/>
  <c r="G267"/>
  <c r="G268"/>
  <c r="G269"/>
  <c r="Z270"/>
  <c r="AA270" s="1"/>
  <c r="Z271"/>
  <c r="AA271" s="1"/>
  <c r="G272"/>
  <c r="G273"/>
  <c r="G274"/>
  <c r="Z275"/>
  <c r="AA275" s="1"/>
  <c r="Z276"/>
  <c r="G277"/>
  <c r="G278"/>
  <c r="Z279"/>
  <c r="AA279" s="1"/>
  <c r="G280"/>
  <c r="G281"/>
  <c r="Z282"/>
  <c r="AA282" s="1"/>
  <c r="G283"/>
  <c r="Z284"/>
  <c r="AA284" s="1"/>
  <c r="Z285"/>
  <c r="AA285" s="1"/>
  <c r="Z286"/>
  <c r="AA286" s="1"/>
  <c r="G287"/>
  <c r="G288"/>
  <c r="G289"/>
  <c r="G290"/>
  <c r="G291"/>
  <c r="G292"/>
  <c r="Z293"/>
  <c r="G298"/>
  <c r="G299"/>
  <c r="G300"/>
  <c r="G301"/>
  <c r="G302"/>
  <c r="G303"/>
  <c r="G305"/>
  <c r="G306"/>
  <c r="AA306"/>
  <c r="G307"/>
  <c r="G312"/>
  <c r="G314"/>
  <c r="AA316"/>
  <c r="AL25" i="2"/>
  <c r="AP25"/>
  <c r="AL27"/>
  <c r="AP27"/>
  <c r="AL32"/>
  <c r="Z25" i="4"/>
  <c r="AB25" s="1"/>
  <c r="Z29"/>
  <c r="AB29" s="1"/>
  <c r="G32"/>
  <c r="G33"/>
  <c r="Z52"/>
  <c r="G62"/>
  <c r="Z131"/>
  <c r="AB131" s="1"/>
  <c r="G176"/>
  <c r="G177"/>
  <c r="Z181"/>
  <c r="Z183"/>
  <c r="Z187"/>
  <c r="G190"/>
  <c r="G191"/>
  <c r="G194"/>
  <c r="Z196"/>
  <c r="G197"/>
  <c r="Z199"/>
  <c r="G201"/>
  <c r="Z207"/>
  <c r="AB207" s="1"/>
  <c r="Z210"/>
  <c r="AA210" s="1"/>
  <c r="Z213"/>
  <c r="G214"/>
  <c r="G217"/>
  <c r="G220"/>
  <c r="AA304"/>
  <c r="AA311"/>
  <c r="AQ25" i="2"/>
  <c r="AL26"/>
  <c r="AQ27"/>
  <c r="AL28"/>
  <c r="AE305" i="1"/>
  <c r="AE304"/>
  <c r="AE303"/>
  <c r="AE302"/>
  <c r="AE301"/>
  <c r="AE300"/>
  <c r="AE299"/>
  <c r="AE298"/>
  <c r="AE297"/>
  <c r="AE296"/>
  <c r="AE295"/>
  <c r="AE294"/>
  <c r="AE293"/>
  <c r="AE292"/>
  <c r="AE291"/>
  <c r="E291"/>
  <c r="AE290"/>
  <c r="E290"/>
  <c r="AE289"/>
  <c r="E289"/>
  <c r="AE288"/>
  <c r="E288"/>
  <c r="AE287"/>
  <c r="AE286"/>
  <c r="AE285"/>
  <c r="AE284"/>
  <c r="E284"/>
  <c r="AE283"/>
  <c r="E283"/>
  <c r="AE282"/>
  <c r="E282"/>
  <c r="AE281"/>
  <c r="AE280"/>
  <c r="AE279"/>
  <c r="AE278"/>
  <c r="E278"/>
  <c r="AE277"/>
  <c r="E277"/>
  <c r="AE276"/>
  <c r="E276"/>
  <c r="AE275"/>
  <c r="E275"/>
  <c r="AE274"/>
  <c r="E274"/>
  <c r="AE273"/>
  <c r="E273"/>
  <c r="AE272"/>
  <c r="AE271"/>
  <c r="AE270"/>
  <c r="AE269"/>
  <c r="E269"/>
  <c r="AE268"/>
  <c r="E268"/>
  <c r="AE267"/>
  <c r="AE266"/>
  <c r="AE265"/>
  <c r="AE264"/>
  <c r="E264"/>
  <c r="AE263"/>
  <c r="E263"/>
  <c r="AE262"/>
  <c r="AE261"/>
  <c r="AE260"/>
  <c r="E260"/>
  <c r="AE259"/>
  <c r="E259"/>
  <c r="AE258"/>
  <c r="E258"/>
  <c r="AE257"/>
  <c r="E257"/>
  <c r="AE256"/>
  <c r="E256"/>
  <c r="AE255"/>
  <c r="AE254"/>
  <c r="E254"/>
  <c r="AE253"/>
  <c r="E253"/>
  <c r="AE252"/>
  <c r="AE251"/>
  <c r="E251"/>
  <c r="AE250"/>
  <c r="E250"/>
  <c r="AE249"/>
  <c r="E249"/>
  <c r="AE248"/>
  <c r="E248"/>
  <c r="AE247"/>
  <c r="E247"/>
  <c r="AE246"/>
  <c r="E246"/>
  <c r="Q42" i="2" l="1"/>
  <c r="S42" s="1"/>
  <c r="Z42" s="1"/>
  <c r="AB42" s="1"/>
  <c r="AA51" i="4"/>
  <c r="J139" i="10"/>
  <c r="H151"/>
  <c r="I151" s="1"/>
  <c r="N163" i="3"/>
  <c r="O151"/>
  <c r="AS19" i="4"/>
  <c r="Q363" i="3"/>
  <c r="B375"/>
  <c r="AA183" i="4"/>
  <c r="AB183"/>
  <c r="AA52"/>
  <c r="AB52"/>
  <c r="AA203"/>
  <c r="AB203"/>
  <c r="AA201"/>
  <c r="AB201"/>
  <c r="AA178"/>
  <c r="AB178"/>
  <c r="AA176"/>
  <c r="AB176"/>
  <c r="AA127"/>
  <c r="AB127"/>
  <c r="AA123"/>
  <c r="AB123"/>
  <c r="AA121"/>
  <c r="AB121"/>
  <c r="AA119"/>
  <c r="AB119"/>
  <c r="AA117"/>
  <c r="AB117"/>
  <c r="AA115"/>
  <c r="AB115"/>
  <c r="AA111"/>
  <c r="AB111"/>
  <c r="AA109"/>
  <c r="AB109"/>
  <c r="AA107"/>
  <c r="AB107"/>
  <c r="AA105"/>
  <c r="AB105"/>
  <c r="AA103"/>
  <c r="AB103"/>
  <c r="AA99"/>
  <c r="AB99"/>
  <c r="AA97"/>
  <c r="AB97"/>
  <c r="AA95"/>
  <c r="AB95"/>
  <c r="AA93"/>
  <c r="AB93"/>
  <c r="AA91"/>
  <c r="AB91"/>
  <c r="AA87"/>
  <c r="AB87"/>
  <c r="AA85"/>
  <c r="AB85"/>
  <c r="AA83"/>
  <c r="AB83"/>
  <c r="AA81"/>
  <c r="AB81"/>
  <c r="AA79"/>
  <c r="AB79"/>
  <c r="AA75"/>
  <c r="AB75"/>
  <c r="AA73"/>
  <c r="AB73"/>
  <c r="AA71"/>
  <c r="AB71"/>
  <c r="AA69"/>
  <c r="AB69"/>
  <c r="AA67"/>
  <c r="AB67"/>
  <c r="AA63"/>
  <c r="AB63"/>
  <c r="AA46"/>
  <c r="AB46"/>
  <c r="AA44"/>
  <c r="AB44"/>
  <c r="AA42"/>
  <c r="AB42"/>
  <c r="AA38"/>
  <c r="AB38"/>
  <c r="AA34"/>
  <c r="AB34"/>
  <c r="AA32"/>
  <c r="AB32"/>
  <c r="AA30"/>
  <c r="AB30"/>
  <c r="AA199"/>
  <c r="AB199"/>
  <c r="AA196"/>
  <c r="AB196"/>
  <c r="AA187"/>
  <c r="AB187"/>
  <c r="AA181"/>
  <c r="AB181"/>
  <c r="AA202"/>
  <c r="AB202"/>
  <c r="AA194"/>
  <c r="AB194"/>
  <c r="AA182"/>
  <c r="AB182"/>
  <c r="AA179"/>
  <c r="AB179"/>
  <c r="AA177"/>
  <c r="AB177"/>
  <c r="AA142"/>
  <c r="AB130"/>
  <c r="AA128"/>
  <c r="AB128"/>
  <c r="AA126"/>
  <c r="AB126"/>
  <c r="AA124"/>
  <c r="AB124"/>
  <c r="AA122"/>
  <c r="AB122"/>
  <c r="AA120"/>
  <c r="AB120"/>
  <c r="AA118"/>
  <c r="AB118"/>
  <c r="AA116"/>
  <c r="AB116"/>
  <c r="AA114"/>
  <c r="AB114"/>
  <c r="AA112"/>
  <c r="AB112"/>
  <c r="AA110"/>
  <c r="AB110"/>
  <c r="AA108"/>
  <c r="AB108"/>
  <c r="AA106"/>
  <c r="AB106"/>
  <c r="AA104"/>
  <c r="AB104"/>
  <c r="AA102"/>
  <c r="AB102"/>
  <c r="AA100"/>
  <c r="AB100"/>
  <c r="AA98"/>
  <c r="AB98"/>
  <c r="AA96"/>
  <c r="AB96"/>
  <c r="AA94"/>
  <c r="AB94"/>
  <c r="AA92"/>
  <c r="AB92"/>
  <c r="AA90"/>
  <c r="AB90"/>
  <c r="AA88"/>
  <c r="AB88"/>
  <c r="AA86"/>
  <c r="AB86"/>
  <c r="AA84"/>
  <c r="AB84"/>
  <c r="AA82"/>
  <c r="AB82"/>
  <c r="AA80"/>
  <c r="AB80"/>
  <c r="AA78"/>
  <c r="AB78"/>
  <c r="AA76"/>
  <c r="AB76"/>
  <c r="AA74"/>
  <c r="AB74"/>
  <c r="AA72"/>
  <c r="AB72"/>
  <c r="AA70"/>
  <c r="AB70"/>
  <c r="AA68"/>
  <c r="AB68"/>
  <c r="AA66"/>
  <c r="AB66"/>
  <c r="AA62"/>
  <c r="AB62"/>
  <c r="AA45"/>
  <c r="AB45"/>
  <c r="N149" i="3"/>
  <c r="H149" i="10" s="1"/>
  <c r="I149" s="1"/>
  <c r="AA43" i="4"/>
  <c r="O170" i="3"/>
  <c r="J170" i="10" s="1"/>
  <c r="S116" i="3"/>
  <c r="J116" i="10"/>
  <c r="F129"/>
  <c r="S126" i="3"/>
  <c r="J126" i="10"/>
  <c r="H128"/>
  <c r="I128" s="1"/>
  <c r="O128" i="3"/>
  <c r="N140"/>
  <c r="O143"/>
  <c r="J143" i="10" s="1"/>
  <c r="N155" i="3"/>
  <c r="H155" i="10" s="1"/>
  <c r="I155" s="1"/>
  <c r="N150" i="3"/>
  <c r="H150" i="10" s="1"/>
  <c r="I150" s="1"/>
  <c r="O138" i="3"/>
  <c r="J138" i="10" s="1"/>
  <c r="N182" i="3"/>
  <c r="O182" s="1"/>
  <c r="AR9" i="5"/>
  <c r="AR33" i="2"/>
  <c r="AR30"/>
  <c r="AO31" i="4"/>
  <c r="AO28"/>
  <c r="AO27"/>
  <c r="AO22"/>
  <c r="AO17"/>
  <c r="AO10"/>
  <c r="AO23"/>
  <c r="AO32"/>
  <c r="AO21"/>
  <c r="AO20"/>
  <c r="AO19"/>
  <c r="AO18"/>
  <c r="AO11"/>
  <c r="AO8"/>
  <c r="AA130"/>
  <c r="AO30"/>
  <c r="AO29"/>
  <c r="AO26"/>
  <c r="AO25"/>
  <c r="AO24"/>
  <c r="AO9"/>
  <c r="AA129"/>
  <c r="AR27" i="2"/>
  <c r="AR26"/>
  <c r="AA276" i="4"/>
  <c r="AL157" i="2"/>
  <c r="AR32"/>
  <c r="AA213" i="4"/>
  <c r="AA207"/>
  <c r="AR19" i="2"/>
  <c r="AR17"/>
  <c r="AR15"/>
  <c r="AR13"/>
  <c r="AR11"/>
  <c r="AR9"/>
  <c r="AR20"/>
  <c r="AR18"/>
  <c r="AR16"/>
  <c r="AR14"/>
  <c r="AR12"/>
  <c r="AR10"/>
  <c r="AR22"/>
  <c r="M51"/>
  <c r="AR23" i="5"/>
  <c r="AA131" i="4"/>
  <c r="BK29" i="2"/>
  <c r="AR31"/>
  <c r="AA191" i="4"/>
  <c r="AA40"/>
  <c r="AA36"/>
  <c r="BK40" i="2"/>
  <c r="BK36"/>
  <c r="BK32"/>
  <c r="BA62"/>
  <c r="BB62" s="1"/>
  <c r="BB50"/>
  <c r="BF45"/>
  <c r="BE57"/>
  <c r="BE55"/>
  <c r="BE67" s="1"/>
  <c r="BF43"/>
  <c r="AX156" i="3"/>
  <c r="AY144"/>
  <c r="BC144" s="1"/>
  <c r="BA183"/>
  <c r="BB171"/>
  <c r="AX151"/>
  <c r="AY139"/>
  <c r="BD139" s="1"/>
  <c r="BC139" s="1"/>
  <c r="BE139" s="1"/>
  <c r="BA76" i="2"/>
  <c r="BB64"/>
  <c r="BA72"/>
  <c r="BB72" s="1"/>
  <c r="BB60"/>
  <c r="BH60" s="1"/>
  <c r="BK60" s="1"/>
  <c r="BE88"/>
  <c r="BF76"/>
  <c r="BA68"/>
  <c r="BB68" s="1"/>
  <c r="BB56"/>
  <c r="BE77"/>
  <c r="BE89" s="1"/>
  <c r="BF65"/>
  <c r="BB53"/>
  <c r="BH53" s="1"/>
  <c r="BA65"/>
  <c r="BK39"/>
  <c r="BK37"/>
  <c r="BH51"/>
  <c r="BK51" s="1"/>
  <c r="BH49"/>
  <c r="BK49" s="1"/>
  <c r="BA169" i="3"/>
  <c r="BB157"/>
  <c r="BE62" i="2"/>
  <c r="BF50"/>
  <c r="BB45"/>
  <c r="BA57"/>
  <c r="BD127" i="3"/>
  <c r="BC127"/>
  <c r="BB63" i="2"/>
  <c r="BA75"/>
  <c r="BF61"/>
  <c r="BE73"/>
  <c r="BK44"/>
  <c r="O136" i="3"/>
  <c r="N148"/>
  <c r="H148" i="10" s="1"/>
  <c r="I148" s="1"/>
  <c r="P50" i="2"/>
  <c r="O62"/>
  <c r="AA42"/>
  <c r="W42"/>
  <c r="L68"/>
  <c r="M68" s="1"/>
  <c r="M56"/>
  <c r="O90"/>
  <c r="P78"/>
  <c r="L90"/>
  <c r="M78"/>
  <c r="K141" i="3"/>
  <c r="D141" i="10" s="1"/>
  <c r="E141" s="1"/>
  <c r="L129" i="3"/>
  <c r="P129" s="1"/>
  <c r="O63" i="2"/>
  <c r="O75" s="1"/>
  <c r="P75" s="1"/>
  <c r="P51"/>
  <c r="P46"/>
  <c r="O58"/>
  <c r="M50"/>
  <c r="Q50" s="1"/>
  <c r="L62"/>
  <c r="M46"/>
  <c r="L58"/>
  <c r="O57"/>
  <c r="P45"/>
  <c r="O67"/>
  <c r="P55"/>
  <c r="L61"/>
  <c r="M61" s="1"/>
  <c r="Q61" s="1"/>
  <c r="M49"/>
  <c r="L53"/>
  <c r="M41"/>
  <c r="Q41" s="1"/>
  <c r="L75"/>
  <c r="M63"/>
  <c r="O64"/>
  <c r="O76" s="1"/>
  <c r="O88" s="1"/>
  <c r="O100" s="1"/>
  <c r="P52"/>
  <c r="R52" s="1"/>
  <c r="O61"/>
  <c r="P49"/>
  <c r="O53"/>
  <c r="O65" s="1"/>
  <c r="P65" s="1"/>
  <c r="P41"/>
  <c r="AG42"/>
  <c r="E255" i="1"/>
  <c r="E279"/>
  <c r="E280"/>
  <c r="E281"/>
  <c r="E285"/>
  <c r="E286"/>
  <c r="E287"/>
  <c r="E292"/>
  <c r="E293"/>
  <c r="E294"/>
  <c r="E295"/>
  <c r="E296"/>
  <c r="E297"/>
  <c r="E298"/>
  <c r="E299"/>
  <c r="E300"/>
  <c r="E301"/>
  <c r="E302"/>
  <c r="E303"/>
  <c r="E304"/>
  <c r="E305"/>
  <c r="AA190" i="4"/>
  <c r="AA188"/>
  <c r="AA35"/>
  <c r="AA31"/>
  <c r="AR21" i="5"/>
  <c r="AR8"/>
  <c r="E252" i="1"/>
  <c r="E261"/>
  <c r="E262"/>
  <c r="E265"/>
  <c r="E266"/>
  <c r="E267"/>
  <c r="E270"/>
  <c r="E271"/>
  <c r="E272"/>
  <c r="AR21" i="4"/>
  <c r="AS21" s="1"/>
  <c r="AR8"/>
  <c r="AR22" i="5"/>
  <c r="AA293" i="4"/>
  <c r="AA257"/>
  <c r="AA245"/>
  <c r="AA197"/>
  <c r="AR23"/>
  <c r="AS24" s="1"/>
  <c r="AA41"/>
  <c r="AR10"/>
  <c r="AA195"/>
  <c r="AA193"/>
  <c r="AA64"/>
  <c r="AA39"/>
  <c r="AA37"/>
  <c r="AA33"/>
  <c r="AA298"/>
  <c r="AA264"/>
  <c r="AA260"/>
  <c r="AA256"/>
  <c r="AA250"/>
  <c r="AA232"/>
  <c r="AA226"/>
  <c r="AA208"/>
  <c r="AA189"/>
  <c r="AA140"/>
  <c r="AA136"/>
  <c r="AA132"/>
  <c r="AA58"/>
  <c r="AA54"/>
  <c r="AA49"/>
  <c r="AA47"/>
  <c r="AR28" i="2"/>
  <c r="AA296" i="4"/>
  <c r="AA294"/>
  <c r="AA283"/>
  <c r="AA265"/>
  <c r="AA261"/>
  <c r="AA225"/>
  <c r="AA215"/>
  <c r="AA205"/>
  <c r="AA143"/>
  <c r="AA139"/>
  <c r="AA133"/>
  <c r="AA57"/>
  <c r="AA269"/>
  <c r="AS26"/>
  <c r="AA209"/>
  <c r="AS20"/>
  <c r="AA53"/>
  <c r="AR9"/>
  <c r="AA29"/>
  <c r="AA185"/>
  <c r="AR22"/>
  <c r="AA125"/>
  <c r="AR17"/>
  <c r="AS18" s="1"/>
  <c r="AA113"/>
  <c r="AR16"/>
  <c r="AA101"/>
  <c r="AR15"/>
  <c r="AA89"/>
  <c r="AR14"/>
  <c r="AA77"/>
  <c r="AR13"/>
  <c r="AA65"/>
  <c r="AR12"/>
  <c r="AA222"/>
  <c r="AA288"/>
  <c r="AA234"/>
  <c r="AA230"/>
  <c r="AA206"/>
  <c r="AA138"/>
  <c r="AA134"/>
  <c r="AA56"/>
  <c r="AA50"/>
  <c r="AA48"/>
  <c r="AA297"/>
  <c r="AA291"/>
  <c r="AA287"/>
  <c r="AA263"/>
  <c r="AA247"/>
  <c r="AA219"/>
  <c r="AA211"/>
  <c r="AA200"/>
  <c r="AA141"/>
  <c r="AA135"/>
  <c r="AA55"/>
  <c r="AA305"/>
  <c r="AA137"/>
  <c r="AR11"/>
  <c r="AS11" s="1"/>
  <c r="AE245" i="1"/>
  <c r="E245"/>
  <c r="AE244"/>
  <c r="E244"/>
  <c r="AE243"/>
  <c r="E243"/>
  <c r="AE242"/>
  <c r="AE241"/>
  <c r="AE240"/>
  <c r="E240"/>
  <c r="AE239"/>
  <c r="AE238"/>
  <c r="E238"/>
  <c r="AE237"/>
  <c r="E237"/>
  <c r="AE236"/>
  <c r="AE235"/>
  <c r="E235"/>
  <c r="AE234"/>
  <c r="E234"/>
  <c r="AE233"/>
  <c r="BO232"/>
  <c r="BO244" s="1"/>
  <c r="BO256" s="1"/>
  <c r="BO268" s="1"/>
  <c r="BO280" s="1"/>
  <c r="BO292" s="1"/>
  <c r="BO304" s="1"/>
  <c r="BO316" s="1"/>
  <c r="BO328" s="1"/>
  <c r="BO340" s="1"/>
  <c r="BO352" s="1"/>
  <c r="BO364" s="1"/>
  <c r="BN232"/>
  <c r="BN244" s="1"/>
  <c r="BN256" s="1"/>
  <c r="BN268" s="1"/>
  <c r="BN280" s="1"/>
  <c r="BN292" s="1"/>
  <c r="BN304" s="1"/>
  <c r="BN316" s="1"/>
  <c r="BN328" s="1"/>
  <c r="BN340" s="1"/>
  <c r="BN352" s="1"/>
  <c r="BN364" s="1"/>
  <c r="AZ232"/>
  <c r="AZ244" s="1"/>
  <c r="AZ256" s="1"/>
  <c r="AZ268" s="1"/>
  <c r="AZ280" s="1"/>
  <c r="AZ292" s="1"/>
  <c r="AZ304" s="1"/>
  <c r="AZ316" s="1"/>
  <c r="AZ328" s="1"/>
  <c r="AZ340" s="1"/>
  <c r="AZ352" s="1"/>
  <c r="AZ364" s="1"/>
  <c r="AY232"/>
  <c r="AY244" s="1"/>
  <c r="AY256" s="1"/>
  <c r="AY268" s="1"/>
  <c r="AY280" s="1"/>
  <c r="AY292" s="1"/>
  <c r="AY304" s="1"/>
  <c r="AY316" s="1"/>
  <c r="AY328" s="1"/>
  <c r="AY340" s="1"/>
  <c r="AY352" s="1"/>
  <c r="AY364" s="1"/>
  <c r="AE232"/>
  <c r="AD232"/>
  <c r="AD244" s="1"/>
  <c r="AD256" s="1"/>
  <c r="AD268" s="1"/>
  <c r="AD280" s="1"/>
  <c r="AD292" s="1"/>
  <c r="AD304" s="1"/>
  <c r="AD316" s="1"/>
  <c r="AD328" s="1"/>
  <c r="AD340" s="1"/>
  <c r="AD352" s="1"/>
  <c r="AD364" s="1"/>
  <c r="AC232"/>
  <c r="AC244" s="1"/>
  <c r="AC256" s="1"/>
  <c r="AC268" s="1"/>
  <c r="AC280" s="1"/>
  <c r="AC292" s="1"/>
  <c r="AC304" s="1"/>
  <c r="AC316" s="1"/>
  <c r="AC328" s="1"/>
  <c r="AC340" s="1"/>
  <c r="AC352" s="1"/>
  <c r="AC364" s="1"/>
  <c r="V232"/>
  <c r="V244" s="1"/>
  <c r="V256" s="1"/>
  <c r="V268" s="1"/>
  <c r="V280" s="1"/>
  <c r="V292" s="1"/>
  <c r="V304" s="1"/>
  <c r="V316" s="1"/>
  <c r="V328" s="1"/>
  <c r="V340" s="1"/>
  <c r="V352" s="1"/>
  <c r="V364" s="1"/>
  <c r="U232"/>
  <c r="U244" s="1"/>
  <c r="U256" s="1"/>
  <c r="U268" s="1"/>
  <c r="U280" s="1"/>
  <c r="U292" s="1"/>
  <c r="U304" s="1"/>
  <c r="U316" s="1"/>
  <c r="U328" s="1"/>
  <c r="U340" s="1"/>
  <c r="U352" s="1"/>
  <c r="U364" s="1"/>
  <c r="B232"/>
  <c r="B244" s="1"/>
  <c r="B256" s="1"/>
  <c r="B268" s="1"/>
  <c r="B280" s="1"/>
  <c r="B292" s="1"/>
  <c r="B304" s="1"/>
  <c r="B316" s="1"/>
  <c r="B328" s="1"/>
  <c r="B340" s="1"/>
  <c r="B352" s="1"/>
  <c r="B364" s="1"/>
  <c r="B376" s="1"/>
  <c r="A232"/>
  <c r="A244" s="1"/>
  <c r="A256" s="1"/>
  <c r="A268" s="1"/>
  <c r="A280" s="1"/>
  <c r="A292" s="1"/>
  <c r="A304" s="1"/>
  <c r="A316" s="1"/>
  <c r="A328" s="1"/>
  <c r="A340" s="1"/>
  <c r="A352" s="1"/>
  <c r="A364" s="1"/>
  <c r="A376" s="1"/>
  <c r="BO231"/>
  <c r="BO243" s="1"/>
  <c r="BO255" s="1"/>
  <c r="BO267" s="1"/>
  <c r="BO279" s="1"/>
  <c r="BO291" s="1"/>
  <c r="BO303" s="1"/>
  <c r="BO315" s="1"/>
  <c r="BO327" s="1"/>
  <c r="BO339" s="1"/>
  <c r="BO351" s="1"/>
  <c r="BO363" s="1"/>
  <c r="BN231"/>
  <c r="BN243" s="1"/>
  <c r="BN255" s="1"/>
  <c r="BN267" s="1"/>
  <c r="BN279" s="1"/>
  <c r="BN291" s="1"/>
  <c r="BN303" s="1"/>
  <c r="BN315" s="1"/>
  <c r="BN327" s="1"/>
  <c r="BN339" s="1"/>
  <c r="BN351" s="1"/>
  <c r="BN363" s="1"/>
  <c r="AZ231"/>
  <c r="AZ243" s="1"/>
  <c r="AZ255" s="1"/>
  <c r="AZ267" s="1"/>
  <c r="AZ279" s="1"/>
  <c r="AZ291" s="1"/>
  <c r="AZ303" s="1"/>
  <c r="AZ315" s="1"/>
  <c r="AZ327" s="1"/>
  <c r="AZ339" s="1"/>
  <c r="AZ351" s="1"/>
  <c r="AZ363" s="1"/>
  <c r="AY231"/>
  <c r="AY243" s="1"/>
  <c r="AY255" s="1"/>
  <c r="AY267" s="1"/>
  <c r="AY279" s="1"/>
  <c r="AY291" s="1"/>
  <c r="AY303" s="1"/>
  <c r="AY315" s="1"/>
  <c r="AY327" s="1"/>
  <c r="AY339" s="1"/>
  <c r="AY351" s="1"/>
  <c r="AY363" s="1"/>
  <c r="AE231"/>
  <c r="AD231"/>
  <c r="AD243" s="1"/>
  <c r="AD255" s="1"/>
  <c r="AD267" s="1"/>
  <c r="AD279" s="1"/>
  <c r="AD291" s="1"/>
  <c r="AD303" s="1"/>
  <c r="AD315" s="1"/>
  <c r="AD327" s="1"/>
  <c r="AD339" s="1"/>
  <c r="AD351" s="1"/>
  <c r="AD363" s="1"/>
  <c r="AC231"/>
  <c r="AC243" s="1"/>
  <c r="AC255" s="1"/>
  <c r="AC267" s="1"/>
  <c r="AC279" s="1"/>
  <c r="AC291" s="1"/>
  <c r="AC303" s="1"/>
  <c r="AC315" s="1"/>
  <c r="AC327" s="1"/>
  <c r="AC339" s="1"/>
  <c r="AC351" s="1"/>
  <c r="AC363" s="1"/>
  <c r="V231"/>
  <c r="V243" s="1"/>
  <c r="V255" s="1"/>
  <c r="V267" s="1"/>
  <c r="V279" s="1"/>
  <c r="V291" s="1"/>
  <c r="V303" s="1"/>
  <c r="V315" s="1"/>
  <c r="V327" s="1"/>
  <c r="V339" s="1"/>
  <c r="V351" s="1"/>
  <c r="V363" s="1"/>
  <c r="U231"/>
  <c r="U243" s="1"/>
  <c r="U255" s="1"/>
  <c r="U267" s="1"/>
  <c r="U279" s="1"/>
  <c r="U291" s="1"/>
  <c r="U303" s="1"/>
  <c r="U315" s="1"/>
  <c r="U327" s="1"/>
  <c r="U339" s="1"/>
  <c r="U351" s="1"/>
  <c r="U363" s="1"/>
  <c r="E231"/>
  <c r="B231"/>
  <c r="B243" s="1"/>
  <c r="B255" s="1"/>
  <c r="B267" s="1"/>
  <c r="B279" s="1"/>
  <c r="B291" s="1"/>
  <c r="B303" s="1"/>
  <c r="B315" s="1"/>
  <c r="B327" s="1"/>
  <c r="B339" s="1"/>
  <c r="B351" s="1"/>
  <c r="B363" s="1"/>
  <c r="B375" s="1"/>
  <c r="A231"/>
  <c r="A243" s="1"/>
  <c r="A255" s="1"/>
  <c r="A267" s="1"/>
  <c r="A279" s="1"/>
  <c r="A291" s="1"/>
  <c r="A303" s="1"/>
  <c r="A315" s="1"/>
  <c r="A327" s="1"/>
  <c r="A339" s="1"/>
  <c r="A351" s="1"/>
  <c r="A363" s="1"/>
  <c r="A375" s="1"/>
  <c r="BO230"/>
  <c r="BO242" s="1"/>
  <c r="BO254" s="1"/>
  <c r="BO266" s="1"/>
  <c r="BO278" s="1"/>
  <c r="BO290" s="1"/>
  <c r="BO302" s="1"/>
  <c r="BO314" s="1"/>
  <c r="BO326" s="1"/>
  <c r="BO338" s="1"/>
  <c r="BO350" s="1"/>
  <c r="BO362" s="1"/>
  <c r="BN230"/>
  <c r="BN242" s="1"/>
  <c r="BN254" s="1"/>
  <c r="BN266" s="1"/>
  <c r="BN278" s="1"/>
  <c r="BN290" s="1"/>
  <c r="BN302" s="1"/>
  <c r="BN314" s="1"/>
  <c r="BN326" s="1"/>
  <c r="BN338" s="1"/>
  <c r="BN350" s="1"/>
  <c r="BN362" s="1"/>
  <c r="AZ230"/>
  <c r="AZ242" s="1"/>
  <c r="AZ254" s="1"/>
  <c r="AZ266" s="1"/>
  <c r="AZ278" s="1"/>
  <c r="AZ290" s="1"/>
  <c r="AZ302" s="1"/>
  <c r="AZ314" s="1"/>
  <c r="AZ326" s="1"/>
  <c r="AZ338" s="1"/>
  <c r="AZ350" s="1"/>
  <c r="AZ362" s="1"/>
  <c r="AY230"/>
  <c r="AY242" s="1"/>
  <c r="AY254" s="1"/>
  <c r="AY266" s="1"/>
  <c r="AY278" s="1"/>
  <c r="AY290" s="1"/>
  <c r="AY302" s="1"/>
  <c r="AY314" s="1"/>
  <c r="AY326" s="1"/>
  <c r="AY338" s="1"/>
  <c r="AY350" s="1"/>
  <c r="AY362" s="1"/>
  <c r="AE230"/>
  <c r="AD230"/>
  <c r="AD242" s="1"/>
  <c r="AD254" s="1"/>
  <c r="AD266" s="1"/>
  <c r="AD278" s="1"/>
  <c r="AD290" s="1"/>
  <c r="AD302" s="1"/>
  <c r="AD314" s="1"/>
  <c r="AD326" s="1"/>
  <c r="AD338" s="1"/>
  <c r="AD350" s="1"/>
  <c r="AD362" s="1"/>
  <c r="AC230"/>
  <c r="AC242" s="1"/>
  <c r="AC254" s="1"/>
  <c r="AC266" s="1"/>
  <c r="AC278" s="1"/>
  <c r="AC290" s="1"/>
  <c r="AC302" s="1"/>
  <c r="AC314" s="1"/>
  <c r="AC326" s="1"/>
  <c r="AC338" s="1"/>
  <c r="AC350" s="1"/>
  <c r="AC362" s="1"/>
  <c r="V230"/>
  <c r="V242" s="1"/>
  <c r="V254" s="1"/>
  <c r="V266" s="1"/>
  <c r="V278" s="1"/>
  <c r="V290" s="1"/>
  <c r="V302" s="1"/>
  <c r="V314" s="1"/>
  <c r="V326" s="1"/>
  <c r="V338" s="1"/>
  <c r="V350" s="1"/>
  <c r="V362" s="1"/>
  <c r="U230"/>
  <c r="U242" s="1"/>
  <c r="U254" s="1"/>
  <c r="U266" s="1"/>
  <c r="U278" s="1"/>
  <c r="U290" s="1"/>
  <c r="U302" s="1"/>
  <c r="U314" s="1"/>
  <c r="U326" s="1"/>
  <c r="U338" s="1"/>
  <c r="U350" s="1"/>
  <c r="U362" s="1"/>
  <c r="E230"/>
  <c r="B230"/>
  <c r="B242" s="1"/>
  <c r="B254" s="1"/>
  <c r="B266" s="1"/>
  <c r="B278" s="1"/>
  <c r="B290" s="1"/>
  <c r="B302" s="1"/>
  <c r="B314" s="1"/>
  <c r="B326" s="1"/>
  <c r="B338" s="1"/>
  <c r="B350" s="1"/>
  <c r="B362" s="1"/>
  <c r="B374" s="1"/>
  <c r="A230"/>
  <c r="A242" s="1"/>
  <c r="A254" s="1"/>
  <c r="A266" s="1"/>
  <c r="A278" s="1"/>
  <c r="A290" s="1"/>
  <c r="A302" s="1"/>
  <c r="A314" s="1"/>
  <c r="A326" s="1"/>
  <c r="A338" s="1"/>
  <c r="A350" s="1"/>
  <c r="A362" s="1"/>
  <c r="A374" s="1"/>
  <c r="BO229"/>
  <c r="BO241" s="1"/>
  <c r="BO253" s="1"/>
  <c r="BO265" s="1"/>
  <c r="BO277" s="1"/>
  <c r="BO289" s="1"/>
  <c r="BO301" s="1"/>
  <c r="BO313" s="1"/>
  <c r="BO325" s="1"/>
  <c r="BO337" s="1"/>
  <c r="BO349" s="1"/>
  <c r="BO361" s="1"/>
  <c r="BN229"/>
  <c r="BN241" s="1"/>
  <c r="BN253" s="1"/>
  <c r="BN265" s="1"/>
  <c r="BN277" s="1"/>
  <c r="BN289" s="1"/>
  <c r="BN301" s="1"/>
  <c r="BN313" s="1"/>
  <c r="BN325" s="1"/>
  <c r="BN337" s="1"/>
  <c r="BN349" s="1"/>
  <c r="BN361" s="1"/>
  <c r="AZ229"/>
  <c r="AZ241" s="1"/>
  <c r="AZ253" s="1"/>
  <c r="AZ265" s="1"/>
  <c r="AZ277" s="1"/>
  <c r="AZ289" s="1"/>
  <c r="AZ301" s="1"/>
  <c r="AZ313" s="1"/>
  <c r="AZ325" s="1"/>
  <c r="AZ337" s="1"/>
  <c r="AZ349" s="1"/>
  <c r="AZ361" s="1"/>
  <c r="AY229"/>
  <c r="AY241" s="1"/>
  <c r="AY253" s="1"/>
  <c r="AY265" s="1"/>
  <c r="AY277" s="1"/>
  <c r="AY289" s="1"/>
  <c r="AY301" s="1"/>
  <c r="AY313" s="1"/>
  <c r="AY325" s="1"/>
  <c r="AY337" s="1"/>
  <c r="AY349" s="1"/>
  <c r="AY361" s="1"/>
  <c r="AE229"/>
  <c r="AD229"/>
  <c r="AD241" s="1"/>
  <c r="AD253" s="1"/>
  <c r="AD265" s="1"/>
  <c r="AD277" s="1"/>
  <c r="AD289" s="1"/>
  <c r="AD301" s="1"/>
  <c r="AD313" s="1"/>
  <c r="AD325" s="1"/>
  <c r="AD337" s="1"/>
  <c r="AD349" s="1"/>
  <c r="AD361" s="1"/>
  <c r="AC229"/>
  <c r="AC241" s="1"/>
  <c r="AC253" s="1"/>
  <c r="AC265" s="1"/>
  <c r="AC277" s="1"/>
  <c r="AC289" s="1"/>
  <c r="AC301" s="1"/>
  <c r="AC313" s="1"/>
  <c r="AC325" s="1"/>
  <c r="AC337" s="1"/>
  <c r="AC349" s="1"/>
  <c r="AC361" s="1"/>
  <c r="V229"/>
  <c r="V241" s="1"/>
  <c r="V253" s="1"/>
  <c r="V265" s="1"/>
  <c r="V277" s="1"/>
  <c r="V289" s="1"/>
  <c r="V301" s="1"/>
  <c r="V313" s="1"/>
  <c r="V325" s="1"/>
  <c r="V337" s="1"/>
  <c r="V349" s="1"/>
  <c r="V361" s="1"/>
  <c r="U229"/>
  <c r="U241" s="1"/>
  <c r="U253" s="1"/>
  <c r="U265" s="1"/>
  <c r="U277" s="1"/>
  <c r="U289" s="1"/>
  <c r="U301" s="1"/>
  <c r="U313" s="1"/>
  <c r="U325" s="1"/>
  <c r="U337" s="1"/>
  <c r="U349" s="1"/>
  <c r="U361" s="1"/>
  <c r="B229"/>
  <c r="B241" s="1"/>
  <c r="B253" s="1"/>
  <c r="B265" s="1"/>
  <c r="B277" s="1"/>
  <c r="B289" s="1"/>
  <c r="B301" s="1"/>
  <c r="B313" s="1"/>
  <c r="B325" s="1"/>
  <c r="B337" s="1"/>
  <c r="B349" s="1"/>
  <c r="B361" s="1"/>
  <c r="B373" s="1"/>
  <c r="A229"/>
  <c r="A241" s="1"/>
  <c r="A253" s="1"/>
  <c r="A265" s="1"/>
  <c r="A277" s="1"/>
  <c r="A289" s="1"/>
  <c r="A301" s="1"/>
  <c r="A313" s="1"/>
  <c r="A325" s="1"/>
  <c r="A337" s="1"/>
  <c r="A349" s="1"/>
  <c r="A361" s="1"/>
  <c r="A373" s="1"/>
  <c r="BO228"/>
  <c r="BO240" s="1"/>
  <c r="BO252" s="1"/>
  <c r="BO264" s="1"/>
  <c r="BO276" s="1"/>
  <c r="BO288" s="1"/>
  <c r="BO300" s="1"/>
  <c r="BO312" s="1"/>
  <c r="BO324" s="1"/>
  <c r="BO336" s="1"/>
  <c r="BO348" s="1"/>
  <c r="BO360" s="1"/>
  <c r="BN228"/>
  <c r="BN240" s="1"/>
  <c r="BN252" s="1"/>
  <c r="BN264" s="1"/>
  <c r="BN276" s="1"/>
  <c r="BN288" s="1"/>
  <c r="BN300" s="1"/>
  <c r="BN312" s="1"/>
  <c r="BN324" s="1"/>
  <c r="BN336" s="1"/>
  <c r="BN348" s="1"/>
  <c r="BN360" s="1"/>
  <c r="AZ228"/>
  <c r="AZ240" s="1"/>
  <c r="AZ252" s="1"/>
  <c r="AZ264" s="1"/>
  <c r="AZ276" s="1"/>
  <c r="AZ288" s="1"/>
  <c r="AZ300" s="1"/>
  <c r="AZ312" s="1"/>
  <c r="AZ324" s="1"/>
  <c r="AZ336" s="1"/>
  <c r="AZ348" s="1"/>
  <c r="AZ360" s="1"/>
  <c r="AY228"/>
  <c r="AY240" s="1"/>
  <c r="AY252" s="1"/>
  <c r="AY264" s="1"/>
  <c r="AY276" s="1"/>
  <c r="AY288" s="1"/>
  <c r="AY300" s="1"/>
  <c r="AY312" s="1"/>
  <c r="AY324" s="1"/>
  <c r="AY336" s="1"/>
  <c r="AY348" s="1"/>
  <c r="AY360" s="1"/>
  <c r="AE228"/>
  <c r="AD228"/>
  <c r="AD240" s="1"/>
  <c r="AD252" s="1"/>
  <c r="AD264" s="1"/>
  <c r="AD276" s="1"/>
  <c r="AD288" s="1"/>
  <c r="AD300" s="1"/>
  <c r="AD312" s="1"/>
  <c r="AD324" s="1"/>
  <c r="AD336" s="1"/>
  <c r="AD348" s="1"/>
  <c r="AD360" s="1"/>
  <c r="AC228"/>
  <c r="AC240" s="1"/>
  <c r="AC252" s="1"/>
  <c r="AC264" s="1"/>
  <c r="AC276" s="1"/>
  <c r="AC288" s="1"/>
  <c r="AC300" s="1"/>
  <c r="AC312" s="1"/>
  <c r="AC324" s="1"/>
  <c r="AC336" s="1"/>
  <c r="AC348" s="1"/>
  <c r="AC360" s="1"/>
  <c r="V228"/>
  <c r="V240" s="1"/>
  <c r="V252" s="1"/>
  <c r="V264" s="1"/>
  <c r="V276" s="1"/>
  <c r="V288" s="1"/>
  <c r="V300" s="1"/>
  <c r="V312" s="1"/>
  <c r="V324" s="1"/>
  <c r="V336" s="1"/>
  <c r="V348" s="1"/>
  <c r="V360" s="1"/>
  <c r="U228"/>
  <c r="U240" s="1"/>
  <c r="U252" s="1"/>
  <c r="U264" s="1"/>
  <c r="U276" s="1"/>
  <c r="U288" s="1"/>
  <c r="U300" s="1"/>
  <c r="U312" s="1"/>
  <c r="U324" s="1"/>
  <c r="U336" s="1"/>
  <c r="U348" s="1"/>
  <c r="U360" s="1"/>
  <c r="B228"/>
  <c r="B240" s="1"/>
  <c r="B252" s="1"/>
  <c r="B264" s="1"/>
  <c r="B276" s="1"/>
  <c r="B288" s="1"/>
  <c r="B300" s="1"/>
  <c r="B312" s="1"/>
  <c r="B324" s="1"/>
  <c r="B336" s="1"/>
  <c r="B348" s="1"/>
  <c r="B360" s="1"/>
  <c r="B372" s="1"/>
  <c r="A228"/>
  <c r="A240" s="1"/>
  <c r="A252" s="1"/>
  <c r="A264" s="1"/>
  <c r="A276" s="1"/>
  <c r="A288" s="1"/>
  <c r="A300" s="1"/>
  <c r="A312" s="1"/>
  <c r="A324" s="1"/>
  <c r="A336" s="1"/>
  <c r="A348" s="1"/>
  <c r="A360" s="1"/>
  <c r="A372" s="1"/>
  <c r="BO227"/>
  <c r="BO239" s="1"/>
  <c r="BO251" s="1"/>
  <c r="BO263" s="1"/>
  <c r="BO275" s="1"/>
  <c r="BO287" s="1"/>
  <c r="BO299" s="1"/>
  <c r="BO311" s="1"/>
  <c r="BO323" s="1"/>
  <c r="BO335" s="1"/>
  <c r="BO347" s="1"/>
  <c r="BO359" s="1"/>
  <c r="BO371" s="1"/>
  <c r="BN227"/>
  <c r="BN239" s="1"/>
  <c r="BN251" s="1"/>
  <c r="BN263" s="1"/>
  <c r="BN275" s="1"/>
  <c r="BN287" s="1"/>
  <c r="BN299" s="1"/>
  <c r="BN311" s="1"/>
  <c r="BN323" s="1"/>
  <c r="BN335" s="1"/>
  <c r="BN347" s="1"/>
  <c r="BN359" s="1"/>
  <c r="BN371" s="1"/>
  <c r="AZ227"/>
  <c r="AZ239" s="1"/>
  <c r="AZ251" s="1"/>
  <c r="AZ263" s="1"/>
  <c r="AZ275" s="1"/>
  <c r="AZ287" s="1"/>
  <c r="AZ299" s="1"/>
  <c r="AZ311" s="1"/>
  <c r="AZ323" s="1"/>
  <c r="AZ335" s="1"/>
  <c r="AZ347" s="1"/>
  <c r="AZ359" s="1"/>
  <c r="AZ371" s="1"/>
  <c r="AY227"/>
  <c r="AY239" s="1"/>
  <c r="AY251" s="1"/>
  <c r="AY263" s="1"/>
  <c r="AY275" s="1"/>
  <c r="AY287" s="1"/>
  <c r="AY299" s="1"/>
  <c r="AY311" s="1"/>
  <c r="AY323" s="1"/>
  <c r="AY335" s="1"/>
  <c r="AY347" s="1"/>
  <c r="AY359" s="1"/>
  <c r="AY371" s="1"/>
  <c r="AE227"/>
  <c r="AD227"/>
  <c r="AD239" s="1"/>
  <c r="AD251" s="1"/>
  <c r="AD263" s="1"/>
  <c r="AD275" s="1"/>
  <c r="AD287" s="1"/>
  <c r="AD299" s="1"/>
  <c r="AD311" s="1"/>
  <c r="AD323" s="1"/>
  <c r="AD335" s="1"/>
  <c r="AD347" s="1"/>
  <c r="AD359" s="1"/>
  <c r="AD371" s="1"/>
  <c r="AC227"/>
  <c r="AC239" s="1"/>
  <c r="AC251" s="1"/>
  <c r="AC263" s="1"/>
  <c r="AC275" s="1"/>
  <c r="AC287" s="1"/>
  <c r="AC299" s="1"/>
  <c r="AC311" s="1"/>
  <c r="AC323" s="1"/>
  <c r="AC335" s="1"/>
  <c r="AC347" s="1"/>
  <c r="AC359" s="1"/>
  <c r="AC371" s="1"/>
  <c r="V227"/>
  <c r="V239" s="1"/>
  <c r="V251" s="1"/>
  <c r="V263" s="1"/>
  <c r="V275" s="1"/>
  <c r="V287" s="1"/>
  <c r="V299" s="1"/>
  <c r="V311" s="1"/>
  <c r="V323" s="1"/>
  <c r="V335" s="1"/>
  <c r="V347" s="1"/>
  <c r="V359" s="1"/>
  <c r="V371" s="1"/>
  <c r="U227"/>
  <c r="U239" s="1"/>
  <c r="U251" s="1"/>
  <c r="U263" s="1"/>
  <c r="U275" s="1"/>
  <c r="U287" s="1"/>
  <c r="U299" s="1"/>
  <c r="U311" s="1"/>
  <c r="U323" s="1"/>
  <c r="U335" s="1"/>
  <c r="U347" s="1"/>
  <c r="U359" s="1"/>
  <c r="U371" s="1"/>
  <c r="E227"/>
  <c r="B227"/>
  <c r="B239" s="1"/>
  <c r="B251" s="1"/>
  <c r="B263" s="1"/>
  <c r="B275" s="1"/>
  <c r="B287" s="1"/>
  <c r="B299" s="1"/>
  <c r="B311" s="1"/>
  <c r="B323" s="1"/>
  <c r="B335" s="1"/>
  <c r="B347" s="1"/>
  <c r="B359" s="1"/>
  <c r="B371" s="1"/>
  <c r="A227"/>
  <c r="A239" s="1"/>
  <c r="A251" s="1"/>
  <c r="A263" s="1"/>
  <c r="A275" s="1"/>
  <c r="A287" s="1"/>
  <c r="A299" s="1"/>
  <c r="A311" s="1"/>
  <c r="A323" s="1"/>
  <c r="A335" s="1"/>
  <c r="A347" s="1"/>
  <c r="A359" s="1"/>
  <c r="A371" s="1"/>
  <c r="BO226"/>
  <c r="BO238" s="1"/>
  <c r="BO250" s="1"/>
  <c r="BO262" s="1"/>
  <c r="BO274" s="1"/>
  <c r="BO286" s="1"/>
  <c r="BO298" s="1"/>
  <c r="BO310" s="1"/>
  <c r="BO322" s="1"/>
  <c r="BO334" s="1"/>
  <c r="BO346" s="1"/>
  <c r="BO358" s="1"/>
  <c r="BO370" s="1"/>
  <c r="BN226"/>
  <c r="BN238" s="1"/>
  <c r="BN250" s="1"/>
  <c r="BN262" s="1"/>
  <c r="BN274" s="1"/>
  <c r="BN286" s="1"/>
  <c r="BN298" s="1"/>
  <c r="BN310" s="1"/>
  <c r="BN322" s="1"/>
  <c r="BN334" s="1"/>
  <c r="BN346" s="1"/>
  <c r="BN358" s="1"/>
  <c r="BN370" s="1"/>
  <c r="AZ226"/>
  <c r="AZ238" s="1"/>
  <c r="AZ250" s="1"/>
  <c r="AZ262" s="1"/>
  <c r="AZ274" s="1"/>
  <c r="AZ286" s="1"/>
  <c r="AZ298" s="1"/>
  <c r="AZ310" s="1"/>
  <c r="AZ322" s="1"/>
  <c r="AZ334" s="1"/>
  <c r="AZ346" s="1"/>
  <c r="AZ358" s="1"/>
  <c r="AZ370" s="1"/>
  <c r="AY226"/>
  <c r="AY238" s="1"/>
  <c r="AY250" s="1"/>
  <c r="AY262" s="1"/>
  <c r="AY274" s="1"/>
  <c r="AY286" s="1"/>
  <c r="AY298" s="1"/>
  <c r="AY310" s="1"/>
  <c r="AY322" s="1"/>
  <c r="AY334" s="1"/>
  <c r="AY346" s="1"/>
  <c r="AY358" s="1"/>
  <c r="AY370" s="1"/>
  <c r="AE226"/>
  <c r="AD226"/>
  <c r="AD238" s="1"/>
  <c r="AD250" s="1"/>
  <c r="AD262" s="1"/>
  <c r="AD274" s="1"/>
  <c r="AD286" s="1"/>
  <c r="AD298" s="1"/>
  <c r="AD310" s="1"/>
  <c r="AD322" s="1"/>
  <c r="AD334" s="1"/>
  <c r="AD346" s="1"/>
  <c r="AD358" s="1"/>
  <c r="AD370" s="1"/>
  <c r="AC226"/>
  <c r="AC238" s="1"/>
  <c r="AC250" s="1"/>
  <c r="AC262" s="1"/>
  <c r="AC274" s="1"/>
  <c r="AC286" s="1"/>
  <c r="AC298" s="1"/>
  <c r="AC310" s="1"/>
  <c r="AC322" s="1"/>
  <c r="AC334" s="1"/>
  <c r="AC346" s="1"/>
  <c r="AC358" s="1"/>
  <c r="AC370" s="1"/>
  <c r="V226"/>
  <c r="V238" s="1"/>
  <c r="V250" s="1"/>
  <c r="V262" s="1"/>
  <c r="V274" s="1"/>
  <c r="V286" s="1"/>
  <c r="V298" s="1"/>
  <c r="V310" s="1"/>
  <c r="V322" s="1"/>
  <c r="V334" s="1"/>
  <c r="V346" s="1"/>
  <c r="V358" s="1"/>
  <c r="V370" s="1"/>
  <c r="U226"/>
  <c r="U238" s="1"/>
  <c r="U250" s="1"/>
  <c r="U262" s="1"/>
  <c r="U274" s="1"/>
  <c r="U286" s="1"/>
  <c r="U298" s="1"/>
  <c r="U310" s="1"/>
  <c r="U322" s="1"/>
  <c r="U334" s="1"/>
  <c r="U346" s="1"/>
  <c r="U358" s="1"/>
  <c r="U370" s="1"/>
  <c r="E226"/>
  <c r="B226"/>
  <c r="B238" s="1"/>
  <c r="B250" s="1"/>
  <c r="B262" s="1"/>
  <c r="B274" s="1"/>
  <c r="B286" s="1"/>
  <c r="B298" s="1"/>
  <c r="B310" s="1"/>
  <c r="B322" s="1"/>
  <c r="B334" s="1"/>
  <c r="B346" s="1"/>
  <c r="B358" s="1"/>
  <c r="B370" s="1"/>
  <c r="A226"/>
  <c r="A238" s="1"/>
  <c r="A250" s="1"/>
  <c r="A262" s="1"/>
  <c r="A274" s="1"/>
  <c r="A286" s="1"/>
  <c r="A298" s="1"/>
  <c r="A310" s="1"/>
  <c r="A322" s="1"/>
  <c r="A334" s="1"/>
  <c r="A346" s="1"/>
  <c r="A358" s="1"/>
  <c r="A370" s="1"/>
  <c r="BO225"/>
  <c r="BO237" s="1"/>
  <c r="BO249" s="1"/>
  <c r="BO261" s="1"/>
  <c r="BO273" s="1"/>
  <c r="BO285" s="1"/>
  <c r="BO297" s="1"/>
  <c r="BO309" s="1"/>
  <c r="BO321" s="1"/>
  <c r="BO333" s="1"/>
  <c r="BO345" s="1"/>
  <c r="BO357" s="1"/>
  <c r="BO369" s="1"/>
  <c r="BN225"/>
  <c r="BN237" s="1"/>
  <c r="BN249" s="1"/>
  <c r="BN261" s="1"/>
  <c r="BN273" s="1"/>
  <c r="BN285" s="1"/>
  <c r="BN297" s="1"/>
  <c r="BN309" s="1"/>
  <c r="BN321" s="1"/>
  <c r="BN333" s="1"/>
  <c r="BN345" s="1"/>
  <c r="BN357" s="1"/>
  <c r="BN369" s="1"/>
  <c r="AZ225"/>
  <c r="AZ237" s="1"/>
  <c r="AZ249" s="1"/>
  <c r="AZ261" s="1"/>
  <c r="AZ273" s="1"/>
  <c r="AZ285" s="1"/>
  <c r="AZ297" s="1"/>
  <c r="AZ309" s="1"/>
  <c r="AZ321" s="1"/>
  <c r="AZ333" s="1"/>
  <c r="AZ345" s="1"/>
  <c r="AZ357" s="1"/>
  <c r="AZ369" s="1"/>
  <c r="AY225"/>
  <c r="AY237" s="1"/>
  <c r="AY249" s="1"/>
  <c r="AY261" s="1"/>
  <c r="AY273" s="1"/>
  <c r="AY285" s="1"/>
  <c r="AY297" s="1"/>
  <c r="AY309" s="1"/>
  <c r="AY321" s="1"/>
  <c r="AY333" s="1"/>
  <c r="AY345" s="1"/>
  <c r="AY357" s="1"/>
  <c r="AY369" s="1"/>
  <c r="AE225"/>
  <c r="AD225"/>
  <c r="AD237" s="1"/>
  <c r="AD249" s="1"/>
  <c r="AD261" s="1"/>
  <c r="AD273" s="1"/>
  <c r="AD285" s="1"/>
  <c r="AD297" s="1"/>
  <c r="AD309" s="1"/>
  <c r="AD321" s="1"/>
  <c r="AD333" s="1"/>
  <c r="AD345" s="1"/>
  <c r="AD357" s="1"/>
  <c r="AD369" s="1"/>
  <c r="AC225"/>
  <c r="AC237" s="1"/>
  <c r="AC249" s="1"/>
  <c r="AC261" s="1"/>
  <c r="AC273" s="1"/>
  <c r="AC285" s="1"/>
  <c r="AC297" s="1"/>
  <c r="AC309" s="1"/>
  <c r="AC321" s="1"/>
  <c r="AC333" s="1"/>
  <c r="AC345" s="1"/>
  <c r="AC357" s="1"/>
  <c r="AC369" s="1"/>
  <c r="V225"/>
  <c r="V237" s="1"/>
  <c r="V249" s="1"/>
  <c r="V261" s="1"/>
  <c r="V273" s="1"/>
  <c r="V285" s="1"/>
  <c r="V297" s="1"/>
  <c r="V309" s="1"/>
  <c r="V321" s="1"/>
  <c r="V333" s="1"/>
  <c r="V345" s="1"/>
  <c r="V357" s="1"/>
  <c r="V369" s="1"/>
  <c r="U225"/>
  <c r="U237" s="1"/>
  <c r="U249" s="1"/>
  <c r="U261" s="1"/>
  <c r="U273" s="1"/>
  <c r="U285" s="1"/>
  <c r="U297" s="1"/>
  <c r="U309" s="1"/>
  <c r="U321" s="1"/>
  <c r="U333" s="1"/>
  <c r="U345" s="1"/>
  <c r="U357" s="1"/>
  <c r="U369" s="1"/>
  <c r="E225"/>
  <c r="B225"/>
  <c r="B237" s="1"/>
  <c r="B249" s="1"/>
  <c r="B261" s="1"/>
  <c r="B273" s="1"/>
  <c r="B285" s="1"/>
  <c r="B297" s="1"/>
  <c r="B309" s="1"/>
  <c r="B321" s="1"/>
  <c r="B333" s="1"/>
  <c r="B345" s="1"/>
  <c r="B357" s="1"/>
  <c r="B369" s="1"/>
  <c r="A225"/>
  <c r="A237" s="1"/>
  <c r="A249" s="1"/>
  <c r="A261" s="1"/>
  <c r="A273" s="1"/>
  <c r="A285" s="1"/>
  <c r="A297" s="1"/>
  <c r="A309" s="1"/>
  <c r="A321" s="1"/>
  <c r="A333" s="1"/>
  <c r="A345" s="1"/>
  <c r="A357" s="1"/>
  <c r="A369" s="1"/>
  <c r="BO224"/>
  <c r="BO236" s="1"/>
  <c r="BO248" s="1"/>
  <c r="BO260" s="1"/>
  <c r="BO272" s="1"/>
  <c r="BO284" s="1"/>
  <c r="BO296" s="1"/>
  <c r="BO308" s="1"/>
  <c r="BO320" s="1"/>
  <c r="BO332" s="1"/>
  <c r="BO344" s="1"/>
  <c r="BO356" s="1"/>
  <c r="BO368" s="1"/>
  <c r="BN224"/>
  <c r="BN236" s="1"/>
  <c r="BN248" s="1"/>
  <c r="BN260" s="1"/>
  <c r="BN272" s="1"/>
  <c r="BN284" s="1"/>
  <c r="BN296" s="1"/>
  <c r="BN308" s="1"/>
  <c r="BN320" s="1"/>
  <c r="BN332" s="1"/>
  <c r="BN344" s="1"/>
  <c r="BN356" s="1"/>
  <c r="BN368" s="1"/>
  <c r="AZ224"/>
  <c r="AZ236" s="1"/>
  <c r="AZ248" s="1"/>
  <c r="AZ260" s="1"/>
  <c r="AZ272" s="1"/>
  <c r="AZ284" s="1"/>
  <c r="AZ296" s="1"/>
  <c r="AZ308" s="1"/>
  <c r="AZ320" s="1"/>
  <c r="AZ332" s="1"/>
  <c r="AZ344" s="1"/>
  <c r="AZ356" s="1"/>
  <c r="AZ368" s="1"/>
  <c r="AY224"/>
  <c r="AY236" s="1"/>
  <c r="AY248" s="1"/>
  <c r="AY260" s="1"/>
  <c r="AY272" s="1"/>
  <c r="AY284" s="1"/>
  <c r="AY296" s="1"/>
  <c r="AY308" s="1"/>
  <c r="AY320" s="1"/>
  <c r="AY332" s="1"/>
  <c r="AY344" s="1"/>
  <c r="AY356" s="1"/>
  <c r="AY368" s="1"/>
  <c r="AE224"/>
  <c r="AD224"/>
  <c r="AD236" s="1"/>
  <c r="AD248" s="1"/>
  <c r="AD260" s="1"/>
  <c r="AD272" s="1"/>
  <c r="AD284" s="1"/>
  <c r="AD296" s="1"/>
  <c r="AD308" s="1"/>
  <c r="AD320" s="1"/>
  <c r="AD332" s="1"/>
  <c r="AD344" s="1"/>
  <c r="AD356" s="1"/>
  <c r="AD368" s="1"/>
  <c r="AC224"/>
  <c r="AC236" s="1"/>
  <c r="AC248" s="1"/>
  <c r="AC260" s="1"/>
  <c r="AC272" s="1"/>
  <c r="AC284" s="1"/>
  <c r="AC296" s="1"/>
  <c r="AC308" s="1"/>
  <c r="AC320" s="1"/>
  <c r="AC332" s="1"/>
  <c r="AC344" s="1"/>
  <c r="AC356" s="1"/>
  <c r="AC368" s="1"/>
  <c r="V224"/>
  <c r="V236" s="1"/>
  <c r="V248" s="1"/>
  <c r="V260" s="1"/>
  <c r="V272" s="1"/>
  <c r="V284" s="1"/>
  <c r="V296" s="1"/>
  <c r="V308" s="1"/>
  <c r="V320" s="1"/>
  <c r="V332" s="1"/>
  <c r="V344" s="1"/>
  <c r="V356" s="1"/>
  <c r="V368" s="1"/>
  <c r="U224"/>
  <c r="U236" s="1"/>
  <c r="U248" s="1"/>
  <c r="U260" s="1"/>
  <c r="U272" s="1"/>
  <c r="U284" s="1"/>
  <c r="U296" s="1"/>
  <c r="U308" s="1"/>
  <c r="U320" s="1"/>
  <c r="U332" s="1"/>
  <c r="U344" s="1"/>
  <c r="U356" s="1"/>
  <c r="U368" s="1"/>
  <c r="E224"/>
  <c r="B224"/>
  <c r="B236" s="1"/>
  <c r="B248" s="1"/>
  <c r="B260" s="1"/>
  <c r="B272" s="1"/>
  <c r="B284" s="1"/>
  <c r="B296" s="1"/>
  <c r="B308" s="1"/>
  <c r="B320" s="1"/>
  <c r="B332" s="1"/>
  <c r="B344" s="1"/>
  <c r="B356" s="1"/>
  <c r="B368" s="1"/>
  <c r="A224"/>
  <c r="A236" s="1"/>
  <c r="A248" s="1"/>
  <c r="A260" s="1"/>
  <c r="A272" s="1"/>
  <c r="A284" s="1"/>
  <c r="A296" s="1"/>
  <c r="A308" s="1"/>
  <c r="A320" s="1"/>
  <c r="A332" s="1"/>
  <c r="A344" s="1"/>
  <c r="A356" s="1"/>
  <c r="A368" s="1"/>
  <c r="BO223"/>
  <c r="BO235" s="1"/>
  <c r="BO247" s="1"/>
  <c r="BO259" s="1"/>
  <c r="BO271" s="1"/>
  <c r="BO283" s="1"/>
  <c r="BO295" s="1"/>
  <c r="BO307" s="1"/>
  <c r="BO319" s="1"/>
  <c r="BO331" s="1"/>
  <c r="BO343" s="1"/>
  <c r="BO355" s="1"/>
  <c r="BO367" s="1"/>
  <c r="BN223"/>
  <c r="BN235" s="1"/>
  <c r="BN247" s="1"/>
  <c r="BN259" s="1"/>
  <c r="BN271" s="1"/>
  <c r="BN283" s="1"/>
  <c r="BN295" s="1"/>
  <c r="BN307" s="1"/>
  <c r="BN319" s="1"/>
  <c r="BN331" s="1"/>
  <c r="BN343" s="1"/>
  <c r="BN355" s="1"/>
  <c r="BN367" s="1"/>
  <c r="AZ223"/>
  <c r="AZ235" s="1"/>
  <c r="AZ247" s="1"/>
  <c r="AZ259" s="1"/>
  <c r="AZ271" s="1"/>
  <c r="AZ283" s="1"/>
  <c r="AZ295" s="1"/>
  <c r="AZ307" s="1"/>
  <c r="AZ319" s="1"/>
  <c r="AZ331" s="1"/>
  <c r="AZ343" s="1"/>
  <c r="AZ355" s="1"/>
  <c r="AZ367" s="1"/>
  <c r="AY223"/>
  <c r="AY235" s="1"/>
  <c r="AY247" s="1"/>
  <c r="AY259" s="1"/>
  <c r="AY271" s="1"/>
  <c r="AY283" s="1"/>
  <c r="AY295" s="1"/>
  <c r="AY307" s="1"/>
  <c r="AY319" s="1"/>
  <c r="AY331" s="1"/>
  <c r="AY343" s="1"/>
  <c r="AY355" s="1"/>
  <c r="AY367" s="1"/>
  <c r="AE223"/>
  <c r="AD223"/>
  <c r="AD235" s="1"/>
  <c r="AD247" s="1"/>
  <c r="AD259" s="1"/>
  <c r="AD271" s="1"/>
  <c r="AD283" s="1"/>
  <c r="AD295" s="1"/>
  <c r="AD307" s="1"/>
  <c r="AD319" s="1"/>
  <c r="AD331" s="1"/>
  <c r="AD343" s="1"/>
  <c r="AD355" s="1"/>
  <c r="AD367" s="1"/>
  <c r="AC223"/>
  <c r="AC235" s="1"/>
  <c r="AC247" s="1"/>
  <c r="AC259" s="1"/>
  <c r="AC271" s="1"/>
  <c r="AC283" s="1"/>
  <c r="AC295" s="1"/>
  <c r="AC307" s="1"/>
  <c r="AC319" s="1"/>
  <c r="AC331" s="1"/>
  <c r="AC343" s="1"/>
  <c r="AC355" s="1"/>
  <c r="AC367" s="1"/>
  <c r="V223"/>
  <c r="V235" s="1"/>
  <c r="V247" s="1"/>
  <c r="V259" s="1"/>
  <c r="V271" s="1"/>
  <c r="V283" s="1"/>
  <c r="V295" s="1"/>
  <c r="V307" s="1"/>
  <c r="V319" s="1"/>
  <c r="V331" s="1"/>
  <c r="V343" s="1"/>
  <c r="V355" s="1"/>
  <c r="V367" s="1"/>
  <c r="U223"/>
  <c r="U235" s="1"/>
  <c r="U247" s="1"/>
  <c r="U259" s="1"/>
  <c r="U271" s="1"/>
  <c r="U283" s="1"/>
  <c r="U295" s="1"/>
  <c r="U307" s="1"/>
  <c r="U319" s="1"/>
  <c r="U331" s="1"/>
  <c r="U343" s="1"/>
  <c r="U355" s="1"/>
  <c r="U367" s="1"/>
  <c r="E223"/>
  <c r="B223"/>
  <c r="B235" s="1"/>
  <c r="B247" s="1"/>
  <c r="B259" s="1"/>
  <c r="B271" s="1"/>
  <c r="B283" s="1"/>
  <c r="B295" s="1"/>
  <c r="B307" s="1"/>
  <c r="B319" s="1"/>
  <c r="B331" s="1"/>
  <c r="B343" s="1"/>
  <c r="B355" s="1"/>
  <c r="B367" s="1"/>
  <c r="A223"/>
  <c r="A235" s="1"/>
  <c r="A247" s="1"/>
  <c r="A259" s="1"/>
  <c r="A271" s="1"/>
  <c r="A283" s="1"/>
  <c r="A295" s="1"/>
  <c r="A307" s="1"/>
  <c r="A319" s="1"/>
  <c r="A331" s="1"/>
  <c r="A343" s="1"/>
  <c r="A355" s="1"/>
  <c r="A367" s="1"/>
  <c r="BO222"/>
  <c r="BO234" s="1"/>
  <c r="BO246" s="1"/>
  <c r="BO258" s="1"/>
  <c r="BO270" s="1"/>
  <c r="BO282" s="1"/>
  <c r="BO294" s="1"/>
  <c r="BO306" s="1"/>
  <c r="BO318" s="1"/>
  <c r="BO330" s="1"/>
  <c r="BO342" s="1"/>
  <c r="BO354" s="1"/>
  <c r="BO366" s="1"/>
  <c r="BN222"/>
  <c r="BN234" s="1"/>
  <c r="BN246" s="1"/>
  <c r="BN258" s="1"/>
  <c r="BN270" s="1"/>
  <c r="BN282" s="1"/>
  <c r="BN294" s="1"/>
  <c r="BN306" s="1"/>
  <c r="BN318" s="1"/>
  <c r="BN330" s="1"/>
  <c r="BN342" s="1"/>
  <c r="BN354" s="1"/>
  <c r="BN366" s="1"/>
  <c r="AZ222"/>
  <c r="AZ234" s="1"/>
  <c r="AZ246" s="1"/>
  <c r="AZ258" s="1"/>
  <c r="AZ270" s="1"/>
  <c r="AZ282" s="1"/>
  <c r="AZ294" s="1"/>
  <c r="AZ306" s="1"/>
  <c r="AZ318" s="1"/>
  <c r="AZ330" s="1"/>
  <c r="AZ342" s="1"/>
  <c r="AZ354" s="1"/>
  <c r="AZ366" s="1"/>
  <c r="AY222"/>
  <c r="AY234" s="1"/>
  <c r="AY246" s="1"/>
  <c r="AY258" s="1"/>
  <c r="AY270" s="1"/>
  <c r="AY282" s="1"/>
  <c r="AY294" s="1"/>
  <c r="AY306" s="1"/>
  <c r="AY318" s="1"/>
  <c r="AY330" s="1"/>
  <c r="AY342" s="1"/>
  <c r="AY354" s="1"/>
  <c r="AY366" s="1"/>
  <c r="AE222"/>
  <c r="AD222"/>
  <c r="AD234" s="1"/>
  <c r="AD246" s="1"/>
  <c r="AD258" s="1"/>
  <c r="AD270" s="1"/>
  <c r="AD282" s="1"/>
  <c r="AD294" s="1"/>
  <c r="AD306" s="1"/>
  <c r="AD318" s="1"/>
  <c r="AD330" s="1"/>
  <c r="AD342" s="1"/>
  <c r="AD354" s="1"/>
  <c r="AD366" s="1"/>
  <c r="AC222"/>
  <c r="AC234" s="1"/>
  <c r="AC246" s="1"/>
  <c r="AC258" s="1"/>
  <c r="AC270" s="1"/>
  <c r="AC282" s="1"/>
  <c r="AC294" s="1"/>
  <c r="AC306" s="1"/>
  <c r="AC318" s="1"/>
  <c r="AC330" s="1"/>
  <c r="AC342" s="1"/>
  <c r="AC354" s="1"/>
  <c r="AC366" s="1"/>
  <c r="V222"/>
  <c r="V234" s="1"/>
  <c r="V246" s="1"/>
  <c r="V258" s="1"/>
  <c r="V270" s="1"/>
  <c r="V282" s="1"/>
  <c r="V294" s="1"/>
  <c r="V306" s="1"/>
  <c r="V318" s="1"/>
  <c r="V330" s="1"/>
  <c r="V342" s="1"/>
  <c r="V354" s="1"/>
  <c r="V366" s="1"/>
  <c r="U222"/>
  <c r="U234" s="1"/>
  <c r="U246" s="1"/>
  <c r="U258" s="1"/>
  <c r="U270" s="1"/>
  <c r="U282" s="1"/>
  <c r="U294" s="1"/>
  <c r="U306" s="1"/>
  <c r="U318" s="1"/>
  <c r="U330" s="1"/>
  <c r="U342" s="1"/>
  <c r="U354" s="1"/>
  <c r="U366" s="1"/>
  <c r="E222"/>
  <c r="B222"/>
  <c r="B234" s="1"/>
  <c r="B246" s="1"/>
  <c r="B258" s="1"/>
  <c r="B270" s="1"/>
  <c r="B282" s="1"/>
  <c r="B294" s="1"/>
  <c r="B306" s="1"/>
  <c r="B318" s="1"/>
  <c r="B330" s="1"/>
  <c r="B342" s="1"/>
  <c r="B354" s="1"/>
  <c r="B366" s="1"/>
  <c r="A222"/>
  <c r="A234" s="1"/>
  <c r="A246" s="1"/>
  <c r="A258" s="1"/>
  <c r="A270" s="1"/>
  <c r="A282" s="1"/>
  <c r="A294" s="1"/>
  <c r="A306" s="1"/>
  <c r="A318" s="1"/>
  <c r="A330" s="1"/>
  <c r="A342" s="1"/>
  <c r="A354" s="1"/>
  <c r="A366" s="1"/>
  <c r="BO221"/>
  <c r="BO233" s="1"/>
  <c r="BO245" s="1"/>
  <c r="BO257" s="1"/>
  <c r="BO269" s="1"/>
  <c r="BO281" s="1"/>
  <c r="BO293" s="1"/>
  <c r="BO305" s="1"/>
  <c r="BO317" s="1"/>
  <c r="BO329" s="1"/>
  <c r="BO341" s="1"/>
  <c r="BO353" s="1"/>
  <c r="BO365" s="1"/>
  <c r="BN221"/>
  <c r="BN233" s="1"/>
  <c r="BN245" s="1"/>
  <c r="BN257" s="1"/>
  <c r="BN269" s="1"/>
  <c r="BN281" s="1"/>
  <c r="BN293" s="1"/>
  <c r="BN305" s="1"/>
  <c r="BN317" s="1"/>
  <c r="BN329" s="1"/>
  <c r="BN341" s="1"/>
  <c r="BN353" s="1"/>
  <c r="BN365" s="1"/>
  <c r="AZ221"/>
  <c r="AZ233" s="1"/>
  <c r="AZ245" s="1"/>
  <c r="AZ257" s="1"/>
  <c r="AZ269" s="1"/>
  <c r="AZ281" s="1"/>
  <c r="AZ293" s="1"/>
  <c r="AZ305" s="1"/>
  <c r="AZ317" s="1"/>
  <c r="AZ329" s="1"/>
  <c r="AZ341" s="1"/>
  <c r="AZ353" s="1"/>
  <c r="AZ365" s="1"/>
  <c r="AY221"/>
  <c r="AY233" s="1"/>
  <c r="AY245" s="1"/>
  <c r="AY257" s="1"/>
  <c r="AY269" s="1"/>
  <c r="AY281" s="1"/>
  <c r="AY293" s="1"/>
  <c r="AY305" s="1"/>
  <c r="AY317" s="1"/>
  <c r="AY329" s="1"/>
  <c r="AY341" s="1"/>
  <c r="AY353" s="1"/>
  <c r="AY365" s="1"/>
  <c r="AE221"/>
  <c r="AD221"/>
  <c r="AD233" s="1"/>
  <c r="AD245" s="1"/>
  <c r="AD257" s="1"/>
  <c r="AD269" s="1"/>
  <c r="AD281" s="1"/>
  <c r="AD293" s="1"/>
  <c r="AD305" s="1"/>
  <c r="AD317" s="1"/>
  <c r="AD329" s="1"/>
  <c r="AD341" s="1"/>
  <c r="AD353" s="1"/>
  <c r="AD365" s="1"/>
  <c r="AC221"/>
  <c r="AC233" s="1"/>
  <c r="AC245" s="1"/>
  <c r="AC257" s="1"/>
  <c r="AC269" s="1"/>
  <c r="AC281" s="1"/>
  <c r="AC293" s="1"/>
  <c r="AC305" s="1"/>
  <c r="AC317" s="1"/>
  <c r="AC329" s="1"/>
  <c r="AC341" s="1"/>
  <c r="AC353" s="1"/>
  <c r="AC365" s="1"/>
  <c r="V221"/>
  <c r="V233" s="1"/>
  <c r="V245" s="1"/>
  <c r="V257" s="1"/>
  <c r="V269" s="1"/>
  <c r="V281" s="1"/>
  <c r="V293" s="1"/>
  <c r="V305" s="1"/>
  <c r="V317" s="1"/>
  <c r="V329" s="1"/>
  <c r="V341" s="1"/>
  <c r="V353" s="1"/>
  <c r="V365" s="1"/>
  <c r="U221"/>
  <c r="U233" s="1"/>
  <c r="U245" s="1"/>
  <c r="U257" s="1"/>
  <c r="U269" s="1"/>
  <c r="U281" s="1"/>
  <c r="U293" s="1"/>
  <c r="U305" s="1"/>
  <c r="U317" s="1"/>
  <c r="U329" s="1"/>
  <c r="U341" s="1"/>
  <c r="U353" s="1"/>
  <c r="U365" s="1"/>
  <c r="B221"/>
  <c r="B233" s="1"/>
  <c r="B245" s="1"/>
  <c r="B257" s="1"/>
  <c r="B269" s="1"/>
  <c r="B281" s="1"/>
  <c r="B293" s="1"/>
  <c r="B305" s="1"/>
  <c r="B317" s="1"/>
  <c r="B329" s="1"/>
  <c r="B341" s="1"/>
  <c r="B353" s="1"/>
  <c r="B365" s="1"/>
  <c r="B377" s="1"/>
  <c r="A221"/>
  <c r="A233" s="1"/>
  <c r="A245" s="1"/>
  <c r="A257" s="1"/>
  <c r="A269" s="1"/>
  <c r="A281" s="1"/>
  <c r="A293" s="1"/>
  <c r="A305" s="1"/>
  <c r="A317" s="1"/>
  <c r="A329" s="1"/>
  <c r="A341" s="1"/>
  <c r="A353" s="1"/>
  <c r="A365" s="1"/>
  <c r="A377" s="1"/>
  <c r="AE220"/>
  <c r="E220"/>
  <c r="AE219"/>
  <c r="E219"/>
  <c r="AE218"/>
  <c r="E218"/>
  <c r="AE217"/>
  <c r="E217"/>
  <c r="AE216"/>
  <c r="E216"/>
  <c r="AE215"/>
  <c r="E215"/>
  <c r="AE214"/>
  <c r="E214"/>
  <c r="AE213"/>
  <c r="E213"/>
  <c r="AE212"/>
  <c r="E212"/>
  <c r="AE211"/>
  <c r="E211"/>
  <c r="AE210"/>
  <c r="E210"/>
  <c r="AE209"/>
  <c r="J151" i="10" l="1"/>
  <c r="H163"/>
  <c r="I163" s="1"/>
  <c r="O163" i="3"/>
  <c r="N175"/>
  <c r="O149"/>
  <c r="J149" i="10" s="1"/>
  <c r="J128"/>
  <c r="S136" i="3"/>
  <c r="J136" i="10"/>
  <c r="H140"/>
  <c r="I140" s="1"/>
  <c r="O140" i="3"/>
  <c r="N152"/>
  <c r="F141" i="10"/>
  <c r="N194" i="3"/>
  <c r="H194" i="10" s="1"/>
  <c r="I194" s="1"/>
  <c r="H182"/>
  <c r="I182" s="1"/>
  <c r="J182" s="1"/>
  <c r="N162" i="3"/>
  <c r="H162" i="10" s="1"/>
  <c r="I162" s="1"/>
  <c r="N167" i="3"/>
  <c r="H167" i="10" s="1"/>
  <c r="I167" s="1"/>
  <c r="O155" i="3"/>
  <c r="J155" i="10" s="1"/>
  <c r="AS9" i="4"/>
  <c r="AS29"/>
  <c r="AS22"/>
  <c r="BE127" i="3"/>
  <c r="BE74" i="2"/>
  <c r="BE86" s="1"/>
  <c r="BF62"/>
  <c r="BA181" i="3"/>
  <c r="BB169"/>
  <c r="BF53" i="2"/>
  <c r="BE101"/>
  <c r="BF89"/>
  <c r="BE100"/>
  <c r="BF100" s="1"/>
  <c r="BF88"/>
  <c r="BA88"/>
  <c r="BB88" s="1"/>
  <c r="BH88" s="1"/>
  <c r="BB76"/>
  <c r="AX163" i="3"/>
  <c r="AY151"/>
  <c r="BA195"/>
  <c r="BB183"/>
  <c r="AX168"/>
  <c r="AY168" s="1"/>
  <c r="BC168" s="1"/>
  <c r="AY156"/>
  <c r="BC156" s="1"/>
  <c r="BF67" i="2"/>
  <c r="BE79"/>
  <c r="BF73"/>
  <c r="BI73" s="1"/>
  <c r="BE85"/>
  <c r="BB75"/>
  <c r="BA87"/>
  <c r="BA69"/>
  <c r="BB57"/>
  <c r="BA77"/>
  <c r="BB65"/>
  <c r="BE69"/>
  <c r="BF69" s="1"/>
  <c r="BF57"/>
  <c r="M58"/>
  <c r="L70"/>
  <c r="L74"/>
  <c r="M62"/>
  <c r="P58"/>
  <c r="O70"/>
  <c r="O73"/>
  <c r="P73" s="1"/>
  <c r="P61"/>
  <c r="O112"/>
  <c r="O124" s="1"/>
  <c r="P100"/>
  <c r="M75"/>
  <c r="L87"/>
  <c r="L65"/>
  <c r="M65" s="1"/>
  <c r="Q65" s="1"/>
  <c r="M53"/>
  <c r="O79"/>
  <c r="O91" s="1"/>
  <c r="O103" s="1"/>
  <c r="P67"/>
  <c r="O69"/>
  <c r="O81" s="1"/>
  <c r="P57"/>
  <c r="L141" i="3"/>
  <c r="P141" s="1"/>
  <c r="K153"/>
  <c r="D153" i="10" s="1"/>
  <c r="E153" s="1"/>
  <c r="L102" i="2"/>
  <c r="M90"/>
  <c r="O102"/>
  <c r="P90"/>
  <c r="O74"/>
  <c r="P62"/>
  <c r="R62" s="1"/>
  <c r="N160" i="3"/>
  <c r="H160" i="10" s="1"/>
  <c r="I160" s="1"/>
  <c r="O148" i="3"/>
  <c r="J148" i="10" s="1"/>
  <c r="E221" i="1"/>
  <c r="E228"/>
  <c r="E229"/>
  <c r="E232"/>
  <c r="E233"/>
  <c r="E236"/>
  <c r="E239"/>
  <c r="E241"/>
  <c r="E242"/>
  <c r="AS12" i="4"/>
  <c r="AS13"/>
  <c r="AS14"/>
  <c r="AS15"/>
  <c r="AS16"/>
  <c r="AS17"/>
  <c r="AS30"/>
  <c r="AS10"/>
  <c r="AS23"/>
  <c r="AS27"/>
  <c r="AS28"/>
  <c r="AS31"/>
  <c r="AS25"/>
  <c r="E209" i="1"/>
  <c r="AE208"/>
  <c r="E208"/>
  <c r="AE207"/>
  <c r="E207"/>
  <c r="AE206"/>
  <c r="E206"/>
  <c r="AE205"/>
  <c r="E205"/>
  <c r="AE204"/>
  <c r="E204"/>
  <c r="AE203"/>
  <c r="E203"/>
  <c r="AE202"/>
  <c r="E202"/>
  <c r="AE201"/>
  <c r="E201"/>
  <c r="AE200"/>
  <c r="E200"/>
  <c r="AE199"/>
  <c r="E199"/>
  <c r="AE198"/>
  <c r="E198"/>
  <c r="AE197"/>
  <c r="E197"/>
  <c r="AE196"/>
  <c r="E196"/>
  <c r="AE195"/>
  <c r="E195"/>
  <c r="AE194"/>
  <c r="E194"/>
  <c r="AE193"/>
  <c r="E193"/>
  <c r="AE192"/>
  <c r="E192"/>
  <c r="AE191"/>
  <c r="E191"/>
  <c r="AE190"/>
  <c r="E190"/>
  <c r="AE189"/>
  <c r="E189"/>
  <c r="AE188"/>
  <c r="E188"/>
  <c r="AE187"/>
  <c r="E187"/>
  <c r="AE186"/>
  <c r="E186"/>
  <c r="AE185"/>
  <c r="E185"/>
  <c r="AE184"/>
  <c r="E184"/>
  <c r="AE183"/>
  <c r="E183"/>
  <c r="AE182"/>
  <c r="E182"/>
  <c r="AE181"/>
  <c r="E181"/>
  <c r="AE180"/>
  <c r="E180"/>
  <c r="AE179"/>
  <c r="E179"/>
  <c r="AE178"/>
  <c r="E178"/>
  <c r="AE177"/>
  <c r="E177"/>
  <c r="AE176"/>
  <c r="E176"/>
  <c r="AE175"/>
  <c r="E175"/>
  <c r="AE174"/>
  <c r="E174"/>
  <c r="AE173"/>
  <c r="E173"/>
  <c r="AE172"/>
  <c r="E172"/>
  <c r="AE171"/>
  <c r="E171"/>
  <c r="AE170"/>
  <c r="E170"/>
  <c r="AE169"/>
  <c r="E169"/>
  <c r="AE168"/>
  <c r="E168"/>
  <c r="AE167"/>
  <c r="E167"/>
  <c r="AE166"/>
  <c r="E166"/>
  <c r="AE165"/>
  <c r="E165"/>
  <c r="AE164"/>
  <c r="E164"/>
  <c r="AE163"/>
  <c r="E163"/>
  <c r="AE162"/>
  <c r="E162"/>
  <c r="AE161"/>
  <c r="E161"/>
  <c r="AE160"/>
  <c r="E160"/>
  <c r="AE159"/>
  <c r="E159"/>
  <c r="AE158"/>
  <c r="E158"/>
  <c r="AE157"/>
  <c r="E157"/>
  <c r="AE156"/>
  <c r="E156"/>
  <c r="AE155"/>
  <c r="E155"/>
  <c r="AE154"/>
  <c r="E154"/>
  <c r="AE153"/>
  <c r="E153"/>
  <c r="AE152"/>
  <c r="E152"/>
  <c r="AE151"/>
  <c r="E151"/>
  <c r="AE150"/>
  <c r="E150"/>
  <c r="AE149"/>
  <c r="E149"/>
  <c r="AE148"/>
  <c r="E148"/>
  <c r="AE147"/>
  <c r="E147"/>
  <c r="AE146"/>
  <c r="E146"/>
  <c r="AE145"/>
  <c r="E145"/>
  <c r="AE144"/>
  <c r="E144"/>
  <c r="AE143"/>
  <c r="E143"/>
  <c r="AE142"/>
  <c r="E142"/>
  <c r="AE141"/>
  <c r="E141"/>
  <c r="AE140"/>
  <c r="E140"/>
  <c r="AE139"/>
  <c r="E139"/>
  <c r="AE138"/>
  <c r="E138"/>
  <c r="AE137"/>
  <c r="E137"/>
  <c r="AE136"/>
  <c r="E136"/>
  <c r="AE135"/>
  <c r="E135"/>
  <c r="AE134"/>
  <c r="E134"/>
  <c r="AE133"/>
  <c r="E133"/>
  <c r="AE132"/>
  <c r="E132"/>
  <c r="AE131"/>
  <c r="E131"/>
  <c r="AE130"/>
  <c r="E130"/>
  <c r="AE129"/>
  <c r="E129"/>
  <c r="AE128"/>
  <c r="E128"/>
  <c r="AE127"/>
  <c r="E127"/>
  <c r="AE126"/>
  <c r="E126"/>
  <c r="AE125"/>
  <c r="E125"/>
  <c r="AE124"/>
  <c r="E124"/>
  <c r="AE123"/>
  <c r="E123"/>
  <c r="AE122"/>
  <c r="E122"/>
  <c r="AE121"/>
  <c r="E121"/>
  <c r="AE120"/>
  <c r="E120"/>
  <c r="AE119"/>
  <c r="E119"/>
  <c r="AE118"/>
  <c r="E118"/>
  <c r="AE117"/>
  <c r="E117"/>
  <c r="AE116"/>
  <c r="E116"/>
  <c r="AE115"/>
  <c r="E115"/>
  <c r="AE114"/>
  <c r="E114"/>
  <c r="AE113"/>
  <c r="E113"/>
  <c r="AE112"/>
  <c r="E112"/>
  <c r="AE111"/>
  <c r="E111"/>
  <c r="AE110"/>
  <c r="E110"/>
  <c r="AE109"/>
  <c r="E109"/>
  <c r="AE108"/>
  <c r="E108"/>
  <c r="AE107"/>
  <c r="E107"/>
  <c r="AE106"/>
  <c r="E106"/>
  <c r="AE105"/>
  <c r="E105"/>
  <c r="AE104"/>
  <c r="E104"/>
  <c r="AE103"/>
  <c r="E103"/>
  <c r="AE102"/>
  <c r="E102"/>
  <c r="AE101"/>
  <c r="E101"/>
  <c r="AE100"/>
  <c r="E100"/>
  <c r="AE99"/>
  <c r="E99"/>
  <c r="AE98"/>
  <c r="E98"/>
  <c r="AE97"/>
  <c r="E97"/>
  <c r="AE96"/>
  <c r="E96"/>
  <c r="AE95"/>
  <c r="E95"/>
  <c r="AE94"/>
  <c r="E94"/>
  <c r="AE93"/>
  <c r="E93"/>
  <c r="AE92"/>
  <c r="E92"/>
  <c r="AE91"/>
  <c r="E91"/>
  <c r="AE90"/>
  <c r="E90"/>
  <c r="AE89"/>
  <c r="E89"/>
  <c r="AE88"/>
  <c r="E88"/>
  <c r="AE87"/>
  <c r="E87"/>
  <c r="AE86"/>
  <c r="E86"/>
  <c r="AE85"/>
  <c r="E85"/>
  <c r="AE84"/>
  <c r="E84"/>
  <c r="AE83"/>
  <c r="E83"/>
  <c r="AE82"/>
  <c r="E82"/>
  <c r="AE81"/>
  <c r="E81"/>
  <c r="AE80"/>
  <c r="E80"/>
  <c r="AE79"/>
  <c r="E79"/>
  <c r="AE78"/>
  <c r="E78"/>
  <c r="AE77"/>
  <c r="E77"/>
  <c r="AE76"/>
  <c r="E76"/>
  <c r="AE75"/>
  <c r="E75"/>
  <c r="AE74"/>
  <c r="E74"/>
  <c r="AE73"/>
  <c r="E73"/>
  <c r="AE72"/>
  <c r="E72"/>
  <c r="AE71"/>
  <c r="E71"/>
  <c r="AE70"/>
  <c r="E70"/>
  <c r="AE69"/>
  <c r="E69"/>
  <c r="AE68"/>
  <c r="E68"/>
  <c r="AE67"/>
  <c r="E67"/>
  <c r="AE66"/>
  <c r="E66"/>
  <c r="AE65"/>
  <c r="E65"/>
  <c r="AE64"/>
  <c r="E64"/>
  <c r="AE63"/>
  <c r="E63"/>
  <c r="AE62"/>
  <c r="E62"/>
  <c r="AE61"/>
  <c r="E61"/>
  <c r="AE60"/>
  <c r="E60"/>
  <c r="AE59"/>
  <c r="E59"/>
  <c r="AE58"/>
  <c r="E58"/>
  <c r="AE57"/>
  <c r="E57"/>
  <c r="AE56"/>
  <c r="E56"/>
  <c r="AE55"/>
  <c r="E55"/>
  <c r="AE54"/>
  <c r="E54"/>
  <c r="AE53"/>
  <c r="E53"/>
  <c r="AE52"/>
  <c r="E52"/>
  <c r="AE51"/>
  <c r="E51"/>
  <c r="AE50"/>
  <c r="E50"/>
  <c r="AE49"/>
  <c r="E49"/>
  <c r="AE48"/>
  <c r="E48"/>
  <c r="AE47"/>
  <c r="E47"/>
  <c r="AE46"/>
  <c r="E46"/>
  <c r="AE45"/>
  <c r="E45"/>
  <c r="AE44"/>
  <c r="E44"/>
  <c r="AE43"/>
  <c r="E43"/>
  <c r="AE42"/>
  <c r="E42"/>
  <c r="AE41"/>
  <c r="E41"/>
  <c r="BF40"/>
  <c r="BG40" s="1"/>
  <c r="BJ40" s="1"/>
  <c r="BB40"/>
  <c r="BC40" s="1"/>
  <c r="BI40" s="1"/>
  <c r="AE40"/>
  <c r="N40"/>
  <c r="O40" s="1"/>
  <c r="J40"/>
  <c r="K40" s="1"/>
  <c r="E40"/>
  <c r="BF39"/>
  <c r="BG39" s="1"/>
  <c r="BJ39" s="1"/>
  <c r="BB39"/>
  <c r="BC39" s="1"/>
  <c r="BI39" s="1"/>
  <c r="AE39"/>
  <c r="N39"/>
  <c r="O39" s="1"/>
  <c r="J39"/>
  <c r="K39" s="1"/>
  <c r="E39"/>
  <c r="BF38"/>
  <c r="BB38"/>
  <c r="AE38"/>
  <c r="N38"/>
  <c r="O38" s="1"/>
  <c r="J38"/>
  <c r="K38" s="1"/>
  <c r="E38"/>
  <c r="BF37"/>
  <c r="BF49" s="1"/>
  <c r="BG49" s="1"/>
  <c r="BJ49" s="1"/>
  <c r="BB37"/>
  <c r="BC37" s="1"/>
  <c r="BI37" s="1"/>
  <c r="AE37"/>
  <c r="N37"/>
  <c r="N49" s="1"/>
  <c r="J37"/>
  <c r="J49" s="1"/>
  <c r="E37"/>
  <c r="BF36"/>
  <c r="BF48" s="1"/>
  <c r="BG48" s="1"/>
  <c r="BJ48" s="1"/>
  <c r="BB36"/>
  <c r="BB48" s="1"/>
  <c r="BC48" s="1"/>
  <c r="BI48" s="1"/>
  <c r="AE36"/>
  <c r="N36"/>
  <c r="O36" s="1"/>
  <c r="J36"/>
  <c r="K36" s="1"/>
  <c r="E36"/>
  <c r="BF35"/>
  <c r="BF47" s="1"/>
  <c r="BB35"/>
  <c r="BB47" s="1"/>
  <c r="AE35"/>
  <c r="N35"/>
  <c r="N47" s="1"/>
  <c r="J35"/>
  <c r="J47" s="1"/>
  <c r="E35"/>
  <c r="BF34"/>
  <c r="BG34" s="1"/>
  <c r="BJ34" s="1"/>
  <c r="BB34"/>
  <c r="BB46" s="1"/>
  <c r="AE34"/>
  <c r="N34"/>
  <c r="N46" s="1"/>
  <c r="J34"/>
  <c r="J46" s="1"/>
  <c r="E34"/>
  <c r="BF33"/>
  <c r="BF45" s="1"/>
  <c r="BG45" s="1"/>
  <c r="BJ45" s="1"/>
  <c r="BB33"/>
  <c r="BC33" s="1"/>
  <c r="BI33" s="1"/>
  <c r="AE33"/>
  <c r="N33"/>
  <c r="N45" s="1"/>
  <c r="J33"/>
  <c r="J45" s="1"/>
  <c r="E33"/>
  <c r="BF32"/>
  <c r="BF44" s="1"/>
  <c r="BB32"/>
  <c r="BB44" s="1"/>
  <c r="BC44" s="1"/>
  <c r="AP32"/>
  <c r="AQ33" s="1"/>
  <c r="AL32"/>
  <c r="AE32"/>
  <c r="N32"/>
  <c r="N44" s="1"/>
  <c r="J32"/>
  <c r="J44" s="1"/>
  <c r="E32"/>
  <c r="BF31"/>
  <c r="BF43" s="1"/>
  <c r="BB31"/>
  <c r="BB43" s="1"/>
  <c r="AP31"/>
  <c r="AL31"/>
  <c r="AE31"/>
  <c r="N31"/>
  <c r="N43" s="1"/>
  <c r="J31"/>
  <c r="J43" s="1"/>
  <c r="E31"/>
  <c r="BF30"/>
  <c r="BF42" s="1"/>
  <c r="BB30"/>
  <c r="BB42" s="1"/>
  <c r="AP30"/>
  <c r="AL30"/>
  <c r="AE30"/>
  <c r="N30"/>
  <c r="N42" s="1"/>
  <c r="N54" s="1"/>
  <c r="N66" s="1"/>
  <c r="N78" s="1"/>
  <c r="N90" s="1"/>
  <c r="J30"/>
  <c r="K30" s="1"/>
  <c r="E30"/>
  <c r="BF29"/>
  <c r="BF41" s="1"/>
  <c r="BB29"/>
  <c r="BB41" s="1"/>
  <c r="AP29"/>
  <c r="AL29"/>
  <c r="AE29"/>
  <c r="N29"/>
  <c r="O29" s="1"/>
  <c r="J29"/>
  <c r="J41" s="1"/>
  <c r="E29"/>
  <c r="BG28"/>
  <c r="BJ28" s="1"/>
  <c r="BC28"/>
  <c r="BI28" s="1"/>
  <c r="AP28"/>
  <c r="AL28"/>
  <c r="AE28"/>
  <c r="O28"/>
  <c r="K28"/>
  <c r="E28"/>
  <c r="BG27"/>
  <c r="BJ27" s="1"/>
  <c r="BC27"/>
  <c r="BI27" s="1"/>
  <c r="AP27"/>
  <c r="AL27"/>
  <c r="AE27"/>
  <c r="O27"/>
  <c r="K27"/>
  <c r="E27"/>
  <c r="BG26"/>
  <c r="BJ26" s="1"/>
  <c r="BC26"/>
  <c r="BI26" s="1"/>
  <c r="AP26"/>
  <c r="AQ27" s="1"/>
  <c r="AL26"/>
  <c r="AE26"/>
  <c r="O26"/>
  <c r="K26"/>
  <c r="E26"/>
  <c r="BG25"/>
  <c r="BJ25" s="1"/>
  <c r="BC25"/>
  <c r="BI25" s="1"/>
  <c r="AP25"/>
  <c r="AL25"/>
  <c r="AE25"/>
  <c r="O25"/>
  <c r="K25"/>
  <c r="E25"/>
  <c r="BG24"/>
  <c r="BJ24" s="1"/>
  <c r="BC24"/>
  <c r="BI24" s="1"/>
  <c r="AP24"/>
  <c r="AL24"/>
  <c r="AE24"/>
  <c r="O24"/>
  <c r="K24"/>
  <c r="E24"/>
  <c r="BG23"/>
  <c r="BJ23" s="1"/>
  <c r="BC23"/>
  <c r="BI23" s="1"/>
  <c r="AP23"/>
  <c r="AQ23" s="1"/>
  <c r="AL23"/>
  <c r="AE23"/>
  <c r="O23"/>
  <c r="K23"/>
  <c r="E23"/>
  <c r="BG22"/>
  <c r="BJ22" s="1"/>
  <c r="BC22"/>
  <c r="BI22" s="1"/>
  <c r="AQ22"/>
  <c r="AL22"/>
  <c r="AR22" s="1"/>
  <c r="AE22"/>
  <c r="O22"/>
  <c r="K22"/>
  <c r="E22"/>
  <c r="BG21"/>
  <c r="BJ21" s="1"/>
  <c r="BC21"/>
  <c r="BI21" s="1"/>
  <c r="AQ21"/>
  <c r="AL21"/>
  <c r="AM22" s="1"/>
  <c r="AE21"/>
  <c r="O21"/>
  <c r="K21"/>
  <c r="E21"/>
  <c r="BG20"/>
  <c r="BJ20" s="1"/>
  <c r="BC20"/>
  <c r="BI20" s="1"/>
  <c r="AQ20"/>
  <c r="AL20"/>
  <c r="AR20" s="1"/>
  <c r="AE20"/>
  <c r="O20"/>
  <c r="K20"/>
  <c r="E20"/>
  <c r="BG19"/>
  <c r="BJ19" s="1"/>
  <c r="BC19"/>
  <c r="BI19" s="1"/>
  <c r="AQ19"/>
  <c r="AL19"/>
  <c r="AM20" s="1"/>
  <c r="AE19"/>
  <c r="O19"/>
  <c r="K19"/>
  <c r="E19"/>
  <c r="BG18"/>
  <c r="BJ18" s="1"/>
  <c r="BC18"/>
  <c r="BI18" s="1"/>
  <c r="AQ18"/>
  <c r="AL18"/>
  <c r="AR18" s="1"/>
  <c r="AE18"/>
  <c r="O18"/>
  <c r="K18"/>
  <c r="E18"/>
  <c r="BG17"/>
  <c r="BJ17" s="1"/>
  <c r="BC17"/>
  <c r="BI17" s="1"/>
  <c r="AQ17"/>
  <c r="AL17"/>
  <c r="AE17"/>
  <c r="O17"/>
  <c r="K17"/>
  <c r="E17"/>
  <c r="AQ16"/>
  <c r="AL16"/>
  <c r="AR16" s="1"/>
  <c r="AQ15"/>
  <c r="AL15"/>
  <c r="BE14"/>
  <c r="BI14" s="1"/>
  <c r="AQ14"/>
  <c r="AL14"/>
  <c r="AR14" s="1"/>
  <c r="AQ13"/>
  <c r="AL13"/>
  <c r="AQ12"/>
  <c r="AL12"/>
  <c r="N12"/>
  <c r="AQ11"/>
  <c r="AL11"/>
  <c r="AR11" s="1"/>
  <c r="AQ10"/>
  <c r="AL10"/>
  <c r="AR10" s="1"/>
  <c r="AQ9"/>
  <c r="AL9"/>
  <c r="AM10" s="1"/>
  <c r="AL8"/>
  <c r="AR8" s="1"/>
  <c r="CI7"/>
  <c r="D316" i="6"/>
  <c r="C316"/>
  <c r="D315"/>
  <c r="C315" s="1"/>
  <c r="D314"/>
  <c r="C314" s="1"/>
  <c r="C313"/>
  <c r="D312"/>
  <c r="C312"/>
  <c r="D311"/>
  <c r="C311" s="1"/>
  <c r="D310"/>
  <c r="C310"/>
  <c r="D309"/>
  <c r="C309"/>
  <c r="D308"/>
  <c r="C308"/>
  <c r="D307"/>
  <c r="C307"/>
  <c r="D306"/>
  <c r="C306"/>
  <c r="D305"/>
  <c r="C305"/>
  <c r="D304"/>
  <c r="C304"/>
  <c r="D303"/>
  <c r="C303"/>
  <c r="D302"/>
  <c r="C302"/>
  <c r="D301"/>
  <c r="C301"/>
  <c r="D300"/>
  <c r="C300"/>
  <c r="D299"/>
  <c r="C299"/>
  <c r="D298"/>
  <c r="C298"/>
  <c r="D297"/>
  <c r="C297"/>
  <c r="D296"/>
  <c r="C296"/>
  <c r="D295"/>
  <c r="C295"/>
  <c r="D294"/>
  <c r="C294"/>
  <c r="D293"/>
  <c r="C293"/>
  <c r="D292"/>
  <c r="C292"/>
  <c r="D291"/>
  <c r="C291"/>
  <c r="D290"/>
  <c r="C290"/>
  <c r="D289"/>
  <c r="C289"/>
  <c r="D288"/>
  <c r="C288"/>
  <c r="D287"/>
  <c r="C287"/>
  <c r="D286"/>
  <c r="C286"/>
  <c r="D285"/>
  <c r="C285"/>
  <c r="D284"/>
  <c r="C284"/>
  <c r="D283"/>
  <c r="C283"/>
  <c r="D282"/>
  <c r="C282"/>
  <c r="D281"/>
  <c r="C281"/>
  <c r="D280"/>
  <c r="C280"/>
  <c r="D279"/>
  <c r="C279"/>
  <c r="D278"/>
  <c r="C278"/>
  <c r="D277"/>
  <c r="C277"/>
  <c r="D276"/>
  <c r="C276"/>
  <c r="D275"/>
  <c r="C275"/>
  <c r="D274"/>
  <c r="C274"/>
  <c r="D273"/>
  <c r="C273"/>
  <c r="D272"/>
  <c r="C272"/>
  <c r="D271"/>
  <c r="C271"/>
  <c r="D270"/>
  <c r="C270"/>
  <c r="D269"/>
  <c r="C269"/>
  <c r="D268"/>
  <c r="C268"/>
  <c r="D267"/>
  <c r="C267"/>
  <c r="D266"/>
  <c r="C266"/>
  <c r="D265"/>
  <c r="C265"/>
  <c r="D264"/>
  <c r="C264"/>
  <c r="D263"/>
  <c r="C263"/>
  <c r="D262"/>
  <c r="C262"/>
  <c r="D261"/>
  <c r="C261"/>
  <c r="D260"/>
  <c r="C260"/>
  <c r="D259"/>
  <c r="C259"/>
  <c r="D258"/>
  <c r="C258"/>
  <c r="D257"/>
  <c r="C257"/>
  <c r="D256"/>
  <c r="C256"/>
  <c r="D255"/>
  <c r="C255"/>
  <c r="D254"/>
  <c r="C254"/>
  <c r="D253"/>
  <c r="C253"/>
  <c r="D252"/>
  <c r="C252"/>
  <c r="D251"/>
  <c r="C251"/>
  <c r="D250"/>
  <c r="C250"/>
  <c r="D249"/>
  <c r="C249"/>
  <c r="D248"/>
  <c r="C248"/>
  <c r="D247"/>
  <c r="C247"/>
  <c r="D246"/>
  <c r="C246"/>
  <c r="D245"/>
  <c r="C245"/>
  <c r="D244"/>
  <c r="C244"/>
  <c r="D243"/>
  <c r="C243"/>
  <c r="D242"/>
  <c r="C242"/>
  <c r="D241"/>
  <c r="C241"/>
  <c r="D240"/>
  <c r="C240"/>
  <c r="D239"/>
  <c r="C239"/>
  <c r="D238"/>
  <c r="C238"/>
  <c r="D237"/>
  <c r="C237"/>
  <c r="D236"/>
  <c r="C236"/>
  <c r="D235"/>
  <c r="C235"/>
  <c r="D234"/>
  <c r="C234"/>
  <c r="D233"/>
  <c r="C233"/>
  <c r="BO232"/>
  <c r="BO244" s="1"/>
  <c r="BO256" s="1"/>
  <c r="BO268" s="1"/>
  <c r="BO280" s="1"/>
  <c r="BO292" s="1"/>
  <c r="BO304" s="1"/>
  <c r="BO316" s="1"/>
  <c r="BO328" s="1"/>
  <c r="BO340" s="1"/>
  <c r="BO352" s="1"/>
  <c r="BO364" s="1"/>
  <c r="BN232"/>
  <c r="BN244" s="1"/>
  <c r="BN256" s="1"/>
  <c r="BN268" s="1"/>
  <c r="BN280" s="1"/>
  <c r="BN292" s="1"/>
  <c r="BN304" s="1"/>
  <c r="BN316" s="1"/>
  <c r="BN328" s="1"/>
  <c r="BN340" s="1"/>
  <c r="BN352" s="1"/>
  <c r="BN364" s="1"/>
  <c r="D232"/>
  <c r="C232"/>
  <c r="B232"/>
  <c r="B244" s="1"/>
  <c r="B256" s="1"/>
  <c r="B268" s="1"/>
  <c r="B280" s="1"/>
  <c r="B292" s="1"/>
  <c r="B304" s="1"/>
  <c r="B316" s="1"/>
  <c r="B328" s="1"/>
  <c r="B340" s="1"/>
  <c r="B352" s="1"/>
  <c r="B364" s="1"/>
  <c r="B376" s="1"/>
  <c r="A232"/>
  <c r="A244" s="1"/>
  <c r="A256" s="1"/>
  <c r="A268" s="1"/>
  <c r="A280" s="1"/>
  <c r="A292" s="1"/>
  <c r="A304" s="1"/>
  <c r="A316" s="1"/>
  <c r="A328" s="1"/>
  <c r="A340" s="1"/>
  <c r="A352" s="1"/>
  <c r="A364" s="1"/>
  <c r="A376" s="1"/>
  <c r="BO231"/>
  <c r="BO243" s="1"/>
  <c r="BO255" s="1"/>
  <c r="BO267" s="1"/>
  <c r="BO279" s="1"/>
  <c r="BO291" s="1"/>
  <c r="BO303" s="1"/>
  <c r="BO315" s="1"/>
  <c r="BO327" s="1"/>
  <c r="BO339" s="1"/>
  <c r="BO351" s="1"/>
  <c r="BO363" s="1"/>
  <c r="BN231"/>
  <c r="BN243" s="1"/>
  <c r="BN255" s="1"/>
  <c r="BN267" s="1"/>
  <c r="BN279" s="1"/>
  <c r="BN291" s="1"/>
  <c r="BN303" s="1"/>
  <c r="BN315" s="1"/>
  <c r="BN327" s="1"/>
  <c r="BN339" s="1"/>
  <c r="BN351" s="1"/>
  <c r="BN363" s="1"/>
  <c r="D231"/>
  <c r="C231"/>
  <c r="B231"/>
  <c r="B243" s="1"/>
  <c r="B255" s="1"/>
  <c r="B267" s="1"/>
  <c r="B279" s="1"/>
  <c r="B291" s="1"/>
  <c r="B303" s="1"/>
  <c r="B315" s="1"/>
  <c r="B327" s="1"/>
  <c r="B339" s="1"/>
  <c r="B351" s="1"/>
  <c r="B363" s="1"/>
  <c r="B375" s="1"/>
  <c r="A231"/>
  <c r="A243" s="1"/>
  <c r="A255" s="1"/>
  <c r="A267" s="1"/>
  <c r="A279" s="1"/>
  <c r="A291" s="1"/>
  <c r="A303" s="1"/>
  <c r="A315" s="1"/>
  <c r="A327" s="1"/>
  <c r="A339" s="1"/>
  <c r="A351" s="1"/>
  <c r="A363" s="1"/>
  <c r="A375" s="1"/>
  <c r="BO230"/>
  <c r="BO242" s="1"/>
  <c r="BO254" s="1"/>
  <c r="BO266" s="1"/>
  <c r="BO278" s="1"/>
  <c r="BO290" s="1"/>
  <c r="BO302" s="1"/>
  <c r="BO314" s="1"/>
  <c r="BO326" s="1"/>
  <c r="BO338" s="1"/>
  <c r="BO350" s="1"/>
  <c r="BO362" s="1"/>
  <c r="BN230"/>
  <c r="BN242" s="1"/>
  <c r="BN254" s="1"/>
  <c r="BN266" s="1"/>
  <c r="BN278" s="1"/>
  <c r="BN290" s="1"/>
  <c r="BN302" s="1"/>
  <c r="BN314" s="1"/>
  <c r="BN326" s="1"/>
  <c r="BN338" s="1"/>
  <c r="BN350" s="1"/>
  <c r="BN362" s="1"/>
  <c r="D230"/>
  <c r="C230"/>
  <c r="B230"/>
  <c r="B242" s="1"/>
  <c r="B254" s="1"/>
  <c r="B266" s="1"/>
  <c r="B278" s="1"/>
  <c r="B290" s="1"/>
  <c r="B302" s="1"/>
  <c r="B314" s="1"/>
  <c r="B326" s="1"/>
  <c r="B338" s="1"/>
  <c r="B350" s="1"/>
  <c r="B362" s="1"/>
  <c r="B374" s="1"/>
  <c r="A230"/>
  <c r="A242" s="1"/>
  <c r="A254" s="1"/>
  <c r="A266" s="1"/>
  <c r="A278" s="1"/>
  <c r="A290" s="1"/>
  <c r="A302" s="1"/>
  <c r="A314" s="1"/>
  <c r="A326" s="1"/>
  <c r="A338" s="1"/>
  <c r="A350" s="1"/>
  <c r="A362" s="1"/>
  <c r="A374" s="1"/>
  <c r="BO229"/>
  <c r="BO241" s="1"/>
  <c r="BO253" s="1"/>
  <c r="BO265" s="1"/>
  <c r="BO277" s="1"/>
  <c r="BO289" s="1"/>
  <c r="BO301" s="1"/>
  <c r="BO313" s="1"/>
  <c r="BO325" s="1"/>
  <c r="BO337" s="1"/>
  <c r="BO349" s="1"/>
  <c r="BO361" s="1"/>
  <c r="BN229"/>
  <c r="BN241" s="1"/>
  <c r="BN253" s="1"/>
  <c r="BN265" s="1"/>
  <c r="BN277" s="1"/>
  <c r="BN289" s="1"/>
  <c r="BN301" s="1"/>
  <c r="BN313" s="1"/>
  <c r="BN325" s="1"/>
  <c r="BN337" s="1"/>
  <c r="BN349" s="1"/>
  <c r="BN361" s="1"/>
  <c r="D229"/>
  <c r="C229"/>
  <c r="B229"/>
  <c r="B241" s="1"/>
  <c r="B253" s="1"/>
  <c r="B265" s="1"/>
  <c r="B277" s="1"/>
  <c r="B289" s="1"/>
  <c r="B301" s="1"/>
  <c r="B313" s="1"/>
  <c r="B325" s="1"/>
  <c r="B337" s="1"/>
  <c r="B349" s="1"/>
  <c r="B361" s="1"/>
  <c r="B373" s="1"/>
  <c r="A229"/>
  <c r="A241" s="1"/>
  <c r="A253" s="1"/>
  <c r="A265" s="1"/>
  <c r="A277" s="1"/>
  <c r="A289" s="1"/>
  <c r="A301" s="1"/>
  <c r="A313" s="1"/>
  <c r="A325" s="1"/>
  <c r="A337" s="1"/>
  <c r="A349" s="1"/>
  <c r="A361" s="1"/>
  <c r="A373" s="1"/>
  <c r="BO228"/>
  <c r="BO240" s="1"/>
  <c r="BO252" s="1"/>
  <c r="BO264" s="1"/>
  <c r="BO276" s="1"/>
  <c r="BO288" s="1"/>
  <c r="BO300" s="1"/>
  <c r="BO312" s="1"/>
  <c r="BO324" s="1"/>
  <c r="BO336" s="1"/>
  <c r="BO348" s="1"/>
  <c r="BO360" s="1"/>
  <c r="BN228"/>
  <c r="BN240" s="1"/>
  <c r="BN252" s="1"/>
  <c r="BN264" s="1"/>
  <c r="BN276" s="1"/>
  <c r="BN288" s="1"/>
  <c r="BN300" s="1"/>
  <c r="BN312" s="1"/>
  <c r="BN324" s="1"/>
  <c r="BN336" s="1"/>
  <c r="BN348" s="1"/>
  <c r="BN360" s="1"/>
  <c r="D228"/>
  <c r="C228"/>
  <c r="B228"/>
  <c r="B240" s="1"/>
  <c r="B252" s="1"/>
  <c r="B264" s="1"/>
  <c r="B276" s="1"/>
  <c r="B288" s="1"/>
  <c r="B300" s="1"/>
  <c r="B312" s="1"/>
  <c r="B324" s="1"/>
  <c r="B336" s="1"/>
  <c r="B348" s="1"/>
  <c r="B360" s="1"/>
  <c r="B372" s="1"/>
  <c r="A228"/>
  <c r="A240" s="1"/>
  <c r="A252" s="1"/>
  <c r="A264" s="1"/>
  <c r="A276" s="1"/>
  <c r="A288" s="1"/>
  <c r="A300" s="1"/>
  <c r="A312" s="1"/>
  <c r="A324" s="1"/>
  <c r="A336" s="1"/>
  <c r="A348" s="1"/>
  <c r="A360" s="1"/>
  <c r="A372" s="1"/>
  <c r="BO227"/>
  <c r="BO239" s="1"/>
  <c r="BO251" s="1"/>
  <c r="BO263" s="1"/>
  <c r="BO275" s="1"/>
  <c r="BO287" s="1"/>
  <c r="BO299" s="1"/>
  <c r="BO311" s="1"/>
  <c r="BO323" s="1"/>
  <c r="BO335" s="1"/>
  <c r="BO347" s="1"/>
  <c r="BO359" s="1"/>
  <c r="BO371" s="1"/>
  <c r="BN227"/>
  <c r="BN239" s="1"/>
  <c r="BN251" s="1"/>
  <c r="BN263" s="1"/>
  <c r="BN275" s="1"/>
  <c r="BN287" s="1"/>
  <c r="BN299" s="1"/>
  <c r="BN311" s="1"/>
  <c r="BN323" s="1"/>
  <c r="BN335" s="1"/>
  <c r="BN347" s="1"/>
  <c r="BN359" s="1"/>
  <c r="BN371" s="1"/>
  <c r="D227"/>
  <c r="C227"/>
  <c r="B227"/>
  <c r="B239" s="1"/>
  <c r="B251" s="1"/>
  <c r="B263" s="1"/>
  <c r="B275" s="1"/>
  <c r="B287" s="1"/>
  <c r="B299" s="1"/>
  <c r="B311" s="1"/>
  <c r="B323" s="1"/>
  <c r="B335" s="1"/>
  <c r="B347" s="1"/>
  <c r="B359" s="1"/>
  <c r="B371" s="1"/>
  <c r="A227"/>
  <c r="A239" s="1"/>
  <c r="A251" s="1"/>
  <c r="A263" s="1"/>
  <c r="A275" s="1"/>
  <c r="A287" s="1"/>
  <c r="A299" s="1"/>
  <c r="A311" s="1"/>
  <c r="A323" s="1"/>
  <c r="A335" s="1"/>
  <c r="A347" s="1"/>
  <c r="A359" s="1"/>
  <c r="A371" s="1"/>
  <c r="BO226"/>
  <c r="BO238" s="1"/>
  <c r="BO250" s="1"/>
  <c r="BO262" s="1"/>
  <c r="BO274" s="1"/>
  <c r="BO286" s="1"/>
  <c r="BO298" s="1"/>
  <c r="BO310" s="1"/>
  <c r="BO322" s="1"/>
  <c r="BO334" s="1"/>
  <c r="BO346" s="1"/>
  <c r="BO358" s="1"/>
  <c r="BO370" s="1"/>
  <c r="BN226"/>
  <c r="BN238" s="1"/>
  <c r="BN250" s="1"/>
  <c r="BN262" s="1"/>
  <c r="BN274" s="1"/>
  <c r="BN286" s="1"/>
  <c r="BN298" s="1"/>
  <c r="BN310" s="1"/>
  <c r="BN322" s="1"/>
  <c r="BN334" s="1"/>
  <c r="BN346" s="1"/>
  <c r="BN358" s="1"/>
  <c r="BN370" s="1"/>
  <c r="D226"/>
  <c r="C226"/>
  <c r="B226"/>
  <c r="B238" s="1"/>
  <c r="B250" s="1"/>
  <c r="B262" s="1"/>
  <c r="B274" s="1"/>
  <c r="B286" s="1"/>
  <c r="B298" s="1"/>
  <c r="B310" s="1"/>
  <c r="B322" s="1"/>
  <c r="B334" s="1"/>
  <c r="B346" s="1"/>
  <c r="B358" s="1"/>
  <c r="B370" s="1"/>
  <c r="A226"/>
  <c r="A238" s="1"/>
  <c r="A250" s="1"/>
  <c r="A262" s="1"/>
  <c r="A274" s="1"/>
  <c r="A286" s="1"/>
  <c r="A298" s="1"/>
  <c r="A310" s="1"/>
  <c r="A322" s="1"/>
  <c r="A334" s="1"/>
  <c r="A346" s="1"/>
  <c r="A358" s="1"/>
  <c r="A370" s="1"/>
  <c r="BO225"/>
  <c r="BO237" s="1"/>
  <c r="BO249" s="1"/>
  <c r="BO261" s="1"/>
  <c r="BO273" s="1"/>
  <c r="BO285" s="1"/>
  <c r="BO297" s="1"/>
  <c r="BO309" s="1"/>
  <c r="BO321" s="1"/>
  <c r="BO333" s="1"/>
  <c r="BO345" s="1"/>
  <c r="BO357" s="1"/>
  <c r="BO369" s="1"/>
  <c r="BN225"/>
  <c r="BN237" s="1"/>
  <c r="BN249" s="1"/>
  <c r="BN261" s="1"/>
  <c r="BN273" s="1"/>
  <c r="BN285" s="1"/>
  <c r="BN297" s="1"/>
  <c r="BN309" s="1"/>
  <c r="BN321" s="1"/>
  <c r="BN333" s="1"/>
  <c r="BN345" s="1"/>
  <c r="BN357" s="1"/>
  <c r="BN369" s="1"/>
  <c r="D225"/>
  <c r="C225"/>
  <c r="B225"/>
  <c r="B237" s="1"/>
  <c r="B249" s="1"/>
  <c r="B261" s="1"/>
  <c r="B273" s="1"/>
  <c r="B285" s="1"/>
  <c r="B297" s="1"/>
  <c r="B309" s="1"/>
  <c r="B321" s="1"/>
  <c r="B333" s="1"/>
  <c r="B345" s="1"/>
  <c r="B357" s="1"/>
  <c r="B369" s="1"/>
  <c r="A225"/>
  <c r="A237" s="1"/>
  <c r="A249" s="1"/>
  <c r="A261" s="1"/>
  <c r="A273" s="1"/>
  <c r="A285" s="1"/>
  <c r="A297" s="1"/>
  <c r="A309" s="1"/>
  <c r="A321" s="1"/>
  <c r="A333" s="1"/>
  <c r="A345" s="1"/>
  <c r="A357" s="1"/>
  <c r="A369" s="1"/>
  <c r="BO224"/>
  <c r="BO236" s="1"/>
  <c r="BO248" s="1"/>
  <c r="BO260" s="1"/>
  <c r="BO272" s="1"/>
  <c r="BO284" s="1"/>
  <c r="BO296" s="1"/>
  <c r="BO308" s="1"/>
  <c r="BO320" s="1"/>
  <c r="BO332" s="1"/>
  <c r="BO344" s="1"/>
  <c r="BO356" s="1"/>
  <c r="BO368" s="1"/>
  <c r="BN224"/>
  <c r="BN236" s="1"/>
  <c r="BN248" s="1"/>
  <c r="BN260" s="1"/>
  <c r="BN272" s="1"/>
  <c r="BN284" s="1"/>
  <c r="BN296" s="1"/>
  <c r="BN308" s="1"/>
  <c r="BN320" s="1"/>
  <c r="BN332" s="1"/>
  <c r="BN344" s="1"/>
  <c r="BN356" s="1"/>
  <c r="BN368" s="1"/>
  <c r="D224"/>
  <c r="C224"/>
  <c r="B224"/>
  <c r="B236" s="1"/>
  <c r="B248" s="1"/>
  <c r="B260" s="1"/>
  <c r="B272" s="1"/>
  <c r="B284" s="1"/>
  <c r="B296" s="1"/>
  <c r="B308" s="1"/>
  <c r="B320" s="1"/>
  <c r="B332" s="1"/>
  <c r="B344" s="1"/>
  <c r="B356" s="1"/>
  <c r="B368" s="1"/>
  <c r="A224"/>
  <c r="A236" s="1"/>
  <c r="A248" s="1"/>
  <c r="A260" s="1"/>
  <c r="A272" s="1"/>
  <c r="A284" s="1"/>
  <c r="A296" s="1"/>
  <c r="A308" s="1"/>
  <c r="A320" s="1"/>
  <c r="A332" s="1"/>
  <c r="A344" s="1"/>
  <c r="A356" s="1"/>
  <c r="A368" s="1"/>
  <c r="BO223"/>
  <c r="BO235" s="1"/>
  <c r="BO247" s="1"/>
  <c r="BO259" s="1"/>
  <c r="BO271" s="1"/>
  <c r="BO283" s="1"/>
  <c r="BO295" s="1"/>
  <c r="BO307" s="1"/>
  <c r="BO319" s="1"/>
  <c r="BO331" s="1"/>
  <c r="BO343" s="1"/>
  <c r="BO355" s="1"/>
  <c r="BO367" s="1"/>
  <c r="BN223"/>
  <c r="BN235" s="1"/>
  <c r="BN247" s="1"/>
  <c r="BN259" s="1"/>
  <c r="BN271" s="1"/>
  <c r="BN283" s="1"/>
  <c r="BN295" s="1"/>
  <c r="BN307" s="1"/>
  <c r="BN319" s="1"/>
  <c r="BN331" s="1"/>
  <c r="BN343" s="1"/>
  <c r="BN355" s="1"/>
  <c r="BN367" s="1"/>
  <c r="D223"/>
  <c r="C223"/>
  <c r="B223"/>
  <c r="B235" s="1"/>
  <c r="B247" s="1"/>
  <c r="B259" s="1"/>
  <c r="B271" s="1"/>
  <c r="B283" s="1"/>
  <c r="B295" s="1"/>
  <c r="B307" s="1"/>
  <c r="B319" s="1"/>
  <c r="B331" s="1"/>
  <c r="B343" s="1"/>
  <c r="B355" s="1"/>
  <c r="B367" s="1"/>
  <c r="A223"/>
  <c r="A235" s="1"/>
  <c r="A247" s="1"/>
  <c r="A259" s="1"/>
  <c r="A271" s="1"/>
  <c r="A283" s="1"/>
  <c r="A295" s="1"/>
  <c r="A307" s="1"/>
  <c r="A319" s="1"/>
  <c r="A331" s="1"/>
  <c r="A343" s="1"/>
  <c r="A355" s="1"/>
  <c r="A367" s="1"/>
  <c r="BO222"/>
  <c r="BO234" s="1"/>
  <c r="BO246" s="1"/>
  <c r="BO258" s="1"/>
  <c r="BO270" s="1"/>
  <c r="BO282" s="1"/>
  <c r="BO294" s="1"/>
  <c r="BO306" s="1"/>
  <c r="BO318" s="1"/>
  <c r="BO330" s="1"/>
  <c r="BO342" s="1"/>
  <c r="BO354" s="1"/>
  <c r="BO366" s="1"/>
  <c r="BN222"/>
  <c r="BN234" s="1"/>
  <c r="BN246" s="1"/>
  <c r="BN258" s="1"/>
  <c r="BN270" s="1"/>
  <c r="BN282" s="1"/>
  <c r="BN294" s="1"/>
  <c r="BN306" s="1"/>
  <c r="BN318" s="1"/>
  <c r="BN330" s="1"/>
  <c r="BN342" s="1"/>
  <c r="BN354" s="1"/>
  <c r="BN366" s="1"/>
  <c r="D222"/>
  <c r="C222"/>
  <c r="B222"/>
  <c r="B234" s="1"/>
  <c r="B246" s="1"/>
  <c r="B258" s="1"/>
  <c r="B270" s="1"/>
  <c r="B282" s="1"/>
  <c r="B294" s="1"/>
  <c r="B306" s="1"/>
  <c r="B318" s="1"/>
  <c r="B330" s="1"/>
  <c r="B342" s="1"/>
  <c r="B354" s="1"/>
  <c r="B366" s="1"/>
  <c r="A222"/>
  <c r="A234" s="1"/>
  <c r="A246" s="1"/>
  <c r="A258" s="1"/>
  <c r="A270" s="1"/>
  <c r="A282" s="1"/>
  <c r="A294" s="1"/>
  <c r="A306" s="1"/>
  <c r="A318" s="1"/>
  <c r="A330" s="1"/>
  <c r="A342" s="1"/>
  <c r="A354" s="1"/>
  <c r="A366" s="1"/>
  <c r="BO221"/>
  <c r="BO233" s="1"/>
  <c r="BO245" s="1"/>
  <c r="BO257" s="1"/>
  <c r="BO269" s="1"/>
  <c r="BO281" s="1"/>
  <c r="BO293" s="1"/>
  <c r="BO305" s="1"/>
  <c r="BO317" s="1"/>
  <c r="BO329" s="1"/>
  <c r="BO341" s="1"/>
  <c r="BO353" s="1"/>
  <c r="BO365" s="1"/>
  <c r="BN221"/>
  <c r="BN233" s="1"/>
  <c r="BN245" s="1"/>
  <c r="BN257" s="1"/>
  <c r="BN269" s="1"/>
  <c r="BN281" s="1"/>
  <c r="BN293" s="1"/>
  <c r="BN305" s="1"/>
  <c r="BN317" s="1"/>
  <c r="BN329" s="1"/>
  <c r="BN341" s="1"/>
  <c r="BN353" s="1"/>
  <c r="BN365" s="1"/>
  <c r="D221"/>
  <c r="C221"/>
  <c r="B221"/>
  <c r="B233" s="1"/>
  <c r="B245" s="1"/>
  <c r="B257" s="1"/>
  <c r="B269" s="1"/>
  <c r="B281" s="1"/>
  <c r="B293" s="1"/>
  <c r="B305" s="1"/>
  <c r="B317" s="1"/>
  <c r="B329" s="1"/>
  <c r="B341" s="1"/>
  <c r="B353" s="1"/>
  <c r="B365" s="1"/>
  <c r="B377" s="1"/>
  <c r="A221"/>
  <c r="A233" s="1"/>
  <c r="A245" s="1"/>
  <c r="A257" s="1"/>
  <c r="A269" s="1"/>
  <c r="A281" s="1"/>
  <c r="A293" s="1"/>
  <c r="A305" s="1"/>
  <c r="A317" s="1"/>
  <c r="A329" s="1"/>
  <c r="A341" s="1"/>
  <c r="A353" s="1"/>
  <c r="A365" s="1"/>
  <c r="A377" s="1"/>
  <c r="D220"/>
  <c r="C220"/>
  <c r="D219"/>
  <c r="C219"/>
  <c r="D218"/>
  <c r="C218"/>
  <c r="D217"/>
  <c r="C217"/>
  <c r="D216"/>
  <c r="C216"/>
  <c r="D215"/>
  <c r="C215"/>
  <c r="D214"/>
  <c r="C214"/>
  <c r="D213"/>
  <c r="C213"/>
  <c r="D212"/>
  <c r="C212"/>
  <c r="D211"/>
  <c r="C211"/>
  <c r="D210"/>
  <c r="C210"/>
  <c r="D209"/>
  <c r="C209"/>
  <c r="D208"/>
  <c r="C208"/>
  <c r="D207"/>
  <c r="C207"/>
  <c r="D206"/>
  <c r="C206"/>
  <c r="D205"/>
  <c r="C205"/>
  <c r="D204"/>
  <c r="C204"/>
  <c r="D203"/>
  <c r="C203"/>
  <c r="D202"/>
  <c r="C202"/>
  <c r="D201"/>
  <c r="C201"/>
  <c r="D200"/>
  <c r="C200"/>
  <c r="D199"/>
  <c r="C199"/>
  <c r="D198"/>
  <c r="C198"/>
  <c r="D197"/>
  <c r="C197"/>
  <c r="D196"/>
  <c r="C196"/>
  <c r="D195"/>
  <c r="C195"/>
  <c r="D194"/>
  <c r="C194"/>
  <c r="D193"/>
  <c r="C193"/>
  <c r="D192"/>
  <c r="C192"/>
  <c r="D191"/>
  <c r="C191"/>
  <c r="D190"/>
  <c r="C190"/>
  <c r="D189"/>
  <c r="C189"/>
  <c r="D188"/>
  <c r="C188"/>
  <c r="D187"/>
  <c r="C187"/>
  <c r="D186"/>
  <c r="C186"/>
  <c r="D185"/>
  <c r="C185"/>
  <c r="D184"/>
  <c r="C184"/>
  <c r="D183"/>
  <c r="C183"/>
  <c r="D182"/>
  <c r="C182"/>
  <c r="D181"/>
  <c r="C181"/>
  <c r="D180"/>
  <c r="C180"/>
  <c r="D179"/>
  <c r="C179"/>
  <c r="D178"/>
  <c r="C178"/>
  <c r="D177"/>
  <c r="C177"/>
  <c r="D176"/>
  <c r="C176"/>
  <c r="D175"/>
  <c r="C175"/>
  <c r="D174"/>
  <c r="C174"/>
  <c r="D173"/>
  <c r="C173"/>
  <c r="D172"/>
  <c r="C172"/>
  <c r="D171"/>
  <c r="C171"/>
  <c r="D170"/>
  <c r="C170"/>
  <c r="D169"/>
  <c r="C169"/>
  <c r="D168"/>
  <c r="C168"/>
  <c r="D167"/>
  <c r="C167"/>
  <c r="D166"/>
  <c r="C166"/>
  <c r="D165"/>
  <c r="C165"/>
  <c r="D164"/>
  <c r="C164"/>
  <c r="D163"/>
  <c r="C163"/>
  <c r="D162"/>
  <c r="C162"/>
  <c r="D161"/>
  <c r="C161"/>
  <c r="D160"/>
  <c r="C160"/>
  <c r="D159"/>
  <c r="C159"/>
  <c r="D158"/>
  <c r="C158"/>
  <c r="D157"/>
  <c r="C157"/>
  <c r="D156"/>
  <c r="C156"/>
  <c r="D155"/>
  <c r="C155"/>
  <c r="D154"/>
  <c r="C154"/>
  <c r="D153"/>
  <c r="C153"/>
  <c r="D152"/>
  <c r="C152"/>
  <c r="D151"/>
  <c r="C151"/>
  <c r="D150"/>
  <c r="C150"/>
  <c r="D149"/>
  <c r="C149"/>
  <c r="D148"/>
  <c r="C148"/>
  <c r="D147"/>
  <c r="C147"/>
  <c r="D146"/>
  <c r="C146"/>
  <c r="D145"/>
  <c r="C145"/>
  <c r="D144"/>
  <c r="C144"/>
  <c r="D143"/>
  <c r="C143"/>
  <c r="D142"/>
  <c r="C142"/>
  <c r="D141"/>
  <c r="C141"/>
  <c r="D140"/>
  <c r="C140"/>
  <c r="D139"/>
  <c r="C139"/>
  <c r="D138"/>
  <c r="C138"/>
  <c r="D137"/>
  <c r="C137"/>
  <c r="D136"/>
  <c r="C136"/>
  <c r="D135"/>
  <c r="C135"/>
  <c r="D134"/>
  <c r="C134"/>
  <c r="D133"/>
  <c r="C133"/>
  <c r="D132"/>
  <c r="C132"/>
  <c r="D131"/>
  <c r="C131"/>
  <c r="D130"/>
  <c r="C130"/>
  <c r="D129"/>
  <c r="C129"/>
  <c r="D128"/>
  <c r="C128"/>
  <c r="D127"/>
  <c r="C127"/>
  <c r="D126"/>
  <c r="C126"/>
  <c r="D125"/>
  <c r="C125"/>
  <c r="D124"/>
  <c r="C124"/>
  <c r="D123"/>
  <c r="C123"/>
  <c r="D122"/>
  <c r="C122"/>
  <c r="D121"/>
  <c r="C121"/>
  <c r="D120"/>
  <c r="C120"/>
  <c r="D119"/>
  <c r="C119"/>
  <c r="D118"/>
  <c r="C118"/>
  <c r="D117"/>
  <c r="C117"/>
  <c r="D116"/>
  <c r="C116"/>
  <c r="D115"/>
  <c r="C115"/>
  <c r="D114"/>
  <c r="C114"/>
  <c r="D113"/>
  <c r="C113"/>
  <c r="D112"/>
  <c r="C112"/>
  <c r="D111"/>
  <c r="C111"/>
  <c r="D110"/>
  <c r="C110"/>
  <c r="D109"/>
  <c r="C109"/>
  <c r="D108"/>
  <c r="C108"/>
  <c r="D107"/>
  <c r="C107"/>
  <c r="D106"/>
  <c r="C106"/>
  <c r="D105"/>
  <c r="C105"/>
  <c r="D104"/>
  <c r="C104"/>
  <c r="D103"/>
  <c r="C103"/>
  <c r="D102"/>
  <c r="C102"/>
  <c r="D101"/>
  <c r="C101"/>
  <c r="D100"/>
  <c r="C100"/>
  <c r="D99"/>
  <c r="C99"/>
  <c r="D98"/>
  <c r="C98"/>
  <c r="D97"/>
  <c r="C97"/>
  <c r="D96"/>
  <c r="C96"/>
  <c r="D95"/>
  <c r="C95"/>
  <c r="D94"/>
  <c r="C94"/>
  <c r="D93"/>
  <c r="C93"/>
  <c r="D92"/>
  <c r="C92"/>
  <c r="D91"/>
  <c r="C91"/>
  <c r="D90"/>
  <c r="C90"/>
  <c r="D89"/>
  <c r="C89"/>
  <c r="D88"/>
  <c r="C88"/>
  <c r="D87"/>
  <c r="C87"/>
  <c r="D86"/>
  <c r="C86"/>
  <c r="D85"/>
  <c r="C85"/>
  <c r="D84"/>
  <c r="C84"/>
  <c r="D83"/>
  <c r="C83"/>
  <c r="D82"/>
  <c r="C82"/>
  <c r="D81"/>
  <c r="C81"/>
  <c r="D80"/>
  <c r="C80"/>
  <c r="D79"/>
  <c r="C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D66"/>
  <c r="C66"/>
  <c r="D65"/>
  <c r="C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D55"/>
  <c r="C55"/>
  <c r="D54"/>
  <c r="C54"/>
  <c r="D53"/>
  <c r="C53"/>
  <c r="D52"/>
  <c r="C52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1"/>
  <c r="C31"/>
  <c r="N206" i="3" l="1"/>
  <c r="H206" i="10" s="1"/>
  <c r="I206" s="1"/>
  <c r="AR31" i="6"/>
  <c r="H175" i="10"/>
  <c r="I175" s="1"/>
  <c r="O175" i="3"/>
  <c r="J175" i="10" s="1"/>
  <c r="N187" i="3"/>
  <c r="J163" i="10"/>
  <c r="AM16" i="1"/>
  <c r="AM14"/>
  <c r="J140" i="10"/>
  <c r="Q62" i="2"/>
  <c r="F153" i="10"/>
  <c r="H152"/>
  <c r="I152" s="1"/>
  <c r="O152" i="3"/>
  <c r="O194"/>
  <c r="J194" i="10" s="1"/>
  <c r="L153" i="3"/>
  <c r="P153" s="1"/>
  <c r="O162"/>
  <c r="J162" i="10" s="1"/>
  <c r="N179" i="3"/>
  <c r="H179" i="10" s="1"/>
  <c r="I179" s="1"/>
  <c r="O167" i="3"/>
  <c r="J167" i="10" s="1"/>
  <c r="AM31" i="6"/>
  <c r="AM33" i="1"/>
  <c r="AM32" i="6"/>
  <c r="AR23" i="1"/>
  <c r="AR24"/>
  <c r="AQ24"/>
  <c r="AS11"/>
  <c r="AS23"/>
  <c r="AM9"/>
  <c r="AR9"/>
  <c r="AS9" s="1"/>
  <c r="AM11"/>
  <c r="AM12"/>
  <c r="AR12"/>
  <c r="AS12" s="1"/>
  <c r="AM13"/>
  <c r="AR13"/>
  <c r="AM15"/>
  <c r="AR15"/>
  <c r="AS15" s="1"/>
  <c r="AM17"/>
  <c r="AR17"/>
  <c r="AS17" s="1"/>
  <c r="AM19"/>
  <c r="AR19"/>
  <c r="AS19" s="1"/>
  <c r="AM21"/>
  <c r="AR21"/>
  <c r="AS22" s="1"/>
  <c r="AM23"/>
  <c r="AM24"/>
  <c r="AM18"/>
  <c r="BK17"/>
  <c r="AQ26"/>
  <c r="AR26"/>
  <c r="AR28"/>
  <c r="AR25"/>
  <c r="AQ25" s="1"/>
  <c r="BK25"/>
  <c r="BK27"/>
  <c r="BC31"/>
  <c r="BI31" s="1"/>
  <c r="BG31"/>
  <c r="BJ31" s="1"/>
  <c r="BK21"/>
  <c r="BK26"/>
  <c r="BK28"/>
  <c r="BC34"/>
  <c r="BI34" s="1"/>
  <c r="BK34" s="1"/>
  <c r="BC36"/>
  <c r="BI36" s="1"/>
  <c r="BG36"/>
  <c r="BJ36" s="1"/>
  <c r="J42"/>
  <c r="J54" s="1"/>
  <c r="K54" s="1"/>
  <c r="O30"/>
  <c r="K34"/>
  <c r="O34"/>
  <c r="K35"/>
  <c r="O35"/>
  <c r="AQ28"/>
  <c r="BK18"/>
  <c r="BK20"/>
  <c r="BK23"/>
  <c r="BB55"/>
  <c r="BC43"/>
  <c r="BF55"/>
  <c r="BG43"/>
  <c r="BB58"/>
  <c r="BC46"/>
  <c r="BI46" s="1"/>
  <c r="BB50"/>
  <c r="BC38"/>
  <c r="BI38" s="1"/>
  <c r="BK22"/>
  <c r="BK24"/>
  <c r="BC29"/>
  <c r="BI29" s="1"/>
  <c r="BG29"/>
  <c r="BJ29" s="1"/>
  <c r="BC30"/>
  <c r="BI30" s="1"/>
  <c r="BG30"/>
  <c r="BJ30" s="1"/>
  <c r="BC32"/>
  <c r="BI32" s="1"/>
  <c r="BG32"/>
  <c r="BJ32" s="1"/>
  <c r="BG33"/>
  <c r="BJ33" s="1"/>
  <c r="BK33" s="1"/>
  <c r="BC35"/>
  <c r="BI35" s="1"/>
  <c r="BG35"/>
  <c r="BJ35" s="1"/>
  <c r="BK48"/>
  <c r="BG37"/>
  <c r="BJ37" s="1"/>
  <c r="BK37" s="1"/>
  <c r="BK39"/>
  <c r="BB53"/>
  <c r="BC41"/>
  <c r="BF53"/>
  <c r="BF65" s="1"/>
  <c r="BG41"/>
  <c r="BJ41" s="1"/>
  <c r="BB54"/>
  <c r="BC42"/>
  <c r="BF54"/>
  <c r="BF66" s="1"/>
  <c r="BF78" s="1"/>
  <c r="BG78" s="1"/>
  <c r="BG42"/>
  <c r="BF56"/>
  <c r="BG44"/>
  <c r="BJ44" s="1"/>
  <c r="BI44" s="1"/>
  <c r="BB59"/>
  <c r="BC47"/>
  <c r="BI47" s="1"/>
  <c r="BF59"/>
  <c r="BG59" s="1"/>
  <c r="BJ59" s="1"/>
  <c r="BG47"/>
  <c r="BF50"/>
  <c r="BG38"/>
  <c r="BJ38" s="1"/>
  <c r="BK19"/>
  <c r="BA99" i="2"/>
  <c r="BB87"/>
  <c r="BF85"/>
  <c r="BI85" s="1"/>
  <c r="BE97"/>
  <c r="BA207" i="3"/>
  <c r="BB195"/>
  <c r="AX175"/>
  <c r="AY163"/>
  <c r="BE113" i="2"/>
  <c r="BF101"/>
  <c r="BA193" i="3"/>
  <c r="BB181"/>
  <c r="BE98" i="2"/>
  <c r="BF86"/>
  <c r="BA89"/>
  <c r="BB77"/>
  <c r="BA81"/>
  <c r="BB69"/>
  <c r="BF79"/>
  <c r="BE91"/>
  <c r="BD151" i="3"/>
  <c r="BC151"/>
  <c r="BK40" i="1"/>
  <c r="J55"/>
  <c r="K43"/>
  <c r="N56"/>
  <c r="O56" s="1"/>
  <c r="O44"/>
  <c r="R44" s="1"/>
  <c r="N57"/>
  <c r="O45"/>
  <c r="R45" s="1"/>
  <c r="J58"/>
  <c r="K46"/>
  <c r="N58"/>
  <c r="O46"/>
  <c r="R46" s="1"/>
  <c r="N61"/>
  <c r="O49"/>
  <c r="J53"/>
  <c r="K41"/>
  <c r="N55"/>
  <c r="O43"/>
  <c r="J56"/>
  <c r="K44"/>
  <c r="J57"/>
  <c r="K45"/>
  <c r="J59"/>
  <c r="K47"/>
  <c r="N59"/>
  <c r="O47"/>
  <c r="J61"/>
  <c r="K49"/>
  <c r="N102"/>
  <c r="O90"/>
  <c r="J48"/>
  <c r="N48"/>
  <c r="J50"/>
  <c r="N50"/>
  <c r="K29"/>
  <c r="K31"/>
  <c r="O31"/>
  <c r="K32"/>
  <c r="O32"/>
  <c r="K33"/>
  <c r="O33"/>
  <c r="K37"/>
  <c r="O37"/>
  <c r="O42"/>
  <c r="O160" i="3"/>
  <c r="J160" i="10" s="1"/>
  <c r="N172" i="3"/>
  <c r="H172" i="10" s="1"/>
  <c r="I172" s="1"/>
  <c r="O86" i="2"/>
  <c r="O98" s="1"/>
  <c r="O110" s="1"/>
  <c r="P74"/>
  <c r="P102"/>
  <c r="R102" s="1"/>
  <c r="O114"/>
  <c r="M102"/>
  <c r="Q102" s="1"/>
  <c r="L114"/>
  <c r="N218" i="3"/>
  <c r="H218" i="10" s="1"/>
  <c r="I218" s="1"/>
  <c r="O206" i="3"/>
  <c r="J206" i="10" s="1"/>
  <c r="P81" i="2"/>
  <c r="O93"/>
  <c r="O115"/>
  <c r="P103"/>
  <c r="P124"/>
  <c r="O136"/>
  <c r="P136" s="1"/>
  <c r="P70"/>
  <c r="R70" s="1"/>
  <c r="O82"/>
  <c r="M70"/>
  <c r="L82"/>
  <c r="L99"/>
  <c r="M87"/>
  <c r="L86"/>
  <c r="M74"/>
  <c r="AR27" i="1"/>
  <c r="AM28"/>
  <c r="AM29"/>
  <c r="AM30"/>
  <c r="AM32"/>
  <c r="AQ29"/>
  <c r="AQ30"/>
  <c r="AR31"/>
  <c r="AQ32"/>
  <c r="AQ31"/>
  <c r="AM26"/>
  <c r="AM27"/>
  <c r="AR29"/>
  <c r="AR30"/>
  <c r="AR32"/>
  <c r="AS33" s="1"/>
  <c r="AM25"/>
  <c r="AM31"/>
  <c r="AR30" i="6"/>
  <c r="AM30"/>
  <c r="D30"/>
  <c r="C30"/>
  <c r="AR29"/>
  <c r="AM29"/>
  <c r="D29"/>
  <c r="C29"/>
  <c r="AR28"/>
  <c r="AM28"/>
  <c r="D28"/>
  <c r="C28"/>
  <c r="H187" i="10" l="1"/>
  <c r="I187" s="1"/>
  <c r="O187" i="3"/>
  <c r="N199"/>
  <c r="BK44" i="1"/>
  <c r="AS13"/>
  <c r="J152" i="10"/>
  <c r="N191" i="3"/>
  <c r="H191" i="10" s="1"/>
  <c r="I191" s="1"/>
  <c r="O179" i="3"/>
  <c r="J179" i="10" s="1"/>
  <c r="AN33" i="6"/>
  <c r="AS24" i="1"/>
  <c r="AS16"/>
  <c r="AS10"/>
  <c r="AS21"/>
  <c r="AS20"/>
  <c r="AS14"/>
  <c r="AS18"/>
  <c r="J66"/>
  <c r="J78" s="1"/>
  <c r="BK36"/>
  <c r="AS26"/>
  <c r="AS27"/>
  <c r="BK30"/>
  <c r="BK29"/>
  <c r="BK31"/>
  <c r="K42"/>
  <c r="BK38"/>
  <c r="BK32"/>
  <c r="AN30" i="6"/>
  <c r="BE103" i="2"/>
  <c r="BF91"/>
  <c r="BC163" i="3"/>
  <c r="BD163"/>
  <c r="BE109" i="2"/>
  <c r="BF97"/>
  <c r="BF62" i="1"/>
  <c r="BG50"/>
  <c r="BJ50" s="1"/>
  <c r="BB71"/>
  <c r="BC59"/>
  <c r="BI59" s="1"/>
  <c r="BK59" s="1"/>
  <c r="BF68"/>
  <c r="BG68" s="1"/>
  <c r="BG56"/>
  <c r="BB66"/>
  <c r="BC54"/>
  <c r="BG65"/>
  <c r="BF77"/>
  <c r="BB65"/>
  <c r="BC53"/>
  <c r="BK35"/>
  <c r="BB81" i="2"/>
  <c r="BA93"/>
  <c r="BB93" s="1"/>
  <c r="BA101"/>
  <c r="BB89"/>
  <c r="BE110"/>
  <c r="BF98"/>
  <c r="BA205" i="3"/>
  <c r="BB193"/>
  <c r="BE125" i="2"/>
  <c r="BF113"/>
  <c r="AX187" i="3"/>
  <c r="AY175"/>
  <c r="BA219"/>
  <c r="BB207"/>
  <c r="BA111" i="2"/>
  <c r="BB99"/>
  <c r="BI41" i="1"/>
  <c r="BK41" s="1"/>
  <c r="BB62"/>
  <c r="BC50"/>
  <c r="BI50" s="1"/>
  <c r="BB70"/>
  <c r="BC58"/>
  <c r="BF67"/>
  <c r="BF79" s="1"/>
  <c r="BG55"/>
  <c r="BB67"/>
  <c r="BC55"/>
  <c r="M82" i="2"/>
  <c r="L94"/>
  <c r="P82"/>
  <c r="O94"/>
  <c r="P93"/>
  <c r="O105"/>
  <c r="L126"/>
  <c r="M114"/>
  <c r="O126"/>
  <c r="O138" s="1"/>
  <c r="O150" s="1"/>
  <c r="P114"/>
  <c r="N184" i="3"/>
  <c r="H184" i="10" s="1"/>
  <c r="I184" s="1"/>
  <c r="O172" i="3"/>
  <c r="K50" i="1"/>
  <c r="J62"/>
  <c r="N60"/>
  <c r="N72" s="1"/>
  <c r="O48"/>
  <c r="R48" s="1"/>
  <c r="N114"/>
  <c r="O102"/>
  <c r="J73"/>
  <c r="K61"/>
  <c r="N71"/>
  <c r="O59"/>
  <c r="J71"/>
  <c r="K59"/>
  <c r="J69"/>
  <c r="K69" s="1"/>
  <c r="K57"/>
  <c r="J68"/>
  <c r="K56"/>
  <c r="N67"/>
  <c r="O55"/>
  <c r="K53"/>
  <c r="J65"/>
  <c r="N73"/>
  <c r="N85" s="1"/>
  <c r="O61"/>
  <c r="N70"/>
  <c r="O58"/>
  <c r="J70"/>
  <c r="K58"/>
  <c r="N69"/>
  <c r="O57"/>
  <c r="J67"/>
  <c r="K55"/>
  <c r="L98" i="2"/>
  <c r="M86"/>
  <c r="L111"/>
  <c r="M99"/>
  <c r="O127"/>
  <c r="P115"/>
  <c r="R115" s="1"/>
  <c r="N230" i="3"/>
  <c r="H230" i="10" s="1"/>
  <c r="I230" s="1"/>
  <c r="O218" i="3"/>
  <c r="J218" i="10" s="1"/>
  <c r="P110" i="2"/>
  <c r="O122"/>
  <c r="O50" i="1"/>
  <c r="N62"/>
  <c r="N74" s="1"/>
  <c r="N86" s="1"/>
  <c r="J60"/>
  <c r="K48"/>
  <c r="Q48" s="1"/>
  <c r="Q46"/>
  <c r="S46" s="1"/>
  <c r="Q45"/>
  <c r="S45" s="1"/>
  <c r="Z45" s="1"/>
  <c r="Q44"/>
  <c r="S44" s="1"/>
  <c r="Q70" i="2"/>
  <c r="AN29" i="6"/>
  <c r="AS30"/>
  <c r="AS30" i="1"/>
  <c r="AN31" i="6"/>
  <c r="AS31" i="1"/>
  <c r="AR27" i="6"/>
  <c r="AM27"/>
  <c r="D27"/>
  <c r="C27"/>
  <c r="AR26"/>
  <c r="AM26"/>
  <c r="D26"/>
  <c r="C26"/>
  <c r="AR25"/>
  <c r="AM25"/>
  <c r="D25"/>
  <c r="C25"/>
  <c r="AR24"/>
  <c r="AM24"/>
  <c r="D24"/>
  <c r="C24"/>
  <c r="AB45" i="1" l="1"/>
  <c r="AB45" i="9" s="1"/>
  <c r="J187" i="10"/>
  <c r="H199"/>
  <c r="I199" s="1"/>
  <c r="O199" i="3"/>
  <c r="J199" i="10" s="1"/>
  <c r="N211" i="3"/>
  <c r="Z45" i="9"/>
  <c r="AA45" s="1"/>
  <c r="S172" i="3"/>
  <c r="J172" i="10"/>
  <c r="O191" i="3"/>
  <c r="J191" i="10" s="1"/>
  <c r="N203" i="3"/>
  <c r="H203" i="10" s="1"/>
  <c r="I203" s="1"/>
  <c r="AN25" i="6"/>
  <c r="K66" i="1"/>
  <c r="BC175" i="3"/>
  <c r="BD175"/>
  <c r="BF89" i="1"/>
  <c r="BG77"/>
  <c r="BB79"/>
  <c r="BC67"/>
  <c r="BF91"/>
  <c r="BG79"/>
  <c r="BB82"/>
  <c r="BC70"/>
  <c r="BC62"/>
  <c r="BB74"/>
  <c r="BA123" i="2"/>
  <c r="BB111"/>
  <c r="BA231" i="3"/>
  <c r="BB219"/>
  <c r="AX199"/>
  <c r="AY187"/>
  <c r="BE137" i="2"/>
  <c r="BF125"/>
  <c r="BA217" i="3"/>
  <c r="BB205"/>
  <c r="BE122" i="2"/>
  <c r="BF110"/>
  <c r="BA113"/>
  <c r="BB101"/>
  <c r="BC65" i="1"/>
  <c r="BB77"/>
  <c r="BC66"/>
  <c r="BB78"/>
  <c r="BB83"/>
  <c r="BC71"/>
  <c r="BG62"/>
  <c r="BF74"/>
  <c r="BE121" i="2"/>
  <c r="BF109"/>
  <c r="BE115"/>
  <c r="BF103"/>
  <c r="BK50" i="1"/>
  <c r="BE163" i="3"/>
  <c r="W45" i="1"/>
  <c r="AG45"/>
  <c r="AF45" s="1"/>
  <c r="AA45"/>
  <c r="J72"/>
  <c r="K60"/>
  <c r="N242" i="3"/>
  <c r="H242" i="10" s="1"/>
  <c r="I242" s="1"/>
  <c r="O230" i="3"/>
  <c r="J230" i="10" s="1"/>
  <c r="O139" i="2"/>
  <c r="P127"/>
  <c r="L123"/>
  <c r="M111"/>
  <c r="L110"/>
  <c r="M98"/>
  <c r="J79" i="1"/>
  <c r="K67"/>
  <c r="N81"/>
  <c r="O81" s="1"/>
  <c r="O69"/>
  <c r="J82"/>
  <c r="K70"/>
  <c r="N82"/>
  <c r="N94" s="1"/>
  <c r="N106" s="1"/>
  <c r="O70"/>
  <c r="O85"/>
  <c r="N97"/>
  <c r="J90"/>
  <c r="K78"/>
  <c r="N79"/>
  <c r="O67"/>
  <c r="J80"/>
  <c r="K68"/>
  <c r="Q68" s="1"/>
  <c r="J83"/>
  <c r="K71"/>
  <c r="N83"/>
  <c r="O71"/>
  <c r="J85"/>
  <c r="K85" s="1"/>
  <c r="K73"/>
  <c r="N126"/>
  <c r="O114"/>
  <c r="N84"/>
  <c r="O72"/>
  <c r="N196" i="3"/>
  <c r="H196" i="10" s="1"/>
  <c r="I196" s="1"/>
  <c r="O184" i="3"/>
  <c r="J184" i="10" s="1"/>
  <c r="O162" i="2"/>
  <c r="P150"/>
  <c r="L138"/>
  <c r="M126"/>
  <c r="O86" i="1"/>
  <c r="N98"/>
  <c r="N110" s="1"/>
  <c r="O110" s="1"/>
  <c r="P122" i="2"/>
  <c r="R122" s="1"/>
  <c r="O134"/>
  <c r="J77" i="1"/>
  <c r="K65"/>
  <c r="J74"/>
  <c r="K62"/>
  <c r="O117" i="2"/>
  <c r="P105"/>
  <c r="P94"/>
  <c r="R94" s="1"/>
  <c r="O106"/>
  <c r="M94"/>
  <c r="L106"/>
  <c r="AS26" i="6"/>
  <c r="AN27"/>
  <c r="AR23"/>
  <c r="AM23"/>
  <c r="D23"/>
  <c r="C23"/>
  <c r="AR22"/>
  <c r="AM22"/>
  <c r="D22"/>
  <c r="C22"/>
  <c r="AR21"/>
  <c r="AM21"/>
  <c r="D21"/>
  <c r="C21"/>
  <c r="AR20"/>
  <c r="AM20"/>
  <c r="D20"/>
  <c r="C20"/>
  <c r="AR19"/>
  <c r="AM19"/>
  <c r="D19"/>
  <c r="C19"/>
  <c r="AR18"/>
  <c r="AM18"/>
  <c r="D18"/>
  <c r="C18"/>
  <c r="AR17"/>
  <c r="AM17"/>
  <c r="D17"/>
  <c r="C17"/>
  <c r="AM8" s="1"/>
  <c r="AR16"/>
  <c r="AM16"/>
  <c r="AR15"/>
  <c r="AM15"/>
  <c r="AR14"/>
  <c r="AM14"/>
  <c r="AR13"/>
  <c r="AM13"/>
  <c r="AR12"/>
  <c r="AM12"/>
  <c r="AR11"/>
  <c r="AM11"/>
  <c r="AR10"/>
  <c r="AM10"/>
  <c r="AR9"/>
  <c r="AM9"/>
  <c r="CL7"/>
  <c r="Z316" i="7"/>
  <c r="Z314"/>
  <c r="Z313"/>
  <c r="Z312"/>
  <c r="Z311"/>
  <c r="Z310"/>
  <c r="Z307"/>
  <c r="Z306"/>
  <c r="Z305"/>
  <c r="Z299"/>
  <c r="Z298"/>
  <c r="Z297"/>
  <c r="Z296"/>
  <c r="Z295"/>
  <c r="Z294"/>
  <c r="Z293"/>
  <c r="Z292"/>
  <c r="Z291"/>
  <c r="Z289"/>
  <c r="Z288"/>
  <c r="Z287"/>
  <c r="Z286"/>
  <c r="Z285"/>
  <c r="Z283"/>
  <c r="Z275"/>
  <c r="Z274"/>
  <c r="Z268"/>
  <c r="Z266"/>
  <c r="Z265"/>
  <c r="Z263"/>
  <c r="Z261"/>
  <c r="Z259"/>
  <c r="Z253"/>
  <c r="Z249"/>
  <c r="Z247"/>
  <c r="Z246"/>
  <c r="Z244"/>
  <c r="Z241"/>
  <c r="Z240"/>
  <c r="Z238"/>
  <c r="Z236"/>
  <c r="Z234"/>
  <c r="BO232"/>
  <c r="BO244" s="1"/>
  <c r="BO256" s="1"/>
  <c r="BO268" s="1"/>
  <c r="BO280" s="1"/>
  <c r="BO292" s="1"/>
  <c r="BO304" s="1"/>
  <c r="BO316" s="1"/>
  <c r="BO328" s="1"/>
  <c r="BO340" s="1"/>
  <c r="BO352" s="1"/>
  <c r="BO364" s="1"/>
  <c r="BN232"/>
  <c r="BN244" s="1"/>
  <c r="BN256" s="1"/>
  <c r="BN268" s="1"/>
  <c r="BN280" s="1"/>
  <c r="BN292" s="1"/>
  <c r="BN304" s="1"/>
  <c r="BN316" s="1"/>
  <c r="BN328" s="1"/>
  <c r="BN340" s="1"/>
  <c r="BN352" s="1"/>
  <c r="BN364" s="1"/>
  <c r="Z232"/>
  <c r="B232"/>
  <c r="B244" s="1"/>
  <c r="B256" s="1"/>
  <c r="B268" s="1"/>
  <c r="B280" s="1"/>
  <c r="B292" s="1"/>
  <c r="B304" s="1"/>
  <c r="B316" s="1"/>
  <c r="B328" s="1"/>
  <c r="B340" s="1"/>
  <c r="B352" s="1"/>
  <c r="B364" s="1"/>
  <c r="B376" s="1"/>
  <c r="A232"/>
  <c r="A244" s="1"/>
  <c r="A256" s="1"/>
  <c r="A268" s="1"/>
  <c r="A280" s="1"/>
  <c r="A292" s="1"/>
  <c r="A304" s="1"/>
  <c r="A316" s="1"/>
  <c r="A328" s="1"/>
  <c r="A340" s="1"/>
  <c r="A352" s="1"/>
  <c r="A364" s="1"/>
  <c r="A376" s="1"/>
  <c r="BO231"/>
  <c r="BO243" s="1"/>
  <c r="BO255" s="1"/>
  <c r="BO267" s="1"/>
  <c r="BO279" s="1"/>
  <c r="BO291" s="1"/>
  <c r="BO303" s="1"/>
  <c r="BO315" s="1"/>
  <c r="BO327" s="1"/>
  <c r="BO339" s="1"/>
  <c r="BO351" s="1"/>
  <c r="BO363" s="1"/>
  <c r="BN231"/>
  <c r="BN243" s="1"/>
  <c r="BN255" s="1"/>
  <c r="BN267" s="1"/>
  <c r="BN279" s="1"/>
  <c r="BN291" s="1"/>
  <c r="BN303" s="1"/>
  <c r="BN315" s="1"/>
  <c r="BN327" s="1"/>
  <c r="BN339" s="1"/>
  <c r="BN351" s="1"/>
  <c r="BN363" s="1"/>
  <c r="B231"/>
  <c r="B243" s="1"/>
  <c r="B255" s="1"/>
  <c r="B267" s="1"/>
  <c r="B279" s="1"/>
  <c r="B291" s="1"/>
  <c r="B303" s="1"/>
  <c r="B315" s="1"/>
  <c r="B327" s="1"/>
  <c r="B339" s="1"/>
  <c r="B351" s="1"/>
  <c r="B363" s="1"/>
  <c r="B375" s="1"/>
  <c r="A231"/>
  <c r="A243" s="1"/>
  <c r="A255" s="1"/>
  <c r="A267" s="1"/>
  <c r="A279" s="1"/>
  <c r="A291" s="1"/>
  <c r="A303" s="1"/>
  <c r="A315" s="1"/>
  <c r="A327" s="1"/>
  <c r="A339" s="1"/>
  <c r="A351" s="1"/>
  <c r="A363" s="1"/>
  <c r="A375" s="1"/>
  <c r="BO230"/>
  <c r="BO242" s="1"/>
  <c r="BO254" s="1"/>
  <c r="BO266" s="1"/>
  <c r="BO278" s="1"/>
  <c r="BO290" s="1"/>
  <c r="BO302" s="1"/>
  <c r="BO314" s="1"/>
  <c r="BO326" s="1"/>
  <c r="BO338" s="1"/>
  <c r="BO350" s="1"/>
  <c r="BO362" s="1"/>
  <c r="BN230"/>
  <c r="BN242" s="1"/>
  <c r="BN254" s="1"/>
  <c r="BN266" s="1"/>
  <c r="BN278" s="1"/>
  <c r="BN290" s="1"/>
  <c r="BN302" s="1"/>
  <c r="BN314" s="1"/>
  <c r="BN326" s="1"/>
  <c r="BN338" s="1"/>
  <c r="BN350" s="1"/>
  <c r="BN362" s="1"/>
  <c r="Z230"/>
  <c r="B230"/>
  <c r="B242" s="1"/>
  <c r="B254" s="1"/>
  <c r="B266" s="1"/>
  <c r="B278" s="1"/>
  <c r="B290" s="1"/>
  <c r="B302" s="1"/>
  <c r="B314" s="1"/>
  <c r="B326" s="1"/>
  <c r="B338" s="1"/>
  <c r="B350" s="1"/>
  <c r="B362" s="1"/>
  <c r="B374" s="1"/>
  <c r="A230"/>
  <c r="A242" s="1"/>
  <c r="A254" s="1"/>
  <c r="A266" s="1"/>
  <c r="A278" s="1"/>
  <c r="A290" s="1"/>
  <c r="A302" s="1"/>
  <c r="A314" s="1"/>
  <c r="A326" s="1"/>
  <c r="A338" s="1"/>
  <c r="A350" s="1"/>
  <c r="A362" s="1"/>
  <c r="A374" s="1"/>
  <c r="BO229"/>
  <c r="BO241" s="1"/>
  <c r="BO253" s="1"/>
  <c r="BO265" s="1"/>
  <c r="BO277" s="1"/>
  <c r="BO289" s="1"/>
  <c r="BO301" s="1"/>
  <c r="BO313" s="1"/>
  <c r="BO325" s="1"/>
  <c r="BO337" s="1"/>
  <c r="BO349" s="1"/>
  <c r="BO361" s="1"/>
  <c r="BN229"/>
  <c r="BN241" s="1"/>
  <c r="BN253" s="1"/>
  <c r="BN265" s="1"/>
  <c r="BN277" s="1"/>
  <c r="BN289" s="1"/>
  <c r="BN301" s="1"/>
  <c r="BN313" s="1"/>
  <c r="BN325" s="1"/>
  <c r="BN337" s="1"/>
  <c r="BN349" s="1"/>
  <c r="BN361" s="1"/>
  <c r="B229"/>
  <c r="B241" s="1"/>
  <c r="B253" s="1"/>
  <c r="B265" s="1"/>
  <c r="B277" s="1"/>
  <c r="B289" s="1"/>
  <c r="B301" s="1"/>
  <c r="B313" s="1"/>
  <c r="B325" s="1"/>
  <c r="B337" s="1"/>
  <c r="B349" s="1"/>
  <c r="B361" s="1"/>
  <c r="B373" s="1"/>
  <c r="A229"/>
  <c r="A241" s="1"/>
  <c r="A253" s="1"/>
  <c r="A265" s="1"/>
  <c r="A277" s="1"/>
  <c r="A289" s="1"/>
  <c r="A301" s="1"/>
  <c r="A313" s="1"/>
  <c r="A325" s="1"/>
  <c r="A337" s="1"/>
  <c r="A349" s="1"/>
  <c r="A361" s="1"/>
  <c r="A373" s="1"/>
  <c r="BO228"/>
  <c r="BO240" s="1"/>
  <c r="BO252" s="1"/>
  <c r="BO264" s="1"/>
  <c r="BO276" s="1"/>
  <c r="BO288" s="1"/>
  <c r="BO300" s="1"/>
  <c r="BO312" s="1"/>
  <c r="BO324" s="1"/>
  <c r="BO336" s="1"/>
  <c r="BO348" s="1"/>
  <c r="BO360" s="1"/>
  <c r="BN228"/>
  <c r="BN240" s="1"/>
  <c r="BN252" s="1"/>
  <c r="BN264" s="1"/>
  <c r="BN276" s="1"/>
  <c r="BN288" s="1"/>
  <c r="BN300" s="1"/>
  <c r="BN312" s="1"/>
  <c r="BN324" s="1"/>
  <c r="BN336" s="1"/>
  <c r="BN348" s="1"/>
  <c r="BN360" s="1"/>
  <c r="Z228"/>
  <c r="B228"/>
  <c r="B240" s="1"/>
  <c r="B252" s="1"/>
  <c r="B264" s="1"/>
  <c r="B276" s="1"/>
  <c r="B288" s="1"/>
  <c r="B300" s="1"/>
  <c r="B312" s="1"/>
  <c r="B324" s="1"/>
  <c r="B336" s="1"/>
  <c r="B348" s="1"/>
  <c r="B360" s="1"/>
  <c r="B372" s="1"/>
  <c r="A228"/>
  <c r="A240" s="1"/>
  <c r="A252" s="1"/>
  <c r="A264" s="1"/>
  <c r="A276" s="1"/>
  <c r="A288" s="1"/>
  <c r="A300" s="1"/>
  <c r="A312" s="1"/>
  <c r="A324" s="1"/>
  <c r="A336" s="1"/>
  <c r="A348" s="1"/>
  <c r="A360" s="1"/>
  <c r="A372" s="1"/>
  <c r="BO227"/>
  <c r="BO239" s="1"/>
  <c r="BO251" s="1"/>
  <c r="BO263" s="1"/>
  <c r="BO275" s="1"/>
  <c r="BO287" s="1"/>
  <c r="BO299" s="1"/>
  <c r="BO311" s="1"/>
  <c r="BO323" s="1"/>
  <c r="BO335" s="1"/>
  <c r="BO347" s="1"/>
  <c r="BO359" s="1"/>
  <c r="BO371" s="1"/>
  <c r="BN227"/>
  <c r="BN239" s="1"/>
  <c r="BN251" s="1"/>
  <c r="BN263" s="1"/>
  <c r="BN275" s="1"/>
  <c r="BN287" s="1"/>
  <c r="BN299" s="1"/>
  <c r="BN311" s="1"/>
  <c r="BN323" s="1"/>
  <c r="BN335" s="1"/>
  <c r="BN347" s="1"/>
  <c r="BN359" s="1"/>
  <c r="BN371" s="1"/>
  <c r="B227"/>
  <c r="B239" s="1"/>
  <c r="B251" s="1"/>
  <c r="B263" s="1"/>
  <c r="B275" s="1"/>
  <c r="B287" s="1"/>
  <c r="B299" s="1"/>
  <c r="B311" s="1"/>
  <c r="B323" s="1"/>
  <c r="B335" s="1"/>
  <c r="B347" s="1"/>
  <c r="B359" s="1"/>
  <c r="B371" s="1"/>
  <c r="A227"/>
  <c r="A239" s="1"/>
  <c r="A251" s="1"/>
  <c r="A263" s="1"/>
  <c r="A275" s="1"/>
  <c r="A287" s="1"/>
  <c r="A299" s="1"/>
  <c r="A311" s="1"/>
  <c r="A323" s="1"/>
  <c r="A335" s="1"/>
  <c r="A347" s="1"/>
  <c r="A359" s="1"/>
  <c r="A371" s="1"/>
  <c r="BO226"/>
  <c r="BO238" s="1"/>
  <c r="BO250" s="1"/>
  <c r="BO262" s="1"/>
  <c r="BO274" s="1"/>
  <c r="BO286" s="1"/>
  <c r="BO298" s="1"/>
  <c r="BO310" s="1"/>
  <c r="BO322" s="1"/>
  <c r="BO334" s="1"/>
  <c r="BO346" s="1"/>
  <c r="BO358" s="1"/>
  <c r="BO370" s="1"/>
  <c r="BN226"/>
  <c r="BN238" s="1"/>
  <c r="BN250" s="1"/>
  <c r="BN262" s="1"/>
  <c r="BN274" s="1"/>
  <c r="BN286" s="1"/>
  <c r="BN298" s="1"/>
  <c r="BN310" s="1"/>
  <c r="BN322" s="1"/>
  <c r="BN334" s="1"/>
  <c r="BN346" s="1"/>
  <c r="BN358" s="1"/>
  <c r="BN370" s="1"/>
  <c r="Z226"/>
  <c r="B226"/>
  <c r="B238" s="1"/>
  <c r="B250" s="1"/>
  <c r="B262" s="1"/>
  <c r="B274" s="1"/>
  <c r="B286" s="1"/>
  <c r="B298" s="1"/>
  <c r="B310" s="1"/>
  <c r="B322" s="1"/>
  <c r="B334" s="1"/>
  <c r="B346" s="1"/>
  <c r="B358" s="1"/>
  <c r="B370" s="1"/>
  <c r="A226"/>
  <c r="A238" s="1"/>
  <c r="A250" s="1"/>
  <c r="A262" s="1"/>
  <c r="A274" s="1"/>
  <c r="A286" s="1"/>
  <c r="A298" s="1"/>
  <c r="A310" s="1"/>
  <c r="A322" s="1"/>
  <c r="A334" s="1"/>
  <c r="A346" s="1"/>
  <c r="A358" s="1"/>
  <c r="A370" s="1"/>
  <c r="BO225"/>
  <c r="BO237" s="1"/>
  <c r="BO249" s="1"/>
  <c r="BO261" s="1"/>
  <c r="BO273" s="1"/>
  <c r="BO285" s="1"/>
  <c r="BO297" s="1"/>
  <c r="BO309" s="1"/>
  <c r="BO321" s="1"/>
  <c r="BO333" s="1"/>
  <c r="BO345" s="1"/>
  <c r="BO357" s="1"/>
  <c r="BO369" s="1"/>
  <c r="BN225"/>
  <c r="BN237" s="1"/>
  <c r="BN249" s="1"/>
  <c r="BN261" s="1"/>
  <c r="BN273" s="1"/>
  <c r="BN285" s="1"/>
  <c r="BN297" s="1"/>
  <c r="BN309" s="1"/>
  <c r="BN321" s="1"/>
  <c r="BN333" s="1"/>
  <c r="BN345" s="1"/>
  <c r="BN357" s="1"/>
  <c r="BN369" s="1"/>
  <c r="B225"/>
  <c r="B237" s="1"/>
  <c r="B249" s="1"/>
  <c r="B261" s="1"/>
  <c r="B273" s="1"/>
  <c r="B285" s="1"/>
  <c r="B297" s="1"/>
  <c r="B309" s="1"/>
  <c r="B321" s="1"/>
  <c r="B333" s="1"/>
  <c r="B345" s="1"/>
  <c r="B357" s="1"/>
  <c r="B369" s="1"/>
  <c r="A225"/>
  <c r="A237" s="1"/>
  <c r="A249" s="1"/>
  <c r="A261" s="1"/>
  <c r="A273" s="1"/>
  <c r="A285" s="1"/>
  <c r="A297" s="1"/>
  <c r="A309" s="1"/>
  <c r="A321" s="1"/>
  <c r="A333" s="1"/>
  <c r="A345" s="1"/>
  <c r="A357" s="1"/>
  <c r="A369" s="1"/>
  <c r="BO224"/>
  <c r="BO236" s="1"/>
  <c r="BO248" s="1"/>
  <c r="BO260" s="1"/>
  <c r="BO272" s="1"/>
  <c r="BO284" s="1"/>
  <c r="BO296" s="1"/>
  <c r="BO308" s="1"/>
  <c r="BO320" s="1"/>
  <c r="BO332" s="1"/>
  <c r="BO344" s="1"/>
  <c r="BO356" s="1"/>
  <c r="BO368" s="1"/>
  <c r="BN224"/>
  <c r="BN236" s="1"/>
  <c r="BN248" s="1"/>
  <c r="BN260" s="1"/>
  <c r="BN272" s="1"/>
  <c r="BN284" s="1"/>
  <c r="BN296" s="1"/>
  <c r="BN308" s="1"/>
  <c r="BN320" s="1"/>
  <c r="BN332" s="1"/>
  <c r="BN344" s="1"/>
  <c r="BN356" s="1"/>
  <c r="BN368" s="1"/>
  <c r="Z224"/>
  <c r="B224"/>
  <c r="B236" s="1"/>
  <c r="B248" s="1"/>
  <c r="B260" s="1"/>
  <c r="B272" s="1"/>
  <c r="B284" s="1"/>
  <c r="B296" s="1"/>
  <c r="B308" s="1"/>
  <c r="B320" s="1"/>
  <c r="B332" s="1"/>
  <c r="B344" s="1"/>
  <c r="B356" s="1"/>
  <c r="B368" s="1"/>
  <c r="A224"/>
  <c r="A236" s="1"/>
  <c r="A248" s="1"/>
  <c r="A260" s="1"/>
  <c r="A272" s="1"/>
  <c r="A284" s="1"/>
  <c r="A296" s="1"/>
  <c r="A308" s="1"/>
  <c r="A320" s="1"/>
  <c r="A332" s="1"/>
  <c r="A344" s="1"/>
  <c r="A356" s="1"/>
  <c r="A368" s="1"/>
  <c r="BO223"/>
  <c r="BO235" s="1"/>
  <c r="BO247" s="1"/>
  <c r="BO259" s="1"/>
  <c r="BO271" s="1"/>
  <c r="BO283" s="1"/>
  <c r="BO295" s="1"/>
  <c r="BO307" s="1"/>
  <c r="BO319" s="1"/>
  <c r="BO331" s="1"/>
  <c r="BO343" s="1"/>
  <c r="BO355" s="1"/>
  <c r="BO367" s="1"/>
  <c r="BN223"/>
  <c r="BN235" s="1"/>
  <c r="BN247" s="1"/>
  <c r="BN259" s="1"/>
  <c r="BN271" s="1"/>
  <c r="BN283" s="1"/>
  <c r="BN295" s="1"/>
  <c r="BN307" s="1"/>
  <c r="BN319" s="1"/>
  <c r="BN331" s="1"/>
  <c r="BN343" s="1"/>
  <c r="BN355" s="1"/>
  <c r="BN367" s="1"/>
  <c r="B223"/>
  <c r="B235" s="1"/>
  <c r="B247" s="1"/>
  <c r="B259" s="1"/>
  <c r="B271" s="1"/>
  <c r="B283" s="1"/>
  <c r="B295" s="1"/>
  <c r="B307" s="1"/>
  <c r="B319" s="1"/>
  <c r="B331" s="1"/>
  <c r="B343" s="1"/>
  <c r="B355" s="1"/>
  <c r="B367" s="1"/>
  <c r="A223"/>
  <c r="A235" s="1"/>
  <c r="A247" s="1"/>
  <c r="A259" s="1"/>
  <c r="A271" s="1"/>
  <c r="A283" s="1"/>
  <c r="A295" s="1"/>
  <c r="A307" s="1"/>
  <c r="A319" s="1"/>
  <c r="A331" s="1"/>
  <c r="A343" s="1"/>
  <c r="A355" s="1"/>
  <c r="A367" s="1"/>
  <c r="BO222"/>
  <c r="BO234" s="1"/>
  <c r="BO246" s="1"/>
  <c r="BO258" s="1"/>
  <c r="BO270" s="1"/>
  <c r="BO282" s="1"/>
  <c r="BO294" s="1"/>
  <c r="BO306" s="1"/>
  <c r="BO318" s="1"/>
  <c r="BO330" s="1"/>
  <c r="BO342" s="1"/>
  <c r="BO354" s="1"/>
  <c r="BO366" s="1"/>
  <c r="BN222"/>
  <c r="BN234" s="1"/>
  <c r="BN246" s="1"/>
  <c r="BN258" s="1"/>
  <c r="BN270" s="1"/>
  <c r="BN282" s="1"/>
  <c r="BN294" s="1"/>
  <c r="BN306" s="1"/>
  <c r="BN318" s="1"/>
  <c r="BN330" s="1"/>
  <c r="BN342" s="1"/>
  <c r="BN354" s="1"/>
  <c r="BN366" s="1"/>
  <c r="Z222"/>
  <c r="B222"/>
  <c r="B234" s="1"/>
  <c r="B246" s="1"/>
  <c r="B258" s="1"/>
  <c r="B270" s="1"/>
  <c r="B282" s="1"/>
  <c r="B294" s="1"/>
  <c r="B306" s="1"/>
  <c r="B318" s="1"/>
  <c r="B330" s="1"/>
  <c r="B342" s="1"/>
  <c r="B354" s="1"/>
  <c r="B366" s="1"/>
  <c r="A222"/>
  <c r="A234" s="1"/>
  <c r="A246" s="1"/>
  <c r="A258" s="1"/>
  <c r="A270" s="1"/>
  <c r="A282" s="1"/>
  <c r="A294" s="1"/>
  <c r="A306" s="1"/>
  <c r="A318" s="1"/>
  <c r="A330" s="1"/>
  <c r="A342" s="1"/>
  <c r="A354" s="1"/>
  <c r="A366" s="1"/>
  <c r="BO221"/>
  <c r="BO233" s="1"/>
  <c r="BO245" s="1"/>
  <c r="BO257" s="1"/>
  <c r="BO269" s="1"/>
  <c r="BO281" s="1"/>
  <c r="BO293" s="1"/>
  <c r="BO305" s="1"/>
  <c r="BO317" s="1"/>
  <c r="BO329" s="1"/>
  <c r="BO341" s="1"/>
  <c r="BO353" s="1"/>
  <c r="BO365" s="1"/>
  <c r="BN221"/>
  <c r="BN233" s="1"/>
  <c r="BN245" s="1"/>
  <c r="BN257" s="1"/>
  <c r="BN269" s="1"/>
  <c r="BN281" s="1"/>
  <c r="BN293" s="1"/>
  <c r="BN305" s="1"/>
  <c r="BN317" s="1"/>
  <c r="BN329" s="1"/>
  <c r="BN341" s="1"/>
  <c r="BN353" s="1"/>
  <c r="BN365" s="1"/>
  <c r="B221"/>
  <c r="B233" s="1"/>
  <c r="B245" s="1"/>
  <c r="B257" s="1"/>
  <c r="B269" s="1"/>
  <c r="B281" s="1"/>
  <c r="B293" s="1"/>
  <c r="B305" s="1"/>
  <c r="B317" s="1"/>
  <c r="B329" s="1"/>
  <c r="B341" s="1"/>
  <c r="B353" s="1"/>
  <c r="B365" s="1"/>
  <c r="B377" s="1"/>
  <c r="A221"/>
  <c r="A233" s="1"/>
  <c r="A245" s="1"/>
  <c r="A257" s="1"/>
  <c r="A269" s="1"/>
  <c r="A281" s="1"/>
  <c r="A293" s="1"/>
  <c r="A305" s="1"/>
  <c r="A317" s="1"/>
  <c r="A329" s="1"/>
  <c r="A341" s="1"/>
  <c r="A353" s="1"/>
  <c r="A365" s="1"/>
  <c r="A377" s="1"/>
  <c r="Z220"/>
  <c r="Z218"/>
  <c r="Z210"/>
  <c r="Z206"/>
  <c r="Z204"/>
  <c r="Z202"/>
  <c r="Z200"/>
  <c r="Z198"/>
  <c r="Z197"/>
  <c r="Z195"/>
  <c r="Z191"/>
  <c r="Z187"/>
  <c r="Z185"/>
  <c r="Z183"/>
  <c r="Z181"/>
  <c r="Z179"/>
  <c r="Z173"/>
  <c r="Z171"/>
  <c r="Z169"/>
  <c r="Z167"/>
  <c r="Z165"/>
  <c r="Z163"/>
  <c r="Z161"/>
  <c r="Z159"/>
  <c r="Z157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57"/>
  <c r="Z55"/>
  <c r="Z53"/>
  <c r="Z51"/>
  <c r="Z49"/>
  <c r="Z47"/>
  <c r="Z45"/>
  <c r="Z43"/>
  <c r="Z41"/>
  <c r="Z39"/>
  <c r="Z37"/>
  <c r="Z35"/>
  <c r="Z33"/>
  <c r="AR32"/>
  <c r="AS33" s="1"/>
  <c r="Z32"/>
  <c r="AR31"/>
  <c r="AR30"/>
  <c r="AR29"/>
  <c r="Z29"/>
  <c r="AR28"/>
  <c r="Z28"/>
  <c r="AR27"/>
  <c r="Z27"/>
  <c r="AR26"/>
  <c r="AR25"/>
  <c r="Z25"/>
  <c r="AR24"/>
  <c r="AR23"/>
  <c r="AR22"/>
  <c r="AR21"/>
  <c r="Z21"/>
  <c r="AR20"/>
  <c r="Z20"/>
  <c r="AR19"/>
  <c r="AR18"/>
  <c r="AR17"/>
  <c r="AR16"/>
  <c r="AR15"/>
  <c r="AR14"/>
  <c r="AR13"/>
  <c r="AR12"/>
  <c r="AR11"/>
  <c r="AR10"/>
  <c r="AR9"/>
  <c r="AR8"/>
  <c r="D316" i="8"/>
  <c r="C316"/>
  <c r="C315"/>
  <c r="C314"/>
  <c r="D312"/>
  <c r="C312"/>
  <c r="D310"/>
  <c r="C310"/>
  <c r="D309"/>
  <c r="C309"/>
  <c r="D308"/>
  <c r="C308"/>
  <c r="C306"/>
  <c r="C299"/>
  <c r="C297"/>
  <c r="C296"/>
  <c r="C293"/>
  <c r="C292"/>
  <c r="C291"/>
  <c r="D285"/>
  <c r="C285" s="1"/>
  <c r="D284"/>
  <c r="C284" s="1"/>
  <c r="D283"/>
  <c r="C283" s="1"/>
  <c r="C281"/>
  <c r="C280"/>
  <c r="C279"/>
  <c r="C276"/>
  <c r="C272"/>
  <c r="C270"/>
  <c r="C269"/>
  <c r="C267"/>
  <c r="D266"/>
  <c r="C266"/>
  <c r="C264"/>
  <c r="C260"/>
  <c r="C259"/>
  <c r="D258"/>
  <c r="C258" s="1"/>
  <c r="D252"/>
  <c r="C252" s="1"/>
  <c r="C248"/>
  <c r="C247"/>
  <c r="D244"/>
  <c r="C244"/>
  <c r="C243"/>
  <c r="C242"/>
  <c r="C241"/>
  <c r="D240"/>
  <c r="C240"/>
  <c r="C239"/>
  <c r="C238"/>
  <c r="C237"/>
  <c r="D236"/>
  <c r="C236" s="1"/>
  <c r="C235"/>
  <c r="C234"/>
  <c r="C233"/>
  <c r="BO232"/>
  <c r="BO244" s="1"/>
  <c r="BO256" s="1"/>
  <c r="BO268" s="1"/>
  <c r="BO280" s="1"/>
  <c r="BO292" s="1"/>
  <c r="BO304" s="1"/>
  <c r="BO316" s="1"/>
  <c r="BO328" s="1"/>
  <c r="BO340" s="1"/>
  <c r="BO352" s="1"/>
  <c r="BO364" s="1"/>
  <c r="BN232"/>
  <c r="BN244" s="1"/>
  <c r="BN256" s="1"/>
  <c r="BN268" s="1"/>
  <c r="BN280" s="1"/>
  <c r="BN292" s="1"/>
  <c r="BN304" s="1"/>
  <c r="BN316" s="1"/>
  <c r="BN328" s="1"/>
  <c r="BN340" s="1"/>
  <c r="BN352" s="1"/>
  <c r="BN364" s="1"/>
  <c r="D232"/>
  <c r="C232"/>
  <c r="B232"/>
  <c r="B244" s="1"/>
  <c r="B256" s="1"/>
  <c r="B268" s="1"/>
  <c r="B280" s="1"/>
  <c r="B292" s="1"/>
  <c r="B304" s="1"/>
  <c r="B316" s="1"/>
  <c r="B328" s="1"/>
  <c r="B340" s="1"/>
  <c r="B352" s="1"/>
  <c r="B364" s="1"/>
  <c r="B376" s="1"/>
  <c r="A232"/>
  <c r="A244" s="1"/>
  <c r="A256" s="1"/>
  <c r="A268" s="1"/>
  <c r="A280" s="1"/>
  <c r="A292" s="1"/>
  <c r="A304" s="1"/>
  <c r="A316" s="1"/>
  <c r="A328" s="1"/>
  <c r="A340" s="1"/>
  <c r="A352" s="1"/>
  <c r="A364" s="1"/>
  <c r="A376" s="1"/>
  <c r="BO231"/>
  <c r="BO243" s="1"/>
  <c r="BO255" s="1"/>
  <c r="BO267" s="1"/>
  <c r="BO279" s="1"/>
  <c r="BO291" s="1"/>
  <c r="BO303" s="1"/>
  <c r="BO315" s="1"/>
  <c r="BO327" s="1"/>
  <c r="BO339" s="1"/>
  <c r="BO351" s="1"/>
  <c r="BO363" s="1"/>
  <c r="BN231"/>
  <c r="BN243" s="1"/>
  <c r="BN255" s="1"/>
  <c r="BN267" s="1"/>
  <c r="BN279" s="1"/>
  <c r="BN291" s="1"/>
  <c r="BN303" s="1"/>
  <c r="BN315" s="1"/>
  <c r="BN327" s="1"/>
  <c r="BN339" s="1"/>
  <c r="BN351" s="1"/>
  <c r="BN363" s="1"/>
  <c r="D231"/>
  <c r="C231"/>
  <c r="B231"/>
  <c r="B243" s="1"/>
  <c r="B255" s="1"/>
  <c r="B267" s="1"/>
  <c r="B279" s="1"/>
  <c r="B291" s="1"/>
  <c r="B303" s="1"/>
  <c r="B315" s="1"/>
  <c r="B327" s="1"/>
  <c r="B339" s="1"/>
  <c r="B351" s="1"/>
  <c r="B363" s="1"/>
  <c r="B375" s="1"/>
  <c r="A231"/>
  <c r="A243" s="1"/>
  <c r="A255" s="1"/>
  <c r="A267" s="1"/>
  <c r="A279" s="1"/>
  <c r="A291" s="1"/>
  <c r="A303" s="1"/>
  <c r="A315" s="1"/>
  <c r="A327" s="1"/>
  <c r="A339" s="1"/>
  <c r="A351" s="1"/>
  <c r="A363" s="1"/>
  <c r="A375" s="1"/>
  <c r="BO230"/>
  <c r="BO242" s="1"/>
  <c r="BO254" s="1"/>
  <c r="BO266" s="1"/>
  <c r="BO278" s="1"/>
  <c r="BO290" s="1"/>
  <c r="BO302" s="1"/>
  <c r="BO314" s="1"/>
  <c r="BO326" s="1"/>
  <c r="BO338" s="1"/>
  <c r="BO350" s="1"/>
  <c r="BO362" s="1"/>
  <c r="BN230"/>
  <c r="BN242" s="1"/>
  <c r="BN254" s="1"/>
  <c r="BN266" s="1"/>
  <c r="BN278" s="1"/>
  <c r="BN290" s="1"/>
  <c r="BN302" s="1"/>
  <c r="BN314" s="1"/>
  <c r="BN326" s="1"/>
  <c r="BN338" s="1"/>
  <c r="BN350" s="1"/>
  <c r="BN362" s="1"/>
  <c r="D230"/>
  <c r="C230"/>
  <c r="B230"/>
  <c r="B242" s="1"/>
  <c r="B254" s="1"/>
  <c r="B266" s="1"/>
  <c r="B278" s="1"/>
  <c r="B290" s="1"/>
  <c r="B302" s="1"/>
  <c r="B314" s="1"/>
  <c r="B326" s="1"/>
  <c r="B338" s="1"/>
  <c r="B350" s="1"/>
  <c r="B362" s="1"/>
  <c r="B374" s="1"/>
  <c r="A230"/>
  <c r="A242" s="1"/>
  <c r="A254" s="1"/>
  <c r="A266" s="1"/>
  <c r="A278" s="1"/>
  <c r="A290" s="1"/>
  <c r="A302" s="1"/>
  <c r="A314" s="1"/>
  <c r="A326" s="1"/>
  <c r="A338" s="1"/>
  <c r="A350" s="1"/>
  <c r="A362" s="1"/>
  <c r="A374" s="1"/>
  <c r="BO229"/>
  <c r="BO241" s="1"/>
  <c r="BO253" s="1"/>
  <c r="BO265" s="1"/>
  <c r="BO277" s="1"/>
  <c r="BO289" s="1"/>
  <c r="BO301" s="1"/>
  <c r="BO313" s="1"/>
  <c r="BO325" s="1"/>
  <c r="BO337" s="1"/>
  <c r="BO349" s="1"/>
  <c r="BO361" s="1"/>
  <c r="BN229"/>
  <c r="BN241" s="1"/>
  <c r="BN253" s="1"/>
  <c r="BN265" s="1"/>
  <c r="BN277" s="1"/>
  <c r="BN289" s="1"/>
  <c r="BN301" s="1"/>
  <c r="BN313" s="1"/>
  <c r="BN325" s="1"/>
  <c r="BN337" s="1"/>
  <c r="BN349" s="1"/>
  <c r="BN361" s="1"/>
  <c r="D229"/>
  <c r="C229"/>
  <c r="B229"/>
  <c r="B241" s="1"/>
  <c r="B253" s="1"/>
  <c r="B265" s="1"/>
  <c r="B277" s="1"/>
  <c r="B289" s="1"/>
  <c r="B301" s="1"/>
  <c r="B313" s="1"/>
  <c r="B325" s="1"/>
  <c r="B337" s="1"/>
  <c r="B349" s="1"/>
  <c r="B361" s="1"/>
  <c r="B373" s="1"/>
  <c r="A229"/>
  <c r="A241" s="1"/>
  <c r="A253" s="1"/>
  <c r="A265" s="1"/>
  <c r="A277" s="1"/>
  <c r="A289" s="1"/>
  <c r="A301" s="1"/>
  <c r="A313" s="1"/>
  <c r="A325" s="1"/>
  <c r="A337" s="1"/>
  <c r="A349" s="1"/>
  <c r="A361" s="1"/>
  <c r="A373" s="1"/>
  <c r="BO228"/>
  <c r="BO240" s="1"/>
  <c r="BO252" s="1"/>
  <c r="BO264" s="1"/>
  <c r="BO276" s="1"/>
  <c r="BO288" s="1"/>
  <c r="BO300" s="1"/>
  <c r="BO312" s="1"/>
  <c r="BO324" s="1"/>
  <c r="BO336" s="1"/>
  <c r="BO348" s="1"/>
  <c r="BO360" s="1"/>
  <c r="BN228"/>
  <c r="BN240" s="1"/>
  <c r="BN252" s="1"/>
  <c r="BN264" s="1"/>
  <c r="D228"/>
  <c r="C228"/>
  <c r="B228"/>
  <c r="B240" s="1"/>
  <c r="B252" s="1"/>
  <c r="B264" s="1"/>
  <c r="B276" s="1"/>
  <c r="B288" s="1"/>
  <c r="B300" s="1"/>
  <c r="B312" s="1"/>
  <c r="B324" s="1"/>
  <c r="B336" s="1"/>
  <c r="B348" s="1"/>
  <c r="B360" s="1"/>
  <c r="B372" s="1"/>
  <c r="A228"/>
  <c r="A240" s="1"/>
  <c r="A252" s="1"/>
  <c r="A264" s="1"/>
  <c r="A276" s="1"/>
  <c r="A288" s="1"/>
  <c r="A300" s="1"/>
  <c r="A312" s="1"/>
  <c r="A324" s="1"/>
  <c r="A336" s="1"/>
  <c r="A348" s="1"/>
  <c r="A360" s="1"/>
  <c r="A372" s="1"/>
  <c r="BO227"/>
  <c r="BO239" s="1"/>
  <c r="BO251" s="1"/>
  <c r="BO263" s="1"/>
  <c r="BO275" s="1"/>
  <c r="BO287" s="1"/>
  <c r="BO299" s="1"/>
  <c r="BO311" s="1"/>
  <c r="BO323" s="1"/>
  <c r="BO335" s="1"/>
  <c r="BO347" s="1"/>
  <c r="BO359" s="1"/>
  <c r="BO371" s="1"/>
  <c r="BN227"/>
  <c r="BN239" s="1"/>
  <c r="BN251" s="1"/>
  <c r="BN263" s="1"/>
  <c r="BN275" s="1"/>
  <c r="BN287" s="1"/>
  <c r="BN299" s="1"/>
  <c r="BN311" s="1"/>
  <c r="BN323" s="1"/>
  <c r="BN335" s="1"/>
  <c r="BN347" s="1"/>
  <c r="BN359" s="1"/>
  <c r="BN371" s="1"/>
  <c r="D227"/>
  <c r="C227"/>
  <c r="B227"/>
  <c r="B239" s="1"/>
  <c r="B251" s="1"/>
  <c r="B263" s="1"/>
  <c r="B275" s="1"/>
  <c r="B287" s="1"/>
  <c r="B299" s="1"/>
  <c r="B311" s="1"/>
  <c r="B323" s="1"/>
  <c r="B335" s="1"/>
  <c r="B347" s="1"/>
  <c r="B359" s="1"/>
  <c r="B371" s="1"/>
  <c r="A227"/>
  <c r="A239" s="1"/>
  <c r="A251" s="1"/>
  <c r="A263" s="1"/>
  <c r="A275" s="1"/>
  <c r="A287" s="1"/>
  <c r="A299" s="1"/>
  <c r="A311" s="1"/>
  <c r="A323" s="1"/>
  <c r="A335" s="1"/>
  <c r="A347" s="1"/>
  <c r="A359" s="1"/>
  <c r="A371" s="1"/>
  <c r="BO226"/>
  <c r="BO238" s="1"/>
  <c r="BO250" s="1"/>
  <c r="BO262" s="1"/>
  <c r="BO274" s="1"/>
  <c r="BO286" s="1"/>
  <c r="BO298" s="1"/>
  <c r="BO310" s="1"/>
  <c r="BO322" s="1"/>
  <c r="BO334" s="1"/>
  <c r="BO346" s="1"/>
  <c r="BO358" s="1"/>
  <c r="BO370" s="1"/>
  <c r="BN226"/>
  <c r="BN238" s="1"/>
  <c r="BN250" s="1"/>
  <c r="BN262" s="1"/>
  <c r="BN274" s="1"/>
  <c r="BN286" s="1"/>
  <c r="BN298" s="1"/>
  <c r="BN310" s="1"/>
  <c r="BN322" s="1"/>
  <c r="BN334" s="1"/>
  <c r="BN346" s="1"/>
  <c r="BN358" s="1"/>
  <c r="BN370" s="1"/>
  <c r="D226"/>
  <c r="C226"/>
  <c r="B226"/>
  <c r="B238" s="1"/>
  <c r="B250" s="1"/>
  <c r="B262" s="1"/>
  <c r="B274" s="1"/>
  <c r="B286" s="1"/>
  <c r="B298" s="1"/>
  <c r="B310" s="1"/>
  <c r="B322" s="1"/>
  <c r="B334" s="1"/>
  <c r="B346" s="1"/>
  <c r="B358" s="1"/>
  <c r="B370" s="1"/>
  <c r="A226"/>
  <c r="A238" s="1"/>
  <c r="A250" s="1"/>
  <c r="A262" s="1"/>
  <c r="A274" s="1"/>
  <c r="A286" s="1"/>
  <c r="A298" s="1"/>
  <c r="A310" s="1"/>
  <c r="A322" s="1"/>
  <c r="A334" s="1"/>
  <c r="A346" s="1"/>
  <c r="A358" s="1"/>
  <c r="A370" s="1"/>
  <c r="BO225"/>
  <c r="BO237" s="1"/>
  <c r="BO249" s="1"/>
  <c r="BO261" s="1"/>
  <c r="BO273" s="1"/>
  <c r="BO285" s="1"/>
  <c r="BO297" s="1"/>
  <c r="BO309" s="1"/>
  <c r="BO321" s="1"/>
  <c r="BO333" s="1"/>
  <c r="BO345" s="1"/>
  <c r="BO357" s="1"/>
  <c r="BO369" s="1"/>
  <c r="BN225"/>
  <c r="BN237" s="1"/>
  <c r="BN249" s="1"/>
  <c r="BN261" s="1"/>
  <c r="BN273" s="1"/>
  <c r="BN285" s="1"/>
  <c r="BN297" s="1"/>
  <c r="BN309" s="1"/>
  <c r="BN321" s="1"/>
  <c r="BN333" s="1"/>
  <c r="BN345" s="1"/>
  <c r="BN357" s="1"/>
  <c r="BN369" s="1"/>
  <c r="D225"/>
  <c r="C225"/>
  <c r="B225"/>
  <c r="B237" s="1"/>
  <c r="B249" s="1"/>
  <c r="B261" s="1"/>
  <c r="B273" s="1"/>
  <c r="B285" s="1"/>
  <c r="B297" s="1"/>
  <c r="B309" s="1"/>
  <c r="B321" s="1"/>
  <c r="B333" s="1"/>
  <c r="B345" s="1"/>
  <c r="B357" s="1"/>
  <c r="B369" s="1"/>
  <c r="A225"/>
  <c r="A237" s="1"/>
  <c r="A249" s="1"/>
  <c r="A261" s="1"/>
  <c r="A273" s="1"/>
  <c r="A285" s="1"/>
  <c r="A297" s="1"/>
  <c r="A309" s="1"/>
  <c r="A321" s="1"/>
  <c r="A333" s="1"/>
  <c r="A345" s="1"/>
  <c r="A357" s="1"/>
  <c r="A369" s="1"/>
  <c r="BO224"/>
  <c r="BO236" s="1"/>
  <c r="BO248" s="1"/>
  <c r="BO260" s="1"/>
  <c r="BO272" s="1"/>
  <c r="BO284" s="1"/>
  <c r="BO296" s="1"/>
  <c r="BO308" s="1"/>
  <c r="BO320" s="1"/>
  <c r="BO332" s="1"/>
  <c r="BO344" s="1"/>
  <c r="BO356" s="1"/>
  <c r="BO368" s="1"/>
  <c r="BN224"/>
  <c r="BN236" s="1"/>
  <c r="BN248" s="1"/>
  <c r="BN260" s="1"/>
  <c r="BN272" s="1"/>
  <c r="BN284" s="1"/>
  <c r="BN296" s="1"/>
  <c r="BN308" s="1"/>
  <c r="BN320" s="1"/>
  <c r="BN332" s="1"/>
  <c r="BN344" s="1"/>
  <c r="BN356" s="1"/>
  <c r="BN368" s="1"/>
  <c r="D224"/>
  <c r="C224"/>
  <c r="B224"/>
  <c r="B236" s="1"/>
  <c r="B248" s="1"/>
  <c r="B260" s="1"/>
  <c r="B272" s="1"/>
  <c r="B284" s="1"/>
  <c r="B296" s="1"/>
  <c r="B308" s="1"/>
  <c r="B320" s="1"/>
  <c r="B332" s="1"/>
  <c r="B344" s="1"/>
  <c r="B356" s="1"/>
  <c r="B368" s="1"/>
  <c r="A224"/>
  <c r="A236" s="1"/>
  <c r="A248" s="1"/>
  <c r="A260" s="1"/>
  <c r="A272" s="1"/>
  <c r="A284" s="1"/>
  <c r="A296" s="1"/>
  <c r="A308" s="1"/>
  <c r="A320" s="1"/>
  <c r="A332" s="1"/>
  <c r="A344" s="1"/>
  <c r="A356" s="1"/>
  <c r="A368" s="1"/>
  <c r="BO223"/>
  <c r="BO235" s="1"/>
  <c r="BO247" s="1"/>
  <c r="BO259" s="1"/>
  <c r="BO271" s="1"/>
  <c r="BO283" s="1"/>
  <c r="BO295" s="1"/>
  <c r="BO307" s="1"/>
  <c r="BO319" s="1"/>
  <c r="BO331" s="1"/>
  <c r="BO343" s="1"/>
  <c r="BO355" s="1"/>
  <c r="BO367" s="1"/>
  <c r="BN223"/>
  <c r="BN235" s="1"/>
  <c r="BN247" s="1"/>
  <c r="BN259" s="1"/>
  <c r="BN271" s="1"/>
  <c r="BN283" s="1"/>
  <c r="BN295" s="1"/>
  <c r="BN307" s="1"/>
  <c r="BN319" s="1"/>
  <c r="BN331" s="1"/>
  <c r="BN343" s="1"/>
  <c r="BN355" s="1"/>
  <c r="BN367" s="1"/>
  <c r="D223"/>
  <c r="C223"/>
  <c r="B223"/>
  <c r="B235" s="1"/>
  <c r="B247" s="1"/>
  <c r="B259" s="1"/>
  <c r="B271" s="1"/>
  <c r="B283" s="1"/>
  <c r="B295" s="1"/>
  <c r="B307" s="1"/>
  <c r="B319" s="1"/>
  <c r="B331" s="1"/>
  <c r="B343" s="1"/>
  <c r="B355" s="1"/>
  <c r="B367" s="1"/>
  <c r="A223"/>
  <c r="A235" s="1"/>
  <c r="A247" s="1"/>
  <c r="A259" s="1"/>
  <c r="A271" s="1"/>
  <c r="A283" s="1"/>
  <c r="A295" s="1"/>
  <c r="A307" s="1"/>
  <c r="A319" s="1"/>
  <c r="A331" s="1"/>
  <c r="A343" s="1"/>
  <c r="A355" s="1"/>
  <c r="A367" s="1"/>
  <c r="BO222"/>
  <c r="BO234" s="1"/>
  <c r="BO246" s="1"/>
  <c r="BO258" s="1"/>
  <c r="BO270" s="1"/>
  <c r="BO282" s="1"/>
  <c r="BO294" s="1"/>
  <c r="BO306" s="1"/>
  <c r="BO318" s="1"/>
  <c r="BO330" s="1"/>
  <c r="BO342" s="1"/>
  <c r="BO354" s="1"/>
  <c r="BO366" s="1"/>
  <c r="BN222"/>
  <c r="BN234" s="1"/>
  <c r="BN246" s="1"/>
  <c r="BN258" s="1"/>
  <c r="BN270" s="1"/>
  <c r="BN282" s="1"/>
  <c r="BN294" s="1"/>
  <c r="BN306" s="1"/>
  <c r="BN318" s="1"/>
  <c r="BN330" s="1"/>
  <c r="BN342" s="1"/>
  <c r="BN354" s="1"/>
  <c r="BN366" s="1"/>
  <c r="D222"/>
  <c r="C222"/>
  <c r="B222"/>
  <c r="B234" s="1"/>
  <c r="B246" s="1"/>
  <c r="B258" s="1"/>
  <c r="B270" s="1"/>
  <c r="B282" s="1"/>
  <c r="B294" s="1"/>
  <c r="B306" s="1"/>
  <c r="B318" s="1"/>
  <c r="B330" s="1"/>
  <c r="B342" s="1"/>
  <c r="B354" s="1"/>
  <c r="B366" s="1"/>
  <c r="A222"/>
  <c r="A234" s="1"/>
  <c r="A246" s="1"/>
  <c r="A258" s="1"/>
  <c r="A270" s="1"/>
  <c r="A282" s="1"/>
  <c r="A294" s="1"/>
  <c r="A306" s="1"/>
  <c r="A318" s="1"/>
  <c r="A330" s="1"/>
  <c r="A342" s="1"/>
  <c r="A354" s="1"/>
  <c r="A366" s="1"/>
  <c r="BO221"/>
  <c r="BO233" s="1"/>
  <c r="BO245" s="1"/>
  <c r="BO257" s="1"/>
  <c r="BO269" s="1"/>
  <c r="BO281" s="1"/>
  <c r="BO293" s="1"/>
  <c r="BO305" s="1"/>
  <c r="BO317" s="1"/>
  <c r="BO329" s="1"/>
  <c r="BO341" s="1"/>
  <c r="BO353" s="1"/>
  <c r="BO365" s="1"/>
  <c r="BN221"/>
  <c r="BN233" s="1"/>
  <c r="BN245" s="1"/>
  <c r="BN257" s="1"/>
  <c r="BN269" s="1"/>
  <c r="BN281" s="1"/>
  <c r="BN293" s="1"/>
  <c r="BN305" s="1"/>
  <c r="BN317" s="1"/>
  <c r="BN329" s="1"/>
  <c r="BN341" s="1"/>
  <c r="BN353" s="1"/>
  <c r="BN365" s="1"/>
  <c r="D221"/>
  <c r="C221"/>
  <c r="B221"/>
  <c r="B233" s="1"/>
  <c r="B245" s="1"/>
  <c r="B257" s="1"/>
  <c r="B269" s="1"/>
  <c r="B281" s="1"/>
  <c r="B293" s="1"/>
  <c r="B305" s="1"/>
  <c r="B317" s="1"/>
  <c r="B329" s="1"/>
  <c r="B341" s="1"/>
  <c r="B353" s="1"/>
  <c r="B365" s="1"/>
  <c r="B377" s="1"/>
  <c r="A221"/>
  <c r="A233" s="1"/>
  <c r="A245" s="1"/>
  <c r="A257" s="1"/>
  <c r="A269" s="1"/>
  <c r="A281" s="1"/>
  <c r="A293" s="1"/>
  <c r="A305" s="1"/>
  <c r="A317" s="1"/>
  <c r="A329" s="1"/>
  <c r="A341" s="1"/>
  <c r="A353" s="1"/>
  <c r="A365" s="1"/>
  <c r="A377" s="1"/>
  <c r="D219"/>
  <c r="C219"/>
  <c r="D217"/>
  <c r="C217"/>
  <c r="D215"/>
  <c r="C215"/>
  <c r="C214"/>
  <c r="D213"/>
  <c r="C213" s="1"/>
  <c r="D211"/>
  <c r="C211" s="1"/>
  <c r="C210"/>
  <c r="D209"/>
  <c r="C209"/>
  <c r="C208"/>
  <c r="C207"/>
  <c r="C206"/>
  <c r="C205"/>
  <c r="C203"/>
  <c r="D201"/>
  <c r="C201"/>
  <c r="C200"/>
  <c r="D197"/>
  <c r="C197"/>
  <c r="C196"/>
  <c r="C195"/>
  <c r="C193"/>
  <c r="C191"/>
  <c r="C190"/>
  <c r="D189"/>
  <c r="C189"/>
  <c r="C185"/>
  <c r="C184"/>
  <c r="C183"/>
  <c r="C182"/>
  <c r="D181"/>
  <c r="C181"/>
  <c r="C180"/>
  <c r="C179"/>
  <c r="C178"/>
  <c r="D177"/>
  <c r="C177"/>
  <c r="C176"/>
  <c r="C175"/>
  <c r="D173"/>
  <c r="C173" s="1"/>
  <c r="C172"/>
  <c r="D171"/>
  <c r="C171"/>
  <c r="D167"/>
  <c r="C167"/>
  <c r="C166"/>
  <c r="C165"/>
  <c r="D163"/>
  <c r="C163"/>
  <c r="D161"/>
  <c r="C161"/>
  <c r="C160"/>
  <c r="D159"/>
  <c r="C159"/>
  <c r="D157"/>
  <c r="C157" s="1"/>
  <c r="D155"/>
  <c r="C155"/>
  <c r="D153"/>
  <c r="C153" s="1"/>
  <c r="D152"/>
  <c r="C152"/>
  <c r="D151"/>
  <c r="C151"/>
  <c r="D149"/>
  <c r="C149"/>
  <c r="C148"/>
  <c r="D147"/>
  <c r="C147"/>
  <c r="D145"/>
  <c r="C145"/>
  <c r="D144"/>
  <c r="C144" s="1"/>
  <c r="D143"/>
  <c r="C143"/>
  <c r="D141"/>
  <c r="C141"/>
  <c r="C140"/>
  <c r="D139"/>
  <c r="C139"/>
  <c r="D137"/>
  <c r="C137"/>
  <c r="D135"/>
  <c r="C135"/>
  <c r="D133"/>
  <c r="C133"/>
  <c r="C132"/>
  <c r="D131"/>
  <c r="C131"/>
  <c r="C130"/>
  <c r="D129"/>
  <c r="C129"/>
  <c r="D127"/>
  <c r="C127"/>
  <c r="D125"/>
  <c r="C125"/>
  <c r="D123"/>
  <c r="C123"/>
  <c r="D121"/>
  <c r="C121"/>
  <c r="D119"/>
  <c r="C119"/>
  <c r="C118"/>
  <c r="D117"/>
  <c r="C117"/>
  <c r="D116"/>
  <c r="C116" s="1"/>
  <c r="D115"/>
  <c r="C115"/>
  <c r="D113"/>
  <c r="C113"/>
  <c r="D111"/>
  <c r="C111"/>
  <c r="D110"/>
  <c r="C110" s="1"/>
  <c r="D109"/>
  <c r="C109"/>
  <c r="D107"/>
  <c r="C107"/>
  <c r="C106"/>
  <c r="D105"/>
  <c r="C105"/>
  <c r="C104"/>
  <c r="D103"/>
  <c r="C103"/>
  <c r="D101"/>
  <c r="C101"/>
  <c r="C100"/>
  <c r="D99"/>
  <c r="C99"/>
  <c r="D97"/>
  <c r="C97"/>
  <c r="D95"/>
  <c r="C95"/>
  <c r="D93"/>
  <c r="C93"/>
  <c r="C92"/>
  <c r="D91"/>
  <c r="C91"/>
  <c r="D89"/>
  <c r="C89"/>
  <c r="C88"/>
  <c r="D87"/>
  <c r="C87"/>
  <c r="D85"/>
  <c r="C85"/>
  <c r="D83"/>
  <c r="C83"/>
  <c r="D81"/>
  <c r="C81"/>
  <c r="D79"/>
  <c r="C79"/>
  <c r="D77"/>
  <c r="C77"/>
  <c r="C76"/>
  <c r="D75"/>
  <c r="C75"/>
  <c r="D73"/>
  <c r="C73"/>
  <c r="D72"/>
  <c r="C72" s="1"/>
  <c r="D71"/>
  <c r="C71"/>
  <c r="D69"/>
  <c r="C69"/>
  <c r="D67"/>
  <c r="C67"/>
  <c r="C66"/>
  <c r="D65"/>
  <c r="C65"/>
  <c r="D63"/>
  <c r="C63"/>
  <c r="C62"/>
  <c r="D61"/>
  <c r="C61"/>
  <c r="D59"/>
  <c r="C59"/>
  <c r="D57"/>
  <c r="C57"/>
  <c r="D55"/>
  <c r="C55"/>
  <c r="D53"/>
  <c r="C53"/>
  <c r="C52"/>
  <c r="D51"/>
  <c r="C51"/>
  <c r="D49"/>
  <c r="C49"/>
  <c r="D47"/>
  <c r="C47"/>
  <c r="D46"/>
  <c r="C46" s="1"/>
  <c r="D45"/>
  <c r="C45"/>
  <c r="D43"/>
  <c r="C43"/>
  <c r="D41"/>
  <c r="C41"/>
  <c r="D40"/>
  <c r="C40" s="1"/>
  <c r="D39"/>
  <c r="C39"/>
  <c r="D37"/>
  <c r="C37"/>
  <c r="D35"/>
  <c r="C35"/>
  <c r="D33"/>
  <c r="C33"/>
  <c r="AT17" i="6" l="1"/>
  <c r="AU18" s="1"/>
  <c r="AS21"/>
  <c r="AR8"/>
  <c r="H211" i="10"/>
  <c r="I211" s="1"/>
  <c r="O211" i="3"/>
  <c r="N223"/>
  <c r="AS25" i="7"/>
  <c r="AS17" i="6"/>
  <c r="AT16"/>
  <c r="AT41" s="1"/>
  <c r="AB318" i="7"/>
  <c r="AB322"/>
  <c r="AB324"/>
  <c r="AB326"/>
  <c r="AB319"/>
  <c r="AB323"/>
  <c r="AB325"/>
  <c r="AB328"/>
  <c r="AB317"/>
  <c r="N208" i="3"/>
  <c r="O203"/>
  <c r="J203" i="10" s="1"/>
  <c r="N215" i="3"/>
  <c r="H215" i="10" s="1"/>
  <c r="I215" s="1"/>
  <c r="AN17" i="6"/>
  <c r="AS14" i="7"/>
  <c r="AS9"/>
  <c r="BN276" i="8"/>
  <c r="BN288" s="1"/>
  <c r="BN300" s="1"/>
  <c r="BN312" s="1"/>
  <c r="BN324" s="1"/>
  <c r="BN336" s="1"/>
  <c r="BN348" s="1"/>
  <c r="BN360" s="1"/>
  <c r="AS31" i="7"/>
  <c r="AS28"/>
  <c r="AS22" i="6"/>
  <c r="BE127" i="2"/>
  <c r="BF115"/>
  <c r="BF121"/>
  <c r="BE133"/>
  <c r="BC83" i="1"/>
  <c r="BB95"/>
  <c r="BA125" i="2"/>
  <c r="BB113"/>
  <c r="BH113" s="1"/>
  <c r="BE134"/>
  <c r="BF122"/>
  <c r="BA229" i="3"/>
  <c r="BB217"/>
  <c r="BE149" i="2"/>
  <c r="BF149" s="1"/>
  <c r="BF137"/>
  <c r="BI137" s="1"/>
  <c r="AX211" i="3"/>
  <c r="AY199"/>
  <c r="BA243"/>
  <c r="BB231"/>
  <c r="BA135" i="2"/>
  <c r="BB123"/>
  <c r="BB94" i="1"/>
  <c r="BC82"/>
  <c r="BF103"/>
  <c r="BG91"/>
  <c r="BB91"/>
  <c r="BC79"/>
  <c r="BF101"/>
  <c r="BG89"/>
  <c r="BG74"/>
  <c r="BF86"/>
  <c r="BB90"/>
  <c r="BC78"/>
  <c r="BB89"/>
  <c r="BC77"/>
  <c r="BD187" i="3"/>
  <c r="BC187"/>
  <c r="BC74" i="1"/>
  <c r="BB86"/>
  <c r="BC86" s="1"/>
  <c r="BI86" s="1"/>
  <c r="L118" i="2"/>
  <c r="M106"/>
  <c r="O118"/>
  <c r="P106"/>
  <c r="O146"/>
  <c r="P134"/>
  <c r="O97" i="1"/>
  <c r="N109"/>
  <c r="O129" i="2"/>
  <c r="P117"/>
  <c r="J86" i="1"/>
  <c r="K74"/>
  <c r="J89"/>
  <c r="K77"/>
  <c r="Q77" s="1"/>
  <c r="L150" i="2"/>
  <c r="M138"/>
  <c r="O174"/>
  <c r="P162"/>
  <c r="N96" i="1"/>
  <c r="O96" s="1"/>
  <c r="O84"/>
  <c r="N138"/>
  <c r="O126"/>
  <c r="N95"/>
  <c r="O83"/>
  <c r="J95"/>
  <c r="K83"/>
  <c r="K80"/>
  <c r="J92"/>
  <c r="O79"/>
  <c r="N91"/>
  <c r="N103" s="1"/>
  <c r="N115" s="1"/>
  <c r="J102"/>
  <c r="K90"/>
  <c r="O106"/>
  <c r="N118"/>
  <c r="J94"/>
  <c r="K82"/>
  <c r="K79"/>
  <c r="J91"/>
  <c r="M110" i="2"/>
  <c r="L122"/>
  <c r="M123"/>
  <c r="L135"/>
  <c r="P139"/>
  <c r="R139" s="1"/>
  <c r="O151"/>
  <c r="P151" s="1"/>
  <c r="N254" i="3"/>
  <c r="H254" i="10" s="1"/>
  <c r="I254" s="1"/>
  <c r="O242" i="3"/>
  <c r="J242" i="10" s="1"/>
  <c r="J84" i="1"/>
  <c r="K72"/>
  <c r="Q94" i="2"/>
  <c r="AN10" i="6"/>
  <c r="AS10"/>
  <c r="AS12"/>
  <c r="AS14"/>
  <c r="AS11" i="7"/>
  <c r="AS15"/>
  <c r="Z17"/>
  <c r="Z18"/>
  <c r="Z19"/>
  <c r="AS29"/>
  <c r="AS32"/>
  <c r="Z199"/>
  <c r="Z201"/>
  <c r="Z203"/>
  <c r="Z205"/>
  <c r="Z209"/>
  <c r="Z217"/>
  <c r="Z219"/>
  <c r="Z221"/>
  <c r="Z223"/>
  <c r="Z225"/>
  <c r="Z227"/>
  <c r="Z229"/>
  <c r="Z231"/>
  <c r="Z233"/>
  <c r="Z235"/>
  <c r="Z237"/>
  <c r="Z239"/>
  <c r="Z243"/>
  <c r="Z245"/>
  <c r="Z251"/>
  <c r="Z255"/>
  <c r="Z257"/>
  <c r="Z267"/>
  <c r="Z269"/>
  <c r="Z270"/>
  <c r="Z271"/>
  <c r="Z272"/>
  <c r="Z273"/>
  <c r="AB273" s="1"/>
  <c r="Z276"/>
  <c r="Z277"/>
  <c r="Z278"/>
  <c r="AB278" s="1"/>
  <c r="Z279"/>
  <c r="Z280"/>
  <c r="Z281"/>
  <c r="Z282"/>
  <c r="Z284"/>
  <c r="AB296" s="1"/>
  <c r="Z290"/>
  <c r="Z300"/>
  <c r="Z301"/>
  <c r="Z308"/>
  <c r="Z309"/>
  <c r="Z315"/>
  <c r="AN12" i="6"/>
  <c r="AS18"/>
  <c r="AN19"/>
  <c r="AS19"/>
  <c r="AN23"/>
  <c r="AS10" i="7"/>
  <c r="AS16"/>
  <c r="AS17"/>
  <c r="AS18"/>
  <c r="AS20"/>
  <c r="Z23"/>
  <c r="Z24"/>
  <c r="Z26"/>
  <c r="AS26"/>
  <c r="Z30"/>
  <c r="Z31"/>
  <c r="Z34"/>
  <c r="Z36"/>
  <c r="Z38"/>
  <c r="Z40"/>
  <c r="Z42"/>
  <c r="Z44"/>
  <c r="Z46"/>
  <c r="Z48"/>
  <c r="Z50"/>
  <c r="Z52"/>
  <c r="Z54"/>
  <c r="Z56"/>
  <c r="Z58"/>
  <c r="Z60"/>
  <c r="Z62"/>
  <c r="Z64"/>
  <c r="Z66"/>
  <c r="Z68"/>
  <c r="Z70"/>
  <c r="Z72"/>
  <c r="Z74"/>
  <c r="Z76"/>
  <c r="Z78"/>
  <c r="Z80"/>
  <c r="Z82"/>
  <c r="Z84"/>
  <c r="Z86"/>
  <c r="Z88"/>
  <c r="Z90"/>
  <c r="Z92"/>
  <c r="Z94"/>
  <c r="Z96"/>
  <c r="Z98"/>
  <c r="Z100"/>
  <c r="Z102"/>
  <c r="Z104"/>
  <c r="Z106"/>
  <c r="Z108"/>
  <c r="Z110"/>
  <c r="Z112"/>
  <c r="Z114"/>
  <c r="Z116"/>
  <c r="Z118"/>
  <c r="Z120"/>
  <c r="Z122"/>
  <c r="Z124"/>
  <c r="Z126"/>
  <c r="Z128"/>
  <c r="Z130"/>
  <c r="Z132"/>
  <c r="Z134"/>
  <c r="Z136"/>
  <c r="Z138"/>
  <c r="Z140"/>
  <c r="Z142"/>
  <c r="Z144"/>
  <c r="Z146"/>
  <c r="Z148"/>
  <c r="Z150"/>
  <c r="Z152"/>
  <c r="Z154"/>
  <c r="Z156"/>
  <c r="Z158"/>
  <c r="Z160"/>
  <c r="Z162"/>
  <c r="Z164"/>
  <c r="Z166"/>
  <c r="Z168"/>
  <c r="Z170"/>
  <c r="Z172"/>
  <c r="Z174"/>
  <c r="Z178"/>
  <c r="Z180"/>
  <c r="Z182"/>
  <c r="Z184"/>
  <c r="Z186"/>
  <c r="Z190"/>
  <c r="Z192"/>
  <c r="Z194"/>
  <c r="Z196"/>
  <c r="Z242"/>
  <c r="Z248"/>
  <c r="Z250"/>
  <c r="Z252"/>
  <c r="Z254"/>
  <c r="Z256"/>
  <c r="Z258"/>
  <c r="Z260"/>
  <c r="Z262"/>
  <c r="Z264"/>
  <c r="Z302"/>
  <c r="Z303"/>
  <c r="Z304"/>
  <c r="AN13" i="6"/>
  <c r="AS15"/>
  <c r="AB297" i="7"/>
  <c r="AB298"/>
  <c r="AB305"/>
  <c r="AB306"/>
  <c r="AB307"/>
  <c r="AB286"/>
  <c r="AB287"/>
  <c r="AB295"/>
  <c r="AB299"/>
  <c r="AB310"/>
  <c r="AS13"/>
  <c r="Z22"/>
  <c r="AS24"/>
  <c r="Z175"/>
  <c r="Z176"/>
  <c r="Z177"/>
  <c r="Z188"/>
  <c r="Z189"/>
  <c r="Z193"/>
  <c r="Z207"/>
  <c r="Z208"/>
  <c r="Z211"/>
  <c r="Z212"/>
  <c r="Z213"/>
  <c r="Z214"/>
  <c r="Z215"/>
  <c r="Z216"/>
  <c r="AB311"/>
  <c r="AN9" i="6"/>
  <c r="AS13"/>
  <c r="AN16"/>
  <c r="AN20"/>
  <c r="AS20"/>
  <c r="AS19" i="7"/>
  <c r="AS21"/>
  <c r="AB275"/>
  <c r="AN11" i="6"/>
  <c r="AS11"/>
  <c r="AN14"/>
  <c r="AN15"/>
  <c r="AN21"/>
  <c r="AN22"/>
  <c r="J211" i="10" l="1"/>
  <c r="AB269" i="7"/>
  <c r="H223" i="10"/>
  <c r="I223" s="1"/>
  <c r="O223" i="3"/>
  <c r="N235"/>
  <c r="AU17" i="6"/>
  <c r="AU16"/>
  <c r="AT38"/>
  <c r="AB315" i="7"/>
  <c r="AB327"/>
  <c r="AB320"/>
  <c r="AB300"/>
  <c r="AB291"/>
  <c r="AB277"/>
  <c r="AB285"/>
  <c r="AB271"/>
  <c r="AB316"/>
  <c r="AB314"/>
  <c r="AB274"/>
  <c r="AB270"/>
  <c r="AB321"/>
  <c r="AB301"/>
  <c r="AB290"/>
  <c r="AB294"/>
  <c r="AB280"/>
  <c r="AB288"/>
  <c r="AM21"/>
  <c r="AO21" s="1"/>
  <c r="AM20"/>
  <c r="AO20" s="1"/>
  <c r="AM19"/>
  <c r="AO19" s="1"/>
  <c r="AM18"/>
  <c r="AO18" s="1"/>
  <c r="AM17"/>
  <c r="AO17" s="1"/>
  <c r="AM16"/>
  <c r="AO16" s="1"/>
  <c r="AM15"/>
  <c r="AO15" s="1"/>
  <c r="AM14"/>
  <c r="AO14" s="1"/>
  <c r="AM13"/>
  <c r="AO13" s="1"/>
  <c r="AM12"/>
  <c r="AO12" s="1"/>
  <c r="AM11"/>
  <c r="AO11" s="1"/>
  <c r="AM10"/>
  <c r="AO10" s="1"/>
  <c r="AM9"/>
  <c r="AO9" s="1"/>
  <c r="AM23"/>
  <c r="AM22"/>
  <c r="AO22" s="1"/>
  <c r="AM27"/>
  <c r="AO27" s="1"/>
  <c r="AM24"/>
  <c r="AO24" s="1"/>
  <c r="AM32"/>
  <c r="AO32" s="1"/>
  <c r="AM31"/>
  <c r="AO31" s="1"/>
  <c r="AB281"/>
  <c r="AM30"/>
  <c r="AO30" s="1"/>
  <c r="AM29"/>
  <c r="AO29" s="1"/>
  <c r="AM28"/>
  <c r="AO28" s="1"/>
  <c r="AM26"/>
  <c r="AO26" s="1"/>
  <c r="AM25"/>
  <c r="AO25" s="1"/>
  <c r="AM8"/>
  <c r="AO8" s="1"/>
  <c r="O208" i="3"/>
  <c r="H208" i="10"/>
  <c r="I208" s="1"/>
  <c r="N227" i="3"/>
  <c r="H227" i="10" s="1"/>
  <c r="I227" s="1"/>
  <c r="O215" i="3"/>
  <c r="J215" i="10" s="1"/>
  <c r="N220" i="3"/>
  <c r="H220" i="10" s="1"/>
  <c r="I220" s="1"/>
  <c r="AB313" i="7"/>
  <c r="AB293"/>
  <c r="AB283"/>
  <c r="AB312"/>
  <c r="AB289"/>
  <c r="AB284"/>
  <c r="AB308"/>
  <c r="AP26"/>
  <c r="AP9"/>
  <c r="AW9" s="1"/>
  <c r="AB282"/>
  <c r="AP8"/>
  <c r="AW8" s="1"/>
  <c r="AB292"/>
  <c r="AB279"/>
  <c r="AP29"/>
  <c r="AP25"/>
  <c r="AB309"/>
  <c r="AP32"/>
  <c r="AB304"/>
  <c r="AP18"/>
  <c r="AP10"/>
  <c r="AB302"/>
  <c r="AB276"/>
  <c r="AB272"/>
  <c r="AP14"/>
  <c r="AP12"/>
  <c r="AP28"/>
  <c r="AP20"/>
  <c r="AP16"/>
  <c r="AP27"/>
  <c r="AP19"/>
  <c r="AP17"/>
  <c r="AP15"/>
  <c r="AP13"/>
  <c r="AP11"/>
  <c r="AW11" s="1"/>
  <c r="AB303"/>
  <c r="AP31"/>
  <c r="BG86" i="1"/>
  <c r="BF98"/>
  <c r="BF113"/>
  <c r="BG101"/>
  <c r="BB103"/>
  <c r="BC91"/>
  <c r="BF115"/>
  <c r="BG115" s="1"/>
  <c r="BG103"/>
  <c r="BB106"/>
  <c r="BC94"/>
  <c r="BI94" s="1"/>
  <c r="BA147" i="2"/>
  <c r="BB135"/>
  <c r="BB243" i="3"/>
  <c r="BA255"/>
  <c r="AY211"/>
  <c r="AX223"/>
  <c r="BA241"/>
  <c r="BB229"/>
  <c r="BE146" i="2"/>
  <c r="BF134"/>
  <c r="BA137"/>
  <c r="BB137" s="1"/>
  <c r="BH137" s="1"/>
  <c r="BK137" s="1"/>
  <c r="BB125"/>
  <c r="BE139"/>
  <c r="BF127"/>
  <c r="BE187" i="3"/>
  <c r="BB101" i="1"/>
  <c r="BC89"/>
  <c r="BB102"/>
  <c r="BC90"/>
  <c r="BD199" i="3"/>
  <c r="BC199"/>
  <c r="BC95" i="1"/>
  <c r="BB107"/>
  <c r="BC107" s="1"/>
  <c r="BF133" i="2"/>
  <c r="BE145"/>
  <c r="J96" i="1"/>
  <c r="K84"/>
  <c r="N266" i="3"/>
  <c r="H266" i="10" s="1"/>
  <c r="I266" s="1"/>
  <c r="O254" i="3"/>
  <c r="J254" i="10" s="1"/>
  <c r="J106" i="1"/>
  <c r="K94"/>
  <c r="J114"/>
  <c r="K114" s="1"/>
  <c r="K102"/>
  <c r="J107"/>
  <c r="K95"/>
  <c r="N107"/>
  <c r="N119" s="1"/>
  <c r="O95"/>
  <c r="N150"/>
  <c r="O138"/>
  <c r="O186" i="2"/>
  <c r="P174"/>
  <c r="L162"/>
  <c r="M150"/>
  <c r="J101" i="1"/>
  <c r="K89"/>
  <c r="K86"/>
  <c r="J98"/>
  <c r="O141" i="2"/>
  <c r="P129"/>
  <c r="O158"/>
  <c r="O170" s="1"/>
  <c r="P170" s="1"/>
  <c r="P146"/>
  <c r="O130"/>
  <c r="P118"/>
  <c r="R118" s="1"/>
  <c r="L130"/>
  <c r="M130" s="1"/>
  <c r="M118"/>
  <c r="L147"/>
  <c r="M135"/>
  <c r="M122"/>
  <c r="Q122" s="1"/>
  <c r="S122" s="1"/>
  <c r="L134"/>
  <c r="K91" i="1"/>
  <c r="Q91" s="1"/>
  <c r="O91" s="1"/>
  <c r="J103"/>
  <c r="N130"/>
  <c r="O118"/>
  <c r="N127"/>
  <c r="O115"/>
  <c r="J104"/>
  <c r="K92"/>
  <c r="Q92" s="1"/>
  <c r="N121"/>
  <c r="O109"/>
  <c r="AP24" i="7"/>
  <c r="AP22"/>
  <c r="AP23"/>
  <c r="AP21"/>
  <c r="D31" i="8"/>
  <c r="C31"/>
  <c r="AQ18" i="7" l="1"/>
  <c r="AW20"/>
  <c r="AW18"/>
  <c r="AW25"/>
  <c r="AW29"/>
  <c r="AQ13"/>
  <c r="AW24"/>
  <c r="AW31"/>
  <c r="AQ16"/>
  <c r="AW14"/>
  <c r="AW26"/>
  <c r="N232" i="3"/>
  <c r="H232" i="10" s="1"/>
  <c r="I232" s="1"/>
  <c r="J223"/>
  <c r="AX9" i="7"/>
  <c r="H235" i="10"/>
  <c r="I235" s="1"/>
  <c r="N247" i="3"/>
  <c r="O235"/>
  <c r="J208" i="10"/>
  <c r="AQ9" i="7"/>
  <c r="N239" i="3"/>
  <c r="H239" i="10" s="1"/>
  <c r="I239" s="1"/>
  <c r="O227" i="3"/>
  <c r="J227" i="10" s="1"/>
  <c r="O220" i="3"/>
  <c r="J220" i="10" s="1"/>
  <c r="AW32" i="7"/>
  <c r="AX33" s="1"/>
  <c r="AQ33"/>
  <c r="AQ10"/>
  <c r="AQ27"/>
  <c r="AQ26"/>
  <c r="AQ19"/>
  <c r="AQ29"/>
  <c r="AW10"/>
  <c r="AX10" s="1"/>
  <c r="AW15"/>
  <c r="AQ20"/>
  <c r="AQ17"/>
  <c r="AQ32"/>
  <c r="AW16"/>
  <c r="AQ14"/>
  <c r="AQ28"/>
  <c r="AQ25"/>
  <c r="AQ12"/>
  <c r="AQ15"/>
  <c r="AW19"/>
  <c r="AQ11"/>
  <c r="AW13"/>
  <c r="AW27"/>
  <c r="BB114" i="1"/>
  <c r="BC102"/>
  <c r="BB113"/>
  <c r="BC101"/>
  <c r="BI101" s="1"/>
  <c r="AX235" i="3"/>
  <c r="AY223"/>
  <c r="BA267"/>
  <c r="BB255"/>
  <c r="BG98" i="1"/>
  <c r="BF110"/>
  <c r="BE157" i="2"/>
  <c r="BF145"/>
  <c r="BI145" s="1"/>
  <c r="BE151"/>
  <c r="BF139"/>
  <c r="BE158"/>
  <c r="BF146"/>
  <c r="BB241" i="3"/>
  <c r="BA253"/>
  <c r="BD211"/>
  <c r="BC211"/>
  <c r="BA159" i="2"/>
  <c r="BB147"/>
  <c r="BB118" i="1"/>
  <c r="BC106"/>
  <c r="BB115"/>
  <c r="BC103"/>
  <c r="BF125"/>
  <c r="BG113"/>
  <c r="BE199" i="3"/>
  <c r="J115" i="1"/>
  <c r="K103"/>
  <c r="L146" i="2"/>
  <c r="M134"/>
  <c r="O142"/>
  <c r="P142" s="1"/>
  <c r="P130"/>
  <c r="O153"/>
  <c r="P141"/>
  <c r="J113" i="1"/>
  <c r="K101"/>
  <c r="L174" i="2"/>
  <c r="M162"/>
  <c r="Q162" s="1"/>
  <c r="O198"/>
  <c r="P186"/>
  <c r="N244" i="3"/>
  <c r="H244" i="10" s="1"/>
  <c r="I244" s="1"/>
  <c r="O232" i="3"/>
  <c r="J232" i="10" s="1"/>
  <c r="N162" i="1"/>
  <c r="O150"/>
  <c r="N131"/>
  <c r="O119"/>
  <c r="J119"/>
  <c r="K107"/>
  <c r="Q107" s="1"/>
  <c r="O107" s="1"/>
  <c r="K106"/>
  <c r="J118"/>
  <c r="N278" i="3"/>
  <c r="H278" i="10" s="1"/>
  <c r="I278" s="1"/>
  <c r="O266" i="3"/>
  <c r="J266" i="10" s="1"/>
  <c r="K96" i="1"/>
  <c r="J108"/>
  <c r="N133"/>
  <c r="O121"/>
  <c r="J116"/>
  <c r="K104"/>
  <c r="Q104" s="1"/>
  <c r="N139"/>
  <c r="O127"/>
  <c r="N142"/>
  <c r="O130"/>
  <c r="L159" i="2"/>
  <c r="M147"/>
  <c r="K98" i="1"/>
  <c r="Q98" s="1"/>
  <c r="O98" s="1"/>
  <c r="J110"/>
  <c r="Q118" i="2"/>
  <c r="AQ21" i="7"/>
  <c r="AW21"/>
  <c r="AO23"/>
  <c r="AW23"/>
  <c r="AQ23"/>
  <c r="AW22"/>
  <c r="AQ22"/>
  <c r="AS27"/>
  <c r="AQ24"/>
  <c r="D29" i="8"/>
  <c r="C29"/>
  <c r="AX27" i="7" l="1"/>
  <c r="AX32"/>
  <c r="AX26"/>
  <c r="AX24"/>
  <c r="AX19"/>
  <c r="AX25"/>
  <c r="AX14"/>
  <c r="AX15"/>
  <c r="AX21"/>
  <c r="J235" i="10"/>
  <c r="H247"/>
  <c r="I247" s="1"/>
  <c r="N259" i="3"/>
  <c r="O247"/>
  <c r="O239"/>
  <c r="J239" i="10" s="1"/>
  <c r="N251" i="3"/>
  <c r="H251" i="10" s="1"/>
  <c r="I251" s="1"/>
  <c r="AX16" i="7"/>
  <c r="AX11"/>
  <c r="BE211" i="3"/>
  <c r="AX20" i="7"/>
  <c r="BB253" i="3"/>
  <c r="BA265"/>
  <c r="BG110" i="1"/>
  <c r="BF122"/>
  <c r="BD223" i="3"/>
  <c r="BC223"/>
  <c r="BF137" i="1"/>
  <c r="BG125"/>
  <c r="BB127"/>
  <c r="BC115"/>
  <c r="BI115" s="1"/>
  <c r="BB130"/>
  <c r="BC118"/>
  <c r="BA171" i="2"/>
  <c r="BB159"/>
  <c r="BE170"/>
  <c r="BF158"/>
  <c r="BF151"/>
  <c r="BE163"/>
  <c r="BE169"/>
  <c r="BF157"/>
  <c r="BI157" s="1"/>
  <c r="BA279" i="3"/>
  <c r="BB267"/>
  <c r="AX247"/>
  <c r="AY235"/>
  <c r="BB125" i="1"/>
  <c r="BC113"/>
  <c r="BI113" s="1"/>
  <c r="BB126"/>
  <c r="BC114"/>
  <c r="L171" i="2"/>
  <c r="M159"/>
  <c r="N154" i="1"/>
  <c r="O142"/>
  <c r="O139"/>
  <c r="N151"/>
  <c r="J128"/>
  <c r="K116"/>
  <c r="Q116" s="1"/>
  <c r="O133"/>
  <c r="R133" s="1"/>
  <c r="N145"/>
  <c r="N290" i="3"/>
  <c r="H290" i="10" s="1"/>
  <c r="I290" s="1"/>
  <c r="O278" i="3"/>
  <c r="J278" i="10" s="1"/>
  <c r="J131" i="1"/>
  <c r="K131" s="1"/>
  <c r="K119"/>
  <c r="N143"/>
  <c r="O131"/>
  <c r="N174"/>
  <c r="O162"/>
  <c r="N256" i="3"/>
  <c r="H256" i="10" s="1"/>
  <c r="I256" s="1"/>
  <c r="O244" i="3"/>
  <c r="J244" i="10" s="1"/>
  <c r="O210" i="2"/>
  <c r="P198"/>
  <c r="L186"/>
  <c r="M174"/>
  <c r="K113" i="1"/>
  <c r="J125"/>
  <c r="O165" i="2"/>
  <c r="P153"/>
  <c r="L158"/>
  <c r="M146"/>
  <c r="J127" i="1"/>
  <c r="K115"/>
  <c r="Q115" s="1"/>
  <c r="J122"/>
  <c r="K110"/>
  <c r="Q110" s="1"/>
  <c r="J120"/>
  <c r="K108"/>
  <c r="J130"/>
  <c r="K118"/>
  <c r="AS23" i="7"/>
  <c r="AX23"/>
  <c r="AS22"/>
  <c r="AX22"/>
  <c r="D28" i="8"/>
  <c r="C28"/>
  <c r="D27"/>
  <c r="C27"/>
  <c r="AM26"/>
  <c r="D26"/>
  <c r="C26"/>
  <c r="AR25"/>
  <c r="AM25"/>
  <c r="D25"/>
  <c r="C25"/>
  <c r="D24"/>
  <c r="C24"/>
  <c r="J247" i="10" l="1"/>
  <c r="H259"/>
  <c r="I259" s="1"/>
  <c r="N271" i="3"/>
  <c r="O259"/>
  <c r="N263"/>
  <c r="H263" i="10" s="1"/>
  <c r="I263" s="1"/>
  <c r="O251" i="3"/>
  <c r="J251" i="10" s="1"/>
  <c r="BD235" i="3"/>
  <c r="BC235"/>
  <c r="BG122" i="1"/>
  <c r="BJ122" s="1"/>
  <c r="BF134"/>
  <c r="BF146" s="1"/>
  <c r="BF158" s="1"/>
  <c r="BA277" i="3"/>
  <c r="BB265"/>
  <c r="BB138" i="1"/>
  <c r="BC126"/>
  <c r="BB137"/>
  <c r="BC125"/>
  <c r="AX259" i="3"/>
  <c r="AY247"/>
  <c r="BA291"/>
  <c r="BB279"/>
  <c r="BE181" i="2"/>
  <c r="BF169"/>
  <c r="BE182"/>
  <c r="BF170"/>
  <c r="BA183"/>
  <c r="BB171"/>
  <c r="BB142" i="1"/>
  <c r="BC130"/>
  <c r="BB139"/>
  <c r="BC127"/>
  <c r="BI127" s="1"/>
  <c r="BF149"/>
  <c r="BG137"/>
  <c r="BE175" i="2"/>
  <c r="BF163"/>
  <c r="J142" i="1"/>
  <c r="K130"/>
  <c r="J132"/>
  <c r="K120"/>
  <c r="J134"/>
  <c r="K122"/>
  <c r="J139"/>
  <c r="K127"/>
  <c r="L170" i="2"/>
  <c r="M158"/>
  <c r="Q158" s="1"/>
  <c r="P158" s="1"/>
  <c r="O177"/>
  <c r="P165"/>
  <c r="L198"/>
  <c r="M198" s="1"/>
  <c r="M186"/>
  <c r="O222"/>
  <c r="P210"/>
  <c r="N268" i="3"/>
  <c r="H268" i="10" s="1"/>
  <c r="I268" s="1"/>
  <c r="O256" i="3"/>
  <c r="J256" i="10" s="1"/>
  <c r="N186" i="1"/>
  <c r="O174"/>
  <c r="O143"/>
  <c r="N155"/>
  <c r="N302" i="3"/>
  <c r="H302" i="10" s="1"/>
  <c r="I302" s="1"/>
  <c r="O290" i="3"/>
  <c r="J290" i="10" s="1"/>
  <c r="J140" i="1"/>
  <c r="K140" s="1"/>
  <c r="K128"/>
  <c r="N166"/>
  <c r="O154"/>
  <c r="L183" i="2"/>
  <c r="M171"/>
  <c r="J137" i="1"/>
  <c r="K125"/>
  <c r="O145"/>
  <c r="R145" s="1"/>
  <c r="N157"/>
  <c r="N163"/>
  <c r="O151"/>
  <c r="D23" i="8"/>
  <c r="C23"/>
  <c r="D22"/>
  <c r="C22"/>
  <c r="D21"/>
  <c r="C21"/>
  <c r="D20"/>
  <c r="C20"/>
  <c r="D19"/>
  <c r="C19"/>
  <c r="D18"/>
  <c r="C18"/>
  <c r="J259" i="10" l="1"/>
  <c r="H271"/>
  <c r="I271" s="1"/>
  <c r="N283" i="3"/>
  <c r="O271"/>
  <c r="O263"/>
  <c r="J263" i="10" s="1"/>
  <c r="N275" i="3"/>
  <c r="H275" i="10" s="1"/>
  <c r="I275" s="1"/>
  <c r="BE235" i="3"/>
  <c r="BE187" i="2"/>
  <c r="BF175"/>
  <c r="BC247" i="3"/>
  <c r="BD247"/>
  <c r="BF170" i="1"/>
  <c r="BG158"/>
  <c r="BF161"/>
  <c r="BG149"/>
  <c r="BB151"/>
  <c r="BC139"/>
  <c r="BB154"/>
  <c r="BC142"/>
  <c r="BI142" s="1"/>
  <c r="BA195" i="2"/>
  <c r="BB183"/>
  <c r="BE194"/>
  <c r="BF182"/>
  <c r="BE193"/>
  <c r="BE205" s="1"/>
  <c r="BE217" s="1"/>
  <c r="BE229" s="1"/>
  <c r="BF181"/>
  <c r="BI181" s="1"/>
  <c r="BA303" i="3"/>
  <c r="BB291"/>
  <c r="AY259"/>
  <c r="AX271"/>
  <c r="BB149" i="1"/>
  <c r="BC137"/>
  <c r="BB150"/>
  <c r="BC138"/>
  <c r="BA289" i="3"/>
  <c r="BB277"/>
  <c r="N169" i="1"/>
  <c r="O157"/>
  <c r="R157" s="1"/>
  <c r="L195" i="2"/>
  <c r="M183"/>
  <c r="N178" i="1"/>
  <c r="O166"/>
  <c r="O302" i="3"/>
  <c r="J302" i="10" s="1"/>
  <c r="N314" i="3"/>
  <c r="H314" i="10" s="1"/>
  <c r="I314" s="1"/>
  <c r="N198" i="1"/>
  <c r="O186"/>
  <c r="N280" i="3"/>
  <c r="H280" i="10" s="1"/>
  <c r="I280" s="1"/>
  <c r="O268" i="3"/>
  <c r="J268" i="10" s="1"/>
  <c r="O234" i="2"/>
  <c r="P222"/>
  <c r="O189"/>
  <c r="P177"/>
  <c r="L182"/>
  <c r="M170"/>
  <c r="K139" i="1"/>
  <c r="J151"/>
  <c r="J146"/>
  <c r="K134"/>
  <c r="J144"/>
  <c r="K132"/>
  <c r="J154"/>
  <c r="K142"/>
  <c r="Q142" s="1"/>
  <c r="N175"/>
  <c r="O163"/>
  <c r="J149"/>
  <c r="K149" s="1"/>
  <c r="K137"/>
  <c r="N167"/>
  <c r="O155"/>
  <c r="D17" i="8"/>
  <c r="AR8" s="1"/>
  <c r="C17"/>
  <c r="AM8" s="1"/>
  <c r="CL7"/>
  <c r="J271" i="10" l="1"/>
  <c r="H283"/>
  <c r="I283" s="1"/>
  <c r="N295" i="3"/>
  <c r="O283"/>
  <c r="N287"/>
  <c r="H287" i="10" s="1"/>
  <c r="I287" s="1"/>
  <c r="O275" i="3"/>
  <c r="J275" i="10" s="1"/>
  <c r="N326" i="3"/>
  <c r="BA301"/>
  <c r="BB289"/>
  <c r="BB162" i="1"/>
  <c r="BC150"/>
  <c r="BB161"/>
  <c r="BC161" s="1"/>
  <c r="BC149"/>
  <c r="BD259" i="3"/>
  <c r="BC259"/>
  <c r="BB303"/>
  <c r="BA315"/>
  <c r="BA327" s="1"/>
  <c r="BE241" i="2"/>
  <c r="BF229"/>
  <c r="BE206"/>
  <c r="BF194"/>
  <c r="BA207"/>
  <c r="BB195"/>
  <c r="BB166" i="1"/>
  <c r="BC154"/>
  <c r="BB163"/>
  <c r="BC151"/>
  <c r="BF173"/>
  <c r="BG161"/>
  <c r="BG170"/>
  <c r="BF182"/>
  <c r="BE199" i="2"/>
  <c r="BF187"/>
  <c r="BE247" i="3"/>
  <c r="AX283"/>
  <c r="AY271"/>
  <c r="N179" i="1"/>
  <c r="O167"/>
  <c r="N187"/>
  <c r="O175"/>
  <c r="J166"/>
  <c r="K154"/>
  <c r="Q154" s="1"/>
  <c r="J156"/>
  <c r="K144"/>
  <c r="J158"/>
  <c r="K146"/>
  <c r="L194" i="2"/>
  <c r="M194" s="1"/>
  <c r="M182"/>
  <c r="P189"/>
  <c r="O201"/>
  <c r="P234"/>
  <c r="O246"/>
  <c r="N292" i="3"/>
  <c r="H292" i="10" s="1"/>
  <c r="I292" s="1"/>
  <c r="O280" i="3"/>
  <c r="J280" i="10" s="1"/>
  <c r="N210" i="1"/>
  <c r="O198"/>
  <c r="N190"/>
  <c r="O178"/>
  <c r="L207" i="2"/>
  <c r="M195"/>
  <c r="N181" i="1"/>
  <c r="O169"/>
  <c r="J163"/>
  <c r="K151"/>
  <c r="J283" i="10" l="1"/>
  <c r="H295"/>
  <c r="I295" s="1"/>
  <c r="N307" i="3"/>
  <c r="O295"/>
  <c r="O326"/>
  <c r="H326" i="10"/>
  <c r="I326" s="1"/>
  <c r="N338" i="3"/>
  <c r="O338" s="1"/>
  <c r="N299"/>
  <c r="H299" i="10" s="1"/>
  <c r="I299" s="1"/>
  <c r="O287" i="3"/>
  <c r="J287" i="10" s="1"/>
  <c r="BB327" i="3"/>
  <c r="BF327" s="1"/>
  <c r="BA339"/>
  <c r="BD271"/>
  <c r="BC271"/>
  <c r="BE211" i="2"/>
  <c r="BF199"/>
  <c r="BF185" i="1"/>
  <c r="BG173"/>
  <c r="BB175"/>
  <c r="BC163"/>
  <c r="BB178"/>
  <c r="BC166"/>
  <c r="BI166" s="1"/>
  <c r="BA219" i="2"/>
  <c r="BB207"/>
  <c r="BE218"/>
  <c r="BF206"/>
  <c r="BE253"/>
  <c r="BF241"/>
  <c r="BB174" i="1"/>
  <c r="BC162"/>
  <c r="BB301" i="3"/>
  <c r="BA313"/>
  <c r="BA325" s="1"/>
  <c r="AX295"/>
  <c r="AY283"/>
  <c r="BG182" i="1"/>
  <c r="BF194"/>
  <c r="J175"/>
  <c r="K163"/>
  <c r="N193"/>
  <c r="O193" s="1"/>
  <c r="O181"/>
  <c r="M207" i="2"/>
  <c r="L219"/>
  <c r="O190" i="1"/>
  <c r="N202"/>
  <c r="N222"/>
  <c r="O210"/>
  <c r="N304" i="3"/>
  <c r="H304" i="10" s="1"/>
  <c r="I304" s="1"/>
  <c r="O292" i="3"/>
  <c r="J292" i="10" s="1"/>
  <c r="J170" i="1"/>
  <c r="K158"/>
  <c r="J168"/>
  <c r="K156"/>
  <c r="J178"/>
  <c r="K166"/>
  <c r="Q166" s="1"/>
  <c r="N199"/>
  <c r="O187"/>
  <c r="N191"/>
  <c r="O179"/>
  <c r="O258" i="2"/>
  <c r="P246"/>
  <c r="P201"/>
  <c r="O213"/>
  <c r="J295" i="10" l="1"/>
  <c r="H307"/>
  <c r="I307" s="1"/>
  <c r="N319" i="3"/>
  <c r="S338"/>
  <c r="N350"/>
  <c r="H338" i="10"/>
  <c r="I338" s="1"/>
  <c r="J338" s="1"/>
  <c r="S326" i="3"/>
  <c r="J326" i="10"/>
  <c r="BB339" i="3"/>
  <c r="BF339" s="1"/>
  <c r="BA351"/>
  <c r="O299"/>
  <c r="J299" i="10" s="1"/>
  <c r="N311" i="3"/>
  <c r="H311" i="10" s="1"/>
  <c r="I311" s="1"/>
  <c r="BB325" i="3"/>
  <c r="BF325" s="1"/>
  <c r="BA337"/>
  <c r="AX307"/>
  <c r="AY295"/>
  <c r="BB186" i="1"/>
  <c r="BC174"/>
  <c r="BE265" i="2"/>
  <c r="BF253"/>
  <c r="BF218"/>
  <c r="BE230"/>
  <c r="BA231"/>
  <c r="BB219"/>
  <c r="BB190" i="1"/>
  <c r="BC178"/>
  <c r="BB187"/>
  <c r="BC175"/>
  <c r="BI175" s="1"/>
  <c r="BF197"/>
  <c r="BG185"/>
  <c r="BE223" i="2"/>
  <c r="BF211"/>
  <c r="BG194" i="1"/>
  <c r="BF206"/>
  <c r="BC283" i="3"/>
  <c r="BD283"/>
  <c r="BE271"/>
  <c r="O270" i="2"/>
  <c r="P258"/>
  <c r="N203" i="1"/>
  <c r="O191"/>
  <c r="N211"/>
  <c r="O199"/>
  <c r="J190"/>
  <c r="K178"/>
  <c r="J180"/>
  <c r="K168"/>
  <c r="Q168" s="1"/>
  <c r="J182"/>
  <c r="K170"/>
  <c r="O304" i="3"/>
  <c r="J304" i="10" s="1"/>
  <c r="N316" i="3"/>
  <c r="H316" i="10" s="1"/>
  <c r="I316" s="1"/>
  <c r="N234" i="1"/>
  <c r="O222"/>
  <c r="J187"/>
  <c r="K175"/>
  <c r="O225" i="2"/>
  <c r="P213"/>
  <c r="N214" i="1"/>
  <c r="O202"/>
  <c r="M219" i="2"/>
  <c r="L231"/>
  <c r="O319" i="3" l="1"/>
  <c r="S319" s="1"/>
  <c r="H319" i="10"/>
  <c r="I319" s="1"/>
  <c r="J319" s="1"/>
  <c r="N331" i="3"/>
  <c r="N362"/>
  <c r="BB351"/>
  <c r="BF351" s="1"/>
  <c r="BA363"/>
  <c r="O350"/>
  <c r="H350" i="10"/>
  <c r="I350" s="1"/>
  <c r="N323" i="3"/>
  <c r="H323" i="10" s="1"/>
  <c r="I323" s="1"/>
  <c r="BB337" i="3"/>
  <c r="BF337" s="1"/>
  <c r="BA349"/>
  <c r="N328"/>
  <c r="AY307"/>
  <c r="BC307" s="1"/>
  <c r="AX319"/>
  <c r="BE235" i="2"/>
  <c r="BF223"/>
  <c r="BF209" i="1"/>
  <c r="BG197"/>
  <c r="BB199"/>
  <c r="BC187"/>
  <c r="BB202"/>
  <c r="BC190"/>
  <c r="BA243" i="2"/>
  <c r="BB231"/>
  <c r="BE277"/>
  <c r="BF265"/>
  <c r="BB198" i="1"/>
  <c r="BC186"/>
  <c r="BD307" i="3"/>
  <c r="BF218" i="1"/>
  <c r="BG206"/>
  <c r="BE242" i="2"/>
  <c r="BF230"/>
  <c r="BC295" i="3"/>
  <c r="BD295"/>
  <c r="N226" i="1"/>
  <c r="O214"/>
  <c r="O237" i="2"/>
  <c r="P225"/>
  <c r="J199" i="1"/>
  <c r="K187"/>
  <c r="N246"/>
  <c r="O234"/>
  <c r="K182"/>
  <c r="J194"/>
  <c r="J192"/>
  <c r="K192" s="1"/>
  <c r="K180"/>
  <c r="K190"/>
  <c r="J202"/>
  <c r="N223"/>
  <c r="O211"/>
  <c r="N215"/>
  <c r="O203"/>
  <c r="O282" i="2"/>
  <c r="P270"/>
  <c r="L243"/>
  <c r="M231"/>
  <c r="BB363" i="3" l="1"/>
  <c r="BF363" s="1"/>
  <c r="BA375"/>
  <c r="BB375" s="1"/>
  <c r="BF375" s="1"/>
  <c r="H362" i="10"/>
  <c r="I362" s="1"/>
  <c r="J362" s="1"/>
  <c r="N374" i="3"/>
  <c r="O374" s="1"/>
  <c r="S374" s="1"/>
  <c r="H331" i="10"/>
  <c r="I331" s="1"/>
  <c r="J331" s="1"/>
  <c r="N343" i="3"/>
  <c r="O331"/>
  <c r="S331" s="1"/>
  <c r="O362"/>
  <c r="S362" s="1"/>
  <c r="BB349"/>
  <c r="BF349" s="1"/>
  <c r="BA361"/>
  <c r="S350"/>
  <c r="J350" i="10"/>
  <c r="N340" i="3"/>
  <c r="O340" s="1"/>
  <c r="H328" i="10"/>
  <c r="I328" s="1"/>
  <c r="O328" i="3"/>
  <c r="N335"/>
  <c r="H335" i="10" s="1"/>
  <c r="I335" s="1"/>
  <c r="O323" i="3"/>
  <c r="AY319"/>
  <c r="BC319" s="1"/>
  <c r="AX331"/>
  <c r="BE254" i="2"/>
  <c r="BF242"/>
  <c r="BF230" i="1"/>
  <c r="BG218"/>
  <c r="BB210"/>
  <c r="BC198"/>
  <c r="BF277" i="2"/>
  <c r="BE289"/>
  <c r="BB243"/>
  <c r="BA255"/>
  <c r="BB214" i="1"/>
  <c r="BC202"/>
  <c r="BB211"/>
  <c r="BC199"/>
  <c r="BF221"/>
  <c r="BG209"/>
  <c r="BF235" i="2"/>
  <c r="BE247"/>
  <c r="L255"/>
  <c r="M243"/>
  <c r="O294"/>
  <c r="P282"/>
  <c r="N227" i="1"/>
  <c r="O215"/>
  <c r="N235"/>
  <c r="O223"/>
  <c r="N258"/>
  <c r="O246"/>
  <c r="J211"/>
  <c r="K199"/>
  <c r="O249" i="2"/>
  <c r="P237"/>
  <c r="N238" i="1"/>
  <c r="O226"/>
  <c r="J214"/>
  <c r="K202"/>
  <c r="K194"/>
  <c r="J206"/>
  <c r="BD319" i="3" l="1"/>
  <c r="BB361"/>
  <c r="BF361" s="1"/>
  <c r="BA373"/>
  <c r="BB373" s="1"/>
  <c r="BF373" s="1"/>
  <c r="O343"/>
  <c r="S343" s="1"/>
  <c r="N355"/>
  <c r="H343" i="10"/>
  <c r="I343" s="1"/>
  <c r="J343" s="1"/>
  <c r="S323" i="3"/>
  <c r="J323" i="10"/>
  <c r="S328" i="3"/>
  <c r="J328" i="10"/>
  <c r="S340" i="3"/>
  <c r="N352"/>
  <c r="H340" i="10"/>
  <c r="I340" s="1"/>
  <c r="J340" s="1"/>
  <c r="N347" i="3"/>
  <c r="O335"/>
  <c r="AY331"/>
  <c r="BC331" s="1"/>
  <c r="AX343"/>
  <c r="BE319"/>
  <c r="BF233" i="1"/>
  <c r="BG221"/>
  <c r="BB223"/>
  <c r="BC211"/>
  <c r="BB226"/>
  <c r="BC214"/>
  <c r="BB222"/>
  <c r="BC210"/>
  <c r="BF242"/>
  <c r="BG230"/>
  <c r="BE266" i="2"/>
  <c r="BF254"/>
  <c r="BE259"/>
  <c r="BF247"/>
  <c r="BA267"/>
  <c r="BB255"/>
  <c r="BE301"/>
  <c r="BF289"/>
  <c r="J226" i="1"/>
  <c r="K214"/>
  <c r="N250"/>
  <c r="O238"/>
  <c r="O261" i="2"/>
  <c r="P249"/>
  <c r="J223" i="1"/>
  <c r="K211"/>
  <c r="N270"/>
  <c r="O258"/>
  <c r="N247"/>
  <c r="O235"/>
  <c r="N239"/>
  <c r="O227"/>
  <c r="O306" i="2"/>
  <c r="O318" s="1"/>
  <c r="P294"/>
  <c r="L267"/>
  <c r="M255"/>
  <c r="J218" i="1"/>
  <c r="K206"/>
  <c r="N367" i="3" l="1"/>
  <c r="O355"/>
  <c r="S355" s="1"/>
  <c r="H355" i="10"/>
  <c r="I355" s="1"/>
  <c r="J355" s="1"/>
  <c r="N359" i="3"/>
  <c r="N364"/>
  <c r="O364" s="1"/>
  <c r="S364" s="1"/>
  <c r="BD331"/>
  <c r="BE331" s="1"/>
  <c r="AY343"/>
  <c r="BC343" s="1"/>
  <c r="AX355"/>
  <c r="O347"/>
  <c r="H347" i="10"/>
  <c r="I347" s="1"/>
  <c r="O352" i="3"/>
  <c r="H352" i="10"/>
  <c r="I352" s="1"/>
  <c r="S335" i="3"/>
  <c r="J335" i="10"/>
  <c r="P318" i="2"/>
  <c r="R318" s="1"/>
  <c r="O330"/>
  <c r="BE313"/>
  <c r="BE325" s="1"/>
  <c r="BF301"/>
  <c r="BA279"/>
  <c r="BB267"/>
  <c r="BE271"/>
  <c r="BF259"/>
  <c r="BE278"/>
  <c r="BF266"/>
  <c r="BF254" i="1"/>
  <c r="BG242"/>
  <c r="BB234"/>
  <c r="BC222"/>
  <c r="BB238"/>
  <c r="BC226"/>
  <c r="BB235"/>
  <c r="BC223"/>
  <c r="BF245"/>
  <c r="BG233"/>
  <c r="J230"/>
  <c r="K218"/>
  <c r="M267" i="2"/>
  <c r="L279"/>
  <c r="N251" i="1"/>
  <c r="O239"/>
  <c r="N259"/>
  <c r="O247"/>
  <c r="N282"/>
  <c r="O270"/>
  <c r="J235"/>
  <c r="K223"/>
  <c r="O273" i="2"/>
  <c r="P261"/>
  <c r="N262" i="1"/>
  <c r="O250"/>
  <c r="J238"/>
  <c r="K226"/>
  <c r="BD343" i="3" l="1"/>
  <c r="BE343" s="1"/>
  <c r="O367"/>
  <c r="S367" s="1"/>
  <c r="H367" i="10"/>
  <c r="I367" s="1"/>
  <c r="J367" s="1"/>
  <c r="O359" i="3"/>
  <c r="S359" s="1"/>
  <c r="N371"/>
  <c r="H359" i="10"/>
  <c r="I359" s="1"/>
  <c r="J359" s="1"/>
  <c r="AY355" i="3"/>
  <c r="BD355" s="1"/>
  <c r="AX367"/>
  <c r="AY367" s="1"/>
  <c r="H364" i="10"/>
  <c r="I364" s="1"/>
  <c r="J364" s="1"/>
  <c r="S352" i="3"/>
  <c r="J352" i="10"/>
  <c r="S347" i="3"/>
  <c r="J347" i="10"/>
  <c r="P330" i="2"/>
  <c r="R330" s="1"/>
  <c r="O342"/>
  <c r="BF325"/>
  <c r="BI325" s="1"/>
  <c r="BE337"/>
  <c r="BF257" i="1"/>
  <c r="BG245"/>
  <c r="BB247"/>
  <c r="BC235"/>
  <c r="BB250"/>
  <c r="BC238"/>
  <c r="BB246"/>
  <c r="BC234"/>
  <c r="BF266"/>
  <c r="BG254"/>
  <c r="BE290" i="2"/>
  <c r="BF278"/>
  <c r="BE283"/>
  <c r="BF271"/>
  <c r="BA291"/>
  <c r="BB279"/>
  <c r="J250" i="1"/>
  <c r="K250" s="1"/>
  <c r="K238"/>
  <c r="N274"/>
  <c r="O262"/>
  <c r="O285" i="2"/>
  <c r="P273"/>
  <c r="J247" i="1"/>
  <c r="K235"/>
  <c r="O282"/>
  <c r="N294"/>
  <c r="N271"/>
  <c r="O259"/>
  <c r="N263"/>
  <c r="O251"/>
  <c r="J242"/>
  <c r="K230"/>
  <c r="M279" i="2"/>
  <c r="L291"/>
  <c r="O371" i="3" l="1"/>
  <c r="S371" s="1"/>
  <c r="H371" i="10"/>
  <c r="I371" s="1"/>
  <c r="J371" s="1"/>
  <c r="BC355" i="3"/>
  <c r="BE355" s="1"/>
  <c r="BD367"/>
  <c r="BC367"/>
  <c r="P342" i="2"/>
  <c r="R342" s="1"/>
  <c r="O354"/>
  <c r="BF337"/>
  <c r="BI337" s="1"/>
  <c r="BE349"/>
  <c r="BA303"/>
  <c r="BB291"/>
  <c r="BF283"/>
  <c r="BE295"/>
  <c r="BF290"/>
  <c r="BE302"/>
  <c r="BF278" i="1"/>
  <c r="BG266"/>
  <c r="BB258"/>
  <c r="BC246"/>
  <c r="BB262"/>
  <c r="BC250"/>
  <c r="BB259"/>
  <c r="BC247"/>
  <c r="BF269"/>
  <c r="BG257"/>
  <c r="M291" i="2"/>
  <c r="L303"/>
  <c r="J254" i="1"/>
  <c r="K242"/>
  <c r="N275"/>
  <c r="O263"/>
  <c r="N283"/>
  <c r="O271"/>
  <c r="J259"/>
  <c r="K247"/>
  <c r="O297" i="2"/>
  <c r="P285"/>
  <c r="N286" i="1"/>
  <c r="O274"/>
  <c r="N306"/>
  <c r="N318" s="1"/>
  <c r="O294"/>
  <c r="BE367" i="3" l="1"/>
  <c r="P354" i="2"/>
  <c r="R354" s="1"/>
  <c r="O366"/>
  <c r="P366" s="1"/>
  <c r="R366" s="1"/>
  <c r="BF349"/>
  <c r="BI349" s="1"/>
  <c r="BE361"/>
  <c r="O318" i="1"/>
  <c r="R318" s="1"/>
  <c r="N330"/>
  <c r="BE314" i="2"/>
  <c r="BE326" s="1"/>
  <c r="BF302"/>
  <c r="BE307"/>
  <c r="BE319" s="1"/>
  <c r="BF295"/>
  <c r="BF281" i="1"/>
  <c r="BG269"/>
  <c r="BB271"/>
  <c r="BC259"/>
  <c r="BB274"/>
  <c r="BC262"/>
  <c r="BB270"/>
  <c r="BC258"/>
  <c r="BF290"/>
  <c r="BG278"/>
  <c r="BA315" i="2"/>
  <c r="BB303"/>
  <c r="O286" i="1"/>
  <c r="N298"/>
  <c r="O309" i="2"/>
  <c r="O321" s="1"/>
  <c r="P297"/>
  <c r="J271" i="1"/>
  <c r="K259"/>
  <c r="O283"/>
  <c r="N295"/>
  <c r="N287"/>
  <c r="O275"/>
  <c r="J266"/>
  <c r="K254"/>
  <c r="L315" i="2"/>
  <c r="M303"/>
  <c r="BF361" l="1"/>
  <c r="BI361" s="1"/>
  <c r="BE373"/>
  <c r="BF373" s="1"/>
  <c r="BI373" s="1"/>
  <c r="O330" i="1"/>
  <c r="N342"/>
  <c r="BF326" i="2"/>
  <c r="BI326" s="1"/>
  <c r="BE338"/>
  <c r="P321"/>
  <c r="R321" s="1"/>
  <c r="O333"/>
  <c r="BF319"/>
  <c r="BI319" s="1"/>
  <c r="BE331"/>
  <c r="M315"/>
  <c r="L327"/>
  <c r="L339" s="1"/>
  <c r="L351" s="1"/>
  <c r="BB315"/>
  <c r="BA327"/>
  <c r="BH303"/>
  <c r="BF302" i="1"/>
  <c r="BG290"/>
  <c r="BB282"/>
  <c r="BC270"/>
  <c r="BB286"/>
  <c r="BC274"/>
  <c r="BB283"/>
  <c r="BC271"/>
  <c r="BF293"/>
  <c r="BG281"/>
  <c r="J278"/>
  <c r="K266"/>
  <c r="O287"/>
  <c r="N299"/>
  <c r="J283"/>
  <c r="K271"/>
  <c r="N307"/>
  <c r="N319" s="1"/>
  <c r="O295"/>
  <c r="N310"/>
  <c r="N322" s="1"/>
  <c r="O298"/>
  <c r="M351" i="2" l="1"/>
  <c r="L363"/>
  <c r="O342" i="1"/>
  <c r="N354"/>
  <c r="BF338" i="2"/>
  <c r="BI338" s="1"/>
  <c r="BE350"/>
  <c r="P333"/>
  <c r="R333" s="1"/>
  <c r="O345"/>
  <c r="BF331"/>
  <c r="BI331" s="1"/>
  <c r="BE343"/>
  <c r="BB327"/>
  <c r="BH327" s="1"/>
  <c r="BA339"/>
  <c r="M327"/>
  <c r="Q327" s="1"/>
  <c r="M339"/>
  <c r="O322" i="1"/>
  <c r="R322" s="1"/>
  <c r="N334"/>
  <c r="O319"/>
  <c r="R319" s="1"/>
  <c r="N331"/>
  <c r="BF305"/>
  <c r="BF317" s="1"/>
  <c r="BG293"/>
  <c r="BB295"/>
  <c r="BC283"/>
  <c r="BB298"/>
  <c r="BC286"/>
  <c r="BB294"/>
  <c r="BC282"/>
  <c r="BF314"/>
  <c r="BF326" s="1"/>
  <c r="BG302"/>
  <c r="K283"/>
  <c r="J295"/>
  <c r="J290"/>
  <c r="K278"/>
  <c r="N311"/>
  <c r="N323" s="1"/>
  <c r="O299"/>
  <c r="M363" i="2" l="1"/>
  <c r="L375"/>
  <c r="M375" s="1"/>
  <c r="Q375" s="1"/>
  <c r="O354" i="1"/>
  <c r="N366"/>
  <c r="O366" s="1"/>
  <c r="R366" s="1"/>
  <c r="Q351" i="2"/>
  <c r="Q339"/>
  <c r="Q363"/>
  <c r="BF350"/>
  <c r="BI350" s="1"/>
  <c r="BE362"/>
  <c r="P345"/>
  <c r="R345" s="1"/>
  <c r="O357"/>
  <c r="BF343"/>
  <c r="BI343" s="1"/>
  <c r="BE355"/>
  <c r="BB339"/>
  <c r="BH339" s="1"/>
  <c r="BA351"/>
  <c r="O334" i="1"/>
  <c r="N346"/>
  <c r="O331"/>
  <c r="N343"/>
  <c r="BG326"/>
  <c r="BJ326" s="1"/>
  <c r="BF338"/>
  <c r="O323"/>
  <c r="R323" s="1"/>
  <c r="N335"/>
  <c r="BG317"/>
  <c r="BJ317" s="1"/>
  <c r="BF329"/>
  <c r="BB306"/>
  <c r="BC294"/>
  <c r="BB310"/>
  <c r="BC298"/>
  <c r="BB307"/>
  <c r="BC295"/>
  <c r="J307"/>
  <c r="K295"/>
  <c r="J302"/>
  <c r="K290"/>
  <c r="BF362" i="2" l="1"/>
  <c r="BI362" s="1"/>
  <c r="BE374"/>
  <c r="BF374" s="1"/>
  <c r="BI374" s="1"/>
  <c r="P357"/>
  <c r="R357" s="1"/>
  <c r="O369"/>
  <c r="P369" s="1"/>
  <c r="R369" s="1"/>
  <c r="BF355"/>
  <c r="BI355" s="1"/>
  <c r="BE367"/>
  <c r="BF367" s="1"/>
  <c r="BI367" s="1"/>
  <c r="BB351"/>
  <c r="BH351" s="1"/>
  <c r="BA363"/>
  <c r="O346" i="1"/>
  <c r="R346" s="1"/>
  <c r="N358"/>
  <c r="O343"/>
  <c r="R343" s="1"/>
  <c r="N355"/>
  <c r="BG338"/>
  <c r="BF350"/>
  <c r="O335"/>
  <c r="N347"/>
  <c r="BG329"/>
  <c r="BF341"/>
  <c r="BC310"/>
  <c r="BB322"/>
  <c r="K307"/>
  <c r="J319"/>
  <c r="BC307"/>
  <c r="BB319"/>
  <c r="BC306"/>
  <c r="BB318"/>
  <c r="J314"/>
  <c r="K302"/>
  <c r="BB363" i="2" l="1"/>
  <c r="BH363" s="1"/>
  <c r="BA375"/>
  <c r="BB375" s="1"/>
  <c r="BH375" s="1"/>
  <c r="O358" i="1"/>
  <c r="N370"/>
  <c r="O370" s="1"/>
  <c r="R370" s="1"/>
  <c r="O355"/>
  <c r="N367"/>
  <c r="O367" s="1"/>
  <c r="R367" s="1"/>
  <c r="BG350"/>
  <c r="BJ350" s="1"/>
  <c r="BF362"/>
  <c r="O347"/>
  <c r="R347" s="1"/>
  <c r="N359"/>
  <c r="BG341"/>
  <c r="BF353"/>
  <c r="BC322"/>
  <c r="BI322" s="1"/>
  <c r="BB334"/>
  <c r="BC319"/>
  <c r="BI319" s="1"/>
  <c r="BB331"/>
  <c r="K319"/>
  <c r="Q319" s="1"/>
  <c r="S319" s="1"/>
  <c r="J331"/>
  <c r="BC318"/>
  <c r="BI318" s="1"/>
  <c r="BB330"/>
  <c r="K314"/>
  <c r="Q314" s="1"/>
  <c r="J326"/>
  <c r="R294"/>
  <c r="R295"/>
  <c r="Q295"/>
  <c r="R298"/>
  <c r="R299"/>
  <c r="Q302"/>
  <c r="D293" i="8"/>
  <c r="D294"/>
  <c r="D295"/>
  <c r="D296"/>
  <c r="D297"/>
  <c r="D298"/>
  <c r="D299"/>
  <c r="D300"/>
  <c r="D301"/>
  <c r="D302"/>
  <c r="D303"/>
  <c r="D304"/>
  <c r="D281"/>
  <c r="D282"/>
  <c r="D286"/>
  <c r="D287"/>
  <c r="D288"/>
  <c r="D289"/>
  <c r="D290"/>
  <c r="D291"/>
  <c r="D292"/>
  <c r="D210"/>
  <c r="D212"/>
  <c r="D214"/>
  <c r="D216"/>
  <c r="D218"/>
  <c r="D220"/>
  <c r="D233"/>
  <c r="D234"/>
  <c r="D235"/>
  <c r="D237"/>
  <c r="D238"/>
  <c r="D239"/>
  <c r="D241"/>
  <c r="D242"/>
  <c r="D243"/>
  <c r="C212"/>
  <c r="C216"/>
  <c r="C218"/>
  <c r="C220"/>
  <c r="C245"/>
  <c r="C246"/>
  <c r="C249"/>
  <c r="C250"/>
  <c r="C251"/>
  <c r="C253"/>
  <c r="C254"/>
  <c r="C255"/>
  <c r="C256"/>
  <c r="D245"/>
  <c r="D246"/>
  <c r="D247"/>
  <c r="D248"/>
  <c r="D249"/>
  <c r="D250"/>
  <c r="D251"/>
  <c r="D253"/>
  <c r="D254"/>
  <c r="D255"/>
  <c r="D256"/>
  <c r="C257"/>
  <c r="C261"/>
  <c r="C262"/>
  <c r="C263"/>
  <c r="C265"/>
  <c r="C268"/>
  <c r="D257"/>
  <c r="D259"/>
  <c r="D260"/>
  <c r="D261"/>
  <c r="D262"/>
  <c r="D263"/>
  <c r="D264"/>
  <c r="D265"/>
  <c r="D267"/>
  <c r="D268"/>
  <c r="AN26"/>
  <c r="C271"/>
  <c r="C273"/>
  <c r="C274"/>
  <c r="C275"/>
  <c r="C277"/>
  <c r="C278"/>
  <c r="D269"/>
  <c r="D270"/>
  <c r="D271"/>
  <c r="D272"/>
  <c r="D273"/>
  <c r="D274"/>
  <c r="D275"/>
  <c r="D276"/>
  <c r="D277"/>
  <c r="D278"/>
  <c r="D279"/>
  <c r="D280"/>
  <c r="C294"/>
  <c r="C295"/>
  <c r="C298"/>
  <c r="C300"/>
  <c r="C301"/>
  <c r="C302"/>
  <c r="C303"/>
  <c r="C304"/>
  <c r="C282"/>
  <c r="C286"/>
  <c r="C287"/>
  <c r="C288"/>
  <c r="C289"/>
  <c r="C290"/>
  <c r="Q307" i="1"/>
  <c r="Z313" i="4"/>
  <c r="AA325" s="1"/>
  <c r="Z315"/>
  <c r="D305" i="8"/>
  <c r="D306"/>
  <c r="D307"/>
  <c r="D311"/>
  <c r="D313" i="6"/>
  <c r="D313" i="8" s="1"/>
  <c r="D314"/>
  <c r="D315"/>
  <c r="C305"/>
  <c r="C307"/>
  <c r="C311"/>
  <c r="C313"/>
  <c r="AW17" i="7"/>
  <c r="AX18" s="1"/>
  <c r="AW28"/>
  <c r="AX29" s="1"/>
  <c r="AP30"/>
  <c r="AS24" i="6"/>
  <c r="BJ293" i="1"/>
  <c r="BI294"/>
  <c r="BI295"/>
  <c r="BI298"/>
  <c r="BJ302"/>
  <c r="BI306"/>
  <c r="BI307"/>
  <c r="BI310"/>
  <c r="AW12" i="7"/>
  <c r="AX13" s="1"/>
  <c r="AS12"/>
  <c r="AS30"/>
  <c r="AN18" i="6"/>
  <c r="AS25"/>
  <c r="AS23"/>
  <c r="AS28"/>
  <c r="AN24"/>
  <c r="AN26"/>
  <c r="AS29"/>
  <c r="AS27"/>
  <c r="AS25" i="1"/>
  <c r="AS29"/>
  <c r="AN28" i="6"/>
  <c r="AS28" i="1"/>
  <c r="AS31" i="6"/>
  <c r="AN32"/>
  <c r="AS32" i="1"/>
  <c r="R210"/>
  <c r="R211"/>
  <c r="Q211"/>
  <c r="R214"/>
  <c r="Q214"/>
  <c r="R215"/>
  <c r="Q218"/>
  <c r="AR25" i="2"/>
  <c r="O311" i="1"/>
  <c r="R311" s="1"/>
  <c r="O310"/>
  <c r="R310" s="1"/>
  <c r="BG305"/>
  <c r="BJ305" s="1"/>
  <c r="AR29" i="2"/>
  <c r="O307" i="1"/>
  <c r="R307" s="1"/>
  <c r="BG314"/>
  <c r="BJ314" s="1"/>
  <c r="O306"/>
  <c r="R306" s="1"/>
  <c r="AE306"/>
  <c r="AE307"/>
  <c r="AE309"/>
  <c r="AE310"/>
  <c r="AE314"/>
  <c r="AE315"/>
  <c r="AD211" i="2"/>
  <c r="AE223" s="1"/>
  <c r="AD217"/>
  <c r="AD218"/>
  <c r="AE230" s="1"/>
  <c r="AD219"/>
  <c r="AD221"/>
  <c r="AE221" s="1"/>
  <c r="AD233"/>
  <c r="AD210"/>
  <c r="R210"/>
  <c r="AD212"/>
  <c r="AD213"/>
  <c r="R213"/>
  <c r="AD214"/>
  <c r="AE214" s="1"/>
  <c r="AD215"/>
  <c r="AD216"/>
  <c r="Q219"/>
  <c r="AD220"/>
  <c r="AE232" s="1"/>
  <c r="AD222"/>
  <c r="AE234" s="1"/>
  <c r="AD224"/>
  <c r="AD225"/>
  <c r="AD226"/>
  <c r="AD227"/>
  <c r="AD228"/>
  <c r="AD229"/>
  <c r="AD231"/>
  <c r="AD236"/>
  <c r="AD235"/>
  <c r="AE235" s="1"/>
  <c r="AD237"/>
  <c r="AE237" s="1"/>
  <c r="AD242"/>
  <c r="AE254" s="1"/>
  <c r="AD244"/>
  <c r="AE256" s="1"/>
  <c r="AD245"/>
  <c r="AE257" s="1"/>
  <c r="AD248"/>
  <c r="AD249"/>
  <c r="AD252"/>
  <c r="AD240"/>
  <c r="AD238"/>
  <c r="AD239"/>
  <c r="AD241"/>
  <c r="AE253" s="1"/>
  <c r="AD243"/>
  <c r="AD246"/>
  <c r="AE246" s="1"/>
  <c r="AD247"/>
  <c r="AD250"/>
  <c r="AD251"/>
  <c r="AD255"/>
  <c r="AD258"/>
  <c r="AD259"/>
  <c r="AD260"/>
  <c r="AD261"/>
  <c r="AD264"/>
  <c r="AD262"/>
  <c r="AE262" s="1"/>
  <c r="AD263"/>
  <c r="AE263" s="1"/>
  <c r="AD268"/>
  <c r="AE280" s="1"/>
  <c r="AD269"/>
  <c r="AE281" s="1"/>
  <c r="AD270"/>
  <c r="AD273"/>
  <c r="AE285" s="1"/>
  <c r="AD274"/>
  <c r="AE286" s="1"/>
  <c r="AD276"/>
  <c r="AE276" s="1"/>
  <c r="AD284"/>
  <c r="AE296" s="1"/>
  <c r="AD272"/>
  <c r="AE272" s="1"/>
  <c r="AD275"/>
  <c r="AE287" s="1"/>
  <c r="AD288"/>
  <c r="AE288" s="1"/>
  <c r="AD290"/>
  <c r="AE302" s="1"/>
  <c r="AD278"/>
  <c r="AD294"/>
  <c r="AD282"/>
  <c r="AD300"/>
  <c r="AE303"/>
  <c r="AE305"/>
  <c r="AD265"/>
  <c r="AE277" s="1"/>
  <c r="AD266"/>
  <c r="AE266" s="1"/>
  <c r="AD267"/>
  <c r="AE279" s="1"/>
  <c r="AD271"/>
  <c r="AE283" s="1"/>
  <c r="AD295"/>
  <c r="AE295" s="1"/>
  <c r="AC304"/>
  <c r="AD304" s="1"/>
  <c r="AE304" s="1"/>
  <c r="AD306"/>
  <c r="AD307"/>
  <c r="AE319" s="1"/>
  <c r="AC308"/>
  <c r="AD309"/>
  <c r="AD310"/>
  <c r="AC311"/>
  <c r="AD311" s="1"/>
  <c r="AD314"/>
  <c r="CA65" i="3"/>
  <c r="CC65" s="1"/>
  <c r="N9"/>
  <c r="P9" s="1"/>
  <c r="M10"/>
  <c r="M11" s="1"/>
  <c r="AP29"/>
  <c r="AC312" i="2"/>
  <c r="AD313"/>
  <c r="L11" i="3"/>
  <c r="AD315" i="2"/>
  <c r="L10" i="3"/>
  <c r="CB25"/>
  <c r="CC55" s="1"/>
  <c r="AM32"/>
  <c r="AD316" i="2"/>
  <c r="AE328" s="1"/>
  <c r="CB26" i="3"/>
  <c r="CC56" s="1"/>
  <c r="CB27"/>
  <c r="CB28"/>
  <c r="CB29"/>
  <c r="CB30"/>
  <c r="CB31"/>
  <c r="CC61" s="1"/>
  <c r="AJ32"/>
  <c r="S220"/>
  <c r="AI311"/>
  <c r="AI310"/>
  <c r="CW307"/>
  <c r="AI303"/>
  <c r="AI312"/>
  <c r="AK324" s="1"/>
  <c r="CW308"/>
  <c r="AI301"/>
  <c r="AI302"/>
  <c r="AI305"/>
  <c r="AI304"/>
  <c r="AI307"/>
  <c r="AI309"/>
  <c r="AQ31" i="7" l="1"/>
  <c r="BG362" i="1"/>
  <c r="BF374"/>
  <c r="BG374" s="1"/>
  <c r="BJ374" s="1"/>
  <c r="AE248" i="2"/>
  <c r="AE243"/>
  <c r="N10" i="3"/>
  <c r="P10" s="1"/>
  <c r="AE247" i="2"/>
  <c r="AE250"/>
  <c r="O359" i="1"/>
  <c r="N371"/>
  <c r="O371" s="1"/>
  <c r="R371" s="1"/>
  <c r="AE251" i="2"/>
  <c r="AA313" i="4"/>
  <c r="AS33"/>
  <c r="BG353" i="1"/>
  <c r="BF365"/>
  <c r="BG365" s="1"/>
  <c r="BJ365" s="1"/>
  <c r="Z319"/>
  <c r="BC334"/>
  <c r="BB346"/>
  <c r="K331"/>
  <c r="DA331" s="1"/>
  <c r="DG331" s="1"/>
  <c r="J343"/>
  <c r="BC331"/>
  <c r="BB343"/>
  <c r="BC330"/>
  <c r="BB342"/>
  <c r="AK328" i="3"/>
  <c r="AK327"/>
  <c r="AK326"/>
  <c r="K326" i="1"/>
  <c r="Q326" s="1"/>
  <c r="J338"/>
  <c r="AK325" i="3"/>
  <c r="AK323"/>
  <c r="AK322"/>
  <c r="AK321"/>
  <c r="AN32"/>
  <c r="AN33"/>
  <c r="AS32" i="4"/>
  <c r="AE315" i="2"/>
  <c r="AE327"/>
  <c r="AA315" i="4"/>
  <c r="AA327"/>
  <c r="AE314" i="2"/>
  <c r="AE326"/>
  <c r="AE313"/>
  <c r="AE325"/>
  <c r="AR32" i="6"/>
  <c r="AE311" i="2"/>
  <c r="AE323"/>
  <c r="AE275"/>
  <c r="AE229"/>
  <c r="AE225"/>
  <c r="AE224"/>
  <c r="AE310"/>
  <c r="AE322"/>
  <c r="AE300"/>
  <c r="AE270"/>
  <c r="AE261"/>
  <c r="AE238"/>
  <c r="AE236"/>
  <c r="AE227"/>
  <c r="AE309"/>
  <c r="AE321"/>
  <c r="AK314" i="3"/>
  <c r="AK312"/>
  <c r="AK311"/>
  <c r="AK309"/>
  <c r="AK316"/>
  <c r="AK313"/>
  <c r="AK315"/>
  <c r="AK310"/>
  <c r="AE278" i="2"/>
  <c r="AK319" i="3"/>
  <c r="AQ30" i="7"/>
  <c r="CC30" i="3"/>
  <c r="AE233" i="2"/>
  <c r="CC60" i="3"/>
  <c r="CC59"/>
  <c r="CC58"/>
  <c r="CC31"/>
  <c r="CC26"/>
  <c r="CC25"/>
  <c r="AE282" i="2"/>
  <c r="AE264"/>
  <c r="AE260"/>
  <c r="AE239"/>
  <c r="AE231"/>
  <c r="AE228"/>
  <c r="AE226"/>
  <c r="AM29" i="8"/>
  <c r="AM32"/>
  <c r="AN33" s="1"/>
  <c r="AR27"/>
  <c r="CA67" i="3" s="1"/>
  <c r="CC67" s="1"/>
  <c r="AE307" i="2"/>
  <c r="AE258"/>
  <c r="AX17" i="7"/>
  <c r="AO32" i="3"/>
  <c r="CB32"/>
  <c r="CC33" s="1"/>
  <c r="CC29"/>
  <c r="CC28"/>
  <c r="CC57"/>
  <c r="AR31" i="8"/>
  <c r="CA71" i="3" s="1"/>
  <c r="CC71" s="1"/>
  <c r="AE274" i="2"/>
  <c r="AE252"/>
  <c r="AE249"/>
  <c r="AE306"/>
  <c r="AE318"/>
  <c r="AE259"/>
  <c r="AE255"/>
  <c r="S214" i="1"/>
  <c r="S211"/>
  <c r="AE268" i="2"/>
  <c r="AE240"/>
  <c r="AE244"/>
  <c r="AX12" i="7"/>
  <c r="AM31" i="8"/>
  <c r="AN32" s="1"/>
  <c r="AR29"/>
  <c r="CA69" i="3" s="1"/>
  <c r="AR28" i="8"/>
  <c r="CA68" i="3" s="1"/>
  <c r="S295" i="1"/>
  <c r="AW30" i="7"/>
  <c r="AX28"/>
  <c r="AE316" i="2"/>
  <c r="N11" i="3"/>
  <c r="P11" s="1"/>
  <c r="AE267" i="2"/>
  <c r="AE294"/>
  <c r="AE290"/>
  <c r="AE273"/>
  <c r="AE269"/>
  <c r="S307" i="1"/>
  <c r="AE241" i="2"/>
  <c r="AE242"/>
  <c r="AE222"/>
  <c r="AD312"/>
  <c r="AD308"/>
  <c r="AE271"/>
  <c r="AE265"/>
  <c r="AR32" i="8"/>
  <c r="AM30"/>
  <c r="AM24"/>
  <c r="AN25" s="1"/>
  <c r="AR24"/>
  <c r="AE284" i="2"/>
  <c r="AE245"/>
  <c r="AM28" i="8"/>
  <c r="AN29" s="1"/>
  <c r="AM27"/>
  <c r="AN27" s="1"/>
  <c r="AR26"/>
  <c r="AR30"/>
  <c r="CC27" i="3"/>
  <c r="R9" l="1"/>
  <c r="R11" s="1"/>
  <c r="W319" i="1"/>
  <c r="Z319" i="9"/>
  <c r="AA319" s="1"/>
  <c r="AA319" i="1"/>
  <c r="Z211"/>
  <c r="Z214"/>
  <c r="Z214" i="9" s="1"/>
  <c r="AA214" s="1"/>
  <c r="AG319" i="1"/>
  <c r="AF319" s="1"/>
  <c r="Z307"/>
  <c r="Z295"/>
  <c r="BC346"/>
  <c r="BI346" s="1"/>
  <c r="BB358"/>
  <c r="BC343"/>
  <c r="BI343" s="1"/>
  <c r="BB355"/>
  <c r="K343"/>
  <c r="J355"/>
  <c r="BC342"/>
  <c r="BB354"/>
  <c r="K338"/>
  <c r="J350"/>
  <c r="AS33" i="8"/>
  <c r="CA72" i="3"/>
  <c r="AP32"/>
  <c r="AP33"/>
  <c r="AS32" i="6"/>
  <c r="AS33"/>
  <c r="AE312" i="2"/>
  <c r="AE324"/>
  <c r="AS32" i="8"/>
  <c r="AN30"/>
  <c r="AE308" i="2"/>
  <c r="AE320"/>
  <c r="AN31" i="8"/>
  <c r="AS28"/>
  <c r="CC32" i="3"/>
  <c r="AX30" i="7"/>
  <c r="AX31"/>
  <c r="AS29" i="8"/>
  <c r="AS27"/>
  <c r="CA66" i="3"/>
  <c r="AS26" i="8"/>
  <c r="AS25"/>
  <c r="CA64" i="3"/>
  <c r="AN28" i="8"/>
  <c r="CA70" i="3"/>
  <c r="AS31" i="8"/>
  <c r="AS30"/>
  <c r="CC69" i="3"/>
  <c r="CB69"/>
  <c r="CC68"/>
  <c r="CD68" s="1"/>
  <c r="CB68"/>
  <c r="AG214" i="1" l="1"/>
  <c r="AF214" s="1"/>
  <c r="Z295" i="9"/>
  <c r="AA295" s="1"/>
  <c r="BC358" i="1"/>
  <c r="BB370"/>
  <c r="BC370" s="1"/>
  <c r="BI370" s="1"/>
  <c r="K355"/>
  <c r="DA355" s="1"/>
  <c r="DG355" s="1"/>
  <c r="J367"/>
  <c r="K367" s="1"/>
  <c r="Q367" s="1"/>
  <c r="S367" s="1"/>
  <c r="BC355"/>
  <c r="BB367"/>
  <c r="BC367" s="1"/>
  <c r="BI367" s="1"/>
  <c r="BC354"/>
  <c r="BB366"/>
  <c r="BC366" s="1"/>
  <c r="BI366" s="1"/>
  <c r="W295"/>
  <c r="Z211" i="9"/>
  <c r="AA211" s="1"/>
  <c r="Z307"/>
  <c r="Y319" s="1"/>
  <c r="AA214" i="1"/>
  <c r="AG307"/>
  <c r="AF307" s="1"/>
  <c r="W214"/>
  <c r="AA211"/>
  <c r="AG211"/>
  <c r="AF211" s="1"/>
  <c r="W211"/>
  <c r="AH307"/>
  <c r="AG295"/>
  <c r="AF295" s="1"/>
  <c r="AA295"/>
  <c r="Q343"/>
  <c r="S343" s="1"/>
  <c r="Z343" s="1"/>
  <c r="DA343"/>
  <c r="DG343" s="1"/>
  <c r="AA307"/>
  <c r="W307"/>
  <c r="AH319"/>
  <c r="K350"/>
  <c r="J362"/>
  <c r="CB72" i="3"/>
  <c r="CC72"/>
  <c r="CB73"/>
  <c r="CB70"/>
  <c r="CC70"/>
  <c r="CB71"/>
  <c r="CC64"/>
  <c r="CD65" s="1"/>
  <c r="CB65"/>
  <c r="CC66"/>
  <c r="CB66"/>
  <c r="CB67"/>
  <c r="CD69"/>
  <c r="K362" i="1" l="1"/>
  <c r="J374"/>
  <c r="K374" s="1"/>
  <c r="Q374" s="1"/>
  <c r="Y307" i="9"/>
  <c r="AA307"/>
  <c r="X307" i="1"/>
  <c r="AG343"/>
  <c r="AF343" s="1"/>
  <c r="W343"/>
  <c r="X319"/>
  <c r="Q350"/>
  <c r="Z343" i="9"/>
  <c r="AA343" s="1"/>
  <c r="AA343" i="1"/>
  <c r="CD72" i="3"/>
  <c r="CD73"/>
  <c r="CD67"/>
  <c r="CD66"/>
  <c r="CD71"/>
  <c r="CD70"/>
  <c r="AD156" i="2" l="1"/>
  <c r="AD144"/>
  <c r="AD128"/>
  <c r="AD116"/>
  <c r="AD112"/>
  <c r="AD100"/>
  <c r="AD103"/>
  <c r="AD91"/>
  <c r="AD88"/>
  <c r="AD54"/>
  <c r="AD42"/>
  <c r="AD35"/>
  <c r="AD122"/>
  <c r="AD110"/>
  <c r="AD93"/>
  <c r="AD81"/>
  <c r="AD79"/>
  <c r="AD67"/>
  <c r="AD40"/>
  <c r="AE52" s="1"/>
  <c r="AD30"/>
  <c r="AD165"/>
  <c r="AD153"/>
  <c r="AD133"/>
  <c r="AD121"/>
  <c r="AD114"/>
  <c r="AD102"/>
  <c r="AD164"/>
  <c r="AD152"/>
  <c r="AD138"/>
  <c r="AD126"/>
  <c r="AD129"/>
  <c r="AD117"/>
  <c r="AD104"/>
  <c r="AE110"/>
  <c r="AD101"/>
  <c r="AD89"/>
  <c r="AE88"/>
  <c r="AD58"/>
  <c r="AD46"/>
  <c r="AE46" s="1"/>
  <c r="AD44"/>
  <c r="AD32"/>
  <c r="AD36"/>
  <c r="AD141"/>
  <c r="AE141" s="1"/>
  <c r="AD48"/>
  <c r="AD37"/>
  <c r="AE37" s="1"/>
  <c r="AD43"/>
  <c r="AD31"/>
  <c r="AD45"/>
  <c r="AE45" s="1"/>
  <c r="AD50"/>
  <c r="AE50" s="1"/>
  <c r="AD51"/>
  <c r="AD39"/>
  <c r="AD53"/>
  <c r="AD41"/>
  <c r="AD56"/>
  <c r="AE68" s="1"/>
  <c r="AD57"/>
  <c r="AD59"/>
  <c r="AD47"/>
  <c r="AD62"/>
  <c r="AD63"/>
  <c r="AD65"/>
  <c r="AE65" s="1"/>
  <c r="AD55"/>
  <c r="AD70"/>
  <c r="AD71"/>
  <c r="AD72"/>
  <c r="AE72" s="1"/>
  <c r="AD73"/>
  <c r="AE85" s="1"/>
  <c r="AD61"/>
  <c r="AD78"/>
  <c r="AD66"/>
  <c r="AD83"/>
  <c r="AD92"/>
  <c r="AE104" s="1"/>
  <c r="AD80"/>
  <c r="AE80" s="1"/>
  <c r="AD95"/>
  <c r="AE107" s="1"/>
  <c r="AD99"/>
  <c r="AD87"/>
  <c r="AD105"/>
  <c r="AD109"/>
  <c r="AD97"/>
  <c r="AE97" s="1"/>
  <c r="AD118"/>
  <c r="AD106"/>
  <c r="AD119"/>
  <c r="AE119" s="1"/>
  <c r="AD123"/>
  <c r="AD111"/>
  <c r="AD125"/>
  <c r="AD113"/>
  <c r="AD130"/>
  <c r="AD132"/>
  <c r="AD120"/>
  <c r="AD134"/>
  <c r="AE134" s="1"/>
  <c r="AD137"/>
  <c r="AD139"/>
  <c r="AD127"/>
  <c r="AD140"/>
  <c r="AD142"/>
  <c r="AE154" s="1"/>
  <c r="AD145"/>
  <c r="AD146"/>
  <c r="AD148"/>
  <c r="AE148" s="1"/>
  <c r="AD150"/>
  <c r="AD163"/>
  <c r="AD151"/>
  <c r="AD166"/>
  <c r="AE166" s="1"/>
  <c r="AD182"/>
  <c r="AE194" s="1"/>
  <c r="AD170"/>
  <c r="AD183"/>
  <c r="AD171"/>
  <c r="AD178"/>
  <c r="AD29"/>
  <c r="AD49"/>
  <c r="AD64"/>
  <c r="AE76" s="1"/>
  <c r="AD69"/>
  <c r="AD74"/>
  <c r="AE74" s="1"/>
  <c r="AD75"/>
  <c r="AE75" s="1"/>
  <c r="AD77"/>
  <c r="AE77" s="1"/>
  <c r="AD82"/>
  <c r="AD84"/>
  <c r="AD86"/>
  <c r="AE98" s="1"/>
  <c r="AD90"/>
  <c r="AD94"/>
  <c r="AD96"/>
  <c r="AD108"/>
  <c r="AD115"/>
  <c r="AD124"/>
  <c r="AE136" s="1"/>
  <c r="AD131"/>
  <c r="AE143" s="1"/>
  <c r="AD135"/>
  <c r="AD147"/>
  <c r="AD149"/>
  <c r="AE161" s="1"/>
  <c r="AD155"/>
  <c r="AE167" s="1"/>
  <c r="AD157"/>
  <c r="AD158"/>
  <c r="AD159"/>
  <c r="AD160"/>
  <c r="AD168"/>
  <c r="AD162"/>
  <c r="AD169"/>
  <c r="AE181" s="1"/>
  <c r="AD180"/>
  <c r="AD184"/>
  <c r="AD172"/>
  <c r="AD188"/>
  <c r="AD176"/>
  <c r="AD173"/>
  <c r="AE173" s="1"/>
  <c r="AD175"/>
  <c r="AD177"/>
  <c r="AD179"/>
  <c r="AE179" s="1"/>
  <c r="AD185"/>
  <c r="AD204"/>
  <c r="AE216" s="1"/>
  <c r="AD192"/>
  <c r="AD187"/>
  <c r="AD190"/>
  <c r="AE202" s="1"/>
  <c r="AD191"/>
  <c r="AD197"/>
  <c r="AE209" s="1"/>
  <c r="AD200"/>
  <c r="AE212" s="1"/>
  <c r="AD201"/>
  <c r="AE213" s="1"/>
  <c r="AD189"/>
  <c r="AD205"/>
  <c r="AE217" s="1"/>
  <c r="AD193"/>
  <c r="AE193" s="1"/>
  <c r="AD208"/>
  <c r="AE220" s="1"/>
  <c r="AD196"/>
  <c r="AD195"/>
  <c r="AD198"/>
  <c r="AE210" s="1"/>
  <c r="AD199"/>
  <c r="AE211" s="1"/>
  <c r="AD203"/>
  <c r="AE215" s="1"/>
  <c r="AD206"/>
  <c r="AE218" s="1"/>
  <c r="AD207"/>
  <c r="AE219" s="1"/>
  <c r="AE57" l="1"/>
  <c r="AE82"/>
  <c r="AE67"/>
  <c r="AE140"/>
  <c r="AE113"/>
  <c r="AE145"/>
  <c r="AE48"/>
  <c r="AE191"/>
  <c r="AE172"/>
  <c r="AE69"/>
  <c r="AE83"/>
  <c r="AE47"/>
  <c r="AE121"/>
  <c r="AE162"/>
  <c r="AE158"/>
  <c r="AE41"/>
  <c r="AE111"/>
  <c r="AE175"/>
  <c r="AE195"/>
  <c r="AE159"/>
  <c r="AE151"/>
  <c r="AE91"/>
  <c r="AE177"/>
  <c r="AE168"/>
  <c r="AE157"/>
  <c r="AE115"/>
  <c r="AE89"/>
  <c r="AE152"/>
  <c r="AE66"/>
  <c r="AE135"/>
  <c r="AE120"/>
  <c r="AE90"/>
  <c r="AE55"/>
  <c r="AE144"/>
  <c r="AE87"/>
  <c r="AE160"/>
  <c r="AE84"/>
  <c r="AE49"/>
  <c r="AE150"/>
  <c r="AE105"/>
  <c r="AE116"/>
  <c r="AE128"/>
  <c r="AE108"/>
  <c r="AE132"/>
  <c r="AE118"/>
  <c r="AE53"/>
  <c r="AE126"/>
  <c r="AE114"/>
  <c r="AE165"/>
  <c r="AE42"/>
  <c r="AE79"/>
  <c r="AE122"/>
  <c r="AE112"/>
  <c r="AE192"/>
  <c r="AE170"/>
  <c r="AE196"/>
  <c r="AE189"/>
  <c r="AE102"/>
  <c r="AE198"/>
  <c r="AE190"/>
  <c r="AE187"/>
  <c r="AE149"/>
  <c r="AE147"/>
  <c r="AE183"/>
  <c r="AE146"/>
  <c r="AE139"/>
  <c r="AE137"/>
  <c r="AE125"/>
  <c r="AE123"/>
  <c r="AE78"/>
  <c r="AE70"/>
  <c r="AE62"/>
  <c r="AE153"/>
  <c r="AE44"/>
  <c r="AE203"/>
  <c r="AE200"/>
  <c r="AE197"/>
  <c r="AE184"/>
  <c r="AE180"/>
  <c r="AE155"/>
  <c r="AE131"/>
  <c r="AE124"/>
  <c r="AE94"/>
  <c r="AE86"/>
  <c r="AE81"/>
  <c r="AE178"/>
  <c r="AE138"/>
  <c r="AE164"/>
  <c r="AE163"/>
  <c r="AE130"/>
  <c r="AE109"/>
  <c r="AE71"/>
  <c r="AE59"/>
  <c r="AE60"/>
  <c r="AE56"/>
  <c r="AE101"/>
  <c r="AE129"/>
  <c r="AE133"/>
  <c r="AE54"/>
  <c r="AE100"/>
  <c r="AE156"/>
  <c r="AE174"/>
  <c r="AE185"/>
  <c r="AE171"/>
  <c r="AE188"/>
  <c r="AE169"/>
  <c r="AE96"/>
  <c r="AE64"/>
  <c r="AE142"/>
  <c r="AE99"/>
  <c r="AE95"/>
  <c r="AE92"/>
  <c r="AE63"/>
  <c r="AE51"/>
  <c r="AE43"/>
  <c r="AE58"/>
  <c r="AE93"/>
  <c r="AE103"/>
  <c r="AE199"/>
  <c r="AE206"/>
  <c r="AE207"/>
  <c r="AE208"/>
  <c r="AE205"/>
  <c r="AE201"/>
  <c r="AE204"/>
  <c r="AE176"/>
  <c r="AE127"/>
  <c r="AE106"/>
  <c r="AE61"/>
  <c r="AE182"/>
  <c r="AE117"/>
  <c r="AE73"/>
  <c r="AD23"/>
  <c r="AE35" s="1"/>
  <c r="AD18"/>
  <c r="AE30" s="1"/>
  <c r="AD28"/>
  <c r="AE40" s="1"/>
  <c r="AD24"/>
  <c r="AE36" s="1"/>
  <c r="AD20"/>
  <c r="AE32" s="1"/>
  <c r="AD17"/>
  <c r="AE29" s="1"/>
  <c r="AD27"/>
  <c r="AE39" s="1"/>
  <c r="AD19"/>
  <c r="AE31" s="1"/>
  <c r="K89" i="3"/>
  <c r="D89" i="10" s="1"/>
  <c r="E89" s="1"/>
  <c r="N161" i="3"/>
  <c r="H161" i="10" s="1"/>
  <c r="I161" s="1"/>
  <c r="L77" i="2"/>
  <c r="L89" s="1"/>
  <c r="L101" s="1"/>
  <c r="L113" s="1"/>
  <c r="L125" s="1"/>
  <c r="L137" s="1"/>
  <c r="L149" s="1"/>
  <c r="L161" s="1"/>
  <c r="L173" s="1"/>
  <c r="L185" s="1"/>
  <c r="L197" s="1"/>
  <c r="L209" s="1"/>
  <c r="O77"/>
  <c r="O89" s="1"/>
  <c r="O101" s="1"/>
  <c r="O113" s="1"/>
  <c r="O125" s="1"/>
  <c r="O137" s="1"/>
  <c r="N41" i="1"/>
  <c r="N53" s="1"/>
  <c r="N65" s="1"/>
  <c r="N77" s="1"/>
  <c r="N89" s="1"/>
  <c r="N101" s="1"/>
  <c r="N113" s="1"/>
  <c r="N125" s="1"/>
  <c r="N137" s="1"/>
  <c r="N149" s="1"/>
  <c r="N161" s="1"/>
  <c r="N173" s="1"/>
  <c r="N185" s="1"/>
  <c r="N197" s="1"/>
  <c r="N209" s="1"/>
  <c r="J161"/>
  <c r="J173" s="1"/>
  <c r="J185" s="1"/>
  <c r="J197" s="1"/>
  <c r="J209" s="1"/>
  <c r="J221" s="1"/>
  <c r="J233" s="1"/>
  <c r="J245" s="1"/>
  <c r="J257" s="1"/>
  <c r="J269" s="1"/>
  <c r="J281" s="1"/>
  <c r="J293" s="1"/>
  <c r="J305" s="1"/>
  <c r="K66" i="3"/>
  <c r="D66" i="10" s="1"/>
  <c r="E66" s="1"/>
  <c r="N174" i="3"/>
  <c r="H174" i="10" s="1"/>
  <c r="I174" s="1"/>
  <c r="L210" i="2"/>
  <c r="L222" s="1"/>
  <c r="P306"/>
  <c r="R306" s="1"/>
  <c r="J126" i="1"/>
  <c r="J138" s="1"/>
  <c r="J150" s="1"/>
  <c r="J162" s="1"/>
  <c r="J174" s="1"/>
  <c r="J186" s="1"/>
  <c r="J198" s="1"/>
  <c r="J210" s="1"/>
  <c r="J222" s="1"/>
  <c r="J234" s="1"/>
  <c r="J246" s="1"/>
  <c r="J258" s="1"/>
  <c r="J270" s="1"/>
  <c r="J282" s="1"/>
  <c r="J294" s="1"/>
  <c r="J306" s="1"/>
  <c r="K79" i="3"/>
  <c r="D79" i="10" s="1"/>
  <c r="E79" s="1"/>
  <c r="O307" i="3"/>
  <c r="L67" i="2"/>
  <c r="L79" s="1"/>
  <c r="L91" s="1"/>
  <c r="L103" s="1"/>
  <c r="L115" s="1"/>
  <c r="L127" s="1"/>
  <c r="L139" s="1"/>
  <c r="O163"/>
  <c r="O175" s="1"/>
  <c r="O187" s="1"/>
  <c r="O199" s="1"/>
  <c r="O211" s="1"/>
  <c r="O223" s="1"/>
  <c r="O235" s="1"/>
  <c r="O247" s="1"/>
  <c r="O259" s="1"/>
  <c r="O271" s="1"/>
  <c r="O283" s="1"/>
  <c r="O295" s="1"/>
  <c r="O307" s="1"/>
  <c r="K32" i="3"/>
  <c r="N164"/>
  <c r="H164" i="10" s="1"/>
  <c r="I164" s="1"/>
  <c r="L80" i="2"/>
  <c r="L92" s="1"/>
  <c r="L104" s="1"/>
  <c r="L116" s="1"/>
  <c r="L128" s="1"/>
  <c r="L140" s="1"/>
  <c r="L152" s="1"/>
  <c r="L164" s="1"/>
  <c r="L176" s="1"/>
  <c r="L188" s="1"/>
  <c r="L200" s="1"/>
  <c r="L212" s="1"/>
  <c r="L224" s="1"/>
  <c r="L236" s="1"/>
  <c r="L248" s="1"/>
  <c r="L260" s="1"/>
  <c r="L272" s="1"/>
  <c r="L284" s="1"/>
  <c r="L296" s="1"/>
  <c r="L308" s="1"/>
  <c r="O56"/>
  <c r="O68" s="1"/>
  <c r="O80" s="1"/>
  <c r="O92" s="1"/>
  <c r="O104" s="1"/>
  <c r="O116" s="1"/>
  <c r="O128" s="1"/>
  <c r="O140" s="1"/>
  <c r="O152" s="1"/>
  <c r="O164" s="1"/>
  <c r="O176" s="1"/>
  <c r="O188" s="1"/>
  <c r="O200" s="1"/>
  <c r="O212" s="1"/>
  <c r="O224" s="1"/>
  <c r="O236" s="1"/>
  <c r="O248" s="1"/>
  <c r="O260" s="1"/>
  <c r="O272" s="1"/>
  <c r="O284" s="1"/>
  <c r="O296" s="1"/>
  <c r="O308" s="1"/>
  <c r="N68" i="1"/>
  <c r="N80" s="1"/>
  <c r="N92" s="1"/>
  <c r="N104" s="1"/>
  <c r="N116" s="1"/>
  <c r="N128" s="1"/>
  <c r="N140" s="1"/>
  <c r="N152" s="1"/>
  <c r="N164" s="1"/>
  <c r="N176" s="1"/>
  <c r="N188" s="1"/>
  <c r="N200" s="1"/>
  <c r="N212" s="1"/>
  <c r="N224" s="1"/>
  <c r="N236" s="1"/>
  <c r="N248" s="1"/>
  <c r="N260" s="1"/>
  <c r="N272" s="1"/>
  <c r="N284" s="1"/>
  <c r="N296" s="1"/>
  <c r="N308" s="1"/>
  <c r="J152"/>
  <c r="J164" s="1"/>
  <c r="J176" s="1"/>
  <c r="J188" s="1"/>
  <c r="J200" s="1"/>
  <c r="J212" s="1"/>
  <c r="K165" i="3"/>
  <c r="D165" i="10" s="1"/>
  <c r="E165" s="1"/>
  <c r="N105" i="3"/>
  <c r="H105" i="10" s="1"/>
  <c r="I105" s="1"/>
  <c r="L45" i="2"/>
  <c r="L57" s="1"/>
  <c r="L69" s="1"/>
  <c r="L81" s="1"/>
  <c r="L93" s="1"/>
  <c r="L105" s="1"/>
  <c r="L117" s="1"/>
  <c r="L129" s="1"/>
  <c r="L141" s="1"/>
  <c r="L153" s="1"/>
  <c r="L165" s="1"/>
  <c r="L177" s="1"/>
  <c r="L189" s="1"/>
  <c r="L201" s="1"/>
  <c r="L213" s="1"/>
  <c r="P309"/>
  <c r="R309" s="1"/>
  <c r="N93" i="1"/>
  <c r="N105" s="1"/>
  <c r="N117" s="1"/>
  <c r="N129" s="1"/>
  <c r="N141" s="1"/>
  <c r="N153" s="1"/>
  <c r="N165" s="1"/>
  <c r="N177" s="1"/>
  <c r="N189" s="1"/>
  <c r="N201" s="1"/>
  <c r="N213" s="1"/>
  <c r="N225" s="1"/>
  <c r="N237" s="1"/>
  <c r="N249" s="1"/>
  <c r="N261" s="1"/>
  <c r="N273" s="1"/>
  <c r="N285" s="1"/>
  <c r="N297" s="1"/>
  <c r="N309" s="1"/>
  <c r="J81"/>
  <c r="J93" s="1"/>
  <c r="J105" s="1"/>
  <c r="J117" s="1"/>
  <c r="J129" s="1"/>
  <c r="J141" s="1"/>
  <c r="J153" s="1"/>
  <c r="J165" s="1"/>
  <c r="J177" s="1"/>
  <c r="J189" s="1"/>
  <c r="J201" s="1"/>
  <c r="J213" s="1"/>
  <c r="K34" i="3"/>
  <c r="N34"/>
  <c r="L142" i="2"/>
  <c r="L154" s="1"/>
  <c r="L166" s="1"/>
  <c r="L178" s="1"/>
  <c r="L190" s="1"/>
  <c r="L202" s="1"/>
  <c r="L214" s="1"/>
  <c r="L226" s="1"/>
  <c r="L238" s="1"/>
  <c r="L250" s="1"/>
  <c r="L262" s="1"/>
  <c r="L274" s="1"/>
  <c r="L286" s="1"/>
  <c r="L298" s="1"/>
  <c r="L310" s="1"/>
  <c r="O154"/>
  <c r="O166" s="1"/>
  <c r="O178" s="1"/>
  <c r="O190" s="1"/>
  <c r="O202" s="1"/>
  <c r="O214" s="1"/>
  <c r="J262" i="1"/>
  <c r="J274" s="1"/>
  <c r="K83" i="3"/>
  <c r="D83" i="10" s="1"/>
  <c r="E83" s="1"/>
  <c r="O311" i="3"/>
  <c r="L83" i="2"/>
  <c r="L95" s="1"/>
  <c r="O71"/>
  <c r="O83" s="1"/>
  <c r="J143" i="1"/>
  <c r="J155" s="1"/>
  <c r="J167" s="1"/>
  <c r="J179" s="1"/>
  <c r="J191" s="1"/>
  <c r="J203" s="1"/>
  <c r="J215" s="1"/>
  <c r="J227" s="1"/>
  <c r="J239" s="1"/>
  <c r="J251" s="1"/>
  <c r="J263" s="1"/>
  <c r="J275" s="1"/>
  <c r="J287" s="1"/>
  <c r="J299" s="1"/>
  <c r="J311" s="1"/>
  <c r="K36" i="3"/>
  <c r="N96"/>
  <c r="H96" i="10" s="1"/>
  <c r="I96" s="1"/>
  <c r="L48" i="2"/>
  <c r="L60" s="1"/>
  <c r="L72" s="1"/>
  <c r="L84" s="1"/>
  <c r="L96" s="1"/>
  <c r="L108" s="1"/>
  <c r="L120" s="1"/>
  <c r="L132" s="1"/>
  <c r="L144" s="1"/>
  <c r="L156" s="1"/>
  <c r="L168" s="1"/>
  <c r="L180" s="1"/>
  <c r="L192" s="1"/>
  <c r="L204" s="1"/>
  <c r="L216" s="1"/>
  <c r="L228" s="1"/>
  <c r="L240" s="1"/>
  <c r="L252" s="1"/>
  <c r="L264" s="1"/>
  <c r="L276" s="1"/>
  <c r="L288" s="1"/>
  <c r="L300" s="1"/>
  <c r="L312" s="1"/>
  <c r="O48"/>
  <c r="O60" s="1"/>
  <c r="O72" s="1"/>
  <c r="O84" s="1"/>
  <c r="O96" s="1"/>
  <c r="O108" s="1"/>
  <c r="O120" s="1"/>
  <c r="O132" s="1"/>
  <c r="O144" s="1"/>
  <c r="O156" s="1"/>
  <c r="O168" s="1"/>
  <c r="O180" s="1"/>
  <c r="O192" s="1"/>
  <c r="O204" s="1"/>
  <c r="O216" s="1"/>
  <c r="N108" i="1"/>
  <c r="N120" s="1"/>
  <c r="N132" s="1"/>
  <c r="N144" s="1"/>
  <c r="N156" s="1"/>
  <c r="N168" s="1"/>
  <c r="N180" s="1"/>
  <c r="N192" s="1"/>
  <c r="N204" s="1"/>
  <c r="N216" s="1"/>
  <c r="N228" s="1"/>
  <c r="N240" s="1"/>
  <c r="N252" s="1"/>
  <c r="N264" s="1"/>
  <c r="N276" s="1"/>
  <c r="N288" s="1"/>
  <c r="N300" s="1"/>
  <c r="N312" s="1"/>
  <c r="J204"/>
  <c r="J216" s="1"/>
  <c r="J228" s="1"/>
  <c r="J240" s="1"/>
  <c r="J252" s="1"/>
  <c r="J264" s="1"/>
  <c r="J276" s="1"/>
  <c r="J288" s="1"/>
  <c r="J300" s="1"/>
  <c r="J312" s="1"/>
  <c r="K97" i="3"/>
  <c r="D97" i="10" s="1"/>
  <c r="E97" s="1"/>
  <c r="N73" i="3"/>
  <c r="H73" i="10" s="1"/>
  <c r="I73" s="1"/>
  <c r="L73" i="2"/>
  <c r="L85" s="1"/>
  <c r="L97" s="1"/>
  <c r="L109" s="1"/>
  <c r="L121" s="1"/>
  <c r="L133" s="1"/>
  <c r="L145" s="1"/>
  <c r="L157" s="1"/>
  <c r="L169" s="1"/>
  <c r="L181" s="1"/>
  <c r="L193" s="1"/>
  <c r="L205" s="1"/>
  <c r="L217" s="1"/>
  <c r="O85"/>
  <c r="O97" s="1"/>
  <c r="O109" s="1"/>
  <c r="O121" s="1"/>
  <c r="O133" s="1"/>
  <c r="O145" s="1"/>
  <c r="O157" s="1"/>
  <c r="O169" s="1"/>
  <c r="O181" s="1"/>
  <c r="O193" s="1"/>
  <c r="O205" s="1"/>
  <c r="O217" s="1"/>
  <c r="O229" s="1"/>
  <c r="O241" s="1"/>
  <c r="O253" s="1"/>
  <c r="O265" s="1"/>
  <c r="O277" s="1"/>
  <c r="O289" s="1"/>
  <c r="O301" s="1"/>
  <c r="O313" s="1"/>
  <c r="N205" i="1"/>
  <c r="N217" s="1"/>
  <c r="N229" s="1"/>
  <c r="N241" s="1"/>
  <c r="N253" s="1"/>
  <c r="N265" s="1"/>
  <c r="N277" s="1"/>
  <c r="N289" s="1"/>
  <c r="N301" s="1"/>
  <c r="N313" s="1"/>
  <c r="J97"/>
  <c r="J109" s="1"/>
  <c r="J121" s="1"/>
  <c r="J133" s="1"/>
  <c r="J145" s="1"/>
  <c r="J157" s="1"/>
  <c r="J169" s="1"/>
  <c r="J181" s="1"/>
  <c r="J193" s="1"/>
  <c r="J205" s="1"/>
  <c r="J217" s="1"/>
  <c r="J229" s="1"/>
  <c r="J241" s="1"/>
  <c r="J253" s="1"/>
  <c r="J265" s="1"/>
  <c r="J277" s="1"/>
  <c r="J289" s="1"/>
  <c r="J301" s="1"/>
  <c r="J313" s="1"/>
  <c r="K86" i="3"/>
  <c r="D86" i="10" s="1"/>
  <c r="E86" s="1"/>
  <c r="O314" i="3"/>
  <c r="L206" i="2"/>
  <c r="L218" s="1"/>
  <c r="L230" s="1"/>
  <c r="L242" s="1"/>
  <c r="L254" s="1"/>
  <c r="L266" s="1"/>
  <c r="L278" s="1"/>
  <c r="L290" s="1"/>
  <c r="L302" s="1"/>
  <c r="L314" s="1"/>
  <c r="O182"/>
  <c r="O194" s="1"/>
  <c r="O206" s="1"/>
  <c r="O218" s="1"/>
  <c r="O230" s="1"/>
  <c r="O242" s="1"/>
  <c r="O254" s="1"/>
  <c r="O266" s="1"/>
  <c r="O278" s="1"/>
  <c r="O290" s="1"/>
  <c r="O302" s="1"/>
  <c r="O314" s="1"/>
  <c r="N122" i="1"/>
  <c r="N134" s="1"/>
  <c r="N146" s="1"/>
  <c r="N158" s="1"/>
  <c r="N170" s="1"/>
  <c r="N182" s="1"/>
  <c r="N194" s="1"/>
  <c r="N206" s="1"/>
  <c r="N218" s="1"/>
  <c r="K99" i="3"/>
  <c r="D99" i="10" s="1"/>
  <c r="E99" s="1"/>
  <c r="N147" i="3"/>
  <c r="H147" i="10" s="1"/>
  <c r="I147" s="1"/>
  <c r="Q315" i="2"/>
  <c r="O87"/>
  <c r="O99" s="1"/>
  <c r="O111" s="1"/>
  <c r="O123" s="1"/>
  <c r="O135" s="1"/>
  <c r="O147" s="1"/>
  <c r="O159" s="1"/>
  <c r="O171" s="1"/>
  <c r="O183" s="1"/>
  <c r="O195" s="1"/>
  <c r="O207" s="1"/>
  <c r="O219" s="1"/>
  <c r="N51" i="1"/>
  <c r="N63" s="1"/>
  <c r="N75" s="1"/>
  <c r="N87" s="1"/>
  <c r="N99" s="1"/>
  <c r="N111" s="1"/>
  <c r="N123" s="1"/>
  <c r="N135" s="1"/>
  <c r="N147" s="1"/>
  <c r="N159" s="1"/>
  <c r="N171" s="1"/>
  <c r="N183" s="1"/>
  <c r="N195" s="1"/>
  <c r="N207" s="1"/>
  <c r="N219" s="1"/>
  <c r="J51"/>
  <c r="J63" s="1"/>
  <c r="J75" s="1"/>
  <c r="J87" s="1"/>
  <c r="J99" s="1"/>
  <c r="J111" s="1"/>
  <c r="J123" s="1"/>
  <c r="J135" s="1"/>
  <c r="J147" s="1"/>
  <c r="J159" s="1"/>
  <c r="J171" s="1"/>
  <c r="J183" s="1"/>
  <c r="J195" s="1"/>
  <c r="J207" s="1"/>
  <c r="J219" s="1"/>
  <c r="K88" i="3"/>
  <c r="D88" i="10" s="1"/>
  <c r="E88" s="1"/>
  <c r="O316" i="3"/>
  <c r="L52" i="2"/>
  <c r="L64" s="1"/>
  <c r="L76" s="1"/>
  <c r="L88" s="1"/>
  <c r="L100" s="1"/>
  <c r="L112" s="1"/>
  <c r="L124" s="1"/>
  <c r="L136" s="1"/>
  <c r="L148" s="1"/>
  <c r="L160" s="1"/>
  <c r="L172" s="1"/>
  <c r="L184" s="1"/>
  <c r="L196" s="1"/>
  <c r="L208" s="1"/>
  <c r="L220" s="1"/>
  <c r="O148"/>
  <c r="O160" s="1"/>
  <c r="O172" s="1"/>
  <c r="O184" s="1"/>
  <c r="O196" s="1"/>
  <c r="O208" s="1"/>
  <c r="O220" s="1"/>
  <c r="N52" i="1"/>
  <c r="N64" s="1"/>
  <c r="J52"/>
  <c r="J64" s="1"/>
  <c r="J76" s="1"/>
  <c r="J88" s="1"/>
  <c r="J100" s="1"/>
  <c r="J112" s="1"/>
  <c r="J124" s="1"/>
  <c r="J136" s="1"/>
  <c r="J148" s="1"/>
  <c r="J160" s="1"/>
  <c r="J172" s="1"/>
  <c r="J184" s="1"/>
  <c r="J196" s="1"/>
  <c r="J208" s="1"/>
  <c r="J220" s="1"/>
  <c r="R294" i="2"/>
  <c r="S295" i="3"/>
  <c r="R297" i="2"/>
  <c r="S299" i="3"/>
  <c r="S302"/>
  <c r="Q303" i="2"/>
  <c r="S304" i="3"/>
  <c r="R282" i="2"/>
  <c r="R282" i="1"/>
  <c r="S283" i="3"/>
  <c r="R283" i="1"/>
  <c r="Q283"/>
  <c r="R285" i="2"/>
  <c r="R286" i="1"/>
  <c r="S287" i="3"/>
  <c r="R287" i="1"/>
  <c r="S290" i="3"/>
  <c r="Q290" i="1"/>
  <c r="Q291" i="2"/>
  <c r="S292" i="3"/>
  <c r="R222" i="2"/>
  <c r="R222" i="1"/>
  <c r="S223" i="3"/>
  <c r="R223" i="1"/>
  <c r="Q223"/>
  <c r="R225" i="2"/>
  <c r="R226" i="1"/>
  <c r="Q226"/>
  <c r="S227" i="3"/>
  <c r="R227" i="1"/>
  <c r="K227"/>
  <c r="Q227" s="1"/>
  <c r="S230" i="3"/>
  <c r="Q230" i="1"/>
  <c r="Q231" i="2"/>
  <c r="S232" i="3"/>
  <c r="S211"/>
  <c r="S215"/>
  <c r="S218"/>
  <c r="R270" i="2"/>
  <c r="R270" i="1"/>
  <c r="S271" i="3"/>
  <c r="R271" i="1"/>
  <c r="Q271"/>
  <c r="R273" i="2"/>
  <c r="R274" i="1"/>
  <c r="S275" i="3"/>
  <c r="R275" i="1"/>
  <c r="S278" i="3"/>
  <c r="Q278" i="1"/>
  <c r="Q279" i="2"/>
  <c r="S280" i="3"/>
  <c r="R258" i="2"/>
  <c r="R258" i="1"/>
  <c r="S259" i="3"/>
  <c r="R259" i="1"/>
  <c r="Q259"/>
  <c r="R261" i="2"/>
  <c r="R262" i="1"/>
  <c r="S263" i="3"/>
  <c r="R263" i="1"/>
  <c r="S266" i="3"/>
  <c r="Q266" i="1"/>
  <c r="Q267" i="2"/>
  <c r="S268" i="3"/>
  <c r="R246" i="2"/>
  <c r="R246" i="1"/>
  <c r="S247" i="3"/>
  <c r="R247" i="1"/>
  <c r="Q247"/>
  <c r="R249" i="2"/>
  <c r="R250" i="1"/>
  <c r="Q250"/>
  <c r="S251" i="3"/>
  <c r="R251" i="1"/>
  <c r="S254" i="3"/>
  <c r="Q254" i="1"/>
  <c r="Q255" i="2"/>
  <c r="S256" i="3"/>
  <c r="R234" i="2"/>
  <c r="R234" i="1"/>
  <c r="S235" i="3"/>
  <c r="R235" i="1"/>
  <c r="Q235"/>
  <c r="R237" i="2"/>
  <c r="R238" i="1"/>
  <c r="Q238"/>
  <c r="S239" i="3"/>
  <c r="R239" i="1"/>
  <c r="S242" i="3"/>
  <c r="Q242" i="1"/>
  <c r="Q243" i="2"/>
  <c r="S244" i="3"/>
  <c r="O137"/>
  <c r="Q137" i="1"/>
  <c r="S138" i="3"/>
  <c r="Q138" i="2"/>
  <c r="P138"/>
  <c r="R138" s="1"/>
  <c r="R138" i="1"/>
  <c r="S139" i="3"/>
  <c r="R139" i="1"/>
  <c r="Q139"/>
  <c r="S140" i="3"/>
  <c r="Q140" i="1"/>
  <c r="R141" i="3"/>
  <c r="R141" i="2"/>
  <c r="R142"/>
  <c r="R142" i="1"/>
  <c r="S142" s="1"/>
  <c r="Z142" s="1"/>
  <c r="S143" i="3"/>
  <c r="R143" i="1"/>
  <c r="Q144"/>
  <c r="S146" i="3"/>
  <c r="Q146" i="2"/>
  <c r="R146"/>
  <c r="Q146" i="1"/>
  <c r="Q147" i="2"/>
  <c r="S148" i="3"/>
  <c r="S125"/>
  <c r="Q125" i="1"/>
  <c r="Q126" i="2"/>
  <c r="P126"/>
  <c r="R126" s="1"/>
  <c r="R126" i="1"/>
  <c r="S127" i="3"/>
  <c r="R127" i="2"/>
  <c r="R127" i="1"/>
  <c r="Q127"/>
  <c r="S128" i="3"/>
  <c r="Q128" i="1"/>
  <c r="R129" i="3"/>
  <c r="R129" i="2"/>
  <c r="Q130"/>
  <c r="R130"/>
  <c r="R130" i="1"/>
  <c r="Q130"/>
  <c r="S131" i="3"/>
  <c r="R131" i="1"/>
  <c r="Q131"/>
  <c r="Q132"/>
  <c r="S134" i="3"/>
  <c r="Q134" i="2"/>
  <c r="R134"/>
  <c r="Q134" i="1"/>
  <c r="S135" i="3"/>
  <c r="Q135" i="2"/>
  <c r="R136"/>
  <c r="K9"/>
  <c r="L9" s="1"/>
  <c r="N9" s="1"/>
  <c r="N10"/>
  <c r="R41"/>
  <c r="S41" s="1"/>
  <c r="Z41" s="1"/>
  <c r="Q43"/>
  <c r="R43"/>
  <c r="Q44"/>
  <c r="R44"/>
  <c r="R45"/>
  <c r="Q46"/>
  <c r="R46"/>
  <c r="R47"/>
  <c r="S47" s="1"/>
  <c r="Z47" s="1"/>
  <c r="Q49"/>
  <c r="R49"/>
  <c r="R50"/>
  <c r="S50" s="1"/>
  <c r="Z50" s="1"/>
  <c r="Q51"/>
  <c r="R51"/>
  <c r="Q29"/>
  <c r="R29"/>
  <c r="Q30"/>
  <c r="R30"/>
  <c r="Q31"/>
  <c r="R31"/>
  <c r="Q32"/>
  <c r="R32"/>
  <c r="Q33"/>
  <c r="R33"/>
  <c r="Q34"/>
  <c r="R34"/>
  <c r="Q35"/>
  <c r="R35"/>
  <c r="Q36"/>
  <c r="R36"/>
  <c r="Q37"/>
  <c r="R37"/>
  <c r="Q38"/>
  <c r="R38"/>
  <c r="Q39"/>
  <c r="R39"/>
  <c r="Q40"/>
  <c r="R40"/>
  <c r="R202" i="1"/>
  <c r="Q202"/>
  <c r="Q198" i="2"/>
  <c r="R198"/>
  <c r="R198" i="1"/>
  <c r="S199" i="3"/>
  <c r="R199" i="1"/>
  <c r="Q199"/>
  <c r="R201" i="2"/>
  <c r="S203" i="3"/>
  <c r="R203" i="1"/>
  <c r="S206" i="3"/>
  <c r="Q206" i="1"/>
  <c r="Q207" i="2"/>
  <c r="S208" i="3"/>
  <c r="S149"/>
  <c r="Q149" i="1"/>
  <c r="O150" i="3"/>
  <c r="Q150" i="2"/>
  <c r="R150"/>
  <c r="R150" i="1"/>
  <c r="S151" i="3"/>
  <c r="R151" i="2"/>
  <c r="R151" i="1"/>
  <c r="Q151"/>
  <c r="S152" i="3"/>
  <c r="R153"/>
  <c r="R153" i="2"/>
  <c r="R154" i="1"/>
  <c r="S154" s="1"/>
  <c r="Z154" s="1"/>
  <c r="S155" i="3"/>
  <c r="R155" i="1"/>
  <c r="Q156"/>
  <c r="O158" i="3"/>
  <c r="R158" i="2"/>
  <c r="S158" s="1"/>
  <c r="Z158" s="1"/>
  <c r="Q158" i="1"/>
  <c r="Q159" i="2"/>
  <c r="S160" i="3"/>
  <c r="S162"/>
  <c r="R162" i="2"/>
  <c r="S162" s="1"/>
  <c r="Z162" s="1"/>
  <c r="R162" i="1"/>
  <c r="S163" i="3"/>
  <c r="R163" i="1"/>
  <c r="Q163"/>
  <c r="R165" i="2"/>
  <c r="R166" i="1"/>
  <c r="S166" s="1"/>
  <c r="Z166" s="1"/>
  <c r="S167" i="3"/>
  <c r="R167" i="1"/>
  <c r="R169"/>
  <c r="S170" i="3"/>
  <c r="Q170" i="2"/>
  <c r="R170"/>
  <c r="Q170" i="1"/>
  <c r="Q171" i="2"/>
  <c r="R29" i="3"/>
  <c r="S29"/>
  <c r="R29" i="1"/>
  <c r="Q29"/>
  <c r="W30" i="3"/>
  <c r="X30" s="1"/>
  <c r="Z30" s="1"/>
  <c r="R30" i="1"/>
  <c r="Q30"/>
  <c r="S31" i="3"/>
  <c r="T31" s="1"/>
  <c r="W31" s="1"/>
  <c r="X31" s="1"/>
  <c r="Z31" s="1"/>
  <c r="R31" i="1"/>
  <c r="Q31"/>
  <c r="S32" i="3"/>
  <c r="R32" i="1"/>
  <c r="Q32"/>
  <c r="S33" i="3"/>
  <c r="T33" s="1"/>
  <c r="W33" s="1"/>
  <c r="X33" s="1"/>
  <c r="Z33" s="1"/>
  <c r="R33" i="1"/>
  <c r="Q33"/>
  <c r="R34"/>
  <c r="Q34"/>
  <c r="S35" i="3"/>
  <c r="T35" s="1"/>
  <c r="W35" s="1"/>
  <c r="X35" s="1"/>
  <c r="Z35" s="1"/>
  <c r="R35" i="1"/>
  <c r="Q35"/>
  <c r="S36" i="3"/>
  <c r="R36" i="1"/>
  <c r="Q36"/>
  <c r="S37" i="3"/>
  <c r="T37" s="1"/>
  <c r="W37" s="1"/>
  <c r="X37" s="1"/>
  <c r="Z37" s="1"/>
  <c r="R37" i="1"/>
  <c r="Q37"/>
  <c r="S38" i="3"/>
  <c r="T38" s="1"/>
  <c r="W38" s="1"/>
  <c r="X38" s="1"/>
  <c r="Z38" s="1"/>
  <c r="R38" i="1"/>
  <c r="Q38"/>
  <c r="S39" i="3"/>
  <c r="T39" s="1"/>
  <c r="W39" s="1"/>
  <c r="X39" s="1"/>
  <c r="Z39" s="1"/>
  <c r="R39" i="1"/>
  <c r="Q39"/>
  <c r="S40" i="3"/>
  <c r="T40" s="1"/>
  <c r="W40" s="1"/>
  <c r="X40" s="1"/>
  <c r="Z40" s="1"/>
  <c r="R40" i="1"/>
  <c r="Q40"/>
  <c r="S17" i="3"/>
  <c r="T17" s="1"/>
  <c r="W17" s="1"/>
  <c r="X17" s="1"/>
  <c r="Z17" s="1"/>
  <c r="Q17" i="2"/>
  <c r="R17"/>
  <c r="R17" i="1"/>
  <c r="Q17"/>
  <c r="R18" i="3"/>
  <c r="S18"/>
  <c r="Q18" i="2"/>
  <c r="R18"/>
  <c r="R18" i="1"/>
  <c r="Q18"/>
  <c r="W19" i="3"/>
  <c r="X19" s="1"/>
  <c r="Z19" s="1"/>
  <c r="Q19" i="2"/>
  <c r="R19"/>
  <c r="R19" i="1"/>
  <c r="Q19"/>
  <c r="R20" i="3"/>
  <c r="S20"/>
  <c r="Q20" i="2"/>
  <c r="R20"/>
  <c r="R20" i="1"/>
  <c r="Q20"/>
  <c r="S21" i="3"/>
  <c r="T21" s="1"/>
  <c r="W21" s="1"/>
  <c r="X21" s="1"/>
  <c r="Z21" s="1"/>
  <c r="Q21" i="2"/>
  <c r="R21"/>
  <c r="R21" i="1"/>
  <c r="Q21"/>
  <c r="S22" i="3"/>
  <c r="T22" s="1"/>
  <c r="W22" s="1"/>
  <c r="X22" s="1"/>
  <c r="Z22" s="1"/>
  <c r="Q22" i="2"/>
  <c r="R22"/>
  <c r="R22" i="1"/>
  <c r="Q22"/>
  <c r="S23" i="3"/>
  <c r="T23" s="1"/>
  <c r="W23" s="1"/>
  <c r="X23" s="1"/>
  <c r="Z23" s="1"/>
  <c r="Q23" i="2"/>
  <c r="R23"/>
  <c r="R23" i="1"/>
  <c r="Q23"/>
  <c r="S24" i="3"/>
  <c r="T24" s="1"/>
  <c r="W24" s="1"/>
  <c r="X24" s="1"/>
  <c r="Z24" s="1"/>
  <c r="Q24" i="2"/>
  <c r="R24"/>
  <c r="R24" i="1"/>
  <c r="Q24"/>
  <c r="S25" i="3"/>
  <c r="T25" s="1"/>
  <c r="W25" s="1"/>
  <c r="X25" s="1"/>
  <c r="Z25" s="1"/>
  <c r="Q25" i="2"/>
  <c r="R25"/>
  <c r="R25" i="1"/>
  <c r="Q25"/>
  <c r="S26" i="3"/>
  <c r="T26" s="1"/>
  <c r="W26" s="1"/>
  <c r="X26" s="1"/>
  <c r="Z26" s="1"/>
  <c r="Q26" i="2"/>
  <c r="R26"/>
  <c r="R26" i="1"/>
  <c r="Q26"/>
  <c r="S27" i="3"/>
  <c r="T27" s="1"/>
  <c r="W27" s="1"/>
  <c r="X27" s="1"/>
  <c r="Z27" s="1"/>
  <c r="Q27" i="2"/>
  <c r="R27"/>
  <c r="R27" i="1"/>
  <c r="Q27"/>
  <c r="S28" i="3"/>
  <c r="T28" s="1"/>
  <c r="W28" s="1"/>
  <c r="X28" s="1"/>
  <c r="Z28" s="1"/>
  <c r="Q28" i="2"/>
  <c r="R28"/>
  <c r="R28" i="1"/>
  <c r="Q28"/>
  <c r="Q89"/>
  <c r="S90" i="3"/>
  <c r="Q90" i="2"/>
  <c r="R90"/>
  <c r="R90" i="1"/>
  <c r="Q90"/>
  <c r="S91" i="3"/>
  <c r="P91" i="2"/>
  <c r="R91" s="1"/>
  <c r="R91" i="1"/>
  <c r="S91" s="1"/>
  <c r="Z91" s="1"/>
  <c r="S92" i="3"/>
  <c r="R93"/>
  <c r="S93"/>
  <c r="R93" i="2"/>
  <c r="S94"/>
  <c r="Z94" s="1"/>
  <c r="O94" i="1"/>
  <c r="R94" s="1"/>
  <c r="Q94"/>
  <c r="O95" i="3"/>
  <c r="R95" i="1"/>
  <c r="Q95"/>
  <c r="R96"/>
  <c r="Q96"/>
  <c r="R97"/>
  <c r="S98" i="3"/>
  <c r="Q98" i="2"/>
  <c r="P98"/>
  <c r="R98" s="1"/>
  <c r="R98" i="1"/>
  <c r="S98" s="1"/>
  <c r="Z98" s="1"/>
  <c r="S99" i="3"/>
  <c r="Q99" i="2"/>
  <c r="S100" i="3"/>
  <c r="R100" i="2"/>
  <c r="R77" i="3"/>
  <c r="S77"/>
  <c r="O78"/>
  <c r="Q78" i="2"/>
  <c r="R78"/>
  <c r="O78" i="1"/>
  <c r="R78" s="1"/>
  <c r="Q78"/>
  <c r="S79" i="3"/>
  <c r="P79" i="2"/>
  <c r="R79" s="1"/>
  <c r="R79" i="1"/>
  <c r="Q79"/>
  <c r="S80" i="3"/>
  <c r="Q80" i="1"/>
  <c r="R81" i="3"/>
  <c r="S81"/>
  <c r="R81" i="2"/>
  <c r="R81" i="1"/>
  <c r="Q82" i="2"/>
  <c r="R82"/>
  <c r="O82" i="1"/>
  <c r="R82" s="1"/>
  <c r="Q82"/>
  <c r="O83" i="3"/>
  <c r="R83" i="1"/>
  <c r="Q83"/>
  <c r="S84" i="3"/>
  <c r="R84" i="1"/>
  <c r="Q84"/>
  <c r="R85" i="3"/>
  <c r="R85" i="1"/>
  <c r="Q85"/>
  <c r="S86" i="3"/>
  <c r="Q86" i="2"/>
  <c r="P86"/>
  <c r="R86" s="1"/>
  <c r="R86" i="1"/>
  <c r="Q86"/>
  <c r="R87" i="3"/>
  <c r="S87"/>
  <c r="Q87" i="2"/>
  <c r="S88" i="3"/>
  <c r="P88" i="2"/>
  <c r="R88" s="1"/>
  <c r="Q186"/>
  <c r="R186"/>
  <c r="R186" i="1"/>
  <c r="S187" i="3"/>
  <c r="R187" i="1"/>
  <c r="Q187"/>
  <c r="R189" i="2"/>
  <c r="R190" i="1"/>
  <c r="Q190"/>
  <c r="S191" i="3"/>
  <c r="R191" i="1"/>
  <c r="Q192"/>
  <c r="R193"/>
  <c r="S194" i="3"/>
  <c r="Q194" i="2"/>
  <c r="Q194" i="1"/>
  <c r="Q195" i="2"/>
  <c r="O196" i="3"/>
  <c r="Q41"/>
  <c r="R41" s="1"/>
  <c r="S41"/>
  <c r="Q41" i="1"/>
  <c r="S42" i="3"/>
  <c r="T42" s="1"/>
  <c r="W42" s="1"/>
  <c r="X42" s="1"/>
  <c r="Z42" s="1"/>
  <c r="R42" i="1"/>
  <c r="Q42"/>
  <c r="T43" i="3"/>
  <c r="W43" s="1"/>
  <c r="X43" s="1"/>
  <c r="Z43" s="1"/>
  <c r="R43" i="1"/>
  <c r="Q43"/>
  <c r="O44" i="3"/>
  <c r="Z44" i="1"/>
  <c r="R45" i="3"/>
  <c r="S45"/>
  <c r="Z46" i="1"/>
  <c r="T47" i="3"/>
  <c r="W47" s="1"/>
  <c r="X47" s="1"/>
  <c r="Z47" s="1"/>
  <c r="R47" i="1"/>
  <c r="Q47"/>
  <c r="O48" i="3"/>
  <c r="S48" i="1"/>
  <c r="Z48" s="1"/>
  <c r="R49" i="3"/>
  <c r="S49"/>
  <c r="R49" i="1"/>
  <c r="Q49"/>
  <c r="R50" i="3"/>
  <c r="S50"/>
  <c r="R50" i="1"/>
  <c r="Q50"/>
  <c r="R51" i="3"/>
  <c r="S51"/>
  <c r="W52"/>
  <c r="X52" s="1"/>
  <c r="Z52" s="1"/>
  <c r="T53"/>
  <c r="W53" s="1"/>
  <c r="X53" s="1"/>
  <c r="Z53" s="1"/>
  <c r="Q53" i="2"/>
  <c r="P53"/>
  <c r="R53" s="1"/>
  <c r="Q53" i="1"/>
  <c r="S54" i="3"/>
  <c r="T54" s="1"/>
  <c r="W54" s="1"/>
  <c r="X54" s="1"/>
  <c r="Z54" s="1"/>
  <c r="Q54" i="2"/>
  <c r="P54"/>
  <c r="R54" s="1"/>
  <c r="O54" i="1"/>
  <c r="R54" s="1"/>
  <c r="Q54"/>
  <c r="R55" i="3"/>
  <c r="S55"/>
  <c r="Q55" i="2"/>
  <c r="R55"/>
  <c r="R55" i="1"/>
  <c r="Q55"/>
  <c r="O56" i="3"/>
  <c r="Q56" i="2"/>
  <c r="R56" i="1"/>
  <c r="Q56"/>
  <c r="R57" i="3"/>
  <c r="S57"/>
  <c r="R57" i="2"/>
  <c r="R57" i="1"/>
  <c r="Q57"/>
  <c r="Q58" i="2"/>
  <c r="R58"/>
  <c r="R58" i="1"/>
  <c r="Q58"/>
  <c r="R59" i="3"/>
  <c r="S59"/>
  <c r="Z59" i="2"/>
  <c r="R59" i="1"/>
  <c r="Q59"/>
  <c r="S60" i="3"/>
  <c r="O60" i="1"/>
  <c r="R60" s="1"/>
  <c r="Q60"/>
  <c r="R61" i="3"/>
  <c r="S61"/>
  <c r="R61" i="2"/>
  <c r="S61" s="1"/>
  <c r="Z61" s="1"/>
  <c r="R61" i="1"/>
  <c r="Q61"/>
  <c r="R62" i="3"/>
  <c r="S62"/>
  <c r="S62" i="2"/>
  <c r="Z62" s="1"/>
  <c r="O62" i="1"/>
  <c r="R62" s="1"/>
  <c r="Q62"/>
  <c r="R63" i="3"/>
  <c r="S63"/>
  <c r="Q63" i="2"/>
  <c r="P63"/>
  <c r="R63" s="1"/>
  <c r="S64" i="3"/>
  <c r="T64" s="1"/>
  <c r="W64" s="1"/>
  <c r="X64" s="1"/>
  <c r="Z64" s="1"/>
  <c r="P64" i="2"/>
  <c r="R64" s="1"/>
  <c r="Q101" i="1"/>
  <c r="S102" i="3"/>
  <c r="S102" i="2"/>
  <c r="Z102" s="1"/>
  <c r="R102" i="1"/>
  <c r="Q102"/>
  <c r="O103" i="3"/>
  <c r="R103" i="2"/>
  <c r="O103" i="1"/>
  <c r="R103" s="1"/>
  <c r="Q103"/>
  <c r="S104" i="3"/>
  <c r="R105"/>
  <c r="R105" i="2"/>
  <c r="Q106"/>
  <c r="R106"/>
  <c r="R106" i="1"/>
  <c r="Q106"/>
  <c r="S107" i="3"/>
  <c r="R107" i="1"/>
  <c r="S107" s="1"/>
  <c r="Z107" s="1"/>
  <c r="Q108"/>
  <c r="R109"/>
  <c r="S110" i="3"/>
  <c r="Q110" i="2"/>
  <c r="R110"/>
  <c r="R110" i="1"/>
  <c r="S110" s="1"/>
  <c r="Z110" s="1"/>
  <c r="Q111" i="2"/>
  <c r="S112" i="3"/>
  <c r="P112" i="2"/>
  <c r="R112" s="1"/>
  <c r="Q174"/>
  <c r="R174"/>
  <c r="R174" i="1"/>
  <c r="S175" i="3"/>
  <c r="R175" i="1"/>
  <c r="Q175"/>
  <c r="R177" i="2"/>
  <c r="R178" i="1"/>
  <c r="Q178"/>
  <c r="S179" i="3"/>
  <c r="R179" i="1"/>
  <c r="Q180"/>
  <c r="R181"/>
  <c r="S182" i="3"/>
  <c r="Q182" i="2"/>
  <c r="Q182" i="1"/>
  <c r="Q183" i="2"/>
  <c r="S184" i="3"/>
  <c r="S65"/>
  <c r="T65" s="1"/>
  <c r="W65" s="1"/>
  <c r="X65" s="1"/>
  <c r="Z65" s="1"/>
  <c r="R65" i="2"/>
  <c r="S65" s="1"/>
  <c r="Z65" s="1"/>
  <c r="Q65" i="1"/>
  <c r="O66" i="3"/>
  <c r="Q66" i="2"/>
  <c r="R66"/>
  <c r="O66" i="1"/>
  <c r="R66" s="1"/>
  <c r="Q66"/>
  <c r="R67" i="3"/>
  <c r="S67"/>
  <c r="R67" i="2"/>
  <c r="R67" i="1"/>
  <c r="Q67"/>
  <c r="Q68" i="2"/>
  <c r="R69" i="3"/>
  <c r="S69"/>
  <c r="P69" i="2"/>
  <c r="R69" s="1"/>
  <c r="R69" i="1"/>
  <c r="Q69"/>
  <c r="S70" i="2"/>
  <c r="Z70" s="1"/>
  <c r="R70" i="1"/>
  <c r="Q70"/>
  <c r="T71" i="3"/>
  <c r="W71" s="1"/>
  <c r="X71" s="1"/>
  <c r="Z71" s="1"/>
  <c r="Q71" i="2"/>
  <c r="R71" i="1"/>
  <c r="Q71"/>
  <c r="O72" i="3"/>
  <c r="R72" i="1"/>
  <c r="Q72"/>
  <c r="R73" i="3"/>
  <c r="R73" i="2"/>
  <c r="O73" i="1"/>
  <c r="R73" s="1"/>
  <c r="Q73"/>
  <c r="R74" i="3"/>
  <c r="S74"/>
  <c r="Q74" i="2"/>
  <c r="R74"/>
  <c r="O74" i="1"/>
  <c r="R74" s="1"/>
  <c r="Q74"/>
  <c r="R75" i="3"/>
  <c r="S75"/>
  <c r="Q75" i="2"/>
  <c r="R75"/>
  <c r="Q76" i="3"/>
  <c r="R76" s="1"/>
  <c r="S76"/>
  <c r="P76" i="2"/>
  <c r="R76" s="1"/>
  <c r="Q113" i="1"/>
  <c r="S114" i="3"/>
  <c r="Q114" i="2"/>
  <c r="R114"/>
  <c r="R114" i="1"/>
  <c r="Q114"/>
  <c r="S115" i="3"/>
  <c r="R115" i="1"/>
  <c r="S115" s="1"/>
  <c r="Z115" s="1"/>
  <c r="R117" i="3"/>
  <c r="R117" i="2"/>
  <c r="S118"/>
  <c r="Z118" s="1"/>
  <c r="R118" i="1"/>
  <c r="Q118"/>
  <c r="S119" i="3"/>
  <c r="R119" i="1"/>
  <c r="Q119"/>
  <c r="Q120"/>
  <c r="R121"/>
  <c r="Z122" i="2"/>
  <c r="Q122" i="1"/>
  <c r="S123" i="3"/>
  <c r="Q123" i="2"/>
  <c r="S124" i="3"/>
  <c r="R124" i="2"/>
  <c r="D42" i="8"/>
  <c r="C42"/>
  <c r="D30"/>
  <c r="C30"/>
  <c r="D44"/>
  <c r="C44"/>
  <c r="D34"/>
  <c r="C34"/>
  <c r="D32"/>
  <c r="C32"/>
  <c r="D38"/>
  <c r="C38"/>
  <c r="D36"/>
  <c r="C36"/>
  <c r="D187"/>
  <c r="C187"/>
  <c r="D188"/>
  <c r="C188"/>
  <c r="D200"/>
  <c r="D185"/>
  <c r="D175"/>
  <c r="AS16" i="6"/>
  <c r="D176" i="8"/>
  <c r="D193"/>
  <c r="D208"/>
  <c r="D207"/>
  <c r="D202"/>
  <c r="C202"/>
  <c r="D198"/>
  <c r="C198"/>
  <c r="D192"/>
  <c r="C192"/>
  <c r="D174"/>
  <c r="C174"/>
  <c r="AM21" s="1"/>
  <c r="D168"/>
  <c r="C168"/>
  <c r="D162"/>
  <c r="C162"/>
  <c r="D156"/>
  <c r="C156"/>
  <c r="D150"/>
  <c r="C150"/>
  <c r="D142"/>
  <c r="C142"/>
  <c r="D136"/>
  <c r="C136"/>
  <c r="D128"/>
  <c r="C128"/>
  <c r="D124"/>
  <c r="C124"/>
  <c r="D120"/>
  <c r="C120"/>
  <c r="D112"/>
  <c r="C112"/>
  <c r="D102"/>
  <c r="C102"/>
  <c r="D96"/>
  <c r="C96"/>
  <c r="D90"/>
  <c r="C90"/>
  <c r="D84"/>
  <c r="C84"/>
  <c r="D80"/>
  <c r="C80"/>
  <c r="D74"/>
  <c r="C74"/>
  <c r="D68"/>
  <c r="C68"/>
  <c r="D60"/>
  <c r="C60"/>
  <c r="D56"/>
  <c r="C56"/>
  <c r="D50"/>
  <c r="C50"/>
  <c r="AS9" i="6"/>
  <c r="D206" i="8"/>
  <c r="D204"/>
  <c r="C204"/>
  <c r="D196"/>
  <c r="D194"/>
  <c r="C194"/>
  <c r="D190"/>
  <c r="D186"/>
  <c r="C186"/>
  <c r="D184"/>
  <c r="D182"/>
  <c r="D180"/>
  <c r="D178"/>
  <c r="D172"/>
  <c r="D170"/>
  <c r="C170"/>
  <c r="D166"/>
  <c r="D164"/>
  <c r="C164"/>
  <c r="D160"/>
  <c r="D158"/>
  <c r="C158"/>
  <c r="D154"/>
  <c r="C154"/>
  <c r="D148"/>
  <c r="D146"/>
  <c r="C146"/>
  <c r="D140"/>
  <c r="D138"/>
  <c r="C138"/>
  <c r="D134"/>
  <c r="C134"/>
  <c r="D132"/>
  <c r="D130"/>
  <c r="D126"/>
  <c r="C126"/>
  <c r="D122"/>
  <c r="C122"/>
  <c r="D118"/>
  <c r="D114"/>
  <c r="C114"/>
  <c r="D108"/>
  <c r="C108"/>
  <c r="D106"/>
  <c r="D104"/>
  <c r="D100"/>
  <c r="D98"/>
  <c r="C98"/>
  <c r="D94"/>
  <c r="C94"/>
  <c r="D92"/>
  <c r="D88"/>
  <c r="D86"/>
  <c r="C86"/>
  <c r="D82"/>
  <c r="C82"/>
  <c r="D78"/>
  <c r="C78"/>
  <c r="D76"/>
  <c r="D70"/>
  <c r="C70"/>
  <c r="D66"/>
  <c r="D64"/>
  <c r="C64"/>
  <c r="D62"/>
  <c r="D58"/>
  <c r="C58"/>
  <c r="D54"/>
  <c r="C54"/>
  <c r="D52"/>
  <c r="D48"/>
  <c r="C48"/>
  <c r="D205"/>
  <c r="D203"/>
  <c r="D199"/>
  <c r="C199"/>
  <c r="D195"/>
  <c r="D191"/>
  <c r="D183"/>
  <c r="D179"/>
  <c r="D169"/>
  <c r="C169"/>
  <c r="D165"/>
  <c r="AG142" i="1"/>
  <c r="AF142" s="1"/>
  <c r="AD26" i="2"/>
  <c r="AE38" s="1"/>
  <c r="AD21"/>
  <c r="AE33" s="1"/>
  <c r="AD22"/>
  <c r="AE34" s="1"/>
  <c r="BJ245" i="1"/>
  <c r="BB173"/>
  <c r="BB185" s="1"/>
  <c r="BB197" s="1"/>
  <c r="BA149" i="2"/>
  <c r="BA161" s="1"/>
  <c r="BA173" s="1"/>
  <c r="BE161"/>
  <c r="BE173" s="1"/>
  <c r="BE185" s="1"/>
  <c r="BE197" s="1"/>
  <c r="BE209" s="1"/>
  <c r="BE221" s="1"/>
  <c r="BE233" s="1"/>
  <c r="BE245" s="1"/>
  <c r="BF245" s="1"/>
  <c r="BI245" s="1"/>
  <c r="BA113" i="3"/>
  <c r="BA125" s="1"/>
  <c r="BA137" s="1"/>
  <c r="BA149" s="1"/>
  <c r="BA161" s="1"/>
  <c r="BA173" s="1"/>
  <c r="BA185" s="1"/>
  <c r="AX65"/>
  <c r="AX77" s="1"/>
  <c r="AX89" s="1"/>
  <c r="AX101" s="1"/>
  <c r="AX113" s="1"/>
  <c r="AX125" s="1"/>
  <c r="AX137" s="1"/>
  <c r="AX149" s="1"/>
  <c r="AX161" s="1"/>
  <c r="AX173" s="1"/>
  <c r="AX185" s="1"/>
  <c r="AX197" s="1"/>
  <c r="AX209" s="1"/>
  <c r="AX221" s="1"/>
  <c r="AX233" s="1"/>
  <c r="AX245" s="1"/>
  <c r="AY245" s="1"/>
  <c r="BF90" i="1"/>
  <c r="BF102" s="1"/>
  <c r="BF114" s="1"/>
  <c r="BF126" s="1"/>
  <c r="BF138" s="1"/>
  <c r="BF150" s="1"/>
  <c r="BF162" s="1"/>
  <c r="BF174" s="1"/>
  <c r="BF186" s="1"/>
  <c r="BF198" s="1"/>
  <c r="BF210" s="1"/>
  <c r="BF222" s="1"/>
  <c r="BF234" s="1"/>
  <c r="BI246"/>
  <c r="BA42" i="2"/>
  <c r="BA54" s="1"/>
  <c r="BE42"/>
  <c r="BE54" s="1"/>
  <c r="BA90" i="3"/>
  <c r="BA102" s="1"/>
  <c r="AX42"/>
  <c r="AX54" s="1"/>
  <c r="BF127" i="1"/>
  <c r="BF139" s="1"/>
  <c r="BF151" s="1"/>
  <c r="BF163" s="1"/>
  <c r="BF175" s="1"/>
  <c r="BF187" s="1"/>
  <c r="BF199" s="1"/>
  <c r="BF211" s="1"/>
  <c r="BF223" s="1"/>
  <c r="BF235" s="1"/>
  <c r="BI247"/>
  <c r="BA43" i="2"/>
  <c r="BA55" s="1"/>
  <c r="BA67" s="1"/>
  <c r="BA79" s="1"/>
  <c r="BA91" s="1"/>
  <c r="BA103" s="1"/>
  <c r="BA115" s="1"/>
  <c r="BA127" s="1"/>
  <c r="BA139" s="1"/>
  <c r="BA151" s="1"/>
  <c r="BA163" s="1"/>
  <c r="BA175" s="1"/>
  <c r="BA187" s="1"/>
  <c r="BA199" s="1"/>
  <c r="BA211" s="1"/>
  <c r="BA223" s="1"/>
  <c r="BA235" s="1"/>
  <c r="BI247"/>
  <c r="BA79" i="3"/>
  <c r="BA91" s="1"/>
  <c r="BF80" i="1"/>
  <c r="BF92" s="1"/>
  <c r="BF104" s="1"/>
  <c r="BF116" s="1"/>
  <c r="BF128" s="1"/>
  <c r="BF140" s="1"/>
  <c r="BF152" s="1"/>
  <c r="BF164" s="1"/>
  <c r="BF176" s="1"/>
  <c r="BF188" s="1"/>
  <c r="BF200" s="1"/>
  <c r="BF212" s="1"/>
  <c r="BF224" s="1"/>
  <c r="BF236" s="1"/>
  <c r="BF248" s="1"/>
  <c r="BG248" s="1"/>
  <c r="BJ248" s="1"/>
  <c r="BB56"/>
  <c r="BB68" s="1"/>
  <c r="BA80" i="2"/>
  <c r="BA92" s="1"/>
  <c r="BA104" s="1"/>
  <c r="BA116" s="1"/>
  <c r="BA128" s="1"/>
  <c r="BA140" s="1"/>
  <c r="BA152" s="1"/>
  <c r="BA164" s="1"/>
  <c r="BA176" s="1"/>
  <c r="BA188" s="1"/>
  <c r="BA200" s="1"/>
  <c r="BA212" s="1"/>
  <c r="BA224" s="1"/>
  <c r="BA236" s="1"/>
  <c r="BA248" s="1"/>
  <c r="BB248" s="1"/>
  <c r="BH248" s="1"/>
  <c r="BE68"/>
  <c r="BE80" s="1"/>
  <c r="BA140" i="3"/>
  <c r="BA152" s="1"/>
  <c r="BA164" s="1"/>
  <c r="BA176" s="1"/>
  <c r="BA188" s="1"/>
  <c r="BA200" s="1"/>
  <c r="BA212" s="1"/>
  <c r="BA224" s="1"/>
  <c r="BA236" s="1"/>
  <c r="BA248" s="1"/>
  <c r="BB248" s="1"/>
  <c r="BF248" s="1"/>
  <c r="AX92"/>
  <c r="AX104" s="1"/>
  <c r="AX116" s="1"/>
  <c r="AX128" s="1"/>
  <c r="AX140" s="1"/>
  <c r="AX152" s="1"/>
  <c r="AX164" s="1"/>
  <c r="AX176" s="1"/>
  <c r="AX188" s="1"/>
  <c r="BF57" i="1"/>
  <c r="BF69" s="1"/>
  <c r="BF81" s="1"/>
  <c r="BF93" s="1"/>
  <c r="BF105" s="1"/>
  <c r="BF117" s="1"/>
  <c r="BF129" s="1"/>
  <c r="BF141" s="1"/>
  <c r="BF153" s="1"/>
  <c r="BF165" s="1"/>
  <c r="BF177" s="1"/>
  <c r="BF189" s="1"/>
  <c r="BF201" s="1"/>
  <c r="BF213" s="1"/>
  <c r="BF225" s="1"/>
  <c r="BF237" s="1"/>
  <c r="BF249" s="1"/>
  <c r="BG249" s="1"/>
  <c r="BJ249" s="1"/>
  <c r="BB45"/>
  <c r="BB57" s="1"/>
  <c r="BA105" i="2"/>
  <c r="BA117" s="1"/>
  <c r="BE81"/>
  <c r="BE93" s="1"/>
  <c r="BE105" s="1"/>
  <c r="BE117" s="1"/>
  <c r="BE129" s="1"/>
  <c r="BE141" s="1"/>
  <c r="BE153" s="1"/>
  <c r="BE165" s="1"/>
  <c r="BE177" s="1"/>
  <c r="BE189" s="1"/>
  <c r="BE201" s="1"/>
  <c r="BE213" s="1"/>
  <c r="BA45" i="3"/>
  <c r="BA57" s="1"/>
  <c r="AX57"/>
  <c r="AX69" s="1"/>
  <c r="BF46" i="1"/>
  <c r="BF58" s="1"/>
  <c r="BI250"/>
  <c r="BA46" i="2"/>
  <c r="BA58" s="1"/>
  <c r="BA70" s="1"/>
  <c r="BA82" s="1"/>
  <c r="BA94" s="1"/>
  <c r="BA106" s="1"/>
  <c r="BA118" s="1"/>
  <c r="BA130" s="1"/>
  <c r="BA142" s="1"/>
  <c r="BA154" s="1"/>
  <c r="BA166" s="1"/>
  <c r="BA178" s="1"/>
  <c r="BA190" s="1"/>
  <c r="BA202" s="1"/>
  <c r="BA214" s="1"/>
  <c r="BA226" s="1"/>
  <c r="BA238" s="1"/>
  <c r="BA250" s="1"/>
  <c r="BB250" s="1"/>
  <c r="BH250" s="1"/>
  <c r="BE46"/>
  <c r="BE58" s="1"/>
  <c r="BE70" s="1"/>
  <c r="BE82" s="1"/>
  <c r="BE94" s="1"/>
  <c r="BE106" s="1"/>
  <c r="BE118" s="1"/>
  <c r="BE130" s="1"/>
  <c r="BE142" s="1"/>
  <c r="BE154" s="1"/>
  <c r="BE166" s="1"/>
  <c r="BE178" s="1"/>
  <c r="BE190" s="1"/>
  <c r="BA46" i="3"/>
  <c r="BA58" s="1"/>
  <c r="BA70" s="1"/>
  <c r="BA82" s="1"/>
  <c r="BA94" s="1"/>
  <c r="BA106" s="1"/>
  <c r="BA118" s="1"/>
  <c r="BA130" s="1"/>
  <c r="BA142" s="1"/>
  <c r="BA154" s="1"/>
  <c r="BA166" s="1"/>
  <c r="BA178" s="1"/>
  <c r="BA190" s="1"/>
  <c r="BA202" s="1"/>
  <c r="BA214" s="1"/>
  <c r="BA226" s="1"/>
  <c r="BA238" s="1"/>
  <c r="BA250" s="1"/>
  <c r="BB250" s="1"/>
  <c r="BF250" s="1"/>
  <c r="AX46"/>
  <c r="AX58" s="1"/>
  <c r="AX70" s="1"/>
  <c r="AX82" s="1"/>
  <c r="AX94" s="1"/>
  <c r="AX106" s="1"/>
  <c r="AX118" s="1"/>
  <c r="AX130" s="1"/>
  <c r="AX142" s="1"/>
  <c r="AX154" s="1"/>
  <c r="AX166" s="1"/>
  <c r="AX178" s="1"/>
  <c r="AX190" s="1"/>
  <c r="BF71" i="1"/>
  <c r="BF83" s="1"/>
  <c r="BF95" s="1"/>
  <c r="BF107" s="1"/>
  <c r="BF119" s="1"/>
  <c r="BF131" s="1"/>
  <c r="BF143" s="1"/>
  <c r="BF155" s="1"/>
  <c r="BF167" s="1"/>
  <c r="BF179" s="1"/>
  <c r="BF191" s="1"/>
  <c r="BF203" s="1"/>
  <c r="BF215" s="1"/>
  <c r="BF227" s="1"/>
  <c r="BF239" s="1"/>
  <c r="BF251" s="1"/>
  <c r="BG251" s="1"/>
  <c r="BJ251" s="1"/>
  <c r="BB119"/>
  <c r="BB131" s="1"/>
  <c r="BB143" s="1"/>
  <c r="BB155" s="1"/>
  <c r="BB167" s="1"/>
  <c r="BB179" s="1"/>
  <c r="BB191" s="1"/>
  <c r="BA47" i="2"/>
  <c r="BA59" s="1"/>
  <c r="BA71" s="1"/>
  <c r="BA83" s="1"/>
  <c r="BA95" s="1"/>
  <c r="BA107" s="1"/>
  <c r="BA119" s="1"/>
  <c r="BA131" s="1"/>
  <c r="BA143" s="1"/>
  <c r="BA155" s="1"/>
  <c r="BA167" s="1"/>
  <c r="BA179" s="1"/>
  <c r="BA191" s="1"/>
  <c r="BA203" s="1"/>
  <c r="BA215" s="1"/>
  <c r="BA227" s="1"/>
  <c r="BA239" s="1"/>
  <c r="BA251" s="1"/>
  <c r="BB251" s="1"/>
  <c r="BH251" s="1"/>
  <c r="BE47"/>
  <c r="BE59" s="1"/>
  <c r="BE71" s="1"/>
  <c r="BE83" s="1"/>
  <c r="BE95" s="1"/>
  <c r="BE107" s="1"/>
  <c r="BE119" s="1"/>
  <c r="BE131" s="1"/>
  <c r="BE143" s="1"/>
  <c r="BE155" s="1"/>
  <c r="BE167" s="1"/>
  <c r="BE179" s="1"/>
  <c r="BE191" s="1"/>
  <c r="BA143" i="3"/>
  <c r="BA155" s="1"/>
  <c r="BA167" s="1"/>
  <c r="BA179" s="1"/>
  <c r="BA191" s="1"/>
  <c r="BA203" s="1"/>
  <c r="BA215" s="1"/>
  <c r="BA227" s="1"/>
  <c r="BA239" s="1"/>
  <c r="BA251" s="1"/>
  <c r="BB251" s="1"/>
  <c r="BF251" s="1"/>
  <c r="AX47"/>
  <c r="AX59" s="1"/>
  <c r="AX71" s="1"/>
  <c r="AX83" s="1"/>
  <c r="AX95" s="1"/>
  <c r="AX107" s="1"/>
  <c r="AX119" s="1"/>
  <c r="AX131" s="1"/>
  <c r="AX143" s="1"/>
  <c r="AX155" s="1"/>
  <c r="AX167" s="1"/>
  <c r="AX179" s="1"/>
  <c r="AX191" s="1"/>
  <c r="BF60" i="1"/>
  <c r="BF72" s="1"/>
  <c r="BB60"/>
  <c r="BB72" s="1"/>
  <c r="BB84" s="1"/>
  <c r="BB96" s="1"/>
  <c r="BB108" s="1"/>
  <c r="BB120" s="1"/>
  <c r="BB132" s="1"/>
  <c r="BB144" s="1"/>
  <c r="BB156" s="1"/>
  <c r="BB168" s="1"/>
  <c r="BB180" s="1"/>
  <c r="BB192" s="1"/>
  <c r="BB204" s="1"/>
  <c r="BA84" i="2"/>
  <c r="BA96" s="1"/>
  <c r="BE72"/>
  <c r="BE84" s="1"/>
  <c r="BE96" s="1"/>
  <c r="BE108" s="1"/>
  <c r="BE120" s="1"/>
  <c r="BE132" s="1"/>
  <c r="BE144" s="1"/>
  <c r="BE156" s="1"/>
  <c r="BE168" s="1"/>
  <c r="BE180" s="1"/>
  <c r="BE192" s="1"/>
  <c r="BA96" i="3"/>
  <c r="BA108" s="1"/>
  <c r="BA120" s="1"/>
  <c r="BA132" s="1"/>
  <c r="BA144" s="1"/>
  <c r="BA156" s="1"/>
  <c r="BA168" s="1"/>
  <c r="BA180" s="1"/>
  <c r="BA192" s="1"/>
  <c r="BA204" s="1"/>
  <c r="BA216" s="1"/>
  <c r="BA228" s="1"/>
  <c r="BA240" s="1"/>
  <c r="BA252" s="1"/>
  <c r="BB252" s="1"/>
  <c r="BF252" s="1"/>
  <c r="AX180"/>
  <c r="AX192" s="1"/>
  <c r="BF61" i="1"/>
  <c r="BF73" s="1"/>
  <c r="BF85" s="1"/>
  <c r="BF97" s="1"/>
  <c r="BF109" s="1"/>
  <c r="BF121" s="1"/>
  <c r="BF133" s="1"/>
  <c r="BF145" s="1"/>
  <c r="BF157" s="1"/>
  <c r="BF169" s="1"/>
  <c r="BF181" s="1"/>
  <c r="BF193" s="1"/>
  <c r="BF205" s="1"/>
  <c r="BF217" s="1"/>
  <c r="BF229" s="1"/>
  <c r="BF241" s="1"/>
  <c r="BF253" s="1"/>
  <c r="BG253" s="1"/>
  <c r="BJ253" s="1"/>
  <c r="BB49"/>
  <c r="BB61" s="1"/>
  <c r="BA73" i="2"/>
  <c r="BA85" s="1"/>
  <c r="BI253"/>
  <c r="BF253" i="3"/>
  <c r="AX73"/>
  <c r="AX85" s="1"/>
  <c r="BJ254" i="1"/>
  <c r="BB98"/>
  <c r="BB110" s="1"/>
  <c r="BA74" i="2"/>
  <c r="BA86" s="1"/>
  <c r="BI254"/>
  <c r="BA74" i="3"/>
  <c r="BA86" s="1"/>
  <c r="BA98" s="1"/>
  <c r="BA110" s="1"/>
  <c r="BA122" s="1"/>
  <c r="BA134" s="1"/>
  <c r="BA146" s="1"/>
  <c r="BA158" s="1"/>
  <c r="BA170" s="1"/>
  <c r="BA182" s="1"/>
  <c r="BA194" s="1"/>
  <c r="BA206" s="1"/>
  <c r="BA218" s="1"/>
  <c r="BA230" s="1"/>
  <c r="BA242" s="1"/>
  <c r="BA254" s="1"/>
  <c r="BB254" s="1"/>
  <c r="BF254" s="1"/>
  <c r="AX146"/>
  <c r="AX158" s="1"/>
  <c r="AX170" s="1"/>
  <c r="AX182" s="1"/>
  <c r="AX194" s="1"/>
  <c r="BF51" i="1"/>
  <c r="BF63" s="1"/>
  <c r="BB51"/>
  <c r="BB63" s="1"/>
  <c r="BH255" i="2"/>
  <c r="BE87"/>
  <c r="BE99" s="1"/>
  <c r="BE111" s="1"/>
  <c r="BE123" s="1"/>
  <c r="BE135" s="1"/>
  <c r="BE147" s="1"/>
  <c r="BE159" s="1"/>
  <c r="BE171" s="1"/>
  <c r="BE183" s="1"/>
  <c r="BE195" s="1"/>
  <c r="BE207" s="1"/>
  <c r="BF255" i="3"/>
  <c r="AX87"/>
  <c r="AX99" s="1"/>
  <c r="AX111" s="1"/>
  <c r="AX123" s="1"/>
  <c r="AX135" s="1"/>
  <c r="AX147" s="1"/>
  <c r="AX159" s="1"/>
  <c r="AX171" s="1"/>
  <c r="AX183" s="1"/>
  <c r="AX195" s="1"/>
  <c r="AX207" s="1"/>
  <c r="BF52" i="1"/>
  <c r="BF64" s="1"/>
  <c r="BB52"/>
  <c r="BB64" s="1"/>
  <c r="BA100" i="2"/>
  <c r="BA112" s="1"/>
  <c r="BE112"/>
  <c r="BE124" s="1"/>
  <c r="BA100" i="3"/>
  <c r="BA112" s="1"/>
  <c r="BA124" s="1"/>
  <c r="BA136" s="1"/>
  <c r="BA148" s="1"/>
  <c r="BA160" s="1"/>
  <c r="BA172" s="1"/>
  <c r="BA184" s="1"/>
  <c r="BA196" s="1"/>
  <c r="BA208" s="1"/>
  <c r="BA220" s="1"/>
  <c r="BA232" s="1"/>
  <c r="BA244" s="1"/>
  <c r="BA256" s="1"/>
  <c r="BB256" s="1"/>
  <c r="BF256" s="1"/>
  <c r="AX88"/>
  <c r="AX100" s="1"/>
  <c r="AX112" s="1"/>
  <c r="AX124" s="1"/>
  <c r="AX136" s="1"/>
  <c r="AX148" s="1"/>
  <c r="AX160" s="1"/>
  <c r="AX172" s="1"/>
  <c r="AX184" s="1"/>
  <c r="AX196" s="1"/>
  <c r="AX208" s="1"/>
  <c r="BJ233" i="1"/>
  <c r="BI234"/>
  <c r="BI235"/>
  <c r="BI235" i="2"/>
  <c r="BG236" i="1"/>
  <c r="BJ236" s="1"/>
  <c r="BI238"/>
  <c r="BI241" i="2"/>
  <c r="BF241" i="3"/>
  <c r="BJ242" i="1"/>
  <c r="BI242" i="2"/>
  <c r="BH243"/>
  <c r="BF243" i="3"/>
  <c r="BJ269" i="1"/>
  <c r="BI270"/>
  <c r="BI271"/>
  <c r="BI271" i="2"/>
  <c r="BF260" i="1"/>
  <c r="BF272" s="1"/>
  <c r="BG272" s="1"/>
  <c r="BJ272" s="1"/>
  <c r="BI274"/>
  <c r="BI277" i="2"/>
  <c r="BF277" i="3"/>
  <c r="BJ278" i="1"/>
  <c r="BI278" i="2"/>
  <c r="BH279"/>
  <c r="BF279" i="3"/>
  <c r="BJ257" i="1"/>
  <c r="BI258"/>
  <c r="BI259"/>
  <c r="BI259" i="2"/>
  <c r="BE259" i="3"/>
  <c r="BI262" i="1"/>
  <c r="BI265" i="2"/>
  <c r="BF265" i="3"/>
  <c r="BJ266" i="1"/>
  <c r="BI266" i="2"/>
  <c r="BH267"/>
  <c r="BF267" i="3"/>
  <c r="BJ281" i="1"/>
  <c r="BI282"/>
  <c r="BI283"/>
  <c r="BI283" i="2"/>
  <c r="BE283" i="3"/>
  <c r="BI286" i="1"/>
  <c r="BI289" i="2"/>
  <c r="BF289" i="3"/>
  <c r="BJ290" i="1"/>
  <c r="BI290" i="2"/>
  <c r="BH291"/>
  <c r="BF291" i="3"/>
  <c r="BH231" i="2"/>
  <c r="BF231" i="3"/>
  <c r="BE223"/>
  <c r="BF229"/>
  <c r="BF303"/>
  <c r="BI295" i="2"/>
  <c r="BE295" i="3"/>
  <c r="BI301" i="2"/>
  <c r="BF301" i="3"/>
  <c r="BI302" i="2"/>
  <c r="BI229"/>
  <c r="BF217"/>
  <c r="BI217" s="1"/>
  <c r="BF217" i="3"/>
  <c r="BF314" i="2"/>
  <c r="BI314" s="1"/>
  <c r="BI226" i="1"/>
  <c r="BI214"/>
  <c r="BI222"/>
  <c r="BI210"/>
  <c r="BJ230"/>
  <c r="BI230" i="2"/>
  <c r="BI223" i="1"/>
  <c r="BI223" i="2"/>
  <c r="BI211" i="1"/>
  <c r="BB211" i="2"/>
  <c r="BH211" s="1"/>
  <c r="BI211"/>
  <c r="BJ218" i="1"/>
  <c r="BI218" i="2"/>
  <c r="BF307"/>
  <c r="BI307" s="1"/>
  <c r="BE307" i="3"/>
  <c r="BH219" i="2"/>
  <c r="BF219" i="3"/>
  <c r="BB315"/>
  <c r="BF315" s="1"/>
  <c r="BF313" i="2"/>
  <c r="BI313" s="1"/>
  <c r="BB313" i="3"/>
  <c r="BF313" s="1"/>
  <c r="BH315" i="2"/>
  <c r="BJ197" i="1"/>
  <c r="BI198"/>
  <c r="BI199"/>
  <c r="BI199" i="2"/>
  <c r="BI202" i="1"/>
  <c r="BF205" i="2"/>
  <c r="BI205" s="1"/>
  <c r="BF205" i="3"/>
  <c r="BJ206" i="1"/>
  <c r="BI206" i="2"/>
  <c r="BH207"/>
  <c r="BF207" i="3"/>
  <c r="BJ185" i="1"/>
  <c r="BI186"/>
  <c r="BI187"/>
  <c r="BI187" i="2"/>
  <c r="BI190" i="1"/>
  <c r="BF193" i="2"/>
  <c r="BI193" s="1"/>
  <c r="BF193" i="3"/>
  <c r="BJ194" i="1"/>
  <c r="BI194" i="2"/>
  <c r="BH195"/>
  <c r="BF195" i="3"/>
  <c r="BJ221" i="1"/>
  <c r="BJ209"/>
  <c r="BJ173"/>
  <c r="BI174"/>
  <c r="BI175" i="2"/>
  <c r="BE175" i="3"/>
  <c r="BI178" i="1"/>
  <c r="BF181" i="3"/>
  <c r="BJ182" i="1"/>
  <c r="BI182" i="2"/>
  <c r="BH183"/>
  <c r="BF183" i="3"/>
  <c r="BI113" i="2"/>
  <c r="BK113" s="1"/>
  <c r="BI154" i="1"/>
  <c r="BJ125"/>
  <c r="BI125"/>
  <c r="BI163"/>
  <c r="BJ161"/>
  <c r="BI161"/>
  <c r="BI151"/>
  <c r="BI139"/>
  <c r="BJ137"/>
  <c r="BI137"/>
  <c r="BI130"/>
  <c r="BI126"/>
  <c r="BI114"/>
  <c r="BI90"/>
  <c r="BJ86"/>
  <c r="BK86" s="1"/>
  <c r="BJ47"/>
  <c r="BK47" s="1"/>
  <c r="BI88" i="2"/>
  <c r="BK88" s="1"/>
  <c r="BJ149" i="1"/>
  <c r="BI149"/>
  <c r="BJ110"/>
  <c r="BI106"/>
  <c r="BI102"/>
  <c r="BJ98"/>
  <c r="BJ78"/>
  <c r="BI78"/>
  <c r="BI71"/>
  <c r="BG67"/>
  <c r="BJ67" s="1"/>
  <c r="BI67"/>
  <c r="BJ62"/>
  <c r="BI62"/>
  <c r="BJ56"/>
  <c r="BI162"/>
  <c r="BJ158"/>
  <c r="BG150"/>
  <c r="BJ150" s="1"/>
  <c r="BI150"/>
  <c r="BI138"/>
  <c r="BG134"/>
  <c r="BJ134" s="1"/>
  <c r="BI118"/>
  <c r="BJ113"/>
  <c r="BK113" s="1"/>
  <c r="BJ91"/>
  <c r="BI91"/>
  <c r="BJ89"/>
  <c r="BI89"/>
  <c r="BG66"/>
  <c r="BJ66" s="1"/>
  <c r="BI66"/>
  <c r="BI58"/>
  <c r="BJ170"/>
  <c r="BG146"/>
  <c r="BJ146" s="1"/>
  <c r="BC143"/>
  <c r="BI143" s="1"/>
  <c r="BJ115"/>
  <c r="BK115" s="1"/>
  <c r="BJ103"/>
  <c r="BI103"/>
  <c r="BJ101"/>
  <c r="BK101" s="1"/>
  <c r="BI82"/>
  <c r="BJ79"/>
  <c r="BI79"/>
  <c r="BJ77"/>
  <c r="BI77"/>
  <c r="BJ74"/>
  <c r="BI74"/>
  <c r="BJ68"/>
  <c r="BJ65"/>
  <c r="BI65"/>
  <c r="BJ43"/>
  <c r="BI43"/>
  <c r="BG53"/>
  <c r="BJ53" s="1"/>
  <c r="BI53"/>
  <c r="BG54"/>
  <c r="BJ54" s="1"/>
  <c r="BI54"/>
  <c r="BI70"/>
  <c r="BI83"/>
  <c r="BI95"/>
  <c r="BI107"/>
  <c r="BJ42"/>
  <c r="BI42"/>
  <c r="BJ55"/>
  <c r="BI55"/>
  <c r="BI53" i="2"/>
  <c r="BK53" s="1"/>
  <c r="BH159"/>
  <c r="BH147"/>
  <c r="BI139"/>
  <c r="BI134"/>
  <c r="BI127"/>
  <c r="BH125"/>
  <c r="BI125"/>
  <c r="BI115"/>
  <c r="BI103"/>
  <c r="BI98"/>
  <c r="BH87"/>
  <c r="BH63"/>
  <c r="BF63"/>
  <c r="BI63" s="1"/>
  <c r="BI151"/>
  <c r="BH123"/>
  <c r="BI110"/>
  <c r="BI100"/>
  <c r="BH93"/>
  <c r="BI86"/>
  <c r="BI79"/>
  <c r="BF74"/>
  <c r="BI74" s="1"/>
  <c r="BH64"/>
  <c r="BF64"/>
  <c r="BI64" s="1"/>
  <c r="BH56"/>
  <c r="BI56"/>
  <c r="BI158"/>
  <c r="BI146"/>
  <c r="BI122"/>
  <c r="BH111"/>
  <c r="BH99"/>
  <c r="BH89"/>
  <c r="BI89"/>
  <c r="BH72"/>
  <c r="BH69"/>
  <c r="BI69"/>
  <c r="BH41"/>
  <c r="BI41"/>
  <c r="BK21"/>
  <c r="BI163"/>
  <c r="BH135"/>
  <c r="BH101"/>
  <c r="BI101"/>
  <c r="BI97"/>
  <c r="BI91"/>
  <c r="BH75"/>
  <c r="BI75"/>
  <c r="BI67"/>
  <c r="BF55"/>
  <c r="BI55" s="1"/>
  <c r="BH45"/>
  <c r="BI45"/>
  <c r="BI43"/>
  <c r="BH50"/>
  <c r="BI50"/>
  <c r="BH57"/>
  <c r="BI57"/>
  <c r="BH61"/>
  <c r="BI61"/>
  <c r="BH65"/>
  <c r="BI65"/>
  <c r="BH68"/>
  <c r="BH76"/>
  <c r="BI76"/>
  <c r="BH77"/>
  <c r="BF77"/>
  <c r="BI77" s="1"/>
  <c r="BI121"/>
  <c r="BI133"/>
  <c r="BI170"/>
  <c r="BI169"/>
  <c r="BH48"/>
  <c r="BI48"/>
  <c r="BH52"/>
  <c r="BI52"/>
  <c r="BH62"/>
  <c r="BI62"/>
  <c r="BH81"/>
  <c r="BI109"/>
  <c r="BI149"/>
  <c r="BH171"/>
  <c r="BD91" i="3"/>
  <c r="BE91" s="1"/>
  <c r="BD68"/>
  <c r="BE68" s="1"/>
  <c r="BG68" s="1"/>
  <c r="BF171"/>
  <c r="BF169"/>
  <c r="BE156"/>
  <c r="BE132"/>
  <c r="BF128"/>
  <c r="BF111"/>
  <c r="BE108"/>
  <c r="BE96"/>
  <c r="BF95"/>
  <c r="BF88"/>
  <c r="BB85"/>
  <c r="BF85" s="1"/>
  <c r="BF78"/>
  <c r="BF75"/>
  <c r="BD75"/>
  <c r="BE75" s="1"/>
  <c r="BF73"/>
  <c r="BB71"/>
  <c r="BF71" s="1"/>
  <c r="BE134"/>
  <c r="BE120"/>
  <c r="BE115"/>
  <c r="BE110"/>
  <c r="BF104"/>
  <c r="BF101"/>
  <c r="BB87"/>
  <c r="BF87" s="1"/>
  <c r="BF76"/>
  <c r="BG76" s="1"/>
  <c r="BF72"/>
  <c r="BE72"/>
  <c r="BF66"/>
  <c r="BF62"/>
  <c r="BE62"/>
  <c r="BF67"/>
  <c r="BG67" s="1"/>
  <c r="BF53"/>
  <c r="BE53"/>
  <c r="BF44"/>
  <c r="BG44" s="1"/>
  <c r="BF37"/>
  <c r="BG37" s="1"/>
  <c r="BF36"/>
  <c r="BG36" s="1"/>
  <c r="BF30"/>
  <c r="BD30"/>
  <c r="BE30" s="1"/>
  <c r="BF20"/>
  <c r="BD20"/>
  <c r="BE20" s="1"/>
  <c r="BF55"/>
  <c r="BG55" s="1"/>
  <c r="BB47"/>
  <c r="BF47" s="1"/>
  <c r="BF43"/>
  <c r="BG43" s="1"/>
  <c r="BF41"/>
  <c r="BD41"/>
  <c r="BE41" s="1"/>
  <c r="BF39"/>
  <c r="BD39"/>
  <c r="BE39" s="1"/>
  <c r="BF31"/>
  <c r="BG31" s="1"/>
  <c r="BF23"/>
  <c r="BG23" s="1"/>
  <c r="BD32"/>
  <c r="BE32" s="1"/>
  <c r="BG32" s="1"/>
  <c r="BB159"/>
  <c r="BF159" s="1"/>
  <c r="BE168"/>
  <c r="BF157"/>
  <c r="BE151"/>
  <c r="BF147"/>
  <c r="BE144"/>
  <c r="BF133"/>
  <c r="BF131"/>
  <c r="BF99"/>
  <c r="BF97"/>
  <c r="BF89"/>
  <c r="BE86"/>
  <c r="BF80"/>
  <c r="BD80"/>
  <c r="BE80" s="1"/>
  <c r="BF77"/>
  <c r="BF123"/>
  <c r="BF121"/>
  <c r="BF119"/>
  <c r="BF116"/>
  <c r="BE103"/>
  <c r="BF83"/>
  <c r="BD79"/>
  <c r="BE79" s="1"/>
  <c r="BF64"/>
  <c r="BE64"/>
  <c r="BF61"/>
  <c r="BE61"/>
  <c r="BB54"/>
  <c r="BF54" s="1"/>
  <c r="BF18"/>
  <c r="BD18"/>
  <c r="BE18" s="1"/>
  <c r="BF65"/>
  <c r="BB59"/>
  <c r="BF59" s="1"/>
  <c r="BF52"/>
  <c r="BG52" s="1"/>
  <c r="BE45"/>
  <c r="BF42"/>
  <c r="BF40"/>
  <c r="BD40"/>
  <c r="BE40" s="1"/>
  <c r="BF38"/>
  <c r="BE38"/>
  <c r="BF25"/>
  <c r="BG25" s="1"/>
  <c r="BF19"/>
  <c r="BE19"/>
  <c r="BF51"/>
  <c r="BG51" s="1"/>
  <c r="BF63"/>
  <c r="BG63" s="1"/>
  <c r="BF21"/>
  <c r="BE21"/>
  <c r="BF22"/>
  <c r="BG22" s="1"/>
  <c r="BF24"/>
  <c r="BE24"/>
  <c r="BF28"/>
  <c r="BE28"/>
  <c r="BF34"/>
  <c r="BE34"/>
  <c r="BF35"/>
  <c r="BE35"/>
  <c r="BF50"/>
  <c r="BE50"/>
  <c r="BF60"/>
  <c r="BE60"/>
  <c r="BE74"/>
  <c r="BE98"/>
  <c r="BE122"/>
  <c r="BG210" i="1" l="1"/>
  <c r="BJ210" s="1"/>
  <c r="AB118" i="2"/>
  <c r="AB107" i="1"/>
  <c r="AB107" i="9" s="1"/>
  <c r="AB28" i="3"/>
  <c r="AD28" s="1"/>
  <c r="AB40"/>
  <c r="AD40" s="1"/>
  <c r="AF40" s="1"/>
  <c r="AB162" i="2"/>
  <c r="AB47"/>
  <c r="AB70"/>
  <c r="AB53" i="3"/>
  <c r="AD53" s="1"/>
  <c r="AF53" s="1"/>
  <c r="AB47"/>
  <c r="AD47" s="1"/>
  <c r="AB23"/>
  <c r="AD23" s="1"/>
  <c r="AB37"/>
  <c r="AD37" s="1"/>
  <c r="AB71"/>
  <c r="AD71" s="1"/>
  <c r="AF71" s="1"/>
  <c r="AB110" i="1"/>
  <c r="AB110" i="9" s="1"/>
  <c r="AB62" i="2"/>
  <c r="AB52" i="3"/>
  <c r="AD52" s="1"/>
  <c r="AF52" s="1"/>
  <c r="AB46" i="1"/>
  <c r="AB46" i="9" s="1"/>
  <c r="AB98" i="1"/>
  <c r="AB98" i="9" s="1"/>
  <c r="AB26" i="3"/>
  <c r="AD26" s="1"/>
  <c r="AB22"/>
  <c r="AD22" s="1"/>
  <c r="AB19"/>
  <c r="AD19" s="1"/>
  <c r="AF19" s="1"/>
  <c r="AB38"/>
  <c r="AD38" s="1"/>
  <c r="AB31"/>
  <c r="AD31" s="1"/>
  <c r="AB166" i="1"/>
  <c r="AB166" i="9" s="1"/>
  <c r="AB154" i="1"/>
  <c r="AB154" i="9" s="1"/>
  <c r="AB122" i="2"/>
  <c r="AB65" i="3"/>
  <c r="AD65" s="1"/>
  <c r="AB42"/>
  <c r="AD42" s="1"/>
  <c r="AF42" s="1"/>
  <c r="AB24"/>
  <c r="AD24" s="1"/>
  <c r="AF24" s="1"/>
  <c r="AB33"/>
  <c r="AD33" s="1"/>
  <c r="AF33" s="1"/>
  <c r="AB41" i="2"/>
  <c r="AB142" i="1"/>
  <c r="AB142" i="9" s="1"/>
  <c r="AB54" i="3"/>
  <c r="AD54" s="1"/>
  <c r="AF54" s="1"/>
  <c r="AB48" i="1"/>
  <c r="AB48" i="9" s="1"/>
  <c r="AB43" i="3"/>
  <c r="AD43" s="1"/>
  <c r="AF43" s="1"/>
  <c r="AB27"/>
  <c r="AD27" s="1"/>
  <c r="AB17"/>
  <c r="AD17" s="1"/>
  <c r="AF17" s="1"/>
  <c r="AB30"/>
  <c r="AD30" s="1"/>
  <c r="AB158" i="2"/>
  <c r="AB50"/>
  <c r="AA33" i="3"/>
  <c r="AB115" i="1"/>
  <c r="AB115" i="9" s="1"/>
  <c r="AB65" i="2"/>
  <c r="AB102"/>
  <c r="AB64" i="3"/>
  <c r="AD64" s="1"/>
  <c r="AF64" s="1"/>
  <c r="AB61" i="2"/>
  <c r="AB59"/>
  <c r="AB91" i="1"/>
  <c r="AB91" i="9" s="1"/>
  <c r="AB25" i="3"/>
  <c r="AD25" s="1"/>
  <c r="AF25" s="1"/>
  <c r="AB21"/>
  <c r="AD21" s="1"/>
  <c r="AB39"/>
  <c r="AD39" s="1"/>
  <c r="AF39" s="1"/>
  <c r="AB35"/>
  <c r="AD35" s="1"/>
  <c r="AF35" s="1"/>
  <c r="BB212" i="2"/>
  <c r="BH212" s="1"/>
  <c r="K112" i="1"/>
  <c r="Q112" s="1"/>
  <c r="BG138"/>
  <c r="BJ138" s="1"/>
  <c r="BK138" s="1"/>
  <c r="BG222"/>
  <c r="BJ222" s="1"/>
  <c r="BK222" s="1"/>
  <c r="BB223" i="2"/>
  <c r="BH223" s="1"/>
  <c r="O176" i="1"/>
  <c r="R176" s="1"/>
  <c r="AA17" i="3"/>
  <c r="O68" i="1"/>
  <c r="R68" s="1"/>
  <c r="S68" s="1"/>
  <c r="Z68" s="1"/>
  <c r="BG211"/>
  <c r="BJ211" s="1"/>
  <c r="BG223"/>
  <c r="BJ223" s="1"/>
  <c r="BK223" s="1"/>
  <c r="M76" i="2"/>
  <c r="Q76" s="1"/>
  <c r="S76" s="1"/>
  <c r="Z76" s="1"/>
  <c r="P104"/>
  <c r="R104" s="1"/>
  <c r="P194"/>
  <c r="R194" s="1"/>
  <c r="S194" s="1"/>
  <c r="Z194" s="1"/>
  <c r="M113"/>
  <c r="Q113" s="1"/>
  <c r="M89"/>
  <c r="Q89" s="1"/>
  <c r="M67"/>
  <c r="Q67" s="1"/>
  <c r="S67" s="1"/>
  <c r="Z67" s="1"/>
  <c r="M176"/>
  <c r="Q176" s="1"/>
  <c r="W44" i="1"/>
  <c r="AB44"/>
  <c r="AB44" i="9" s="1"/>
  <c r="AG94" i="2"/>
  <c r="AB94"/>
  <c r="P164"/>
  <c r="R164" s="1"/>
  <c r="O197" i="1"/>
  <c r="R197" s="1"/>
  <c r="O135"/>
  <c r="R135" s="1"/>
  <c r="P140" i="2"/>
  <c r="R140" s="1"/>
  <c r="P242"/>
  <c r="R242" s="1"/>
  <c r="K240" i="1"/>
  <c r="Q240" s="1"/>
  <c r="P248" i="2"/>
  <c r="R248" s="1"/>
  <c r="Z115" i="9"/>
  <c r="AA115" s="1"/>
  <c r="Z110"/>
  <c r="AA110" s="1"/>
  <c r="Z107"/>
  <c r="AA107" s="1"/>
  <c r="AA59" i="2"/>
  <c r="Z48" i="9"/>
  <c r="AA48" s="1"/>
  <c r="Z44"/>
  <c r="AA44" s="1"/>
  <c r="Z98"/>
  <c r="AA98" s="1"/>
  <c r="AA27" i="3"/>
  <c r="AF23"/>
  <c r="AG162" i="2"/>
  <c r="Z154" i="9"/>
  <c r="AA154" s="1"/>
  <c r="Z142"/>
  <c r="AA142" s="1"/>
  <c r="Z46"/>
  <c r="AA46" s="1"/>
  <c r="Z91"/>
  <c r="AA91" s="1"/>
  <c r="W41" i="2"/>
  <c r="AY104" i="3"/>
  <c r="BC104" s="1"/>
  <c r="AY106"/>
  <c r="BC106" s="1"/>
  <c r="BE106" s="1"/>
  <c r="AY119"/>
  <c r="BC119" s="1"/>
  <c r="BE119" s="1"/>
  <c r="BG119" s="1"/>
  <c r="BF108" i="2"/>
  <c r="BI108" s="1"/>
  <c r="BF94"/>
  <c r="BI94" s="1"/>
  <c r="BF107"/>
  <c r="BI107" s="1"/>
  <c r="BF153"/>
  <c r="BI153" s="1"/>
  <c r="BB163"/>
  <c r="BH163" s="1"/>
  <c r="BK163" s="1"/>
  <c r="BF47"/>
  <c r="BI47" s="1"/>
  <c r="W98" i="1"/>
  <c r="P116" i="2"/>
  <c r="R116" s="1"/>
  <c r="P68"/>
  <c r="R68" s="1"/>
  <c r="S68" s="1"/>
  <c r="Z68" s="1"/>
  <c r="O173" i="1"/>
  <c r="R173" s="1"/>
  <c r="K189"/>
  <c r="Q189" s="1"/>
  <c r="L99" i="3"/>
  <c r="P99" s="1"/>
  <c r="R99" s="1"/>
  <c r="T99" s="1"/>
  <c r="W99" s="1"/>
  <c r="X99" s="1"/>
  <c r="Z99" s="1"/>
  <c r="K167" i="1"/>
  <c r="Q167" s="1"/>
  <c r="S167" s="1"/>
  <c r="Z167" s="1"/>
  <c r="P277" i="2"/>
  <c r="R277" s="1"/>
  <c r="K270" i="1"/>
  <c r="Q270" s="1"/>
  <c r="S270" s="1"/>
  <c r="K215"/>
  <c r="Q215" s="1"/>
  <c r="S215" s="1"/>
  <c r="P289" i="2"/>
  <c r="R289" s="1"/>
  <c r="K282" i="1"/>
  <c r="Q282" s="1"/>
  <c r="S282" s="1"/>
  <c r="AG48"/>
  <c r="AF48" s="1"/>
  <c r="K121"/>
  <c r="Q121" s="1"/>
  <c r="S121" s="1"/>
  <c r="Z121" s="1"/>
  <c r="P121" i="2"/>
  <c r="R121" s="1"/>
  <c r="P120"/>
  <c r="R120" s="1"/>
  <c r="O113" i="1"/>
  <c r="R113" s="1"/>
  <c r="S113" s="1"/>
  <c r="Z113" s="1"/>
  <c r="O75"/>
  <c r="R75" s="1"/>
  <c r="K181"/>
  <c r="Q181" s="1"/>
  <c r="S181" s="1"/>
  <c r="Z181" s="1"/>
  <c r="P181" i="2"/>
  <c r="R181" s="1"/>
  <c r="P180"/>
  <c r="R180" s="1"/>
  <c r="K176" i="1"/>
  <c r="Q176" s="1"/>
  <c r="P176" i="2"/>
  <c r="R176" s="1"/>
  <c r="P175"/>
  <c r="R175" s="1"/>
  <c r="K109" i="1"/>
  <c r="Q109" s="1"/>
  <c r="S109" s="1"/>
  <c r="Z109" s="1"/>
  <c r="P109" i="2"/>
  <c r="R109" s="1"/>
  <c r="P108"/>
  <c r="R108" s="1"/>
  <c r="P60"/>
  <c r="R60" s="1"/>
  <c r="O53" i="1"/>
  <c r="R53" s="1"/>
  <c r="S53" s="1"/>
  <c r="Z53" s="1"/>
  <c r="M196" i="2"/>
  <c r="Q196" s="1"/>
  <c r="O195" i="1"/>
  <c r="R195" s="1"/>
  <c r="P190" i="2"/>
  <c r="R190" s="1"/>
  <c r="K81" i="1"/>
  <c r="Q81" s="1"/>
  <c r="S81" s="1"/>
  <c r="Z81" s="1"/>
  <c r="P80" i="2"/>
  <c r="R80" s="1"/>
  <c r="M100"/>
  <c r="Q100" s="1"/>
  <c r="O99" i="1"/>
  <c r="R99" s="1"/>
  <c r="O89"/>
  <c r="R89" s="1"/>
  <c r="S89" s="1"/>
  <c r="Z89" s="1"/>
  <c r="M172" i="2"/>
  <c r="Q172" s="1"/>
  <c r="K169" i="1"/>
  <c r="Q169" s="1"/>
  <c r="S169" s="1"/>
  <c r="Z169" s="1"/>
  <c r="P169" i="2"/>
  <c r="R169" s="1"/>
  <c r="K164" i="1"/>
  <c r="Q164" s="1"/>
  <c r="O164" i="3"/>
  <c r="S164" s="1"/>
  <c r="P157" i="2"/>
  <c r="R157" s="1"/>
  <c r="P156"/>
  <c r="R156" s="1"/>
  <c r="O149" i="1"/>
  <c r="R149" s="1"/>
  <c r="S149" s="1"/>
  <c r="Z149" s="1"/>
  <c r="K129"/>
  <c r="Q129" s="1"/>
  <c r="P128" i="2"/>
  <c r="R128" s="1"/>
  <c r="P247"/>
  <c r="R247" s="1"/>
  <c r="K263" i="1"/>
  <c r="Q263" s="1"/>
  <c r="S263" s="1"/>
  <c r="K258"/>
  <c r="Q258" s="1"/>
  <c r="S258" s="1"/>
  <c r="K210"/>
  <c r="Q210" s="1"/>
  <c r="S210" s="1"/>
  <c r="K222"/>
  <c r="Q222" s="1"/>
  <c r="S222" s="1"/>
  <c r="K294"/>
  <c r="Q294" s="1"/>
  <c r="S294" s="1"/>
  <c r="S72" i="3"/>
  <c r="J72" i="10"/>
  <c r="S66" i="3"/>
  <c r="J66" i="10"/>
  <c r="S56" i="3"/>
  <c r="J56" i="10"/>
  <c r="S196" i="3"/>
  <c r="J196" i="10"/>
  <c r="S83" i="3"/>
  <c r="J83" i="10"/>
  <c r="S95" i="3"/>
  <c r="J95" i="10"/>
  <c r="S158" i="3"/>
  <c r="J158" i="10"/>
  <c r="S137" i="3"/>
  <c r="J137" i="10"/>
  <c r="F88"/>
  <c r="K88"/>
  <c r="K99"/>
  <c r="F99"/>
  <c r="S314" i="3"/>
  <c r="J314" i="10"/>
  <c r="F83"/>
  <c r="N46" i="3"/>
  <c r="O46" s="1"/>
  <c r="H34" i="10"/>
  <c r="I34" s="1"/>
  <c r="S307" i="3"/>
  <c r="J307" i="10"/>
  <c r="F66"/>
  <c r="K89"/>
  <c r="F89"/>
  <c r="S103" i="3"/>
  <c r="J103" i="10"/>
  <c r="S48" i="3"/>
  <c r="J48" i="10"/>
  <c r="S44" i="3"/>
  <c r="J44" i="10"/>
  <c r="S78" i="3"/>
  <c r="J78" i="10"/>
  <c r="J164"/>
  <c r="S150" i="3"/>
  <c r="J150" i="10"/>
  <c r="S316" i="3"/>
  <c r="J316" i="10"/>
  <c r="F86"/>
  <c r="K86"/>
  <c r="F97"/>
  <c r="K48" i="3"/>
  <c r="L48" s="1"/>
  <c r="P48" s="1"/>
  <c r="R48" s="1"/>
  <c r="D36" i="10"/>
  <c r="E36" s="1"/>
  <c r="S311" i="3"/>
  <c r="J311" i="10"/>
  <c r="K46" i="3"/>
  <c r="L46" s="1"/>
  <c r="P46" s="1"/>
  <c r="R46" s="1"/>
  <c r="D34" i="10"/>
  <c r="E34" s="1"/>
  <c r="F165"/>
  <c r="K44" i="3"/>
  <c r="D44" i="10" s="1"/>
  <c r="E44" s="1"/>
  <c r="D32"/>
  <c r="E32" s="1"/>
  <c r="K79"/>
  <c r="F79"/>
  <c r="N159" i="3"/>
  <c r="K98"/>
  <c r="D98" i="10" s="1"/>
  <c r="E98" s="1"/>
  <c r="K109" i="3"/>
  <c r="D109" i="10" s="1"/>
  <c r="E109" s="1"/>
  <c r="K177" i="3"/>
  <c r="D177" i="10" s="1"/>
  <c r="E177" s="1"/>
  <c r="K91" i="3"/>
  <c r="D91" i="10" s="1"/>
  <c r="E91" s="1"/>
  <c r="N186" i="3"/>
  <c r="H186" i="10" s="1"/>
  <c r="I186" s="1"/>
  <c r="N173" i="3"/>
  <c r="H173" i="10" s="1"/>
  <c r="I173" s="1"/>
  <c r="K100" i="3"/>
  <c r="D100" i="10" s="1"/>
  <c r="E100" s="1"/>
  <c r="K111" i="3"/>
  <c r="D111" i="10" s="1"/>
  <c r="E111" s="1"/>
  <c r="N85" i="3"/>
  <c r="H85" i="10" s="1"/>
  <c r="I85" s="1"/>
  <c r="N108" i="3"/>
  <c r="H108" i="10" s="1"/>
  <c r="I108" s="1"/>
  <c r="K95" i="3"/>
  <c r="D95" i="10" s="1"/>
  <c r="E95" s="1"/>
  <c r="N117" i="3"/>
  <c r="H117" i="10" s="1"/>
  <c r="I117" s="1"/>
  <c r="N176" i="3"/>
  <c r="H176" i="10" s="1"/>
  <c r="I176" s="1"/>
  <c r="K78" i="3"/>
  <c r="D78" i="10" s="1"/>
  <c r="E78" s="1"/>
  <c r="K101" i="3"/>
  <c r="D101" i="10" s="1"/>
  <c r="E101" s="1"/>
  <c r="K124" i="1"/>
  <c r="Q124" s="1"/>
  <c r="P113" i="2"/>
  <c r="R113" s="1"/>
  <c r="K76" i="1"/>
  <c r="Q76" s="1"/>
  <c r="K64"/>
  <c r="Q64" s="1"/>
  <c r="K196"/>
  <c r="Q196" s="1"/>
  <c r="O188"/>
  <c r="R188" s="1"/>
  <c r="O228"/>
  <c r="R228" s="1"/>
  <c r="O225"/>
  <c r="R225" s="1"/>
  <c r="O224"/>
  <c r="R224" s="1"/>
  <c r="AF27" i="3"/>
  <c r="AA23"/>
  <c r="BB79"/>
  <c r="BF79" s="1"/>
  <c r="AY47"/>
  <c r="BC47" s="1"/>
  <c r="BE47" s="1"/>
  <c r="BG47" s="1"/>
  <c r="AY70"/>
  <c r="BC70" s="1"/>
  <c r="BE70" s="1"/>
  <c r="AY87"/>
  <c r="BC87" s="1"/>
  <c r="BF154" i="2"/>
  <c r="BI154" s="1"/>
  <c r="AA142" i="1"/>
  <c r="AG91"/>
  <c r="AF91" s="1"/>
  <c r="P123" i="2"/>
  <c r="R123" s="1"/>
  <c r="S123" s="1"/>
  <c r="Z123" s="1"/>
  <c r="O122" i="1"/>
  <c r="R122" s="1"/>
  <c r="M73" i="2"/>
  <c r="Q73" s="1"/>
  <c r="S73" s="1"/>
  <c r="Z73" s="1"/>
  <c r="M72"/>
  <c r="Q72" s="1"/>
  <c r="K184" i="1"/>
  <c r="Q184" s="1"/>
  <c r="P183" i="2"/>
  <c r="R183" s="1"/>
  <c r="S183" s="1"/>
  <c r="Z183" s="1"/>
  <c r="O182" i="1"/>
  <c r="R182" s="1"/>
  <c r="S182" s="1"/>
  <c r="Z182" s="1"/>
  <c r="M181" i="2"/>
  <c r="Q181" s="1"/>
  <c r="O180" i="1"/>
  <c r="R180" s="1"/>
  <c r="S180" s="1"/>
  <c r="Z180" s="1"/>
  <c r="M180" i="2"/>
  <c r="Q180" s="1"/>
  <c r="P111"/>
  <c r="R111" s="1"/>
  <c r="S111" s="1"/>
  <c r="Z111" s="1"/>
  <c r="O105" i="1"/>
  <c r="R105" s="1"/>
  <c r="M105" i="2"/>
  <c r="Q105" s="1"/>
  <c r="S105" s="1"/>
  <c r="Z105" s="1"/>
  <c r="O104" i="1"/>
  <c r="R104" s="1"/>
  <c r="S104" s="1"/>
  <c r="Z104" s="1"/>
  <c r="M104" i="2"/>
  <c r="Q104" s="1"/>
  <c r="K52" i="1"/>
  <c r="Q52" s="1"/>
  <c r="K51"/>
  <c r="Q51" s="1"/>
  <c r="M85" i="2"/>
  <c r="Q85" s="1"/>
  <c r="M84"/>
  <c r="Q84" s="1"/>
  <c r="M79"/>
  <c r="Q79" s="1"/>
  <c r="S79" s="1"/>
  <c r="Z79" s="1"/>
  <c r="L79" i="3"/>
  <c r="P79" s="1"/>
  <c r="M96" i="2"/>
  <c r="Q96" s="1"/>
  <c r="P89"/>
  <c r="R89" s="1"/>
  <c r="L32" i="3"/>
  <c r="P32" s="1"/>
  <c r="W166" i="1"/>
  <c r="Z166" i="9"/>
  <c r="AG41" i="2"/>
  <c r="M169"/>
  <c r="Q169" s="1"/>
  <c r="O264" i="1"/>
  <c r="R264" s="1"/>
  <c r="M278" i="2"/>
  <c r="Q278" s="1"/>
  <c r="AY65" i="3"/>
  <c r="BC65" s="1"/>
  <c r="AY113"/>
  <c r="BC113" s="1"/>
  <c r="W122" i="2"/>
  <c r="AA70"/>
  <c r="AF65" i="3"/>
  <c r="AG107" i="1"/>
  <c r="AF107" s="1"/>
  <c r="W61" i="2"/>
  <c r="AA53" i="3"/>
  <c r="W48" i="1"/>
  <c r="AA47" i="3"/>
  <c r="AA98" i="1"/>
  <c r="W91"/>
  <c r="AF21" i="3"/>
  <c r="AA39"/>
  <c r="AA162" i="2"/>
  <c r="W154" i="1"/>
  <c r="W142"/>
  <c r="AA65" i="2"/>
  <c r="W104" i="1"/>
  <c r="AG102" i="2"/>
  <c r="AG59"/>
  <c r="AA46" i="1"/>
  <c r="AA44"/>
  <c r="AA94" i="2"/>
  <c r="AA24" i="3"/>
  <c r="AA19"/>
  <c r="AA38"/>
  <c r="AF30"/>
  <c r="AG166" i="1"/>
  <c r="AF166" s="1"/>
  <c r="AG158" i="2"/>
  <c r="AG47"/>
  <c r="AA41"/>
  <c r="BB160" i="3"/>
  <c r="BF160" s="1"/>
  <c r="BB168"/>
  <c r="BF168" s="1"/>
  <c r="BG168" s="1"/>
  <c r="AY101"/>
  <c r="BC101" s="1"/>
  <c r="AY125"/>
  <c r="BC125" s="1"/>
  <c r="BG193" i="1"/>
  <c r="BJ193" s="1"/>
  <c r="BB143" i="3"/>
  <c r="BF143" s="1"/>
  <c r="BG143" s="1"/>
  <c r="BB94"/>
  <c r="BF94" s="1"/>
  <c r="BB118"/>
  <c r="BF118" s="1"/>
  <c r="BB172"/>
  <c r="BF172" s="1"/>
  <c r="BB95" i="2"/>
  <c r="BH95" s="1"/>
  <c r="BB100"/>
  <c r="BH100" s="1"/>
  <c r="BK100" s="1"/>
  <c r="BG121" i="1"/>
  <c r="BJ121" s="1"/>
  <c r="BB191" i="2"/>
  <c r="BH191" s="1"/>
  <c r="M314"/>
  <c r="Q314" s="1"/>
  <c r="L326"/>
  <c r="L338" s="1"/>
  <c r="L350" s="1"/>
  <c r="P314"/>
  <c r="R314" s="1"/>
  <c r="O326"/>
  <c r="AY99" i="3"/>
  <c r="BC99" s="1"/>
  <c r="AY131"/>
  <c r="BC131" s="1"/>
  <c r="BE131" s="1"/>
  <c r="BG131" s="1"/>
  <c r="AY100"/>
  <c r="BC100" s="1"/>
  <c r="AY146"/>
  <c r="BC146" s="1"/>
  <c r="BE146" s="1"/>
  <c r="BB161"/>
  <c r="BF161" s="1"/>
  <c r="BF156" i="2"/>
  <c r="BI156" s="1"/>
  <c r="BF141"/>
  <c r="BI141" s="1"/>
  <c r="BF70"/>
  <c r="BI70" s="1"/>
  <c r="BF147"/>
  <c r="BI147" s="1"/>
  <c r="BK147" s="1"/>
  <c r="BF155"/>
  <c r="BI155" s="1"/>
  <c r="BG102" i="1"/>
  <c r="BJ102" s="1"/>
  <c r="BK102" s="1"/>
  <c r="BC144"/>
  <c r="BI144" s="1"/>
  <c r="AY178" i="3"/>
  <c r="BC178" s="1"/>
  <c r="BE178" s="1"/>
  <c r="AY176"/>
  <c r="BC176" s="1"/>
  <c r="BC192" i="1"/>
  <c r="BI192" s="1"/>
  <c r="AA61" i="2"/>
  <c r="K88" i="1"/>
  <c r="Q88" s="1"/>
  <c r="O161" i="3"/>
  <c r="O129" i="1"/>
  <c r="R129" s="1"/>
  <c r="M129" i="2"/>
  <c r="Q129" s="1"/>
  <c r="S129" s="1"/>
  <c r="Z129" s="1"/>
  <c r="O128" i="1"/>
  <c r="R128" s="1"/>
  <c r="S128" s="1"/>
  <c r="Z128" s="1"/>
  <c r="M128" i="2"/>
  <c r="Q128" s="1"/>
  <c r="P125"/>
  <c r="R125" s="1"/>
  <c r="M145"/>
  <c r="Q145" s="1"/>
  <c r="M144"/>
  <c r="Q144" s="1"/>
  <c r="M254"/>
  <c r="Q254" s="1"/>
  <c r="O253" i="1"/>
  <c r="R253" s="1"/>
  <c r="O276"/>
  <c r="R276" s="1"/>
  <c r="M218" i="2"/>
  <c r="Q218" s="1"/>
  <c r="O217" i="1"/>
  <c r="R217" s="1"/>
  <c r="O313"/>
  <c r="R313" s="1"/>
  <c r="N325"/>
  <c r="K313"/>
  <c r="Q313" s="1"/>
  <c r="J325"/>
  <c r="P313" i="2"/>
  <c r="R313" s="1"/>
  <c r="O325"/>
  <c r="K148" i="1"/>
  <c r="Q148" s="1"/>
  <c r="P147" i="2"/>
  <c r="R147" s="1"/>
  <c r="S147" s="1"/>
  <c r="Z147" s="1"/>
  <c r="O147" i="3"/>
  <c r="O146" i="1"/>
  <c r="R146" s="1"/>
  <c r="S146" s="1"/>
  <c r="Z146" s="1"/>
  <c r="O312"/>
  <c r="R312" s="1"/>
  <c r="N324"/>
  <c r="M312" i="2"/>
  <c r="Q312" s="1"/>
  <c r="L324"/>
  <c r="L336" s="1"/>
  <c r="L348" s="1"/>
  <c r="K312" i="1"/>
  <c r="Q312" s="1"/>
  <c r="J324"/>
  <c r="K277"/>
  <c r="Q277" s="1"/>
  <c r="K289"/>
  <c r="Q289" s="1"/>
  <c r="BB108" i="3"/>
  <c r="BF108" s="1"/>
  <c r="BG108" s="1"/>
  <c r="BB130"/>
  <c r="BF130" s="1"/>
  <c r="BB132"/>
  <c r="BF132" s="1"/>
  <c r="BG132" s="1"/>
  <c r="BB167"/>
  <c r="BF167" s="1"/>
  <c r="BB190"/>
  <c r="BF190" s="1"/>
  <c r="BB206"/>
  <c r="BF206" s="1"/>
  <c r="BG200" i="1"/>
  <c r="BJ200" s="1"/>
  <c r="W107"/>
  <c r="L165" i="3"/>
  <c r="P165" s="1"/>
  <c r="R165" s="1"/>
  <c r="O164" i="1"/>
  <c r="R164" s="1"/>
  <c r="M164" i="2"/>
  <c r="Q164" s="1"/>
  <c r="M154"/>
  <c r="Q154" s="1"/>
  <c r="O204" i="1"/>
  <c r="R204" s="1"/>
  <c r="M242" i="2"/>
  <c r="Q242" s="1"/>
  <c r="O241" i="1"/>
  <c r="R241" s="1"/>
  <c r="O240"/>
  <c r="R240" s="1"/>
  <c r="O212"/>
  <c r="R212" s="1"/>
  <c r="M286" i="2"/>
  <c r="Q286" s="1"/>
  <c r="M284"/>
  <c r="Q284" s="1"/>
  <c r="K281" i="1"/>
  <c r="Q281" s="1"/>
  <c r="AY116" i="3"/>
  <c r="BC116" s="1"/>
  <c r="AY123"/>
  <c r="BC123" s="1"/>
  <c r="AY83"/>
  <c r="BC83" s="1"/>
  <c r="BE83" s="1"/>
  <c r="BG83" s="1"/>
  <c r="AY143"/>
  <c r="BC143" s="1"/>
  <c r="BE143" s="1"/>
  <c r="AY147"/>
  <c r="BC147" s="1"/>
  <c r="BB149"/>
  <c r="BF149" s="1"/>
  <c r="AY82"/>
  <c r="BC82" s="1"/>
  <c r="BE82" s="1"/>
  <c r="AY88"/>
  <c r="BC88" s="1"/>
  <c r="BB90"/>
  <c r="BF90" s="1"/>
  <c r="AY140"/>
  <c r="BC140" s="1"/>
  <c r="AY155"/>
  <c r="BC155" s="1"/>
  <c r="BE155" s="1"/>
  <c r="AY158"/>
  <c r="BC158" s="1"/>
  <c r="BE158" s="1"/>
  <c r="AY171"/>
  <c r="BC171" s="1"/>
  <c r="AY152"/>
  <c r="BC152" s="1"/>
  <c r="AY166"/>
  <c r="BC166" s="1"/>
  <c r="BE166" s="1"/>
  <c r="AY107"/>
  <c r="BC107" s="1"/>
  <c r="BE107" s="1"/>
  <c r="BG107" s="1"/>
  <c r="BB149" i="2"/>
  <c r="BH149" s="1"/>
  <c r="BK149" s="1"/>
  <c r="BF84"/>
  <c r="BI84" s="1"/>
  <c r="BF168"/>
  <c r="BI168" s="1"/>
  <c r="BF132"/>
  <c r="BI132" s="1"/>
  <c r="BF68"/>
  <c r="BI68" s="1"/>
  <c r="BK68" s="1"/>
  <c r="BF58"/>
  <c r="BI58" s="1"/>
  <c r="BF72"/>
  <c r="BI72" s="1"/>
  <c r="BK72" s="1"/>
  <c r="BF83"/>
  <c r="BI83" s="1"/>
  <c r="BF111"/>
  <c r="BI111" s="1"/>
  <c r="BK111" s="1"/>
  <c r="BF118"/>
  <c r="BI118" s="1"/>
  <c r="BF129"/>
  <c r="BI129" s="1"/>
  <c r="BF71"/>
  <c r="BI71" s="1"/>
  <c r="AY135" i="3"/>
  <c r="BC135" s="1"/>
  <c r="BF87" i="2"/>
  <c r="BI87" s="1"/>
  <c r="BK87" s="1"/>
  <c r="BB103"/>
  <c r="BH103" s="1"/>
  <c r="BK103" s="1"/>
  <c r="BF117"/>
  <c r="BI117" s="1"/>
  <c r="BF130"/>
  <c r="BI130" s="1"/>
  <c r="BC167" i="1"/>
  <c r="BI167" s="1"/>
  <c r="BC56"/>
  <c r="BI56" s="1"/>
  <c r="BK56" s="1"/>
  <c r="AA40" i="3"/>
  <c r="AA30"/>
  <c r="AF38"/>
  <c r="AF47"/>
  <c r="W162" i="2"/>
  <c r="W158"/>
  <c r="W102"/>
  <c r="AA47"/>
  <c r="AG98" i="1"/>
  <c r="AF98" s="1"/>
  <c r="K123"/>
  <c r="Q123" s="1"/>
  <c r="M121" i="2"/>
  <c r="Q121" s="1"/>
  <c r="O120" i="1"/>
  <c r="R120" s="1"/>
  <c r="S120" s="1"/>
  <c r="Z120" s="1"/>
  <c r="M120" i="2"/>
  <c r="Q120" s="1"/>
  <c r="O117" i="1"/>
  <c r="R117" s="1"/>
  <c r="M117" i="2"/>
  <c r="Q117" s="1"/>
  <c r="S117" s="1"/>
  <c r="Z117" s="1"/>
  <c r="O116" i="1"/>
  <c r="R116" s="1"/>
  <c r="S116" s="1"/>
  <c r="Z116" s="1"/>
  <c r="M116" i="2"/>
  <c r="Q116" s="1"/>
  <c r="M115"/>
  <c r="Q115" s="1"/>
  <c r="S115" s="1"/>
  <c r="Z115" s="1"/>
  <c r="K75" i="1"/>
  <c r="Q75" s="1"/>
  <c r="P71" i="2"/>
  <c r="R71" s="1"/>
  <c r="S71" s="1"/>
  <c r="Z71" s="1"/>
  <c r="M69"/>
  <c r="Q69" s="1"/>
  <c r="S69" s="1"/>
  <c r="Z69" s="1"/>
  <c r="P184"/>
  <c r="R184" s="1"/>
  <c r="K183" i="1"/>
  <c r="Q183" s="1"/>
  <c r="M178" i="2"/>
  <c r="Q178" s="1"/>
  <c r="O177" i="1"/>
  <c r="R177" s="1"/>
  <c r="M177" i="2"/>
  <c r="Q177" s="1"/>
  <c r="S177" s="1"/>
  <c r="Z177" s="1"/>
  <c r="O174" i="3"/>
  <c r="K173" i="1"/>
  <c r="Q173" s="1"/>
  <c r="K111"/>
  <c r="Q111" s="1"/>
  <c r="M109" i="2"/>
  <c r="Q109" s="1"/>
  <c r="O108" i="1"/>
  <c r="R108" s="1"/>
  <c r="S108" s="1"/>
  <c r="Z108" s="1"/>
  <c r="M108" i="2"/>
  <c r="Q108" s="1"/>
  <c r="M103"/>
  <c r="Q103" s="1"/>
  <c r="S103" s="1"/>
  <c r="Z103" s="1"/>
  <c r="P101"/>
  <c r="R101" s="1"/>
  <c r="K63" i="1"/>
  <c r="Q63" s="1"/>
  <c r="M60" i="2"/>
  <c r="Q60" s="1"/>
  <c r="M57"/>
  <c r="Q57" s="1"/>
  <c r="S57" s="1"/>
  <c r="Z57" s="1"/>
  <c r="M193"/>
  <c r="Q193" s="1"/>
  <c r="M192"/>
  <c r="Q192" s="1"/>
  <c r="M190"/>
  <c r="Q190" s="1"/>
  <c r="O189" i="1"/>
  <c r="R189" s="1"/>
  <c r="M189" i="2"/>
  <c r="Q189" s="1"/>
  <c r="S189" s="1"/>
  <c r="Z189" s="1"/>
  <c r="K185" i="1"/>
  <c r="Q185" s="1"/>
  <c r="P87" i="2"/>
  <c r="R87" s="1"/>
  <c r="S87" s="1"/>
  <c r="Z87" s="1"/>
  <c r="K100" i="1"/>
  <c r="Q100" s="1"/>
  <c r="M97" i="2"/>
  <c r="Q97" s="1"/>
  <c r="O92" i="1"/>
  <c r="R92" s="1"/>
  <c r="S92" s="1"/>
  <c r="Z92" s="1"/>
  <c r="P172" i="2"/>
  <c r="R172" s="1"/>
  <c r="K171" i="1"/>
  <c r="Q171" s="1"/>
  <c r="M168" i="2"/>
  <c r="Q168" s="1"/>
  <c r="P160"/>
  <c r="R160" s="1"/>
  <c r="K159" i="1"/>
  <c r="Q159" s="1"/>
  <c r="O153"/>
  <c r="R153" s="1"/>
  <c r="M153" i="2"/>
  <c r="Q153" s="1"/>
  <c r="S153" s="1"/>
  <c r="Z153" s="1"/>
  <c r="O152" i="1"/>
  <c r="R152" s="1"/>
  <c r="K208"/>
  <c r="Q208" s="1"/>
  <c r="P207" i="2"/>
  <c r="R207" s="1"/>
  <c r="S207" s="1"/>
  <c r="Z207" s="1"/>
  <c r="O206" i="1"/>
  <c r="R206" s="1"/>
  <c r="S206" s="1"/>
  <c r="Z206" s="1"/>
  <c r="M205" i="2"/>
  <c r="Q205" s="1"/>
  <c r="M200"/>
  <c r="Q200" s="1"/>
  <c r="K197" i="1"/>
  <c r="Q197" s="1"/>
  <c r="M48" i="2"/>
  <c r="Q48" s="1"/>
  <c r="K135" i="1"/>
  <c r="Q135" s="1"/>
  <c r="P135" i="2"/>
  <c r="R135" s="1"/>
  <c r="S135" s="1"/>
  <c r="Z135" s="1"/>
  <c r="O134" i="1"/>
  <c r="R134" s="1"/>
  <c r="S134" s="1"/>
  <c r="Z134" s="1"/>
  <c r="M133" i="2"/>
  <c r="Q133" s="1"/>
  <c r="M132"/>
  <c r="Q132" s="1"/>
  <c r="O140" i="1"/>
  <c r="R140" s="1"/>
  <c r="S140" s="1"/>
  <c r="Z140" s="1"/>
  <c r="M140" i="2"/>
  <c r="Q140" s="1"/>
  <c r="M238"/>
  <c r="Q238" s="1"/>
  <c r="M236"/>
  <c r="Q236" s="1"/>
  <c r="O252" i="1"/>
  <c r="R252" s="1"/>
  <c r="M266" i="2"/>
  <c r="Q266" s="1"/>
  <c r="O265" i="1"/>
  <c r="R265" s="1"/>
  <c r="O261"/>
  <c r="R261" s="1"/>
  <c r="O260"/>
  <c r="R260" s="1"/>
  <c r="M274" i="2"/>
  <c r="Q274" s="1"/>
  <c r="M272"/>
  <c r="Q272" s="1"/>
  <c r="K269" i="1"/>
  <c r="Q269" s="1"/>
  <c r="O216"/>
  <c r="R216" s="1"/>
  <c r="M230" i="2"/>
  <c r="Q230" s="1"/>
  <c r="O229" i="1"/>
  <c r="R229" s="1"/>
  <c r="M290" i="2"/>
  <c r="Q290" s="1"/>
  <c r="O288" i="1"/>
  <c r="R288" s="1"/>
  <c r="M300" i="2"/>
  <c r="Q300" s="1"/>
  <c r="M298"/>
  <c r="Q298" s="1"/>
  <c r="M296"/>
  <c r="Q296" s="1"/>
  <c r="K293" i="1"/>
  <c r="Q293" s="1"/>
  <c r="BC120"/>
  <c r="BI120" s="1"/>
  <c r="BC180"/>
  <c r="BI180" s="1"/>
  <c r="P196" i="2"/>
  <c r="R196" s="1"/>
  <c r="K195" i="1"/>
  <c r="Q195" s="1"/>
  <c r="P195" i="2"/>
  <c r="R195" s="1"/>
  <c r="S195" s="1"/>
  <c r="Z195" s="1"/>
  <c r="O194" i="1"/>
  <c r="R194" s="1"/>
  <c r="S194" s="1"/>
  <c r="Z194" s="1"/>
  <c r="O192"/>
  <c r="R192" s="1"/>
  <c r="S192" s="1"/>
  <c r="Z192" s="1"/>
  <c r="M188" i="2"/>
  <c r="Q188" s="1"/>
  <c r="K87" i="1"/>
  <c r="Q87" s="1"/>
  <c r="L86" i="3"/>
  <c r="P86" s="1"/>
  <c r="R86" s="1"/>
  <c r="T86" s="1"/>
  <c r="W86" s="1"/>
  <c r="X86" s="1"/>
  <c r="Z86" s="1"/>
  <c r="M81" i="2"/>
  <c r="Q81" s="1"/>
  <c r="S81" s="1"/>
  <c r="Z81" s="1"/>
  <c r="O80" i="1"/>
  <c r="R80" s="1"/>
  <c r="S80" s="1"/>
  <c r="Z80" s="1"/>
  <c r="M80" i="2"/>
  <c r="Q80" s="1"/>
  <c r="P77"/>
  <c r="R77" s="1"/>
  <c r="K99" i="1"/>
  <c r="Q99" s="1"/>
  <c r="P99" i="2"/>
  <c r="R99" s="1"/>
  <c r="S99" s="1"/>
  <c r="Z99" s="1"/>
  <c r="L97" i="3"/>
  <c r="P97" s="1"/>
  <c r="R97" s="1"/>
  <c r="O93" i="1"/>
  <c r="R93" s="1"/>
  <c r="M93" i="2"/>
  <c r="Q93" s="1"/>
  <c r="S93" s="1"/>
  <c r="Z93" s="1"/>
  <c r="M92"/>
  <c r="Q92" s="1"/>
  <c r="M91"/>
  <c r="Q91" s="1"/>
  <c r="S91" s="1"/>
  <c r="Z91" s="1"/>
  <c r="L36" i="3"/>
  <c r="P36" s="1"/>
  <c r="R36" s="1"/>
  <c r="T36" s="1"/>
  <c r="W36" s="1"/>
  <c r="X36" s="1"/>
  <c r="Z36" s="1"/>
  <c r="L34"/>
  <c r="P34" s="1"/>
  <c r="R34" s="1"/>
  <c r="K172" i="1"/>
  <c r="Q172" s="1"/>
  <c r="P171" i="2"/>
  <c r="R171" s="1"/>
  <c r="S171" s="1"/>
  <c r="Z171" s="1"/>
  <c r="O170" i="1"/>
  <c r="R170" s="1"/>
  <c r="S170" s="1"/>
  <c r="Z170" s="1"/>
  <c r="O168"/>
  <c r="R168" s="1"/>
  <c r="S168" s="1"/>
  <c r="Z168" s="1"/>
  <c r="M166" i="2"/>
  <c r="Q166" s="1"/>
  <c r="O165" i="1"/>
  <c r="R165" s="1"/>
  <c r="M165" i="2"/>
  <c r="Q165" s="1"/>
  <c r="S165" s="1"/>
  <c r="Z165" s="1"/>
  <c r="K161" i="1"/>
  <c r="Q161" s="1"/>
  <c r="K160"/>
  <c r="Q160" s="1"/>
  <c r="P159" i="2"/>
  <c r="R159" s="1"/>
  <c r="S159" s="1"/>
  <c r="Z159" s="1"/>
  <c r="O158" i="1"/>
  <c r="R158" s="1"/>
  <c r="S158" s="1"/>
  <c r="Z158" s="1"/>
  <c r="M157" i="2"/>
  <c r="Q157" s="1"/>
  <c r="O156" i="1"/>
  <c r="R156" s="1"/>
  <c r="S156" s="1"/>
  <c r="Z156" s="1"/>
  <c r="M156" i="2"/>
  <c r="Q156" s="1"/>
  <c r="M152"/>
  <c r="Q152" s="1"/>
  <c r="P208"/>
  <c r="R208" s="1"/>
  <c r="K207" i="1"/>
  <c r="Q207" s="1"/>
  <c r="M206" i="2"/>
  <c r="Q206" s="1"/>
  <c r="O205" i="1"/>
  <c r="R205" s="1"/>
  <c r="M204" i="2"/>
  <c r="Q204" s="1"/>
  <c r="M202"/>
  <c r="Q202" s="1"/>
  <c r="O201" i="1"/>
  <c r="R201" s="1"/>
  <c r="M201" i="2"/>
  <c r="Q201" s="1"/>
  <c r="S201" s="1"/>
  <c r="Z201" s="1"/>
  <c r="O200" i="1"/>
  <c r="R200" s="1"/>
  <c r="M45" i="2"/>
  <c r="Q45" s="1"/>
  <c r="S45" s="1"/>
  <c r="Z45" s="1"/>
  <c r="K136" i="1"/>
  <c r="Q136" s="1"/>
  <c r="O132"/>
  <c r="R132" s="1"/>
  <c r="S132" s="1"/>
  <c r="Z132" s="1"/>
  <c r="M127" i="2"/>
  <c r="Q127" s="1"/>
  <c r="S127" s="1"/>
  <c r="Z127" s="1"/>
  <c r="P148"/>
  <c r="R148" s="1"/>
  <c r="K147" i="1"/>
  <c r="Q147" s="1"/>
  <c r="O144"/>
  <c r="R144" s="1"/>
  <c r="S144" s="1"/>
  <c r="Z144" s="1"/>
  <c r="M142" i="2"/>
  <c r="Q142" s="1"/>
  <c r="S142" s="1"/>
  <c r="Z142" s="1"/>
  <c r="O141" i="1"/>
  <c r="R141" s="1"/>
  <c r="M141" i="2"/>
  <c r="Q141" s="1"/>
  <c r="S141" s="1"/>
  <c r="Z141" s="1"/>
  <c r="M240"/>
  <c r="Q240" s="1"/>
  <c r="O237" i="1"/>
  <c r="R237" s="1"/>
  <c r="O236"/>
  <c r="R236" s="1"/>
  <c r="K233"/>
  <c r="Q233" s="1"/>
  <c r="M252" i="2"/>
  <c r="Q252" s="1"/>
  <c r="M250"/>
  <c r="Q250" s="1"/>
  <c r="O249" i="1"/>
  <c r="R249" s="1"/>
  <c r="O248"/>
  <c r="R248" s="1"/>
  <c r="M248" i="2"/>
  <c r="Q248" s="1"/>
  <c r="K245" i="1"/>
  <c r="Q245" s="1"/>
  <c r="M264" i="2"/>
  <c r="Q264" s="1"/>
  <c r="K262" i="1"/>
  <c r="Q262" s="1"/>
  <c r="S262" s="1"/>
  <c r="M262" i="2"/>
  <c r="Q262" s="1"/>
  <c r="M260"/>
  <c r="Q260" s="1"/>
  <c r="K257" i="1"/>
  <c r="Q257" s="1"/>
  <c r="O277"/>
  <c r="R277" s="1"/>
  <c r="M276" i="2"/>
  <c r="Q276" s="1"/>
  <c r="O273" i="1"/>
  <c r="R273" s="1"/>
  <c r="O272"/>
  <c r="R272" s="1"/>
  <c r="M216" i="2"/>
  <c r="Q216" s="1"/>
  <c r="M214"/>
  <c r="Q214" s="1"/>
  <c r="O213" i="1"/>
  <c r="R213" s="1"/>
  <c r="M212" i="2"/>
  <c r="Q212" s="1"/>
  <c r="K209" i="1"/>
  <c r="Q209" s="1"/>
  <c r="M228" i="2"/>
  <c r="Q228" s="1"/>
  <c r="M226"/>
  <c r="Q226" s="1"/>
  <c r="M224"/>
  <c r="Q224" s="1"/>
  <c r="K221" i="1"/>
  <c r="Q221" s="1"/>
  <c r="O289"/>
  <c r="R289" s="1"/>
  <c r="M288" i="2"/>
  <c r="Q288" s="1"/>
  <c r="O285" i="1"/>
  <c r="R285" s="1"/>
  <c r="O284"/>
  <c r="R284" s="1"/>
  <c r="O301"/>
  <c r="R301" s="1"/>
  <c r="O300"/>
  <c r="R300" s="1"/>
  <c r="O297"/>
  <c r="R297" s="1"/>
  <c r="O296"/>
  <c r="R296" s="1"/>
  <c r="AY57" i="3"/>
  <c r="BC57" s="1"/>
  <c r="BE57" s="1"/>
  <c r="AY59"/>
  <c r="BC59" s="1"/>
  <c r="BE59" s="1"/>
  <c r="BG59" s="1"/>
  <c r="AY112"/>
  <c r="BC112" s="1"/>
  <c r="AY94"/>
  <c r="BC94" s="1"/>
  <c r="BE94" s="1"/>
  <c r="BB113"/>
  <c r="BF113" s="1"/>
  <c r="AY124"/>
  <c r="BC124" s="1"/>
  <c r="BB137"/>
  <c r="BF137" s="1"/>
  <c r="AY160"/>
  <c r="BC160" s="1"/>
  <c r="AY159"/>
  <c r="BC159" s="1"/>
  <c r="AY170"/>
  <c r="BC170" s="1"/>
  <c r="BE170" s="1"/>
  <c r="AY58"/>
  <c r="BC58" s="1"/>
  <c r="BE58" s="1"/>
  <c r="AY46"/>
  <c r="BC46" s="1"/>
  <c r="BE46" s="1"/>
  <c r="BB125"/>
  <c r="BF125" s="1"/>
  <c r="AY71"/>
  <c r="BC71" s="1"/>
  <c r="BE71" s="1"/>
  <c r="BG71" s="1"/>
  <c r="AY73"/>
  <c r="BC73" s="1"/>
  <c r="BE73" s="1"/>
  <c r="BG73" s="1"/>
  <c r="AY95"/>
  <c r="BC95" s="1"/>
  <c r="BE95" s="1"/>
  <c r="BG95" s="1"/>
  <c r="AY111"/>
  <c r="BC111" s="1"/>
  <c r="AY118"/>
  <c r="BC118" s="1"/>
  <c r="BE118" s="1"/>
  <c r="AY128"/>
  <c r="BC128" s="1"/>
  <c r="AY130"/>
  <c r="BC130" s="1"/>
  <c r="BE130" s="1"/>
  <c r="AY136"/>
  <c r="BC136" s="1"/>
  <c r="AY142"/>
  <c r="BC142" s="1"/>
  <c r="BE142" s="1"/>
  <c r="AY148"/>
  <c r="BC148" s="1"/>
  <c r="AY154"/>
  <c r="BC154" s="1"/>
  <c r="BE154" s="1"/>
  <c r="AY164"/>
  <c r="BC164" s="1"/>
  <c r="AY167"/>
  <c r="BC167" s="1"/>
  <c r="BE167" s="1"/>
  <c r="AY172"/>
  <c r="BC172" s="1"/>
  <c r="AY92"/>
  <c r="BC92" s="1"/>
  <c r="BF171" i="2"/>
  <c r="BI171" s="1"/>
  <c r="BK171" s="1"/>
  <c r="BF120"/>
  <c r="BI120" s="1"/>
  <c r="BF96"/>
  <c r="BI96" s="1"/>
  <c r="BB161"/>
  <c r="BH161" s="1"/>
  <c r="BF144"/>
  <c r="BI144" s="1"/>
  <c r="BF112"/>
  <c r="BI112" s="1"/>
  <c r="BF81"/>
  <c r="BI81" s="1"/>
  <c r="BK81" s="1"/>
  <c r="BF46"/>
  <c r="BI46" s="1"/>
  <c r="BB43"/>
  <c r="BH43" s="1"/>
  <c r="BK43" s="1"/>
  <c r="BB55"/>
  <c r="BH55" s="1"/>
  <c r="BK55" s="1"/>
  <c r="BB67"/>
  <c r="BH67" s="1"/>
  <c r="BK67" s="1"/>
  <c r="BB91"/>
  <c r="BH91" s="1"/>
  <c r="BK91" s="1"/>
  <c r="BF135"/>
  <c r="BI135" s="1"/>
  <c r="BK135" s="1"/>
  <c r="BF143"/>
  <c r="BI143" s="1"/>
  <c r="BF59"/>
  <c r="BI59" s="1"/>
  <c r="BF99"/>
  <c r="BI99" s="1"/>
  <c r="BK99" s="1"/>
  <c r="BF105"/>
  <c r="BI105" s="1"/>
  <c r="BF131"/>
  <c r="BI131" s="1"/>
  <c r="BF165"/>
  <c r="BI165" s="1"/>
  <c r="BB79"/>
  <c r="BH79" s="1"/>
  <c r="BK79" s="1"/>
  <c r="BF93"/>
  <c r="BI93" s="1"/>
  <c r="BK93" s="1"/>
  <c r="BF95"/>
  <c r="BI95" s="1"/>
  <c r="BF142"/>
  <c r="BI142" s="1"/>
  <c r="BB151"/>
  <c r="BH151" s="1"/>
  <c r="BK151" s="1"/>
  <c r="BF166"/>
  <c r="BI166" s="1"/>
  <c r="BB42"/>
  <c r="BH42" s="1"/>
  <c r="BF82"/>
  <c r="BI82" s="1"/>
  <c r="BF106"/>
  <c r="BI106" s="1"/>
  <c r="BB115"/>
  <c r="BH115" s="1"/>
  <c r="BK115" s="1"/>
  <c r="BF119"/>
  <c r="BI119" s="1"/>
  <c r="BB127"/>
  <c r="BH127" s="1"/>
  <c r="BK127" s="1"/>
  <c r="BB139"/>
  <c r="BH139" s="1"/>
  <c r="BK139" s="1"/>
  <c r="BC156" i="1"/>
  <c r="BI156" s="1"/>
  <c r="BC132"/>
  <c r="BI132" s="1"/>
  <c r="BC52"/>
  <c r="BI52" s="1"/>
  <c r="BG127"/>
  <c r="BJ127" s="1"/>
  <c r="BK127" s="1"/>
  <c r="BG162"/>
  <c r="BJ162" s="1"/>
  <c r="BK162" s="1"/>
  <c r="BC84"/>
  <c r="BI84" s="1"/>
  <c r="BC60"/>
  <c r="BI60" s="1"/>
  <c r="BC119"/>
  <c r="BI119" s="1"/>
  <c r="BG126"/>
  <c r="BJ126" s="1"/>
  <c r="BK126" s="1"/>
  <c r="AY183" i="3"/>
  <c r="BC183" s="1"/>
  <c r="BF183" i="2"/>
  <c r="BI183" s="1"/>
  <c r="BK183" s="1"/>
  <c r="AY182" i="3"/>
  <c r="BC182" s="1"/>
  <c r="BE182" s="1"/>
  <c r="AY180"/>
  <c r="BC180" s="1"/>
  <c r="BE180" s="1"/>
  <c r="BF179" i="2"/>
  <c r="BI179" s="1"/>
  <c r="BG175" i="1"/>
  <c r="BJ175" s="1"/>
  <c r="BK175" s="1"/>
  <c r="BG174"/>
  <c r="BJ174" s="1"/>
  <c r="BK174" s="1"/>
  <c r="AY195" i="3"/>
  <c r="BC195" s="1"/>
  <c r="BF195" i="2"/>
  <c r="BI195" s="1"/>
  <c r="BK195" s="1"/>
  <c r="BB187"/>
  <c r="BH187" s="1"/>
  <c r="BK187" s="1"/>
  <c r="BG187" i="1"/>
  <c r="BJ187" s="1"/>
  <c r="BK187" s="1"/>
  <c r="BG186"/>
  <c r="BJ186" s="1"/>
  <c r="BK186" s="1"/>
  <c r="BB199" i="2"/>
  <c r="BH199" s="1"/>
  <c r="BK199" s="1"/>
  <c r="BG199" i="1"/>
  <c r="BJ199" s="1"/>
  <c r="BK199" s="1"/>
  <c r="BG198"/>
  <c r="BJ198" s="1"/>
  <c r="BK198" s="1"/>
  <c r="AA71" i="3"/>
  <c r="BB122"/>
  <c r="BF122" s="1"/>
  <c r="BG122" s="1"/>
  <c r="BB98"/>
  <c r="BF98" s="1"/>
  <c r="BG98" s="1"/>
  <c r="BB74"/>
  <c r="BF74" s="1"/>
  <c r="BG74" s="1"/>
  <c r="BB46"/>
  <c r="BF46" s="1"/>
  <c r="AY42"/>
  <c r="BC42" s="1"/>
  <c r="BB70" i="2"/>
  <c r="BH70" s="1"/>
  <c r="BB82"/>
  <c r="BH82" s="1"/>
  <c r="BG73" i="1"/>
  <c r="BJ73" s="1"/>
  <c r="BB192" i="3"/>
  <c r="BF192" s="1"/>
  <c r="BB191"/>
  <c r="BF191" s="1"/>
  <c r="BG191" i="1"/>
  <c r="BJ191" s="1"/>
  <c r="BB190" i="2"/>
  <c r="BH190" s="1"/>
  <c r="BB188"/>
  <c r="BH188" s="1"/>
  <c r="BB208" i="3"/>
  <c r="BF208" s="1"/>
  <c r="AA64"/>
  <c r="AA37"/>
  <c r="AA25"/>
  <c r="AA21"/>
  <c r="AA122" i="2"/>
  <c r="W94"/>
  <c r="AA154" i="1"/>
  <c r="AA91"/>
  <c r="AA48"/>
  <c r="AG46"/>
  <c r="AF46" s="1"/>
  <c r="W46"/>
  <c r="M64" i="2"/>
  <c r="Q64" s="1"/>
  <c r="S64" s="1"/>
  <c r="Z64" s="1"/>
  <c r="O51" i="1"/>
  <c r="R51" s="1"/>
  <c r="K191"/>
  <c r="Q191" s="1"/>
  <c r="S191" s="1"/>
  <c r="Z191" s="1"/>
  <c r="K186"/>
  <c r="Q186" s="1"/>
  <c r="S186" s="1"/>
  <c r="Z186" s="1"/>
  <c r="M185" i="2"/>
  <c r="Q185" s="1"/>
  <c r="M88"/>
  <c r="Q88" s="1"/>
  <c r="S88" s="1"/>
  <c r="Z88" s="1"/>
  <c r="L88" i="3"/>
  <c r="P88" s="1"/>
  <c r="O87" i="1"/>
  <c r="R87" s="1"/>
  <c r="K93"/>
  <c r="Q93" s="1"/>
  <c r="K162"/>
  <c r="Q162" s="1"/>
  <c r="S162" s="1"/>
  <c r="Z162" s="1"/>
  <c r="O161"/>
  <c r="R161" s="1"/>
  <c r="P154" i="2"/>
  <c r="R154" s="1"/>
  <c r="K153" i="1"/>
  <c r="Q153" s="1"/>
  <c r="K205"/>
  <c r="Q205" s="1"/>
  <c r="P205" i="2"/>
  <c r="R205" s="1"/>
  <c r="K204" i="1"/>
  <c r="Q204" s="1"/>
  <c r="P204" i="2"/>
  <c r="R204" s="1"/>
  <c r="K200" i="1"/>
  <c r="Q200" s="1"/>
  <c r="P200" i="2"/>
  <c r="R200" s="1"/>
  <c r="P199"/>
  <c r="R199" s="1"/>
  <c r="P133"/>
  <c r="R133" s="1"/>
  <c r="P132"/>
  <c r="R132" s="1"/>
  <c r="K145" i="1"/>
  <c r="Q145" s="1"/>
  <c r="S145" s="1"/>
  <c r="Z145" s="1"/>
  <c r="K143"/>
  <c r="Q143" s="1"/>
  <c r="S143" s="1"/>
  <c r="Z143" s="1"/>
  <c r="O137"/>
  <c r="R137" s="1"/>
  <c r="S137" s="1"/>
  <c r="Z137" s="1"/>
  <c r="K239"/>
  <c r="Q239" s="1"/>
  <c r="S239" s="1"/>
  <c r="K234"/>
  <c r="Q234" s="1"/>
  <c r="S234" s="1"/>
  <c r="K253"/>
  <c r="Q253" s="1"/>
  <c r="P253" i="2"/>
  <c r="R253" s="1"/>
  <c r="P266"/>
  <c r="R266" s="1"/>
  <c r="K264" i="1"/>
  <c r="Q264" s="1"/>
  <c r="P218" i="2"/>
  <c r="R218" s="1"/>
  <c r="K216" i="1"/>
  <c r="Q216" s="1"/>
  <c r="P230" i="2"/>
  <c r="R230" s="1"/>
  <c r="K228" i="1"/>
  <c r="Q228" s="1"/>
  <c r="P302" i="2"/>
  <c r="R302" s="1"/>
  <c r="K301" i="1"/>
  <c r="Q301" s="1"/>
  <c r="P301" i="2"/>
  <c r="R301" s="1"/>
  <c r="W62"/>
  <c r="AA62"/>
  <c r="AA31" i="3"/>
  <c r="BF123" i="2"/>
  <c r="BI123" s="1"/>
  <c r="BK123" s="1"/>
  <c r="BF159"/>
  <c r="BI159" s="1"/>
  <c r="BK159" s="1"/>
  <c r="BF167"/>
  <c r="BI167" s="1"/>
  <c r="BC168" i="1"/>
  <c r="BI168" s="1"/>
  <c r="BC108"/>
  <c r="BI108" s="1"/>
  <c r="BC155"/>
  <c r="BI155" s="1"/>
  <c r="BC131"/>
  <c r="BI131" s="1"/>
  <c r="BC72"/>
  <c r="BI72" s="1"/>
  <c r="BC96"/>
  <c r="BI96" s="1"/>
  <c r="BC49"/>
  <c r="BI49" s="1"/>
  <c r="BK49" s="1"/>
  <c r="BC45"/>
  <c r="BI45" s="1"/>
  <c r="BK45" s="1"/>
  <c r="BC98"/>
  <c r="BI98" s="1"/>
  <c r="BK98" s="1"/>
  <c r="BC51"/>
  <c r="BI51" s="1"/>
  <c r="BG90"/>
  <c r="BJ90" s="1"/>
  <c r="BK90" s="1"/>
  <c r="BG114"/>
  <c r="BJ114" s="1"/>
  <c r="BK114" s="1"/>
  <c r="BG139"/>
  <c r="BJ139" s="1"/>
  <c r="BG151"/>
  <c r="BJ151" s="1"/>
  <c r="BK151" s="1"/>
  <c r="BG163"/>
  <c r="BJ163" s="1"/>
  <c r="BK163" s="1"/>
  <c r="AY184" i="3"/>
  <c r="BC184" s="1"/>
  <c r="BF180" i="2"/>
  <c r="BI180" s="1"/>
  <c r="AY179" i="3"/>
  <c r="BC179" s="1"/>
  <c r="BE179" s="1"/>
  <c r="BC179" i="1"/>
  <c r="BI179" s="1"/>
  <c r="BF178" i="2"/>
  <c r="BI178" s="1"/>
  <c r="BF177"/>
  <c r="BI177" s="1"/>
  <c r="BB175"/>
  <c r="BH175" s="1"/>
  <c r="BK175" s="1"/>
  <c r="BB173" i="3"/>
  <c r="BF173" s="1"/>
  <c r="AY196"/>
  <c r="BC196" s="1"/>
  <c r="BF189" i="2"/>
  <c r="BI189" s="1"/>
  <c r="BF201"/>
  <c r="BI201" s="1"/>
  <c r="AX220" i="3"/>
  <c r="AX232" s="1"/>
  <c r="AX244" s="1"/>
  <c r="AX256" s="1"/>
  <c r="AY256" s="1"/>
  <c r="BD256" s="1"/>
  <c r="AY208"/>
  <c r="BC208" s="1"/>
  <c r="AX219"/>
  <c r="AY207"/>
  <c r="BC207" s="1"/>
  <c r="BE219" i="2"/>
  <c r="BF207"/>
  <c r="BI207" s="1"/>
  <c r="BK207" s="1"/>
  <c r="AX206" i="3"/>
  <c r="AY194"/>
  <c r="BC194" s="1"/>
  <c r="BE194" s="1"/>
  <c r="AX204"/>
  <c r="AY192"/>
  <c r="BC192" s="1"/>
  <c r="BE192" s="1"/>
  <c r="BE204" i="2"/>
  <c r="BF192"/>
  <c r="BI192" s="1"/>
  <c r="BB216" i="1"/>
  <c r="BC204"/>
  <c r="BI204" s="1"/>
  <c r="AX203" i="3"/>
  <c r="AY191"/>
  <c r="BC191" s="1"/>
  <c r="BE191" s="1"/>
  <c r="BE203" i="2"/>
  <c r="BF191"/>
  <c r="BI191" s="1"/>
  <c r="BB203" i="1"/>
  <c r="BC191"/>
  <c r="BI191" s="1"/>
  <c r="AX202" i="3"/>
  <c r="AY190"/>
  <c r="BC190" s="1"/>
  <c r="BE190" s="1"/>
  <c r="BE202" i="2"/>
  <c r="BF190"/>
  <c r="BI190" s="1"/>
  <c r="BE225"/>
  <c r="BF213"/>
  <c r="BI213" s="1"/>
  <c r="AX200" i="3"/>
  <c r="AY188"/>
  <c r="BC188" s="1"/>
  <c r="BA247" i="2"/>
  <c r="BB235"/>
  <c r="BH235" s="1"/>
  <c r="BK235" s="1"/>
  <c r="BF247" i="1"/>
  <c r="BG235"/>
  <c r="BJ235" s="1"/>
  <c r="BK235" s="1"/>
  <c r="BF246"/>
  <c r="BG234"/>
  <c r="BJ234" s="1"/>
  <c r="BK234" s="1"/>
  <c r="BA197" i="3"/>
  <c r="BB185"/>
  <c r="BF185" s="1"/>
  <c r="W118" i="2"/>
  <c r="AG118"/>
  <c r="AA110" i="1"/>
  <c r="W110"/>
  <c r="AF28" i="3"/>
  <c r="AA28"/>
  <c r="AF26"/>
  <c r="AA26"/>
  <c r="AF22"/>
  <c r="AA22"/>
  <c r="AA35"/>
  <c r="AA166" i="1"/>
  <c r="M124" i="2"/>
  <c r="Q124" s="1"/>
  <c r="S124" s="1"/>
  <c r="Z124" s="1"/>
  <c r="O123" i="1"/>
  <c r="R123" s="1"/>
  <c r="K117"/>
  <c r="Q117" s="1"/>
  <c r="O73" i="3"/>
  <c r="P72" i="2"/>
  <c r="R72" s="1"/>
  <c r="L66" i="3"/>
  <c r="P66" s="1"/>
  <c r="O65" i="1"/>
  <c r="R65" s="1"/>
  <c r="S65" s="1"/>
  <c r="Z65" s="1"/>
  <c r="M184" i="2"/>
  <c r="Q184" s="1"/>
  <c r="O183" i="1"/>
  <c r="R183" s="1"/>
  <c r="P182" i="2"/>
  <c r="R182" s="1"/>
  <c r="S182" s="1"/>
  <c r="Z182" s="1"/>
  <c r="K179" i="1"/>
  <c r="Q179" s="1"/>
  <c r="S179" s="1"/>
  <c r="Z179" s="1"/>
  <c r="P178" i="2"/>
  <c r="R178" s="1"/>
  <c r="K177" i="1"/>
  <c r="Q177" s="1"/>
  <c r="K174"/>
  <c r="Q174" s="1"/>
  <c r="S174" s="1"/>
  <c r="Z174" s="1"/>
  <c r="M173" i="2"/>
  <c r="Q173" s="1"/>
  <c r="M112"/>
  <c r="Q112" s="1"/>
  <c r="S112" s="1"/>
  <c r="Z112" s="1"/>
  <c r="O111" i="1"/>
  <c r="R111" s="1"/>
  <c r="K105"/>
  <c r="Q105" s="1"/>
  <c r="O105" i="3"/>
  <c r="O101" i="1"/>
  <c r="R101" s="1"/>
  <c r="S101" s="1"/>
  <c r="Z101" s="1"/>
  <c r="M101" i="2"/>
  <c r="Q101" s="1"/>
  <c r="O63" i="1"/>
  <c r="R63" s="1"/>
  <c r="P56" i="2"/>
  <c r="R56" s="1"/>
  <c r="S56" s="1"/>
  <c r="Z56" s="1"/>
  <c r="O52" i="1"/>
  <c r="R52" s="1"/>
  <c r="O41"/>
  <c r="R41" s="1"/>
  <c r="S41" s="1"/>
  <c r="Z41" s="1"/>
  <c r="K193"/>
  <c r="Q193" s="1"/>
  <c r="S193" s="1"/>
  <c r="Z193" s="1"/>
  <c r="P193" i="2"/>
  <c r="R193" s="1"/>
  <c r="P192"/>
  <c r="R192" s="1"/>
  <c r="K188" i="1"/>
  <c r="Q188" s="1"/>
  <c r="P188" i="2"/>
  <c r="R188" s="1"/>
  <c r="P187"/>
  <c r="R187" s="1"/>
  <c r="O185" i="1"/>
  <c r="R185" s="1"/>
  <c r="P85" i="2"/>
  <c r="R85" s="1"/>
  <c r="P84"/>
  <c r="R84" s="1"/>
  <c r="M83"/>
  <c r="Q83" s="1"/>
  <c r="L83" i="3"/>
  <c r="P83" s="1"/>
  <c r="R83" s="1"/>
  <c r="O77" i="1"/>
  <c r="R77" s="1"/>
  <c r="S77" s="1"/>
  <c r="Z77" s="1"/>
  <c r="M77" i="2"/>
  <c r="Q77" s="1"/>
  <c r="K97" i="1"/>
  <c r="Q97" s="1"/>
  <c r="S97" s="1"/>
  <c r="Z97" s="1"/>
  <c r="P97" i="2"/>
  <c r="R97" s="1"/>
  <c r="P96"/>
  <c r="R96" s="1"/>
  <c r="O96" i="3"/>
  <c r="P92" i="2"/>
  <c r="R92" s="1"/>
  <c r="L89" i="3"/>
  <c r="P89" s="1"/>
  <c r="O34"/>
  <c r="O171" i="1"/>
  <c r="R171" s="1"/>
  <c r="P168" i="2"/>
  <c r="R168" s="1"/>
  <c r="P166"/>
  <c r="R166" s="1"/>
  <c r="K165" i="1"/>
  <c r="Q165" s="1"/>
  <c r="P163" i="2"/>
  <c r="R163" s="1"/>
  <c r="M161"/>
  <c r="Q161" s="1"/>
  <c r="M160"/>
  <c r="Q160" s="1"/>
  <c r="O159" i="1"/>
  <c r="R159" s="1"/>
  <c r="K157"/>
  <c r="Q157" s="1"/>
  <c r="S157" s="1"/>
  <c r="Z157" s="1"/>
  <c r="K155"/>
  <c r="Q155" s="1"/>
  <c r="S155" s="1"/>
  <c r="Z155" s="1"/>
  <c r="K152"/>
  <c r="Q152" s="1"/>
  <c r="P152" i="2"/>
  <c r="R152" s="1"/>
  <c r="K150" i="1"/>
  <c r="Q150" s="1"/>
  <c r="S150" s="1"/>
  <c r="Z150" s="1"/>
  <c r="M149" i="2"/>
  <c r="Q149" s="1"/>
  <c r="M208"/>
  <c r="Q208" s="1"/>
  <c r="O207" i="1"/>
  <c r="R207" s="1"/>
  <c r="P206" i="2"/>
  <c r="R206" s="1"/>
  <c r="K203" i="1"/>
  <c r="Q203" s="1"/>
  <c r="S203" s="1"/>
  <c r="Z203" s="1"/>
  <c r="P202" i="2"/>
  <c r="R202" s="1"/>
  <c r="K201" i="1"/>
  <c r="Q201" s="1"/>
  <c r="K198"/>
  <c r="Q198" s="1"/>
  <c r="S198" s="1"/>
  <c r="Z198" s="1"/>
  <c r="M197" i="2"/>
  <c r="Q197" s="1"/>
  <c r="M52"/>
  <c r="Q52" s="1"/>
  <c r="S52" s="1"/>
  <c r="Z52" s="1"/>
  <c r="P48"/>
  <c r="R48" s="1"/>
  <c r="M136"/>
  <c r="Q136" s="1"/>
  <c r="S136" s="1"/>
  <c r="Z136" s="1"/>
  <c r="K133" i="1"/>
  <c r="Q133" s="1"/>
  <c r="S133" s="1"/>
  <c r="Z133" s="1"/>
  <c r="K126"/>
  <c r="Q126" s="1"/>
  <c r="S126" s="1"/>
  <c r="Z126" s="1"/>
  <c r="O125"/>
  <c r="R125" s="1"/>
  <c r="S125" s="1"/>
  <c r="Z125" s="1"/>
  <c r="M125" i="2"/>
  <c r="Q125" s="1"/>
  <c r="M148"/>
  <c r="Q148" s="1"/>
  <c r="O147" i="1"/>
  <c r="R147" s="1"/>
  <c r="P145" i="2"/>
  <c r="R145" s="1"/>
  <c r="P144"/>
  <c r="R144" s="1"/>
  <c r="K141" i="1"/>
  <c r="Q141" s="1"/>
  <c r="K138"/>
  <c r="Q138" s="1"/>
  <c r="S138" s="1"/>
  <c r="Z138" s="1"/>
  <c r="M137" i="2"/>
  <c r="Q137" s="1"/>
  <c r="K241" i="1"/>
  <c r="Q241" s="1"/>
  <c r="P241" i="2"/>
  <c r="R241" s="1"/>
  <c r="P236"/>
  <c r="R236" s="1"/>
  <c r="P235"/>
  <c r="R235" s="1"/>
  <c r="P254"/>
  <c r="R254" s="1"/>
  <c r="K252" i="1"/>
  <c r="Q252" s="1"/>
  <c r="K251"/>
  <c r="Q251" s="1"/>
  <c r="S251" s="1"/>
  <c r="K246"/>
  <c r="Q246" s="1"/>
  <c r="S246" s="1"/>
  <c r="K265"/>
  <c r="Q265" s="1"/>
  <c r="P265" i="2"/>
  <c r="R265" s="1"/>
  <c r="P260"/>
  <c r="R260" s="1"/>
  <c r="P259"/>
  <c r="R259" s="1"/>
  <c r="P278"/>
  <c r="R278" s="1"/>
  <c r="K276" i="1"/>
  <c r="Q276" s="1"/>
  <c r="K275"/>
  <c r="Q275" s="1"/>
  <c r="S275" s="1"/>
  <c r="P272" i="2"/>
  <c r="R272" s="1"/>
  <c r="P271"/>
  <c r="R271" s="1"/>
  <c r="K217" i="1"/>
  <c r="Q217" s="1"/>
  <c r="P217" i="2"/>
  <c r="R217" s="1"/>
  <c r="P212"/>
  <c r="R212" s="1"/>
  <c r="P211"/>
  <c r="R211" s="1"/>
  <c r="M210"/>
  <c r="Q210" s="1"/>
  <c r="S210" s="1"/>
  <c r="K229" i="1"/>
  <c r="Q229" s="1"/>
  <c r="P229" i="2"/>
  <c r="R229" s="1"/>
  <c r="P224"/>
  <c r="R224" s="1"/>
  <c r="P223"/>
  <c r="R223" s="1"/>
  <c r="P290"/>
  <c r="R290" s="1"/>
  <c r="K288" i="1"/>
  <c r="Q288" s="1"/>
  <c r="K287"/>
  <c r="Q287" s="1"/>
  <c r="S287" s="1"/>
  <c r="P284" i="2"/>
  <c r="R284" s="1"/>
  <c r="P283"/>
  <c r="R283" s="1"/>
  <c r="K300" i="1"/>
  <c r="Q300" s="1"/>
  <c r="K299"/>
  <c r="Q299" s="1"/>
  <c r="S299" s="1"/>
  <c r="P296" i="2"/>
  <c r="R296" s="1"/>
  <c r="P295"/>
  <c r="R295" s="1"/>
  <c r="BB45" i="3"/>
  <c r="BF45" s="1"/>
  <c r="BG45" s="1"/>
  <c r="AY77"/>
  <c r="BC77" s="1"/>
  <c r="AY89"/>
  <c r="BC89" s="1"/>
  <c r="AY137"/>
  <c r="BC137" s="1"/>
  <c r="AY149"/>
  <c r="BC149" s="1"/>
  <c r="BB106"/>
  <c r="BF106" s="1"/>
  <c r="BB110"/>
  <c r="BF110" s="1"/>
  <c r="BG110" s="1"/>
  <c r="BB82"/>
  <c r="BF82" s="1"/>
  <c r="BB96"/>
  <c r="BF96" s="1"/>
  <c r="BG96" s="1"/>
  <c r="BB140"/>
  <c r="BF140" s="1"/>
  <c r="BB142"/>
  <c r="BF142" s="1"/>
  <c r="BB166"/>
  <c r="BF166" s="1"/>
  <c r="AY161"/>
  <c r="BC161" s="1"/>
  <c r="BB128" i="2"/>
  <c r="BH128" s="1"/>
  <c r="BB116"/>
  <c r="BH116" s="1"/>
  <c r="BG46" i="1"/>
  <c r="BJ46" s="1"/>
  <c r="BK46" s="1"/>
  <c r="BG97"/>
  <c r="BJ97" s="1"/>
  <c r="BG95"/>
  <c r="BJ95" s="1"/>
  <c r="BK95" s="1"/>
  <c r="BG83"/>
  <c r="BJ83" s="1"/>
  <c r="BK83" s="1"/>
  <c r="BG116"/>
  <c r="BJ116" s="1"/>
  <c r="BG129"/>
  <c r="BJ129" s="1"/>
  <c r="BG177"/>
  <c r="BJ177" s="1"/>
  <c r="BB176" i="3"/>
  <c r="BF176" s="1"/>
  <c r="BB215"/>
  <c r="BF215" s="1"/>
  <c r="BB215" i="2"/>
  <c r="BH215" s="1"/>
  <c r="BG215" i="1"/>
  <c r="BJ215" s="1"/>
  <c r="BB227" i="2"/>
  <c r="BH227" s="1"/>
  <c r="BG227" i="1"/>
  <c r="BJ227" s="1"/>
  <c r="BB232" i="3"/>
  <c r="BF232" s="1"/>
  <c r="BB230"/>
  <c r="BF230" s="1"/>
  <c r="AA65"/>
  <c r="AA42"/>
  <c r="AA158" i="2"/>
  <c r="AG122"/>
  <c r="AG61"/>
  <c r="AA102"/>
  <c r="W47"/>
  <c r="AG154" i="1"/>
  <c r="AF154" s="1"/>
  <c r="BB100" i="3"/>
  <c r="BF100" s="1"/>
  <c r="BB136"/>
  <c r="BF136" s="1"/>
  <c r="BB146"/>
  <c r="BF146" s="1"/>
  <c r="BB148"/>
  <c r="BF148" s="1"/>
  <c r="BB73" i="2"/>
  <c r="BH73" s="1"/>
  <c r="BK73" s="1"/>
  <c r="BB107"/>
  <c r="BH107" s="1"/>
  <c r="BB118"/>
  <c r="BH118" s="1"/>
  <c r="BB131"/>
  <c r="BH131" s="1"/>
  <c r="BB119"/>
  <c r="BH119" s="1"/>
  <c r="BB130"/>
  <c r="BH130" s="1"/>
  <c r="BG85" i="1"/>
  <c r="BJ85" s="1"/>
  <c r="BG155"/>
  <c r="BJ155" s="1"/>
  <c r="BG131"/>
  <c r="BJ131" s="1"/>
  <c r="BG105"/>
  <c r="BJ105" s="1"/>
  <c r="BG57"/>
  <c r="BJ57" s="1"/>
  <c r="BG60"/>
  <c r="BJ60" s="1"/>
  <c r="BG117"/>
  <c r="BJ117" s="1"/>
  <c r="BG119"/>
  <c r="BJ119" s="1"/>
  <c r="BG153"/>
  <c r="BJ153" s="1"/>
  <c r="BG152"/>
  <c r="BJ152" s="1"/>
  <c r="BG164"/>
  <c r="BJ164" s="1"/>
  <c r="BG176"/>
  <c r="BJ176" s="1"/>
  <c r="BC173"/>
  <c r="BI173" s="1"/>
  <c r="BK173" s="1"/>
  <c r="BF209" i="2"/>
  <c r="BI209" s="1"/>
  <c r="AY185" i="3"/>
  <c r="BC185" s="1"/>
  <c r="BF185" i="2"/>
  <c r="BI185" s="1"/>
  <c r="BG201" i="1"/>
  <c r="BJ201" s="1"/>
  <c r="BB200" i="3"/>
  <c r="BF200" s="1"/>
  <c r="BB218"/>
  <c r="BF218" s="1"/>
  <c r="BG213" i="1"/>
  <c r="BJ213" s="1"/>
  <c r="BG225"/>
  <c r="BJ225" s="1"/>
  <c r="BB214" i="3"/>
  <c r="BF214" s="1"/>
  <c r="BB214" i="2"/>
  <c r="BH214" s="1"/>
  <c r="BB216" i="3"/>
  <c r="BF216" s="1"/>
  <c r="BB224" i="2"/>
  <c r="BH224" s="1"/>
  <c r="BF265" i="1"/>
  <c r="BF277" s="1"/>
  <c r="BG277" s="1"/>
  <c r="BJ277" s="1"/>
  <c r="BA264" i="3"/>
  <c r="BA276" s="1"/>
  <c r="BB276" s="1"/>
  <c r="BF276" s="1"/>
  <c r="BA263"/>
  <c r="BA275" s="1"/>
  <c r="BB275" s="1"/>
  <c r="BF275" s="1"/>
  <c r="BA263" i="2"/>
  <c r="BA275" s="1"/>
  <c r="BB275" s="1"/>
  <c r="BH275" s="1"/>
  <c r="BF263" i="1"/>
  <c r="BF275" s="1"/>
  <c r="BF287" s="1"/>
  <c r="BF261"/>
  <c r="BF273" s="1"/>
  <c r="BG273" s="1"/>
  <c r="BJ273" s="1"/>
  <c r="BA260" i="3"/>
  <c r="BA272" s="1"/>
  <c r="BB272" s="1"/>
  <c r="BF272" s="1"/>
  <c r="BB242"/>
  <c r="BF242" s="1"/>
  <c r="BB239"/>
  <c r="BF239" s="1"/>
  <c r="BB239" i="2"/>
  <c r="BH239" s="1"/>
  <c r="BG239" i="1"/>
  <c r="BJ239" s="1"/>
  <c r="BG237"/>
  <c r="BJ237" s="1"/>
  <c r="BB236" i="3"/>
  <c r="BF236" s="1"/>
  <c r="AA118" i="2"/>
  <c r="AG70"/>
  <c r="W65"/>
  <c r="AG110" i="1"/>
  <c r="AF110" s="1"/>
  <c r="AA107"/>
  <c r="AG62" i="2"/>
  <c r="W59"/>
  <c r="AG44" i="1"/>
  <c r="AF44" s="1"/>
  <c r="AA43" i="3"/>
  <c r="K311" i="1"/>
  <c r="Q311" s="1"/>
  <c r="S311" s="1"/>
  <c r="J323"/>
  <c r="BB112" i="3"/>
  <c r="BF112" s="1"/>
  <c r="BB86"/>
  <c r="BF86" s="1"/>
  <c r="BG86" s="1"/>
  <c r="BB124"/>
  <c r="BF124" s="1"/>
  <c r="BB144"/>
  <c r="BF144" s="1"/>
  <c r="BG144" s="1"/>
  <c r="BB155"/>
  <c r="BF155" s="1"/>
  <c r="BB170"/>
  <c r="BF170" s="1"/>
  <c r="BB58"/>
  <c r="BF58" s="1"/>
  <c r="BB70"/>
  <c r="BF70" s="1"/>
  <c r="BB120"/>
  <c r="BF120" s="1"/>
  <c r="BG120" s="1"/>
  <c r="BB134"/>
  <c r="BF134" s="1"/>
  <c r="BG134" s="1"/>
  <c r="BB156"/>
  <c r="BF156" s="1"/>
  <c r="BG156" s="1"/>
  <c r="BB158"/>
  <c r="BF158" s="1"/>
  <c r="BB152"/>
  <c r="BF152" s="1"/>
  <c r="BB154"/>
  <c r="BF154" s="1"/>
  <c r="BB164"/>
  <c r="BF164" s="1"/>
  <c r="BB164" i="2"/>
  <c r="BH164" s="1"/>
  <c r="BB104"/>
  <c r="BH104" s="1"/>
  <c r="BB92"/>
  <c r="BH92" s="1"/>
  <c r="BF161"/>
  <c r="BI161" s="1"/>
  <c r="BB84"/>
  <c r="BH84" s="1"/>
  <c r="BB58"/>
  <c r="BH58" s="1"/>
  <c r="BB46"/>
  <c r="BH46" s="1"/>
  <c r="BB80"/>
  <c r="BH80" s="1"/>
  <c r="BB94"/>
  <c r="BH94" s="1"/>
  <c r="BB140"/>
  <c r="BH140" s="1"/>
  <c r="BB143"/>
  <c r="BH143" s="1"/>
  <c r="BB47"/>
  <c r="BH47" s="1"/>
  <c r="BB59"/>
  <c r="BH59" s="1"/>
  <c r="BB83"/>
  <c r="BH83" s="1"/>
  <c r="BB105"/>
  <c r="BH105" s="1"/>
  <c r="BB152"/>
  <c r="BH152" s="1"/>
  <c r="BB71"/>
  <c r="BH71" s="1"/>
  <c r="BB74"/>
  <c r="BH74" s="1"/>
  <c r="BK74" s="1"/>
  <c r="BB142"/>
  <c r="BH142" s="1"/>
  <c r="BB154"/>
  <c r="BH154" s="1"/>
  <c r="BB166"/>
  <c r="BH166" s="1"/>
  <c r="BF42"/>
  <c r="BI42" s="1"/>
  <c r="BB106"/>
  <c r="BH106" s="1"/>
  <c r="BB155"/>
  <c r="BH155" s="1"/>
  <c r="BB167"/>
  <c r="BH167" s="1"/>
  <c r="BG61" i="1"/>
  <c r="BJ61" s="1"/>
  <c r="BG167"/>
  <c r="BJ167" s="1"/>
  <c r="BG107"/>
  <c r="BJ107" s="1"/>
  <c r="BK107" s="1"/>
  <c r="BG92"/>
  <c r="BJ92" s="1"/>
  <c r="BG109"/>
  <c r="BJ109" s="1"/>
  <c r="BG133"/>
  <c r="BJ133" s="1"/>
  <c r="BG143"/>
  <c r="BJ143" s="1"/>
  <c r="BK143" s="1"/>
  <c r="BG165"/>
  <c r="BJ165" s="1"/>
  <c r="BG52"/>
  <c r="BJ52" s="1"/>
  <c r="BG80"/>
  <c r="BJ80" s="1"/>
  <c r="BG71"/>
  <c r="BJ71" s="1"/>
  <c r="BK71" s="1"/>
  <c r="BG81"/>
  <c r="BJ81" s="1"/>
  <c r="BG104"/>
  <c r="BJ104" s="1"/>
  <c r="BG140"/>
  <c r="BJ140" s="1"/>
  <c r="BG169"/>
  <c r="BJ169" s="1"/>
  <c r="BG51"/>
  <c r="BJ51" s="1"/>
  <c r="BG69"/>
  <c r="BJ69" s="1"/>
  <c r="BG93"/>
  <c r="BJ93" s="1"/>
  <c r="BG128"/>
  <c r="BJ128" s="1"/>
  <c r="BG145"/>
  <c r="BJ145" s="1"/>
  <c r="BG157"/>
  <c r="BJ157" s="1"/>
  <c r="BG141"/>
  <c r="BJ141" s="1"/>
  <c r="BB184" i="3"/>
  <c r="BF184" s="1"/>
  <c r="BB182"/>
  <c r="BF182" s="1"/>
  <c r="BG181" i="1"/>
  <c r="BJ181" s="1"/>
  <c r="BB180" i="3"/>
  <c r="BF180" s="1"/>
  <c r="BB179"/>
  <c r="BF179" s="1"/>
  <c r="BB179" i="2"/>
  <c r="BH179" s="1"/>
  <c r="BG179" i="1"/>
  <c r="BJ179" s="1"/>
  <c r="BB178" i="3"/>
  <c r="BF178" s="1"/>
  <c r="BB178" i="2"/>
  <c r="BH178" s="1"/>
  <c r="BB176"/>
  <c r="BH176" s="1"/>
  <c r="AY173" i="3"/>
  <c r="BC173" s="1"/>
  <c r="BF173" i="2"/>
  <c r="BI173" s="1"/>
  <c r="BF221"/>
  <c r="BI221" s="1"/>
  <c r="BB196" i="3"/>
  <c r="BF196" s="1"/>
  <c r="BB194"/>
  <c r="BF194" s="1"/>
  <c r="BG189" i="1"/>
  <c r="BJ189" s="1"/>
  <c r="BB188" i="3"/>
  <c r="BF188" s="1"/>
  <c r="BG188" i="1"/>
  <c r="BJ188" s="1"/>
  <c r="BC185"/>
  <c r="BI185" s="1"/>
  <c r="BK185" s="1"/>
  <c r="BG205"/>
  <c r="BJ205" s="1"/>
  <c r="BB204" i="3"/>
  <c r="BF204" s="1"/>
  <c r="BB203"/>
  <c r="BF203" s="1"/>
  <c r="BB203" i="2"/>
  <c r="BH203" s="1"/>
  <c r="BG203" i="1"/>
  <c r="BJ203" s="1"/>
  <c r="BB202" i="3"/>
  <c r="BF202" s="1"/>
  <c r="BB202" i="2"/>
  <c r="BH202" s="1"/>
  <c r="BB200"/>
  <c r="BH200" s="1"/>
  <c r="AY197" i="3"/>
  <c r="BC197" s="1"/>
  <c r="BF197" i="2"/>
  <c r="BI197" s="1"/>
  <c r="AY209" i="3"/>
  <c r="BC209" s="1"/>
  <c r="BB226" i="2"/>
  <c r="BH226" s="1"/>
  <c r="BB220" i="3"/>
  <c r="BF220" s="1"/>
  <c r="BG217" i="1"/>
  <c r="BJ217" s="1"/>
  <c r="BG229"/>
  <c r="BJ229" s="1"/>
  <c r="BB212" i="3"/>
  <c r="BF212" s="1"/>
  <c r="BG212" i="1"/>
  <c r="BJ212" s="1"/>
  <c r="BG224"/>
  <c r="BJ224" s="1"/>
  <c r="BB228" i="3"/>
  <c r="BF228" s="1"/>
  <c r="BB227"/>
  <c r="BF227" s="1"/>
  <c r="BB226"/>
  <c r="BF226" s="1"/>
  <c r="BB224"/>
  <c r="BF224" s="1"/>
  <c r="AY221"/>
  <c r="BC221" s="1"/>
  <c r="BA268"/>
  <c r="BA280" s="1"/>
  <c r="BB280" s="1"/>
  <c r="BF280" s="1"/>
  <c r="BA266"/>
  <c r="BA278" s="1"/>
  <c r="BA290" s="1"/>
  <c r="BA262"/>
  <c r="BA274" s="1"/>
  <c r="BB274" s="1"/>
  <c r="BF274" s="1"/>
  <c r="BA262" i="2"/>
  <c r="BA274" s="1"/>
  <c r="BB274" s="1"/>
  <c r="BH274" s="1"/>
  <c r="BA260"/>
  <c r="AX257" i="3"/>
  <c r="AX269" s="1"/>
  <c r="AX281" s="1"/>
  <c r="BE257" i="2"/>
  <c r="BE269" s="1"/>
  <c r="BE281" s="1"/>
  <c r="BB244" i="3"/>
  <c r="BF244" s="1"/>
  <c r="BB238"/>
  <c r="BF238" s="1"/>
  <c r="BB238" i="2"/>
  <c r="BH238" s="1"/>
  <c r="BB236"/>
  <c r="BH236" s="1"/>
  <c r="AY233" i="3"/>
  <c r="BC233" s="1"/>
  <c r="BF233" i="2"/>
  <c r="BI233" s="1"/>
  <c r="W70"/>
  <c r="AG65"/>
  <c r="T62" i="3"/>
  <c r="W62" s="1"/>
  <c r="X62" s="1"/>
  <c r="Z62" s="1"/>
  <c r="T59"/>
  <c r="W59" s="1"/>
  <c r="X59" s="1"/>
  <c r="Z59" s="1"/>
  <c r="T57"/>
  <c r="W57" s="1"/>
  <c r="X57" s="1"/>
  <c r="Z57" s="1"/>
  <c r="T51"/>
  <c r="W51" s="1"/>
  <c r="X51" s="1"/>
  <c r="Z51" s="1"/>
  <c r="M310" i="2"/>
  <c r="Q310" s="1"/>
  <c r="L322"/>
  <c r="BG50" i="3"/>
  <c r="BG35"/>
  <c r="O309" i="1"/>
  <c r="R309" s="1"/>
  <c r="N321"/>
  <c r="T41" i="3"/>
  <c r="W41" s="1"/>
  <c r="X41" s="1"/>
  <c r="Z41" s="1"/>
  <c r="S96" i="1"/>
  <c r="Z96" s="1"/>
  <c r="BE136" i="2"/>
  <c r="BF124"/>
  <c r="BI124" s="1"/>
  <c r="BB76" i="1"/>
  <c r="BC64"/>
  <c r="BI64" s="1"/>
  <c r="BA124" i="2"/>
  <c r="BB112"/>
  <c r="BH112" s="1"/>
  <c r="BF76" i="1"/>
  <c r="BG64"/>
  <c r="BJ64" s="1"/>
  <c r="BK64" s="1"/>
  <c r="P308" i="2"/>
  <c r="R308" s="1"/>
  <c r="O320"/>
  <c r="S118" i="1"/>
  <c r="Z118" s="1"/>
  <c r="O308"/>
  <c r="R308" s="1"/>
  <c r="N320"/>
  <c r="M308" i="2"/>
  <c r="Q308" s="1"/>
  <c r="L320"/>
  <c r="S29"/>
  <c r="Z29" s="1"/>
  <c r="BF75" i="1"/>
  <c r="BG63"/>
  <c r="BJ63" s="1"/>
  <c r="BA97" i="2"/>
  <c r="BB85"/>
  <c r="BH85" s="1"/>
  <c r="BK85" s="1"/>
  <c r="BA108"/>
  <c r="BB96"/>
  <c r="BH96" s="1"/>
  <c r="AG115" i="1"/>
  <c r="AF115" s="1"/>
  <c r="AA115"/>
  <c r="W115"/>
  <c r="W50" i="2"/>
  <c r="AG50"/>
  <c r="AA50"/>
  <c r="BB75" i="1"/>
  <c r="BC63"/>
  <c r="BI63" s="1"/>
  <c r="AX97" i="3"/>
  <c r="AY85"/>
  <c r="BC85" s="1"/>
  <c r="BE85" s="1"/>
  <c r="BG85" s="1"/>
  <c r="BB73" i="1"/>
  <c r="BC61"/>
  <c r="BI61" s="1"/>
  <c r="AM13" i="8"/>
  <c r="AM17"/>
  <c r="S122" i="1"/>
  <c r="Z122" s="1"/>
  <c r="S119"/>
  <c r="Z119" s="1"/>
  <c r="S66" i="2"/>
  <c r="Z66" s="1"/>
  <c r="S37"/>
  <c r="Z37" s="1"/>
  <c r="S33"/>
  <c r="Z33" s="1"/>
  <c r="S31"/>
  <c r="Z31" s="1"/>
  <c r="S30"/>
  <c r="Z30" s="1"/>
  <c r="S51"/>
  <c r="Z51" s="1"/>
  <c r="S49"/>
  <c r="Z49" s="1"/>
  <c r="BK91" i="1"/>
  <c r="BG72" i="3"/>
  <c r="BD140"/>
  <c r="BE140" s="1"/>
  <c r="BK69" i="2"/>
  <c r="BK56"/>
  <c r="BK64"/>
  <c r="BK55" i="1"/>
  <c r="S139"/>
  <c r="Z139" s="1"/>
  <c r="S138" i="2"/>
  <c r="Z138" s="1"/>
  <c r="P307"/>
  <c r="R307" s="1"/>
  <c r="O319"/>
  <c r="BB80" i="1"/>
  <c r="BC68"/>
  <c r="BI68" s="1"/>
  <c r="BK68" s="1"/>
  <c r="BK65" i="2"/>
  <c r="BK125"/>
  <c r="BK66" i="1"/>
  <c r="BK211"/>
  <c r="BK210"/>
  <c r="AA54" i="3"/>
  <c r="AA52"/>
  <c r="S72" i="1"/>
  <c r="Z72" s="1"/>
  <c r="S71"/>
  <c r="Z71" s="1"/>
  <c r="S69"/>
  <c r="Z69" s="1"/>
  <c r="T69" i="3"/>
  <c r="W69" s="1"/>
  <c r="X69" s="1"/>
  <c r="Z69" s="1"/>
  <c r="T45"/>
  <c r="W45" s="1"/>
  <c r="X45" s="1"/>
  <c r="Z45" s="1"/>
  <c r="S190" i="1"/>
  <c r="Z190" s="1"/>
  <c r="S186" i="2"/>
  <c r="Z186" s="1"/>
  <c r="S18"/>
  <c r="Z18" s="1"/>
  <c r="S31" i="1"/>
  <c r="Z31" s="1"/>
  <c r="S134" i="2"/>
  <c r="Z134" s="1"/>
  <c r="O95"/>
  <c r="P83"/>
  <c r="R83" s="1"/>
  <c r="K56" i="3"/>
  <c r="D56" i="10" s="1"/>
  <c r="E56" s="1"/>
  <c r="N76" i="1"/>
  <c r="O64"/>
  <c r="R64" s="1"/>
  <c r="L107" i="2"/>
  <c r="M95"/>
  <c r="Q95" s="1"/>
  <c r="BK52"/>
  <c r="BK45"/>
  <c r="BK101"/>
  <c r="BK41"/>
  <c r="BK74" i="1"/>
  <c r="BK89"/>
  <c r="BK150"/>
  <c r="S178"/>
  <c r="Z178" s="1"/>
  <c r="T63" i="3"/>
  <c r="W63" s="1"/>
  <c r="X63" s="1"/>
  <c r="Z63" s="1"/>
  <c r="T61"/>
  <c r="W61" s="1"/>
  <c r="X61" s="1"/>
  <c r="Z61" s="1"/>
  <c r="S19" i="2"/>
  <c r="Z19" s="1"/>
  <c r="S39"/>
  <c r="Z39" s="1"/>
  <c r="S38"/>
  <c r="Z38" s="1"/>
  <c r="BB69" i="1"/>
  <c r="BC57"/>
  <c r="BI57" s="1"/>
  <c r="BA129" i="2"/>
  <c r="BB117"/>
  <c r="BH117" s="1"/>
  <c r="BG34" i="3"/>
  <c r="BG53"/>
  <c r="BG75"/>
  <c r="BK62" i="2"/>
  <c r="BK76"/>
  <c r="BK75"/>
  <c r="BK89"/>
  <c r="BK65" i="1"/>
  <c r="BK62"/>
  <c r="BK78"/>
  <c r="BK149"/>
  <c r="BK161"/>
  <c r="BG260"/>
  <c r="BJ260" s="1"/>
  <c r="BG241"/>
  <c r="BJ241" s="1"/>
  <c r="BB240" i="3"/>
  <c r="BF240" s="1"/>
  <c r="S74" i="1"/>
  <c r="Z74" s="1"/>
  <c r="S73"/>
  <c r="Z73" s="1"/>
  <c r="S62"/>
  <c r="Z62" s="1"/>
  <c r="S60"/>
  <c r="Z60" s="1"/>
  <c r="T49" i="3"/>
  <c r="W49" s="1"/>
  <c r="X49" s="1"/>
  <c r="Z49" s="1"/>
  <c r="S84" i="1"/>
  <c r="Z84" s="1"/>
  <c r="S83"/>
  <c r="Z83" s="1"/>
  <c r="S79"/>
  <c r="Z79" s="1"/>
  <c r="S78" i="2"/>
  <c r="Z78" s="1"/>
  <c r="S100"/>
  <c r="Z100" s="1"/>
  <c r="S98"/>
  <c r="Z98" s="1"/>
  <c r="S19" i="1"/>
  <c r="Z19" s="1"/>
  <c r="S18"/>
  <c r="Z18" s="1"/>
  <c r="S35"/>
  <c r="Z35" s="1"/>
  <c r="S32"/>
  <c r="Z32" s="1"/>
  <c r="S35" i="2"/>
  <c r="Z35" s="1"/>
  <c r="S34"/>
  <c r="Z34" s="1"/>
  <c r="S223" i="1"/>
  <c r="BB209"/>
  <c r="BC197"/>
  <c r="BI197" s="1"/>
  <c r="BK197" s="1"/>
  <c r="BG60" i="3"/>
  <c r="BG24"/>
  <c r="BG64"/>
  <c r="BK42" i="1"/>
  <c r="BK54"/>
  <c r="BK53"/>
  <c r="BK79"/>
  <c r="BK67"/>
  <c r="BK139"/>
  <c r="AM11" i="8"/>
  <c r="AR13"/>
  <c r="AM16"/>
  <c r="AR17"/>
  <c r="AR18"/>
  <c r="AM22"/>
  <c r="AN22" s="1"/>
  <c r="S75" i="2"/>
  <c r="Z75" s="1"/>
  <c r="T75" i="3"/>
  <c r="W75" s="1"/>
  <c r="X75" s="1"/>
  <c r="Z75" s="1"/>
  <c r="S74" i="2"/>
  <c r="Z74" s="1"/>
  <c r="T74" i="3"/>
  <c r="W74" s="1"/>
  <c r="X74" s="1"/>
  <c r="Z74" s="1"/>
  <c r="T67"/>
  <c r="W67" s="1"/>
  <c r="X67" s="1"/>
  <c r="Z67" s="1"/>
  <c r="S175" i="1"/>
  <c r="Z175" s="1"/>
  <c r="S174" i="2"/>
  <c r="Z174" s="1"/>
  <c r="S103" i="1"/>
  <c r="Z103" s="1"/>
  <c r="S110" i="2"/>
  <c r="Z110" s="1"/>
  <c r="S106" i="1"/>
  <c r="Z106" s="1"/>
  <c r="S106" i="2"/>
  <c r="Z106" s="1"/>
  <c r="S57" i="1"/>
  <c r="Z57" s="1"/>
  <c r="S49"/>
  <c r="Z49" s="1"/>
  <c r="S47"/>
  <c r="Z47" s="1"/>
  <c r="S43"/>
  <c r="Z43" s="1"/>
  <c r="T87" i="3"/>
  <c r="W87" s="1"/>
  <c r="X87" s="1"/>
  <c r="Z87" s="1"/>
  <c r="S86" i="1"/>
  <c r="Z86" s="1"/>
  <c r="S82"/>
  <c r="Z82" s="1"/>
  <c r="S78"/>
  <c r="Z78" s="1"/>
  <c r="T93" i="3"/>
  <c r="W93" s="1"/>
  <c r="X93" s="1"/>
  <c r="Z93" s="1"/>
  <c r="S90" i="1"/>
  <c r="Z90" s="1"/>
  <c r="S90" i="2"/>
  <c r="Z90" s="1"/>
  <c r="S27" i="1"/>
  <c r="Z27" s="1"/>
  <c r="S27" i="2"/>
  <c r="Z27" s="1"/>
  <c r="S25" i="1"/>
  <c r="Z25" s="1"/>
  <c r="S25" i="2"/>
  <c r="Z25" s="1"/>
  <c r="S23" i="1"/>
  <c r="Z23" s="1"/>
  <c r="S23" i="2"/>
  <c r="Z23" s="1"/>
  <c r="S21" i="1"/>
  <c r="Z21" s="1"/>
  <c r="S21" i="2"/>
  <c r="Z21" s="1"/>
  <c r="T18" i="3"/>
  <c r="W18" s="1"/>
  <c r="X18" s="1"/>
  <c r="Z18" s="1"/>
  <c r="S17" i="1"/>
  <c r="Z17" s="1"/>
  <c r="S17" i="2"/>
  <c r="Z17" s="1"/>
  <c r="S39" i="1"/>
  <c r="Z39" s="1"/>
  <c r="S37"/>
  <c r="Z37" s="1"/>
  <c r="S33"/>
  <c r="Z33" s="1"/>
  <c r="S29"/>
  <c r="Z29" s="1"/>
  <c r="T29" i="3"/>
  <c r="W29" s="1"/>
  <c r="X29" s="1"/>
  <c r="Z29" s="1"/>
  <c r="S170" i="2"/>
  <c r="Z170" s="1"/>
  <c r="S163" i="1"/>
  <c r="Z163" s="1"/>
  <c r="S199"/>
  <c r="Z199" s="1"/>
  <c r="S198" i="2"/>
  <c r="Z198" s="1"/>
  <c r="S202" i="1"/>
  <c r="Z202" s="1"/>
  <c r="S40" i="2"/>
  <c r="Z40" s="1"/>
  <c r="S36"/>
  <c r="Z36" s="1"/>
  <c r="S32"/>
  <c r="Z32" s="1"/>
  <c r="S46"/>
  <c r="Z46" s="1"/>
  <c r="S44"/>
  <c r="Z44" s="1"/>
  <c r="S43"/>
  <c r="Z43" s="1"/>
  <c r="O9"/>
  <c r="S131" i="1"/>
  <c r="Z131" s="1"/>
  <c r="S130"/>
  <c r="Z130" s="1"/>
  <c r="S130" i="2"/>
  <c r="Z130" s="1"/>
  <c r="S127" i="1"/>
  <c r="Z127" s="1"/>
  <c r="S146" i="2"/>
  <c r="Z146" s="1"/>
  <c r="S238" i="1"/>
  <c r="S235"/>
  <c r="S259"/>
  <c r="S226"/>
  <c r="AR12" i="8"/>
  <c r="AR16"/>
  <c r="AM18"/>
  <c r="BA98" i="2"/>
  <c r="BB86"/>
  <c r="BH86" s="1"/>
  <c r="BK86" s="1"/>
  <c r="BF84" i="1"/>
  <c r="BG72"/>
  <c r="BJ72" s="1"/>
  <c r="BF70"/>
  <c r="BG58"/>
  <c r="BJ58" s="1"/>
  <c r="BK58" s="1"/>
  <c r="BA69" i="3"/>
  <c r="BB57"/>
  <c r="BF57" s="1"/>
  <c r="BA103"/>
  <c r="BB91"/>
  <c r="BF91" s="1"/>
  <c r="BG91" s="1"/>
  <c r="BA114"/>
  <c r="BB102"/>
  <c r="BF102" s="1"/>
  <c r="BA66" i="2"/>
  <c r="BB54"/>
  <c r="BH54" s="1"/>
  <c r="BA185"/>
  <c r="BB173"/>
  <c r="BH173" s="1"/>
  <c r="BG79" i="3"/>
  <c r="BB122" i="1"/>
  <c r="BC110"/>
  <c r="BI110" s="1"/>
  <c r="BK110" s="1"/>
  <c r="AX81" i="3"/>
  <c r="AY69"/>
  <c r="BC69" s="1"/>
  <c r="BE69" s="1"/>
  <c r="BE92" i="2"/>
  <c r="BF80"/>
  <c r="BI80" s="1"/>
  <c r="AX66" i="3"/>
  <c r="AY54"/>
  <c r="BE66" i="2"/>
  <c r="BF54"/>
  <c r="BI54" s="1"/>
  <c r="BG80" i="3"/>
  <c r="BG28"/>
  <c r="BG21"/>
  <c r="BG19"/>
  <c r="BG38"/>
  <c r="BG61"/>
  <c r="BG41"/>
  <c r="BG20"/>
  <c r="BG30"/>
  <c r="BG62"/>
  <c r="BK48" i="2"/>
  <c r="BK77"/>
  <c r="BK61"/>
  <c r="BK57"/>
  <c r="BK50"/>
  <c r="BK43" i="1"/>
  <c r="BK77"/>
  <c r="BK103"/>
  <c r="BK137"/>
  <c r="BK125"/>
  <c r="BK211" i="2"/>
  <c r="BK223"/>
  <c r="BF284" i="1"/>
  <c r="BG40" i="3"/>
  <c r="BG18"/>
  <c r="BG39"/>
  <c r="BK63" i="2"/>
  <c r="S114" i="1"/>
  <c r="Z114" s="1"/>
  <c r="S114" i="2"/>
  <c r="Z114" s="1"/>
  <c r="T76" i="3"/>
  <c r="W76" s="1"/>
  <c r="X76" s="1"/>
  <c r="Z76" s="1"/>
  <c r="S70" i="1"/>
  <c r="Z70" s="1"/>
  <c r="S67"/>
  <c r="Z67" s="1"/>
  <c r="S66"/>
  <c r="Z66" s="1"/>
  <c r="S53" i="2"/>
  <c r="Z53" s="1"/>
  <c r="S54" i="1"/>
  <c r="Z54" s="1"/>
  <c r="O228" i="2"/>
  <c r="P216"/>
  <c r="R216" s="1"/>
  <c r="J286" i="1"/>
  <c r="K274"/>
  <c r="Q274" s="1"/>
  <c r="S274" s="1"/>
  <c r="L225" i="2"/>
  <c r="M213"/>
  <c r="Q213" s="1"/>
  <c r="S213" s="1"/>
  <c r="L151"/>
  <c r="M139"/>
  <c r="Q139" s="1"/>
  <c r="S139" s="1"/>
  <c r="Z139" s="1"/>
  <c r="O149"/>
  <c r="P137"/>
  <c r="R137" s="1"/>
  <c r="S102" i="1"/>
  <c r="Z102" s="1"/>
  <c r="S63" i="2"/>
  <c r="Z63" s="1"/>
  <c r="S61" i="1"/>
  <c r="Z61" s="1"/>
  <c r="S59"/>
  <c r="Z59" s="1"/>
  <c r="S58"/>
  <c r="Z58" s="1"/>
  <c r="S58" i="2"/>
  <c r="Z58" s="1"/>
  <c r="S56" i="1"/>
  <c r="Z56" s="1"/>
  <c r="S55"/>
  <c r="Z55" s="1"/>
  <c r="S55" i="2"/>
  <c r="Z55" s="1"/>
  <c r="T55" i="3"/>
  <c r="W55" s="1"/>
  <c r="X55" s="1"/>
  <c r="Z55" s="1"/>
  <c r="S54" i="2"/>
  <c r="Z54" s="1"/>
  <c r="S50" i="1"/>
  <c r="Z50" s="1"/>
  <c r="T50" i="3"/>
  <c r="W50" s="1"/>
  <c r="X50" s="1"/>
  <c r="Z50" s="1"/>
  <c r="S42" i="1"/>
  <c r="Z42" s="1"/>
  <c r="S187"/>
  <c r="Z187" s="1"/>
  <c r="S85"/>
  <c r="Z85" s="1"/>
  <c r="S82" i="2"/>
  <c r="Z82" s="1"/>
  <c r="T81" i="3"/>
  <c r="W81" s="1"/>
  <c r="X81" s="1"/>
  <c r="Z81" s="1"/>
  <c r="T77"/>
  <c r="W77" s="1"/>
  <c r="X77" s="1"/>
  <c r="Z77" s="1"/>
  <c r="S95" i="1"/>
  <c r="Z95" s="1"/>
  <c r="S94"/>
  <c r="Z94" s="1"/>
  <c r="S28"/>
  <c r="Z28" s="1"/>
  <c r="S28" i="2"/>
  <c r="Z28" s="1"/>
  <c r="S26" i="1"/>
  <c r="Z26" s="1"/>
  <c r="S26" i="2"/>
  <c r="Z26" s="1"/>
  <c r="S24" i="1"/>
  <c r="Z24" s="1"/>
  <c r="S24" i="2"/>
  <c r="Z24" s="1"/>
  <c r="S22" i="1"/>
  <c r="Z22" s="1"/>
  <c r="S22" i="2"/>
  <c r="Z22" s="1"/>
  <c r="S20" i="1"/>
  <c r="Z20" s="1"/>
  <c r="S20" i="2"/>
  <c r="Z20" s="1"/>
  <c r="T20" i="3"/>
  <c r="W20" s="1"/>
  <c r="X20" s="1"/>
  <c r="Z20" s="1"/>
  <c r="S40" i="1"/>
  <c r="Z40" s="1"/>
  <c r="S38"/>
  <c r="Z38" s="1"/>
  <c r="S36"/>
  <c r="Z36" s="1"/>
  <c r="S34"/>
  <c r="Z34" s="1"/>
  <c r="S30"/>
  <c r="Z30" s="1"/>
  <c r="S151"/>
  <c r="Z151" s="1"/>
  <c r="S150" i="2"/>
  <c r="Z150" s="1"/>
  <c r="L229"/>
  <c r="M217"/>
  <c r="Q217" s="1"/>
  <c r="O226"/>
  <c r="P214"/>
  <c r="R214" s="1"/>
  <c r="J225" i="1"/>
  <c r="K213"/>
  <c r="Q213" s="1"/>
  <c r="J224"/>
  <c r="K212"/>
  <c r="Q212" s="1"/>
  <c r="L234" i="2"/>
  <c r="M222"/>
  <c r="Q222" s="1"/>
  <c r="S222" s="1"/>
  <c r="N221" i="1"/>
  <c r="O209"/>
  <c r="R209" s="1"/>
  <c r="L221" i="2"/>
  <c r="M209"/>
  <c r="Q209" s="1"/>
  <c r="S86"/>
  <c r="Z86" s="1"/>
  <c r="S126"/>
  <c r="Z126" s="1"/>
  <c r="S250" i="1"/>
  <c r="S247"/>
  <c r="S271"/>
  <c r="S227"/>
  <c r="S283"/>
  <c r="M302" i="2"/>
  <c r="Q302" s="1"/>
  <c r="BG275" i="1"/>
  <c r="BJ275" s="1"/>
  <c r="BD245" i="3"/>
  <c r="BC245"/>
  <c r="K220" i="1"/>
  <c r="Q220" s="1"/>
  <c r="J232"/>
  <c r="L232" i="2"/>
  <c r="M220"/>
  <c r="Q220" s="1"/>
  <c r="J231" i="1"/>
  <c r="K219"/>
  <c r="Q219" s="1"/>
  <c r="O219"/>
  <c r="R219" s="1"/>
  <c r="N231"/>
  <c r="P220" i="2"/>
  <c r="R220" s="1"/>
  <c r="O232"/>
  <c r="O231"/>
  <c r="P219"/>
  <c r="R219" s="1"/>
  <c r="S219" s="1"/>
  <c r="N230" i="1"/>
  <c r="O218"/>
  <c r="R218" s="1"/>
  <c r="S218" s="1"/>
  <c r="O10" i="2"/>
  <c r="J318" i="1"/>
  <c r="K306"/>
  <c r="Q306" s="1"/>
  <c r="S306" s="1"/>
  <c r="J317"/>
  <c r="K305"/>
  <c r="Q305" s="1"/>
  <c r="AR11" i="8"/>
  <c r="AR14"/>
  <c r="AR15"/>
  <c r="AR19"/>
  <c r="AR20"/>
  <c r="AR21"/>
  <c r="AR23"/>
  <c r="AS24" s="1"/>
  <c r="AR22"/>
  <c r="AR9"/>
  <c r="AS9" s="1"/>
  <c r="AR10"/>
  <c r="AM12"/>
  <c r="AM14"/>
  <c r="AM15"/>
  <c r="AM19"/>
  <c r="AM20"/>
  <c r="AN21" s="1"/>
  <c r="AM23"/>
  <c r="AM9"/>
  <c r="AN9" s="1"/>
  <c r="AM10"/>
  <c r="BD160" i="3" l="1"/>
  <c r="BE160" s="1"/>
  <c r="BD113"/>
  <c r="BE113" s="1"/>
  <c r="BG167"/>
  <c r="AE37"/>
  <c r="S117" i="1"/>
  <c r="Z117" s="1"/>
  <c r="L98" i="3"/>
  <c r="P98" s="1"/>
  <c r="R98" s="1"/>
  <c r="T98" s="1"/>
  <c r="W98" s="1"/>
  <c r="X98" s="1"/>
  <c r="Z98" s="1"/>
  <c r="Z98" i="6" s="1"/>
  <c r="S190" i="2"/>
  <c r="Z190" s="1"/>
  <c r="AG190" s="1"/>
  <c r="AF190" s="1"/>
  <c r="S173" i="1"/>
  <c r="Z173" s="1"/>
  <c r="AB86" i="2"/>
  <c r="AB38" i="1"/>
  <c r="AB38" i="9" s="1"/>
  <c r="AB24" i="1"/>
  <c r="AB24" i="9" s="1"/>
  <c r="AB28" i="1"/>
  <c r="AB28" i="9" s="1"/>
  <c r="AB194" i="2"/>
  <c r="AB56" i="1"/>
  <c r="AB56" i="9" s="1"/>
  <c r="AB67" i="1"/>
  <c r="AB67" i="9" s="1"/>
  <c r="AB130" i="1"/>
  <c r="AB130" i="9" s="1"/>
  <c r="AB40" i="2"/>
  <c r="AB33" i="1"/>
  <c r="AB33" i="9" s="1"/>
  <c r="AB23" i="2"/>
  <c r="AB93" i="3"/>
  <c r="AD93" s="1"/>
  <c r="AF93" s="1"/>
  <c r="AB75" i="2"/>
  <c r="AB19" i="1"/>
  <c r="AB19" i="9" s="1"/>
  <c r="AB60" i="1"/>
  <c r="AB60" i="9" s="1"/>
  <c r="AB63" i="3"/>
  <c r="AD63" s="1"/>
  <c r="AF63" s="1"/>
  <c r="AB186" i="2"/>
  <c r="AB31"/>
  <c r="AB59" i="3"/>
  <c r="AD59" s="1"/>
  <c r="AE71" s="1"/>
  <c r="AB136" i="2"/>
  <c r="AB150" i="1"/>
  <c r="AB150" i="9" s="1"/>
  <c r="AB193" i="1"/>
  <c r="AB193" i="9" s="1"/>
  <c r="AB182" i="2"/>
  <c r="AB137" i="1"/>
  <c r="AB137" i="9" s="1"/>
  <c r="AB159" i="2"/>
  <c r="AB171"/>
  <c r="AB134" i="1"/>
  <c r="AB134" i="9" s="1"/>
  <c r="AB57" i="2"/>
  <c r="AB69"/>
  <c r="AB146" i="1"/>
  <c r="AB146" i="9" s="1"/>
  <c r="AB79" i="2"/>
  <c r="AB149" i="1"/>
  <c r="AB149" i="9" s="1"/>
  <c r="AB81" i="1"/>
  <c r="AB81" i="9" s="1"/>
  <c r="AB109" i="1"/>
  <c r="AB109" i="9" s="1"/>
  <c r="AB30" i="1"/>
  <c r="AB30" i="9" s="1"/>
  <c r="AB22" i="2"/>
  <c r="AB94" i="1"/>
  <c r="AB94" i="9" s="1"/>
  <c r="AB55" i="3"/>
  <c r="AD55" s="1"/>
  <c r="AB63" i="2"/>
  <c r="AB70" i="1"/>
  <c r="AB70" i="9" s="1"/>
  <c r="AB146" i="2"/>
  <c r="AB46"/>
  <c r="AB170"/>
  <c r="AB37" i="1"/>
  <c r="AB37" i="9" s="1"/>
  <c r="AB23" i="1"/>
  <c r="AB23" i="9" s="1"/>
  <c r="AB78" i="1"/>
  <c r="AB78" i="9" s="1"/>
  <c r="AB106" i="2"/>
  <c r="AB103" i="1"/>
  <c r="AB103" i="9" s="1"/>
  <c r="AB32" i="1"/>
  <c r="AB32" i="9" s="1"/>
  <c r="AB83" i="1"/>
  <c r="AB83" i="9" s="1"/>
  <c r="AB39" i="2"/>
  <c r="AB134"/>
  <c r="AB71" i="1"/>
  <c r="AB71" i="9" s="1"/>
  <c r="AB49" i="2"/>
  <c r="AB122" i="1"/>
  <c r="AB122" i="9" s="1"/>
  <c r="AB62" i="3"/>
  <c r="AD62" s="1"/>
  <c r="AF62" s="1"/>
  <c r="AB125" i="1"/>
  <c r="AB125" i="9" s="1"/>
  <c r="AB41" i="1"/>
  <c r="AB41" i="9" s="1"/>
  <c r="AB186" i="1"/>
  <c r="AB186" i="9" s="1"/>
  <c r="AB80" i="1"/>
  <c r="AB80" i="9" s="1"/>
  <c r="AB140" i="1"/>
  <c r="AB140" i="9" s="1"/>
  <c r="AB190" i="2"/>
  <c r="AB116" i="1"/>
  <c r="AB116" i="9" s="1"/>
  <c r="AB111" i="2"/>
  <c r="AB73"/>
  <c r="AB126"/>
  <c r="AB150"/>
  <c r="AB36" i="1"/>
  <c r="AB36" i="9" s="1"/>
  <c r="AB20" i="2"/>
  <c r="AB24"/>
  <c r="AB28"/>
  <c r="AB77" i="3"/>
  <c r="AD77" s="1"/>
  <c r="AB187" i="1"/>
  <c r="AB187" i="9" s="1"/>
  <c r="AB50" i="1"/>
  <c r="AB50" i="9" s="1"/>
  <c r="AB55" i="1"/>
  <c r="AB55" i="9" s="1"/>
  <c r="AB59" i="1"/>
  <c r="AB59" i="9" s="1"/>
  <c r="AB66" i="1"/>
  <c r="AB66" i="9" s="1"/>
  <c r="AB114" i="2"/>
  <c r="AB130"/>
  <c r="AB43"/>
  <c r="AB36"/>
  <c r="AB199" i="1"/>
  <c r="AB199" i="9" s="1"/>
  <c r="AB29" i="1"/>
  <c r="AB29" i="9" s="1"/>
  <c r="AB17" i="2"/>
  <c r="AB21" i="1"/>
  <c r="AB21" i="9" s="1"/>
  <c r="AB25" i="1"/>
  <c r="AB25" i="9" s="1"/>
  <c r="AB90" i="1"/>
  <c r="AB90" i="9" s="1"/>
  <c r="AB86" i="1"/>
  <c r="AB86" i="9" s="1"/>
  <c r="AB49" i="1"/>
  <c r="AB49" i="9" s="1"/>
  <c r="AB110" i="2"/>
  <c r="AB175" i="1"/>
  <c r="AB175" i="9" s="1"/>
  <c r="AB75" i="3"/>
  <c r="AD75" s="1"/>
  <c r="AB34" i="2"/>
  <c r="AB18" i="1"/>
  <c r="AB18" i="9" s="1"/>
  <c r="AB78" i="2"/>
  <c r="AB49" i="3"/>
  <c r="AD49" s="1"/>
  <c r="AB74" i="1"/>
  <c r="AB74" i="9" s="1"/>
  <c r="AB61" i="3"/>
  <c r="AD61" s="1"/>
  <c r="AF61" s="1"/>
  <c r="AB18" i="2"/>
  <c r="AB69" i="3"/>
  <c r="AD69" s="1"/>
  <c r="AB30" i="2"/>
  <c r="AB66"/>
  <c r="AB118" i="1"/>
  <c r="AB118" i="9" s="1"/>
  <c r="AB41" i="3"/>
  <c r="AD41" s="1"/>
  <c r="AB57"/>
  <c r="AD57" s="1"/>
  <c r="AB133" i="1"/>
  <c r="AB133" i="9" s="1"/>
  <c r="AB203" i="1"/>
  <c r="AB203" i="9" s="1"/>
  <c r="AB155" i="1"/>
  <c r="AB155" i="9" s="1"/>
  <c r="AB97" i="1"/>
  <c r="AB97" i="9" s="1"/>
  <c r="AB56" i="2"/>
  <c r="AB179" i="1"/>
  <c r="AB179" i="9" s="1"/>
  <c r="AB65" i="1"/>
  <c r="AB65" i="9" s="1"/>
  <c r="AB117" i="1"/>
  <c r="AB117" i="9" s="1"/>
  <c r="AB162" i="1"/>
  <c r="AB162" i="9" s="1"/>
  <c r="AB88" i="2"/>
  <c r="AB144" i="1"/>
  <c r="AB144" i="9" s="1"/>
  <c r="AB132" i="1"/>
  <c r="AB132" i="9" s="1"/>
  <c r="AB201" i="2"/>
  <c r="AB158" i="1"/>
  <c r="AB158" i="9" s="1"/>
  <c r="AB165" i="2"/>
  <c r="AB170" i="1"/>
  <c r="AB170" i="9" s="1"/>
  <c r="AB36" i="3"/>
  <c r="AD36" s="1"/>
  <c r="AB86"/>
  <c r="AD86" s="1"/>
  <c r="AB194" i="1"/>
  <c r="AB194" i="9" s="1"/>
  <c r="AB206" i="1"/>
  <c r="AB206" i="9" s="1"/>
  <c r="AB153" i="2"/>
  <c r="AB189"/>
  <c r="AB177"/>
  <c r="AB115"/>
  <c r="AB128" i="1"/>
  <c r="AB128" i="9" s="1"/>
  <c r="AB105" i="2"/>
  <c r="AB180" i="1"/>
  <c r="AB180" i="9" s="1"/>
  <c r="AB123" i="2"/>
  <c r="S176" i="1"/>
  <c r="Z176" s="1"/>
  <c r="AG176" s="1"/>
  <c r="AF176" s="1"/>
  <c r="AB121"/>
  <c r="AB121" i="9" s="1"/>
  <c r="AB99" i="3"/>
  <c r="AD99" s="1"/>
  <c r="AF99" s="1"/>
  <c r="AB76" i="2"/>
  <c r="AB151" i="1"/>
  <c r="AB151" i="9" s="1"/>
  <c r="AB20" i="1"/>
  <c r="AB20" i="9" s="1"/>
  <c r="AB81" i="3"/>
  <c r="AD81" s="1"/>
  <c r="AB54" i="2"/>
  <c r="AB61" i="1"/>
  <c r="AB61" i="9" s="1"/>
  <c r="AB114" i="1"/>
  <c r="AB114" i="9" s="1"/>
  <c r="AB44" i="2"/>
  <c r="AB163" i="1"/>
  <c r="AB163" i="9" s="1"/>
  <c r="AB17" i="1"/>
  <c r="AB17" i="9" s="1"/>
  <c r="AB27" i="2"/>
  <c r="AB87" i="3"/>
  <c r="AD87" s="1"/>
  <c r="AB57" i="1"/>
  <c r="AB57" i="9" s="1"/>
  <c r="AB67" i="3"/>
  <c r="AD67" s="1"/>
  <c r="AF67" s="1"/>
  <c r="AB35" i="2"/>
  <c r="AB79" i="1"/>
  <c r="AB79" i="9" s="1"/>
  <c r="AB113" i="1"/>
  <c r="AB113" i="9" s="1"/>
  <c r="AB38" i="2"/>
  <c r="AB138"/>
  <c r="AB119" i="1"/>
  <c r="AB119" i="9" s="1"/>
  <c r="AB198" i="1"/>
  <c r="AB198" i="9" s="1"/>
  <c r="AB157" i="1"/>
  <c r="AB157" i="9" s="1"/>
  <c r="AB174" i="1"/>
  <c r="AB174" i="9" s="1"/>
  <c r="AB64" i="2"/>
  <c r="AB141"/>
  <c r="AB91"/>
  <c r="AB195"/>
  <c r="AB207"/>
  <c r="AB103"/>
  <c r="AB129"/>
  <c r="AB89" i="1"/>
  <c r="AB89" i="9" s="1"/>
  <c r="AB53" i="1"/>
  <c r="AB53" i="9" s="1"/>
  <c r="AB40" i="1"/>
  <c r="AB40" i="9" s="1"/>
  <c r="AB26" i="2"/>
  <c r="AB82"/>
  <c r="AB42" i="1"/>
  <c r="AB42" i="9" s="1"/>
  <c r="AB58" i="2"/>
  <c r="AB139"/>
  <c r="AB54" i="1"/>
  <c r="AB54" i="9" s="1"/>
  <c r="AB131" i="1"/>
  <c r="AB131" i="9" s="1"/>
  <c r="AB202" i="1"/>
  <c r="AB202" i="9" s="1"/>
  <c r="AB18" i="3"/>
  <c r="AD18" s="1"/>
  <c r="AB27" i="1"/>
  <c r="AB27" i="9" s="1"/>
  <c r="AB43" i="1"/>
  <c r="AB43" i="9" s="1"/>
  <c r="AB74" i="3"/>
  <c r="AD74" s="1"/>
  <c r="AB98" i="2"/>
  <c r="AB62" i="1"/>
  <c r="AB62" i="9" s="1"/>
  <c r="AB178" i="1"/>
  <c r="AB178" i="9" s="1"/>
  <c r="AB190" i="1"/>
  <c r="AB190" i="9" s="1"/>
  <c r="AB139" i="1"/>
  <c r="AB139" i="9" s="1"/>
  <c r="AB33" i="2"/>
  <c r="AB77" i="1"/>
  <c r="AB77" i="9" s="1"/>
  <c r="AB124" i="2"/>
  <c r="AB143" i="1"/>
  <c r="AB143" i="9" s="1"/>
  <c r="AB45" i="2"/>
  <c r="AB156" i="1"/>
  <c r="AB156" i="9" s="1"/>
  <c r="AB99" i="2"/>
  <c r="AB135"/>
  <c r="AB87"/>
  <c r="AB71"/>
  <c r="AB120" i="1"/>
  <c r="AB120" i="9" s="1"/>
  <c r="AB182" i="1"/>
  <c r="AB182" i="9" s="1"/>
  <c r="AB34" i="1"/>
  <c r="AB34" i="9" s="1"/>
  <c r="AB20" i="3"/>
  <c r="AD20" s="1"/>
  <c r="AB22" i="1"/>
  <c r="AB22" i="9" s="1"/>
  <c r="AB26" i="1"/>
  <c r="AB26" i="9" s="1"/>
  <c r="AB95" i="1"/>
  <c r="AB95" i="9" s="1"/>
  <c r="AB85" i="1"/>
  <c r="AB85" i="9" s="1"/>
  <c r="AB50" i="3"/>
  <c r="AD50" s="1"/>
  <c r="AB55" i="2"/>
  <c r="AB58" i="1"/>
  <c r="AB58" i="9" s="1"/>
  <c r="AB102" i="1"/>
  <c r="AB102" i="9" s="1"/>
  <c r="AB53" i="2"/>
  <c r="AB76" i="3"/>
  <c r="AD76" s="1"/>
  <c r="AB127" i="1"/>
  <c r="AB127" i="9" s="1"/>
  <c r="AB32" i="2"/>
  <c r="AB198"/>
  <c r="AB29" i="3"/>
  <c r="AD29" s="1"/>
  <c r="AB39" i="1"/>
  <c r="AB39" i="9" s="1"/>
  <c r="AB21" i="2"/>
  <c r="AB25"/>
  <c r="AB90"/>
  <c r="AB82" i="1"/>
  <c r="AB82" i="9" s="1"/>
  <c r="AB47" i="1"/>
  <c r="AB47" i="9" s="1"/>
  <c r="AB106" i="1"/>
  <c r="AB106" i="9" s="1"/>
  <c r="AB174" i="2"/>
  <c r="AB74"/>
  <c r="AB35" i="1"/>
  <c r="AB35" i="9" s="1"/>
  <c r="AB100" i="2"/>
  <c r="AB84" i="1"/>
  <c r="AB84" i="9" s="1"/>
  <c r="AB73" i="1"/>
  <c r="AB73" i="9" s="1"/>
  <c r="AB19" i="2"/>
  <c r="AB31" i="1"/>
  <c r="AB31" i="9" s="1"/>
  <c r="AB45" i="3"/>
  <c r="AD45" s="1"/>
  <c r="AB51" i="2"/>
  <c r="AB37"/>
  <c r="AB29"/>
  <c r="AB96" i="1"/>
  <c r="AB96" i="9" s="1"/>
  <c r="AB51" i="3"/>
  <c r="AD51" s="1"/>
  <c r="AE51" s="1"/>
  <c r="AB138" i="1"/>
  <c r="AB138" i="9" s="1"/>
  <c r="AB126" i="1"/>
  <c r="AB126" i="9" s="1"/>
  <c r="AB52" i="2"/>
  <c r="AB101" i="1"/>
  <c r="AB101" i="9" s="1"/>
  <c r="AB112" i="2"/>
  <c r="AB145" i="1"/>
  <c r="AB145" i="9" s="1"/>
  <c r="AB191" i="1"/>
  <c r="AB191" i="9" s="1"/>
  <c r="AB142" i="2"/>
  <c r="AB127"/>
  <c r="AB93"/>
  <c r="AB81"/>
  <c r="AB192" i="1"/>
  <c r="AB192" i="9" s="1"/>
  <c r="AB92" i="1"/>
  <c r="AB92" i="9" s="1"/>
  <c r="AB108" i="1"/>
  <c r="AB108" i="9" s="1"/>
  <c r="AB117" i="2"/>
  <c r="AB147"/>
  <c r="AB183"/>
  <c r="AB169" i="1"/>
  <c r="AB169" i="9" s="1"/>
  <c r="S176" i="2"/>
  <c r="Z176" s="1"/>
  <c r="AA176" s="1"/>
  <c r="AB181" i="1"/>
  <c r="AB181" i="9" s="1"/>
  <c r="AB167" i="1"/>
  <c r="AB167" i="9" s="1"/>
  <c r="AB68" i="2"/>
  <c r="AB67"/>
  <c r="AB68" i="1"/>
  <c r="AB68" i="9" s="1"/>
  <c r="W68" i="1"/>
  <c r="AA68"/>
  <c r="AG68"/>
  <c r="AF68" s="1"/>
  <c r="S147"/>
  <c r="Z147" s="1"/>
  <c r="AA147" s="1"/>
  <c r="Z68" i="9"/>
  <c r="AA68" s="1"/>
  <c r="BD100" i="3"/>
  <c r="BE100" s="1"/>
  <c r="S63" i="1"/>
  <c r="Z63" s="1"/>
  <c r="S89" i="2"/>
  <c r="Z89" s="1"/>
  <c r="S113"/>
  <c r="Z113" s="1"/>
  <c r="W113" s="1"/>
  <c r="S99" i="1"/>
  <c r="Z99" s="1"/>
  <c r="AG99" s="1"/>
  <c r="AF99" s="1"/>
  <c r="S181" i="2"/>
  <c r="Z181" s="1"/>
  <c r="S156"/>
  <c r="Z156" s="1"/>
  <c r="AA156" s="1"/>
  <c r="BB263" i="3"/>
  <c r="BF263" s="1"/>
  <c r="S105" i="1"/>
  <c r="Z105" s="1"/>
  <c r="Z105" i="9" s="1"/>
  <c r="AA105" s="1"/>
  <c r="S80" i="2"/>
  <c r="Z80" s="1"/>
  <c r="S104"/>
  <c r="Z104" s="1"/>
  <c r="AA104" s="1"/>
  <c r="BG70" i="3"/>
  <c r="S172" i="2"/>
  <c r="Z172" s="1"/>
  <c r="AA172" s="1"/>
  <c r="S129" i="1"/>
  <c r="Z129" s="1"/>
  <c r="BG57" i="3"/>
  <c r="BD159"/>
  <c r="BE159" s="1"/>
  <c r="BG159" s="1"/>
  <c r="S229" i="1"/>
  <c r="T83" i="3"/>
  <c r="W83" s="1"/>
  <c r="X83" s="1"/>
  <c r="Z83" s="1"/>
  <c r="S52" i="1"/>
  <c r="Z52" s="1"/>
  <c r="S228"/>
  <c r="Z228" s="1"/>
  <c r="Q79" i="3"/>
  <c r="R79" s="1"/>
  <c r="T79" s="1"/>
  <c r="W79" s="1"/>
  <c r="X79" s="1"/>
  <c r="Z79" s="1"/>
  <c r="BG178"/>
  <c r="S276" i="1"/>
  <c r="Z276" s="1"/>
  <c r="X110"/>
  <c r="S289"/>
  <c r="Z289" s="1"/>
  <c r="S108" i="2"/>
  <c r="Z108" s="1"/>
  <c r="L101" i="3"/>
  <c r="P101" s="1"/>
  <c r="S154" i="2"/>
  <c r="Z154" s="1"/>
  <c r="AG154" s="1"/>
  <c r="O186" i="3"/>
  <c r="S186" s="1"/>
  <c r="S140" i="2"/>
  <c r="Z140" s="1"/>
  <c r="S189" i="1"/>
  <c r="Z189" s="1"/>
  <c r="W189" s="1"/>
  <c r="S128" i="2"/>
  <c r="Z128" s="1"/>
  <c r="S197" i="1"/>
  <c r="Z197" s="1"/>
  <c r="BD87" i="3"/>
  <c r="BE87" s="1"/>
  <c r="BG87" s="1"/>
  <c r="BG160"/>
  <c r="S64" i="1"/>
  <c r="Z64" s="1"/>
  <c r="Z64" i="9" s="1"/>
  <c r="AA64" s="1"/>
  <c r="BK96" i="2"/>
  <c r="BK107"/>
  <c r="BG106" i="3"/>
  <c r="S184" i="2"/>
  <c r="Z184" s="1"/>
  <c r="AG35" i="3"/>
  <c r="S132" i="2"/>
  <c r="Z132" s="1"/>
  <c r="S121"/>
  <c r="Z121" s="1"/>
  <c r="W121" s="1"/>
  <c r="S240" i="1"/>
  <c r="Z240" s="1"/>
  <c r="S164"/>
  <c r="Z164" s="1"/>
  <c r="AG164" s="1"/>
  <c r="AF164" s="1"/>
  <c r="BK179" i="2"/>
  <c r="BK94"/>
  <c r="S109"/>
  <c r="Z109" s="1"/>
  <c r="AG109" s="1"/>
  <c r="S164"/>
  <c r="Z164" s="1"/>
  <c r="AA69" i="1"/>
  <c r="AB69"/>
  <c r="AB69" i="9" s="1"/>
  <c r="AG72" i="1"/>
  <c r="AF72" s="1"/>
  <c r="AB72"/>
  <c r="AB72" i="9" s="1"/>
  <c r="AG168" i="1"/>
  <c r="AF168" s="1"/>
  <c r="AB168"/>
  <c r="AB168" i="9" s="1"/>
  <c r="AG104" i="1"/>
  <c r="AF104" s="1"/>
  <c r="AB104"/>
  <c r="AB104" i="9" s="1"/>
  <c r="S260" i="2"/>
  <c r="Z260" s="1"/>
  <c r="BF289" i="1"/>
  <c r="BF301" s="1"/>
  <c r="S209"/>
  <c r="AX268" i="3"/>
  <c r="AX280" s="1"/>
  <c r="AY244"/>
  <c r="BD244" s="1"/>
  <c r="AY220"/>
  <c r="BD220" s="1"/>
  <c r="BG182"/>
  <c r="BK106" i="2"/>
  <c r="BK143"/>
  <c r="BK46"/>
  <c r="BG154" i="3"/>
  <c r="BG170"/>
  <c r="BK119" i="2"/>
  <c r="S216" i="1"/>
  <c r="Z216" s="1"/>
  <c r="Y110" i="9"/>
  <c r="Z227" i="1"/>
  <c r="Z271"/>
  <c r="Z250"/>
  <c r="Z209"/>
  <c r="AA209" s="1"/>
  <c r="Z282"/>
  <c r="Z258"/>
  <c r="Z235"/>
  <c r="Z223"/>
  <c r="Z246"/>
  <c r="Z234"/>
  <c r="Z222"/>
  <c r="Z215"/>
  <c r="AH215" s="1"/>
  <c r="Z218"/>
  <c r="Z275"/>
  <c r="Z283"/>
  <c r="Z270"/>
  <c r="Z247"/>
  <c r="Z239"/>
  <c r="Z274"/>
  <c r="Z226"/>
  <c r="Z259"/>
  <c r="Z238"/>
  <c r="Z263"/>
  <c r="Z287"/>
  <c r="Z229"/>
  <c r="Z251"/>
  <c r="Z262"/>
  <c r="Z210"/>
  <c r="Z222" i="2"/>
  <c r="Z210"/>
  <c r="AA210" s="1"/>
  <c r="Z219"/>
  <c r="Z213"/>
  <c r="W213" s="1"/>
  <c r="Z311" i="1"/>
  <c r="Z299"/>
  <c r="Z306"/>
  <c r="Z294"/>
  <c r="Y154" i="9"/>
  <c r="S178" i="2"/>
  <c r="Z178" s="1"/>
  <c r="AG178" s="1"/>
  <c r="AF178" s="1"/>
  <c r="S253" i="1"/>
  <c r="S85" i="2"/>
  <c r="Z85" s="1"/>
  <c r="AA85" s="1"/>
  <c r="S75" i="1"/>
  <c r="Z75" s="1"/>
  <c r="BF285"/>
  <c r="BF297" s="1"/>
  <c r="BD137" i="3"/>
  <c r="BE137" s="1"/>
  <c r="BG137" s="1"/>
  <c r="L111"/>
  <c r="P111" s="1"/>
  <c r="R111" s="1"/>
  <c r="T111" s="1"/>
  <c r="W111" s="1"/>
  <c r="X111" s="1"/>
  <c r="Z111" s="1"/>
  <c r="AA111" s="1"/>
  <c r="BD171"/>
  <c r="BE171" s="1"/>
  <c r="BG171" s="1"/>
  <c r="BD104"/>
  <c r="BE104" s="1"/>
  <c r="BG104" s="1"/>
  <c r="BD124"/>
  <c r="BE124" s="1"/>
  <c r="BG124" s="1"/>
  <c r="L44"/>
  <c r="P44" s="1"/>
  <c r="BG140"/>
  <c r="BK47" i="2"/>
  <c r="BG142" i="3"/>
  <c r="S284" i="2"/>
  <c r="S48"/>
  <c r="Z48" s="1"/>
  <c r="O117" i="3"/>
  <c r="S117" s="1"/>
  <c r="T117" s="1"/>
  <c r="W117" s="1"/>
  <c r="X117" s="1"/>
  <c r="Z117" s="1"/>
  <c r="S123" i="1"/>
  <c r="Z123" s="1"/>
  <c r="W123" s="1"/>
  <c r="S87"/>
  <c r="Z87" s="1"/>
  <c r="AG87" s="1"/>
  <c r="AF87" s="1"/>
  <c r="BK70" i="2"/>
  <c r="S248"/>
  <c r="S196"/>
  <c r="Z196" s="1"/>
  <c r="S135" i="1"/>
  <c r="Z135" s="1"/>
  <c r="AG135" s="1"/>
  <c r="AF135" s="1"/>
  <c r="T48" i="3"/>
  <c r="W48" s="1"/>
  <c r="X48" s="1"/>
  <c r="Z48" s="1"/>
  <c r="S60" i="2"/>
  <c r="Z60" s="1"/>
  <c r="AM11" s="1"/>
  <c r="L109" i="3"/>
  <c r="P109" s="1"/>
  <c r="R109" s="1"/>
  <c r="S116" i="2"/>
  <c r="Z116" s="1"/>
  <c r="AG116" s="1"/>
  <c r="S120"/>
  <c r="Z120" s="1"/>
  <c r="S242"/>
  <c r="S169"/>
  <c r="Z169" s="1"/>
  <c r="Z203" i="9"/>
  <c r="AA203" s="1"/>
  <c r="Z151"/>
  <c r="AA151" s="1"/>
  <c r="Z169"/>
  <c r="AA169" s="1"/>
  <c r="Z34"/>
  <c r="Y46" s="1"/>
  <c r="Z38"/>
  <c r="AA38" s="1"/>
  <c r="Z20"/>
  <c r="AA20" s="1"/>
  <c r="Z22"/>
  <c r="AA22" s="1"/>
  <c r="Z24"/>
  <c r="AA24" s="1"/>
  <c r="Z26"/>
  <c r="AA26" s="1"/>
  <c r="Z28"/>
  <c r="AA28" s="1"/>
  <c r="Z95"/>
  <c r="AA95" s="1"/>
  <c r="Z187"/>
  <c r="AA187" s="1"/>
  <c r="Z58"/>
  <c r="AA58" s="1"/>
  <c r="Z61"/>
  <c r="AA61" s="1"/>
  <c r="Z102"/>
  <c r="AA102" s="1"/>
  <c r="Z181"/>
  <c r="AA181" s="1"/>
  <c r="Z67"/>
  <c r="AA67" s="1"/>
  <c r="Z121"/>
  <c r="AA121" s="1"/>
  <c r="Z131"/>
  <c r="Z202"/>
  <c r="Y214" s="1"/>
  <c r="Z163"/>
  <c r="AA163" s="1"/>
  <c r="Z33"/>
  <c r="Y45" s="1"/>
  <c r="Z39"/>
  <c r="AA39" s="1"/>
  <c r="Z17"/>
  <c r="AA17" s="1"/>
  <c r="Z82"/>
  <c r="AA82" s="1"/>
  <c r="Z43"/>
  <c r="AA43" s="1"/>
  <c r="Z49"/>
  <c r="Z103"/>
  <c r="AA103" s="1"/>
  <c r="Z175"/>
  <c r="Y175" s="1"/>
  <c r="Z32"/>
  <c r="Y32" s="1"/>
  <c r="Z18"/>
  <c r="AA18" s="1"/>
  <c r="Z83"/>
  <c r="AA83" s="1"/>
  <c r="Z60"/>
  <c r="Y60" s="1"/>
  <c r="Z74"/>
  <c r="AA74" s="1"/>
  <c r="Z178"/>
  <c r="AA178" s="1"/>
  <c r="Z190"/>
  <c r="Z71"/>
  <c r="AA71" s="1"/>
  <c r="Z139"/>
  <c r="Z118"/>
  <c r="Z125"/>
  <c r="Z133"/>
  <c r="AA133" s="1"/>
  <c r="Z155"/>
  <c r="AA155" s="1"/>
  <c r="Z97"/>
  <c r="AA97" s="1"/>
  <c r="Z77"/>
  <c r="AA77" s="1"/>
  <c r="Z41"/>
  <c r="AA41" s="1"/>
  <c r="Z143"/>
  <c r="AA143" s="1"/>
  <c r="Z162"/>
  <c r="AA162" s="1"/>
  <c r="Z186"/>
  <c r="AA186" s="1"/>
  <c r="Z144"/>
  <c r="AA144" s="1"/>
  <c r="Z132"/>
  <c r="Z156"/>
  <c r="AA156" s="1"/>
  <c r="Z158"/>
  <c r="Z170"/>
  <c r="AA170" s="1"/>
  <c r="Z80"/>
  <c r="AA80" s="1"/>
  <c r="Z192"/>
  <c r="AA192" s="1"/>
  <c r="Z134"/>
  <c r="W92" i="1"/>
  <c r="X104" s="1"/>
  <c r="Z146" i="9"/>
  <c r="AA146" s="1"/>
  <c r="Z81"/>
  <c r="AA81" s="1"/>
  <c r="Z167"/>
  <c r="Z30"/>
  <c r="AA30" s="1"/>
  <c r="Z36"/>
  <c r="AA36" s="1"/>
  <c r="Z40"/>
  <c r="AA40" s="1"/>
  <c r="Z94"/>
  <c r="Z85"/>
  <c r="Z42"/>
  <c r="AA42" s="1"/>
  <c r="Z50"/>
  <c r="AA50" s="1"/>
  <c r="Z55"/>
  <c r="Z56"/>
  <c r="AA56" s="1"/>
  <c r="Z59"/>
  <c r="Z179"/>
  <c r="AA179" s="1"/>
  <c r="Z54"/>
  <c r="AA54" s="1"/>
  <c r="Z66"/>
  <c r="AA66" s="1"/>
  <c r="Z114"/>
  <c r="Z137"/>
  <c r="AA137" s="1"/>
  <c r="Z127"/>
  <c r="Y127" s="1"/>
  <c r="Z130"/>
  <c r="AA130" s="1"/>
  <c r="Z197"/>
  <c r="Z199"/>
  <c r="AA199" s="1"/>
  <c r="Z29"/>
  <c r="Z37"/>
  <c r="AA37" s="1"/>
  <c r="Z21"/>
  <c r="AA21" s="1"/>
  <c r="Z23"/>
  <c r="AA23" s="1"/>
  <c r="Z25"/>
  <c r="AA25" s="1"/>
  <c r="Z27"/>
  <c r="AA27" s="1"/>
  <c r="Z90"/>
  <c r="Z78"/>
  <c r="Z86"/>
  <c r="Z194"/>
  <c r="AA194" s="1"/>
  <c r="Z47"/>
  <c r="AA47" s="1"/>
  <c r="Z57"/>
  <c r="AA57" s="1"/>
  <c r="Z106"/>
  <c r="Y106" s="1"/>
  <c r="Z35"/>
  <c r="AA35" s="1"/>
  <c r="Z19"/>
  <c r="AA19" s="1"/>
  <c r="Z79"/>
  <c r="AA79" s="1"/>
  <c r="Z84"/>
  <c r="AA84" s="1"/>
  <c r="Z62"/>
  <c r="AA62" s="1"/>
  <c r="AA65" i="1"/>
  <c r="Z31" i="9"/>
  <c r="W33" i="2"/>
  <c r="W66"/>
  <c r="Z122" i="9"/>
  <c r="Y122" s="1"/>
  <c r="Z96"/>
  <c r="AA96" s="1"/>
  <c r="AA51" i="3"/>
  <c r="Z138" i="9"/>
  <c r="AA138" s="1"/>
  <c r="Z126"/>
  <c r="AA126" s="1"/>
  <c r="Z198"/>
  <c r="Z150"/>
  <c r="AA150" s="1"/>
  <c r="Z157"/>
  <c r="AA157" s="1"/>
  <c r="Z193"/>
  <c r="AA193" s="1"/>
  <c r="Z101"/>
  <c r="AA101" s="1"/>
  <c r="Z174"/>
  <c r="Z117"/>
  <c r="AA117" s="1"/>
  <c r="Z191"/>
  <c r="AA191" s="1"/>
  <c r="Z168"/>
  <c r="AA168" s="1"/>
  <c r="Z99"/>
  <c r="AA99" s="1"/>
  <c r="Z140"/>
  <c r="AA140" s="1"/>
  <c r="Z206"/>
  <c r="AA206" s="1"/>
  <c r="Z108"/>
  <c r="AG115" i="2"/>
  <c r="AG116" i="1"/>
  <c r="AF116" s="1"/>
  <c r="Z120" i="9"/>
  <c r="AA120" s="1"/>
  <c r="Z128"/>
  <c r="AA128" s="1"/>
  <c r="M350" i="2"/>
  <c r="L362"/>
  <c r="Z180" i="9"/>
  <c r="AA180" s="1"/>
  <c r="Z182"/>
  <c r="Z149"/>
  <c r="AA149" s="1"/>
  <c r="Z89"/>
  <c r="Z53"/>
  <c r="AA53" s="1"/>
  <c r="Z109"/>
  <c r="AA109" s="1"/>
  <c r="M348" i="2"/>
  <c r="L360"/>
  <c r="AG74" i="1"/>
  <c r="AF74" s="1"/>
  <c r="AS13" i="8"/>
  <c r="X59" i="2"/>
  <c r="Z19" i="6"/>
  <c r="Z19" i="8" s="1"/>
  <c r="S314" i="2"/>
  <c r="Z47" i="6"/>
  <c r="AA71" i="1"/>
  <c r="S302" i="2"/>
  <c r="K110" i="3"/>
  <c r="D110" i="10" s="1"/>
  <c r="E110" s="1"/>
  <c r="F110" s="1"/>
  <c r="AE42" i="3"/>
  <c r="O176"/>
  <c r="S176" s="1"/>
  <c r="S236" i="2"/>
  <c r="S144"/>
  <c r="Z144" s="1"/>
  <c r="AE31" i="3"/>
  <c r="S157" i="2"/>
  <c r="Z157" s="1"/>
  <c r="S195" i="1"/>
  <c r="Z195" s="1"/>
  <c r="S180" i="2"/>
  <c r="Z180" s="1"/>
  <c r="BA287" i="3"/>
  <c r="BA299" s="1"/>
  <c r="BD188"/>
  <c r="BE188" s="1"/>
  <c r="BG188" s="1"/>
  <c r="BD195"/>
  <c r="BE195" s="1"/>
  <c r="BG195" s="1"/>
  <c r="BB260"/>
  <c r="BF260" s="1"/>
  <c r="BK117" i="2"/>
  <c r="BD128" i="3"/>
  <c r="BE128" s="1"/>
  <c r="BG128" s="1"/>
  <c r="BD77"/>
  <c r="BE77" s="1"/>
  <c r="BG77" s="1"/>
  <c r="BD208"/>
  <c r="BE208" s="1"/>
  <c r="BG208" s="1"/>
  <c r="BK51" i="1"/>
  <c r="BK167" i="2"/>
  <c r="BK142"/>
  <c r="BK71"/>
  <c r="BK59"/>
  <c r="BK84"/>
  <c r="S152"/>
  <c r="Z152" s="1"/>
  <c r="AG38" i="3"/>
  <c r="L95"/>
  <c r="P95" s="1"/>
  <c r="R95" s="1"/>
  <c r="T95" s="1"/>
  <c r="W95" s="1"/>
  <c r="X95" s="1"/>
  <c r="Z95" s="1"/>
  <c r="S96"/>
  <c r="J96" i="10"/>
  <c r="S105" i="3"/>
  <c r="T105" s="1"/>
  <c r="W105" s="1"/>
  <c r="X105" s="1"/>
  <c r="Z105" s="1"/>
  <c r="S73"/>
  <c r="T73" s="1"/>
  <c r="W73" s="1"/>
  <c r="X73" s="1"/>
  <c r="Z73" s="1"/>
  <c r="AA73" s="1"/>
  <c r="S46"/>
  <c r="T46" s="1"/>
  <c r="W46" s="1"/>
  <c r="X46" s="1"/>
  <c r="Z46" s="1"/>
  <c r="J186" i="10"/>
  <c r="S174" i="3"/>
  <c r="J174" i="10"/>
  <c r="S147" i="3"/>
  <c r="J147" i="10"/>
  <c r="S161" i="3"/>
  <c r="J161" i="10"/>
  <c r="K78"/>
  <c r="F78"/>
  <c r="F111"/>
  <c r="K111"/>
  <c r="K91"/>
  <c r="F91"/>
  <c r="F109"/>
  <c r="O159" i="3"/>
  <c r="H159" i="10"/>
  <c r="I159" s="1"/>
  <c r="F44"/>
  <c r="K44"/>
  <c r="K58" i="3"/>
  <c r="D46" i="10"/>
  <c r="E46" s="1"/>
  <c r="K60" i="3"/>
  <c r="D48" i="10"/>
  <c r="E48" s="1"/>
  <c r="N58" i="3"/>
  <c r="H46" i="10"/>
  <c r="I46" s="1"/>
  <c r="J46" s="1"/>
  <c r="K66"/>
  <c r="K83"/>
  <c r="J176"/>
  <c r="K56"/>
  <c r="F56"/>
  <c r="S34" i="3"/>
  <c r="T34" s="1"/>
  <c r="W34" s="1"/>
  <c r="X34" s="1"/>
  <c r="Z34" s="1"/>
  <c r="J34" i="10"/>
  <c r="F101"/>
  <c r="K101"/>
  <c r="F95"/>
  <c r="K95"/>
  <c r="F100"/>
  <c r="K100"/>
  <c r="F177"/>
  <c r="K98"/>
  <c r="F98"/>
  <c r="F32"/>
  <c r="K32"/>
  <c r="L32" s="1"/>
  <c r="L33" s="1"/>
  <c r="F34"/>
  <c r="K34"/>
  <c r="F36"/>
  <c r="K36"/>
  <c r="W66" i="1"/>
  <c r="BK190" i="2"/>
  <c r="BG58" i="3"/>
  <c r="S205" i="1"/>
  <c r="Z205" s="1"/>
  <c r="AH205" s="1"/>
  <c r="S101" i="2"/>
  <c r="Z101" s="1"/>
  <c r="S137"/>
  <c r="Z137" s="1"/>
  <c r="S165" i="1"/>
  <c r="Z165" s="1"/>
  <c r="AS14" i="8"/>
  <c r="AE38" i="3"/>
  <c r="S214" i="2"/>
  <c r="Z53" i="6"/>
  <c r="Z53" i="8" s="1"/>
  <c r="AB53" s="1"/>
  <c r="BD111" i="3"/>
  <c r="BE111" s="1"/>
  <c r="BG111" s="1"/>
  <c r="BA286"/>
  <c r="BB286" s="1"/>
  <c r="BF286" s="1"/>
  <c r="BD207"/>
  <c r="BE207" s="1"/>
  <c r="BG207" s="1"/>
  <c r="BD101"/>
  <c r="BE101" s="1"/>
  <c r="BG101" s="1"/>
  <c r="BB262"/>
  <c r="BF262" s="1"/>
  <c r="BD148"/>
  <c r="BE148" s="1"/>
  <c r="BG148" s="1"/>
  <c r="BD65"/>
  <c r="BE65" s="1"/>
  <c r="BG65" s="1"/>
  <c r="W115" i="2"/>
  <c r="S160"/>
  <c r="Z160" s="1"/>
  <c r="S171" i="1"/>
  <c r="Z171" s="1"/>
  <c r="W171" s="1"/>
  <c r="S277"/>
  <c r="S201"/>
  <c r="Z201" s="1"/>
  <c r="S188" i="2"/>
  <c r="Z188" s="1"/>
  <c r="S288" i="1"/>
  <c r="S193" i="2"/>
  <c r="Z193" s="1"/>
  <c r="W193" s="1"/>
  <c r="S313" i="1"/>
  <c r="S218" i="2"/>
  <c r="AG42" i="3"/>
  <c r="S278" i="2"/>
  <c r="S84"/>
  <c r="Z84" s="1"/>
  <c r="S230"/>
  <c r="S205"/>
  <c r="Z205" s="1"/>
  <c r="S177" i="1"/>
  <c r="Z177" s="1"/>
  <c r="S145" i="2"/>
  <c r="Z145" s="1"/>
  <c r="K90" i="3"/>
  <c r="D90" i="10" s="1"/>
  <c r="E90" s="1"/>
  <c r="L78" i="3"/>
  <c r="N120"/>
  <c r="H120" i="10" s="1"/>
  <c r="I120" s="1"/>
  <c r="O108" i="3"/>
  <c r="N97"/>
  <c r="H97" i="10" s="1"/>
  <c r="I97" s="1"/>
  <c r="N185" i="3"/>
  <c r="H185" i="10" s="1"/>
  <c r="I185" s="1"/>
  <c r="N198" i="3"/>
  <c r="H198" i="10" s="1"/>
  <c r="I198" s="1"/>
  <c r="K103" i="3"/>
  <c r="D103" i="10" s="1"/>
  <c r="E103" s="1"/>
  <c r="K189" i="3"/>
  <c r="D189" i="10" s="1"/>
  <c r="E189" s="1"/>
  <c r="L177" i="3"/>
  <c r="P177" s="1"/>
  <c r="R177" s="1"/>
  <c r="K121"/>
  <c r="D121" i="10" s="1"/>
  <c r="E121" s="1"/>
  <c r="N171" i="3"/>
  <c r="H171" i="10" s="1"/>
  <c r="I171" s="1"/>
  <c r="N129" i="3"/>
  <c r="H129" i="10" s="1"/>
  <c r="I129" s="1"/>
  <c r="K107" i="3"/>
  <c r="D107" i="10" s="1"/>
  <c r="E107" s="1"/>
  <c r="K112" i="3"/>
  <c r="D112" i="10" s="1"/>
  <c r="E112" s="1"/>
  <c r="L100" i="3"/>
  <c r="AE35"/>
  <c r="AE52"/>
  <c r="K123"/>
  <c r="D123" i="10" s="1"/>
  <c r="E123" s="1"/>
  <c r="AF31" i="3"/>
  <c r="AG43" s="1"/>
  <c r="AE43"/>
  <c r="AE40"/>
  <c r="K113"/>
  <c r="D113" i="10" s="1"/>
  <c r="E113" s="1"/>
  <c r="N188" i="3"/>
  <c r="H188" i="10" s="1"/>
  <c r="I188" s="1"/>
  <c r="S300" i="1"/>
  <c r="S224" i="2"/>
  <c r="S212"/>
  <c r="S252" i="1"/>
  <c r="S148" i="2"/>
  <c r="Z148" s="1"/>
  <c r="AG148" s="1"/>
  <c r="S159" i="1"/>
  <c r="Z159" s="1"/>
  <c r="W159" s="1"/>
  <c r="S168" i="2"/>
  <c r="Z168" s="1"/>
  <c r="O85" i="3"/>
  <c r="S185" i="1"/>
  <c r="Z185" s="1"/>
  <c r="S188"/>
  <c r="Z188" s="1"/>
  <c r="AA188" s="1"/>
  <c r="S111"/>
  <c r="Z111" s="1"/>
  <c r="S183"/>
  <c r="Z183" s="1"/>
  <c r="S204" i="2"/>
  <c r="Z204" s="1"/>
  <c r="S51" i="1"/>
  <c r="Z51" s="1"/>
  <c r="W51" s="1"/>
  <c r="AG39" i="3"/>
  <c r="L91"/>
  <c r="O173"/>
  <c r="AA62"/>
  <c r="S312" i="1"/>
  <c r="AN12" i="8"/>
  <c r="BG192" i="3"/>
  <c r="AG33"/>
  <c r="Z35" i="6"/>
  <c r="Z37"/>
  <c r="BB278" i="3"/>
  <c r="BF278" s="1"/>
  <c r="Z31" i="6"/>
  <c r="S96" i="2"/>
  <c r="Z96" s="1"/>
  <c r="S72"/>
  <c r="Z72" s="1"/>
  <c r="S290"/>
  <c r="S97"/>
  <c r="Z97" s="1"/>
  <c r="AG47" i="3"/>
  <c r="BG82"/>
  <c r="BG130"/>
  <c r="BG94"/>
  <c r="Z104" i="9"/>
  <c r="AA104" s="1"/>
  <c r="AA104" i="1"/>
  <c r="BC256" i="3"/>
  <c r="BE256" s="1"/>
  <c r="BG256" s="1"/>
  <c r="BF269" i="2"/>
  <c r="BI269" s="1"/>
  <c r="BA292" i="3"/>
  <c r="BA304" s="1"/>
  <c r="S212" i="1"/>
  <c r="S213"/>
  <c r="S217" i="2"/>
  <c r="BK173"/>
  <c r="BK72" i="1"/>
  <c r="BD183" i="3"/>
  <c r="BE183" s="1"/>
  <c r="BG183" s="1"/>
  <c r="BD209"/>
  <c r="BE209" s="1"/>
  <c r="AA118" i="1"/>
  <c r="AY232" i="3"/>
  <c r="BD92"/>
  <c r="BE92" s="1"/>
  <c r="BG92" s="1"/>
  <c r="BD147"/>
  <c r="BE147" s="1"/>
  <c r="BG147" s="1"/>
  <c r="BD89"/>
  <c r="BE89" s="1"/>
  <c r="BG89" s="1"/>
  <c r="BD116"/>
  <c r="BE116" s="1"/>
  <c r="BG116" s="1"/>
  <c r="BD42"/>
  <c r="BE42" s="1"/>
  <c r="BG42" s="1"/>
  <c r="Q32"/>
  <c r="R32" s="1"/>
  <c r="T32" s="1"/>
  <c r="W32" s="1"/>
  <c r="X32" s="1"/>
  <c r="Z32" s="1"/>
  <c r="AG52"/>
  <c r="BD135"/>
  <c r="BE135" s="1"/>
  <c r="BG135" s="1"/>
  <c r="BD99"/>
  <c r="BE99" s="1"/>
  <c r="BG99" s="1"/>
  <c r="AA115" i="2"/>
  <c r="BK112"/>
  <c r="BK179" i="1"/>
  <c r="BK42" i="2"/>
  <c r="BK154"/>
  <c r="BK161"/>
  <c r="BG155" i="3"/>
  <c r="BK119" i="1"/>
  <c r="BK155"/>
  <c r="BK130" i="2"/>
  <c r="BK131"/>
  <c r="BG166" i="3"/>
  <c r="AF37"/>
  <c r="AG37" s="1"/>
  <c r="BK191" i="2"/>
  <c r="S161" i="1"/>
  <c r="Z161" s="1"/>
  <c r="X166"/>
  <c r="Z173" i="9"/>
  <c r="AG69" i="1"/>
  <c r="AF69" s="1"/>
  <c r="Z69" i="9"/>
  <c r="AA72" i="1"/>
  <c r="Z72" i="9"/>
  <c r="AG119" i="1"/>
  <c r="AF119" s="1"/>
  <c r="Z119" i="9"/>
  <c r="W145" i="1"/>
  <c r="Z145" i="9"/>
  <c r="AG70" i="1"/>
  <c r="AF70" s="1"/>
  <c r="Z70" i="9"/>
  <c r="W65" i="1"/>
  <c r="Z65" i="9"/>
  <c r="W73" i="1"/>
  <c r="Z73" i="9"/>
  <c r="W113" i="1"/>
  <c r="Z113" i="9"/>
  <c r="AG92" i="1"/>
  <c r="AF92" s="1"/>
  <c r="Z92" i="9"/>
  <c r="AA116" i="1"/>
  <c r="Z116" i="9"/>
  <c r="AA166"/>
  <c r="Y166"/>
  <c r="X62" i="2"/>
  <c r="S200" i="1"/>
  <c r="Z200" s="1"/>
  <c r="S207"/>
  <c r="Z207" s="1"/>
  <c r="S266" i="2"/>
  <c r="S133"/>
  <c r="Z133" s="1"/>
  <c r="O11"/>
  <c r="R12" i="3" s="1"/>
  <c r="AE64"/>
  <c r="AG73" i="1"/>
  <c r="AF73" s="1"/>
  <c r="AG64" i="3"/>
  <c r="BA287" i="2"/>
  <c r="BA299" s="1"/>
  <c r="BD221" i="3"/>
  <c r="BE221" s="1"/>
  <c r="BD197"/>
  <c r="BE197" s="1"/>
  <c r="BD161"/>
  <c r="BE161" s="1"/>
  <c r="BG161" s="1"/>
  <c r="BD149"/>
  <c r="BE149" s="1"/>
  <c r="BG149" s="1"/>
  <c r="Z74" i="6"/>
  <c r="Z74" i="8" s="1"/>
  <c r="AB74" s="1"/>
  <c r="BB268" i="3"/>
  <c r="BF268" s="1"/>
  <c r="BD152"/>
  <c r="BE152" s="1"/>
  <c r="BG152" s="1"/>
  <c r="BD184"/>
  <c r="BE184" s="1"/>
  <c r="BG184" s="1"/>
  <c r="AG54"/>
  <c r="BD112"/>
  <c r="BE112" s="1"/>
  <c r="BG112" s="1"/>
  <c r="BG261" i="1"/>
  <c r="BJ261" s="1"/>
  <c r="BG194" i="3"/>
  <c r="BK178" i="2"/>
  <c r="BG179" i="3"/>
  <c r="BK52" i="1"/>
  <c r="BK155" i="2"/>
  <c r="BK83"/>
  <c r="BK58"/>
  <c r="BK60" i="1"/>
  <c r="S77" i="2"/>
  <c r="Z77" s="1"/>
  <c r="AN14" i="8"/>
  <c r="BK191" i="1"/>
  <c r="Z23" i="6"/>
  <c r="S308" i="2"/>
  <c r="S141" i="1"/>
  <c r="Z141" s="1"/>
  <c r="S202" i="2"/>
  <c r="Z202" s="1"/>
  <c r="S206"/>
  <c r="Z206" s="1"/>
  <c r="AG206" s="1"/>
  <c r="AF206" s="1"/>
  <c r="S208"/>
  <c r="Z208" s="1"/>
  <c r="S166"/>
  <c r="Z166" s="1"/>
  <c r="S92"/>
  <c r="Z92" s="1"/>
  <c r="S93" i="1"/>
  <c r="Z93" s="1"/>
  <c r="S296" i="2"/>
  <c r="S272"/>
  <c r="S265" i="1"/>
  <c r="Z265" s="1"/>
  <c r="S200" i="2"/>
  <c r="Z200" s="1"/>
  <c r="S152" i="1"/>
  <c r="Z152" s="1"/>
  <c r="W152" s="1"/>
  <c r="S153"/>
  <c r="Z153" s="1"/>
  <c r="S241"/>
  <c r="S204"/>
  <c r="Z204" s="1"/>
  <c r="S217"/>
  <c r="S254" i="2"/>
  <c r="S125"/>
  <c r="Z125" s="1"/>
  <c r="AG125" s="1"/>
  <c r="AG40" i="3"/>
  <c r="AG65"/>
  <c r="S264" i="1"/>
  <c r="Z264" s="1"/>
  <c r="Z62" i="6"/>
  <c r="AA62" s="1"/>
  <c r="AE39" i="3"/>
  <c r="AE47"/>
  <c r="AE65"/>
  <c r="W69" i="1"/>
  <c r="W72"/>
  <c r="W116"/>
  <c r="X116" s="1"/>
  <c r="Q89" i="3"/>
  <c r="R89" s="1"/>
  <c r="T89" s="1"/>
  <c r="W89" s="1"/>
  <c r="X89" s="1"/>
  <c r="Z89" s="1"/>
  <c r="S216" i="2"/>
  <c r="AE33" i="3"/>
  <c r="Q66"/>
  <c r="R66" s="1"/>
  <c r="T66" s="1"/>
  <c r="W66" s="1"/>
  <c r="X66" s="1"/>
  <c r="Z66" s="1"/>
  <c r="Z66" i="6" s="1"/>
  <c r="AB66" s="1"/>
  <c r="X154" i="1"/>
  <c r="S83" i="2"/>
  <c r="Z83" s="1"/>
  <c r="Q88" i="3"/>
  <c r="R88" s="1"/>
  <c r="T88" s="1"/>
  <c r="W88" s="1"/>
  <c r="X88" s="1"/>
  <c r="Z88" s="1"/>
  <c r="S192" i="2"/>
  <c r="Z192" s="1"/>
  <c r="AG77" i="1"/>
  <c r="AF77" s="1"/>
  <c r="AG37" i="2"/>
  <c r="P326"/>
  <c r="R326" s="1"/>
  <c r="O338"/>
  <c r="M326"/>
  <c r="Q326" s="1"/>
  <c r="M338"/>
  <c r="P325"/>
  <c r="R325" s="1"/>
  <c r="O337"/>
  <c r="K325" i="1"/>
  <c r="Q325" s="1"/>
  <c r="J337"/>
  <c r="O325"/>
  <c r="R325" s="1"/>
  <c r="N337"/>
  <c r="K324"/>
  <c r="Q324" s="1"/>
  <c r="J336"/>
  <c r="M324" i="2"/>
  <c r="Q324" s="1"/>
  <c r="M336"/>
  <c r="O324" i="1"/>
  <c r="R324" s="1"/>
  <c r="N336"/>
  <c r="K323"/>
  <c r="Q323" s="1"/>
  <c r="S323" s="1"/>
  <c r="J335"/>
  <c r="S301"/>
  <c r="AS19" i="8"/>
  <c r="AN18"/>
  <c r="M322" i="2"/>
  <c r="Q322" s="1"/>
  <c r="L334"/>
  <c r="AA113" i="1"/>
  <c r="AA67"/>
  <c r="AA31"/>
  <c r="AA66" i="2"/>
  <c r="O321" i="1"/>
  <c r="R321" s="1"/>
  <c r="N333"/>
  <c r="BG46" i="3"/>
  <c r="AG31" i="1"/>
  <c r="AF31" s="1"/>
  <c r="M320" i="2"/>
  <c r="Q320" s="1"/>
  <c r="L332"/>
  <c r="O320" i="1"/>
  <c r="R320" s="1"/>
  <c r="N332"/>
  <c r="P320" i="2"/>
  <c r="R320" s="1"/>
  <c r="O332"/>
  <c r="BK82"/>
  <c r="AS17" i="8"/>
  <c r="BK131" i="1"/>
  <c r="BG191" i="3"/>
  <c r="BG180"/>
  <c r="BK166" i="2"/>
  <c r="BK105"/>
  <c r="BK167" i="1"/>
  <c r="BG158" i="3"/>
  <c r="BG190"/>
  <c r="BK95" i="2"/>
  <c r="BG118" i="3"/>
  <c r="Z57" i="6"/>
  <c r="Z57" i="8" s="1"/>
  <c r="AB57" s="1"/>
  <c r="AA63" i="3"/>
  <c r="AA18" i="2"/>
  <c r="AA190" i="1"/>
  <c r="P319" i="2"/>
  <c r="R319" s="1"/>
  <c r="O331"/>
  <c r="AG33"/>
  <c r="W119" i="1"/>
  <c r="X119" s="1"/>
  <c r="AG118"/>
  <c r="AF118" s="1"/>
  <c r="AA92"/>
  <c r="Z40" i="6"/>
  <c r="Z40" i="8" s="1"/>
  <c r="AB40" s="1"/>
  <c r="Z42" i="6"/>
  <c r="AG67" i="1"/>
  <c r="AF67" s="1"/>
  <c r="AG177" i="2"/>
  <c r="AF177" s="1"/>
  <c r="Z65" i="6"/>
  <c r="AA65" s="1"/>
  <c r="AA73" i="1"/>
  <c r="AG113"/>
  <c r="AF113" s="1"/>
  <c r="AG19" i="2"/>
  <c r="AA61" i="3"/>
  <c r="W178" i="1"/>
  <c r="X178" s="1"/>
  <c r="W31"/>
  <c r="AG71"/>
  <c r="AF71" s="1"/>
  <c r="AA122"/>
  <c r="AA59" i="3"/>
  <c r="BA284"/>
  <c r="BA296" s="1"/>
  <c r="BA286" i="2"/>
  <c r="BB286" s="1"/>
  <c r="BH286" s="1"/>
  <c r="BG113" i="3"/>
  <c r="BD123"/>
  <c r="BE123" s="1"/>
  <c r="BG123" s="1"/>
  <c r="BD172"/>
  <c r="BE172" s="1"/>
  <c r="BG172" s="1"/>
  <c r="BD88"/>
  <c r="BE88" s="1"/>
  <c r="BG88" s="1"/>
  <c r="BD196"/>
  <c r="BE196" s="1"/>
  <c r="BG196" s="1"/>
  <c r="BD164"/>
  <c r="BE164" s="1"/>
  <c r="BG164" s="1"/>
  <c r="BD136"/>
  <c r="BE136" s="1"/>
  <c r="BG136" s="1"/>
  <c r="BD125"/>
  <c r="BE125" s="1"/>
  <c r="BG125" s="1"/>
  <c r="BG263" i="1"/>
  <c r="BJ263" s="1"/>
  <c r="BD176" i="3"/>
  <c r="BE176" s="1"/>
  <c r="BG176" s="1"/>
  <c r="BG265" i="1"/>
  <c r="BJ265" s="1"/>
  <c r="BK118" i="2"/>
  <c r="BG146" i="3"/>
  <c r="K318" i="1"/>
  <c r="Q318" s="1"/>
  <c r="S318" s="1"/>
  <c r="J330"/>
  <c r="K317"/>
  <c r="Q317" s="1"/>
  <c r="J329"/>
  <c r="AA33" i="2"/>
  <c r="AG178" i="1"/>
  <c r="AF178" s="1"/>
  <c r="AG122"/>
  <c r="AF122" s="1"/>
  <c r="BC220" i="3"/>
  <c r="BE220" s="1"/>
  <c r="BG220" s="1"/>
  <c r="W168" i="1"/>
  <c r="AA168"/>
  <c r="AA145"/>
  <c r="AG145"/>
  <c r="AF145" s="1"/>
  <c r="AG52" i="2"/>
  <c r="AA52"/>
  <c r="W52"/>
  <c r="AG157" i="1"/>
  <c r="AF157" s="1"/>
  <c r="AA157"/>
  <c r="W157"/>
  <c r="AG133"/>
  <c r="AF133" s="1"/>
  <c r="W133"/>
  <c r="AA133"/>
  <c r="W77"/>
  <c r="AA77"/>
  <c r="BA209" i="3"/>
  <c r="BB197"/>
  <c r="BF197" s="1"/>
  <c r="BG246" i="1"/>
  <c r="BJ246" s="1"/>
  <c r="BK246" s="1"/>
  <c r="BF258"/>
  <c r="BG247"/>
  <c r="BJ247" s="1"/>
  <c r="BK247" s="1"/>
  <c r="BF259"/>
  <c r="BB247" i="2"/>
  <c r="BH247" s="1"/>
  <c r="BK247" s="1"/>
  <c r="BA259"/>
  <c r="AX212" i="3"/>
  <c r="AY200"/>
  <c r="BE237" i="2"/>
  <c r="BF225"/>
  <c r="BI225" s="1"/>
  <c r="BE214"/>
  <c r="BF202"/>
  <c r="BI202" s="1"/>
  <c r="BK202" s="1"/>
  <c r="AX214" i="3"/>
  <c r="AY202"/>
  <c r="BC202" s="1"/>
  <c r="BE202" s="1"/>
  <c r="BG202" s="1"/>
  <c r="BB215" i="1"/>
  <c r="BC203"/>
  <c r="BI203" s="1"/>
  <c r="BK203" s="1"/>
  <c r="BE215" i="2"/>
  <c r="BF203"/>
  <c r="BI203" s="1"/>
  <c r="BK203" s="1"/>
  <c r="AX215" i="3"/>
  <c r="AY203"/>
  <c r="BC203" s="1"/>
  <c r="BE203" s="1"/>
  <c r="BG203" s="1"/>
  <c r="BB228" i="1"/>
  <c r="BC216"/>
  <c r="BI216" s="1"/>
  <c r="BE216" i="2"/>
  <c r="BF204"/>
  <c r="BI204" s="1"/>
  <c r="AX216" i="3"/>
  <c r="AY204"/>
  <c r="BC204" s="1"/>
  <c r="BE204" s="1"/>
  <c r="BG204" s="1"/>
  <c r="AX218"/>
  <c r="AY206"/>
  <c r="BC206" s="1"/>
  <c r="BE206" s="1"/>
  <c r="BG206" s="1"/>
  <c r="BE231" i="2"/>
  <c r="BF219"/>
  <c r="BI219" s="1"/>
  <c r="BK219" s="1"/>
  <c r="AX231" i="3"/>
  <c r="AY219"/>
  <c r="Z26" i="6"/>
  <c r="Z43"/>
  <c r="AG18" i="2"/>
  <c r="BF257"/>
  <c r="BI257" s="1"/>
  <c r="Z17" i="6"/>
  <c r="AA17" s="1"/>
  <c r="Z27"/>
  <c r="Z22"/>
  <c r="Z22" i="8" s="1"/>
  <c r="AS18"/>
  <c r="Z69" i="6"/>
  <c r="BK57" i="1"/>
  <c r="Z86" i="6"/>
  <c r="BK63" i="1"/>
  <c r="Z29" i="6"/>
  <c r="AA29" s="1"/>
  <c r="BK61" i="1"/>
  <c r="BK80" i="2"/>
  <c r="AG65" i="1"/>
  <c r="AF65" s="1"/>
  <c r="W67"/>
  <c r="AY269" i="3"/>
  <c r="BD269" s="1"/>
  <c r="AA119" i="1"/>
  <c r="BA288" i="3"/>
  <c r="BA300" s="1"/>
  <c r="BG100"/>
  <c r="BD233"/>
  <c r="BE233" s="1"/>
  <c r="BB263" i="2"/>
  <c r="BH263" s="1"/>
  <c r="AY257" i="3"/>
  <c r="BD257" s="1"/>
  <c r="BD173"/>
  <c r="BE173" s="1"/>
  <c r="BG173" s="1"/>
  <c r="BB264"/>
  <c r="BF264" s="1"/>
  <c r="BD185"/>
  <c r="BE185" s="1"/>
  <c r="BG185" s="1"/>
  <c r="Z30" i="6"/>
  <c r="Z38"/>
  <c r="Z20"/>
  <c r="Z24"/>
  <c r="Z28"/>
  <c r="AA28" s="1"/>
  <c r="AG66" i="1"/>
  <c r="AF66" s="1"/>
  <c r="W70"/>
  <c r="AA177" i="2"/>
  <c r="W74" i="1"/>
  <c r="W206"/>
  <c r="W19" i="2"/>
  <c r="AA178" i="1"/>
  <c r="W18" i="2"/>
  <c r="AG190" i="1"/>
  <c r="AF190" s="1"/>
  <c r="W53"/>
  <c r="W29" i="2"/>
  <c r="X41" s="1"/>
  <c r="Z36" i="6"/>
  <c r="Z33"/>
  <c r="Z49"/>
  <c r="W37" i="2"/>
  <c r="AG66"/>
  <c r="W122" i="1"/>
  <c r="X122" s="1"/>
  <c r="W118"/>
  <c r="Z50" i="6"/>
  <c r="Z55"/>
  <c r="Z21"/>
  <c r="Z25"/>
  <c r="Z87"/>
  <c r="AA206" i="1"/>
  <c r="AA19" i="2"/>
  <c r="Z39" i="6"/>
  <c r="Z99"/>
  <c r="Z81"/>
  <c r="Z67"/>
  <c r="Z71"/>
  <c r="Z71" i="8" s="1"/>
  <c r="AB71" s="1"/>
  <c r="AN17"/>
  <c r="AN19"/>
  <c r="AS12"/>
  <c r="Z18" i="6"/>
  <c r="W71" i="1"/>
  <c r="AA74"/>
  <c r="AA66"/>
  <c r="AA70"/>
  <c r="AM9" i="2"/>
  <c r="AS9" s="1"/>
  <c r="AH190" i="1"/>
  <c r="W177" i="2"/>
  <c r="BB262"/>
  <c r="BH262" s="1"/>
  <c r="W190" i="1"/>
  <c r="AE54" i="3"/>
  <c r="AA37" i="2"/>
  <c r="BB266" i="3"/>
  <c r="BF266" s="1"/>
  <c r="AG108" i="1"/>
  <c r="AF108" s="1"/>
  <c r="W108"/>
  <c r="AA108"/>
  <c r="AF57" i="3"/>
  <c r="AA57"/>
  <c r="BA272" i="2"/>
  <c r="BB260"/>
  <c r="BH260" s="1"/>
  <c r="AA29"/>
  <c r="AA41" i="3"/>
  <c r="AG29" i="2"/>
  <c r="W96" i="1"/>
  <c r="AG96"/>
  <c r="AF96" s="1"/>
  <c r="AA96"/>
  <c r="BF88"/>
  <c r="BG76"/>
  <c r="BJ76" s="1"/>
  <c r="BA136" i="2"/>
  <c r="BB124"/>
  <c r="BH124" s="1"/>
  <c r="BK124" s="1"/>
  <c r="BB88" i="1"/>
  <c r="BC76"/>
  <c r="BI76" s="1"/>
  <c r="BE148" i="2"/>
  <c r="BF136"/>
  <c r="BI136" s="1"/>
  <c r="AG206" i="1"/>
  <c r="AF206" s="1"/>
  <c r="W49" i="2"/>
  <c r="X61" s="1"/>
  <c r="AA49"/>
  <c r="AG49"/>
  <c r="W30"/>
  <c r="AG30"/>
  <c r="AA30"/>
  <c r="BB85" i="1"/>
  <c r="BC73"/>
  <c r="BI73" s="1"/>
  <c r="BK73" s="1"/>
  <c r="AX109" i="3"/>
  <c r="AY97"/>
  <c r="BC97" s="1"/>
  <c r="BE97" s="1"/>
  <c r="BG97" s="1"/>
  <c r="BB87" i="1"/>
  <c r="BC75"/>
  <c r="BI75" s="1"/>
  <c r="BA120" i="2"/>
  <c r="BB108"/>
  <c r="BH108" s="1"/>
  <c r="BK108" s="1"/>
  <c r="BA109"/>
  <c r="BB97"/>
  <c r="BH97" s="1"/>
  <c r="BK97" s="1"/>
  <c r="BF87" i="1"/>
  <c r="BG75"/>
  <c r="BJ75" s="1"/>
  <c r="AA53"/>
  <c r="W51" i="2"/>
  <c r="AA51"/>
  <c r="AG51"/>
  <c r="AG31"/>
  <c r="AA31"/>
  <c r="W31"/>
  <c r="AS21" i="8"/>
  <c r="Z41" i="6"/>
  <c r="Z54"/>
  <c r="AA138" i="2"/>
  <c r="W138"/>
  <c r="AG138"/>
  <c r="AG53" i="1"/>
  <c r="AF53" s="1"/>
  <c r="W139"/>
  <c r="AG139"/>
  <c r="AF139" s="1"/>
  <c r="AA139"/>
  <c r="AG140"/>
  <c r="AF140" s="1"/>
  <c r="AA140"/>
  <c r="W140"/>
  <c r="W45" i="2"/>
  <c r="AG45"/>
  <c r="AA45"/>
  <c r="BB92" i="1"/>
  <c r="BC80"/>
  <c r="BI80" s="1"/>
  <c r="BK80" s="1"/>
  <c r="AA162"/>
  <c r="AG162"/>
  <c r="AF162" s="1"/>
  <c r="W162"/>
  <c r="AG88" i="2"/>
  <c r="AA88"/>
  <c r="W88"/>
  <c r="Z45" i="6"/>
  <c r="AB45" s="1"/>
  <c r="AA45" i="3"/>
  <c r="AA69"/>
  <c r="W134" i="2"/>
  <c r="X134" s="1"/>
  <c r="AA134"/>
  <c r="AG134"/>
  <c r="AA36" i="3"/>
  <c r="AG186" i="2"/>
  <c r="AF186" s="1"/>
  <c r="AA186"/>
  <c r="W186"/>
  <c r="AG38"/>
  <c r="W38"/>
  <c r="X50" s="1"/>
  <c r="AA38"/>
  <c r="S219" i="1"/>
  <c r="W39" i="2"/>
  <c r="AG39"/>
  <c r="AA39"/>
  <c r="W149" i="1"/>
  <c r="AG149"/>
  <c r="AF149" s="1"/>
  <c r="AA149"/>
  <c r="L119" i="2"/>
  <c r="M107"/>
  <c r="Q107" s="1"/>
  <c r="N88" i="1"/>
  <c r="O76"/>
  <c r="R76" s="1"/>
  <c r="S76" s="1"/>
  <c r="Z76" s="1"/>
  <c r="K68" i="3"/>
  <c r="D68" i="10" s="1"/>
  <c r="E68" s="1"/>
  <c r="L56" i="3"/>
  <c r="O107" i="2"/>
  <c r="P95"/>
  <c r="R95" s="1"/>
  <c r="S95" s="1"/>
  <c r="Z95" s="1"/>
  <c r="AG146" i="1"/>
  <c r="AF146" s="1"/>
  <c r="AA146"/>
  <c r="W146"/>
  <c r="W125"/>
  <c r="AG125"/>
  <c r="AF125" s="1"/>
  <c r="AA125"/>
  <c r="W34" i="2"/>
  <c r="AA34"/>
  <c r="AG34"/>
  <c r="W32" i="1"/>
  <c r="X44" s="1"/>
  <c r="AA32"/>
  <c r="AG32"/>
  <c r="AF32" s="1"/>
  <c r="AA18"/>
  <c r="AG18"/>
  <c r="AF18" s="1"/>
  <c r="W18"/>
  <c r="AG93" i="2"/>
  <c r="AA93"/>
  <c r="W93"/>
  <c r="W98"/>
  <c r="AA98"/>
  <c r="AG98"/>
  <c r="W78"/>
  <c r="AG78"/>
  <c r="AA78"/>
  <c r="AA80" i="1"/>
  <c r="W80"/>
  <c r="AG80"/>
  <c r="AF80" s="1"/>
  <c r="W83"/>
  <c r="AG83"/>
  <c r="AF83" s="1"/>
  <c r="AA83"/>
  <c r="W190" i="2"/>
  <c r="AA49" i="3"/>
  <c r="AG62" i="1"/>
  <c r="AF62" s="1"/>
  <c r="W62"/>
  <c r="X74" s="1"/>
  <c r="AA62"/>
  <c r="AG67" i="2"/>
  <c r="W67"/>
  <c r="AA67"/>
  <c r="BA141"/>
  <c r="BB129"/>
  <c r="BH129" s="1"/>
  <c r="BK129" s="1"/>
  <c r="W142"/>
  <c r="AG142"/>
  <c r="AA142"/>
  <c r="AA35"/>
  <c r="W35"/>
  <c r="X47" s="1"/>
  <c r="AG35"/>
  <c r="AG153"/>
  <c r="W153"/>
  <c r="AA153"/>
  <c r="W165"/>
  <c r="AG165"/>
  <c r="AA165"/>
  <c r="AG170" i="1"/>
  <c r="AF170" s="1"/>
  <c r="AA170"/>
  <c r="W170"/>
  <c r="W35"/>
  <c r="AA35"/>
  <c r="AG35"/>
  <c r="AF35" s="1"/>
  <c r="W19"/>
  <c r="AA19"/>
  <c r="AG19"/>
  <c r="AF19" s="1"/>
  <c r="AG89"/>
  <c r="AF89" s="1"/>
  <c r="AA89"/>
  <c r="W89"/>
  <c r="AA99" i="3"/>
  <c r="AG100" i="2"/>
  <c r="AA100"/>
  <c r="W100"/>
  <c r="W79" i="1"/>
  <c r="X91" s="1"/>
  <c r="AG79"/>
  <c r="AF79" s="1"/>
  <c r="AA79"/>
  <c r="W81" i="2"/>
  <c r="AG81"/>
  <c r="AA81"/>
  <c r="W84" i="1"/>
  <c r="AG84"/>
  <c r="AF84" s="1"/>
  <c r="AA84"/>
  <c r="AG189" i="2"/>
  <c r="AF189" s="1"/>
  <c r="AA189"/>
  <c r="W189"/>
  <c r="AA192" i="1"/>
  <c r="W192"/>
  <c r="AG192"/>
  <c r="AF192" s="1"/>
  <c r="W60"/>
  <c r="X60" s="1"/>
  <c r="AG60"/>
  <c r="AF60" s="1"/>
  <c r="AA60"/>
  <c r="BB290" i="3"/>
  <c r="BF290" s="1"/>
  <c r="BA302"/>
  <c r="BB81" i="1"/>
  <c r="BC69"/>
  <c r="BI69" s="1"/>
  <c r="BK69" s="1"/>
  <c r="AG141" i="2"/>
  <c r="AA141"/>
  <c r="W141"/>
  <c r="AA126" i="1"/>
  <c r="W126"/>
  <c r="AG126"/>
  <c r="AF126" s="1"/>
  <c r="AG129" i="2"/>
  <c r="AA129"/>
  <c r="W129"/>
  <c r="AA130" i="1"/>
  <c r="AG130"/>
  <c r="AF130" s="1"/>
  <c r="W130"/>
  <c r="W136" i="2"/>
  <c r="AG136"/>
  <c r="AA136"/>
  <c r="W43"/>
  <c r="AA43"/>
  <c r="AG43"/>
  <c r="AA46"/>
  <c r="W46"/>
  <c r="AG46"/>
  <c r="AA36"/>
  <c r="W36"/>
  <c r="AG36"/>
  <c r="W202" i="1"/>
  <c r="AH214"/>
  <c r="AA202"/>
  <c r="AH202"/>
  <c r="AG202"/>
  <c r="AF202" s="1"/>
  <c r="W197"/>
  <c r="AG197"/>
  <c r="AF197" s="1"/>
  <c r="W199"/>
  <c r="X211" s="1"/>
  <c r="AA199"/>
  <c r="AH211"/>
  <c r="AG199"/>
  <c r="AF199" s="1"/>
  <c r="AG156"/>
  <c r="AF156" s="1"/>
  <c r="W156"/>
  <c r="AA156"/>
  <c r="AA163"/>
  <c r="W163"/>
  <c r="AG163"/>
  <c r="AF163" s="1"/>
  <c r="W29"/>
  <c r="AG29"/>
  <c r="AF29" s="1"/>
  <c r="AA29"/>
  <c r="W37"/>
  <c r="AG37"/>
  <c r="AF37" s="1"/>
  <c r="AA37"/>
  <c r="AG17" i="2"/>
  <c r="AA17"/>
  <c r="W17"/>
  <c r="AA18" i="3"/>
  <c r="AG21" i="1"/>
  <c r="AF21" s="1"/>
  <c r="AA21"/>
  <c r="W21"/>
  <c r="AG23"/>
  <c r="AF23" s="1"/>
  <c r="AA23"/>
  <c r="W23"/>
  <c r="AA25"/>
  <c r="W25"/>
  <c r="AG25"/>
  <c r="AF25" s="1"/>
  <c r="AA27"/>
  <c r="W27"/>
  <c r="AG27"/>
  <c r="AF27" s="1"/>
  <c r="AG90"/>
  <c r="AF90" s="1"/>
  <c r="AA90"/>
  <c r="W90"/>
  <c r="AA93" i="3"/>
  <c r="AG82" i="1"/>
  <c r="AF82" s="1"/>
  <c r="AA82"/>
  <c r="W82"/>
  <c r="X82" s="1"/>
  <c r="AA86" i="3"/>
  <c r="AA87"/>
  <c r="AG188" i="2"/>
  <c r="AF188" s="1"/>
  <c r="AG194" i="1"/>
  <c r="AF194" s="1"/>
  <c r="AA194"/>
  <c r="W194"/>
  <c r="AH206"/>
  <c r="AG47"/>
  <c r="AF47" s="1"/>
  <c r="AA47"/>
  <c r="W47"/>
  <c r="AG57"/>
  <c r="AF57" s="1"/>
  <c r="W57"/>
  <c r="X57" s="1"/>
  <c r="AA57"/>
  <c r="W106" i="2"/>
  <c r="AG106"/>
  <c r="AA106"/>
  <c r="AA112"/>
  <c r="W112"/>
  <c r="AG112"/>
  <c r="W175" i="1"/>
  <c r="AG175"/>
  <c r="AF175" s="1"/>
  <c r="AA175"/>
  <c r="W176" i="2"/>
  <c r="AA182"/>
  <c r="W182"/>
  <c r="AG182"/>
  <c r="AF182" s="1"/>
  <c r="AA74" i="3"/>
  <c r="AA75"/>
  <c r="AG124" i="2"/>
  <c r="AA124"/>
  <c r="W124"/>
  <c r="BB221" i="1"/>
  <c r="BC209"/>
  <c r="BI209" s="1"/>
  <c r="BK209" s="1"/>
  <c r="AG137"/>
  <c r="AF137" s="1"/>
  <c r="W137"/>
  <c r="AA137"/>
  <c r="AA144"/>
  <c r="AG144"/>
  <c r="AF144" s="1"/>
  <c r="W144"/>
  <c r="W146" i="2"/>
  <c r="AG146"/>
  <c r="AA146"/>
  <c r="AG127" i="1"/>
  <c r="AF127" s="1"/>
  <c r="AA127"/>
  <c r="W127"/>
  <c r="AG128"/>
  <c r="AF128" s="1"/>
  <c r="AA128"/>
  <c r="W128"/>
  <c r="W130" i="2"/>
  <c r="AG130"/>
  <c r="AA130"/>
  <c r="AA131" i="1"/>
  <c r="W131"/>
  <c r="AG131"/>
  <c r="AF131" s="1"/>
  <c r="AA44" i="2"/>
  <c r="W44"/>
  <c r="AG44"/>
  <c r="AG32"/>
  <c r="AA32"/>
  <c r="W32"/>
  <c r="AA40"/>
  <c r="W40"/>
  <c r="AG40"/>
  <c r="W198"/>
  <c r="AG198"/>
  <c r="AF198" s="1"/>
  <c r="AA198"/>
  <c r="W201"/>
  <c r="AA201"/>
  <c r="AG201"/>
  <c r="AF201" s="1"/>
  <c r="AA158" i="1"/>
  <c r="W158"/>
  <c r="AG158"/>
  <c r="AF158" s="1"/>
  <c r="W170" i="2"/>
  <c r="AA170"/>
  <c r="AG170"/>
  <c r="AA29" i="3"/>
  <c r="AA33" i="1"/>
  <c r="W33"/>
  <c r="AG33"/>
  <c r="AF33" s="1"/>
  <c r="W39"/>
  <c r="AG39"/>
  <c r="AF39" s="1"/>
  <c r="AA39"/>
  <c r="W17"/>
  <c r="AG17"/>
  <c r="AF17" s="1"/>
  <c r="AA17"/>
  <c r="AG21" i="2"/>
  <c r="W21"/>
  <c r="AA21"/>
  <c r="AA23"/>
  <c r="W23"/>
  <c r="AG23"/>
  <c r="AG25"/>
  <c r="AA25"/>
  <c r="W25"/>
  <c r="W27"/>
  <c r="AG27"/>
  <c r="AA27"/>
  <c r="W90"/>
  <c r="AG90"/>
  <c r="AA90"/>
  <c r="W78" i="1"/>
  <c r="AG78"/>
  <c r="AF78" s="1"/>
  <c r="AA78"/>
  <c r="W86"/>
  <c r="X98" s="1"/>
  <c r="AG86"/>
  <c r="AF86" s="1"/>
  <c r="AA86"/>
  <c r="AG43"/>
  <c r="AF43" s="1"/>
  <c r="AA43"/>
  <c r="W43"/>
  <c r="AG49"/>
  <c r="AF49" s="1"/>
  <c r="AA49"/>
  <c r="W49"/>
  <c r="W105" i="2"/>
  <c r="AG105"/>
  <c r="AA105"/>
  <c r="AA106" i="1"/>
  <c r="W106"/>
  <c r="AG106"/>
  <c r="AF106" s="1"/>
  <c r="W110" i="2"/>
  <c r="AG110"/>
  <c r="AA110"/>
  <c r="W103" i="1"/>
  <c r="AG103"/>
  <c r="AF103" s="1"/>
  <c r="AA103"/>
  <c r="AG174" i="2"/>
  <c r="AF174" s="1"/>
  <c r="W174"/>
  <c r="AA174"/>
  <c r="AA176" i="1"/>
  <c r="AA67" i="3"/>
  <c r="W74" i="2"/>
  <c r="X74" s="1"/>
  <c r="AG74"/>
  <c r="AA74"/>
  <c r="W75"/>
  <c r="AG75"/>
  <c r="AA75"/>
  <c r="AG117"/>
  <c r="W117"/>
  <c r="AA117"/>
  <c r="AN10" i="8"/>
  <c r="AG138" i="1"/>
  <c r="AF138" s="1"/>
  <c r="W138"/>
  <c r="AA138"/>
  <c r="W147" i="2"/>
  <c r="AA147"/>
  <c r="AG147"/>
  <c r="AG171"/>
  <c r="AA171"/>
  <c r="W171"/>
  <c r="AA99"/>
  <c r="W99"/>
  <c r="AG99"/>
  <c r="AG79"/>
  <c r="W79"/>
  <c r="AA79"/>
  <c r="W87"/>
  <c r="AA87"/>
  <c r="AG87"/>
  <c r="L233"/>
  <c r="M221"/>
  <c r="Q221" s="1"/>
  <c r="N233" i="1"/>
  <c r="O221"/>
  <c r="R221" s="1"/>
  <c r="S221" s="1"/>
  <c r="L246" i="2"/>
  <c r="M234"/>
  <c r="Q234" s="1"/>
  <c r="S234" s="1"/>
  <c r="J236" i="1"/>
  <c r="K224"/>
  <c r="Q224" s="1"/>
  <c r="S224" s="1"/>
  <c r="J237"/>
  <c r="K225"/>
  <c r="Q225" s="1"/>
  <c r="S225" s="1"/>
  <c r="O238" i="2"/>
  <c r="P226"/>
  <c r="R226" s="1"/>
  <c r="S226" s="1"/>
  <c r="L241"/>
  <c r="M229"/>
  <c r="Q229" s="1"/>
  <c r="S229" s="1"/>
  <c r="AA141" i="1"/>
  <c r="W143"/>
  <c r="AG143"/>
  <c r="AF143" s="1"/>
  <c r="AA143"/>
  <c r="AG127" i="2"/>
  <c r="W127"/>
  <c r="AA127"/>
  <c r="AG132" i="1"/>
  <c r="AF132" s="1"/>
  <c r="W132"/>
  <c r="AA132"/>
  <c r="AG134"/>
  <c r="AF134" s="1"/>
  <c r="W134"/>
  <c r="AA134"/>
  <c r="AG135" i="2"/>
  <c r="AA135"/>
  <c r="W135"/>
  <c r="W207"/>
  <c r="AA207"/>
  <c r="AG207"/>
  <c r="AF207" s="1"/>
  <c r="AA150" i="1"/>
  <c r="W150"/>
  <c r="AG150"/>
  <c r="AF150" s="1"/>
  <c r="AA159" i="2"/>
  <c r="W159"/>
  <c r="AG159"/>
  <c r="AG167" i="1"/>
  <c r="AF167" s="1"/>
  <c r="AA167"/>
  <c r="W167"/>
  <c r="AG169"/>
  <c r="AF169" s="1"/>
  <c r="AA169"/>
  <c r="W169"/>
  <c r="AN9"/>
  <c r="W30"/>
  <c r="AA30"/>
  <c r="AG30"/>
  <c r="AF30" s="1"/>
  <c r="AG34"/>
  <c r="AF34" s="1"/>
  <c r="W34"/>
  <c r="AA34"/>
  <c r="W38"/>
  <c r="AA38"/>
  <c r="AG38"/>
  <c r="AF38" s="1"/>
  <c r="AA20" i="3"/>
  <c r="AK8"/>
  <c r="AQ8" s="1"/>
  <c r="AN8" i="1"/>
  <c r="AT8" s="1"/>
  <c r="AA20"/>
  <c r="AG20"/>
  <c r="AF20" s="1"/>
  <c r="W20"/>
  <c r="AA22"/>
  <c r="W22"/>
  <c r="AG22"/>
  <c r="AF22" s="1"/>
  <c r="AG24"/>
  <c r="AF24" s="1"/>
  <c r="AA24"/>
  <c r="W24"/>
  <c r="W26"/>
  <c r="AG26"/>
  <c r="AF26" s="1"/>
  <c r="AA26"/>
  <c r="AG28"/>
  <c r="AF28" s="1"/>
  <c r="W28"/>
  <c r="AA28"/>
  <c r="AA94"/>
  <c r="AG94"/>
  <c r="AF94" s="1"/>
  <c r="W94"/>
  <c r="AA95"/>
  <c r="W95"/>
  <c r="AG95"/>
  <c r="AF95" s="1"/>
  <c r="AA97"/>
  <c r="AG97"/>
  <c r="AF97" s="1"/>
  <c r="W97"/>
  <c r="AA77" i="3"/>
  <c r="AA81"/>
  <c r="AG82" i="2"/>
  <c r="AA82"/>
  <c r="W82"/>
  <c r="AG85" i="1"/>
  <c r="AF85" s="1"/>
  <c r="W85"/>
  <c r="AA85"/>
  <c r="AA187"/>
  <c r="W187"/>
  <c r="AG187"/>
  <c r="AF187" s="1"/>
  <c r="AH187"/>
  <c r="AH199"/>
  <c r="AH193"/>
  <c r="AA193"/>
  <c r="AG193"/>
  <c r="AF193" s="1"/>
  <c r="W193"/>
  <c r="AG195" i="2"/>
  <c r="AF195" s="1"/>
  <c r="W195"/>
  <c r="AA195"/>
  <c r="AG42" i="1"/>
  <c r="AF42" s="1"/>
  <c r="W42"/>
  <c r="AA42"/>
  <c r="W50"/>
  <c r="AG50"/>
  <c r="AF50" s="1"/>
  <c r="AA50"/>
  <c r="AA55" i="3"/>
  <c r="W55" i="1"/>
  <c r="AG55"/>
  <c r="AF55" s="1"/>
  <c r="AA55"/>
  <c r="W56"/>
  <c r="X56" s="1"/>
  <c r="AG56"/>
  <c r="AF56" s="1"/>
  <c r="AA56"/>
  <c r="W58"/>
  <c r="X58" s="1"/>
  <c r="AA58"/>
  <c r="AG58"/>
  <c r="AF58" s="1"/>
  <c r="W61"/>
  <c r="AG61"/>
  <c r="AF61" s="1"/>
  <c r="AA61"/>
  <c r="AA103" i="2"/>
  <c r="W103"/>
  <c r="AG103"/>
  <c r="AG111"/>
  <c r="AA111"/>
  <c r="W111"/>
  <c r="AG182" i="1"/>
  <c r="AF182" s="1"/>
  <c r="AA182"/>
  <c r="W182"/>
  <c r="AH194"/>
  <c r="AG183" i="2"/>
  <c r="AF183" s="1"/>
  <c r="W183"/>
  <c r="AA183"/>
  <c r="O161"/>
  <c r="P149"/>
  <c r="R149" s="1"/>
  <c r="S149" s="1"/>
  <c r="Z149" s="1"/>
  <c r="L163"/>
  <c r="M151"/>
  <c r="Q151" s="1"/>
  <c r="S151" s="1"/>
  <c r="Z151" s="1"/>
  <c r="L237"/>
  <c r="M225"/>
  <c r="Q225" s="1"/>
  <c r="S225" s="1"/>
  <c r="J298" i="1"/>
  <c r="K286"/>
  <c r="Q286" s="1"/>
  <c r="S286" s="1"/>
  <c r="O240" i="2"/>
  <c r="P228"/>
  <c r="R228" s="1"/>
  <c r="S228" s="1"/>
  <c r="AG164"/>
  <c r="W164"/>
  <c r="W91"/>
  <c r="AG91"/>
  <c r="AA91"/>
  <c r="W174" i="1"/>
  <c r="AG174"/>
  <c r="AF174" s="1"/>
  <c r="AA174"/>
  <c r="AA68" i="2"/>
  <c r="AG68"/>
  <c r="W68"/>
  <c r="W73"/>
  <c r="X73" s="1"/>
  <c r="AG73"/>
  <c r="AA73"/>
  <c r="AG114" i="1"/>
  <c r="AF114" s="1"/>
  <c r="AA114"/>
  <c r="W114"/>
  <c r="AG120"/>
  <c r="AF120" s="1"/>
  <c r="AA120"/>
  <c r="W120"/>
  <c r="AA121"/>
  <c r="AG121"/>
  <c r="AF121" s="1"/>
  <c r="W121"/>
  <c r="BB288" i="3"/>
  <c r="BF288" s="1"/>
  <c r="BE78" i="2"/>
  <c r="BF66"/>
  <c r="BI66" s="1"/>
  <c r="AX78" i="3"/>
  <c r="AY66"/>
  <c r="BE104" i="2"/>
  <c r="BF92"/>
  <c r="BI92" s="1"/>
  <c r="BK92" s="1"/>
  <c r="AX93" i="3"/>
  <c r="AY81"/>
  <c r="BC81" s="1"/>
  <c r="BE81" s="1"/>
  <c r="BB134" i="1"/>
  <c r="BC122"/>
  <c r="BI122" s="1"/>
  <c r="BK122" s="1"/>
  <c r="Z61" i="6"/>
  <c r="AB61" s="1"/>
  <c r="BK54" i="2"/>
  <c r="AG126"/>
  <c r="AA126"/>
  <c r="W126"/>
  <c r="W203" i="1"/>
  <c r="AA203"/>
  <c r="AG203"/>
  <c r="AF203" s="1"/>
  <c r="AH203"/>
  <c r="AA155"/>
  <c r="W155"/>
  <c r="AG155"/>
  <c r="AF155" s="1"/>
  <c r="AA99"/>
  <c r="W99"/>
  <c r="AA81"/>
  <c r="W81"/>
  <c r="AG81"/>
  <c r="AF81" s="1"/>
  <c r="AA86" i="2"/>
  <c r="W86"/>
  <c r="AG86"/>
  <c r="AA150"/>
  <c r="AG150"/>
  <c r="W150"/>
  <c r="AA151" i="1"/>
  <c r="W151"/>
  <c r="AG151"/>
  <c r="AF151" s="1"/>
  <c r="W36"/>
  <c r="AA36"/>
  <c r="AG36"/>
  <c r="AF36" s="1"/>
  <c r="W40"/>
  <c r="AG40"/>
  <c r="AF40" s="1"/>
  <c r="AA40"/>
  <c r="AG20" i="2"/>
  <c r="AA20"/>
  <c r="AM8"/>
  <c r="AS8" s="1"/>
  <c r="W20"/>
  <c r="W22"/>
  <c r="AG22"/>
  <c r="AA22"/>
  <c r="AA24"/>
  <c r="W24"/>
  <c r="AG24"/>
  <c r="AA26"/>
  <c r="AG26"/>
  <c r="W26"/>
  <c r="W28"/>
  <c r="AG28"/>
  <c r="AA28"/>
  <c r="AG186" i="1"/>
  <c r="AF186" s="1"/>
  <c r="AA186"/>
  <c r="W186"/>
  <c r="AH186"/>
  <c r="AG194" i="2"/>
  <c r="AF194" s="1"/>
  <c r="W194"/>
  <c r="AA194"/>
  <c r="W41" i="1"/>
  <c r="AA41"/>
  <c r="AG41"/>
  <c r="AF41" s="1"/>
  <c r="AA50" i="3"/>
  <c r="AG54" i="2"/>
  <c r="W54"/>
  <c r="AA54"/>
  <c r="AG55"/>
  <c r="W55"/>
  <c r="AA55"/>
  <c r="AG56"/>
  <c r="W56"/>
  <c r="AA56"/>
  <c r="AG57"/>
  <c r="W57"/>
  <c r="AA57"/>
  <c r="W58"/>
  <c r="AA58"/>
  <c r="AG58"/>
  <c r="W59" i="1"/>
  <c r="AG59"/>
  <c r="AF59" s="1"/>
  <c r="AA59"/>
  <c r="AG63" i="2"/>
  <c r="AA63"/>
  <c r="W63"/>
  <c r="W101" i="1"/>
  <c r="AG101"/>
  <c r="AF101" s="1"/>
  <c r="AA101"/>
  <c r="W102"/>
  <c r="AG102"/>
  <c r="AF102" s="1"/>
  <c r="AA102"/>
  <c r="AG179"/>
  <c r="AF179" s="1"/>
  <c r="W179"/>
  <c r="AA179"/>
  <c r="AA180"/>
  <c r="W180"/>
  <c r="AH192"/>
  <c r="AG180"/>
  <c r="AF180" s="1"/>
  <c r="AG181"/>
  <c r="AF181" s="1"/>
  <c r="W181"/>
  <c r="AA181"/>
  <c r="AA139" i="2"/>
  <c r="AG139"/>
  <c r="W139"/>
  <c r="AH191" i="1"/>
  <c r="AG191"/>
  <c r="AF191" s="1"/>
  <c r="W191"/>
  <c r="AA191"/>
  <c r="AA54"/>
  <c r="AG54"/>
  <c r="AF54" s="1"/>
  <c r="W54"/>
  <c r="AG64" i="2"/>
  <c r="W64"/>
  <c r="AA64"/>
  <c r="AG105" i="1"/>
  <c r="AF105" s="1"/>
  <c r="W105"/>
  <c r="AA109"/>
  <c r="AG109"/>
  <c r="AF109" s="1"/>
  <c r="W109"/>
  <c r="AG69" i="2"/>
  <c r="AA69"/>
  <c r="W69"/>
  <c r="AG76"/>
  <c r="AA76"/>
  <c r="W76"/>
  <c r="AA116"/>
  <c r="W53"/>
  <c r="AA53"/>
  <c r="AG53"/>
  <c r="W71"/>
  <c r="X71" s="1"/>
  <c r="AG71"/>
  <c r="AA71"/>
  <c r="AA76" i="3"/>
  <c r="W114" i="2"/>
  <c r="X114" s="1"/>
  <c r="AG114"/>
  <c r="AA114"/>
  <c r="W123"/>
  <c r="AG123"/>
  <c r="AA123"/>
  <c r="AY268" i="3"/>
  <c r="BG284" i="1"/>
  <c r="BJ284" s="1"/>
  <c r="BF296"/>
  <c r="BA298" i="2"/>
  <c r="BC54" i="3"/>
  <c r="BD54"/>
  <c r="BB185" i="2"/>
  <c r="BH185" s="1"/>
  <c r="BK185" s="1"/>
  <c r="BA197"/>
  <c r="BA78"/>
  <c r="BB66"/>
  <c r="BH66" s="1"/>
  <c r="BA126" i="3"/>
  <c r="BB114"/>
  <c r="BF114" s="1"/>
  <c r="BA115"/>
  <c r="BB103"/>
  <c r="BF103" s="1"/>
  <c r="BG103" s="1"/>
  <c r="BA81"/>
  <c r="BB69"/>
  <c r="BF69" s="1"/>
  <c r="BG69" s="1"/>
  <c r="BF82" i="1"/>
  <c r="BG70"/>
  <c r="BJ70" s="1"/>
  <c r="BK70" s="1"/>
  <c r="BF96"/>
  <c r="BG84"/>
  <c r="BJ84" s="1"/>
  <c r="BK84" s="1"/>
  <c r="BA110" i="2"/>
  <c r="BB98"/>
  <c r="BH98" s="1"/>
  <c r="BK98" s="1"/>
  <c r="Z59" i="6"/>
  <c r="BG287" i="1"/>
  <c r="BJ287" s="1"/>
  <c r="BF299"/>
  <c r="BE245" i="3"/>
  <c r="BE293" i="2"/>
  <c r="BF281"/>
  <c r="BI281" s="1"/>
  <c r="AX293" i="3"/>
  <c r="AY281"/>
  <c r="BB292"/>
  <c r="BF292" s="1"/>
  <c r="O230" i="1"/>
  <c r="R230" s="1"/>
  <c r="S230" s="1"/>
  <c r="N242"/>
  <c r="P231" i="2"/>
  <c r="R231" s="1"/>
  <c r="S231" s="1"/>
  <c r="O243"/>
  <c r="K231" i="1"/>
  <c r="Q231" s="1"/>
  <c r="J243"/>
  <c r="L244" i="2"/>
  <c r="M232"/>
  <c r="Q232" s="1"/>
  <c r="W198" i="1"/>
  <c r="AG198"/>
  <c r="AF198" s="1"/>
  <c r="AA198"/>
  <c r="AH198"/>
  <c r="W172" i="2"/>
  <c r="X86" i="1"/>
  <c r="O244" i="2"/>
  <c r="P232"/>
  <c r="R232" s="1"/>
  <c r="N243" i="1"/>
  <c r="O231"/>
  <c r="R231" s="1"/>
  <c r="J244"/>
  <c r="K232"/>
  <c r="Q232" s="1"/>
  <c r="AA125" i="2"/>
  <c r="AG51" i="1"/>
  <c r="AF51" s="1"/>
  <c r="AG117"/>
  <c r="AF117" s="1"/>
  <c r="W117"/>
  <c r="AA117"/>
  <c r="S220" i="2"/>
  <c r="AN23" i="8"/>
  <c r="AN24"/>
  <c r="AS20"/>
  <c r="AN20"/>
  <c r="AN15"/>
  <c r="AN11"/>
  <c r="AS15"/>
  <c r="AS16"/>
  <c r="AS11"/>
  <c r="AS10"/>
  <c r="AS23"/>
  <c r="AS22"/>
  <c r="AN16"/>
  <c r="AN13"/>
  <c r="S324" i="1" l="1"/>
  <c r="W85" i="2"/>
  <c r="Q44" i="3"/>
  <c r="R44" s="1"/>
  <c r="T44" s="1"/>
  <c r="W44" s="1"/>
  <c r="X44" s="1"/>
  <c r="Z44" s="1"/>
  <c r="W87" i="1"/>
  <c r="W135"/>
  <c r="AA159"/>
  <c r="W116" i="2"/>
  <c r="AA87" i="1"/>
  <c r="W188"/>
  <c r="Z73" i="6"/>
  <c r="Y73" s="1"/>
  <c r="Z135" i="9"/>
  <c r="AA135" s="1"/>
  <c r="AG294" i="1"/>
  <c r="AF294" s="1"/>
  <c r="AH282"/>
  <c r="BG289"/>
  <c r="BJ289" s="1"/>
  <c r="BB287" i="3"/>
  <c r="BF287" s="1"/>
  <c r="AA164" i="1"/>
  <c r="AA105"/>
  <c r="X66"/>
  <c r="AA213" i="2"/>
  <c r="AG85"/>
  <c r="AA190"/>
  <c r="AA135" i="1"/>
  <c r="Z176" i="9"/>
  <c r="AA176" s="1"/>
  <c r="Z164"/>
  <c r="AA164" s="1"/>
  <c r="AB98" i="3"/>
  <c r="AD98" s="1"/>
  <c r="AF98" s="1"/>
  <c r="Z51" i="6"/>
  <c r="Z51" i="8" s="1"/>
  <c r="AB51" s="1"/>
  <c r="AG172" i="2"/>
  <c r="X102" i="1"/>
  <c r="AA98" i="3"/>
  <c r="AH185" i="1"/>
  <c r="Z306" i="9"/>
  <c r="AA306" s="1"/>
  <c r="W173" i="1"/>
  <c r="W176"/>
  <c r="X188" s="1"/>
  <c r="AF59" i="3"/>
  <c r="AG71" s="1"/>
  <c r="AA89" i="2"/>
  <c r="AG173" i="1"/>
  <c r="AF173" s="1"/>
  <c r="AB173"/>
  <c r="AB173" i="9" s="1"/>
  <c r="AA173" i="1"/>
  <c r="AG202" i="2"/>
  <c r="AF202" s="1"/>
  <c r="W111" i="1"/>
  <c r="X111" s="1"/>
  <c r="AB177"/>
  <c r="AB177" i="9" s="1"/>
  <c r="AB193" i="2"/>
  <c r="AB137"/>
  <c r="AB152"/>
  <c r="AA169"/>
  <c r="AA196"/>
  <c r="AB64" i="1"/>
  <c r="AB64" i="9" s="1"/>
  <c r="AB154" i="2"/>
  <c r="AB113"/>
  <c r="W184"/>
  <c r="AG113"/>
  <c r="AB151"/>
  <c r="AB76" i="1"/>
  <c r="AB76" i="9" s="1"/>
  <c r="W153" i="1"/>
  <c r="AB166" i="2"/>
  <c r="AB141" i="1"/>
  <c r="AB141" i="9" s="1"/>
  <c r="AB188" i="1"/>
  <c r="AB188" i="9" s="1"/>
  <c r="M362" i="2"/>
  <c r="L374"/>
  <c r="M374" s="1"/>
  <c r="Q374" s="1"/>
  <c r="AB60"/>
  <c r="AB178"/>
  <c r="AB121"/>
  <c r="AB52" i="1"/>
  <c r="AB52" i="9" s="1"/>
  <c r="AB156" i="2"/>
  <c r="AB147" i="1"/>
  <c r="AB147" i="9" s="1"/>
  <c r="AG101" i="2"/>
  <c r="AG184"/>
  <c r="AF184" s="1"/>
  <c r="AG159" i="1"/>
  <c r="AF159" s="1"/>
  <c r="AG171"/>
  <c r="AF171" s="1"/>
  <c r="AG147"/>
  <c r="AF147" s="1"/>
  <c r="AG64"/>
  <c r="AF64" s="1"/>
  <c r="AG205" i="2"/>
  <c r="AF205" s="1"/>
  <c r="AG188" i="1"/>
  <c r="AF188" s="1"/>
  <c r="X78"/>
  <c r="X37" i="2"/>
  <c r="AA207" i="1"/>
  <c r="X80"/>
  <c r="AA192" i="2"/>
  <c r="AA66" i="3"/>
  <c r="AB152" i="1"/>
  <c r="AB152" i="9" s="1"/>
  <c r="AA208" i="2"/>
  <c r="AB200" i="1"/>
  <c r="AB200" i="9" s="1"/>
  <c r="W204" i="2"/>
  <c r="W148"/>
  <c r="X148" s="1"/>
  <c r="AB188"/>
  <c r="AB160"/>
  <c r="AB205" i="1"/>
  <c r="AB205" i="9" s="1"/>
  <c r="AB73" i="3"/>
  <c r="AD73" s="1"/>
  <c r="AB95"/>
  <c r="AD95" s="1"/>
  <c r="AF95" s="1"/>
  <c r="Z147" i="9"/>
  <c r="AA120" i="2"/>
  <c r="Z48" i="6"/>
  <c r="AB48" s="1"/>
  <c r="W48" i="2"/>
  <c r="X48" s="1"/>
  <c r="AB75" i="1"/>
  <c r="AB75" i="9" s="1"/>
  <c r="AB132" i="2"/>
  <c r="AB140"/>
  <c r="AB108"/>
  <c r="AB83" i="3"/>
  <c r="AD83" s="1"/>
  <c r="AF83" s="1"/>
  <c r="AB129" i="1"/>
  <c r="AB129" i="9" s="1"/>
  <c r="AB80" i="2"/>
  <c r="AB181"/>
  <c r="AB63" i="1"/>
  <c r="AB63" i="9" s="1"/>
  <c r="AA83" i="2"/>
  <c r="AB125"/>
  <c r="AB92"/>
  <c r="AB96"/>
  <c r="AA168"/>
  <c r="AB195" i="1"/>
  <c r="AB195" i="9" s="1"/>
  <c r="Z123"/>
  <c r="AA123" s="1"/>
  <c r="Z209"/>
  <c r="AA209" s="1"/>
  <c r="AB109" i="2"/>
  <c r="AB184"/>
  <c r="AB128"/>
  <c r="AB176"/>
  <c r="AA128"/>
  <c r="X33"/>
  <c r="AB95"/>
  <c r="AB89" i="3"/>
  <c r="AD89" s="1"/>
  <c r="AA32"/>
  <c r="AA97" i="2"/>
  <c r="AB51" i="1"/>
  <c r="AB51" i="9" s="1"/>
  <c r="AB159" i="1"/>
  <c r="AB159" i="9" s="1"/>
  <c r="AB46" i="3"/>
  <c r="AD46" s="1"/>
  <c r="AA157" i="2"/>
  <c r="Y29" i="9"/>
  <c r="AB189" i="1"/>
  <c r="AB189" i="9" s="1"/>
  <c r="AB104" i="2"/>
  <c r="AB89"/>
  <c r="AA51" i="1"/>
  <c r="AG83" i="2"/>
  <c r="AG52" i="1"/>
  <c r="AF52" s="1"/>
  <c r="AA113" i="2"/>
  <c r="AH209" i="1"/>
  <c r="W147"/>
  <c r="X159" s="1"/>
  <c r="AB149" i="2"/>
  <c r="AH188" i="1"/>
  <c r="AG92" i="2"/>
  <c r="AG176"/>
  <c r="AF176" s="1"/>
  <c r="W109"/>
  <c r="X121" s="1"/>
  <c r="AA166"/>
  <c r="W195" i="1"/>
  <c r="X45" i="2"/>
  <c r="AB88" i="3"/>
  <c r="AD88" s="1"/>
  <c r="AF88" s="1"/>
  <c r="AG204" i="1"/>
  <c r="AF204" s="1"/>
  <c r="AA93"/>
  <c r="AB206" i="2"/>
  <c r="AA133"/>
  <c r="AG161" i="1"/>
  <c r="AF161" s="1"/>
  <c r="AA72" i="2"/>
  <c r="AB183" i="1"/>
  <c r="AB183" i="9" s="1"/>
  <c r="AG145" i="2"/>
  <c r="AG84"/>
  <c r="W201" i="1"/>
  <c r="X201" s="1"/>
  <c r="AA165"/>
  <c r="Z105" i="6"/>
  <c r="AB180" i="2"/>
  <c r="AG144"/>
  <c r="AB116"/>
  <c r="AB135" i="1"/>
  <c r="AB135" i="9" s="1"/>
  <c r="AB87" i="1"/>
  <c r="AB87" i="9" s="1"/>
  <c r="AB111" i="3"/>
  <c r="AD111" s="1"/>
  <c r="AF111" s="1"/>
  <c r="AG111" s="1"/>
  <c r="AB85" i="2"/>
  <c r="AB164"/>
  <c r="AB164" i="1"/>
  <c r="AB164" i="9" s="1"/>
  <c r="AB197" i="1"/>
  <c r="AB197" i="9" s="1"/>
  <c r="AB79" i="3"/>
  <c r="AD79" s="1"/>
  <c r="AF79" s="1"/>
  <c r="AG79" s="1"/>
  <c r="AB172" i="2"/>
  <c r="AB105" i="1"/>
  <c r="AB105" i="9" s="1"/>
  <c r="AB99" i="1"/>
  <c r="AB99" i="9" s="1"/>
  <c r="AB176" i="1"/>
  <c r="AB176" i="9" s="1"/>
  <c r="BB287" i="2"/>
  <c r="BH287" s="1"/>
  <c r="BC244" i="3"/>
  <c r="BE244" s="1"/>
  <c r="BG244" s="1"/>
  <c r="Z271" i="9"/>
  <c r="AA271" s="1"/>
  <c r="W181" i="2"/>
  <c r="AA83" i="3"/>
  <c r="AG181" i="2"/>
  <c r="AF181" s="1"/>
  <c r="AN11" i="1"/>
  <c r="AT11" s="1"/>
  <c r="W144" i="2"/>
  <c r="AA63" i="1"/>
  <c r="AA180" i="2"/>
  <c r="W183" i="1"/>
  <c r="X183" s="1"/>
  <c r="Z63" i="6"/>
  <c r="AB63" s="1"/>
  <c r="AA108" i="2"/>
  <c r="W63" i="1"/>
  <c r="X63" s="1"/>
  <c r="X61"/>
  <c r="W141"/>
  <c r="AG166" i="2"/>
  <c r="W180"/>
  <c r="AG141" i="1"/>
  <c r="AF141" s="1"/>
  <c r="AG80" i="2"/>
  <c r="AG63" i="1"/>
  <c r="AF63" s="1"/>
  <c r="W165"/>
  <c r="L110" i="3"/>
  <c r="P110" s="1"/>
  <c r="R110" s="1"/>
  <c r="T110" s="1"/>
  <c r="W110" s="1"/>
  <c r="X110" s="1"/>
  <c r="Z110" s="1"/>
  <c r="Z110" i="6" s="1"/>
  <c r="W166" i="2"/>
  <c r="X72" i="1"/>
  <c r="Z63" i="9"/>
  <c r="AA63" s="1"/>
  <c r="Z250"/>
  <c r="AA250" s="1"/>
  <c r="Y78"/>
  <c r="AN10" i="1"/>
  <c r="AT10" s="1"/>
  <c r="AA52"/>
  <c r="AG104" i="2"/>
  <c r="W52" i="1"/>
  <c r="X52" s="1"/>
  <c r="X64" i="2"/>
  <c r="AG156"/>
  <c r="K135" i="3"/>
  <c r="D135" i="10" s="1"/>
  <c r="E135" s="1"/>
  <c r="K135" s="1"/>
  <c r="X189" i="2"/>
  <c r="W89"/>
  <c r="Z52" i="9"/>
  <c r="AA52" s="1"/>
  <c r="W93" i="1"/>
  <c r="X93" s="1"/>
  <c r="AG152" i="2"/>
  <c r="W156"/>
  <c r="AG177" i="1"/>
  <c r="AF177" s="1"/>
  <c r="AA206" i="2"/>
  <c r="AG48"/>
  <c r="AA121"/>
  <c r="AG89"/>
  <c r="X145" i="1"/>
  <c r="Y182" i="9"/>
  <c r="Y43"/>
  <c r="Y86"/>
  <c r="Y55"/>
  <c r="W104" i="2"/>
  <c r="X116" s="1"/>
  <c r="AG189" i="1"/>
  <c r="AF189" s="1"/>
  <c r="W120" i="2"/>
  <c r="W206"/>
  <c r="X206" s="1"/>
  <c r="K125" i="3"/>
  <c r="D125" i="10" s="1"/>
  <c r="E125" s="1"/>
  <c r="K125" s="1"/>
  <c r="Z52" i="6"/>
  <c r="AA52" s="1"/>
  <c r="Z32"/>
  <c r="AB32" s="1"/>
  <c r="X77" i="1"/>
  <c r="W234"/>
  <c r="AA235"/>
  <c r="AG239"/>
  <c r="AF239" s="1"/>
  <c r="AA226"/>
  <c r="Y133" i="9"/>
  <c r="W262" i="1"/>
  <c r="W283"/>
  <c r="X295" s="1"/>
  <c r="AG276"/>
  <c r="AF276" s="1"/>
  <c r="W228"/>
  <c r="Z228" i="9"/>
  <c r="AA228" s="1"/>
  <c r="AK9" i="3"/>
  <c r="AL9" s="1"/>
  <c r="K110" i="10"/>
  <c r="W125" i="2"/>
  <c r="W72"/>
  <c r="AA193"/>
  <c r="AA154"/>
  <c r="AA181"/>
  <c r="W97"/>
  <c r="X97" s="1"/>
  <c r="X71" i="1"/>
  <c r="AA132" i="2"/>
  <c r="W209" i="1"/>
  <c r="X209" s="1"/>
  <c r="X81"/>
  <c r="AG160" i="2"/>
  <c r="W128"/>
  <c r="X128" s="1"/>
  <c r="W64" i="1"/>
  <c r="X64" s="1"/>
  <c r="W177"/>
  <c r="X189" s="1"/>
  <c r="AA152"/>
  <c r="W92" i="2"/>
  <c r="AG204"/>
  <c r="AF204" s="1"/>
  <c r="AA200" i="1"/>
  <c r="X89"/>
  <c r="Z64" i="6"/>
  <c r="Z64" i="8" s="1"/>
  <c r="AB64" s="1"/>
  <c r="AG137" i="2"/>
  <c r="AA184"/>
  <c r="W154"/>
  <c r="X154" s="1"/>
  <c r="AG129" i="1"/>
  <c r="AF129" s="1"/>
  <c r="X113"/>
  <c r="AG209"/>
  <c r="AF209" s="1"/>
  <c r="AA205"/>
  <c r="AG128" i="2"/>
  <c r="AA64" i="1"/>
  <c r="AG180" i="2"/>
  <c r="AF180" s="1"/>
  <c r="X143" i="1"/>
  <c r="AG152"/>
  <c r="AF152" s="1"/>
  <c r="AA92" i="2"/>
  <c r="AA109"/>
  <c r="AA188"/>
  <c r="X83" i="1"/>
  <c r="X125"/>
  <c r="AG140" i="2"/>
  <c r="AG169"/>
  <c r="Z75" i="9"/>
  <c r="AA75" s="1"/>
  <c r="Y58"/>
  <c r="Z311"/>
  <c r="AA311" s="1"/>
  <c r="AA222" i="2"/>
  <c r="Y115" i="9"/>
  <c r="Y162"/>
  <c r="AA182"/>
  <c r="AH306" i="1"/>
  <c r="AG287"/>
  <c r="AF287" s="1"/>
  <c r="AG226"/>
  <c r="AF226" s="1"/>
  <c r="AG270"/>
  <c r="AF270" s="1"/>
  <c r="AA228"/>
  <c r="W235"/>
  <c r="AA250"/>
  <c r="AA263"/>
  <c r="Z274" i="9"/>
  <c r="AA274" s="1"/>
  <c r="Z283"/>
  <c r="AA283" s="1"/>
  <c r="AA258" i="1"/>
  <c r="W247"/>
  <c r="Y103" i="9"/>
  <c r="AG299" i="1"/>
  <c r="AF299" s="1"/>
  <c r="AH251"/>
  <c r="AA238"/>
  <c r="W239"/>
  <c r="AG275"/>
  <c r="AF275" s="1"/>
  <c r="W289"/>
  <c r="W276"/>
  <c r="Z227" i="9"/>
  <c r="AA227" s="1"/>
  <c r="AH287" i="1"/>
  <c r="AH299"/>
  <c r="Z251" i="9"/>
  <c r="AA251" s="1"/>
  <c r="AH294" i="1"/>
  <c r="W227"/>
  <c r="AG250"/>
  <c r="AF250" s="1"/>
  <c r="AG282"/>
  <c r="AF282" s="1"/>
  <c r="AH238"/>
  <c r="AG251"/>
  <c r="AF251" s="1"/>
  <c r="Z282" i="9"/>
  <c r="AA282" s="1"/>
  <c r="Y89"/>
  <c r="AG183" i="1"/>
  <c r="AF183" s="1"/>
  <c r="W208" i="2"/>
  <c r="BC269" i="3"/>
  <c r="BE269" s="1"/>
  <c r="AA129" i="1"/>
  <c r="AA96" i="2"/>
  <c r="BB284" i="3"/>
  <c r="BF284" s="1"/>
  <c r="AA80" i="2"/>
  <c r="W60"/>
  <c r="W140"/>
  <c r="M360"/>
  <c r="Q360" s="1"/>
  <c r="L372"/>
  <c r="M372" s="1"/>
  <c r="Q372" s="1"/>
  <c r="AA178"/>
  <c r="W132"/>
  <c r="W96"/>
  <c r="AA201" i="1"/>
  <c r="AG108" i="2"/>
  <c r="AH200" i="1"/>
  <c r="AA60" i="2"/>
  <c r="O188" i="3"/>
  <c r="S188" s="1"/>
  <c r="X67" i="1"/>
  <c r="AA299"/>
  <c r="AH195"/>
  <c r="BG285"/>
  <c r="BJ285" s="1"/>
  <c r="W129"/>
  <c r="X43"/>
  <c r="AA183"/>
  <c r="W178" i="2"/>
  <c r="X38"/>
  <c r="AG132"/>
  <c r="AG96"/>
  <c r="W108"/>
  <c r="W80"/>
  <c r="X80" s="1"/>
  <c r="X31" i="1"/>
  <c r="AG60" i="2"/>
  <c r="N200" i="3"/>
  <c r="H200" i="10" s="1"/>
  <c r="I200" s="1"/>
  <c r="AA140" i="2"/>
  <c r="Z93" i="6"/>
  <c r="Z93" i="8" s="1"/>
  <c r="Z129" i="9"/>
  <c r="Y129" s="1"/>
  <c r="Z79" i="6"/>
  <c r="Z79" i="8" s="1"/>
  <c r="AB79" s="1"/>
  <c r="AA123" i="1"/>
  <c r="AH189"/>
  <c r="W137" i="2"/>
  <c r="X137" s="1"/>
  <c r="Z76" i="6"/>
  <c r="AB76" s="1"/>
  <c r="W164" i="1"/>
  <c r="AA160" i="2"/>
  <c r="X155" i="1"/>
  <c r="AA152" i="2"/>
  <c r="W205" i="1"/>
  <c r="X205" s="1"/>
  <c r="AA177"/>
  <c r="X140"/>
  <c r="X206"/>
  <c r="W188" i="2"/>
  <c r="X188" s="1"/>
  <c r="AG200" i="1"/>
  <c r="AF200" s="1"/>
  <c r="AG195"/>
  <c r="AF195" s="1"/>
  <c r="Z75" i="6"/>
  <c r="AB75" s="1"/>
  <c r="AA311" i="1"/>
  <c r="AG75"/>
  <c r="AF75" s="1"/>
  <c r="Q101" i="3"/>
  <c r="R101" s="1"/>
  <c r="T101" s="1"/>
  <c r="W101" s="1"/>
  <c r="X101" s="1"/>
  <c r="Z101" s="1"/>
  <c r="Z101" i="6" s="1"/>
  <c r="S325" i="1"/>
  <c r="Z325" s="1"/>
  <c r="AA75"/>
  <c r="AA34" i="9"/>
  <c r="Z189"/>
  <c r="AA189" s="1"/>
  <c r="X165" i="2"/>
  <c r="BK75" i="1"/>
  <c r="AA189"/>
  <c r="AA137" i="2"/>
  <c r="AG193"/>
  <c r="AF193" s="1"/>
  <c r="AA95" i="3"/>
  <c r="AA79"/>
  <c r="W160" i="2"/>
  <c r="W152"/>
  <c r="AG205" i="1"/>
  <c r="AF205" s="1"/>
  <c r="AG227"/>
  <c r="AF227" s="1"/>
  <c r="AA164" i="2"/>
  <c r="AH197" i="1"/>
  <c r="X118"/>
  <c r="X52" i="2"/>
  <c r="AG121"/>
  <c r="W200" i="1"/>
  <c r="AA197"/>
  <c r="AA195"/>
  <c r="W75"/>
  <c r="AA202" i="9"/>
  <c r="AA215" i="1"/>
  <c r="AA240"/>
  <c r="W240"/>
  <c r="Y43" i="6"/>
  <c r="Y138" i="9"/>
  <c r="AA106"/>
  <c r="AA33"/>
  <c r="AA32"/>
  <c r="AA29"/>
  <c r="AA55"/>
  <c r="Z287"/>
  <c r="AA287" s="1"/>
  <c r="Z239"/>
  <c r="AA239" s="1"/>
  <c r="Z276"/>
  <c r="AA276" s="1"/>
  <c r="Z299"/>
  <c r="AA299" s="1"/>
  <c r="Z238"/>
  <c r="AA238" s="1"/>
  <c r="Y47" i="6"/>
  <c r="Y130" i="9"/>
  <c r="Y83"/>
  <c r="AA275" i="1"/>
  <c r="W275"/>
  <c r="AA276"/>
  <c r="AG213" i="2"/>
  <c r="AF213" s="1"/>
  <c r="AG222"/>
  <c r="AF222" s="1"/>
  <c r="W222"/>
  <c r="AH239" i="1"/>
  <c r="AA239"/>
  <c r="AG228"/>
  <c r="AF228" s="1"/>
  <c r="AH227"/>
  <c r="AA227"/>
  <c r="AH240"/>
  <c r="AG240"/>
  <c r="AF240" s="1"/>
  <c r="AH250"/>
  <c r="W250"/>
  <c r="AA270"/>
  <c r="W270"/>
  <c r="AA287"/>
  <c r="W287"/>
  <c r="AG235"/>
  <c r="AF235" s="1"/>
  <c r="AA282"/>
  <c r="W282"/>
  <c r="W238"/>
  <c r="AG238"/>
  <c r="AF238" s="1"/>
  <c r="AH226"/>
  <c r="W226"/>
  <c r="X226" s="1"/>
  <c r="AA251"/>
  <c r="W251"/>
  <c r="AA289"/>
  <c r="AG289"/>
  <c r="AF289" s="1"/>
  <c r="W210" i="2"/>
  <c r="X210" s="1"/>
  <c r="AG210"/>
  <c r="AF210" s="1"/>
  <c r="W299" i="1"/>
  <c r="Y48" i="9"/>
  <c r="Y44"/>
  <c r="AA118"/>
  <c r="AA31"/>
  <c r="AA127"/>
  <c r="Y150"/>
  <c r="Z240"/>
  <c r="AA240" s="1"/>
  <c r="Z289"/>
  <c r="AA289" s="1"/>
  <c r="Z235"/>
  <c r="AA235" s="1"/>
  <c r="Z270"/>
  <c r="AA270" s="1"/>
  <c r="Z275"/>
  <c r="AA275" s="1"/>
  <c r="Z226"/>
  <c r="Y226" s="1"/>
  <c r="Y199"/>
  <c r="Y84"/>
  <c r="AG259" i="1"/>
  <c r="AF259" s="1"/>
  <c r="W274"/>
  <c r="AH283"/>
  <c r="AH218"/>
  <c r="W222"/>
  <c r="AA234"/>
  <c r="AA246"/>
  <c r="AA223"/>
  <c r="W271"/>
  <c r="AH247"/>
  <c r="Y30" i="9"/>
  <c r="Y79"/>
  <c r="W294" i="1"/>
  <c r="Y180" i="9"/>
  <c r="Y117"/>
  <c r="Y149"/>
  <c r="Z294"/>
  <c r="AA294" s="1"/>
  <c r="AA294" i="1"/>
  <c r="Y109" i="9"/>
  <c r="Y186"/>
  <c r="Y198"/>
  <c r="Y97"/>
  <c r="X124" i="2"/>
  <c r="Y181" i="9"/>
  <c r="AA306" i="1"/>
  <c r="AH311"/>
  <c r="W219" i="2"/>
  <c r="X219" s="1"/>
  <c r="AG260"/>
  <c r="AF260" s="1"/>
  <c r="W210" i="1"/>
  <c r="Z262" i="9"/>
  <c r="AA262" s="1"/>
  <c r="Z229"/>
  <c r="AA229" s="1"/>
  <c r="Z263"/>
  <c r="AA263" s="1"/>
  <c r="W259" i="1"/>
  <c r="AH274"/>
  <c r="Z247" i="9"/>
  <c r="AA247" s="1"/>
  <c r="AH295" i="1"/>
  <c r="Z218" i="9"/>
  <c r="Y218" s="1"/>
  <c r="AH222" i="1"/>
  <c r="Z234" i="9"/>
  <c r="AA234" s="1"/>
  <c r="Z246"/>
  <c r="AA246" s="1"/>
  <c r="AH223" i="1"/>
  <c r="Z258" i="9"/>
  <c r="AA258" s="1"/>
  <c r="AG271" i="1"/>
  <c r="AF271" s="1"/>
  <c r="Y101" i="9"/>
  <c r="Y194"/>
  <c r="AG219" i="2"/>
  <c r="AF219" s="1"/>
  <c r="AA218" i="1"/>
  <c r="W306"/>
  <c r="AH210"/>
  <c r="AA229"/>
  <c r="AG274"/>
  <c r="AF274" s="1"/>
  <c r="AA247"/>
  <c r="AA271"/>
  <c r="AG283"/>
  <c r="AF283" s="1"/>
  <c r="AA222"/>
  <c r="AH246"/>
  <c r="W260" i="2"/>
  <c r="AH270" i="1"/>
  <c r="AH235"/>
  <c r="AG258"/>
  <c r="AF258" s="1"/>
  <c r="AA259"/>
  <c r="AG263"/>
  <c r="AF263" s="1"/>
  <c r="W223"/>
  <c r="W246"/>
  <c r="W311"/>
  <c r="Y206" i="9"/>
  <c r="Y191"/>
  <c r="AA122"/>
  <c r="AA89"/>
  <c r="AA78"/>
  <c r="Y82"/>
  <c r="Y40"/>
  <c r="Y57"/>
  <c r="Y156"/>
  <c r="Y121"/>
  <c r="Y56"/>
  <c r="AA85"/>
  <c r="AA198"/>
  <c r="Z223"/>
  <c r="Y223" s="1"/>
  <c r="Z259"/>
  <c r="AA259" s="1"/>
  <c r="Z222"/>
  <c r="AA222" s="1"/>
  <c r="Z210"/>
  <c r="AA210" s="1"/>
  <c r="AA219" i="2"/>
  <c r="AG218" i="1"/>
  <c r="AF218" s="1"/>
  <c r="W218"/>
  <c r="X218" s="1"/>
  <c r="AG306"/>
  <c r="AF306" s="1"/>
  <c r="AH275"/>
  <c r="AG229"/>
  <c r="AF229" s="1"/>
  <c r="W229"/>
  <c r="AA274"/>
  <c r="AG247"/>
  <c r="AF247" s="1"/>
  <c r="AH259"/>
  <c r="AH271"/>
  <c r="AA283"/>
  <c r="AG222"/>
  <c r="AF222" s="1"/>
  <c r="AH234"/>
  <c r="AG234"/>
  <c r="AF234" s="1"/>
  <c r="AA260" i="2"/>
  <c r="AH262" i="1"/>
  <c r="AH258"/>
  <c r="W258"/>
  <c r="AH263"/>
  <c r="W263"/>
  <c r="AG223"/>
  <c r="AF223" s="1"/>
  <c r="AG246"/>
  <c r="AF246" s="1"/>
  <c r="AG262"/>
  <c r="AF262" s="1"/>
  <c r="AA262"/>
  <c r="AG311"/>
  <c r="AF311" s="1"/>
  <c r="Y68" i="9"/>
  <c r="AA174"/>
  <c r="AA223"/>
  <c r="Y211"/>
  <c r="Y142"/>
  <c r="Y102"/>
  <c r="AA210" i="1"/>
  <c r="AG210"/>
  <c r="AF210" s="1"/>
  <c r="Y114" i="9"/>
  <c r="Y94"/>
  <c r="Y167"/>
  <c r="Z87"/>
  <c r="AA22" i="8"/>
  <c r="AB22"/>
  <c r="Y59" i="6"/>
  <c r="AB59"/>
  <c r="Z41" i="8"/>
  <c r="Y53" s="1"/>
  <c r="AB41" i="6"/>
  <c r="AA18"/>
  <c r="AB18"/>
  <c r="AA67"/>
  <c r="AB67"/>
  <c r="AA99"/>
  <c r="AB99"/>
  <c r="Z87" i="8"/>
  <c r="AB87" s="1"/>
  <c r="AB87" i="6"/>
  <c r="AA21"/>
  <c r="AB21"/>
  <c r="Z55" i="8"/>
  <c r="AB55" s="1"/>
  <c r="AB55" i="6"/>
  <c r="AA33"/>
  <c r="AB33"/>
  <c r="AA36"/>
  <c r="AB36"/>
  <c r="AA24"/>
  <c r="AB24"/>
  <c r="Z38" i="8"/>
  <c r="AB38" s="1"/>
  <c r="AB38" i="6"/>
  <c r="Z29" i="8"/>
  <c r="AB29" s="1"/>
  <c r="AB29" i="6"/>
  <c r="Z86" i="8"/>
  <c r="AB86" s="1"/>
  <c r="AB86" i="6"/>
  <c r="AA69"/>
  <c r="AB69"/>
  <c r="AA22"/>
  <c r="AB22"/>
  <c r="Z17" i="8"/>
  <c r="AB17" s="1"/>
  <c r="AB17" i="6"/>
  <c r="AA26"/>
  <c r="AB26"/>
  <c r="Z65" i="8"/>
  <c r="Y65" s="1"/>
  <c r="AB65" i="6"/>
  <c r="AA40"/>
  <c r="AB40"/>
  <c r="Z62" i="8"/>
  <c r="AB62" s="1"/>
  <c r="AB62" i="6"/>
  <c r="AA23"/>
  <c r="AB23"/>
  <c r="AA74"/>
  <c r="AB74"/>
  <c r="Z35" i="8"/>
  <c r="AB35" s="1"/>
  <c r="AB35" i="6"/>
  <c r="AA53"/>
  <c r="AB53"/>
  <c r="AA19" i="8"/>
  <c r="AB19"/>
  <c r="Z54"/>
  <c r="AB54" i="6"/>
  <c r="AA71"/>
  <c r="AB71"/>
  <c r="Z81" i="8"/>
  <c r="AB81" s="1"/>
  <c r="AB81" i="6"/>
  <c r="Z39" i="8"/>
  <c r="AB39" s="1"/>
  <c r="AB39" i="6"/>
  <c r="Z73" i="8"/>
  <c r="AB73" s="1"/>
  <c r="Z25"/>
  <c r="AB25" i="6"/>
  <c r="AA50"/>
  <c r="AB50"/>
  <c r="AA49"/>
  <c r="AB49"/>
  <c r="Z28" i="8"/>
  <c r="Y40" s="1"/>
  <c r="AB28" i="6"/>
  <c r="Z20" i="8"/>
  <c r="AB20" s="1"/>
  <c r="AB20" i="6"/>
  <c r="AA30"/>
  <c r="AB30"/>
  <c r="Z27" i="8"/>
  <c r="AB27" i="6"/>
  <c r="AA43"/>
  <c r="AB43"/>
  <c r="Z42" i="8"/>
  <c r="AB42" s="1"/>
  <c r="AB42" i="6"/>
  <c r="Z98" i="8"/>
  <c r="AB98" s="1"/>
  <c r="AB98" i="6"/>
  <c r="AA57"/>
  <c r="AB57"/>
  <c r="Z31" i="8"/>
  <c r="AB31" s="1"/>
  <c r="AB31" i="6"/>
  <c r="Z37" i="8"/>
  <c r="AB37" s="1"/>
  <c r="AB37" i="6"/>
  <c r="Z47" i="8"/>
  <c r="AB47" s="1"/>
  <c r="AB47" i="6"/>
  <c r="AA19"/>
  <c r="AB19"/>
  <c r="W192" i="2"/>
  <c r="AB192"/>
  <c r="Z83" i="6"/>
  <c r="AB83" s="1"/>
  <c r="AB83" i="2"/>
  <c r="W133"/>
  <c r="X133" s="1"/>
  <c r="AB133"/>
  <c r="AG207" i="1"/>
  <c r="AF207" s="1"/>
  <c r="AB207"/>
  <c r="AB207" i="9" s="1"/>
  <c r="W145" i="2"/>
  <c r="X145" s="1"/>
  <c r="AB145"/>
  <c r="W205"/>
  <c r="X205" s="1"/>
  <c r="AB205"/>
  <c r="W84"/>
  <c r="AB84"/>
  <c r="AG201" i="1"/>
  <c r="AF201" s="1"/>
  <c r="AB201"/>
  <c r="AB201" i="9" s="1"/>
  <c r="AA171" i="1"/>
  <c r="AB171"/>
  <c r="AB171" i="9" s="1"/>
  <c r="AG165" i="1"/>
  <c r="AF165" s="1"/>
  <c r="AB165"/>
  <c r="AB165" i="9" s="1"/>
  <c r="W101" i="2"/>
  <c r="AB101"/>
  <c r="AG157"/>
  <c r="AB157"/>
  <c r="AA144"/>
  <c r="AB144"/>
  <c r="AA204" i="1"/>
  <c r="AB204"/>
  <c r="AB204" i="9" s="1"/>
  <c r="AA153" i="1"/>
  <c r="AB153"/>
  <c r="AB153" i="9" s="1"/>
  <c r="AG200" i="2"/>
  <c r="AF200" s="1"/>
  <c r="AB200"/>
  <c r="AG93" i="1"/>
  <c r="AF93" s="1"/>
  <c r="AB93"/>
  <c r="AB93" i="9" s="1"/>
  <c r="AG208" i="2"/>
  <c r="AF208" s="1"/>
  <c r="AB208"/>
  <c r="W202"/>
  <c r="X202" s="1"/>
  <c r="AB202"/>
  <c r="AA77"/>
  <c r="AB77"/>
  <c r="W161" i="1"/>
  <c r="X173" s="1"/>
  <c r="AB161"/>
  <c r="AB161" i="9" s="1"/>
  <c r="AG97" i="2"/>
  <c r="AB97"/>
  <c r="AG72"/>
  <c r="AB72"/>
  <c r="AA204"/>
  <c r="AB204"/>
  <c r="AG111" i="1"/>
  <c r="AF111" s="1"/>
  <c r="AB111"/>
  <c r="AB111" i="9" s="1"/>
  <c r="W185" i="1"/>
  <c r="X197" s="1"/>
  <c r="AB185"/>
  <c r="AB185" i="9" s="1"/>
  <c r="AG168" i="2"/>
  <c r="AB168"/>
  <c r="AA148"/>
  <c r="AB148"/>
  <c r="W169"/>
  <c r="AB169"/>
  <c r="AG120"/>
  <c r="AB120"/>
  <c r="AG196"/>
  <c r="AF196" s="1"/>
  <c r="AB196"/>
  <c r="AG123" i="1"/>
  <c r="AF123" s="1"/>
  <c r="AB123"/>
  <c r="AB123" i="9" s="1"/>
  <c r="AA48" i="2"/>
  <c r="AB48"/>
  <c r="Z44" i="6"/>
  <c r="AB44" s="1"/>
  <c r="AB44" i="3"/>
  <c r="AD44" s="1"/>
  <c r="AF44" s="1"/>
  <c r="AB66"/>
  <c r="AD66" s="1"/>
  <c r="AE66" s="1"/>
  <c r="AA117"/>
  <c r="AB117"/>
  <c r="AD117" s="1"/>
  <c r="AA105"/>
  <c r="AB105"/>
  <c r="AD105" s="1"/>
  <c r="AF105" s="1"/>
  <c r="AG105" s="1"/>
  <c r="AB34"/>
  <c r="AD34" s="1"/>
  <c r="AE46" s="1"/>
  <c r="AB32"/>
  <c r="AD32" s="1"/>
  <c r="AF32" s="1"/>
  <c r="AA48"/>
  <c r="AB48"/>
  <c r="AD48" s="1"/>
  <c r="AE48" s="1"/>
  <c r="Y120" i="9"/>
  <c r="Y35"/>
  <c r="Y96"/>
  <c r="AG216" i="1"/>
  <c r="AF216" s="1"/>
  <c r="AH216"/>
  <c r="AH228"/>
  <c r="Z216" i="9"/>
  <c r="AA216" s="1"/>
  <c r="W216" i="1"/>
  <c r="AA216"/>
  <c r="AG215"/>
  <c r="AF215" s="1"/>
  <c r="Z215" i="9"/>
  <c r="AA215" s="1"/>
  <c r="Q362" i="2"/>
  <c r="W215" i="1"/>
  <c r="X215" s="1"/>
  <c r="Q336" i="2"/>
  <c r="Q338"/>
  <c r="Q348"/>
  <c r="Q350"/>
  <c r="Z286" i="1"/>
  <c r="Z212"/>
  <c r="AH212" s="1"/>
  <c r="Z277"/>
  <c r="X175"/>
  <c r="Z230"/>
  <c r="Z225"/>
  <c r="Z224"/>
  <c r="Z221"/>
  <c r="Z219"/>
  <c r="Z217"/>
  <c r="Z241"/>
  <c r="Z213"/>
  <c r="W213" s="1"/>
  <c r="Z252"/>
  <c r="Z288"/>
  <c r="Z253"/>
  <c r="Z231" i="2"/>
  <c r="Z228"/>
  <c r="Z225"/>
  <c r="Z254"/>
  <c r="Z272"/>
  <c r="Z308"/>
  <c r="Z266"/>
  <c r="Z217"/>
  <c r="Z212"/>
  <c r="Z230"/>
  <c r="Z278"/>
  <c r="Z218"/>
  <c r="AG218" s="1"/>
  <c r="AF218" s="1"/>
  <c r="Z214"/>
  <c r="W214" s="1"/>
  <c r="Z236"/>
  <c r="Z302"/>
  <c r="Z242"/>
  <c r="Z248"/>
  <c r="Z284"/>
  <c r="Z220"/>
  <c r="AG220" s="1"/>
  <c r="AF220" s="1"/>
  <c r="Z229"/>
  <c r="Z226"/>
  <c r="Z234"/>
  <c r="Z216"/>
  <c r="AG216" s="1"/>
  <c r="AF216" s="1"/>
  <c r="Z296"/>
  <c r="Z290"/>
  <c r="Z224"/>
  <c r="Z314"/>
  <c r="Z318" i="1"/>
  <c r="Z312"/>
  <c r="Z300"/>
  <c r="Z301"/>
  <c r="Z323"/>
  <c r="Z324"/>
  <c r="Z313"/>
  <c r="X65"/>
  <c r="Z111" i="6"/>
  <c r="Y90" i="9"/>
  <c r="Y134"/>
  <c r="Y158"/>
  <c r="Y132"/>
  <c r="Y137"/>
  <c r="Y151"/>
  <c r="Y202"/>
  <c r="Y61"/>
  <c r="Y39"/>
  <c r="Y143"/>
  <c r="Y95"/>
  <c r="Y169"/>
  <c r="Y140"/>
  <c r="Y59"/>
  <c r="Y67"/>
  <c r="Y38"/>
  <c r="AA20" i="6"/>
  <c r="Z99" i="8"/>
  <c r="AB99" s="1"/>
  <c r="Y91" i="9"/>
  <c r="AA108"/>
  <c r="AA134"/>
  <c r="AA158"/>
  <c r="Y193"/>
  <c r="Y126"/>
  <c r="Y118"/>
  <c r="AA190"/>
  <c r="AA60"/>
  <c r="Y80"/>
  <c r="Y170"/>
  <c r="AA175"/>
  <c r="AA49"/>
  <c r="AA86"/>
  <c r="AP8"/>
  <c r="AW8" s="1"/>
  <c r="Y163"/>
  <c r="AA131"/>
  <c r="Y179"/>
  <c r="Y42"/>
  <c r="Y36"/>
  <c r="Y203"/>
  <c r="Y146"/>
  <c r="Y192"/>
  <c r="Y168"/>
  <c r="AA139"/>
  <c r="Y81"/>
  <c r="Y178"/>
  <c r="Y74"/>
  <c r="Y62"/>
  <c r="Y47"/>
  <c r="AA90"/>
  <c r="Y37"/>
  <c r="AA114"/>
  <c r="Y54"/>
  <c r="AA59"/>
  <c r="Y50"/>
  <c r="Y41"/>
  <c r="Y187"/>
  <c r="AA94"/>
  <c r="AA167"/>
  <c r="AA132"/>
  <c r="Y155"/>
  <c r="AF46" i="3"/>
  <c r="Z46" i="6"/>
  <c r="AB46" s="1"/>
  <c r="AA46" i="3"/>
  <c r="AK10"/>
  <c r="AQ10" s="1"/>
  <c r="Z117" i="6"/>
  <c r="AA101" i="2"/>
  <c r="AH201" i="1"/>
  <c r="AM13" i="2"/>
  <c r="AS13" s="1"/>
  <c r="W83"/>
  <c r="X83" s="1"/>
  <c r="W157"/>
  <c r="AA202"/>
  <c r="Z67" i="8"/>
  <c r="AB67" s="1"/>
  <c r="AM12" i="2"/>
  <c r="AS12" s="1"/>
  <c r="Z50" i="8"/>
  <c r="AB50" s="1"/>
  <c r="Z24"/>
  <c r="AB24" s="1"/>
  <c r="AM10" i="2"/>
  <c r="AN10" s="1"/>
  <c r="Z43" i="8"/>
  <c r="AA44" i="3"/>
  <c r="AA34"/>
  <c r="AA145" i="2"/>
  <c r="W168"/>
  <c r="W196"/>
  <c r="X85" i="1"/>
  <c r="X127" i="2"/>
  <c r="AA185" i="1"/>
  <c r="AG185"/>
  <c r="AF185" s="1"/>
  <c r="AA84" i="2"/>
  <c r="AA205"/>
  <c r="L123" i="3"/>
  <c r="P123" s="1"/>
  <c r="R123" s="1"/>
  <c r="T123" s="1"/>
  <c r="W123" s="1"/>
  <c r="X123" s="1"/>
  <c r="Z123" s="1"/>
  <c r="K122"/>
  <c r="D122" i="10" s="1"/>
  <c r="E122" s="1"/>
  <c r="K122" s="1"/>
  <c r="AA161" i="1"/>
  <c r="X92"/>
  <c r="X78" i="2"/>
  <c r="L113" i="3"/>
  <c r="P113" s="1"/>
  <c r="AA111" i="1"/>
  <c r="BA298" i="3"/>
  <c r="Y107" i="9"/>
  <c r="Y98"/>
  <c r="Y128"/>
  <c r="Y108"/>
  <c r="Y144"/>
  <c r="Y174"/>
  <c r="AA125"/>
  <c r="Y71"/>
  <c r="Y190"/>
  <c r="Y31"/>
  <c r="Y125"/>
  <c r="Y77"/>
  <c r="Y49"/>
  <c r="Y33"/>
  <c r="AA197"/>
  <c r="Y131"/>
  <c r="Y139"/>
  <c r="Y53"/>
  <c r="AP9"/>
  <c r="AW9" s="1"/>
  <c r="Y66"/>
  <c r="Y34"/>
  <c r="Z76"/>
  <c r="Y76" s="1"/>
  <c r="Z152"/>
  <c r="Z141"/>
  <c r="Z200"/>
  <c r="AA200" s="1"/>
  <c r="Z51"/>
  <c r="Y51" s="1"/>
  <c r="Z183"/>
  <c r="AA183" s="1"/>
  <c r="Z188"/>
  <c r="Z159"/>
  <c r="Z177"/>
  <c r="AA177" s="1"/>
  <c r="Z205"/>
  <c r="Y205" s="1"/>
  <c r="Z195"/>
  <c r="AA195" s="1"/>
  <c r="AG192" i="2"/>
  <c r="AF192" s="1"/>
  <c r="Z204" i="9"/>
  <c r="Z153"/>
  <c r="W200" i="2"/>
  <c r="Z93" i="9"/>
  <c r="Y93" s="1"/>
  <c r="Z34" i="6"/>
  <c r="AA34" s="1"/>
  <c r="Z77"/>
  <c r="AA77" s="1"/>
  <c r="AG133" i="2"/>
  <c r="Z207" i="9"/>
  <c r="AA207" s="1"/>
  <c r="Z161"/>
  <c r="Y161" s="1"/>
  <c r="Z111"/>
  <c r="AA111" s="1"/>
  <c r="Z185"/>
  <c r="Y185" s="1"/>
  <c r="Z201"/>
  <c r="Z171"/>
  <c r="AA171" s="1"/>
  <c r="Z165"/>
  <c r="AA165" s="1"/>
  <c r="X49" i="2"/>
  <c r="X183"/>
  <c r="X111"/>
  <c r="AG264" i="1"/>
  <c r="AF264" s="1"/>
  <c r="W265"/>
  <c r="X46" i="2"/>
  <c r="Z26" i="8"/>
  <c r="Y35" i="6"/>
  <c r="Z21" i="8"/>
  <c r="AA81" i="6"/>
  <c r="Z30" i="8"/>
  <c r="AB30" s="1"/>
  <c r="Y37" i="6"/>
  <c r="AA35"/>
  <c r="AA47"/>
  <c r="Z33" i="8"/>
  <c r="Z69"/>
  <c r="AA69" s="1"/>
  <c r="Z23"/>
  <c r="Y29" i="6"/>
  <c r="AA265" i="1"/>
  <c r="AA264"/>
  <c r="Y31" i="6"/>
  <c r="Y74"/>
  <c r="Y65"/>
  <c r="AA42"/>
  <c r="AA31"/>
  <c r="Y62"/>
  <c r="Y57"/>
  <c r="AA25"/>
  <c r="AA39"/>
  <c r="AA98"/>
  <c r="Y38"/>
  <c r="AA27"/>
  <c r="AA37"/>
  <c r="X179" i="1"/>
  <c r="X120"/>
  <c r="X169"/>
  <c r="X131"/>
  <c r="AH204"/>
  <c r="W204"/>
  <c r="X204" s="1"/>
  <c r="W77" i="2"/>
  <c r="X77" s="1"/>
  <c r="AG77"/>
  <c r="AH207" i="1"/>
  <c r="W207"/>
  <c r="AG153"/>
  <c r="AF153" s="1"/>
  <c r="AA200" i="2"/>
  <c r="AF51" i="3"/>
  <c r="AG63" s="1"/>
  <c r="X190" i="1"/>
  <c r="AG31" i="3"/>
  <c r="X87" i="2"/>
  <c r="F68" i="10"/>
  <c r="K68"/>
  <c r="S85" i="3"/>
  <c r="T85" s="1"/>
  <c r="W85" s="1"/>
  <c r="X85" s="1"/>
  <c r="Z85" s="1"/>
  <c r="K112" i="10"/>
  <c r="F112"/>
  <c r="F189"/>
  <c r="F90"/>
  <c r="K90"/>
  <c r="N70" i="3"/>
  <c r="H58" i="10"/>
  <c r="I58" s="1"/>
  <c r="O58" i="3"/>
  <c r="K72"/>
  <c r="D60" i="10"/>
  <c r="E60" s="1"/>
  <c r="L60" i="3"/>
  <c r="P60" s="1"/>
  <c r="R60" s="1"/>
  <c r="T60" s="1"/>
  <c r="W60" s="1"/>
  <c r="X60" s="1"/>
  <c r="Z60" s="1"/>
  <c r="K70"/>
  <c r="D58" i="10"/>
  <c r="E58" s="1"/>
  <c r="L58" i="3"/>
  <c r="P58" s="1"/>
  <c r="R58" s="1"/>
  <c r="S159"/>
  <c r="J159" i="10"/>
  <c r="J188"/>
  <c r="S173" i="3"/>
  <c r="J173" i="10"/>
  <c r="K113"/>
  <c r="F113"/>
  <c r="K123"/>
  <c r="F123"/>
  <c r="F107"/>
  <c r="K107"/>
  <c r="F121"/>
  <c r="F103"/>
  <c r="K103"/>
  <c r="S108" i="3"/>
  <c r="J108" i="10"/>
  <c r="J117"/>
  <c r="K117"/>
  <c r="F48"/>
  <c r="K48"/>
  <c r="F46"/>
  <c r="K46"/>
  <c r="J73"/>
  <c r="K73"/>
  <c r="J105"/>
  <c r="K105"/>
  <c r="L34"/>
  <c r="L35" s="1"/>
  <c r="L36" s="1"/>
  <c r="L37" s="1"/>
  <c r="L38" s="1"/>
  <c r="L39" s="1"/>
  <c r="L40" s="1"/>
  <c r="L41" s="1"/>
  <c r="L42" s="1"/>
  <c r="L43" s="1"/>
  <c r="L44" s="1"/>
  <c r="L45" s="1"/>
  <c r="P338" i="2"/>
  <c r="R338" s="1"/>
  <c r="O350"/>
  <c r="P91" i="3"/>
  <c r="Q91"/>
  <c r="P100"/>
  <c r="Q100"/>
  <c r="K124"/>
  <c r="D124" i="10" s="1"/>
  <c r="E124" s="1"/>
  <c r="L112" i="3"/>
  <c r="K119"/>
  <c r="D119" i="10" s="1"/>
  <c r="E119" s="1"/>
  <c r="L107" i="3"/>
  <c r="P107" s="1"/>
  <c r="R107" s="1"/>
  <c r="T107" s="1"/>
  <c r="W107" s="1"/>
  <c r="X107" s="1"/>
  <c r="Z107" s="1"/>
  <c r="N141"/>
  <c r="H141" i="10" s="1"/>
  <c r="I141" s="1"/>
  <c r="O129" i="3"/>
  <c r="K201"/>
  <c r="D201" i="10" s="1"/>
  <c r="E201" s="1"/>
  <c r="L189" i="3"/>
  <c r="P189" s="1"/>
  <c r="R189" s="1"/>
  <c r="K115"/>
  <c r="D115" i="10" s="1"/>
  <c r="E115" s="1"/>
  <c r="L103" i="3"/>
  <c r="N210"/>
  <c r="H210" i="10" s="1"/>
  <c r="I210" s="1"/>
  <c r="O198" i="3"/>
  <c r="P78"/>
  <c r="Q78"/>
  <c r="Z36" i="8"/>
  <c r="X70" i="1"/>
  <c r="Y53" i="6"/>
  <c r="AA55"/>
  <c r="X101" i="1"/>
  <c r="X34" i="2"/>
  <c r="X32" i="1"/>
  <c r="X152"/>
  <c r="X100" i="2"/>
  <c r="Y45" i="6"/>
  <c r="N183" i="3"/>
  <c r="H183" i="10" s="1"/>
  <c r="I183" s="1"/>
  <c r="O171" i="3"/>
  <c r="K133"/>
  <c r="D133" i="10" s="1"/>
  <c r="E133" s="1"/>
  <c r="L121" i="3"/>
  <c r="P121" s="1"/>
  <c r="R121" s="1"/>
  <c r="N197"/>
  <c r="H197" i="10" s="1"/>
  <c r="I197" s="1"/>
  <c r="O185" i="3"/>
  <c r="N109"/>
  <c r="H109" i="10" s="1"/>
  <c r="I109" s="1"/>
  <c r="O97" i="3"/>
  <c r="N132"/>
  <c r="H132" i="10" s="1"/>
  <c r="I132" s="1"/>
  <c r="O120" i="3"/>
  <c r="K102"/>
  <c r="D102" i="10" s="1"/>
  <c r="E102" s="1"/>
  <c r="L90" i="3"/>
  <c r="X108" i="1"/>
  <c r="O337"/>
  <c r="N349"/>
  <c r="K337"/>
  <c r="J349"/>
  <c r="P337" i="2"/>
  <c r="R337" s="1"/>
  <c r="O349"/>
  <c r="AE61" i="3"/>
  <c r="S320" i="2"/>
  <c r="BC232" i="3"/>
  <c r="BD232"/>
  <c r="X105" i="2"/>
  <c r="X35"/>
  <c r="X96" i="1"/>
  <c r="BC257" i="3"/>
  <c r="BE257" s="1"/>
  <c r="X51" i="2"/>
  <c r="BG197" i="3"/>
  <c r="X157" i="1"/>
  <c r="Z265" i="9"/>
  <c r="Z264"/>
  <c r="AA264" s="1"/>
  <c r="O336" i="1"/>
  <c r="N348"/>
  <c r="K336"/>
  <c r="J348"/>
  <c r="AA113" i="9"/>
  <c r="Y113"/>
  <c r="AA73"/>
  <c r="Y73"/>
  <c r="Y65"/>
  <c r="AA65"/>
  <c r="AA145"/>
  <c r="Y145"/>
  <c r="AA119"/>
  <c r="Y119"/>
  <c r="AA173"/>
  <c r="Y157"/>
  <c r="AA116"/>
  <c r="Y116"/>
  <c r="AA92"/>
  <c r="Y92"/>
  <c r="Y104"/>
  <c r="AA70"/>
  <c r="Y70"/>
  <c r="AA72"/>
  <c r="Y72"/>
  <c r="AA69"/>
  <c r="Y69"/>
  <c r="Y85"/>
  <c r="K335" i="1"/>
  <c r="DA335" s="1"/>
  <c r="DG335" s="1"/>
  <c r="J347"/>
  <c r="M334" i="2"/>
  <c r="L346"/>
  <c r="AG265" i="1"/>
  <c r="AF265" s="1"/>
  <c r="Y50" i="6"/>
  <c r="Y40"/>
  <c r="Z49" i="8"/>
  <c r="AA86" i="6"/>
  <c r="Y39"/>
  <c r="Y69"/>
  <c r="Y81"/>
  <c r="Y49"/>
  <c r="O333" i="1"/>
  <c r="N345"/>
  <c r="Y99" i="6"/>
  <c r="AA88" i="3"/>
  <c r="Z89" i="6"/>
  <c r="AE89" i="3"/>
  <c r="AA89"/>
  <c r="X73" i="1"/>
  <c r="X84"/>
  <c r="X69"/>
  <c r="X68"/>
  <c r="Y41" i="6"/>
  <c r="X57" i="2"/>
  <c r="X194"/>
  <c r="X40"/>
  <c r="X32"/>
  <c r="X174" i="1"/>
  <c r="X79" i="2"/>
  <c r="X177"/>
  <c r="P332"/>
  <c r="R332" s="1"/>
  <c r="O344"/>
  <c r="O332" i="1"/>
  <c r="N344"/>
  <c r="M332" i="2"/>
  <c r="L344"/>
  <c r="P331"/>
  <c r="R331" s="1"/>
  <c r="O343"/>
  <c r="K330" i="1"/>
  <c r="DA330" s="1"/>
  <c r="DG330" s="1"/>
  <c r="J342"/>
  <c r="K329"/>
  <c r="J341"/>
  <c r="Y33" i="6"/>
  <c r="Y42"/>
  <c r="Y86"/>
  <c r="Y67"/>
  <c r="Y55"/>
  <c r="AA87"/>
  <c r="Y98"/>
  <c r="Y36"/>
  <c r="AA38"/>
  <c r="AA41"/>
  <c r="S326" i="2"/>
  <c r="X39" i="1"/>
  <c r="X54"/>
  <c r="X40"/>
  <c r="X79"/>
  <c r="X128"/>
  <c r="X125" i="2"/>
  <c r="BK66"/>
  <c r="X123"/>
  <c r="X139"/>
  <c r="X59" i="1"/>
  <c r="X56" i="2"/>
  <c r="X36"/>
  <c r="X55" i="1"/>
  <c r="AN9" i="2"/>
  <c r="AE63" i="3"/>
  <c r="BC219"/>
  <c r="BD219"/>
  <c r="BC200"/>
  <c r="BD200"/>
  <c r="BA271" i="2"/>
  <c r="BB259"/>
  <c r="BH259" s="1"/>
  <c r="BK259" s="1"/>
  <c r="BF271" i="1"/>
  <c r="BG259"/>
  <c r="BJ259" s="1"/>
  <c r="BK259" s="1"/>
  <c r="BF270"/>
  <c r="BG258"/>
  <c r="BJ258" s="1"/>
  <c r="BK258" s="1"/>
  <c r="AX243" i="3"/>
  <c r="AY231"/>
  <c r="BE243" i="2"/>
  <c r="BF231"/>
  <c r="BI231" s="1"/>
  <c r="BK231" s="1"/>
  <c r="AX230" i="3"/>
  <c r="AY218"/>
  <c r="BC218" s="1"/>
  <c r="BE218" s="1"/>
  <c r="BG218" s="1"/>
  <c r="AX228"/>
  <c r="AY216"/>
  <c r="BC216" s="1"/>
  <c r="BE216" s="1"/>
  <c r="BG216" s="1"/>
  <c r="BE228" i="2"/>
  <c r="BF216"/>
  <c r="BI216" s="1"/>
  <c r="BB240" i="1"/>
  <c r="BC228"/>
  <c r="BI228" s="1"/>
  <c r="AX227" i="3"/>
  <c r="AY215"/>
  <c r="BC215" s="1"/>
  <c r="BE215" s="1"/>
  <c r="BG215" s="1"/>
  <c r="BE227" i="2"/>
  <c r="BF215"/>
  <c r="BI215" s="1"/>
  <c r="BK215" s="1"/>
  <c r="BB227" i="1"/>
  <c r="BC215"/>
  <c r="BI215" s="1"/>
  <c r="BK215" s="1"/>
  <c r="AX226" i="3"/>
  <c r="AY214"/>
  <c r="BC214" s="1"/>
  <c r="BE214" s="1"/>
  <c r="BG214" s="1"/>
  <c r="BE226" i="2"/>
  <c r="BF214"/>
  <c r="BI214" s="1"/>
  <c r="BK214" s="1"/>
  <c r="BE249"/>
  <c r="BF237"/>
  <c r="BI237" s="1"/>
  <c r="AX224" i="3"/>
  <c r="AY212"/>
  <c r="BA221"/>
  <c r="BB209"/>
  <c r="BF209" s="1"/>
  <c r="BG209" s="1"/>
  <c r="X39" i="2"/>
  <c r="X47" i="1"/>
  <c r="X35"/>
  <c r="X29" i="2"/>
  <c r="X31"/>
  <c r="S231" i="1"/>
  <c r="X109"/>
  <c r="X181"/>
  <c r="X186"/>
  <c r="X91" i="2"/>
  <c r="X159"/>
  <c r="X138" i="1"/>
  <c r="X201" i="2"/>
  <c r="X112"/>
  <c r="X43"/>
  <c r="AE59" i="3"/>
  <c r="AP8" i="6"/>
  <c r="AW8" s="1"/>
  <c r="Y71"/>
  <c r="Z18" i="8"/>
  <c r="Y30" i="6"/>
  <c r="BB272" i="2"/>
  <c r="BH272" s="1"/>
  <c r="BA284"/>
  <c r="Y54" i="6"/>
  <c r="AA54"/>
  <c r="AF41" i="3"/>
  <c r="AG53" s="1"/>
  <c r="AE53"/>
  <c r="BE160" i="2"/>
  <c r="BF148"/>
  <c r="BI148" s="1"/>
  <c r="BB100" i="1"/>
  <c r="BC88"/>
  <c r="BI88" s="1"/>
  <c r="BA148" i="2"/>
  <c r="BB136"/>
  <c r="BH136" s="1"/>
  <c r="BK136" s="1"/>
  <c r="BF100" i="1"/>
  <c r="BG88"/>
  <c r="BJ88" s="1"/>
  <c r="BK88" s="1"/>
  <c r="BK76"/>
  <c r="X213" i="2"/>
  <c r="X117"/>
  <c r="BF99" i="1"/>
  <c r="BG87"/>
  <c r="BJ87" s="1"/>
  <c r="BA121" i="2"/>
  <c r="BB109"/>
  <c r="BH109" s="1"/>
  <c r="BK109" s="1"/>
  <c r="BA132"/>
  <c r="BB120"/>
  <c r="BH120" s="1"/>
  <c r="BK120" s="1"/>
  <c r="BB99" i="1"/>
  <c r="BC87"/>
  <c r="BI87" s="1"/>
  <c r="AX121" i="3"/>
  <c r="AY109"/>
  <c r="BC109" s="1"/>
  <c r="BE109" s="1"/>
  <c r="BG109" s="1"/>
  <c r="BB97" i="1"/>
  <c r="BC85"/>
  <c r="BI85" s="1"/>
  <c r="BK85" s="1"/>
  <c r="X42" i="2"/>
  <c r="X30"/>
  <c r="BB104" i="1"/>
  <c r="BC92"/>
  <c r="BI92" s="1"/>
  <c r="BK92" s="1"/>
  <c r="AF36" i="3"/>
  <c r="AG36" s="1"/>
  <c r="AE36"/>
  <c r="AF69"/>
  <c r="AG69" s="1"/>
  <c r="AE69"/>
  <c r="AF45"/>
  <c r="AE45"/>
  <c r="AE57"/>
  <c r="Z45" i="8"/>
  <c r="AA45" i="6"/>
  <c r="W95" i="2"/>
  <c r="AA95"/>
  <c r="AG95"/>
  <c r="Z95" i="6"/>
  <c r="AM14" i="2"/>
  <c r="AS14" s="1"/>
  <c r="O119"/>
  <c r="P107"/>
  <c r="R107" s="1"/>
  <c r="S107" s="1"/>
  <c r="Z107" s="1"/>
  <c r="K80" i="3"/>
  <c r="D80" i="10" s="1"/>
  <c r="E80" s="1"/>
  <c r="L68" i="3"/>
  <c r="N100" i="1"/>
  <c r="O88"/>
  <c r="R88" s="1"/>
  <c r="S88" s="1"/>
  <c r="Z88" s="1"/>
  <c r="L131" i="2"/>
  <c r="M119"/>
  <c r="Q119" s="1"/>
  <c r="K137" i="3"/>
  <c r="D137" i="10" s="1"/>
  <c r="E137" s="1"/>
  <c r="Q56" i="3"/>
  <c r="P56"/>
  <c r="AA76" i="1"/>
  <c r="W76"/>
  <c r="AN12"/>
  <c r="AG76"/>
  <c r="AF76" s="1"/>
  <c r="BB302" i="3"/>
  <c r="BF302" s="1"/>
  <c r="BA314"/>
  <c r="BA153" i="2"/>
  <c r="BB141"/>
  <c r="BH141" s="1"/>
  <c r="BK141" s="1"/>
  <c r="BB93" i="1"/>
  <c r="BC81"/>
  <c r="BI81" s="1"/>
  <c r="BK81" s="1"/>
  <c r="AE49" i="3"/>
  <c r="AF49"/>
  <c r="AG49" s="1"/>
  <c r="X93" i="2"/>
  <c r="AE73" i="3"/>
  <c r="AF73"/>
  <c r="AG73" s="1"/>
  <c r="X174" i="2"/>
  <c r="X186"/>
  <c r="X103" i="1"/>
  <c r="X115"/>
  <c r="X110" i="2"/>
  <c r="X122"/>
  <c r="X90"/>
  <c r="X102"/>
  <c r="X45" i="1"/>
  <c r="X33"/>
  <c r="X182" i="2"/>
  <c r="X170"/>
  <c r="X158" i="1"/>
  <c r="X170"/>
  <c r="X130" i="2"/>
  <c r="X142"/>
  <c r="X127" i="1"/>
  <c r="X139"/>
  <c r="X137"/>
  <c r="X149"/>
  <c r="AF74" i="3"/>
  <c r="AG74" s="1"/>
  <c r="AE74"/>
  <c r="AF87"/>
  <c r="AE99"/>
  <c r="AE87"/>
  <c r="AF86"/>
  <c r="AE86"/>
  <c r="AF18"/>
  <c r="AG30" s="1"/>
  <c r="AE30"/>
  <c r="X49" i="1"/>
  <c r="X37"/>
  <c r="X156"/>
  <c r="X168"/>
  <c r="X214"/>
  <c r="X202"/>
  <c r="BE54" i="3"/>
  <c r="BG54" s="1"/>
  <c r="X191" i="1"/>
  <c r="X90"/>
  <c r="X136" i="2"/>
  <c r="X129"/>
  <c r="AF29" i="3"/>
  <c r="AE29"/>
  <c r="AE41"/>
  <c r="X198" i="2"/>
  <c r="X146"/>
  <c r="X158"/>
  <c r="BB233" i="1"/>
  <c r="BC221"/>
  <c r="BI221" s="1"/>
  <c r="BK221" s="1"/>
  <c r="AE75" i="3"/>
  <c r="AF75"/>
  <c r="AG75" s="1"/>
  <c r="X106" i="2"/>
  <c r="X118"/>
  <c r="X130" i="1"/>
  <c r="X142"/>
  <c r="X141" i="2"/>
  <c r="X153"/>
  <c r="X44"/>
  <c r="X29" i="1"/>
  <c r="AS10" i="2"/>
  <c r="AT10" s="1"/>
  <c r="BA122"/>
  <c r="BB110"/>
  <c r="BH110" s="1"/>
  <c r="BK110" s="1"/>
  <c r="BF108" i="1"/>
  <c r="BG96"/>
  <c r="BJ96" s="1"/>
  <c r="BK96" s="1"/>
  <c r="BF94"/>
  <c r="BG82"/>
  <c r="BJ82" s="1"/>
  <c r="BK82" s="1"/>
  <c r="BA93" i="3"/>
  <c r="BB81"/>
  <c r="BF81" s="1"/>
  <c r="BG81" s="1"/>
  <c r="BA127"/>
  <c r="BB115"/>
  <c r="BF115" s="1"/>
  <c r="BG115" s="1"/>
  <c r="BA138"/>
  <c r="BB126"/>
  <c r="BF126" s="1"/>
  <c r="BA90" i="2"/>
  <c r="BB78"/>
  <c r="BH78" s="1"/>
  <c r="BB298"/>
  <c r="BA310"/>
  <c r="BG297" i="1"/>
  <c r="BJ297" s="1"/>
  <c r="BF309"/>
  <c r="BG296"/>
  <c r="BJ296" s="1"/>
  <c r="BF308"/>
  <c r="AY280" i="3"/>
  <c r="AX292"/>
  <c r="AF76"/>
  <c r="AG76" s="1"/>
  <c r="AE76"/>
  <c r="X53" i="2"/>
  <c r="X65"/>
  <c r="X69"/>
  <c r="X81"/>
  <c r="X54"/>
  <c r="X66"/>
  <c r="X36" i="1"/>
  <c r="X48"/>
  <c r="AE79" i="3"/>
  <c r="X203" i="1"/>
  <c r="BB146"/>
  <c r="BC134"/>
  <c r="BI134" s="1"/>
  <c r="BK134" s="1"/>
  <c r="AX105" i="3"/>
  <c r="AY93"/>
  <c r="BC93" s="1"/>
  <c r="BE93" s="1"/>
  <c r="BE116" i="2"/>
  <c r="BF104"/>
  <c r="BI104" s="1"/>
  <c r="BK104" s="1"/>
  <c r="AX90" i="3"/>
  <c r="AY78"/>
  <c r="BE90" i="2"/>
  <c r="BF78"/>
  <c r="BI78" s="1"/>
  <c r="X121" i="1"/>
  <c r="X133"/>
  <c r="X68" i="2"/>
  <c r="O252"/>
  <c r="P240"/>
  <c r="R240" s="1"/>
  <c r="S240" s="1"/>
  <c r="J310" i="1"/>
  <c r="K298"/>
  <c r="Q298" s="1"/>
  <c r="S298" s="1"/>
  <c r="L249" i="2"/>
  <c r="M237"/>
  <c r="Q237" s="1"/>
  <c r="S237" s="1"/>
  <c r="L175"/>
  <c r="M163"/>
  <c r="Q163" s="1"/>
  <c r="S163" s="1"/>
  <c r="Z163" s="1"/>
  <c r="O173"/>
  <c r="P161"/>
  <c r="R161" s="1"/>
  <c r="S161" s="1"/>
  <c r="Z161" s="1"/>
  <c r="X115"/>
  <c r="X103"/>
  <c r="X50" i="1"/>
  <c r="X62"/>
  <c r="X82" i="2"/>
  <c r="X94"/>
  <c r="AF81" i="3"/>
  <c r="AE81"/>
  <c r="AE93"/>
  <c r="AF20"/>
  <c r="AT9" i="1"/>
  <c r="AU9" s="1"/>
  <c r="AO9"/>
  <c r="X132"/>
  <c r="X144"/>
  <c r="AT9" i="2"/>
  <c r="X85"/>
  <c r="X195"/>
  <c r="X193" i="1"/>
  <c r="X167"/>
  <c r="X207" i="2"/>
  <c r="X171"/>
  <c r="X147"/>
  <c r="Z59" i="8"/>
  <c r="AA59" i="6"/>
  <c r="BA209" i="2"/>
  <c r="BB197"/>
  <c r="BH197" s="1"/>
  <c r="BK197" s="1"/>
  <c r="BC268" i="3"/>
  <c r="BD268"/>
  <c r="AS11" i="2"/>
  <c r="X76"/>
  <c r="X88"/>
  <c r="X180" i="1"/>
  <c r="X192"/>
  <c r="AE105" i="3"/>
  <c r="X63" i="2"/>
  <c r="X75"/>
  <c r="X70"/>
  <c r="X58"/>
  <c r="X67"/>
  <c r="X55"/>
  <c r="AE62" i="3"/>
  <c r="AF50"/>
  <c r="AE50"/>
  <c r="X41" i="1"/>
  <c r="X53"/>
  <c r="X151"/>
  <c r="X163"/>
  <c r="X150" i="2"/>
  <c r="X162"/>
  <c r="X86"/>
  <c r="X98"/>
  <c r="X99" i="1"/>
  <c r="X126" i="2"/>
  <c r="X138"/>
  <c r="Z61" i="8"/>
  <c r="Y61" i="6"/>
  <c r="AA61"/>
  <c r="BC66" i="3"/>
  <c r="BD66"/>
  <c r="BB300"/>
  <c r="BF300" s="1"/>
  <c r="BA312"/>
  <c r="BB296"/>
  <c r="BA308"/>
  <c r="X114" i="1"/>
  <c r="X126"/>
  <c r="X176" i="2"/>
  <c r="W151"/>
  <c r="X151" s="1"/>
  <c r="AG151"/>
  <c r="AA151"/>
  <c r="AG149"/>
  <c r="AA149"/>
  <c r="W149"/>
  <c r="X182" i="1"/>
  <c r="X194"/>
  <c r="AF55" i="3"/>
  <c r="AE55"/>
  <c r="AE67"/>
  <c r="X199" i="1"/>
  <c r="X187"/>
  <c r="AF77" i="3"/>
  <c r="AG77" s="1"/>
  <c r="AE77"/>
  <c r="X95" i="1"/>
  <c r="X107"/>
  <c r="X94"/>
  <c r="X106"/>
  <c r="X46"/>
  <c r="X34"/>
  <c r="X42"/>
  <c r="X30"/>
  <c r="X150"/>
  <c r="X162"/>
  <c r="X134"/>
  <c r="X146"/>
  <c r="X153"/>
  <c r="L253" i="2"/>
  <c r="M241"/>
  <c r="Q241" s="1"/>
  <c r="S241" s="1"/>
  <c r="O250"/>
  <c r="P238"/>
  <c r="R238" s="1"/>
  <c r="S238" s="1"/>
  <c r="J249" i="1"/>
  <c r="K237"/>
  <c r="Q237" s="1"/>
  <c r="S237" s="1"/>
  <c r="J248"/>
  <c r="K236"/>
  <c r="Q236" s="1"/>
  <c r="S236" s="1"/>
  <c r="L258" i="2"/>
  <c r="M246"/>
  <c r="Q246" s="1"/>
  <c r="S246" s="1"/>
  <c r="N245" i="1"/>
  <c r="O233"/>
  <c r="R233" s="1"/>
  <c r="S233" s="1"/>
  <c r="L245" i="2"/>
  <c r="M233"/>
  <c r="Q233" s="1"/>
  <c r="AF89" i="3"/>
  <c r="X171" i="1"/>
  <c r="X97"/>
  <c r="X38"/>
  <c r="X135" i="2"/>
  <c r="X99"/>
  <c r="BC281" i="3"/>
  <c r="BD281"/>
  <c r="BG301" i="1"/>
  <c r="BJ301" s="1"/>
  <c r="BF313"/>
  <c r="BB299" i="3"/>
  <c r="BF299" s="1"/>
  <c r="BA311"/>
  <c r="BB299" i="2"/>
  <c r="BA311"/>
  <c r="BG299" i="1"/>
  <c r="BJ299" s="1"/>
  <c r="BF311"/>
  <c r="BB304" i="3"/>
  <c r="BF304" s="1"/>
  <c r="BA316"/>
  <c r="AY293"/>
  <c r="AX305"/>
  <c r="BF293" i="2"/>
  <c r="BI293" s="1"/>
  <c r="BE305"/>
  <c r="AA71" i="8"/>
  <c r="X123" i="1"/>
  <c r="X135"/>
  <c r="X117"/>
  <c r="X51"/>
  <c r="AA40" i="8"/>
  <c r="AA57"/>
  <c r="O256" i="2"/>
  <c r="P244"/>
  <c r="R244" s="1"/>
  <c r="X193"/>
  <c r="L256"/>
  <c r="M244"/>
  <c r="Q244" s="1"/>
  <c r="Z66" i="8"/>
  <c r="AB66" s="1"/>
  <c r="Y66" i="6"/>
  <c r="AA66"/>
  <c r="X190" i="2"/>
  <c r="AA53" i="8"/>
  <c r="AO10" i="1"/>
  <c r="J256"/>
  <c r="K244"/>
  <c r="Q244" s="1"/>
  <c r="N255"/>
  <c r="O243"/>
  <c r="R243" s="1"/>
  <c r="AA74" i="8"/>
  <c r="AN12" i="2"/>
  <c r="X184"/>
  <c r="X198" i="1"/>
  <c r="J255"/>
  <c r="K243"/>
  <c r="Q243" s="1"/>
  <c r="O255" i="2"/>
  <c r="P243"/>
  <c r="R243" s="1"/>
  <c r="S243" s="1"/>
  <c r="N254" i="1"/>
  <c r="O242"/>
  <c r="R242" s="1"/>
  <c r="S242" s="1"/>
  <c r="S232" i="2"/>
  <c r="AB105" i="6" l="1"/>
  <c r="AA111"/>
  <c r="AA73"/>
  <c r="AA51"/>
  <c r="AB73"/>
  <c r="Y153" i="9"/>
  <c r="Y147"/>
  <c r="L135" i="3"/>
  <c r="P135" s="1"/>
  <c r="R135" s="1"/>
  <c r="T135" s="1"/>
  <c r="W135" s="1"/>
  <c r="X135" s="1"/>
  <c r="Z135" s="1"/>
  <c r="AA110"/>
  <c r="AE111"/>
  <c r="AE98"/>
  <c r="X200" i="1"/>
  <c r="AA48" i="6"/>
  <c r="Y48"/>
  <c r="Y164" i="9"/>
  <c r="AB51" i="6"/>
  <c r="Y51"/>
  <c r="AO11" i="1"/>
  <c r="K147" i="3"/>
  <c r="D147" i="10" s="1"/>
  <c r="E147" s="1"/>
  <c r="K147" s="1"/>
  <c r="Y188" i="9"/>
  <c r="Y176"/>
  <c r="X156" i="2"/>
  <c r="F135" i="10"/>
  <c r="X140" i="2"/>
  <c r="Y64" i="9"/>
  <c r="Z48" i="8"/>
  <c r="AB48" s="1"/>
  <c r="Z63"/>
  <c r="Y63" s="1"/>
  <c r="X240" i="1"/>
  <c r="AA147" i="9"/>
  <c r="Y159"/>
  <c r="X144" i="2"/>
  <c r="X105" i="1"/>
  <c r="AG59" i="3"/>
  <c r="S338" i="2"/>
  <c r="F125" i="10"/>
  <c r="Y209" i="9"/>
  <c r="X181" i="2"/>
  <c r="X176" i="1"/>
  <c r="X141"/>
  <c r="X60" i="2"/>
  <c r="X120"/>
  <c r="X165" i="1"/>
  <c r="X149" i="2"/>
  <c r="X208"/>
  <c r="X104"/>
  <c r="X195" i="1"/>
  <c r="AE83" i="3"/>
  <c r="AA63" i="6"/>
  <c r="X76" i="1"/>
  <c r="L125" i="3"/>
  <c r="Y63" i="6"/>
  <c r="X147" i="1"/>
  <c r="AG212"/>
  <c r="AF212" s="1"/>
  <c r="X178" i="2"/>
  <c r="AB135" i="3"/>
  <c r="AD135" s="1"/>
  <c r="AB107" i="2"/>
  <c r="AG51" i="3"/>
  <c r="Z105" i="8"/>
  <c r="AB105" s="1"/>
  <c r="AE95" i="3"/>
  <c r="AE32"/>
  <c r="AB163" i="2"/>
  <c r="X109"/>
  <c r="AB85" i="3"/>
  <c r="AD85" s="1"/>
  <c r="Y135" i="9"/>
  <c r="AB123" i="3"/>
  <c r="AD123" s="1"/>
  <c r="AF123" s="1"/>
  <c r="AG123" s="1"/>
  <c r="X168" i="2"/>
  <c r="AA105" i="6"/>
  <c r="X160" i="2"/>
  <c r="AB161"/>
  <c r="AB88" i="1"/>
  <c r="AB88" i="9" s="1"/>
  <c r="AB107" i="3"/>
  <c r="AD107" s="1"/>
  <c r="AB60"/>
  <c r="AD60" s="1"/>
  <c r="X207" i="1"/>
  <c r="X101" i="2"/>
  <c r="X84"/>
  <c r="X204"/>
  <c r="AB110" i="3"/>
  <c r="AD110" s="1"/>
  <c r="AF110" s="1"/>
  <c r="AG110" s="1"/>
  <c r="AG229" i="2"/>
  <c r="AF229" s="1"/>
  <c r="Y52" i="6"/>
  <c r="Y64"/>
  <c r="Y250" i="9"/>
  <c r="X177" i="1"/>
  <c r="Y62" i="8"/>
  <c r="X132" i="2"/>
  <c r="AE34" i="3"/>
  <c r="X92" i="2"/>
  <c r="AP11" i="9"/>
  <c r="AW11" s="1"/>
  <c r="X75" i="1"/>
  <c r="AA129" i="9"/>
  <c r="X239" i="1"/>
  <c r="X262"/>
  <c r="AA76" i="6"/>
  <c r="AB52"/>
  <c r="X274" i="1"/>
  <c r="Z52" i="8"/>
  <c r="AA52" s="1"/>
  <c r="X270" i="1"/>
  <c r="X166" i="2"/>
  <c r="X129" i="1"/>
  <c r="Y32" i="6"/>
  <c r="X169" i="2"/>
  <c r="AE117" i="3"/>
  <c r="Z32" i="8"/>
  <c r="AA32" s="1"/>
  <c r="Y52" i="9"/>
  <c r="X113" i="2"/>
  <c r="AF66" i="3"/>
  <c r="AG66" s="1"/>
  <c r="X72" i="2"/>
  <c r="X161" i="1"/>
  <c r="AA32" i="6"/>
  <c r="X238" i="1"/>
  <c r="AL10" i="3"/>
  <c r="X96" i="2"/>
  <c r="AG324" i="1"/>
  <c r="AF324" s="1"/>
  <c r="AA47" i="8"/>
  <c r="X283" i="1"/>
  <c r="Y141" i="9"/>
  <c r="AH301" i="1"/>
  <c r="X228"/>
  <c r="Z301" i="9"/>
  <c r="Y301" s="1"/>
  <c r="Y64" i="8"/>
  <c r="W230" i="2"/>
  <c r="W252" i="1"/>
  <c r="X252" s="1"/>
  <c r="W230"/>
  <c r="X230" s="1"/>
  <c r="W286"/>
  <c r="X286" s="1"/>
  <c r="X234"/>
  <c r="AB64" i="6"/>
  <c r="Y87" i="9"/>
  <c r="Y37" i="8"/>
  <c r="AQ9" i="3"/>
  <c r="AR9" s="1"/>
  <c r="X89" i="2"/>
  <c r="X95"/>
  <c r="Y75" i="9"/>
  <c r="AA64" i="6"/>
  <c r="X152" i="2"/>
  <c r="X108"/>
  <c r="Z123" i="6"/>
  <c r="AA64" i="8"/>
  <c r="AF48" i="3"/>
  <c r="AG48" s="1"/>
  <c r="AN11" i="2"/>
  <c r="X180"/>
  <c r="Z230" i="9"/>
  <c r="AA230" s="1"/>
  <c r="Y282"/>
  <c r="Y283"/>
  <c r="X235" i="1"/>
  <c r="X247"/>
  <c r="Y239" i="9"/>
  <c r="Y295"/>
  <c r="X251" i="1"/>
  <c r="AH221"/>
  <c r="X250"/>
  <c r="AA87" i="8"/>
  <c r="X275" i="1"/>
  <c r="W226" i="2"/>
  <c r="X226" s="1"/>
  <c r="W272"/>
  <c r="X272" s="1"/>
  <c r="Y93" i="6"/>
  <c r="AA224" i="1"/>
  <c r="AG301"/>
  <c r="AF301" s="1"/>
  <c r="Y251" i="9"/>
  <c r="AA218"/>
  <c r="AA241" i="1"/>
  <c r="AG302" i="2"/>
  <c r="AF302" s="1"/>
  <c r="AH288" i="1"/>
  <c r="AG225"/>
  <c r="AF225" s="1"/>
  <c r="AB93" i="6"/>
  <c r="X294" i="1"/>
  <c r="X299"/>
  <c r="Z75" i="8"/>
  <c r="Y87" i="6"/>
  <c r="Y105"/>
  <c r="Y76"/>
  <c r="AA93"/>
  <c r="X311" i="1"/>
  <c r="AA75" i="6"/>
  <c r="X185" i="1"/>
  <c r="N212" i="3"/>
  <c r="H212" i="10" s="1"/>
  <c r="I212" s="1"/>
  <c r="X172" i="2"/>
  <c r="AG44" i="3"/>
  <c r="Q113"/>
  <c r="Y75" i="6"/>
  <c r="Y79"/>
  <c r="AB79"/>
  <c r="Z76" i="8"/>
  <c r="AB76" s="1"/>
  <c r="O200" i="3"/>
  <c r="S200" s="1"/>
  <c r="AA79" i="6"/>
  <c r="X87" i="1"/>
  <c r="AF117" i="3"/>
  <c r="AG117" s="1"/>
  <c r="AA153" i="9"/>
  <c r="AF34" i="3"/>
  <c r="AG34" s="1"/>
  <c r="AA30" i="8"/>
  <c r="X196" i="2"/>
  <c r="AA24" i="8"/>
  <c r="X164" i="2"/>
  <c r="X164" i="1"/>
  <c r="X200" i="2"/>
  <c r="K134" i="3"/>
  <c r="D134" i="10" s="1"/>
  <c r="E134" s="1"/>
  <c r="K134" s="1"/>
  <c r="DA336" i="1"/>
  <c r="DG336" s="1"/>
  <c r="DA337"/>
  <c r="DG337" s="1"/>
  <c r="Y294" i="9"/>
  <c r="AA226"/>
  <c r="AB101" i="3"/>
  <c r="AD101" s="1"/>
  <c r="AA101"/>
  <c r="Y306" i="9"/>
  <c r="Y238"/>
  <c r="AA42" i="8"/>
  <c r="Z46"/>
  <c r="AB46" s="1"/>
  <c r="L122" i="3"/>
  <c r="P122" s="1"/>
  <c r="R122" s="1"/>
  <c r="T122" s="1"/>
  <c r="W122" s="1"/>
  <c r="X122" s="1"/>
  <c r="Z122" s="1"/>
  <c r="Z122" i="6" s="1"/>
  <c r="AA123" i="3"/>
  <c r="Y299" i="9"/>
  <c r="Y311"/>
  <c r="Y287"/>
  <c r="Y210"/>
  <c r="X222" i="1"/>
  <c r="AX9" i="9"/>
  <c r="Y177"/>
  <c r="AG231" i="2"/>
  <c r="AF231" s="1"/>
  <c r="AA225"/>
  <c r="W221" i="1"/>
  <c r="X221" s="1"/>
  <c r="AH225"/>
  <c r="AG226" i="2"/>
  <c r="AF226" s="1"/>
  <c r="AH325" i="1"/>
  <c r="AH318"/>
  <c r="Z217" i="9"/>
  <c r="AA217" s="1"/>
  <c r="Z325"/>
  <c r="AA325" s="1"/>
  <c r="AG266" i="2"/>
  <c r="AF266" s="1"/>
  <c r="W266"/>
  <c r="AA288" i="1"/>
  <c r="W318"/>
  <c r="X318" s="1"/>
  <c r="W216" i="2"/>
  <c r="X216" s="1"/>
  <c r="AA217" i="1"/>
  <c r="W278" i="2"/>
  <c r="AA314"/>
  <c r="W314"/>
  <c r="AG313" i="1"/>
  <c r="AF313" s="1"/>
  <c r="AG308" i="2"/>
  <c r="AF308" s="1"/>
  <c r="AE88" i="3"/>
  <c r="Y165" i="9"/>
  <c r="Y105"/>
  <c r="AA76"/>
  <c r="AA141"/>
  <c r="F122" i="10"/>
  <c r="X157" i="2"/>
  <c r="X282" i="1"/>
  <c r="X222" i="2"/>
  <c r="X287" i="1"/>
  <c r="AA99" i="8"/>
  <c r="Y98"/>
  <c r="AA31"/>
  <c r="AA230" i="1"/>
  <c r="Y79" i="8"/>
  <c r="AA81"/>
  <c r="AA86"/>
  <c r="AA286" i="1"/>
  <c r="AG228" i="2"/>
  <c r="AF228" s="1"/>
  <c r="W234"/>
  <c r="X234" s="1"/>
  <c r="W224" i="1"/>
  <c r="AA46" i="6"/>
  <c r="X223" i="1"/>
  <c r="W324"/>
  <c r="AA301"/>
  <c r="W301"/>
  <c r="X301" s="1"/>
  <c r="AP12" i="9"/>
  <c r="AW12" s="1"/>
  <c r="AA93"/>
  <c r="Y271"/>
  <c r="Y240"/>
  <c r="W312" i="1"/>
  <c r="Z277" i="9"/>
  <c r="AA277" s="1"/>
  <c r="AH253" i="1"/>
  <c r="Y228" i="9"/>
  <c r="Y216"/>
  <c r="AN13" i="2"/>
  <c r="W325" i="1"/>
  <c r="AA323"/>
  <c r="AA300"/>
  <c r="Z318" i="9"/>
  <c r="AA318" s="1"/>
  <c r="Y123"/>
  <c r="Y63"/>
  <c r="AG224" i="2"/>
  <c r="AF224" s="1"/>
  <c r="AA296"/>
  <c r="AG234"/>
  <c r="AF234" s="1"/>
  <c r="AA229"/>
  <c r="W236"/>
  <c r="AA218"/>
  <c r="AG230"/>
  <c r="AF230" s="1"/>
  <c r="AG217"/>
  <c r="AF217" s="1"/>
  <c r="AA308"/>
  <c r="AG254"/>
  <c r="AF254" s="1"/>
  <c r="W228"/>
  <c r="AH265" i="1"/>
  <c r="AH264"/>
  <c r="AH241"/>
  <c r="Z219" i="9"/>
  <c r="Y219" s="1"/>
  <c r="Z224"/>
  <c r="AA224" s="1"/>
  <c r="AH230" i="1"/>
  <c r="AA277"/>
  <c r="Z286" i="9"/>
  <c r="Y286" s="1"/>
  <c r="Y29" i="8"/>
  <c r="Y51"/>
  <c r="AA20"/>
  <c r="Y83" i="6"/>
  <c r="Y50" i="8"/>
  <c r="AA39"/>
  <c r="AA35"/>
  <c r="AG230" i="1"/>
  <c r="AF230" s="1"/>
  <c r="AA17" i="8"/>
  <c r="Y67"/>
  <c r="Y93"/>
  <c r="Y42"/>
  <c r="AG286" i="1"/>
  <c r="AF286" s="1"/>
  <c r="AH286"/>
  <c r="AA228" i="2"/>
  <c r="Y44" i="6"/>
  <c r="AA234" i="2"/>
  <c r="AG224" i="1"/>
  <c r="AF224" s="1"/>
  <c r="AG32" i="3"/>
  <c r="X192" i="2"/>
  <c r="AE44" i="3"/>
  <c r="X216" i="1"/>
  <c r="W229" i="2"/>
  <c r="AA325" i="1"/>
  <c r="W219"/>
  <c r="X219" s="1"/>
  <c r="AA254" i="2"/>
  <c r="AG296"/>
  <c r="AF296" s="1"/>
  <c r="W323" i="1"/>
  <c r="X323" s="1"/>
  <c r="AA318"/>
  <c r="AA204" i="9"/>
  <c r="Y258"/>
  <c r="AA161"/>
  <c r="Y275"/>
  <c r="Y262"/>
  <c r="W217" i="2"/>
  <c r="X217" s="1"/>
  <c r="AH312" i="1"/>
  <c r="AH252"/>
  <c r="AH289"/>
  <c r="Y259" i="9"/>
  <c r="W300" i="1"/>
  <c r="AN14" i="2"/>
  <c r="AG325" i="1"/>
  <c r="AF325" s="1"/>
  <c r="AG219"/>
  <c r="AF219" s="1"/>
  <c r="AH219"/>
  <c r="AG323"/>
  <c r="AF323" s="1"/>
  <c r="AH277"/>
  <c r="AA219"/>
  <c r="Z241" i="9"/>
  <c r="Y241" s="1"/>
  <c r="Z323"/>
  <c r="AA323" s="1"/>
  <c r="Z300"/>
  <c r="AA300" s="1"/>
  <c r="Y171"/>
  <c r="AA217" i="2"/>
  <c r="AG300" i="1"/>
  <c r="AF300" s="1"/>
  <c r="Z252" i="9"/>
  <c r="AA252" s="1"/>
  <c r="W241" i="1"/>
  <c r="X241" s="1"/>
  <c r="Y54" i="8"/>
  <c r="Y41"/>
  <c r="AA29"/>
  <c r="Y99"/>
  <c r="AA51"/>
  <c r="AA98"/>
  <c r="AA83" i="6"/>
  <c r="Z83" i="8"/>
  <c r="AB83" s="1"/>
  <c r="AA50"/>
  <c r="AA55"/>
  <c r="Y74"/>
  <c r="Y39"/>
  <c r="Y47"/>
  <c r="AA62"/>
  <c r="Y31"/>
  <c r="AA37"/>
  <c r="AA79"/>
  <c r="AA38"/>
  <c r="Y81"/>
  <c r="AA67"/>
  <c r="Y86"/>
  <c r="AA73"/>
  <c r="AA44" i="6"/>
  <c r="Z44" i="8"/>
  <c r="AB44" s="1"/>
  <c r="AP10" i="6"/>
  <c r="Y55" i="8"/>
  <c r="AP10" i="9"/>
  <c r="AA51"/>
  <c r="Y111"/>
  <c r="AQ9"/>
  <c r="AB110" i="6"/>
  <c r="AB101"/>
  <c r="AB111"/>
  <c r="X263" i="1"/>
  <c r="X258"/>
  <c r="X246"/>
  <c r="X306"/>
  <c r="X271"/>
  <c r="Y215" i="9"/>
  <c r="Y222"/>
  <c r="AB117" i="6"/>
  <c r="Y33" i="8"/>
  <c r="X210" i="1"/>
  <c r="AA220" i="2"/>
  <c r="W220"/>
  <c r="X220" s="1"/>
  <c r="AA231"/>
  <c r="W231"/>
  <c r="Y117" i="6"/>
  <c r="AG225" i="2"/>
  <c r="AF225" s="1"/>
  <c r="W225"/>
  <c r="X225" s="1"/>
  <c r="AG221" i="1"/>
  <c r="AF221" s="1"/>
  <c r="AA221"/>
  <c r="AH224"/>
  <c r="AA225"/>
  <c r="W225"/>
  <c r="AA226" i="2"/>
  <c r="X227" i="1"/>
  <c r="X259"/>
  <c r="AH324"/>
  <c r="AA324"/>
  <c r="AH313"/>
  <c r="Y152" i="9"/>
  <c r="Z324"/>
  <c r="AA324" s="1"/>
  <c r="Z221"/>
  <c r="AA221" s="1"/>
  <c r="Z225"/>
  <c r="AA225" s="1"/>
  <c r="Y247"/>
  <c r="Y274"/>
  <c r="Y246"/>
  <c r="Z212"/>
  <c r="AA212" s="1"/>
  <c r="Y235"/>
  <c r="Y234"/>
  <c r="Z312"/>
  <c r="AA312" s="1"/>
  <c r="Y183"/>
  <c r="Y263"/>
  <c r="Z288"/>
  <c r="AA288" s="1"/>
  <c r="AA312" i="1"/>
  <c r="W212" i="2"/>
  <c r="X212" s="1"/>
  <c r="W313" i="1"/>
  <c r="AA272" i="2"/>
  <c r="AA212" i="1"/>
  <c r="Y111" i="6"/>
  <c r="Y270" i="9"/>
  <c r="Z213"/>
  <c r="AA213" s="1"/>
  <c r="W290" i="2"/>
  <c r="AH213" i="1"/>
  <c r="AA214" i="2"/>
  <c r="AG217" i="1"/>
  <c r="AF217" s="1"/>
  <c r="AH229"/>
  <c r="Z111" i="8"/>
  <c r="Y111" s="1"/>
  <c r="W288" i="1"/>
  <c r="AG212" i="2"/>
  <c r="AF212" s="1"/>
  <c r="AH217" i="1"/>
  <c r="W212"/>
  <c r="X212" s="1"/>
  <c r="AG277"/>
  <c r="AF277" s="1"/>
  <c r="AA87" i="9"/>
  <c r="Y99"/>
  <c r="Y95" i="6"/>
  <c r="AB95"/>
  <c r="AA18" i="8"/>
  <c r="AB18"/>
  <c r="AA89" i="6"/>
  <c r="AB89"/>
  <c r="AA93" i="8"/>
  <c r="AB93"/>
  <c r="AA23"/>
  <c r="AB23"/>
  <c r="AA21"/>
  <c r="AB21"/>
  <c r="Y34" i="6"/>
  <c r="AB34"/>
  <c r="AA43" i="8"/>
  <c r="AB43"/>
  <c r="AA27"/>
  <c r="AB27"/>
  <c r="AA28"/>
  <c r="AB28"/>
  <c r="AA25"/>
  <c r="AB25"/>
  <c r="AA54"/>
  <c r="AB54"/>
  <c r="AA65"/>
  <c r="AB65"/>
  <c r="AA41"/>
  <c r="AB41"/>
  <c r="Y73"/>
  <c r="AB61"/>
  <c r="AA59"/>
  <c r="AB59"/>
  <c r="AA45"/>
  <c r="AB45"/>
  <c r="AA49"/>
  <c r="AB49"/>
  <c r="AA36"/>
  <c r="AB36"/>
  <c r="Y69"/>
  <c r="AB69"/>
  <c r="AA33"/>
  <c r="AB33"/>
  <c r="AA26"/>
  <c r="AB26"/>
  <c r="Z77"/>
  <c r="AA77" s="1"/>
  <c r="AB77" i="6"/>
  <c r="X213" i="1"/>
  <c r="X214" i="2"/>
  <c r="Z117" i="8"/>
  <c r="AB117" s="1"/>
  <c r="W296" i="2"/>
  <c r="W218"/>
  <c r="AA230"/>
  <c r="W308"/>
  <c r="W254"/>
  <c r="W217" i="1"/>
  <c r="AG312"/>
  <c r="AF312" s="1"/>
  <c r="AG314" i="2"/>
  <c r="AF314" s="1"/>
  <c r="AA216"/>
  <c r="AG214"/>
  <c r="AF214" s="1"/>
  <c r="AG278"/>
  <c r="AF278" s="1"/>
  <c r="AA212"/>
  <c r="AA266"/>
  <c r="AG272"/>
  <c r="AH272" s="1"/>
  <c r="AG288" i="1"/>
  <c r="AF288" s="1"/>
  <c r="AG241"/>
  <c r="AF241" s="1"/>
  <c r="W277"/>
  <c r="AA278" i="2"/>
  <c r="Y227" i="9"/>
  <c r="Q334" i="2"/>
  <c r="DA338"/>
  <c r="DG338" s="1"/>
  <c r="Q332"/>
  <c r="S332" s="1"/>
  <c r="DA332"/>
  <c r="DG332" s="1"/>
  <c r="Z242" i="1"/>
  <c r="Z233"/>
  <c r="Z236"/>
  <c r="Z237"/>
  <c r="Z231"/>
  <c r="W264"/>
  <c r="AH276"/>
  <c r="Z253" i="9"/>
  <c r="AA253" s="1"/>
  <c r="W253" i="1"/>
  <c r="AA253"/>
  <c r="AG253"/>
  <c r="AF253" s="1"/>
  <c r="AG252"/>
  <c r="AF252" s="1"/>
  <c r="AA252"/>
  <c r="AA213"/>
  <c r="AG213"/>
  <c r="AF213" s="1"/>
  <c r="Z243" i="2"/>
  <c r="Z232"/>
  <c r="Z326"/>
  <c r="W224"/>
  <c r="AA224"/>
  <c r="AG290"/>
  <c r="AA290"/>
  <c r="W284"/>
  <c r="AG284"/>
  <c r="AA284"/>
  <c r="AA248"/>
  <c r="W248"/>
  <c r="AG248"/>
  <c r="W242"/>
  <c r="AA242"/>
  <c r="AG242"/>
  <c r="AA302"/>
  <c r="W302"/>
  <c r="AA236"/>
  <c r="AG236"/>
  <c r="AF236" s="1"/>
  <c r="Z246"/>
  <c r="Z238"/>
  <c r="Z241"/>
  <c r="Z237"/>
  <c r="Z240"/>
  <c r="Z320"/>
  <c r="Y77" i="6"/>
  <c r="AH300" i="1"/>
  <c r="AG318"/>
  <c r="AF318" s="1"/>
  <c r="AH323"/>
  <c r="Z313" i="9"/>
  <c r="AA313" s="1"/>
  <c r="AA313" i="1"/>
  <c r="Z298"/>
  <c r="Y43" i="8"/>
  <c r="AA117" i="6"/>
  <c r="Y200" i="9"/>
  <c r="Y204"/>
  <c r="Y173"/>
  <c r="AA159"/>
  <c r="AA205"/>
  <c r="BA310" i="3"/>
  <c r="BB298"/>
  <c r="BF298" s="1"/>
  <c r="Y276" i="9"/>
  <c r="Z88"/>
  <c r="Y88" s="1"/>
  <c r="P350" i="2"/>
  <c r="O362"/>
  <c r="Y197" i="9"/>
  <c r="AA185"/>
  <c r="Y38" i="8"/>
  <c r="AA152" i="9"/>
  <c r="Y207"/>
  <c r="Y195"/>
  <c r="AP9" i="6"/>
  <c r="Y189" i="9"/>
  <c r="AA188"/>
  <c r="Y46" i="6"/>
  <c r="Z34" i="8"/>
  <c r="Y201" i="9"/>
  <c r="AA201"/>
  <c r="P349" i="2"/>
  <c r="R349" s="1"/>
  <c r="O361"/>
  <c r="K349" i="1"/>
  <c r="J361"/>
  <c r="O349"/>
  <c r="R349" s="1"/>
  <c r="N361"/>
  <c r="K348"/>
  <c r="J360"/>
  <c r="O348"/>
  <c r="R348" s="1"/>
  <c r="N360"/>
  <c r="AG89" i="3"/>
  <c r="AA265" i="9"/>
  <c r="Y35" i="8"/>
  <c r="K347" i="1"/>
  <c r="J359"/>
  <c r="M346" i="2"/>
  <c r="L358"/>
  <c r="O345" i="1"/>
  <c r="R345" s="1"/>
  <c r="N357"/>
  <c r="M344" i="2"/>
  <c r="L356"/>
  <c r="O344" i="1"/>
  <c r="R344" s="1"/>
  <c r="N356"/>
  <c r="P344" i="2"/>
  <c r="R344" s="1"/>
  <c r="O356"/>
  <c r="Y49" i="8"/>
  <c r="P343" i="2"/>
  <c r="R343" s="1"/>
  <c r="O355"/>
  <c r="Q19" i="10"/>
  <c r="R19" s="1"/>
  <c r="K342" i="1"/>
  <c r="DA342" s="1"/>
  <c r="DG342" s="1"/>
  <c r="J354"/>
  <c r="Q17" i="10"/>
  <c r="R17" s="1"/>
  <c r="S17" s="1"/>
  <c r="Q18"/>
  <c r="R18" s="1"/>
  <c r="K341" i="1"/>
  <c r="J353"/>
  <c r="L46" i="10"/>
  <c r="L47" s="1"/>
  <c r="L48" s="1"/>
  <c r="L49" s="1"/>
  <c r="L50" s="1"/>
  <c r="L51" s="1"/>
  <c r="L52" s="1"/>
  <c r="L53" s="1"/>
  <c r="L54" s="1"/>
  <c r="L55" s="1"/>
  <c r="L56" s="1"/>
  <c r="L57" s="1"/>
  <c r="J200"/>
  <c r="S120" i="3"/>
  <c r="J120" i="10"/>
  <c r="S97" i="3"/>
  <c r="T97" s="1"/>
  <c r="W97" s="1"/>
  <c r="X97" s="1"/>
  <c r="Z97" s="1"/>
  <c r="F133" i="10"/>
  <c r="K115"/>
  <c r="F115"/>
  <c r="F201"/>
  <c r="K119"/>
  <c r="F119"/>
  <c r="K124"/>
  <c r="F124"/>
  <c r="D70"/>
  <c r="E70" s="1"/>
  <c r="L70" i="3"/>
  <c r="P70" s="1"/>
  <c r="R70" s="1"/>
  <c r="K82"/>
  <c r="Q22" i="10" s="1"/>
  <c r="R22" s="1"/>
  <c r="K60"/>
  <c r="F60"/>
  <c r="S58" i="3"/>
  <c r="T58" s="1"/>
  <c r="W58" s="1"/>
  <c r="X58" s="1"/>
  <c r="Z58" s="1"/>
  <c r="J58" i="10"/>
  <c r="H70"/>
  <c r="I70" s="1"/>
  <c r="U21"/>
  <c r="V21" s="1"/>
  <c r="U20"/>
  <c r="V20" s="1"/>
  <c r="U18"/>
  <c r="V18" s="1"/>
  <c r="N82" i="3"/>
  <c r="U17" i="10"/>
  <c r="V17" s="1"/>
  <c r="W17" s="1"/>
  <c r="U19"/>
  <c r="V19" s="1"/>
  <c r="O70" i="3"/>
  <c r="Z85" i="6"/>
  <c r="AB85" s="1"/>
  <c r="AA85" i="3"/>
  <c r="F147" i="10"/>
  <c r="K137"/>
  <c r="F137"/>
  <c r="K80"/>
  <c r="F80"/>
  <c r="F102"/>
  <c r="K102"/>
  <c r="S185" i="3"/>
  <c r="J185" i="10"/>
  <c r="S171" i="3"/>
  <c r="J171" i="10"/>
  <c r="S198" i="3"/>
  <c r="J198" i="10"/>
  <c r="S129" i="3"/>
  <c r="T129" s="1"/>
  <c r="W129" s="1"/>
  <c r="X129" s="1"/>
  <c r="Z129" s="1"/>
  <c r="K58" i="10"/>
  <c r="F58"/>
  <c r="Z60" i="6"/>
  <c r="AB60" s="1"/>
  <c r="AA60" i="3"/>
  <c r="D72" i="10"/>
  <c r="E72" s="1"/>
  <c r="K84" i="3"/>
  <c r="L72"/>
  <c r="P72" s="1"/>
  <c r="R72" s="1"/>
  <c r="T72" s="1"/>
  <c r="W72" s="1"/>
  <c r="X72" s="1"/>
  <c r="Z72" s="1"/>
  <c r="J85" i="10"/>
  <c r="K85"/>
  <c r="Y36" i="8"/>
  <c r="R78" i="3"/>
  <c r="T78" s="1"/>
  <c r="W78" s="1"/>
  <c r="X78" s="1"/>
  <c r="Z78" s="1"/>
  <c r="R100"/>
  <c r="T100" s="1"/>
  <c r="W100" s="1"/>
  <c r="X100" s="1"/>
  <c r="Z100" s="1"/>
  <c r="Q20" i="10"/>
  <c r="R20" s="1"/>
  <c r="Q21"/>
  <c r="R21" s="1"/>
  <c r="N121" i="3"/>
  <c r="H121" i="10" s="1"/>
  <c r="I121" s="1"/>
  <c r="O109" i="3"/>
  <c r="N209"/>
  <c r="H209" i="10" s="1"/>
  <c r="I209" s="1"/>
  <c r="O197" i="3"/>
  <c r="K145"/>
  <c r="D145" i="10" s="1"/>
  <c r="E145" s="1"/>
  <c r="L133" i="3"/>
  <c r="P133" s="1"/>
  <c r="R133" s="1"/>
  <c r="N195"/>
  <c r="H195" i="10" s="1"/>
  <c r="I195" s="1"/>
  <c r="O183" i="3"/>
  <c r="Q103"/>
  <c r="P103"/>
  <c r="K127"/>
  <c r="D127" i="10" s="1"/>
  <c r="E127" s="1"/>
  <c r="L115" i="3"/>
  <c r="AA107"/>
  <c r="K131"/>
  <c r="D131" i="10" s="1"/>
  <c r="E131" s="1"/>
  <c r="L119" i="3"/>
  <c r="P119" s="1"/>
  <c r="R119" s="1"/>
  <c r="T119" s="1"/>
  <c r="W119" s="1"/>
  <c r="X119" s="1"/>
  <c r="Z119" s="1"/>
  <c r="R91"/>
  <c r="T91" s="1"/>
  <c r="W91" s="1"/>
  <c r="X91" s="1"/>
  <c r="Z91" s="1"/>
  <c r="P90"/>
  <c r="Q90"/>
  <c r="K114"/>
  <c r="D114" i="10" s="1"/>
  <c r="E114" s="1"/>
  <c r="L102" i="3"/>
  <c r="N144"/>
  <c r="H144" i="10" s="1"/>
  <c r="I144" s="1"/>
  <c r="O132" i="3"/>
  <c r="O210"/>
  <c r="N222"/>
  <c r="H222" i="10" s="1"/>
  <c r="I222" s="1"/>
  <c r="K213" i="3"/>
  <c r="D213" i="10" s="1"/>
  <c r="E213" s="1"/>
  <c r="L201" i="3"/>
  <c r="P201" s="1"/>
  <c r="R201" s="1"/>
  <c r="N153"/>
  <c r="H153" i="10" s="1"/>
  <c r="I153" s="1"/>
  <c r="O141" i="3"/>
  <c r="P112"/>
  <c r="Q112"/>
  <c r="K136"/>
  <c r="D136" i="10" s="1"/>
  <c r="E136" s="1"/>
  <c r="L124" i="3"/>
  <c r="BE232"/>
  <c r="BG232" s="1"/>
  <c r="AT11" i="2"/>
  <c r="AA101" i="6"/>
  <c r="Z89" i="8"/>
  <c r="AB89" s="1"/>
  <c r="Y89" i="6"/>
  <c r="Z101" i="8"/>
  <c r="AB101" s="1"/>
  <c r="Y101" i="6"/>
  <c r="AT12" i="2"/>
  <c r="BB316" i="3"/>
  <c r="BF316" s="1"/>
  <c r="BA328"/>
  <c r="BB314"/>
  <c r="BF314" s="1"/>
  <c r="BA326"/>
  <c r="BG313" i="1"/>
  <c r="BJ313" s="1"/>
  <c r="BF325"/>
  <c r="BB312" i="3"/>
  <c r="BF312" s="1"/>
  <c r="BA324"/>
  <c r="Y45" i="8"/>
  <c r="BE200" i="3"/>
  <c r="BG200" s="1"/>
  <c r="BA233"/>
  <c r="BB221"/>
  <c r="BF221" s="1"/>
  <c r="BG221" s="1"/>
  <c r="AX236"/>
  <c r="AY224"/>
  <c r="BF249" i="2"/>
  <c r="BI249" s="1"/>
  <c r="BE261"/>
  <c r="BE238"/>
  <c r="BF226"/>
  <c r="BI226" s="1"/>
  <c r="BK226" s="1"/>
  <c r="AX238" i="3"/>
  <c r="AY226"/>
  <c r="BC226" s="1"/>
  <c r="BE226" s="1"/>
  <c r="BG226" s="1"/>
  <c r="BB239" i="1"/>
  <c r="BC227"/>
  <c r="BI227" s="1"/>
  <c r="BK227" s="1"/>
  <c r="BE239" i="2"/>
  <c r="BF227"/>
  <c r="BI227" s="1"/>
  <c r="BK227" s="1"/>
  <c r="AX239" i="3"/>
  <c r="AY227"/>
  <c r="BC227" s="1"/>
  <c r="BE227" s="1"/>
  <c r="BG227" s="1"/>
  <c r="BB252" i="1"/>
  <c r="BC240"/>
  <c r="BI240" s="1"/>
  <c r="BE240" i="2"/>
  <c r="BF228"/>
  <c r="BI228" s="1"/>
  <c r="AX240" i="3"/>
  <c r="AY228"/>
  <c r="BC228" s="1"/>
  <c r="BE228" s="1"/>
  <c r="BG228" s="1"/>
  <c r="AX242"/>
  <c r="AY230"/>
  <c r="BC230" s="1"/>
  <c r="BE230" s="1"/>
  <c r="BG230" s="1"/>
  <c r="BE255" i="2"/>
  <c r="BF243"/>
  <c r="BI243" s="1"/>
  <c r="BK243" s="1"/>
  <c r="AX255" i="3"/>
  <c r="AY243"/>
  <c r="BG270" i="1"/>
  <c r="BJ270" s="1"/>
  <c r="BK270" s="1"/>
  <c r="BF282"/>
  <c r="BF283"/>
  <c r="BG271"/>
  <c r="BJ271" s="1"/>
  <c r="BK271" s="1"/>
  <c r="BA283" i="2"/>
  <c r="BB271"/>
  <c r="BH271" s="1"/>
  <c r="BK271" s="1"/>
  <c r="BE219" i="3"/>
  <c r="BG219" s="1"/>
  <c r="BC212"/>
  <c r="BD212"/>
  <c r="BC231"/>
  <c r="BD231"/>
  <c r="BG311" i="1"/>
  <c r="BJ311" s="1"/>
  <c r="BF323"/>
  <c r="BB311" i="2"/>
  <c r="BH311" s="1"/>
  <c r="BA323"/>
  <c r="BB311" i="3"/>
  <c r="BF311" s="1"/>
  <c r="BA323"/>
  <c r="Y30" i="8"/>
  <c r="AP8"/>
  <c r="AW8" s="1"/>
  <c r="BB284" i="2"/>
  <c r="BH284" s="1"/>
  <c r="BA296"/>
  <c r="BB310"/>
  <c r="BH310" s="1"/>
  <c r="BA322"/>
  <c r="K310" i="1"/>
  <c r="Q310" s="1"/>
  <c r="S310" s="1"/>
  <c r="J322"/>
  <c r="Y59" i="8"/>
  <c r="Y71"/>
  <c r="BG309" i="1"/>
  <c r="BJ309" s="1"/>
  <c r="BF321"/>
  <c r="BF112"/>
  <c r="BG100"/>
  <c r="BJ100" s="1"/>
  <c r="BA160" i="2"/>
  <c r="BB148"/>
  <c r="BH148" s="1"/>
  <c r="BK148" s="1"/>
  <c r="BB112" i="1"/>
  <c r="BC100"/>
  <c r="BI100" s="1"/>
  <c r="BE172" i="2"/>
  <c r="BF160"/>
  <c r="BI160" s="1"/>
  <c r="S244"/>
  <c r="BB308" i="3"/>
  <c r="BF308" s="1"/>
  <c r="BA320"/>
  <c r="BG308" i="1"/>
  <c r="BJ308" s="1"/>
  <c r="BF320"/>
  <c r="R113" i="3"/>
  <c r="T113" s="1"/>
  <c r="W113" s="1"/>
  <c r="X113" s="1"/>
  <c r="Z113" s="1"/>
  <c r="BB109" i="1"/>
  <c r="BC97"/>
  <c r="BI97" s="1"/>
  <c r="BK97" s="1"/>
  <c r="AX133" i="3"/>
  <c r="AY121"/>
  <c r="BC121" s="1"/>
  <c r="BE121" s="1"/>
  <c r="BG121" s="1"/>
  <c r="BB111" i="1"/>
  <c r="BC99"/>
  <c r="BI99" s="1"/>
  <c r="BA144" i="2"/>
  <c r="BB132"/>
  <c r="BH132" s="1"/>
  <c r="BK132" s="1"/>
  <c r="BA133"/>
  <c r="BB121"/>
  <c r="BH121" s="1"/>
  <c r="BK121" s="1"/>
  <c r="BF111" i="1"/>
  <c r="BG99"/>
  <c r="BJ99" s="1"/>
  <c r="BK87"/>
  <c r="Y57" i="8"/>
  <c r="AA110" i="6"/>
  <c r="Y110"/>
  <c r="Z110" i="8"/>
  <c r="AB110" s="1"/>
  <c r="BB116" i="1"/>
  <c r="BC104"/>
  <c r="BI104" s="1"/>
  <c r="BK104" s="1"/>
  <c r="AG57" i="3"/>
  <c r="AG45"/>
  <c r="Z107" i="6"/>
  <c r="AA107" i="2"/>
  <c r="W107"/>
  <c r="X107" s="1"/>
  <c r="AG107"/>
  <c r="AM15"/>
  <c r="P125" i="3"/>
  <c r="Q125"/>
  <c r="W88" i="1"/>
  <c r="X88" s="1"/>
  <c r="AG88"/>
  <c r="AF88" s="1"/>
  <c r="AA88"/>
  <c r="Z88" i="6"/>
  <c r="AB88" s="1"/>
  <c r="AN13" i="1"/>
  <c r="P68" i="3"/>
  <c r="Q68"/>
  <c r="R56"/>
  <c r="T56" s="1"/>
  <c r="W56" s="1"/>
  <c r="X56" s="1"/>
  <c r="Z56" s="1"/>
  <c r="AO12" i="1"/>
  <c r="AT12"/>
  <c r="AU12" s="1"/>
  <c r="K149" i="3"/>
  <c r="D149" i="10" s="1"/>
  <c r="E149" s="1"/>
  <c r="L137" i="3"/>
  <c r="L143" i="2"/>
  <c r="M131"/>
  <c r="Q131" s="1"/>
  <c r="N112" i="1"/>
  <c r="O100"/>
  <c r="R100" s="1"/>
  <c r="S100" s="1"/>
  <c r="Z100" s="1"/>
  <c r="K92" i="3"/>
  <c r="D92" i="10" s="1"/>
  <c r="E92" s="1"/>
  <c r="L80" i="3"/>
  <c r="O131" i="2"/>
  <c r="P119"/>
  <c r="R119" s="1"/>
  <c r="S119" s="1"/>
  <c r="Z119" s="1"/>
  <c r="Z95" i="8"/>
  <c r="AA95" i="6"/>
  <c r="BB105" i="1"/>
  <c r="BC93"/>
  <c r="BI93" s="1"/>
  <c r="BK93" s="1"/>
  <c r="AG86" i="3"/>
  <c r="AG61"/>
  <c r="BA165" i="2"/>
  <c r="BB153"/>
  <c r="BH153" s="1"/>
  <c r="BK153" s="1"/>
  <c r="Z135" i="6"/>
  <c r="AA135" i="3"/>
  <c r="AG29"/>
  <c r="AG41"/>
  <c r="AG87"/>
  <c r="AG99"/>
  <c r="AE123"/>
  <c r="BE66"/>
  <c r="BG66" s="1"/>
  <c r="AG98"/>
  <c r="BB245" i="1"/>
  <c r="BC233"/>
  <c r="BI233" s="1"/>
  <c r="BK233" s="1"/>
  <c r="AA122" i="3"/>
  <c r="L257" i="2"/>
  <c r="M245"/>
  <c r="Q245" s="1"/>
  <c r="N257" i="1"/>
  <c r="O245"/>
  <c r="R245" s="1"/>
  <c r="S245" s="1"/>
  <c r="L270" i="2"/>
  <c r="M258"/>
  <c r="Q258" s="1"/>
  <c r="S258" s="1"/>
  <c r="J260" i="1"/>
  <c r="K248"/>
  <c r="Q248" s="1"/>
  <c r="S248" s="1"/>
  <c r="J261"/>
  <c r="K249"/>
  <c r="Q249" s="1"/>
  <c r="S249" s="1"/>
  <c r="O262" i="2"/>
  <c r="P250"/>
  <c r="R250" s="1"/>
  <c r="S250" s="1"/>
  <c r="L265"/>
  <c r="M253"/>
  <c r="Q253" s="1"/>
  <c r="S253" s="1"/>
  <c r="BF296" i="3"/>
  <c r="BA221" i="2"/>
  <c r="BB209"/>
  <c r="BH209" s="1"/>
  <c r="BK209" s="1"/>
  <c r="AG81" i="3"/>
  <c r="AG93"/>
  <c r="O185" i="2"/>
  <c r="P173"/>
  <c r="R173" s="1"/>
  <c r="S173" s="1"/>
  <c r="Z173" s="1"/>
  <c r="L187"/>
  <c r="M175"/>
  <c r="Q175" s="1"/>
  <c r="S175" s="1"/>
  <c r="Z175" s="1"/>
  <c r="L261"/>
  <c r="M249"/>
  <c r="Q249" s="1"/>
  <c r="S249" s="1"/>
  <c r="O264"/>
  <c r="P252"/>
  <c r="R252" s="1"/>
  <c r="S252" s="1"/>
  <c r="BE102"/>
  <c r="BF90"/>
  <c r="BI90" s="1"/>
  <c r="AX102" i="3"/>
  <c r="AY90"/>
  <c r="BE128" i="2"/>
  <c r="BF116"/>
  <c r="BI116" s="1"/>
  <c r="BK116" s="1"/>
  <c r="AX117" i="3"/>
  <c r="AY105"/>
  <c r="BC105" s="1"/>
  <c r="BE105" s="1"/>
  <c r="BB158" i="1"/>
  <c r="BC146"/>
  <c r="BI146" s="1"/>
  <c r="BK146" s="1"/>
  <c r="AX304" i="3"/>
  <c r="AY292"/>
  <c r="BA102" i="2"/>
  <c r="BB90"/>
  <c r="BH90" s="1"/>
  <c r="BA150" i="3"/>
  <c r="BB138"/>
  <c r="BF138" s="1"/>
  <c r="BA139"/>
  <c r="BB127"/>
  <c r="BF127" s="1"/>
  <c r="BG127" s="1"/>
  <c r="BA105"/>
  <c r="BB93"/>
  <c r="BF93" s="1"/>
  <c r="BG93" s="1"/>
  <c r="BF106" i="1"/>
  <c r="BG94"/>
  <c r="BJ94" s="1"/>
  <c r="BK94" s="1"/>
  <c r="BF120"/>
  <c r="BG108"/>
  <c r="BJ108" s="1"/>
  <c r="BK108" s="1"/>
  <c r="BA134" i="2"/>
  <c r="BB122"/>
  <c r="BH122" s="1"/>
  <c r="BK122" s="1"/>
  <c r="BE268" i="3"/>
  <c r="BG268" s="1"/>
  <c r="AG88"/>
  <c r="AG55"/>
  <c r="AG67"/>
  <c r="Y61" i="8"/>
  <c r="AA61"/>
  <c r="AG62" i="3"/>
  <c r="AG50"/>
  <c r="AA161" i="2"/>
  <c r="AG161"/>
  <c r="W161"/>
  <c r="X161" s="1"/>
  <c r="AA163"/>
  <c r="AG163"/>
  <c r="W163"/>
  <c r="X163" s="1"/>
  <c r="BC78" i="3"/>
  <c r="BD78"/>
  <c r="BD280"/>
  <c r="BC280"/>
  <c r="BH298" i="2"/>
  <c r="BK78"/>
  <c r="BE317"/>
  <c r="BF305"/>
  <c r="BI305" s="1"/>
  <c r="AY305" i="3"/>
  <c r="AX317"/>
  <c r="BH299" i="2"/>
  <c r="BE281" i="3"/>
  <c r="BC293"/>
  <c r="BD293"/>
  <c r="N266" i="1"/>
  <c r="O254"/>
  <c r="R254" s="1"/>
  <c r="S254" s="1"/>
  <c r="O267" i="2"/>
  <c r="P255"/>
  <c r="R255" s="1"/>
  <c r="S255" s="1"/>
  <c r="N267" i="1"/>
  <c r="O255"/>
  <c r="R255" s="1"/>
  <c r="J268"/>
  <c r="K256"/>
  <c r="Q256" s="1"/>
  <c r="AU10"/>
  <c r="AU11"/>
  <c r="Y66" i="8"/>
  <c r="AA66"/>
  <c r="O268" i="2"/>
  <c r="P256"/>
  <c r="R256" s="1"/>
  <c r="AT13"/>
  <c r="AT14"/>
  <c r="J267" i="1"/>
  <c r="K255"/>
  <c r="Q255" s="1"/>
  <c r="L268" i="2"/>
  <c r="M256"/>
  <c r="Q256" s="1"/>
  <c r="AG83" i="3"/>
  <c r="AG95"/>
  <c r="S243" i="1"/>
  <c r="AB123" i="6" l="1"/>
  <c r="L147" i="3"/>
  <c r="P147" s="1"/>
  <c r="R147" s="1"/>
  <c r="T147" s="1"/>
  <c r="W147" s="1"/>
  <c r="X147" s="1"/>
  <c r="Z147" s="1"/>
  <c r="AB63" i="8"/>
  <c r="K159" i="3"/>
  <c r="D159" i="10" s="1"/>
  <c r="E159" s="1"/>
  <c r="Y48" i="8"/>
  <c r="AA63"/>
  <c r="AA48"/>
  <c r="AA105"/>
  <c r="Y75"/>
  <c r="W236" i="1"/>
  <c r="X236" s="1"/>
  <c r="Y76" i="8"/>
  <c r="AA301" i="9"/>
  <c r="AB32" i="8"/>
  <c r="Y105"/>
  <c r="Y229" i="9"/>
  <c r="AB147" i="3"/>
  <c r="AD147" s="1"/>
  <c r="AB100" i="1"/>
  <c r="AB100" i="9" s="1"/>
  <c r="AB58" i="3"/>
  <c r="AD58" s="1"/>
  <c r="AB119"/>
  <c r="AD119" s="1"/>
  <c r="P362" i="2"/>
  <c r="R362" s="1"/>
  <c r="S362" s="1"/>
  <c r="O374"/>
  <c r="P374" s="1"/>
  <c r="R374" s="1"/>
  <c r="S374" s="1"/>
  <c r="Z374" s="1"/>
  <c r="X228"/>
  <c r="AB173"/>
  <c r="AB72" i="3"/>
  <c r="AD72" s="1"/>
  <c r="AE110"/>
  <c r="AB119" i="2"/>
  <c r="AB56" i="3"/>
  <c r="AD56" s="1"/>
  <c r="AB113"/>
  <c r="AD113" s="1"/>
  <c r="AE113" s="1"/>
  <c r="AB91"/>
  <c r="AD91" s="1"/>
  <c r="AB175" i="2"/>
  <c r="AB100" i="3"/>
  <c r="AD100" s="1"/>
  <c r="AE100" s="1"/>
  <c r="AB97"/>
  <c r="AD97" s="1"/>
  <c r="AE97" s="1"/>
  <c r="AB122"/>
  <c r="AD122" s="1"/>
  <c r="AE122" s="1"/>
  <c r="AA123" i="6"/>
  <c r="AG231" i="1"/>
  <c r="AF231" s="1"/>
  <c r="AB52" i="8"/>
  <c r="Y52"/>
  <c r="AQ11" i="9"/>
  <c r="AQ12"/>
  <c r="AX12"/>
  <c r="AW9" i="6"/>
  <c r="AX9" s="1"/>
  <c r="AQ9"/>
  <c r="AW10"/>
  <c r="AQ10"/>
  <c r="AR10" i="3"/>
  <c r="AA233" i="1"/>
  <c r="AB75" i="8"/>
  <c r="X313" i="1"/>
  <c r="AA46" i="8"/>
  <c r="AF272" i="2"/>
  <c r="Y32" i="8"/>
  <c r="O212" i="3"/>
  <c r="S212" s="1"/>
  <c r="Y123" i="6"/>
  <c r="AG240" i="2"/>
  <c r="AF240" s="1"/>
  <c r="AA246"/>
  <c r="W243"/>
  <c r="X243" s="1"/>
  <c r="AH237" i="1"/>
  <c r="Z123" i="8"/>
  <c r="Y123" s="1"/>
  <c r="Y318" i="9"/>
  <c r="W237" i="2"/>
  <c r="X237" s="1"/>
  <c r="AA326"/>
  <c r="AA76" i="8"/>
  <c r="K361" i="1"/>
  <c r="J373"/>
  <c r="K373" s="1"/>
  <c r="Q373" s="1"/>
  <c r="Y230" i="9"/>
  <c r="AA75" i="8"/>
  <c r="O361" i="1"/>
  <c r="N373"/>
  <c r="O373" s="1"/>
  <c r="R373" s="1"/>
  <c r="S373" s="1"/>
  <c r="Z373" s="1"/>
  <c r="P361" i="2"/>
  <c r="R361" s="1"/>
  <c r="O373"/>
  <c r="P373" s="1"/>
  <c r="R373" s="1"/>
  <c r="N224" i="3"/>
  <c r="H224" i="10" s="1"/>
  <c r="I224" s="1"/>
  <c r="Y87" i="8"/>
  <c r="F134" i="10"/>
  <c r="Y83" i="8"/>
  <c r="AA44"/>
  <c r="AH302" i="2"/>
  <c r="X266"/>
  <c r="AG242" i="1"/>
  <c r="AF242" s="1"/>
  <c r="AA298"/>
  <c r="Y44" i="8"/>
  <c r="AP10"/>
  <c r="AW10" s="1"/>
  <c r="AA241" i="9"/>
  <c r="Y46" i="8"/>
  <c r="X278" i="2"/>
  <c r="AA238"/>
  <c r="Z231" i="9"/>
  <c r="Y231" s="1"/>
  <c r="AA83" i="8"/>
  <c r="AA236" i="1"/>
  <c r="AA111" i="8"/>
  <c r="Y323" i="9"/>
  <c r="Y217"/>
  <c r="X290" i="2"/>
  <c r="X324" i="1"/>
  <c r="X300"/>
  <c r="X325"/>
  <c r="X224"/>
  <c r="K360"/>
  <c r="J372"/>
  <c r="K372" s="1"/>
  <c r="Q372" s="1"/>
  <c r="X229" i="2"/>
  <c r="L134" i="3"/>
  <c r="P134" s="1"/>
  <c r="R134" s="1"/>
  <c r="T134" s="1"/>
  <c r="W134" s="1"/>
  <c r="X134" s="1"/>
  <c r="Z134" s="1"/>
  <c r="K146"/>
  <c r="D146" i="10" s="1"/>
  <c r="E146" s="1"/>
  <c r="K146" s="1"/>
  <c r="Y264" i="9"/>
  <c r="Y277"/>
  <c r="O360" i="1"/>
  <c r="N372"/>
  <c r="O372" s="1"/>
  <c r="R372" s="1"/>
  <c r="Y325" i="9"/>
  <c r="AH296" i="2"/>
  <c r="AF101" i="3"/>
  <c r="AG101" s="1"/>
  <c r="AE101"/>
  <c r="Y224" i="9"/>
  <c r="AA219"/>
  <c r="W242" i="1"/>
  <c r="X242" s="1"/>
  <c r="Y117" i="8"/>
  <c r="Y289" i="9"/>
  <c r="Y324"/>
  <c r="X312" i="1"/>
  <c r="AG46" i="3"/>
  <c r="AH266" i="2"/>
  <c r="BK99" i="1"/>
  <c r="Y212" i="9"/>
  <c r="Y252"/>
  <c r="AW10"/>
  <c r="AX10" s="1"/>
  <c r="K359" i="1"/>
  <c r="DA359" s="1"/>
  <c r="DG359" s="1"/>
  <c r="J371"/>
  <c r="K371" s="1"/>
  <c r="Q371" s="1"/>
  <c r="S371" s="1"/>
  <c r="L58" i="10"/>
  <c r="L59" s="1"/>
  <c r="AG232" i="2"/>
  <c r="AF232" s="1"/>
  <c r="W298" i="1"/>
  <c r="X298" s="1"/>
  <c r="AG238" i="2"/>
  <c r="AF238" s="1"/>
  <c r="M358"/>
  <c r="Q358" s="1"/>
  <c r="L370"/>
  <c r="M370" s="1"/>
  <c r="Q370" s="1"/>
  <c r="AQ10" i="9"/>
  <c r="AA240" i="2"/>
  <c r="AG241"/>
  <c r="AF241" s="1"/>
  <c r="AG246"/>
  <c r="AH246" s="1"/>
  <c r="AG326"/>
  <c r="AF326" s="1"/>
  <c r="AA243"/>
  <c r="AG237" i="1"/>
  <c r="AF237" s="1"/>
  <c r="Z233" i="9"/>
  <c r="Y233" s="1"/>
  <c r="W233" i="1"/>
  <c r="X233" s="1"/>
  <c r="Y312" i="9"/>
  <c r="AH308" i="2"/>
  <c r="Y300" i="9"/>
  <c r="Y213"/>
  <c r="AA286"/>
  <c r="O357" i="1"/>
  <c r="N369"/>
  <c r="O369" s="1"/>
  <c r="R369" s="1"/>
  <c r="P356" i="2"/>
  <c r="R356" s="1"/>
  <c r="O368"/>
  <c r="P368" s="1"/>
  <c r="R368" s="1"/>
  <c r="O356" i="1"/>
  <c r="N368"/>
  <c r="O368" s="1"/>
  <c r="R368" s="1"/>
  <c r="M356" i="2"/>
  <c r="DA356" s="1"/>
  <c r="DG356" s="1"/>
  <c r="L368"/>
  <c r="M368" s="1"/>
  <c r="Q368" s="1"/>
  <c r="S368" s="1"/>
  <c r="P355"/>
  <c r="R355" s="1"/>
  <c r="O367"/>
  <c r="P367" s="1"/>
  <c r="R367" s="1"/>
  <c r="AB135" i="6"/>
  <c r="X288" i="1"/>
  <c r="AB122" i="6"/>
  <c r="AB107"/>
  <c r="X225" i="1"/>
  <c r="X231" i="2"/>
  <c r="Z298" i="9"/>
  <c r="AA298" s="1"/>
  <c r="W320" i="2"/>
  <c r="AG237"/>
  <c r="AF237" s="1"/>
  <c r="W238"/>
  <c r="X238" s="1"/>
  <c r="W232"/>
  <c r="X232" s="1"/>
  <c r="AH231" i="1"/>
  <c r="Z236" i="9"/>
  <c r="AA236" s="1"/>
  <c r="Z242"/>
  <c r="AA242" s="1"/>
  <c r="AG243" i="2"/>
  <c r="AF243" s="1"/>
  <c r="AA117" i="8"/>
  <c r="W240" i="2"/>
  <c r="X240" s="1"/>
  <c r="AA241"/>
  <c r="W241"/>
  <c r="X241" s="1"/>
  <c r="AA237" i="1"/>
  <c r="W237"/>
  <c r="X237" s="1"/>
  <c r="W246" i="2"/>
  <c r="X246" s="1"/>
  <c r="AH233" i="1"/>
  <c r="AG233"/>
  <c r="AF233" s="1"/>
  <c r="W326" i="2"/>
  <c r="X326" s="1"/>
  <c r="Z237" i="9"/>
  <c r="Y237" s="1"/>
  <c r="Y221"/>
  <c r="Y288"/>
  <c r="Y225"/>
  <c r="AB111" i="8"/>
  <c r="AA242" i="1"/>
  <c r="AH242"/>
  <c r="AA232" i="2"/>
  <c r="AG298" i="1"/>
  <c r="AF298" s="1"/>
  <c r="AH298"/>
  <c r="AA237" i="2"/>
  <c r="AH236" i="1"/>
  <c r="AG236"/>
  <c r="AF236" s="1"/>
  <c r="AA231"/>
  <c r="AA320" i="2"/>
  <c r="AH278"/>
  <c r="AA88" i="9"/>
  <c r="Y253"/>
  <c r="AP9" i="8"/>
  <c r="AW9" s="1"/>
  <c r="AX9" s="1"/>
  <c r="AB34"/>
  <c r="Y77"/>
  <c r="AB77"/>
  <c r="AA95"/>
  <c r="AB95"/>
  <c r="AB129" i="3"/>
  <c r="AD129" s="1"/>
  <c r="AE129" s="1"/>
  <c r="Z78" i="6"/>
  <c r="AB78" s="1"/>
  <c r="AB78" i="3"/>
  <c r="AD78" s="1"/>
  <c r="AF78" s="1"/>
  <c r="AG78" s="1"/>
  <c r="X218" i="2"/>
  <c r="X308"/>
  <c r="X302"/>
  <c r="X254"/>
  <c r="X260"/>
  <c r="X296"/>
  <c r="X224"/>
  <c r="X253" i="1"/>
  <c r="K354"/>
  <c r="DA354" s="1"/>
  <c r="DG354" s="1"/>
  <c r="J366"/>
  <c r="K366" s="1"/>
  <c r="Q366" s="1"/>
  <c r="S366" s="1"/>
  <c r="AH314" i="2"/>
  <c r="X230"/>
  <c r="AG320"/>
  <c r="AF320" s="1"/>
  <c r="W231" i="1"/>
  <c r="X277"/>
  <c r="X289"/>
  <c r="X217"/>
  <c r="X229"/>
  <c r="X236" i="2"/>
  <c r="X242"/>
  <c r="K353" i="1"/>
  <c r="J365"/>
  <c r="K365" s="1"/>
  <c r="Q365" s="1"/>
  <c r="Y313" i="9"/>
  <c r="X248" i="2"/>
  <c r="X314"/>
  <c r="Y265" i="9"/>
  <c r="Q344" i="2"/>
  <c r="S344" s="1"/>
  <c r="Z344" s="1"/>
  <c r="DA344"/>
  <c r="DG344" s="1"/>
  <c r="Q346"/>
  <c r="R350"/>
  <c r="S350" s="1"/>
  <c r="Z350" s="1"/>
  <c r="DA350"/>
  <c r="DG350" s="1"/>
  <c r="DA362"/>
  <c r="DG362" s="1"/>
  <c r="X284"/>
  <c r="Z243" i="1"/>
  <c r="Z249"/>
  <c r="Z248"/>
  <c r="Z245"/>
  <c r="Q347"/>
  <c r="S347" s="1"/>
  <c r="Z347" s="1"/>
  <c r="DA347"/>
  <c r="DG347" s="1"/>
  <c r="X276"/>
  <c r="X264"/>
  <c r="X265"/>
  <c r="Z254"/>
  <c r="Q348"/>
  <c r="S348" s="1"/>
  <c r="Z348" s="1"/>
  <c r="DA348"/>
  <c r="DG348" s="1"/>
  <c r="Q349"/>
  <c r="S349" s="1"/>
  <c r="Z349" s="1"/>
  <c r="DA349"/>
  <c r="DG349" s="1"/>
  <c r="Z255" i="2"/>
  <c r="Z252"/>
  <c r="Z249"/>
  <c r="Z244"/>
  <c r="AF242"/>
  <c r="AH254"/>
  <c r="AF290"/>
  <c r="AH290"/>
  <c r="Z253"/>
  <c r="Z250"/>
  <c r="Z258"/>
  <c r="AF248"/>
  <c r="AH260"/>
  <c r="AH248"/>
  <c r="AH284"/>
  <c r="AF284"/>
  <c r="Z310" i="1"/>
  <c r="AP13" i="9"/>
  <c r="AW13" s="1"/>
  <c r="AX13" s="1"/>
  <c r="BA322" i="3"/>
  <c r="BB310"/>
  <c r="BF310" s="1"/>
  <c r="Z100" i="9"/>
  <c r="AA100" s="1"/>
  <c r="AA100" i="3"/>
  <c r="AA78"/>
  <c r="Z97" i="6"/>
  <c r="AA34" i="8"/>
  <c r="Y34"/>
  <c r="Z129" i="6"/>
  <c r="S18" i="10"/>
  <c r="S19" s="1"/>
  <c r="S20" s="1"/>
  <c r="S21" s="1"/>
  <c r="S22" s="1"/>
  <c r="AF97" i="3"/>
  <c r="Q30" i="10"/>
  <c r="R30" s="1"/>
  <c r="X18"/>
  <c r="Q23"/>
  <c r="R23" s="1"/>
  <c r="X17"/>
  <c r="Y17" s="1"/>
  <c r="Q31"/>
  <c r="R31" s="1"/>
  <c r="X19"/>
  <c r="Q27"/>
  <c r="R27" s="1"/>
  <c r="Q29"/>
  <c r="R29" s="1"/>
  <c r="Q25"/>
  <c r="R25" s="1"/>
  <c r="AA97" i="3"/>
  <c r="AA129"/>
  <c r="X21" i="10"/>
  <c r="Q26"/>
  <c r="R26" s="1"/>
  <c r="L60"/>
  <c r="L61" s="1"/>
  <c r="L62" s="1"/>
  <c r="L63" s="1"/>
  <c r="L64" s="1"/>
  <c r="L65" s="1"/>
  <c r="L66" s="1"/>
  <c r="L67" s="1"/>
  <c r="L68" s="1"/>
  <c r="L69" s="1"/>
  <c r="Q24"/>
  <c r="R24" s="1"/>
  <c r="Q28"/>
  <c r="R28" s="1"/>
  <c r="Z58" i="6"/>
  <c r="AB58" s="1"/>
  <c r="AA58" i="3"/>
  <c r="K159" i="10"/>
  <c r="F159"/>
  <c r="J212"/>
  <c r="K136"/>
  <c r="F136"/>
  <c r="F213"/>
  <c r="S210" i="3"/>
  <c r="J210" i="10"/>
  <c r="S132" i="3"/>
  <c r="J132" i="10"/>
  <c r="K131"/>
  <c r="F131"/>
  <c r="S183" i="3"/>
  <c r="J183" i="10"/>
  <c r="S197" i="3"/>
  <c r="J197" i="10"/>
  <c r="S109" i="3"/>
  <c r="T109" s="1"/>
  <c r="W109" s="1"/>
  <c r="X109" s="1"/>
  <c r="Z109" s="1"/>
  <c r="Z72" i="6"/>
  <c r="AB72" s="1"/>
  <c r="AA72" i="3"/>
  <c r="K72" i="10"/>
  <c r="F72"/>
  <c r="Z60" i="8"/>
  <c r="AB60" s="1"/>
  <c r="AA60" i="6"/>
  <c r="Y60"/>
  <c r="J129" i="10"/>
  <c r="K129"/>
  <c r="AE85" i="3"/>
  <c r="AF85"/>
  <c r="AG85" s="1"/>
  <c r="S70"/>
  <c r="T70" s="1"/>
  <c r="W70" s="1"/>
  <c r="X70" s="1"/>
  <c r="Z70" s="1"/>
  <c r="J70" i="10"/>
  <c r="L82" i="3"/>
  <c r="P82" s="1"/>
  <c r="R82" s="1"/>
  <c r="D82" i="10"/>
  <c r="E82" s="1"/>
  <c r="K94" i="3"/>
  <c r="F70" i="10"/>
  <c r="W18"/>
  <c r="W19" s="1"/>
  <c r="W20" s="1"/>
  <c r="W21" s="1"/>
  <c r="K92"/>
  <c r="F92"/>
  <c r="K149"/>
  <c r="F149"/>
  <c r="S141" i="3"/>
  <c r="T141" s="1"/>
  <c r="W141" s="1"/>
  <c r="X141" s="1"/>
  <c r="Z141" s="1"/>
  <c r="K114" i="10"/>
  <c r="F114"/>
  <c r="K127"/>
  <c r="F127"/>
  <c r="F145"/>
  <c r="D84"/>
  <c r="E84" s="1"/>
  <c r="K96" i="3"/>
  <c r="L84"/>
  <c r="P84" s="1"/>
  <c r="R84" s="1"/>
  <c r="T84" s="1"/>
  <c r="W84" s="1"/>
  <c r="X84" s="1"/>
  <c r="Z84" s="1"/>
  <c r="AF60"/>
  <c r="AG60" s="1"/>
  <c r="AE60"/>
  <c r="Z85" i="8"/>
  <c r="AB85" s="1"/>
  <c r="AA85" i="6"/>
  <c r="Y85"/>
  <c r="U23" i="10"/>
  <c r="V23" s="1"/>
  <c r="H82"/>
  <c r="I82" s="1"/>
  <c r="U33"/>
  <c r="V33" s="1"/>
  <c r="U32"/>
  <c r="V32" s="1"/>
  <c r="U26"/>
  <c r="V26" s="1"/>
  <c r="U31"/>
  <c r="V31" s="1"/>
  <c r="U25"/>
  <c r="V25" s="1"/>
  <c r="U22"/>
  <c r="V22" s="1"/>
  <c r="X22" s="1"/>
  <c r="N94" i="3"/>
  <c r="U28" i="10"/>
  <c r="V28" s="1"/>
  <c r="U27"/>
  <c r="V27" s="1"/>
  <c r="U30"/>
  <c r="V30" s="1"/>
  <c r="U29"/>
  <c r="V29" s="1"/>
  <c r="X29" s="1"/>
  <c r="O82" i="3"/>
  <c r="U24" i="10"/>
  <c r="V24" s="1"/>
  <c r="J97"/>
  <c r="K97"/>
  <c r="X20"/>
  <c r="R90" i="3"/>
  <c r="T90" s="1"/>
  <c r="W90" s="1"/>
  <c r="X90" s="1"/>
  <c r="Z90" s="1"/>
  <c r="L213"/>
  <c r="P213" s="1"/>
  <c r="R213" s="1"/>
  <c r="K225"/>
  <c r="D225" i="10" s="1"/>
  <c r="E225" s="1"/>
  <c r="N156" i="3"/>
  <c r="H156" i="10" s="1"/>
  <c r="I156" s="1"/>
  <c r="O144" i="3"/>
  <c r="AA119"/>
  <c r="K143"/>
  <c r="D143" i="10" s="1"/>
  <c r="E143" s="1"/>
  <c r="L131" i="3"/>
  <c r="P131" s="1"/>
  <c r="R131" s="1"/>
  <c r="T131" s="1"/>
  <c r="W131" s="1"/>
  <c r="X131" s="1"/>
  <c r="Z131" s="1"/>
  <c r="AF107"/>
  <c r="AG107" s="1"/>
  <c r="AE107"/>
  <c r="P115"/>
  <c r="Q115"/>
  <c r="K139"/>
  <c r="D139" i="10" s="1"/>
  <c r="E139" s="1"/>
  <c r="L127" i="3"/>
  <c r="N207"/>
  <c r="H207" i="10" s="1"/>
  <c r="I207" s="1"/>
  <c r="O195" i="3"/>
  <c r="N133"/>
  <c r="H133" i="10" s="1"/>
  <c r="I133" s="1"/>
  <c r="O121" i="3"/>
  <c r="Q32" i="10"/>
  <c r="R32" s="1"/>
  <c r="Q33"/>
  <c r="R33" s="1"/>
  <c r="P124" i="3"/>
  <c r="Q124"/>
  <c r="K148"/>
  <c r="D148" i="10" s="1"/>
  <c r="E148" s="1"/>
  <c r="L136" i="3"/>
  <c r="N165"/>
  <c r="H165" i="10" s="1"/>
  <c r="I165" s="1"/>
  <c r="O153" i="3"/>
  <c r="N234"/>
  <c r="H234" i="10" s="1"/>
  <c r="I234" s="1"/>
  <c r="O222" i="3"/>
  <c r="P102"/>
  <c r="Q102"/>
  <c r="K126"/>
  <c r="D126" i="10" s="1"/>
  <c r="E126" s="1"/>
  <c r="L114" i="3"/>
  <c r="Z91" i="6"/>
  <c r="AB91" s="1"/>
  <c r="AA91" i="3"/>
  <c r="K157"/>
  <c r="D157" i="10" s="1"/>
  <c r="E157" s="1"/>
  <c r="L145" i="3"/>
  <c r="P145" s="1"/>
  <c r="R145" s="1"/>
  <c r="N221"/>
  <c r="H221" i="10" s="1"/>
  <c r="I221" s="1"/>
  <c r="O209" i="3"/>
  <c r="R112"/>
  <c r="T112" s="1"/>
  <c r="W112" s="1"/>
  <c r="X112" s="1"/>
  <c r="Z112" s="1"/>
  <c r="R103"/>
  <c r="T103" s="1"/>
  <c r="W103" s="1"/>
  <c r="X103" s="1"/>
  <c r="Z103" s="1"/>
  <c r="AA89" i="8"/>
  <c r="Y89"/>
  <c r="AA101"/>
  <c r="Y101"/>
  <c r="BB328" i="3"/>
  <c r="BF328" s="1"/>
  <c r="BA340"/>
  <c r="BB326"/>
  <c r="BF326" s="1"/>
  <c r="BA338"/>
  <c r="BG325" i="1"/>
  <c r="BJ325" s="1"/>
  <c r="BF337"/>
  <c r="BB324" i="3"/>
  <c r="BF324" s="1"/>
  <c r="BA336"/>
  <c r="BB323"/>
  <c r="BF323" s="1"/>
  <c r="BA335"/>
  <c r="BB323" i="2"/>
  <c r="BH323" s="1"/>
  <c r="BA335"/>
  <c r="BG323" i="1"/>
  <c r="BJ323" s="1"/>
  <c r="BF335"/>
  <c r="K322"/>
  <c r="Q322" s="1"/>
  <c r="S322" s="1"/>
  <c r="J334"/>
  <c r="BB322" i="2"/>
  <c r="BH322" s="1"/>
  <c r="BA334"/>
  <c r="BG321" i="1"/>
  <c r="BJ321" s="1"/>
  <c r="BF333"/>
  <c r="BG320"/>
  <c r="BJ320" s="1"/>
  <c r="BF332"/>
  <c r="BB320" i="3"/>
  <c r="BF320" s="1"/>
  <c r="BA332"/>
  <c r="BF317" i="2"/>
  <c r="BI317" s="1"/>
  <c r="BE329"/>
  <c r="AY317" i="3"/>
  <c r="BC317" s="1"/>
  <c r="AX329"/>
  <c r="BE212"/>
  <c r="BG212" s="1"/>
  <c r="BA295" i="2"/>
  <c r="BB283"/>
  <c r="BH283" s="1"/>
  <c r="BK283" s="1"/>
  <c r="BG283" i="1"/>
  <c r="BJ283" s="1"/>
  <c r="BK283" s="1"/>
  <c r="BF295"/>
  <c r="AY255" i="3"/>
  <c r="AX267"/>
  <c r="BF255" i="2"/>
  <c r="BI255" s="1"/>
  <c r="BK255" s="1"/>
  <c r="BE267"/>
  <c r="AX254" i="3"/>
  <c r="AY242"/>
  <c r="BC242" s="1"/>
  <c r="BE242" s="1"/>
  <c r="BG242" s="1"/>
  <c r="AX252"/>
  <c r="AY240"/>
  <c r="BC240" s="1"/>
  <c r="BE240" s="1"/>
  <c r="BG240" s="1"/>
  <c r="BE252" i="2"/>
  <c r="BF240"/>
  <c r="BI240" s="1"/>
  <c r="BC252" i="1"/>
  <c r="BI252" s="1"/>
  <c r="BB264"/>
  <c r="AX251" i="3"/>
  <c r="AY239"/>
  <c r="BC239" s="1"/>
  <c r="BE239" s="1"/>
  <c r="BG239" s="1"/>
  <c r="BE251" i="2"/>
  <c r="BF239"/>
  <c r="BI239" s="1"/>
  <c r="BK239" s="1"/>
  <c r="BB251" i="1"/>
  <c r="BC239"/>
  <c r="BI239" s="1"/>
  <c r="BK239" s="1"/>
  <c r="AY238" i="3"/>
  <c r="BC238" s="1"/>
  <c r="BE238" s="1"/>
  <c r="BG238" s="1"/>
  <c r="AX250"/>
  <c r="BE250" i="2"/>
  <c r="BF238"/>
  <c r="BI238" s="1"/>
  <c r="BK238" s="1"/>
  <c r="AX248" i="3"/>
  <c r="AY236"/>
  <c r="BA245"/>
  <c r="BB233"/>
  <c r="BF233" s="1"/>
  <c r="BG233" s="1"/>
  <c r="BE231"/>
  <c r="BG231" s="1"/>
  <c r="BG282" i="1"/>
  <c r="BJ282" s="1"/>
  <c r="BK282" s="1"/>
  <c r="BF294"/>
  <c r="BC243" i="3"/>
  <c r="BD243"/>
  <c r="BE273" i="2"/>
  <c r="BF261"/>
  <c r="BI261" s="1"/>
  <c r="BC224" i="3"/>
  <c r="BD224"/>
  <c r="AA113"/>
  <c r="BA308" i="2"/>
  <c r="BB296"/>
  <c r="BH296" s="1"/>
  <c r="BE184"/>
  <c r="BF172"/>
  <c r="BI172" s="1"/>
  <c r="BB124" i="1"/>
  <c r="BC112"/>
  <c r="BI112" s="1"/>
  <c r="BA172" i="2"/>
  <c r="BB160"/>
  <c r="BH160" s="1"/>
  <c r="BK160" s="1"/>
  <c r="BF124" i="1"/>
  <c r="BG112"/>
  <c r="BJ112" s="1"/>
  <c r="BK112" s="1"/>
  <c r="Z113" i="6"/>
  <c r="BK100" i="1"/>
  <c r="BF123"/>
  <c r="BG111"/>
  <c r="BJ111" s="1"/>
  <c r="BA145" i="2"/>
  <c r="BB133"/>
  <c r="BH133" s="1"/>
  <c r="BK133" s="1"/>
  <c r="BA156"/>
  <c r="BB144"/>
  <c r="BH144" s="1"/>
  <c r="BK144" s="1"/>
  <c r="BB123" i="1"/>
  <c r="BC111"/>
  <c r="BI111" s="1"/>
  <c r="AX145" i="3"/>
  <c r="AY133"/>
  <c r="BC133" s="1"/>
  <c r="BE133" s="1"/>
  <c r="BG133" s="1"/>
  <c r="BB121" i="1"/>
  <c r="BC109"/>
  <c r="BI109" s="1"/>
  <c r="BK109" s="1"/>
  <c r="Y110" i="8"/>
  <c r="AA110"/>
  <c r="BB128" i="1"/>
  <c r="BC116"/>
  <c r="BI116" s="1"/>
  <c r="BK116" s="1"/>
  <c r="R125" i="3"/>
  <c r="T125" s="1"/>
  <c r="W125" s="1"/>
  <c r="X125" s="1"/>
  <c r="Z125" s="1"/>
  <c r="Z119" i="6"/>
  <c r="AG119" i="2"/>
  <c r="W119"/>
  <c r="AM16"/>
  <c r="AA119"/>
  <c r="P80" i="3"/>
  <c r="Q80"/>
  <c r="Z100" i="6"/>
  <c r="AB100" s="1"/>
  <c r="W100" i="1"/>
  <c r="X100" s="1"/>
  <c r="AN14"/>
  <c r="AG100"/>
  <c r="AF100" s="1"/>
  <c r="AA100"/>
  <c r="P137" i="3"/>
  <c r="Q137"/>
  <c r="Z56" i="6"/>
  <c r="AB56" s="1"/>
  <c r="AK11" i="3"/>
  <c r="AA56"/>
  <c r="Z88" i="8"/>
  <c r="AB88" s="1"/>
  <c r="AA88" i="6"/>
  <c r="Y88"/>
  <c r="Y95" i="8"/>
  <c r="R68" i="3"/>
  <c r="T68" s="1"/>
  <c r="W68" s="1"/>
  <c r="X68" s="1"/>
  <c r="Z68" s="1"/>
  <c r="O143" i="2"/>
  <c r="P131"/>
  <c r="R131" s="1"/>
  <c r="S131" s="1"/>
  <c r="Z131" s="1"/>
  <c r="K104" i="3"/>
  <c r="D104" i="10" s="1"/>
  <c r="E104" s="1"/>
  <c r="L92" i="3"/>
  <c r="N124" i="1"/>
  <c r="O112"/>
  <c r="R112" s="1"/>
  <c r="S112" s="1"/>
  <c r="Z112" s="1"/>
  <c r="L155" i="2"/>
  <c r="M143"/>
  <c r="Q143" s="1"/>
  <c r="K161" i="3"/>
  <c r="D161" i="10" s="1"/>
  <c r="E161" s="1"/>
  <c r="L149" i="3"/>
  <c r="AT13" i="1"/>
  <c r="AU13" s="1"/>
  <c r="AO13"/>
  <c r="AN15" i="2"/>
  <c r="AS15"/>
  <c r="Z107" i="8"/>
  <c r="AB107" s="1"/>
  <c r="AA107" i="6"/>
  <c r="Y107"/>
  <c r="BA177" i="2"/>
  <c r="BB165"/>
  <c r="BH165" s="1"/>
  <c r="BK165" s="1"/>
  <c r="BB117" i="1"/>
  <c r="BC105"/>
  <c r="BI105" s="1"/>
  <c r="BK105" s="1"/>
  <c r="S256" i="2"/>
  <c r="Z147" i="6"/>
  <c r="AA147" i="3"/>
  <c r="AF135"/>
  <c r="AG135" s="1"/>
  <c r="AE135"/>
  <c r="Z135" i="8"/>
  <c r="AB135" s="1"/>
  <c r="AA135" i="6"/>
  <c r="Y135"/>
  <c r="BE293" i="3"/>
  <c r="BE78"/>
  <c r="BG78" s="1"/>
  <c r="BK90" i="2"/>
  <c r="Z122" i="8"/>
  <c r="AB122" s="1"/>
  <c r="AA122" i="6"/>
  <c r="Y122"/>
  <c r="BC245" i="1"/>
  <c r="BI245" s="1"/>
  <c r="BK245" s="1"/>
  <c r="BB257"/>
  <c r="K171" i="3"/>
  <c r="D171" i="10" s="1"/>
  <c r="E171" s="1"/>
  <c r="L159" i="3"/>
  <c r="P159" s="1"/>
  <c r="R159" s="1"/>
  <c r="T159" s="1"/>
  <c r="W159" s="1"/>
  <c r="X159" s="1"/>
  <c r="Z159" s="1"/>
  <c r="AY304"/>
  <c r="AX316"/>
  <c r="BB170" i="1"/>
  <c r="BC158"/>
  <c r="BI158" s="1"/>
  <c r="BK158" s="1"/>
  <c r="AX129" i="3"/>
  <c r="AY117"/>
  <c r="BC117" s="1"/>
  <c r="BE117" s="1"/>
  <c r="BE140" i="2"/>
  <c r="BF128"/>
  <c r="BI128" s="1"/>
  <c r="BK128" s="1"/>
  <c r="AX114" i="3"/>
  <c r="AY102"/>
  <c r="BE114" i="2"/>
  <c r="BF102"/>
  <c r="BI102" s="1"/>
  <c r="O276"/>
  <c r="P264"/>
  <c r="R264" s="1"/>
  <c r="S264" s="1"/>
  <c r="Z264" s="1"/>
  <c r="L273"/>
  <c r="M261"/>
  <c r="Q261" s="1"/>
  <c r="S261" s="1"/>
  <c r="L199"/>
  <c r="M187"/>
  <c r="Q187" s="1"/>
  <c r="S187" s="1"/>
  <c r="Z187" s="1"/>
  <c r="O197"/>
  <c r="P185"/>
  <c r="R185" s="1"/>
  <c r="S185" s="1"/>
  <c r="Z185" s="1"/>
  <c r="BA233"/>
  <c r="BB221"/>
  <c r="BH221" s="1"/>
  <c r="BK221" s="1"/>
  <c r="L277"/>
  <c r="M265"/>
  <c r="Q265" s="1"/>
  <c r="S265" s="1"/>
  <c r="Z265" s="1"/>
  <c r="O274"/>
  <c r="P262"/>
  <c r="R262" s="1"/>
  <c r="S262" s="1"/>
  <c r="J273" i="1"/>
  <c r="K261"/>
  <c r="Q261" s="1"/>
  <c r="S261" s="1"/>
  <c r="J272"/>
  <c r="K260"/>
  <c r="Q260" s="1"/>
  <c r="S260" s="1"/>
  <c r="L282" i="2"/>
  <c r="M270"/>
  <c r="Q270" s="1"/>
  <c r="S270" s="1"/>
  <c r="N269" i="1"/>
  <c r="O257"/>
  <c r="R257" s="1"/>
  <c r="S257" s="1"/>
  <c r="L269" i="2"/>
  <c r="M257"/>
  <c r="Q257" s="1"/>
  <c r="BE280" i="3"/>
  <c r="BG280" s="1"/>
  <c r="BA146" i="2"/>
  <c r="BB134"/>
  <c r="BH134" s="1"/>
  <c r="BK134" s="1"/>
  <c r="BF132" i="1"/>
  <c r="BG120"/>
  <c r="BJ120" s="1"/>
  <c r="BK120" s="1"/>
  <c r="BF118"/>
  <c r="BG106"/>
  <c r="BJ106" s="1"/>
  <c r="BK106" s="1"/>
  <c r="BA117" i="3"/>
  <c r="BB105"/>
  <c r="BF105" s="1"/>
  <c r="BG105" s="1"/>
  <c r="BA151"/>
  <c r="BB139"/>
  <c r="BF139" s="1"/>
  <c r="BG139" s="1"/>
  <c r="BA162"/>
  <c r="BB150"/>
  <c r="BF150" s="1"/>
  <c r="BA114" i="2"/>
  <c r="BB102"/>
  <c r="BH102" s="1"/>
  <c r="BC292" i="3"/>
  <c r="BD292"/>
  <c r="BD90"/>
  <c r="BC90"/>
  <c r="AG175" i="2"/>
  <c r="AF175" s="1"/>
  <c r="W175"/>
  <c r="X175" s="1"/>
  <c r="AA175"/>
  <c r="AG173"/>
  <c r="AF173" s="1"/>
  <c r="AA173"/>
  <c r="W173"/>
  <c r="X173" s="1"/>
  <c r="BD305" i="3"/>
  <c r="BC305"/>
  <c r="J279" i="1"/>
  <c r="K267"/>
  <c r="Q267" s="1"/>
  <c r="O280" i="2"/>
  <c r="P268"/>
  <c r="R268" s="1"/>
  <c r="J280" i="1"/>
  <c r="K268"/>
  <c r="Q268" s="1"/>
  <c r="N279"/>
  <c r="O267"/>
  <c r="R267" s="1"/>
  <c r="O279" i="2"/>
  <c r="P267"/>
  <c r="R267" s="1"/>
  <c r="S267" s="1"/>
  <c r="N278" i="1"/>
  <c r="O266"/>
  <c r="R266" s="1"/>
  <c r="S266" s="1"/>
  <c r="L280" i="2"/>
  <c r="M268"/>
  <c r="Q268" s="1"/>
  <c r="S255" i="1"/>
  <c r="AF122" i="3" l="1"/>
  <c r="AG122" s="1"/>
  <c r="F146" i="10"/>
  <c r="L146" i="3"/>
  <c r="P146" s="1"/>
  <c r="R146" s="1"/>
  <c r="T146" s="1"/>
  <c r="W146" s="1"/>
  <c r="X146" s="1"/>
  <c r="Z146" s="1"/>
  <c r="AA245" i="1"/>
  <c r="AF100" i="3"/>
  <c r="AG100" s="1"/>
  <c r="AB68"/>
  <c r="AD68" s="1"/>
  <c r="AB134"/>
  <c r="AD134" s="1"/>
  <c r="AB146"/>
  <c r="AD146" s="1"/>
  <c r="AB185" i="2"/>
  <c r="AB112" i="3"/>
  <c r="AD112" s="1"/>
  <c r="AB131"/>
  <c r="AD131" s="1"/>
  <c r="AB90"/>
  <c r="AD90" s="1"/>
  <c r="AF90" s="1"/>
  <c r="AG90" s="1"/>
  <c r="AB84"/>
  <c r="AD84" s="1"/>
  <c r="AB187" i="2"/>
  <c r="W374"/>
  <c r="AG374"/>
  <c r="AF374" s="1"/>
  <c r="AA374"/>
  <c r="DA361" i="1"/>
  <c r="DG361" s="1"/>
  <c r="AB159" i="3"/>
  <c r="AD159" s="1"/>
  <c r="AB112" i="1"/>
  <c r="AB112" i="9" s="1"/>
  <c r="AB131" i="2"/>
  <c r="AB125" i="3"/>
  <c r="AD125" s="1"/>
  <c r="AF125" s="1"/>
  <c r="AB103"/>
  <c r="AD103" s="1"/>
  <c r="AB70"/>
  <c r="AD70" s="1"/>
  <c r="AB109"/>
  <c r="AD109" s="1"/>
  <c r="AE109" s="1"/>
  <c r="AA123" i="8"/>
  <c r="AB123"/>
  <c r="AX10" i="6"/>
  <c r="Z373" i="9"/>
  <c r="AA373" s="1"/>
  <c r="AF129" i="3"/>
  <c r="AG129" s="1"/>
  <c r="Q356" i="2"/>
  <c r="S356" s="1"/>
  <c r="AA248" i="1"/>
  <c r="O224" i="3"/>
  <c r="N236"/>
  <c r="H236" i="10" s="1"/>
  <c r="I236" s="1"/>
  <c r="AE78" i="3"/>
  <c r="X28" i="10"/>
  <c r="X31"/>
  <c r="W250" i="2"/>
  <c r="X250" s="1"/>
  <c r="AG243" i="1"/>
  <c r="AF243" s="1"/>
  <c r="Y242" i="9"/>
  <c r="AA231"/>
  <c r="S372" i="1"/>
  <c r="Z372" s="1"/>
  <c r="K158" i="3"/>
  <c r="D158" i="10" s="1"/>
  <c r="E158" s="1"/>
  <c r="K158" s="1"/>
  <c r="S23"/>
  <c r="S24" s="1"/>
  <c r="S25" s="1"/>
  <c r="S26" s="1"/>
  <c r="S27" s="1"/>
  <c r="S28" s="1"/>
  <c r="S29" s="1"/>
  <c r="S30" s="1"/>
  <c r="S31" s="1"/>
  <c r="S32" s="1"/>
  <c r="S33" s="1"/>
  <c r="X24"/>
  <c r="DA360" i="1"/>
  <c r="DG360" s="1"/>
  <c r="W373"/>
  <c r="AA373"/>
  <c r="AG373"/>
  <c r="AF373" s="1"/>
  <c r="AF246" i="2"/>
  <c r="Z310" i="9"/>
  <c r="AA310" s="1"/>
  <c r="W253" i="2"/>
  <c r="X253" s="1"/>
  <c r="AG255"/>
  <c r="AF255" s="1"/>
  <c r="AQ13" i="9"/>
  <c r="AG258" i="2"/>
  <c r="AF258" s="1"/>
  <c r="W249"/>
  <c r="X249" s="1"/>
  <c r="AG254" i="1"/>
  <c r="AF254" s="1"/>
  <c r="Z248" i="9"/>
  <c r="Y248" s="1"/>
  <c r="AG250" i="2"/>
  <c r="AF250" s="1"/>
  <c r="AG249" i="1"/>
  <c r="AF249" s="1"/>
  <c r="AA252" i="2"/>
  <c r="Z243" i="9"/>
  <c r="Y243" s="1"/>
  <c r="AA253" i="2"/>
  <c r="AG252"/>
  <c r="AF252" s="1"/>
  <c r="AA244"/>
  <c r="Z245" i="9"/>
  <c r="AA245" s="1"/>
  <c r="W255" i="2"/>
  <c r="X255" s="1"/>
  <c r="W248" i="1"/>
  <c r="X248" s="1"/>
  <c r="AH326" i="2"/>
  <c r="Y236" i="9"/>
  <c r="AH254" i="1"/>
  <c r="AH245"/>
  <c r="AA249" i="2"/>
  <c r="Z134" i="6"/>
  <c r="AA134" i="3"/>
  <c r="W244" i="2"/>
  <c r="X244" s="1"/>
  <c r="W258"/>
  <c r="X258" s="1"/>
  <c r="AG249"/>
  <c r="AF249" s="1"/>
  <c r="AA243" i="1"/>
  <c r="BD317" i="3"/>
  <c r="BE317" s="1"/>
  <c r="W249" i="1"/>
  <c r="X249" s="1"/>
  <c r="Y100" i="9"/>
  <c r="Z249"/>
  <c r="Y249" s="1"/>
  <c r="X26" i="10"/>
  <c r="AA109" i="3"/>
  <c r="AX11" i="9"/>
  <c r="AA233"/>
  <c r="AA237"/>
  <c r="Z109" i="6"/>
  <c r="Y78"/>
  <c r="Q37" i="10"/>
  <c r="R37" s="1"/>
  <c r="AA255" i="2"/>
  <c r="AH243" i="1"/>
  <c r="W243"/>
  <c r="X243" s="1"/>
  <c r="AH248"/>
  <c r="AG248"/>
  <c r="AF248" s="1"/>
  <c r="AA250" i="2"/>
  <c r="AG310" i="1"/>
  <c r="AF310" s="1"/>
  <c r="AA258" i="2"/>
  <c r="AG253"/>
  <c r="AF253" s="1"/>
  <c r="AG244"/>
  <c r="AF244" s="1"/>
  <c r="W252"/>
  <c r="X252" s="1"/>
  <c r="Z254" i="9"/>
  <c r="AA254" s="1"/>
  <c r="W245" i="1"/>
  <c r="X245" s="1"/>
  <c r="AA249"/>
  <c r="AA254"/>
  <c r="W254"/>
  <c r="X254" s="1"/>
  <c r="AG245"/>
  <c r="AF245" s="1"/>
  <c r="AH249"/>
  <c r="W310"/>
  <c r="X310" s="1"/>
  <c r="AH310"/>
  <c r="AX10" i="8"/>
  <c r="AQ9"/>
  <c r="AP14" i="9"/>
  <c r="AQ14" s="1"/>
  <c r="Y298"/>
  <c r="AA78" i="6"/>
  <c r="Z78" i="8"/>
  <c r="AB78" s="1"/>
  <c r="AB119" i="6"/>
  <c r="X320" i="2"/>
  <c r="AB147" i="6"/>
  <c r="AB113"/>
  <c r="AB129"/>
  <c r="AQ10" i="8"/>
  <c r="Z97"/>
  <c r="AB97" s="1"/>
  <c r="AB97" i="6"/>
  <c r="AB141" i="3"/>
  <c r="AD141" s="1"/>
  <c r="AE141" s="1"/>
  <c r="Z129" i="8"/>
  <c r="AB129" s="1"/>
  <c r="AA310" i="1"/>
  <c r="X231"/>
  <c r="Y97" i="6"/>
  <c r="AH320" i="2"/>
  <c r="AG350"/>
  <c r="AF350" s="1"/>
  <c r="AA129" i="6"/>
  <c r="W344" i="2"/>
  <c r="AG344"/>
  <c r="AF344" s="1"/>
  <c r="AA344"/>
  <c r="AA350"/>
  <c r="AA349" i="1"/>
  <c r="AG349"/>
  <c r="AF349" s="1"/>
  <c r="Z349" i="9"/>
  <c r="AA349" s="1"/>
  <c r="W349" i="1"/>
  <c r="W350" i="2"/>
  <c r="Z347" i="9"/>
  <c r="AA347" s="1"/>
  <c r="AA347" i="1"/>
  <c r="AG347"/>
  <c r="AF347" s="1"/>
  <c r="W347"/>
  <c r="Z348" i="9"/>
  <c r="AA348" s="1"/>
  <c r="W348" i="1"/>
  <c r="AG348"/>
  <c r="AF348" s="1"/>
  <c r="AA348"/>
  <c r="Z255"/>
  <c r="Z266"/>
  <c r="Z257"/>
  <c r="Z260"/>
  <c r="Z261"/>
  <c r="Z267" i="2"/>
  <c r="Z270"/>
  <c r="Z262"/>
  <c r="Z261"/>
  <c r="Z256"/>
  <c r="Z322" i="1"/>
  <c r="Y129" i="6"/>
  <c r="Q40" i="10"/>
  <c r="R40" s="1"/>
  <c r="AG97" i="3"/>
  <c r="AA97" i="6"/>
  <c r="BB322" i="3"/>
  <c r="BF322" s="1"/>
  <c r="BA334"/>
  <c r="X27" i="10"/>
  <c r="X23"/>
  <c r="Y18"/>
  <c r="Y19" s="1"/>
  <c r="Y20" s="1"/>
  <c r="Y21" s="1"/>
  <c r="Y22" s="1"/>
  <c r="X32"/>
  <c r="Z112" i="9"/>
  <c r="Y112" s="1"/>
  <c r="Z90" i="6"/>
  <c r="Z90" i="8" s="1"/>
  <c r="AA141" i="3"/>
  <c r="Z141" i="6"/>
  <c r="X30" i="10"/>
  <c r="Q43"/>
  <c r="R43" s="1"/>
  <c r="Q41"/>
  <c r="R41" s="1"/>
  <c r="Q42"/>
  <c r="R42" s="1"/>
  <c r="Q39"/>
  <c r="R39" s="1"/>
  <c r="Q36"/>
  <c r="R36" s="1"/>
  <c r="Q34"/>
  <c r="R34" s="1"/>
  <c r="Q38"/>
  <c r="R38" s="1"/>
  <c r="Q35"/>
  <c r="R35" s="1"/>
  <c r="X25"/>
  <c r="X33"/>
  <c r="S224" i="3"/>
  <c r="J224" i="10"/>
  <c r="S209" i="3"/>
  <c r="J209" i="10"/>
  <c r="K148"/>
  <c r="F148"/>
  <c r="S195" i="3"/>
  <c r="J195" i="10"/>
  <c r="F225"/>
  <c r="Z70" i="6"/>
  <c r="AB70" s="1"/>
  <c r="AA70" i="3"/>
  <c r="U34" i="10"/>
  <c r="V34" s="1"/>
  <c r="H94"/>
  <c r="I94" s="1"/>
  <c r="U36"/>
  <c r="V36" s="1"/>
  <c r="N106" i="3"/>
  <c r="U42" i="10"/>
  <c r="V42" s="1"/>
  <c r="U39"/>
  <c r="V39" s="1"/>
  <c r="U40"/>
  <c r="V40" s="1"/>
  <c r="U38"/>
  <c r="V38" s="1"/>
  <c r="O94" i="3"/>
  <c r="U35" i="10"/>
  <c r="V35" s="1"/>
  <c r="U45"/>
  <c r="V45" s="1"/>
  <c r="U44"/>
  <c r="V44" s="1"/>
  <c r="U37"/>
  <c r="V37" s="1"/>
  <c r="U43"/>
  <c r="V43" s="1"/>
  <c r="U41"/>
  <c r="V41" s="1"/>
  <c r="Z84" i="6"/>
  <c r="AB84" s="1"/>
  <c r="AA84" i="3"/>
  <c r="F84" i="10"/>
  <c r="K84"/>
  <c r="D94"/>
  <c r="E94" s="1"/>
  <c r="K106" i="3"/>
  <c r="L94"/>
  <c r="P94" s="1"/>
  <c r="R94" s="1"/>
  <c r="AF72"/>
  <c r="AG72" s="1"/>
  <c r="AE72"/>
  <c r="Z72" i="8"/>
  <c r="AB72" s="1"/>
  <c r="AA72" i="6"/>
  <c r="Y72"/>
  <c r="AA58"/>
  <c r="Z58" i="8"/>
  <c r="AB58" s="1"/>
  <c r="Y58" i="6"/>
  <c r="K70" i="10"/>
  <c r="L70" s="1"/>
  <c r="L71" s="1"/>
  <c r="L72" s="1"/>
  <c r="L73" s="1"/>
  <c r="L74" s="1"/>
  <c r="L75" s="1"/>
  <c r="L76" s="1"/>
  <c r="L77" s="1"/>
  <c r="L78" s="1"/>
  <c r="L79" s="1"/>
  <c r="L80" s="1"/>
  <c r="L81" s="1"/>
  <c r="K171"/>
  <c r="F171"/>
  <c r="K161"/>
  <c r="F161"/>
  <c r="K104"/>
  <c r="F104"/>
  <c r="F157"/>
  <c r="K126"/>
  <c r="F126"/>
  <c r="S222" i="3"/>
  <c r="J222" i="10"/>
  <c r="S153" i="3"/>
  <c r="T153" s="1"/>
  <c r="W153" s="1"/>
  <c r="X153" s="1"/>
  <c r="Z153" s="1"/>
  <c r="S121"/>
  <c r="T121" s="1"/>
  <c r="W121" s="1"/>
  <c r="X121" s="1"/>
  <c r="Z121" s="1"/>
  <c r="K139" i="10"/>
  <c r="F139"/>
  <c r="K143"/>
  <c r="F143"/>
  <c r="S144" i="3"/>
  <c r="J144" i="10"/>
  <c r="S82" i="3"/>
  <c r="T82" s="1"/>
  <c r="W82" s="1"/>
  <c r="X82" s="1"/>
  <c r="Z82" s="1"/>
  <c r="J82" i="10"/>
  <c r="Y85" i="8"/>
  <c r="AA85"/>
  <c r="D96" i="10"/>
  <c r="E96" s="1"/>
  <c r="L96" i="3"/>
  <c r="P96" s="1"/>
  <c r="R96" s="1"/>
  <c r="T96" s="1"/>
  <c r="W96" s="1"/>
  <c r="X96" s="1"/>
  <c r="Z96" s="1"/>
  <c r="K108"/>
  <c r="Q51" i="10" s="1"/>
  <c r="R51" s="1"/>
  <c r="J141"/>
  <c r="K141"/>
  <c r="F82"/>
  <c r="AA60" i="8"/>
  <c r="Y60"/>
  <c r="J109" i="10"/>
  <c r="K109"/>
  <c r="AF58" i="3"/>
  <c r="AG58" s="1"/>
  <c r="AE58"/>
  <c r="W22" i="10"/>
  <c r="W23" s="1"/>
  <c r="W24" s="1"/>
  <c r="W25" s="1"/>
  <c r="W26" s="1"/>
  <c r="W27" s="1"/>
  <c r="W28" s="1"/>
  <c r="W29" s="1"/>
  <c r="W30" s="1"/>
  <c r="W31" s="1"/>
  <c r="W32" s="1"/>
  <c r="W33" s="1"/>
  <c r="BB340" i="3"/>
  <c r="BF340" s="1"/>
  <c r="BA352"/>
  <c r="BB338"/>
  <c r="BF338" s="1"/>
  <c r="BA350"/>
  <c r="R124"/>
  <c r="T124" s="1"/>
  <c r="W124" s="1"/>
  <c r="X124" s="1"/>
  <c r="Z124" s="1"/>
  <c r="AA90"/>
  <c r="R115"/>
  <c r="T115" s="1"/>
  <c r="W115" s="1"/>
  <c r="X115" s="1"/>
  <c r="Z115" s="1"/>
  <c r="Z103" i="6"/>
  <c r="AA103" i="3"/>
  <c r="AA112"/>
  <c r="K169"/>
  <c r="D169" i="10" s="1"/>
  <c r="E169" s="1"/>
  <c r="L157" i="3"/>
  <c r="P157" s="1"/>
  <c r="R157" s="1"/>
  <c r="Z91" i="8"/>
  <c r="AB91" s="1"/>
  <c r="Y91" i="6"/>
  <c r="AA91"/>
  <c r="P114" i="3"/>
  <c r="Q114"/>
  <c r="K138"/>
  <c r="D138" i="10" s="1"/>
  <c r="E138" s="1"/>
  <c r="L126" i="3"/>
  <c r="N177"/>
  <c r="H177" i="10" s="1"/>
  <c r="I177" s="1"/>
  <c r="O165" i="3"/>
  <c r="P136"/>
  <c r="Q136"/>
  <c r="K160"/>
  <c r="D160" i="10" s="1"/>
  <c r="E160" s="1"/>
  <c r="L148" i="3"/>
  <c r="N145"/>
  <c r="H145" i="10" s="1"/>
  <c r="I145" s="1"/>
  <c r="O133" i="3"/>
  <c r="P127"/>
  <c r="Q127"/>
  <c r="K151"/>
  <c r="D151" i="10" s="1"/>
  <c r="E151" s="1"/>
  <c r="L139" i="3"/>
  <c r="K237"/>
  <c r="D237" i="10" s="1"/>
  <c r="E237" s="1"/>
  <c r="L225" i="3"/>
  <c r="P225" s="1"/>
  <c r="R225" s="1"/>
  <c r="R102"/>
  <c r="T102" s="1"/>
  <c r="W102" s="1"/>
  <c r="X102" s="1"/>
  <c r="Z102" s="1"/>
  <c r="Q44" i="10"/>
  <c r="R44" s="1"/>
  <c r="Q45"/>
  <c r="R45" s="1"/>
  <c r="N233" i="3"/>
  <c r="H233" i="10" s="1"/>
  <c r="I233" s="1"/>
  <c r="O221" i="3"/>
  <c r="AF91"/>
  <c r="AG91" s="1"/>
  <c r="AE91"/>
  <c r="N246"/>
  <c r="H246" i="10" s="1"/>
  <c r="I246" s="1"/>
  <c r="O234" i="3"/>
  <c r="N219"/>
  <c r="H219" i="10" s="1"/>
  <c r="I219" s="1"/>
  <c r="O207" i="3"/>
  <c r="AA131"/>
  <c r="K155"/>
  <c r="D155" i="10" s="1"/>
  <c r="E155" s="1"/>
  <c r="L143" i="3"/>
  <c r="P143" s="1"/>
  <c r="R143" s="1"/>
  <c r="T143" s="1"/>
  <c r="W143" s="1"/>
  <c r="X143" s="1"/>
  <c r="Z143" s="1"/>
  <c r="AE119"/>
  <c r="AF119"/>
  <c r="AG119" s="1"/>
  <c r="N168"/>
  <c r="H168" i="10" s="1"/>
  <c r="I168" s="1"/>
  <c r="O156" i="3"/>
  <c r="S268" i="2"/>
  <c r="BG337" i="1"/>
  <c r="BF349"/>
  <c r="BB336" i="3"/>
  <c r="BF336" s="1"/>
  <c r="BA348"/>
  <c r="BG335" i="1"/>
  <c r="BF347"/>
  <c r="BB335" i="2"/>
  <c r="BH335" s="1"/>
  <c r="BA347"/>
  <c r="BB335" i="3"/>
  <c r="BF335" s="1"/>
  <c r="BA347"/>
  <c r="BB334" i="2"/>
  <c r="BH334" s="1"/>
  <c r="BA346"/>
  <c r="K334" i="1"/>
  <c r="DA334" s="1"/>
  <c r="DG334" s="1"/>
  <c r="J346"/>
  <c r="AT15" i="2"/>
  <c r="BG333" i="1"/>
  <c r="BF345"/>
  <c r="Y113" i="6"/>
  <c r="BG332" i="1"/>
  <c r="BF344"/>
  <c r="BB332" i="3"/>
  <c r="BF332" s="1"/>
  <c r="BA344"/>
  <c r="BF329" i="2"/>
  <c r="BI329" s="1"/>
  <c r="BE341"/>
  <c r="AY329" i="3"/>
  <c r="BD329" s="1"/>
  <c r="AX341"/>
  <c r="Z125" i="6"/>
  <c r="AY316" i="3"/>
  <c r="BC316" s="1"/>
  <c r="AX328"/>
  <c r="BK102" i="2"/>
  <c r="AF113" i="3"/>
  <c r="AG113" s="1"/>
  <c r="BE243"/>
  <c r="BG243" s="1"/>
  <c r="BF273" i="2"/>
  <c r="BI273" s="1"/>
  <c r="BE285"/>
  <c r="BB245" i="3"/>
  <c r="BF245" s="1"/>
  <c r="BG245" s="1"/>
  <c r="BA257"/>
  <c r="AY248"/>
  <c r="AX260"/>
  <c r="BF250" i="2"/>
  <c r="BI250" s="1"/>
  <c r="BK250" s="1"/>
  <c r="BE262"/>
  <c r="BC251" i="1"/>
  <c r="BI251" s="1"/>
  <c r="BK251" s="1"/>
  <c r="BB263"/>
  <c r="BF251" i="2"/>
  <c r="BI251" s="1"/>
  <c r="BK251" s="1"/>
  <c r="BE263"/>
  <c r="AY251" i="3"/>
  <c r="BC251" s="1"/>
  <c r="BE251" s="1"/>
  <c r="BG251" s="1"/>
  <c r="AX263"/>
  <c r="BF252" i="2"/>
  <c r="BI252" s="1"/>
  <c r="BE264"/>
  <c r="AY252" i="3"/>
  <c r="BC252" s="1"/>
  <c r="BE252" s="1"/>
  <c r="BG252" s="1"/>
  <c r="AX264"/>
  <c r="AY254"/>
  <c r="BC254" s="1"/>
  <c r="BE254" s="1"/>
  <c r="BG254" s="1"/>
  <c r="AX266"/>
  <c r="BD255"/>
  <c r="BC255"/>
  <c r="BB295" i="2"/>
  <c r="BA307"/>
  <c r="BE224" i="3"/>
  <c r="BG224" s="1"/>
  <c r="BG294" i="1"/>
  <c r="BJ294" s="1"/>
  <c r="BK294" s="1"/>
  <c r="BF306"/>
  <c r="BC236" i="3"/>
  <c r="BD236"/>
  <c r="AX262"/>
  <c r="AY250"/>
  <c r="BC250" s="1"/>
  <c r="BE250" s="1"/>
  <c r="BG250" s="1"/>
  <c r="BB276" i="1"/>
  <c r="BC264"/>
  <c r="BI264" s="1"/>
  <c r="BE279" i="2"/>
  <c r="BF267"/>
  <c r="BI267" s="1"/>
  <c r="BK267" s="1"/>
  <c r="AY267" i="3"/>
  <c r="AX279"/>
  <c r="BG295" i="1"/>
  <c r="BJ295" s="1"/>
  <c r="BK295" s="1"/>
  <c r="BF307"/>
  <c r="BA320" i="2"/>
  <c r="BB308"/>
  <c r="BH308" s="1"/>
  <c r="AA113" i="6"/>
  <c r="Z113" i="8"/>
  <c r="BF136" i="1"/>
  <c r="BG124"/>
  <c r="BJ124" s="1"/>
  <c r="BA184" i="2"/>
  <c r="BB172"/>
  <c r="BH172" s="1"/>
  <c r="BK172" s="1"/>
  <c r="BB136" i="1"/>
  <c r="BC124"/>
  <c r="BI124" s="1"/>
  <c r="BE196" i="2"/>
  <c r="BF184"/>
  <c r="BI184" s="1"/>
  <c r="BB133" i="1"/>
  <c r="BC121"/>
  <c r="BI121" s="1"/>
  <c r="BK121" s="1"/>
  <c r="AX157" i="3"/>
  <c r="AY145"/>
  <c r="BC145" s="1"/>
  <c r="BE145" s="1"/>
  <c r="BG145" s="1"/>
  <c r="BB135" i="1"/>
  <c r="BC123"/>
  <c r="BI123" s="1"/>
  <c r="BA168" i="2"/>
  <c r="BB156"/>
  <c r="BH156" s="1"/>
  <c r="BK156" s="1"/>
  <c r="BA157"/>
  <c r="BB145"/>
  <c r="BH145" s="1"/>
  <c r="BK145" s="1"/>
  <c r="BF135" i="1"/>
  <c r="BG123"/>
  <c r="BJ123" s="1"/>
  <c r="AA125" i="3"/>
  <c r="R137"/>
  <c r="T137" s="1"/>
  <c r="W137" s="1"/>
  <c r="X137" s="1"/>
  <c r="Z137" s="1"/>
  <c r="BK111" i="1"/>
  <c r="BB140"/>
  <c r="BC128"/>
  <c r="BI128" s="1"/>
  <c r="BK128" s="1"/>
  <c r="Y107" i="8"/>
  <c r="AA107"/>
  <c r="P149" i="3"/>
  <c r="Q149"/>
  <c r="Z112" i="6"/>
  <c r="AG112" i="1"/>
  <c r="AF112" s="1"/>
  <c r="AN15"/>
  <c r="W112"/>
  <c r="X112" s="1"/>
  <c r="AA112"/>
  <c r="P92" i="3"/>
  <c r="Q92"/>
  <c r="Y88" i="8"/>
  <c r="AA88"/>
  <c r="AF56" i="3"/>
  <c r="AG56" s="1"/>
  <c r="AE56"/>
  <c r="AP11" i="6"/>
  <c r="AQ11" s="1"/>
  <c r="Y56"/>
  <c r="Z56" i="8"/>
  <c r="AB56" s="1"/>
  <c r="AA56" i="6"/>
  <c r="AT14" i="1"/>
  <c r="AU14" s="1"/>
  <c r="AO14"/>
  <c r="Z100" i="8"/>
  <c r="AB100" s="1"/>
  <c r="AA100" i="6"/>
  <c r="Y100"/>
  <c r="X119" i="2"/>
  <c r="Y119" i="6"/>
  <c r="Z119" i="8"/>
  <c r="AB119" s="1"/>
  <c r="AA119" i="6"/>
  <c r="R80" i="3"/>
  <c r="T80" s="1"/>
  <c r="W80" s="1"/>
  <c r="X80" s="1"/>
  <c r="Z80" s="1"/>
  <c r="K173"/>
  <c r="D173" i="10" s="1"/>
  <c r="E173" s="1"/>
  <c r="L161" i="3"/>
  <c r="O236"/>
  <c r="L167" i="2"/>
  <c r="M155"/>
  <c r="Q155" s="1"/>
  <c r="N136" i="1"/>
  <c r="O124"/>
  <c r="R124" s="1"/>
  <c r="S124" s="1"/>
  <c r="Z124" s="1"/>
  <c r="K116" i="3"/>
  <c r="D116" i="10" s="1"/>
  <c r="E116" s="1"/>
  <c r="L104" i="3"/>
  <c r="O155" i="2"/>
  <c r="P143"/>
  <c r="R143" s="1"/>
  <c r="S143" s="1"/>
  <c r="Z143" s="1"/>
  <c r="Z68" i="6"/>
  <c r="AB68" s="1"/>
  <c r="AK12" i="3"/>
  <c r="AA68"/>
  <c r="Z131" i="6"/>
  <c r="AG131" i="2"/>
  <c r="W131"/>
  <c r="X131" s="1"/>
  <c r="AA131"/>
  <c r="AM17"/>
  <c r="AL11" i="3"/>
  <c r="AQ11"/>
  <c r="AR11" s="1"/>
  <c r="AS16" i="2"/>
  <c r="AN16"/>
  <c r="BB129" i="1"/>
  <c r="BC117"/>
  <c r="BI117" s="1"/>
  <c r="BK117" s="1"/>
  <c r="BA189" i="2"/>
  <c r="BB177"/>
  <c r="BH177" s="1"/>
  <c r="BK177" s="1"/>
  <c r="S267" i="1"/>
  <c r="AF134" i="3"/>
  <c r="AG134" s="1"/>
  <c r="AE134"/>
  <c r="K183"/>
  <c r="D183" i="10" s="1"/>
  <c r="E183" s="1"/>
  <c r="L171" i="3"/>
  <c r="P171" s="1"/>
  <c r="R171" s="1"/>
  <c r="T171" s="1"/>
  <c r="W171" s="1"/>
  <c r="X171" s="1"/>
  <c r="Z171" s="1"/>
  <c r="AA122" i="8"/>
  <c r="Y122"/>
  <c r="Y135"/>
  <c r="AA135"/>
  <c r="Z159" i="6"/>
  <c r="AA159" i="3"/>
  <c r="BB269" i="1"/>
  <c r="BC257"/>
  <c r="BI257" s="1"/>
  <c r="BK257" s="1"/>
  <c r="Z146" i="6"/>
  <c r="AA146" i="3"/>
  <c r="AE147"/>
  <c r="AF147"/>
  <c r="AG147" s="1"/>
  <c r="Z147" i="8"/>
  <c r="AB147" s="1"/>
  <c r="AA147" i="6"/>
  <c r="Y147"/>
  <c r="BA126" i="2"/>
  <c r="BB114"/>
  <c r="BH114" s="1"/>
  <c r="BA174" i="3"/>
  <c r="BB162"/>
  <c r="BF162" s="1"/>
  <c r="BA163"/>
  <c r="BB151"/>
  <c r="BF151" s="1"/>
  <c r="BG151" s="1"/>
  <c r="BA129"/>
  <c r="BB117"/>
  <c r="BF117" s="1"/>
  <c r="BG117" s="1"/>
  <c r="BF130" i="1"/>
  <c r="BG118"/>
  <c r="BJ118" s="1"/>
  <c r="BK118" s="1"/>
  <c r="BF144"/>
  <c r="BG132"/>
  <c r="BJ132" s="1"/>
  <c r="BK132" s="1"/>
  <c r="BA158" i="2"/>
  <c r="BB146"/>
  <c r="BH146" s="1"/>
  <c r="BK146" s="1"/>
  <c r="L281"/>
  <c r="M269"/>
  <c r="Q269" s="1"/>
  <c r="N281" i="1"/>
  <c r="O269"/>
  <c r="R269" s="1"/>
  <c r="S269" s="1"/>
  <c r="L294" i="2"/>
  <c r="M282"/>
  <c r="Q282" s="1"/>
  <c r="S282" s="1"/>
  <c r="J284" i="1"/>
  <c r="K272"/>
  <c r="Q272" s="1"/>
  <c r="S272" s="1"/>
  <c r="J285"/>
  <c r="K273"/>
  <c r="Q273" s="1"/>
  <c r="S273" s="1"/>
  <c r="O286" i="2"/>
  <c r="P274"/>
  <c r="R274" s="1"/>
  <c r="S274" s="1"/>
  <c r="L289"/>
  <c r="M277"/>
  <c r="Q277" s="1"/>
  <c r="S277" s="1"/>
  <c r="BB233"/>
  <c r="BH233" s="1"/>
  <c r="BK233" s="1"/>
  <c r="BA245"/>
  <c r="O209"/>
  <c r="P197"/>
  <c r="R197" s="1"/>
  <c r="S197" s="1"/>
  <c r="Z197" s="1"/>
  <c r="L211"/>
  <c r="M199"/>
  <c r="Q199" s="1"/>
  <c r="S199" s="1"/>
  <c r="Z199" s="1"/>
  <c r="L285"/>
  <c r="M273"/>
  <c r="Q273" s="1"/>
  <c r="S273" s="1"/>
  <c r="O288"/>
  <c r="P276"/>
  <c r="R276" s="1"/>
  <c r="S276" s="1"/>
  <c r="BE126"/>
  <c r="BF114"/>
  <c r="BI114" s="1"/>
  <c r="AX126" i="3"/>
  <c r="AY114"/>
  <c r="BE152" i="2"/>
  <c r="BF140"/>
  <c r="BI140" s="1"/>
  <c r="BK140" s="1"/>
  <c r="AX141" i="3"/>
  <c r="AY129"/>
  <c r="BC129" s="1"/>
  <c r="BE129" s="1"/>
  <c r="BB182" i="1"/>
  <c r="BC170"/>
  <c r="BI170" s="1"/>
  <c r="BK170" s="1"/>
  <c r="BC304" i="3"/>
  <c r="BC400"/>
  <c r="BD304"/>
  <c r="BE90"/>
  <c r="BG90" s="1"/>
  <c r="BE292"/>
  <c r="BG292" s="1"/>
  <c r="W265" i="2"/>
  <c r="AG265"/>
  <c r="AA265"/>
  <c r="AG185"/>
  <c r="AF185" s="1"/>
  <c r="AA185"/>
  <c r="W185"/>
  <c r="AA187"/>
  <c r="AG187"/>
  <c r="AF187" s="1"/>
  <c r="W187"/>
  <c r="X187" s="1"/>
  <c r="W264"/>
  <c r="AG264"/>
  <c r="AA264"/>
  <c r="BC102" i="3"/>
  <c r="BD102"/>
  <c r="BD316"/>
  <c r="BE305"/>
  <c r="N290" i="1"/>
  <c r="O278"/>
  <c r="R278" s="1"/>
  <c r="S278" s="1"/>
  <c r="O291" i="2"/>
  <c r="P279"/>
  <c r="R279" s="1"/>
  <c r="S279" s="1"/>
  <c r="N291" i="1"/>
  <c r="O279"/>
  <c r="R279" s="1"/>
  <c r="J292"/>
  <c r="K280"/>
  <c r="Q280" s="1"/>
  <c r="L292" i="2"/>
  <c r="M280"/>
  <c r="Q280" s="1"/>
  <c r="O292"/>
  <c r="P280"/>
  <c r="R280" s="1"/>
  <c r="J291" i="1"/>
  <c r="K279"/>
  <c r="Q279" s="1"/>
  <c r="AA134" i="6" l="1"/>
  <c r="AB109"/>
  <c r="AH322" i="1"/>
  <c r="AA270" i="2"/>
  <c r="AH257" i="1"/>
  <c r="AA257"/>
  <c r="AA322"/>
  <c r="W270" i="2"/>
  <c r="X270" s="1"/>
  <c r="AG257" i="1"/>
  <c r="AF257" s="1"/>
  <c r="Z257" i="9"/>
  <c r="AA257" s="1"/>
  <c r="AG270" i="2"/>
  <c r="AF270" s="1"/>
  <c r="W257" i="1"/>
  <c r="X257" s="1"/>
  <c r="AH250" i="2"/>
  <c r="AB102" i="3"/>
  <c r="AD102" s="1"/>
  <c r="AB80"/>
  <c r="AD80" s="1"/>
  <c r="AB199" i="2"/>
  <c r="AB143" i="3"/>
  <c r="AD143" s="1"/>
  <c r="AB82"/>
  <c r="AD82" s="1"/>
  <c r="AB197" i="2"/>
  <c r="AB171" i="3"/>
  <c r="AD171" s="1"/>
  <c r="AB137"/>
  <c r="AD137" s="1"/>
  <c r="AB143" i="2"/>
  <c r="AB124" i="1"/>
  <c r="AB124" i="9" s="1"/>
  <c r="AB96" i="3"/>
  <c r="AD96" s="1"/>
  <c r="W322" i="1"/>
  <c r="AG322"/>
  <c r="AF322" s="1"/>
  <c r="Z322" i="9"/>
  <c r="AA322" s="1"/>
  <c r="K170" i="3"/>
  <c r="D170" i="10" s="1"/>
  <c r="E170" s="1"/>
  <c r="K170" s="1"/>
  <c r="X37"/>
  <c r="F158"/>
  <c r="AH258" i="2"/>
  <c r="L158" i="3"/>
  <c r="P158" s="1"/>
  <c r="R158" s="1"/>
  <c r="T158" s="1"/>
  <c r="W158" s="1"/>
  <c r="X158" s="1"/>
  <c r="Z158" s="1"/>
  <c r="Z158" i="6" s="1"/>
  <c r="Y134"/>
  <c r="AH249" i="2"/>
  <c r="AA248" i="9"/>
  <c r="N248" i="3"/>
  <c r="H248" i="10" s="1"/>
  <c r="I248" s="1"/>
  <c r="Q49"/>
  <c r="R49" s="1"/>
  <c r="Z372" i="9"/>
  <c r="AA372" s="1"/>
  <c r="W261" i="2"/>
  <c r="X261" s="1"/>
  <c r="AA243" i="9"/>
  <c r="AG372" i="1"/>
  <c r="AF372" s="1"/>
  <c r="AG261" i="2"/>
  <c r="AH261" s="1"/>
  <c r="Y245" i="9"/>
  <c r="AA249"/>
  <c r="W372" i="1"/>
  <c r="Y310" i="9"/>
  <c r="AA372" i="1"/>
  <c r="AF141" i="3"/>
  <c r="AG141" s="1"/>
  <c r="AH255" i="2"/>
  <c r="AH252"/>
  <c r="AA109" i="6"/>
  <c r="Y109"/>
  <c r="Z261" i="9"/>
  <c r="AA261" s="1"/>
  <c r="AA255" i="1"/>
  <c r="Z255" i="9"/>
  <c r="Y255" s="1"/>
  <c r="AA261" i="1"/>
  <c r="Y254" i="9"/>
  <c r="W266" i="1"/>
  <c r="X266" s="1"/>
  <c r="AA261" i="2"/>
  <c r="AG255" i="1"/>
  <c r="AF255" s="1"/>
  <c r="W260"/>
  <c r="X260" s="1"/>
  <c r="AH255"/>
  <c r="AG261"/>
  <c r="AF261" s="1"/>
  <c r="Z134" i="8"/>
  <c r="AB134" s="1"/>
  <c r="AB134" i="6"/>
  <c r="AH253" i="2"/>
  <c r="AG125" i="3"/>
  <c r="W255" i="1"/>
  <c r="X255" s="1"/>
  <c r="W261"/>
  <c r="X261" s="1"/>
  <c r="BK123"/>
  <c r="AW14" i="9"/>
  <c r="AX14" s="1"/>
  <c r="X40" i="10"/>
  <c r="AH261" i="1"/>
  <c r="Z109" i="8"/>
  <c r="AB109" s="1"/>
  <c r="AA129"/>
  <c r="Y97"/>
  <c r="AG267" i="2"/>
  <c r="AH267" s="1"/>
  <c r="AG262"/>
  <c r="AF262" s="1"/>
  <c r="Z260" i="9"/>
  <c r="AA267" i="2"/>
  <c r="AA266" i="1"/>
  <c r="AA262" i="2"/>
  <c r="AH260" i="1"/>
  <c r="AG256" i="2"/>
  <c r="AF256" s="1"/>
  <c r="W256"/>
  <c r="X256" s="1"/>
  <c r="Y78" i="8"/>
  <c r="AA256" i="2"/>
  <c r="W262"/>
  <c r="X262" s="1"/>
  <c r="W267"/>
  <c r="X267" s="1"/>
  <c r="AA260" i="1"/>
  <c r="Z266" i="9"/>
  <c r="AA266" s="1"/>
  <c r="Q52" i="10"/>
  <c r="R52" s="1"/>
  <c r="AH266" i="1"/>
  <c r="AG266"/>
  <c r="AF266" s="1"/>
  <c r="AG260"/>
  <c r="AF260" s="1"/>
  <c r="AP15" i="9"/>
  <c r="AQ15" s="1"/>
  <c r="AA78" i="8"/>
  <c r="AA97"/>
  <c r="AB159" i="6"/>
  <c r="AB112"/>
  <c r="AB141"/>
  <c r="AB146"/>
  <c r="AB131"/>
  <c r="AB125"/>
  <c r="AB103"/>
  <c r="Y129" i="8"/>
  <c r="Y113"/>
  <c r="AB113"/>
  <c r="AA90" i="6"/>
  <c r="AB90"/>
  <c r="AA90" i="8"/>
  <c r="AB90"/>
  <c r="AA115" i="3"/>
  <c r="AB115"/>
  <c r="AD115" s="1"/>
  <c r="AE115" s="1"/>
  <c r="AB124"/>
  <c r="AD124" s="1"/>
  <c r="AE124" s="1"/>
  <c r="AA121"/>
  <c r="AB121"/>
  <c r="AD121" s="1"/>
  <c r="AE121" s="1"/>
  <c r="Z153" i="6"/>
  <c r="AB153" i="3"/>
  <c r="AD153" s="1"/>
  <c r="AE153" s="1"/>
  <c r="AA141" i="6"/>
  <c r="AF109" i="3"/>
  <c r="AG109" s="1"/>
  <c r="X45" i="10"/>
  <c r="Z278" i="1"/>
  <c r="Z267"/>
  <c r="Z273"/>
  <c r="Z272"/>
  <c r="Z269"/>
  <c r="Z276" i="2"/>
  <c r="Z273"/>
  <c r="Z277"/>
  <c r="Z274"/>
  <c r="Z282"/>
  <c r="Z279"/>
  <c r="Z268"/>
  <c r="Z141" i="8"/>
  <c r="Y141" s="1"/>
  <c r="BB352" i="3"/>
  <c r="BF352" s="1"/>
  <c r="BA364"/>
  <c r="BB364" s="1"/>
  <c r="BF364" s="1"/>
  <c r="Y23" i="10"/>
  <c r="Y24" s="1"/>
  <c r="Y25" s="1"/>
  <c r="Y26" s="1"/>
  <c r="Y27" s="1"/>
  <c r="Y28" s="1"/>
  <c r="Y29" s="1"/>
  <c r="Y30" s="1"/>
  <c r="Y31" s="1"/>
  <c r="Y32" s="1"/>
  <c r="Y33" s="1"/>
  <c r="Q54"/>
  <c r="R54" s="1"/>
  <c r="Y90" i="6"/>
  <c r="BA346" i="3"/>
  <c r="BB334"/>
  <c r="BF334" s="1"/>
  <c r="AA112" i="9"/>
  <c r="Q46" i="10"/>
  <c r="R46" s="1"/>
  <c r="Y141" i="6"/>
  <c r="X36" i="10"/>
  <c r="Z115" i="6"/>
  <c r="AA124" i="3"/>
  <c r="BB350"/>
  <c r="BF350" s="1"/>
  <c r="BA362"/>
  <c r="Z124" i="9"/>
  <c r="Y124" s="1"/>
  <c r="Z121" i="6"/>
  <c r="X43" i="10"/>
  <c r="BG349" i="1"/>
  <c r="BJ349" s="1"/>
  <c r="BF361"/>
  <c r="X38" i="10"/>
  <c r="X41"/>
  <c r="X34"/>
  <c r="BB348" i="3"/>
  <c r="BF348" s="1"/>
  <c r="BA360"/>
  <c r="X322" i="1"/>
  <c r="BB347" i="3"/>
  <c r="BF347" s="1"/>
  <c r="BA359"/>
  <c r="BB347" i="2"/>
  <c r="BH347" s="1"/>
  <c r="BA359"/>
  <c r="BG347" i="1"/>
  <c r="BJ347" s="1"/>
  <c r="BF359"/>
  <c r="K346"/>
  <c r="J358"/>
  <c r="BB346" i="2"/>
  <c r="BH346" s="1"/>
  <c r="BA358"/>
  <c r="S34" i="10"/>
  <c r="S35" s="1"/>
  <c r="S36" s="1"/>
  <c r="S37" s="1"/>
  <c r="S38" s="1"/>
  <c r="S39" s="1"/>
  <c r="S40" s="1"/>
  <c r="S41" s="1"/>
  <c r="S42" s="1"/>
  <c r="S43" s="1"/>
  <c r="S44" s="1"/>
  <c r="S45" s="1"/>
  <c r="Q55"/>
  <c r="R55" s="1"/>
  <c r="X42"/>
  <c r="AA153" i="3"/>
  <c r="Q50" i="10"/>
  <c r="R50" s="1"/>
  <c r="Q53"/>
  <c r="R53" s="1"/>
  <c r="X44"/>
  <c r="Q48"/>
  <c r="R48" s="1"/>
  <c r="Q47"/>
  <c r="R47" s="1"/>
  <c r="AE90" i="3"/>
  <c r="BG345" i="1"/>
  <c r="BJ345" s="1"/>
  <c r="BF357"/>
  <c r="BG344"/>
  <c r="BJ344" s="1"/>
  <c r="BF356"/>
  <c r="BB344" i="3"/>
  <c r="BF344" s="1"/>
  <c r="BA356"/>
  <c r="X35" i="10"/>
  <c r="X39"/>
  <c r="AY341" i="3"/>
  <c r="BC341" s="1"/>
  <c r="AX353"/>
  <c r="BF341" i="2"/>
  <c r="BI341" s="1"/>
  <c r="BE353"/>
  <c r="W34" i="10"/>
  <c r="W35" s="1"/>
  <c r="W36" s="1"/>
  <c r="W37" s="1"/>
  <c r="W38" s="1"/>
  <c r="W39" s="1"/>
  <c r="W40" s="1"/>
  <c r="W41" s="1"/>
  <c r="W42" s="1"/>
  <c r="W43" s="1"/>
  <c r="W44" s="1"/>
  <c r="W45" s="1"/>
  <c r="K82"/>
  <c r="L82" s="1"/>
  <c r="L83" s="1"/>
  <c r="L84" s="1"/>
  <c r="L85" s="1"/>
  <c r="L86" s="1"/>
  <c r="L87" s="1"/>
  <c r="L88" s="1"/>
  <c r="L89" s="1"/>
  <c r="L90" s="1"/>
  <c r="L91" s="1"/>
  <c r="L92" s="1"/>
  <c r="L93" s="1"/>
  <c r="S236" i="3"/>
  <c r="J236" i="10"/>
  <c r="S234" i="3"/>
  <c r="J234" i="10"/>
  <c r="F237"/>
  <c r="K151"/>
  <c r="F151"/>
  <c r="S133" i="3"/>
  <c r="T133" s="1"/>
  <c r="W133" s="1"/>
  <c r="X133" s="1"/>
  <c r="Z133" s="1"/>
  <c r="K160" i="10"/>
  <c r="F160"/>
  <c r="F138"/>
  <c r="K138"/>
  <c r="AA96" i="3"/>
  <c r="Z96" i="6"/>
  <c r="AB96" s="1"/>
  <c r="J121" i="10"/>
  <c r="K121"/>
  <c r="J153"/>
  <c r="K153"/>
  <c r="AA58" i="8"/>
  <c r="Y58"/>
  <c r="Y72"/>
  <c r="AA72"/>
  <c r="D106" i="10"/>
  <c r="E106" s="1"/>
  <c r="L106" i="3"/>
  <c r="P106" s="1"/>
  <c r="R106" s="1"/>
  <c r="K118"/>
  <c r="Q59" i="10" s="1"/>
  <c r="R59" s="1"/>
  <c r="Z84" i="8"/>
  <c r="AB84" s="1"/>
  <c r="AA84" i="6"/>
  <c r="Y84"/>
  <c r="U47" i="10"/>
  <c r="V47" s="1"/>
  <c r="H106"/>
  <c r="I106" s="1"/>
  <c r="U48"/>
  <c r="V48" s="1"/>
  <c r="N118" i="3"/>
  <c r="U54" i="10"/>
  <c r="V54" s="1"/>
  <c r="U50"/>
  <c r="V50" s="1"/>
  <c r="U56"/>
  <c r="V56" s="1"/>
  <c r="U49"/>
  <c r="V49" s="1"/>
  <c r="O106" i="3"/>
  <c r="U46" i="10"/>
  <c r="V46" s="1"/>
  <c r="U57"/>
  <c r="V57" s="1"/>
  <c r="U51"/>
  <c r="V51" s="1"/>
  <c r="X51" s="1"/>
  <c r="U52"/>
  <c r="V52" s="1"/>
  <c r="U55"/>
  <c r="V55" s="1"/>
  <c r="U53"/>
  <c r="V53" s="1"/>
  <c r="AA70" i="6"/>
  <c r="Z70" i="8"/>
  <c r="AB70" s="1"/>
  <c r="Y70" i="6"/>
  <c r="K183" i="10"/>
  <c r="F183"/>
  <c r="K116"/>
  <c r="F116"/>
  <c r="K173"/>
  <c r="F173"/>
  <c r="S156" i="3"/>
  <c r="J156" i="10"/>
  <c r="K155"/>
  <c r="F155"/>
  <c r="S207" i="3"/>
  <c r="J207" i="10"/>
  <c r="S221" i="3"/>
  <c r="J221" i="10"/>
  <c r="S165" i="3"/>
  <c r="T165" s="1"/>
  <c r="W165" s="1"/>
  <c r="X165" s="1"/>
  <c r="Z165" s="1"/>
  <c r="F169" i="10"/>
  <c r="D108"/>
  <c r="E108" s="1"/>
  <c r="K120" i="3"/>
  <c r="L108"/>
  <c r="P108" s="1"/>
  <c r="R108" s="1"/>
  <c r="T108" s="1"/>
  <c r="W108" s="1"/>
  <c r="X108" s="1"/>
  <c r="Z108" s="1"/>
  <c r="F96" i="10"/>
  <c r="K96"/>
  <c r="Z82" i="6"/>
  <c r="AB82" s="1"/>
  <c r="AA82" i="3"/>
  <c r="F94" i="10"/>
  <c r="AF84" i="3"/>
  <c r="AG84" s="1"/>
  <c r="AE84"/>
  <c r="S94"/>
  <c r="T94" s="1"/>
  <c r="W94" s="1"/>
  <c r="X94" s="1"/>
  <c r="Z94" s="1"/>
  <c r="J94" i="10"/>
  <c r="AE70" i="3"/>
  <c r="AF70"/>
  <c r="AG70" s="1"/>
  <c r="R136"/>
  <c r="T136" s="1"/>
  <c r="W136" s="1"/>
  <c r="X136" s="1"/>
  <c r="Z136" s="1"/>
  <c r="R127"/>
  <c r="T127" s="1"/>
  <c r="W127" s="1"/>
  <c r="X127" s="1"/>
  <c r="Z127" s="1"/>
  <c r="R114"/>
  <c r="T114" s="1"/>
  <c r="W114" s="1"/>
  <c r="X114" s="1"/>
  <c r="Z114" s="1"/>
  <c r="Q57" i="10"/>
  <c r="R57" s="1"/>
  <c r="Q56"/>
  <c r="R56" s="1"/>
  <c r="O219" i="3"/>
  <c r="N231"/>
  <c r="H231" i="10" s="1"/>
  <c r="I231" s="1"/>
  <c r="O246" i="3"/>
  <c r="N258"/>
  <c r="H258" i="10" s="1"/>
  <c r="I258" s="1"/>
  <c r="N245" i="3"/>
  <c r="H245" i="10" s="1"/>
  <c r="I245" s="1"/>
  <c r="O233" i="3"/>
  <c r="P139"/>
  <c r="Q139"/>
  <c r="K163"/>
  <c r="D163" i="10" s="1"/>
  <c r="E163" s="1"/>
  <c r="L151" i="3"/>
  <c r="P148"/>
  <c r="Q148"/>
  <c r="K172"/>
  <c r="D172" i="10" s="1"/>
  <c r="E172" s="1"/>
  <c r="L160" i="3"/>
  <c r="O177"/>
  <c r="N189"/>
  <c r="H189" i="10" s="1"/>
  <c r="I189" s="1"/>
  <c r="P126" i="3"/>
  <c r="Q126"/>
  <c r="K150"/>
  <c r="D150" i="10" s="1"/>
  <c r="E150" s="1"/>
  <c r="L138" i="3"/>
  <c r="K181"/>
  <c r="D181" i="10" s="1"/>
  <c r="E181" s="1"/>
  <c r="L169" i="3"/>
  <c r="P169" s="1"/>
  <c r="R169" s="1"/>
  <c r="N180"/>
  <c r="H180" i="10" s="1"/>
  <c r="I180" s="1"/>
  <c r="O168" i="3"/>
  <c r="AA143"/>
  <c r="K167"/>
  <c r="D167" i="10" s="1"/>
  <c r="E167" s="1"/>
  <c r="L155" i="3"/>
  <c r="P155" s="1"/>
  <c r="R155" s="1"/>
  <c r="T155" s="1"/>
  <c r="W155" s="1"/>
  <c r="X155" s="1"/>
  <c r="Z155" s="1"/>
  <c r="AF131"/>
  <c r="AG131" s="1"/>
  <c r="AE131"/>
  <c r="AA102"/>
  <c r="Z102" i="6"/>
  <c r="K249" i="3"/>
  <c r="D249" i="10" s="1"/>
  <c r="E249" s="1"/>
  <c r="L237" i="3"/>
  <c r="P237" s="1"/>
  <c r="R237" s="1"/>
  <c r="N157"/>
  <c r="H157" i="10" s="1"/>
  <c r="I157" s="1"/>
  <c r="O145" i="3"/>
  <c r="Y91" i="8"/>
  <c r="AA91"/>
  <c r="AF112" i="3"/>
  <c r="AG112" s="1"/>
  <c r="AE112"/>
  <c r="AE103"/>
  <c r="AF103"/>
  <c r="AG103" s="1"/>
  <c r="Z103" i="8"/>
  <c r="AB103" s="1"/>
  <c r="AA103" i="6"/>
  <c r="Y103"/>
  <c r="Y90" i="8"/>
  <c r="AT16" i="2"/>
  <c r="Z125" i="8"/>
  <c r="BC329" i="3"/>
  <c r="BE329" s="1"/>
  <c r="AY328"/>
  <c r="BD328" s="1"/>
  <c r="AX340"/>
  <c r="AA125" i="6"/>
  <c r="Y125"/>
  <c r="BB320" i="2"/>
  <c r="BH320" s="1"/>
  <c r="BA332"/>
  <c r="Z137" i="6"/>
  <c r="AE137" i="3"/>
  <c r="AE125"/>
  <c r="AA113" i="8"/>
  <c r="BC267" i="3"/>
  <c r="BD267"/>
  <c r="BE291" i="2"/>
  <c r="BF279"/>
  <c r="BI279" s="1"/>
  <c r="BK279" s="1"/>
  <c r="BC276" i="1"/>
  <c r="BI276" s="1"/>
  <c r="BB288"/>
  <c r="AX274" i="3"/>
  <c r="AY262"/>
  <c r="BC262" s="1"/>
  <c r="BE262" s="1"/>
  <c r="BG262" s="1"/>
  <c r="BF382" i="2"/>
  <c r="BH295"/>
  <c r="BK295" s="1"/>
  <c r="BC248" i="3"/>
  <c r="BD248"/>
  <c r="BG307" i="1"/>
  <c r="BJ307" s="1"/>
  <c r="BK307" s="1"/>
  <c r="BF319"/>
  <c r="AX291" i="3"/>
  <c r="AY279"/>
  <c r="BF318" i="1"/>
  <c r="BG306"/>
  <c r="BJ306" s="1"/>
  <c r="BK306" s="1"/>
  <c r="BA319" i="2"/>
  <c r="BB307"/>
  <c r="BH307" s="1"/>
  <c r="BK307" s="1"/>
  <c r="AX278" i="3"/>
  <c r="AY266"/>
  <c r="BC266" s="1"/>
  <c r="BE266" s="1"/>
  <c r="BG266" s="1"/>
  <c r="AX276"/>
  <c r="AY264"/>
  <c r="BC264" s="1"/>
  <c r="BE264" s="1"/>
  <c r="BG264" s="1"/>
  <c r="BE276" i="2"/>
  <c r="BF264"/>
  <c r="BI264" s="1"/>
  <c r="AX275" i="3"/>
  <c r="AY263"/>
  <c r="BC263" s="1"/>
  <c r="BE263" s="1"/>
  <c r="BG263" s="1"/>
  <c r="BE275" i="2"/>
  <c r="BF263"/>
  <c r="BI263" s="1"/>
  <c r="BK263" s="1"/>
  <c r="BB275" i="1"/>
  <c r="BC263"/>
  <c r="BI263" s="1"/>
  <c r="BK263" s="1"/>
  <c r="BE274" i="2"/>
  <c r="BF262"/>
  <c r="BI262" s="1"/>
  <c r="BK262" s="1"/>
  <c r="AX272" i="3"/>
  <c r="AY260"/>
  <c r="BA269"/>
  <c r="BB257"/>
  <c r="BF257" s="1"/>
  <c r="BG257" s="1"/>
  <c r="BE297" i="2"/>
  <c r="BF285"/>
  <c r="BI285" s="1"/>
  <c r="BE236" i="3"/>
  <c r="BG236" s="1"/>
  <c r="BE255"/>
  <c r="BG255" s="1"/>
  <c r="AA137"/>
  <c r="BE208" i="2"/>
  <c r="BF196"/>
  <c r="BI196" s="1"/>
  <c r="BB148" i="1"/>
  <c r="BC136"/>
  <c r="BI136" s="1"/>
  <c r="BA196" i="2"/>
  <c r="BB184"/>
  <c r="BH184" s="1"/>
  <c r="BK184" s="1"/>
  <c r="BF148" i="1"/>
  <c r="BG136"/>
  <c r="BJ136" s="1"/>
  <c r="BK136" s="1"/>
  <c r="BK124"/>
  <c r="X264" i="2"/>
  <c r="X265"/>
  <c r="BF147" i="1"/>
  <c r="BG135"/>
  <c r="BJ135" s="1"/>
  <c r="BA169" i="2"/>
  <c r="BB157"/>
  <c r="BH157" s="1"/>
  <c r="BK157" s="1"/>
  <c r="BA180"/>
  <c r="BB168"/>
  <c r="BH168" s="1"/>
  <c r="BK168" s="1"/>
  <c r="BB147" i="1"/>
  <c r="BC135"/>
  <c r="BI135" s="1"/>
  <c r="AX169" i="3"/>
  <c r="AY157"/>
  <c r="BC157" s="1"/>
  <c r="BE157" s="1"/>
  <c r="BG157" s="1"/>
  <c r="BB145" i="1"/>
  <c r="BC133"/>
  <c r="BI133" s="1"/>
  <c r="BK133" s="1"/>
  <c r="R92" i="3"/>
  <c r="T92" s="1"/>
  <c r="W92" s="1"/>
  <c r="X92" s="1"/>
  <c r="Z92" s="1"/>
  <c r="BB152" i="1"/>
  <c r="BC140"/>
  <c r="BI140" s="1"/>
  <c r="BK140" s="1"/>
  <c r="AF68" i="3"/>
  <c r="AG68" s="1"/>
  <c r="AE68"/>
  <c r="P104"/>
  <c r="Q104"/>
  <c r="AG124" i="1"/>
  <c r="AF124" s="1"/>
  <c r="W124"/>
  <c r="X124" s="1"/>
  <c r="AA124"/>
  <c r="Z124" i="6"/>
  <c r="AN16" i="1"/>
  <c r="P161" i="3"/>
  <c r="Q161"/>
  <c r="Z80" i="6"/>
  <c r="AB80" s="1"/>
  <c r="AA80" i="3"/>
  <c r="AK13"/>
  <c r="AT15" i="1"/>
  <c r="AO15"/>
  <c r="Z112" i="8"/>
  <c r="AB112" s="1"/>
  <c r="AA112" i="6"/>
  <c r="Y112"/>
  <c r="R149" i="3"/>
  <c r="T149" s="1"/>
  <c r="W149" s="1"/>
  <c r="X149" s="1"/>
  <c r="Z149" s="1"/>
  <c r="AN17" i="2"/>
  <c r="AS17"/>
  <c r="Y131" i="6"/>
  <c r="Z131" i="8"/>
  <c r="AB131" s="1"/>
  <c r="AA131" i="6"/>
  <c r="AL12" i="3"/>
  <c r="AQ12"/>
  <c r="AR12" s="1"/>
  <c r="Y68" i="6"/>
  <c r="Z68" i="8"/>
  <c r="AB68" s="1"/>
  <c r="AA68" i="6"/>
  <c r="AP12"/>
  <c r="AQ12" s="1"/>
  <c r="O167" i="2"/>
  <c r="P155"/>
  <c r="R155" s="1"/>
  <c r="S155" s="1"/>
  <c r="Z155" s="1"/>
  <c r="K128" i="3"/>
  <c r="D128" i="10" s="1"/>
  <c r="E128" s="1"/>
  <c r="L116" i="3"/>
  <c r="N148" i="1"/>
  <c r="O136"/>
  <c r="R136" s="1"/>
  <c r="S136" s="1"/>
  <c r="Z136" s="1"/>
  <c r="L179" i="2"/>
  <c r="M167"/>
  <c r="Q167" s="1"/>
  <c r="N260" i="3"/>
  <c r="H260" i="10" s="1"/>
  <c r="I260" s="1"/>
  <c r="K185" i="3"/>
  <c r="D185" i="10" s="1"/>
  <c r="E185" s="1"/>
  <c r="L173" i="3"/>
  <c r="Z143" i="6"/>
  <c r="AG143" i="2"/>
  <c r="W143"/>
  <c r="X143" s="1"/>
  <c r="AA143"/>
  <c r="AM18"/>
  <c r="Y119" i="8"/>
  <c r="AA119"/>
  <c r="AA100"/>
  <c r="Y100"/>
  <c r="AA56"/>
  <c r="Y56"/>
  <c r="AP11"/>
  <c r="AW11" i="6"/>
  <c r="AX11" s="1"/>
  <c r="BE316" i="3"/>
  <c r="BG316" s="1"/>
  <c r="BA201" i="2"/>
  <c r="BB189"/>
  <c r="BH189" s="1"/>
  <c r="BK189" s="1"/>
  <c r="BB141" i="1"/>
  <c r="BC129"/>
  <c r="BI129" s="1"/>
  <c r="BK129" s="1"/>
  <c r="AA147" i="8"/>
  <c r="Y147"/>
  <c r="Z146"/>
  <c r="AB146" s="1"/>
  <c r="AA146" i="6"/>
  <c r="Y146"/>
  <c r="BC269" i="1"/>
  <c r="BI269" s="1"/>
  <c r="BK269" s="1"/>
  <c r="BB281"/>
  <c r="K195" i="3"/>
  <c r="D195" i="10" s="1"/>
  <c r="E195" s="1"/>
  <c r="L183" i="3"/>
  <c r="P183" s="1"/>
  <c r="R183" s="1"/>
  <c r="T183" s="1"/>
  <c r="W183" s="1"/>
  <c r="X183" s="1"/>
  <c r="Z183" s="1"/>
  <c r="AF146"/>
  <c r="AG146" s="1"/>
  <c r="AE146"/>
  <c r="AF159"/>
  <c r="AG159" s="1"/>
  <c r="AE159"/>
  <c r="AA159" i="6"/>
  <c r="Y159"/>
  <c r="Z159" i="8"/>
  <c r="AB159" s="1"/>
  <c r="K182" i="3"/>
  <c r="D182" i="10" s="1"/>
  <c r="E182" s="1"/>
  <c r="AA171" i="3"/>
  <c r="Z171" i="6"/>
  <c r="S280" i="2"/>
  <c r="AH264"/>
  <c r="AF264"/>
  <c r="BB194" i="1"/>
  <c r="BC182"/>
  <c r="BI182" s="1"/>
  <c r="BK182" s="1"/>
  <c r="AX153" i="3"/>
  <c r="AY141"/>
  <c r="BC141" s="1"/>
  <c r="BE141" s="1"/>
  <c r="BE164" i="2"/>
  <c r="BF152"/>
  <c r="BI152" s="1"/>
  <c r="BK152" s="1"/>
  <c r="AX138" i="3"/>
  <c r="AY126"/>
  <c r="BE138" i="2"/>
  <c r="BF126"/>
  <c r="BI126" s="1"/>
  <c r="O300"/>
  <c r="P288"/>
  <c r="R288" s="1"/>
  <c r="S288" s="1"/>
  <c r="L297"/>
  <c r="M285"/>
  <c r="Q285" s="1"/>
  <c r="S285" s="1"/>
  <c r="L223"/>
  <c r="M211"/>
  <c r="Q211" s="1"/>
  <c r="S211" s="1"/>
  <c r="O221"/>
  <c r="P209"/>
  <c r="R209" s="1"/>
  <c r="S209" s="1"/>
  <c r="L301"/>
  <c r="M289"/>
  <c r="Q289" s="1"/>
  <c r="S289" s="1"/>
  <c r="O298"/>
  <c r="P286"/>
  <c r="R286" s="1"/>
  <c r="S286" s="1"/>
  <c r="J297" i="1"/>
  <c r="K285"/>
  <c r="Q285" s="1"/>
  <c r="S285" s="1"/>
  <c r="J296"/>
  <c r="K284"/>
  <c r="Q284" s="1"/>
  <c r="S284" s="1"/>
  <c r="L306" i="2"/>
  <c r="M294"/>
  <c r="Q294" s="1"/>
  <c r="S294" s="1"/>
  <c r="N293" i="1"/>
  <c r="O281"/>
  <c r="R281" s="1"/>
  <c r="S281" s="1"/>
  <c r="L293" i="2"/>
  <c r="M281"/>
  <c r="Q281" s="1"/>
  <c r="BA170"/>
  <c r="BB158"/>
  <c r="BH158" s="1"/>
  <c r="BK158" s="1"/>
  <c r="BF156" i="1"/>
  <c r="BG144"/>
  <c r="BJ144" s="1"/>
  <c r="BK144" s="1"/>
  <c r="BF142"/>
  <c r="BG130"/>
  <c r="BJ130" s="1"/>
  <c r="BK130" s="1"/>
  <c r="BA141" i="3"/>
  <c r="BB129"/>
  <c r="BF129" s="1"/>
  <c r="BG129" s="1"/>
  <c r="BA175"/>
  <c r="BB163"/>
  <c r="BF163" s="1"/>
  <c r="BG163" s="1"/>
  <c r="BA186"/>
  <c r="BB174"/>
  <c r="BF174" s="1"/>
  <c r="BA138" i="2"/>
  <c r="BB126"/>
  <c r="BH126" s="1"/>
  <c r="BK126" s="1"/>
  <c r="BE102" i="3"/>
  <c r="BG102" s="1"/>
  <c r="X185" i="2"/>
  <c r="AF265"/>
  <c r="AH265"/>
  <c r="BC114" i="3"/>
  <c r="BD114"/>
  <c r="W199" i="2"/>
  <c r="X199" s="1"/>
  <c r="AA199"/>
  <c r="AG199"/>
  <c r="AF199" s="1"/>
  <c r="W197"/>
  <c r="X197" s="1"/>
  <c r="AG197"/>
  <c r="AF197" s="1"/>
  <c r="AA197"/>
  <c r="BB245"/>
  <c r="BH245" s="1"/>
  <c r="BK245" s="1"/>
  <c r="BA257"/>
  <c r="BE304" i="3"/>
  <c r="BG304" s="1"/>
  <c r="BK114" i="2"/>
  <c r="L304"/>
  <c r="M292"/>
  <c r="Q292" s="1"/>
  <c r="S279" i="1"/>
  <c r="J303"/>
  <c r="K291"/>
  <c r="Q291" s="1"/>
  <c r="O304" i="2"/>
  <c r="P292"/>
  <c r="R292" s="1"/>
  <c r="J304" i="1"/>
  <c r="K292"/>
  <c r="Q292" s="1"/>
  <c r="N303"/>
  <c r="O291"/>
  <c r="R291" s="1"/>
  <c r="O303" i="2"/>
  <c r="P291"/>
  <c r="R291" s="1"/>
  <c r="S291" s="1"/>
  <c r="N302" i="1"/>
  <c r="O290"/>
  <c r="R290" s="1"/>
  <c r="S290" s="1"/>
  <c r="AA121" i="6" l="1"/>
  <c r="Y257" i="9"/>
  <c r="AH270" i="2"/>
  <c r="Y322" i="9"/>
  <c r="X49" i="10"/>
  <c r="AB127" i="3"/>
  <c r="AD127" s="1"/>
  <c r="AF127" s="1"/>
  <c r="F170" i="10"/>
  <c r="Z133" i="6"/>
  <c r="L170" i="3"/>
  <c r="P170" s="1"/>
  <c r="R170" s="1"/>
  <c r="T170" s="1"/>
  <c r="W170" s="1"/>
  <c r="X170" s="1"/>
  <c r="Z170" s="1"/>
  <c r="AA170" s="1"/>
  <c r="O248"/>
  <c r="S248" s="1"/>
  <c r="AB136" i="1"/>
  <c r="AB136" i="9" s="1"/>
  <c r="AB155" i="2"/>
  <c r="AB155" i="3"/>
  <c r="AD155" s="1"/>
  <c r="AB183"/>
  <c r="AD183" s="1"/>
  <c r="AB149"/>
  <c r="AD149" s="1"/>
  <c r="AB158"/>
  <c r="AD158" s="1"/>
  <c r="AF158" s="1"/>
  <c r="AG158" s="1"/>
  <c r="AA158"/>
  <c r="AB92"/>
  <c r="AD92" s="1"/>
  <c r="AF92" s="1"/>
  <c r="AB94"/>
  <c r="AD94" s="1"/>
  <c r="AB108"/>
  <c r="AD108" s="1"/>
  <c r="BB362"/>
  <c r="BF362" s="1"/>
  <c r="BA374"/>
  <c r="BB374" s="1"/>
  <c r="BF374" s="1"/>
  <c r="W274" i="2"/>
  <c r="X274" s="1"/>
  <c r="AF261"/>
  <c r="AF124" i="3"/>
  <c r="AG124" s="1"/>
  <c r="AF153"/>
  <c r="AG153" s="1"/>
  <c r="BG361" i="1"/>
  <c r="BF373"/>
  <c r="BG373" s="1"/>
  <c r="BJ373" s="1"/>
  <c r="AA273" i="2"/>
  <c r="AG277"/>
  <c r="AH277" s="1"/>
  <c r="AF267"/>
  <c r="AA274"/>
  <c r="AA269" i="1"/>
  <c r="W278"/>
  <c r="X278" s="1"/>
  <c r="AH262" i="2"/>
  <c r="X46" i="10"/>
  <c r="AA255" i="9"/>
  <c r="Z269"/>
  <c r="Y269" s="1"/>
  <c r="AH269" i="1"/>
  <c r="W269"/>
  <c r="X269" s="1"/>
  <c r="Y134" i="8"/>
  <c r="AA282" i="2"/>
  <c r="W276"/>
  <c r="X276" s="1"/>
  <c r="AG274"/>
  <c r="AH274" s="1"/>
  <c r="Z278" i="9"/>
  <c r="Y278" s="1"/>
  <c r="AG268" i="2"/>
  <c r="AF268" s="1"/>
  <c r="AA277"/>
  <c r="AG272" i="1"/>
  <c r="AF272" s="1"/>
  <c r="AA278"/>
  <c r="AA272"/>
  <c r="AA134" i="8"/>
  <c r="Y261" i="9"/>
  <c r="AG279" i="2"/>
  <c r="AF279" s="1"/>
  <c r="AG273"/>
  <c r="AF273" s="1"/>
  <c r="W273" i="1"/>
  <c r="X273" s="1"/>
  <c r="AH272"/>
  <c r="W277" i="2"/>
  <c r="X277" s="1"/>
  <c r="AA109" i="8"/>
  <c r="W282" i="2"/>
  <c r="X282" s="1"/>
  <c r="AA276"/>
  <c r="AH256"/>
  <c r="W279"/>
  <c r="X279" s="1"/>
  <c r="AG273" i="1"/>
  <c r="AF273" s="1"/>
  <c r="W273" i="2"/>
  <c r="X273" s="1"/>
  <c r="AF121" i="3"/>
  <c r="AG121" s="1"/>
  <c r="BB360"/>
  <c r="BF360" s="1"/>
  <c r="BA372"/>
  <c r="BB372" s="1"/>
  <c r="BF372" s="1"/>
  <c r="AH273" i="1"/>
  <c r="AA268" i="2"/>
  <c r="AG282"/>
  <c r="AF282" s="1"/>
  <c r="W272" i="1"/>
  <c r="X272" s="1"/>
  <c r="AG276" i="2"/>
  <c r="AH276" s="1"/>
  <c r="Y109" i="8"/>
  <c r="X52" i="10"/>
  <c r="AW15" i="9"/>
  <c r="AX15" s="1"/>
  <c r="S46" i="10"/>
  <c r="S47" s="1"/>
  <c r="S48" s="1"/>
  <c r="S49" s="1"/>
  <c r="S50" s="1"/>
  <c r="S51" s="1"/>
  <c r="S52" s="1"/>
  <c r="S53" s="1"/>
  <c r="S54" s="1"/>
  <c r="S55" s="1"/>
  <c r="S56" s="1"/>
  <c r="S57" s="1"/>
  <c r="AH278" i="1"/>
  <c r="AG278"/>
  <c r="AF278" s="1"/>
  <c r="AA279" i="2"/>
  <c r="AG269" i="1"/>
  <c r="AF269" s="1"/>
  <c r="AA273"/>
  <c r="Y266" i="9"/>
  <c r="BG359" i="1"/>
  <c r="BF371"/>
  <c r="BG371" s="1"/>
  <c r="BJ371" s="1"/>
  <c r="BB359" i="2"/>
  <c r="BH359" s="1"/>
  <c r="BA371"/>
  <c r="BB371" s="1"/>
  <c r="BH371" s="1"/>
  <c r="BB359" i="3"/>
  <c r="BF359" s="1"/>
  <c r="BA371"/>
  <c r="BB371" s="1"/>
  <c r="BF371" s="1"/>
  <c r="Z153" i="8"/>
  <c r="AB153" s="1"/>
  <c r="Y260" i="9"/>
  <c r="AA260"/>
  <c r="BB358" i="2"/>
  <c r="BH358" s="1"/>
  <c r="BA370"/>
  <c r="BB370" s="1"/>
  <c r="BH370" s="1"/>
  <c r="K358" i="1"/>
  <c r="DA358" s="1"/>
  <c r="DG358" s="1"/>
  <c r="J370"/>
  <c r="K370" s="1"/>
  <c r="Q370" s="1"/>
  <c r="S370" s="1"/>
  <c r="BG357"/>
  <c r="BF369"/>
  <c r="BG369" s="1"/>
  <c r="BJ369" s="1"/>
  <c r="Q66" i="10"/>
  <c r="R66" s="1"/>
  <c r="Z273" i="9"/>
  <c r="Y273" s="1"/>
  <c r="Z272"/>
  <c r="Y272" s="1"/>
  <c r="Z267"/>
  <c r="Y267" s="1"/>
  <c r="BB356" i="3"/>
  <c r="BF356" s="1"/>
  <c r="BA368"/>
  <c r="BB368" s="1"/>
  <c r="BF368" s="1"/>
  <c r="BG356" i="1"/>
  <c r="BF368"/>
  <c r="BG368" s="1"/>
  <c r="BJ368" s="1"/>
  <c r="X54" i="10"/>
  <c r="AA267" i="1"/>
  <c r="W267"/>
  <c r="X267" s="1"/>
  <c r="AH267"/>
  <c r="AG267"/>
  <c r="AF267" s="1"/>
  <c r="AB171" i="6"/>
  <c r="AB158"/>
  <c r="AB143"/>
  <c r="AB137"/>
  <c r="AB102"/>
  <c r="AB115"/>
  <c r="AB153"/>
  <c r="AB124"/>
  <c r="AB121"/>
  <c r="AA124" i="9"/>
  <c r="Y153" i="6"/>
  <c r="AA153"/>
  <c r="AA141" i="8"/>
  <c r="AB141"/>
  <c r="AA125"/>
  <c r="AB125"/>
  <c r="AB114" i="3"/>
  <c r="AD114" s="1"/>
  <c r="AE114" s="1"/>
  <c r="AA136"/>
  <c r="AB136"/>
  <c r="AD136" s="1"/>
  <c r="AE136" s="1"/>
  <c r="Z165" i="6"/>
  <c r="AB165" i="3"/>
  <c r="AD165" s="1"/>
  <c r="AE165" s="1"/>
  <c r="AB133"/>
  <c r="AD133" s="1"/>
  <c r="AE133" s="1"/>
  <c r="AA115" i="6"/>
  <c r="Y121"/>
  <c r="W268" i="2"/>
  <c r="BF353"/>
  <c r="BI353" s="1"/>
  <c r="BE365"/>
  <c r="BF365" s="1"/>
  <c r="BI365" s="1"/>
  <c r="AY353" i="3"/>
  <c r="BC353" s="1"/>
  <c r="AX365"/>
  <c r="AY365" s="1"/>
  <c r="Z290" i="1"/>
  <c r="Z279"/>
  <c r="Z281"/>
  <c r="Z284"/>
  <c r="Z285"/>
  <c r="Q346"/>
  <c r="S346" s="1"/>
  <c r="Z346" s="1"/>
  <c r="DA346"/>
  <c r="DG346" s="1"/>
  <c r="Z291" i="2"/>
  <c r="Z294"/>
  <c r="Z286"/>
  <c r="Z289"/>
  <c r="Z209"/>
  <c r="Z211"/>
  <c r="W211" s="1"/>
  <c r="Z285"/>
  <c r="Z288"/>
  <c r="Z280"/>
  <c r="Z115" i="8"/>
  <c r="Z114" i="6"/>
  <c r="X47" i="10"/>
  <c r="AP16" i="9"/>
  <c r="AW16" s="1"/>
  <c r="Y115" i="6"/>
  <c r="BB346" i="3"/>
  <c r="BF346" s="1"/>
  <c r="BA358"/>
  <c r="Z121" i="8"/>
  <c r="Y34" i="10"/>
  <c r="Y35" s="1"/>
  <c r="Y36" s="1"/>
  <c r="Y37" s="1"/>
  <c r="Y38" s="1"/>
  <c r="Y39" s="1"/>
  <c r="Y40" s="1"/>
  <c r="Y41" s="1"/>
  <c r="Y42" s="1"/>
  <c r="Y43" s="1"/>
  <c r="Y44" s="1"/>
  <c r="Y45" s="1"/>
  <c r="Z136" i="9"/>
  <c r="Y136" s="1"/>
  <c r="AA127" i="3"/>
  <c r="AA165"/>
  <c r="Q58" i="10"/>
  <c r="R58" s="1"/>
  <c r="X55"/>
  <c r="AA114" i="3"/>
  <c r="AA133"/>
  <c r="BD341"/>
  <c r="BE341" s="1"/>
  <c r="X57" i="10"/>
  <c r="Q67"/>
  <c r="R67" s="1"/>
  <c r="AF165" i="3"/>
  <c r="AE127"/>
  <c r="X53" i="10"/>
  <c r="X48"/>
  <c r="X50"/>
  <c r="Q60"/>
  <c r="R60" s="1"/>
  <c r="AF115" i="3"/>
  <c r="AG115" s="1"/>
  <c r="Q63" i="10"/>
  <c r="R63" s="1"/>
  <c r="Q64"/>
  <c r="R64" s="1"/>
  <c r="Q61"/>
  <c r="R61" s="1"/>
  <c r="Q62"/>
  <c r="R62" s="1"/>
  <c r="Q65"/>
  <c r="R65" s="1"/>
  <c r="X56"/>
  <c r="K94"/>
  <c r="L94" s="1"/>
  <c r="L95" s="1"/>
  <c r="L96" s="1"/>
  <c r="L97" s="1"/>
  <c r="L98" s="1"/>
  <c r="L99" s="1"/>
  <c r="L100" s="1"/>
  <c r="L101" s="1"/>
  <c r="L102" s="1"/>
  <c r="L103" s="1"/>
  <c r="L104" s="1"/>
  <c r="L105" s="1"/>
  <c r="Z94" i="6"/>
  <c r="AB94" s="1"/>
  <c r="AA94" i="3"/>
  <c r="K195" i="10"/>
  <c r="F195"/>
  <c r="J248"/>
  <c r="S145" i="3"/>
  <c r="T145" s="1"/>
  <c r="W145" s="1"/>
  <c r="X145" s="1"/>
  <c r="Z145" s="1"/>
  <c r="S168"/>
  <c r="J168" i="10"/>
  <c r="F181"/>
  <c r="K150"/>
  <c r="F150"/>
  <c r="K163"/>
  <c r="F163"/>
  <c r="S233" i="3"/>
  <c r="J233" i="10"/>
  <c r="AF82" i="3"/>
  <c r="AG82" s="1"/>
  <c r="AE82"/>
  <c r="D120" i="10"/>
  <c r="E120" s="1"/>
  <c r="K132" i="3"/>
  <c r="L120"/>
  <c r="P120" s="1"/>
  <c r="R120" s="1"/>
  <c r="T120" s="1"/>
  <c r="W120" s="1"/>
  <c r="X120" s="1"/>
  <c r="Z120" s="1"/>
  <c r="J165" i="10"/>
  <c r="K165"/>
  <c r="U59"/>
  <c r="V59" s="1"/>
  <c r="X59" s="1"/>
  <c r="H118"/>
  <c r="I118" s="1"/>
  <c r="N130" i="3"/>
  <c r="O118"/>
  <c r="U66" i="10"/>
  <c r="V66" s="1"/>
  <c r="X66" s="1"/>
  <c r="U65"/>
  <c r="V65" s="1"/>
  <c r="U63"/>
  <c r="V63" s="1"/>
  <c r="U61"/>
  <c r="V61" s="1"/>
  <c r="U58"/>
  <c r="V58" s="1"/>
  <c r="U69"/>
  <c r="V69" s="1"/>
  <c r="U68"/>
  <c r="V68" s="1"/>
  <c r="U62"/>
  <c r="V62" s="1"/>
  <c r="U67"/>
  <c r="V67" s="1"/>
  <c r="U64"/>
  <c r="V64" s="1"/>
  <c r="U60"/>
  <c r="V60" s="1"/>
  <c r="AA84" i="8"/>
  <c r="Y84"/>
  <c r="AE96" i="3"/>
  <c r="AF96"/>
  <c r="AG96" s="1"/>
  <c r="W46" i="10"/>
  <c r="W47" s="1"/>
  <c r="W48" s="1"/>
  <c r="W49" s="1"/>
  <c r="W50" s="1"/>
  <c r="W51" s="1"/>
  <c r="W52" s="1"/>
  <c r="W53" s="1"/>
  <c r="W54" s="1"/>
  <c r="W55" s="1"/>
  <c r="W56" s="1"/>
  <c r="W57" s="1"/>
  <c r="K182"/>
  <c r="F182"/>
  <c r="K185"/>
  <c r="F185"/>
  <c r="K128"/>
  <c r="F128"/>
  <c r="F249"/>
  <c r="K167"/>
  <c r="F167"/>
  <c r="S177" i="3"/>
  <c r="T177" s="1"/>
  <c r="W177" s="1"/>
  <c r="X177" s="1"/>
  <c r="Z177" s="1"/>
  <c r="K172" i="10"/>
  <c r="F172"/>
  <c r="S246" i="3"/>
  <c r="J246" i="10"/>
  <c r="S219" i="3"/>
  <c r="J219" i="10"/>
  <c r="Z82" i="8"/>
  <c r="AB82" s="1"/>
  <c r="AA82" i="6"/>
  <c r="Y82"/>
  <c r="Z108"/>
  <c r="AA108" i="3"/>
  <c r="K108" i="10"/>
  <c r="F108"/>
  <c r="AA70" i="8"/>
  <c r="Y70"/>
  <c r="S106" i="3"/>
  <c r="T106" s="1"/>
  <c r="W106" s="1"/>
  <c r="X106" s="1"/>
  <c r="Z106" s="1"/>
  <c r="J106" i="10"/>
  <c r="D118"/>
  <c r="E118" s="1"/>
  <c r="L118" i="3"/>
  <c r="P118" s="1"/>
  <c r="R118" s="1"/>
  <c r="K130"/>
  <c r="K106" i="10"/>
  <c r="F106"/>
  <c r="Z96" i="8"/>
  <c r="AB96" s="1"/>
  <c r="Y96" i="6"/>
  <c r="AA96"/>
  <c r="J133" i="10"/>
  <c r="K133"/>
  <c r="AY340" i="3"/>
  <c r="BD340" s="1"/>
  <c r="AX352"/>
  <c r="Z127" i="6"/>
  <c r="R148" i="3"/>
  <c r="T148" s="1"/>
  <c r="W148" s="1"/>
  <c r="X148" s="1"/>
  <c r="Z148" s="1"/>
  <c r="Y103" i="8"/>
  <c r="AA103"/>
  <c r="N169" i="3"/>
  <c r="H169" i="10" s="1"/>
  <c r="I169" s="1"/>
  <c r="O157" i="3"/>
  <c r="L249"/>
  <c r="P249" s="1"/>
  <c r="R249" s="1"/>
  <c r="K261"/>
  <c r="D261" i="10" s="1"/>
  <c r="E261" s="1"/>
  <c r="Z102" i="8"/>
  <c r="AB102" s="1"/>
  <c r="AA102" i="6"/>
  <c r="Y102"/>
  <c r="AA155" i="3"/>
  <c r="K179"/>
  <c r="D179" i="10" s="1"/>
  <c r="E179" s="1"/>
  <c r="L167" i="3"/>
  <c r="P167" s="1"/>
  <c r="R167" s="1"/>
  <c r="T167" s="1"/>
  <c r="W167" s="1"/>
  <c r="X167" s="1"/>
  <c r="Z167" s="1"/>
  <c r="N192"/>
  <c r="H192" i="10" s="1"/>
  <c r="I192" s="1"/>
  <c r="O180" i="3"/>
  <c r="K193"/>
  <c r="D193" i="10" s="1"/>
  <c r="E193" s="1"/>
  <c r="L181" i="3"/>
  <c r="P181" s="1"/>
  <c r="R181" s="1"/>
  <c r="P160"/>
  <c r="Q160"/>
  <c r="K184"/>
  <c r="D184" i="10" s="1"/>
  <c r="E184" s="1"/>
  <c r="L172" i="3"/>
  <c r="P151"/>
  <c r="Q151"/>
  <c r="K175"/>
  <c r="D175" i="10" s="1"/>
  <c r="E175" s="1"/>
  <c r="L163" i="3"/>
  <c r="O258"/>
  <c r="N270"/>
  <c r="H270" i="10" s="1"/>
  <c r="I270" s="1"/>
  <c r="R126" i="3"/>
  <c r="T126" s="1"/>
  <c r="W126" s="1"/>
  <c r="X126" s="1"/>
  <c r="Z126" s="1"/>
  <c r="R139"/>
  <c r="T139" s="1"/>
  <c r="W139" s="1"/>
  <c r="X139" s="1"/>
  <c r="Z139" s="1"/>
  <c r="Q68" i="10"/>
  <c r="R68" s="1"/>
  <c r="Q69"/>
  <c r="R69" s="1"/>
  <c r="AE102" i="3"/>
  <c r="AF102"/>
  <c r="AG102" s="1"/>
  <c r="AF143"/>
  <c r="AG143" s="1"/>
  <c r="AE143"/>
  <c r="P138"/>
  <c r="Q138"/>
  <c r="K162"/>
  <c r="D162" i="10" s="1"/>
  <c r="E162" s="1"/>
  <c r="L150" i="3"/>
  <c r="O189"/>
  <c r="N201"/>
  <c r="H201" i="10" s="1"/>
  <c r="I201" s="1"/>
  <c r="N257" i="3"/>
  <c r="H257" i="10" s="1"/>
  <c r="I257" s="1"/>
  <c r="O245" i="3"/>
  <c r="O231"/>
  <c r="N243"/>
  <c r="H243" i="10" s="1"/>
  <c r="I243" s="1"/>
  <c r="Y125" i="8"/>
  <c r="AU15" i="1"/>
  <c r="AT17" i="2"/>
  <c r="Z137" i="8"/>
  <c r="BB332" i="2"/>
  <c r="BH332" s="1"/>
  <c r="BA344"/>
  <c r="Z92" i="6"/>
  <c r="BC328" i="3"/>
  <c r="BE328" s="1"/>
  <c r="BG328" s="1"/>
  <c r="Y137" i="6"/>
  <c r="AA137"/>
  <c r="BG319" i="1"/>
  <c r="BJ319" s="1"/>
  <c r="BK319" s="1"/>
  <c r="BF331"/>
  <c r="BB319" i="2"/>
  <c r="BH319" s="1"/>
  <c r="BK319" s="1"/>
  <c r="BA331"/>
  <c r="AA92" i="3"/>
  <c r="BG318" i="1"/>
  <c r="BJ318" s="1"/>
  <c r="BK318" s="1"/>
  <c r="BF330"/>
  <c r="AF137" i="3"/>
  <c r="AG137" s="1"/>
  <c r="BF297" i="2"/>
  <c r="BI297" s="1"/>
  <c r="BE309"/>
  <c r="BB269" i="3"/>
  <c r="BF269" s="1"/>
  <c r="BG269" s="1"/>
  <c r="BA281"/>
  <c r="AX284"/>
  <c r="AY272"/>
  <c r="BF274" i="2"/>
  <c r="BI274" s="1"/>
  <c r="BK274" s="1"/>
  <c r="BE286"/>
  <c r="BC275" i="1"/>
  <c r="BI275" s="1"/>
  <c r="BK275" s="1"/>
  <c r="BB287"/>
  <c r="BF275" i="2"/>
  <c r="BI275" s="1"/>
  <c r="BK275" s="1"/>
  <c r="BE287"/>
  <c r="AY275" i="3"/>
  <c r="BC275" s="1"/>
  <c r="BE275" s="1"/>
  <c r="BG275" s="1"/>
  <c r="AX287"/>
  <c r="BF276" i="2"/>
  <c r="BI276" s="1"/>
  <c r="BE288"/>
  <c r="AY276" i="3"/>
  <c r="BC276" s="1"/>
  <c r="BE276" s="1"/>
  <c r="BG276" s="1"/>
  <c r="AX288"/>
  <c r="AY278"/>
  <c r="BC278" s="1"/>
  <c r="BE278" s="1"/>
  <c r="BG278" s="1"/>
  <c r="AX290"/>
  <c r="AX303"/>
  <c r="AY291"/>
  <c r="AY274"/>
  <c r="BC274" s="1"/>
  <c r="BE274" s="1"/>
  <c r="BG274" s="1"/>
  <c r="AX286"/>
  <c r="BE303" i="2"/>
  <c r="BF291"/>
  <c r="BI291" s="1"/>
  <c r="BK291" s="1"/>
  <c r="BE248" i="3"/>
  <c r="BG248" s="1"/>
  <c r="BE267"/>
  <c r="BG267" s="1"/>
  <c r="BC260"/>
  <c r="BD260"/>
  <c r="BD279"/>
  <c r="BC279"/>
  <c r="BC288" i="1"/>
  <c r="BI288" s="1"/>
  <c r="BB300"/>
  <c r="AK14" i="3"/>
  <c r="AL14" s="1"/>
  <c r="BF160" i="1"/>
  <c r="BG148"/>
  <c r="BJ148" s="1"/>
  <c r="BA208" i="2"/>
  <c r="BB196"/>
  <c r="BH196" s="1"/>
  <c r="BK196" s="1"/>
  <c r="BB160" i="1"/>
  <c r="BC148"/>
  <c r="BI148" s="1"/>
  <c r="BE220" i="2"/>
  <c r="BF208"/>
  <c r="BI208" s="1"/>
  <c r="BB157" i="1"/>
  <c r="BC145"/>
  <c r="BI145" s="1"/>
  <c r="BK145" s="1"/>
  <c r="AX181" i="3"/>
  <c r="AY169"/>
  <c r="BC169" s="1"/>
  <c r="BE169" s="1"/>
  <c r="BG169" s="1"/>
  <c r="BB159" i="1"/>
  <c r="BC147"/>
  <c r="BI147" s="1"/>
  <c r="BA192" i="2"/>
  <c r="BB180"/>
  <c r="BH180" s="1"/>
  <c r="BK180" s="1"/>
  <c r="BA181"/>
  <c r="BB169"/>
  <c r="BH169" s="1"/>
  <c r="BK169" s="1"/>
  <c r="BF159" i="1"/>
  <c r="BG147"/>
  <c r="BJ147" s="1"/>
  <c r="S291"/>
  <c r="R104" i="3"/>
  <c r="T104" s="1"/>
  <c r="W104" s="1"/>
  <c r="X104" s="1"/>
  <c r="Z104" s="1"/>
  <c r="BK135" i="1"/>
  <c r="BB164"/>
  <c r="BC152"/>
  <c r="BI152" s="1"/>
  <c r="BK152" s="1"/>
  <c r="Z155" i="6"/>
  <c r="AG155" i="2"/>
  <c r="W155"/>
  <c r="X155" s="1"/>
  <c r="AM19"/>
  <c r="AA155"/>
  <c r="AS18"/>
  <c r="AN18"/>
  <c r="Z143" i="8"/>
  <c r="AB143" s="1"/>
  <c r="AA143" i="6"/>
  <c r="Y143"/>
  <c r="K197" i="3"/>
  <c r="D197" i="10" s="1"/>
  <c r="E197" s="1"/>
  <c r="L185" i="3"/>
  <c r="N272"/>
  <c r="H272" i="10" s="1"/>
  <c r="I272" s="1"/>
  <c r="O260" i="3"/>
  <c r="L191" i="2"/>
  <c r="M179"/>
  <c r="Q179" s="1"/>
  <c r="N160" i="1"/>
  <c r="O148"/>
  <c r="R148" s="1"/>
  <c r="S148" s="1"/>
  <c r="Z148" s="1"/>
  <c r="K140" i="3"/>
  <c r="D140" i="10" s="1"/>
  <c r="E140" s="1"/>
  <c r="L128" i="3"/>
  <c r="O179" i="2"/>
  <c r="P167"/>
  <c r="R167" s="1"/>
  <c r="S167" s="1"/>
  <c r="Z167" s="1"/>
  <c r="Y131" i="8"/>
  <c r="AA131"/>
  <c r="AA149" i="3"/>
  <c r="Z149" i="6"/>
  <c r="Y112" i="8"/>
  <c r="AA112"/>
  <c r="AA80" i="6"/>
  <c r="Z80" i="8"/>
  <c r="AB80" s="1"/>
  <c r="Y80" i="6"/>
  <c r="AP13"/>
  <c r="AQ13" s="1"/>
  <c r="Z124" i="8"/>
  <c r="AB124" s="1"/>
  <c r="AA124" i="6"/>
  <c r="Y124"/>
  <c r="R161" i="3"/>
  <c r="T161" s="1"/>
  <c r="W161" s="1"/>
  <c r="X161" s="1"/>
  <c r="Z161" s="1"/>
  <c r="AW11" i="8"/>
  <c r="AX11" s="1"/>
  <c r="AQ11"/>
  <c r="P173" i="3"/>
  <c r="Q173"/>
  <c r="Z136" i="6"/>
  <c r="AG136" i="1"/>
  <c r="AF136" s="1"/>
  <c r="AN17"/>
  <c r="W136"/>
  <c r="X136" s="1"/>
  <c r="AA136"/>
  <c r="P116" i="3"/>
  <c r="Q116"/>
  <c r="AW12" i="6"/>
  <c r="AX12" s="1"/>
  <c r="AA68" i="8"/>
  <c r="AP12"/>
  <c r="Y68"/>
  <c r="AL13" i="3"/>
  <c r="AQ13"/>
  <c r="AR13" s="1"/>
  <c r="AF80"/>
  <c r="AG80" s="1"/>
  <c r="AE80"/>
  <c r="AT16" i="1"/>
  <c r="AO16"/>
  <c r="BB153"/>
  <c r="BC141"/>
  <c r="BI141" s="1"/>
  <c r="BK141" s="1"/>
  <c r="BA213" i="2"/>
  <c r="BB201"/>
  <c r="BH201" s="1"/>
  <c r="BK201" s="1"/>
  <c r="AA171" i="6"/>
  <c r="Z171" i="8"/>
  <c r="AB171" s="1"/>
  <c r="Y171" i="6"/>
  <c r="K194" i="3"/>
  <c r="D194" i="10" s="1"/>
  <c r="E194" s="1"/>
  <c r="L182" i="3"/>
  <c r="P182" s="1"/>
  <c r="R182" s="1"/>
  <c r="T182" s="1"/>
  <c r="W182" s="1"/>
  <c r="X182" s="1"/>
  <c r="Z182" s="1"/>
  <c r="AA159" i="8"/>
  <c r="Y159"/>
  <c r="K207" i="3"/>
  <c r="D207" i="10" s="1"/>
  <c r="E207" s="1"/>
  <c r="L195" i="3"/>
  <c r="P195" s="1"/>
  <c r="R195" s="1"/>
  <c r="T195" s="1"/>
  <c r="W195" s="1"/>
  <c r="X195" s="1"/>
  <c r="Y195" s="1"/>
  <c r="Z195" s="1"/>
  <c r="Y158" i="6"/>
  <c r="Z158" i="8"/>
  <c r="AB158" s="1"/>
  <c r="AA158" i="6"/>
  <c r="AA146" i="8"/>
  <c r="Y146"/>
  <c r="AF171" i="3"/>
  <c r="AG171" s="1"/>
  <c r="AE171"/>
  <c r="Z170" i="6"/>
  <c r="AA183" i="3"/>
  <c r="Z183" i="6"/>
  <c r="BC281" i="1"/>
  <c r="BI281" s="1"/>
  <c r="BK281" s="1"/>
  <c r="BB293"/>
  <c r="AF277" i="2"/>
  <c r="BA269"/>
  <c r="BB257"/>
  <c r="BH257" s="1"/>
  <c r="BK257" s="1"/>
  <c r="O233"/>
  <c r="P221"/>
  <c r="R221" s="1"/>
  <c r="S221" s="1"/>
  <c r="L235"/>
  <c r="M223"/>
  <c r="Q223" s="1"/>
  <c r="S223" s="1"/>
  <c r="L309"/>
  <c r="M297"/>
  <c r="Q297" s="1"/>
  <c r="S297" s="1"/>
  <c r="O312"/>
  <c r="P300"/>
  <c r="R300" s="1"/>
  <c r="S300" s="1"/>
  <c r="BE150"/>
  <c r="BF138"/>
  <c r="BI138" s="1"/>
  <c r="AX150" i="3"/>
  <c r="AY138"/>
  <c r="BE176" i="2"/>
  <c r="BF164"/>
  <c r="BI164" s="1"/>
  <c r="BK164" s="1"/>
  <c r="AX165" i="3"/>
  <c r="AY153"/>
  <c r="BC153" s="1"/>
  <c r="BE153" s="1"/>
  <c r="BB206" i="1"/>
  <c r="BC194"/>
  <c r="BI194" s="1"/>
  <c r="BK194" s="1"/>
  <c r="BE114" i="3"/>
  <c r="BG114" s="1"/>
  <c r="BA150" i="2"/>
  <c r="BB138"/>
  <c r="BH138" s="1"/>
  <c r="BA198" i="3"/>
  <c r="BB186"/>
  <c r="BF186" s="1"/>
  <c r="BA187"/>
  <c r="BB175"/>
  <c r="BF175" s="1"/>
  <c r="BG175" s="1"/>
  <c r="BA153"/>
  <c r="BB141"/>
  <c r="BF141" s="1"/>
  <c r="BG141" s="1"/>
  <c r="BF154" i="1"/>
  <c r="BG142"/>
  <c r="BJ142" s="1"/>
  <c r="BK142" s="1"/>
  <c r="BF168"/>
  <c r="BG156"/>
  <c r="BJ156" s="1"/>
  <c r="BK156" s="1"/>
  <c r="BA182" i="2"/>
  <c r="BB170"/>
  <c r="BH170" s="1"/>
  <c r="BK170" s="1"/>
  <c r="L305"/>
  <c r="M293"/>
  <c r="Q293" s="1"/>
  <c r="N305" i="1"/>
  <c r="O293"/>
  <c r="R293" s="1"/>
  <c r="S293" s="1"/>
  <c r="M306" i="2"/>
  <c r="Q306" s="1"/>
  <c r="S306" s="1"/>
  <c r="L318"/>
  <c r="J308" i="1"/>
  <c r="K296"/>
  <c r="Q296" s="1"/>
  <c r="S296" s="1"/>
  <c r="J309"/>
  <c r="K297"/>
  <c r="Q297" s="1"/>
  <c r="S297" s="1"/>
  <c r="O310" i="2"/>
  <c r="P298"/>
  <c r="R298" s="1"/>
  <c r="S298" s="1"/>
  <c r="L313"/>
  <c r="M301"/>
  <c r="Q301" s="1"/>
  <c r="S301" s="1"/>
  <c r="BC126" i="3"/>
  <c r="BD126"/>
  <c r="N314" i="1"/>
  <c r="O302"/>
  <c r="R302" s="1"/>
  <c r="S302" s="1"/>
  <c r="O315" i="2"/>
  <c r="P303"/>
  <c r="R303" s="1"/>
  <c r="S303" s="1"/>
  <c r="N315" i="1"/>
  <c r="O303"/>
  <c r="R303" s="1"/>
  <c r="J316"/>
  <c r="K304"/>
  <c r="Q304" s="1"/>
  <c r="O316" i="2"/>
  <c r="P304"/>
  <c r="R304" s="1"/>
  <c r="J315" i="1"/>
  <c r="K303"/>
  <c r="Q303" s="1"/>
  <c r="S292" i="2"/>
  <c r="M304"/>
  <c r="Q304" s="1"/>
  <c r="L316"/>
  <c r="Y133" i="6" l="1"/>
  <c r="Z165" i="8"/>
  <c r="AB165" s="1"/>
  <c r="Y114" i="6"/>
  <c r="AE92" i="3"/>
  <c r="AG165"/>
  <c r="Z133" i="8"/>
  <c r="AB133" s="1"/>
  <c r="AE158" i="3"/>
  <c r="AA133" i="6"/>
  <c r="AB133"/>
  <c r="AB195" i="3"/>
  <c r="AD195" s="1"/>
  <c r="AB182"/>
  <c r="AD182" s="1"/>
  <c r="AB167" i="2"/>
  <c r="AB148" i="1"/>
  <c r="AB148" i="9" s="1"/>
  <c r="AB139" i="3"/>
  <c r="AD139" s="1"/>
  <c r="AB167"/>
  <c r="AD167" s="1"/>
  <c r="AB106"/>
  <c r="AD106" s="1"/>
  <c r="AB177"/>
  <c r="AD177" s="1"/>
  <c r="AF177" s="1"/>
  <c r="AG177" s="1"/>
  <c r="AB120"/>
  <c r="AD120" s="1"/>
  <c r="AB170"/>
  <c r="AD170" s="1"/>
  <c r="AF170" s="1"/>
  <c r="AG170" s="1"/>
  <c r="AB126"/>
  <c r="AD126" s="1"/>
  <c r="AB148"/>
  <c r="AD148" s="1"/>
  <c r="AF148" s="1"/>
  <c r="AB161"/>
  <c r="AD161" s="1"/>
  <c r="AB104"/>
  <c r="AD104" s="1"/>
  <c r="AE104" s="1"/>
  <c r="AB145"/>
  <c r="AD145" s="1"/>
  <c r="AE145" s="1"/>
  <c r="BD353"/>
  <c r="Y46" i="10"/>
  <c r="AA294" i="2"/>
  <c r="AH285" i="1"/>
  <c r="AH290"/>
  <c r="AH284"/>
  <c r="AG279"/>
  <c r="AF279" s="1"/>
  <c r="AF274" i="2"/>
  <c r="AF276"/>
  <c r="AA211"/>
  <c r="AH268"/>
  <c r="AA269" i="9"/>
  <c r="AF133" i="3"/>
  <c r="AG133" s="1"/>
  <c r="Y153" i="8"/>
  <c r="X58" i="10"/>
  <c r="Q77"/>
  <c r="R77" s="1"/>
  <c r="AF114" i="3"/>
  <c r="AG114" s="1"/>
  <c r="AH279" i="2"/>
  <c r="AA272" i="9"/>
  <c r="AA278"/>
  <c r="AG288" i="2"/>
  <c r="AF288" s="1"/>
  <c r="AG289"/>
  <c r="AF289" s="1"/>
  <c r="Z281" i="9"/>
  <c r="AA281" s="1"/>
  <c r="AA280" i="2"/>
  <c r="AA284" i="1"/>
  <c r="AH273" i="2"/>
  <c r="W279" i="1"/>
  <c r="X279" s="1"/>
  <c r="AH282" i="2"/>
  <c r="AX16" i="9"/>
  <c r="W294" i="2"/>
  <c r="X294" s="1"/>
  <c r="AA285" i="1"/>
  <c r="AG290"/>
  <c r="AF290" s="1"/>
  <c r="AA281"/>
  <c r="AF136" i="3"/>
  <c r="AG136" s="1"/>
  <c r="BK147" i="1"/>
  <c r="W281"/>
  <c r="X281" s="1"/>
  <c r="AA153" i="8"/>
  <c r="X61" i="10"/>
  <c r="Q79"/>
  <c r="R79" s="1"/>
  <c r="X65"/>
  <c r="Y165" i="6"/>
  <c r="BB358" i="3"/>
  <c r="BF358" s="1"/>
  <c r="BA370"/>
  <c r="BB370" s="1"/>
  <c r="BF370" s="1"/>
  <c r="AQ16" i="9"/>
  <c r="W288" i="2"/>
  <c r="X288" s="1"/>
  <c r="AG211"/>
  <c r="AF211" s="1"/>
  <c r="W289"/>
  <c r="X289" s="1"/>
  <c r="AG294"/>
  <c r="AF294" s="1"/>
  <c r="Z285" i="9"/>
  <c r="AA285" s="1"/>
  <c r="AG281" i="1"/>
  <c r="AF281" s="1"/>
  <c r="Z290" i="9"/>
  <c r="AA290" s="1"/>
  <c r="AA290" i="1"/>
  <c r="W290"/>
  <c r="X290" s="1"/>
  <c r="AA288" i="2"/>
  <c r="AA289"/>
  <c r="AG285" i="1"/>
  <c r="AF285" s="1"/>
  <c r="W285"/>
  <c r="X285" s="1"/>
  <c r="AH281"/>
  <c r="AP17" i="9"/>
  <c r="AW17" s="1"/>
  <c r="AX17" s="1"/>
  <c r="AA267"/>
  <c r="AA273"/>
  <c r="Z284"/>
  <c r="AA284" s="1"/>
  <c r="Z279"/>
  <c r="Y279" s="1"/>
  <c r="AG127" i="3"/>
  <c r="X68" i="10"/>
  <c r="S58"/>
  <c r="S59" s="1"/>
  <c r="S60" s="1"/>
  <c r="S61" s="1"/>
  <c r="AB183" i="6"/>
  <c r="AB170"/>
  <c r="AB136"/>
  <c r="AB155"/>
  <c r="AB108"/>
  <c r="AB165"/>
  <c r="AB149"/>
  <c r="AB127"/>
  <c r="AB114"/>
  <c r="W285" i="2"/>
  <c r="X285" s="1"/>
  <c r="AA209"/>
  <c r="W286"/>
  <c r="X286" s="1"/>
  <c r="AG291"/>
  <c r="AF291" s="1"/>
  <c r="AA165" i="6"/>
  <c r="Y137" i="8"/>
  <c r="AB137"/>
  <c r="AA115"/>
  <c r="AB115"/>
  <c r="Z92"/>
  <c r="AB92" s="1"/>
  <c r="AB92" i="6"/>
  <c r="Y121" i="8"/>
  <c r="AB121"/>
  <c r="X268" i="2"/>
  <c r="AA114" i="6"/>
  <c r="W346" i="1"/>
  <c r="AA291" i="2"/>
  <c r="W291"/>
  <c r="X291" s="1"/>
  <c r="AA279" i="1"/>
  <c r="AH279"/>
  <c r="AA285" i="2"/>
  <c r="AG285"/>
  <c r="AH285" s="1"/>
  <c r="AG209"/>
  <c r="AF209" s="1"/>
  <c r="W209"/>
  <c r="X209" s="1"/>
  <c r="AA286"/>
  <c r="AG286"/>
  <c r="AH286" s="1"/>
  <c r="AG284" i="1"/>
  <c r="AF284" s="1"/>
  <c r="W284"/>
  <c r="X284" s="1"/>
  <c r="AG280" i="2"/>
  <c r="AF280" s="1"/>
  <c r="W280"/>
  <c r="X280" s="1"/>
  <c r="BC365" i="3"/>
  <c r="BD365"/>
  <c r="Z291" i="1"/>
  <c r="Z114" i="8"/>
  <c r="Y114" s="1"/>
  <c r="Z303" i="2"/>
  <c r="Z301"/>
  <c r="Z298"/>
  <c r="Z300"/>
  <c r="Z297"/>
  <c r="Z223"/>
  <c r="Z221"/>
  <c r="Z292"/>
  <c r="Z306"/>
  <c r="Y115" i="8"/>
  <c r="AY352" i="3"/>
  <c r="BD352" s="1"/>
  <c r="AX364"/>
  <c r="AY364" s="1"/>
  <c r="Z302" i="1"/>
  <c r="Z297"/>
  <c r="Z296"/>
  <c r="Z293"/>
  <c r="Z346" i="9"/>
  <c r="AA346" s="1"/>
  <c r="AA346" i="1"/>
  <c r="AG346"/>
  <c r="AF346" s="1"/>
  <c r="X69" i="10"/>
  <c r="Y47"/>
  <c r="Y48" s="1"/>
  <c r="Y49" s="1"/>
  <c r="Y50" s="1"/>
  <c r="Y51" s="1"/>
  <c r="Y52" s="1"/>
  <c r="Y53" s="1"/>
  <c r="Y54" s="1"/>
  <c r="Y55" s="1"/>
  <c r="Y56" s="1"/>
  <c r="Y57" s="1"/>
  <c r="AA136" i="9"/>
  <c r="AA121" i="8"/>
  <c r="Z177" i="6"/>
  <c r="AA145" i="3"/>
  <c r="Z148" i="9"/>
  <c r="Y148" s="1"/>
  <c r="AA148" i="3"/>
  <c r="AA127" i="6"/>
  <c r="BC340" i="3"/>
  <c r="BE340" s="1"/>
  <c r="BG340" s="1"/>
  <c r="X60" i="10"/>
  <c r="X67"/>
  <c r="BB344" i="2"/>
  <c r="BH344" s="1"/>
  <c r="BA356"/>
  <c r="AE177" i="3"/>
  <c r="X63" i="10"/>
  <c r="AA177" i="3"/>
  <c r="Z145" i="6"/>
  <c r="Q74" i="10"/>
  <c r="R74" s="1"/>
  <c r="Q76"/>
  <c r="R76" s="1"/>
  <c r="Q78"/>
  <c r="R78" s="1"/>
  <c r="BE353" i="3"/>
  <c r="X64" i="10"/>
  <c r="L106"/>
  <c r="L107" s="1"/>
  <c r="L108" s="1"/>
  <c r="L109" s="1"/>
  <c r="L110" s="1"/>
  <c r="L111" s="1"/>
  <c r="L112" s="1"/>
  <c r="L113" s="1"/>
  <c r="L114" s="1"/>
  <c r="L115" s="1"/>
  <c r="L116" s="1"/>
  <c r="L117" s="1"/>
  <c r="Q71"/>
  <c r="R71" s="1"/>
  <c r="Q72"/>
  <c r="R72" s="1"/>
  <c r="Q75"/>
  <c r="R75" s="1"/>
  <c r="Q73"/>
  <c r="R73" s="1"/>
  <c r="Q70"/>
  <c r="R70" s="1"/>
  <c r="S62"/>
  <c r="S63" s="1"/>
  <c r="S64" s="1"/>
  <c r="S65" s="1"/>
  <c r="S66" s="1"/>
  <c r="S67" s="1"/>
  <c r="S68" s="1"/>
  <c r="S69" s="1"/>
  <c r="AA137" i="8"/>
  <c r="X62" i="10"/>
  <c r="Y127" i="6"/>
  <c r="Z106"/>
  <c r="AA106" i="3"/>
  <c r="F140" i="10"/>
  <c r="K140"/>
  <c r="K197"/>
  <c r="F197"/>
  <c r="S231" i="3"/>
  <c r="J231" i="10"/>
  <c r="S258" i="3"/>
  <c r="J258" i="10"/>
  <c r="F193"/>
  <c r="K179"/>
  <c r="F179"/>
  <c r="F261"/>
  <c r="Y96" i="8"/>
  <c r="AA96"/>
  <c r="AF108" i="3"/>
  <c r="AG108" s="1"/>
  <c r="AE108"/>
  <c r="J177" i="10"/>
  <c r="K177"/>
  <c r="H130"/>
  <c r="I130" s="1"/>
  <c r="N142" i="3"/>
  <c r="O130"/>
  <c r="U76" i="10"/>
  <c r="V76" s="1"/>
  <c r="U77"/>
  <c r="V77" s="1"/>
  <c r="U79"/>
  <c r="V79" s="1"/>
  <c r="U73"/>
  <c r="V73" s="1"/>
  <c r="U71"/>
  <c r="V71" s="1"/>
  <c r="U72"/>
  <c r="V72" s="1"/>
  <c r="U81"/>
  <c r="V81" s="1"/>
  <c r="U78"/>
  <c r="V78" s="1"/>
  <c r="U75"/>
  <c r="V75" s="1"/>
  <c r="U80"/>
  <c r="V80" s="1"/>
  <c r="U74"/>
  <c r="V74" s="1"/>
  <c r="U70"/>
  <c r="V70" s="1"/>
  <c r="D132"/>
  <c r="E132" s="1"/>
  <c r="K144" i="3"/>
  <c r="L132"/>
  <c r="P132" s="1"/>
  <c r="R132" s="1"/>
  <c r="T132" s="1"/>
  <c r="W132" s="1"/>
  <c r="X132" s="1"/>
  <c r="Z132" s="1"/>
  <c r="J145" i="10"/>
  <c r="K145"/>
  <c r="AF94" i="3"/>
  <c r="AG94" s="1"/>
  <c r="AE94"/>
  <c r="Z127" i="8"/>
  <c r="W58" i="10"/>
  <c r="W59" s="1"/>
  <c r="W60" s="1"/>
  <c r="W61" s="1"/>
  <c r="W62" s="1"/>
  <c r="W63" s="1"/>
  <c r="W64" s="1"/>
  <c r="W65" s="1"/>
  <c r="W66" s="1"/>
  <c r="W67" s="1"/>
  <c r="W68" s="1"/>
  <c r="W69" s="1"/>
  <c r="K207"/>
  <c r="F207"/>
  <c r="K194"/>
  <c r="F194"/>
  <c r="S260" i="3"/>
  <c r="J260" i="10"/>
  <c r="S245" i="3"/>
  <c r="J245" i="10"/>
  <c r="S189" i="3"/>
  <c r="T189" s="1"/>
  <c r="W189" s="1"/>
  <c r="X189" s="1"/>
  <c r="Y189" s="1"/>
  <c r="Z189" s="1"/>
  <c r="K162" i="10"/>
  <c r="F162"/>
  <c r="K175"/>
  <c r="F175"/>
  <c r="K184"/>
  <c r="F184"/>
  <c r="S180" i="3"/>
  <c r="J180" i="10"/>
  <c r="S157" i="3"/>
  <c r="T157" s="1"/>
  <c r="W157" s="1"/>
  <c r="X157" s="1"/>
  <c r="Z157" s="1"/>
  <c r="D130" i="10"/>
  <c r="E130" s="1"/>
  <c r="L130" i="3"/>
  <c r="P130" s="1"/>
  <c r="R130" s="1"/>
  <c r="K142"/>
  <c r="F118" i="10"/>
  <c r="Z108" i="8"/>
  <c r="AB108" s="1"/>
  <c r="AA108" i="6"/>
  <c r="Y108"/>
  <c r="AA82" i="8"/>
  <c r="Y82"/>
  <c r="S118" i="3"/>
  <c r="T118" s="1"/>
  <c r="W118" s="1"/>
  <c r="X118" s="1"/>
  <c r="Z118" s="1"/>
  <c r="J118" i="10"/>
  <c r="Z120" i="6"/>
  <c r="AA120" i="3"/>
  <c r="K120" i="10"/>
  <c r="F120"/>
  <c r="AA94" i="6"/>
  <c r="Z94" i="8"/>
  <c r="AB94" s="1"/>
  <c r="Y94" i="6"/>
  <c r="R151" i="3"/>
  <c r="T151" s="1"/>
  <c r="W151" s="1"/>
  <c r="X151" s="1"/>
  <c r="Z151" s="1"/>
  <c r="R160"/>
  <c r="T160" s="1"/>
  <c r="W160" s="1"/>
  <c r="X160" s="1"/>
  <c r="Z160" s="1"/>
  <c r="O243"/>
  <c r="N255"/>
  <c r="H255" i="10" s="1"/>
  <c r="I255" s="1"/>
  <c r="O201" i="3"/>
  <c r="N213"/>
  <c r="H213" i="10" s="1"/>
  <c r="I213" s="1"/>
  <c r="AA165" i="8"/>
  <c r="AA139" i="3"/>
  <c r="Z139" i="6"/>
  <c r="AA167" i="3"/>
  <c r="K191"/>
  <c r="D191" i="10" s="1"/>
  <c r="E191" s="1"/>
  <c r="L179" i="3"/>
  <c r="P179" s="1"/>
  <c r="R179" s="1"/>
  <c r="T179" s="1"/>
  <c r="W179" s="1"/>
  <c r="X179" s="1"/>
  <c r="Z179" s="1"/>
  <c r="AF155"/>
  <c r="AG155" s="1"/>
  <c r="AE155"/>
  <c r="L261"/>
  <c r="P261" s="1"/>
  <c r="R261" s="1"/>
  <c r="K273"/>
  <c r="D273" i="10" s="1"/>
  <c r="E273" s="1"/>
  <c r="N181" i="3"/>
  <c r="H181" i="10" s="1"/>
  <c r="I181" s="1"/>
  <c r="O169" i="3"/>
  <c r="Q80" i="10"/>
  <c r="R80" s="1"/>
  <c r="Q81"/>
  <c r="R81" s="1"/>
  <c r="N269" i="3"/>
  <c r="H269" i="10" s="1"/>
  <c r="I269" s="1"/>
  <c r="O257" i="3"/>
  <c r="P150"/>
  <c r="Q150"/>
  <c r="K174"/>
  <c r="D174" i="10" s="1"/>
  <c r="E174" s="1"/>
  <c r="L162" i="3"/>
  <c r="Z126" i="6"/>
  <c r="AA126" i="3"/>
  <c r="O270"/>
  <c r="N282"/>
  <c r="H282" i="10" s="1"/>
  <c r="I282" s="1"/>
  <c r="P163" i="3"/>
  <c r="Q163"/>
  <c r="K187"/>
  <c r="D187" i="10" s="1"/>
  <c r="E187" s="1"/>
  <c r="L175" i="3"/>
  <c r="P172"/>
  <c r="Q172"/>
  <c r="K196"/>
  <c r="D196" i="10" s="1"/>
  <c r="E196" s="1"/>
  <c r="L184" i="3"/>
  <c r="K205"/>
  <c r="D205" i="10" s="1"/>
  <c r="E205" s="1"/>
  <c r="L193" i="3"/>
  <c r="P193" s="1"/>
  <c r="R193" s="1"/>
  <c r="N204"/>
  <c r="H204" i="10" s="1"/>
  <c r="I204" s="1"/>
  <c r="O192" i="3"/>
  <c r="Y102" i="8"/>
  <c r="AA102"/>
  <c r="R138" i="3"/>
  <c r="T138" s="1"/>
  <c r="W138" s="1"/>
  <c r="X138" s="1"/>
  <c r="Z138" s="1"/>
  <c r="AU16" i="1"/>
  <c r="AT18" i="2"/>
  <c r="AA92" i="6"/>
  <c r="Y92"/>
  <c r="AP14"/>
  <c r="BB331" i="2"/>
  <c r="BH331" s="1"/>
  <c r="BK331" s="1"/>
  <c r="BA343"/>
  <c r="BG331" i="1"/>
  <c r="BF343"/>
  <c r="BG330"/>
  <c r="BF342"/>
  <c r="M318" i="2"/>
  <c r="Q318" s="1"/>
  <c r="S318" s="1"/>
  <c r="L330"/>
  <c r="M316"/>
  <c r="Q316" s="1"/>
  <c r="L328"/>
  <c r="L340" s="1"/>
  <c r="L352" s="1"/>
  <c r="P316"/>
  <c r="R316" s="1"/>
  <c r="O328"/>
  <c r="K316" i="1"/>
  <c r="Q316" s="1"/>
  <c r="J328"/>
  <c r="K315"/>
  <c r="Q315" s="1"/>
  <c r="J327"/>
  <c r="O315"/>
  <c r="R315" s="1"/>
  <c r="N327"/>
  <c r="P315" i="2"/>
  <c r="R315" s="1"/>
  <c r="S315" s="1"/>
  <c r="O327"/>
  <c r="AQ14" i="3"/>
  <c r="AR14" s="1"/>
  <c r="O314" i="1"/>
  <c r="R314" s="1"/>
  <c r="S314" s="1"/>
  <c r="N326"/>
  <c r="M313" i="2"/>
  <c r="Q313" s="1"/>
  <c r="S313" s="1"/>
  <c r="L325"/>
  <c r="L337" s="1"/>
  <c r="L349" s="1"/>
  <c r="P312"/>
  <c r="R312" s="1"/>
  <c r="S312" s="1"/>
  <c r="O324"/>
  <c r="Z104" i="6"/>
  <c r="AK15" i="3"/>
  <c r="AL15" s="1"/>
  <c r="AA104"/>
  <c r="BF303" i="2"/>
  <c r="BI303" s="1"/>
  <c r="BK303" s="1"/>
  <c r="BE315"/>
  <c r="BF390"/>
  <c r="AY303" i="3"/>
  <c r="AX315"/>
  <c r="AX296"/>
  <c r="AY284"/>
  <c r="BC300" i="1"/>
  <c r="BI300" s="1"/>
  <c r="BB312"/>
  <c r="AX298" i="3"/>
  <c r="AY286"/>
  <c r="BC286" s="1"/>
  <c r="BE286" s="1"/>
  <c r="BG286" s="1"/>
  <c r="BC291"/>
  <c r="BD291"/>
  <c r="AX302"/>
  <c r="AY290"/>
  <c r="BC290" s="1"/>
  <c r="BE290" s="1"/>
  <c r="BG290" s="1"/>
  <c r="AY288"/>
  <c r="BC288" s="1"/>
  <c r="BE288" s="1"/>
  <c r="BG288" s="1"/>
  <c r="AX300"/>
  <c r="BE300" i="2"/>
  <c r="BF288"/>
  <c r="BI288" s="1"/>
  <c r="AX299" i="3"/>
  <c r="AY287"/>
  <c r="BC287" s="1"/>
  <c r="BE287" s="1"/>
  <c r="BG287" s="1"/>
  <c r="BE299" i="2"/>
  <c r="BF287"/>
  <c r="BI287" s="1"/>
  <c r="BK287" s="1"/>
  <c r="BC287" i="1"/>
  <c r="BI287" s="1"/>
  <c r="BK287" s="1"/>
  <c r="BB299"/>
  <c r="BE298" i="2"/>
  <c r="BF286"/>
  <c r="BI286" s="1"/>
  <c r="BK286" s="1"/>
  <c r="BC272" i="3"/>
  <c r="BD272"/>
  <c r="BB281"/>
  <c r="BF281" s="1"/>
  <c r="BG281" s="1"/>
  <c r="BA293"/>
  <c r="BF309" i="2"/>
  <c r="BI309" s="1"/>
  <c r="BE321"/>
  <c r="BE279" i="3"/>
  <c r="BG279" s="1"/>
  <c r="BE260"/>
  <c r="BG260" s="1"/>
  <c r="P310" i="2"/>
  <c r="R310" s="1"/>
  <c r="S310" s="1"/>
  <c r="O322"/>
  <c r="K309" i="1"/>
  <c r="Q309" s="1"/>
  <c r="S309" s="1"/>
  <c r="J321"/>
  <c r="M309" i="2"/>
  <c r="Q309" s="1"/>
  <c r="S309" s="1"/>
  <c r="L321"/>
  <c r="BE232"/>
  <c r="BF220"/>
  <c r="BI220" s="1"/>
  <c r="BB172" i="1"/>
  <c r="BC160"/>
  <c r="BI160" s="1"/>
  <c r="BA220" i="2"/>
  <c r="BB208"/>
  <c r="BH208" s="1"/>
  <c r="BK208" s="1"/>
  <c r="BF172" i="1"/>
  <c r="BG160"/>
  <c r="BJ160" s="1"/>
  <c r="BK148"/>
  <c r="K308"/>
  <c r="Q308" s="1"/>
  <c r="S308" s="1"/>
  <c r="J320"/>
  <c r="S304" i="2"/>
  <c r="X211"/>
  <c r="BF171" i="1"/>
  <c r="BG159"/>
  <c r="BJ159" s="1"/>
  <c r="BA193" i="2"/>
  <c r="BB181"/>
  <c r="BH181" s="1"/>
  <c r="BK181" s="1"/>
  <c r="BA204"/>
  <c r="BB192"/>
  <c r="BH192" s="1"/>
  <c r="BK192" s="1"/>
  <c r="BB171" i="1"/>
  <c r="BC159"/>
  <c r="BI159" s="1"/>
  <c r="AX193" i="3"/>
  <c r="AY181"/>
  <c r="BC181" s="1"/>
  <c r="BE181" s="1"/>
  <c r="BG181" s="1"/>
  <c r="BB169" i="1"/>
  <c r="BC157"/>
  <c r="BI157" s="1"/>
  <c r="BK157" s="1"/>
  <c r="BB176"/>
  <c r="BC164"/>
  <c r="BI164" s="1"/>
  <c r="BK164" s="1"/>
  <c r="R116" i="3"/>
  <c r="T116" s="1"/>
  <c r="W116" s="1"/>
  <c r="X116" s="1"/>
  <c r="Z116" s="1"/>
  <c r="R173"/>
  <c r="T173" s="1"/>
  <c r="W173" s="1"/>
  <c r="X173" s="1"/>
  <c r="Z173" s="1"/>
  <c r="AG92"/>
  <c r="Z167" i="6"/>
  <c r="AA167" i="2"/>
  <c r="AG167"/>
  <c r="W167"/>
  <c r="X167" s="1"/>
  <c r="AM20"/>
  <c r="AA161" i="3"/>
  <c r="Z161" i="6"/>
  <c r="AA124" i="8"/>
  <c r="Y124"/>
  <c r="P128" i="3"/>
  <c r="Q128"/>
  <c r="Z148" i="6"/>
  <c r="W148" i="1"/>
  <c r="X148" s="1"/>
  <c r="AN18"/>
  <c r="AG148"/>
  <c r="AF148" s="1"/>
  <c r="AA148"/>
  <c r="P185" i="3"/>
  <c r="Q185"/>
  <c r="AA143" i="8"/>
  <c r="Y143"/>
  <c r="Y155" i="6"/>
  <c r="AA155"/>
  <c r="Z155" i="8"/>
  <c r="AB155" s="1"/>
  <c r="AQ12"/>
  <c r="AW12"/>
  <c r="AX12" s="1"/>
  <c r="AT17" i="1"/>
  <c r="AO17"/>
  <c r="Y136" i="6"/>
  <c r="AA136"/>
  <c r="Z136" i="8"/>
  <c r="AB136" s="1"/>
  <c r="AW13" i="6"/>
  <c r="AX13" s="1"/>
  <c r="Y80" i="8"/>
  <c r="AA80"/>
  <c r="AP13"/>
  <c r="Z149"/>
  <c r="AB149" s="1"/>
  <c r="Y149" i="6"/>
  <c r="AA149"/>
  <c r="AF149" i="3"/>
  <c r="AG149" s="1"/>
  <c r="AE149"/>
  <c r="O191" i="2"/>
  <c r="P179"/>
  <c r="R179" s="1"/>
  <c r="S179" s="1"/>
  <c r="Z179" s="1"/>
  <c r="K152" i="3"/>
  <c r="D152" i="10" s="1"/>
  <c r="E152" s="1"/>
  <c r="L140" i="3"/>
  <c r="N172" i="1"/>
  <c r="O160"/>
  <c r="R160" s="1"/>
  <c r="S160" s="1"/>
  <c r="Z160" s="1"/>
  <c r="L203" i="2"/>
  <c r="M191"/>
  <c r="Q191" s="1"/>
  <c r="N284" i="3"/>
  <c r="H284" i="10" s="1"/>
  <c r="I284" s="1"/>
  <c r="O272" i="3"/>
  <c r="K209"/>
  <c r="D209" i="10" s="1"/>
  <c r="E209" s="1"/>
  <c r="L197" i="3"/>
  <c r="AS19" i="2"/>
  <c r="AN19"/>
  <c r="BK138"/>
  <c r="BA225"/>
  <c r="BB213"/>
  <c r="BH213" s="1"/>
  <c r="BK213" s="1"/>
  <c r="BB165" i="1"/>
  <c r="BC153"/>
  <c r="BI153" s="1"/>
  <c r="BK153" s="1"/>
  <c r="Z183" i="8"/>
  <c r="AB183" s="1"/>
  <c r="Y183" i="6"/>
  <c r="AA183"/>
  <c r="AA195" i="3"/>
  <c r="Z195" i="6"/>
  <c r="Z182"/>
  <c r="AA182" i="3"/>
  <c r="BB305" i="1"/>
  <c r="BC293"/>
  <c r="BI293" s="1"/>
  <c r="BK293" s="1"/>
  <c r="AF183" i="3"/>
  <c r="AG183" s="1"/>
  <c r="AE183"/>
  <c r="Y170" i="6"/>
  <c r="AA170"/>
  <c r="Z170" i="8"/>
  <c r="AB170" s="1"/>
  <c r="Y158"/>
  <c r="AA158"/>
  <c r="K219" i="3"/>
  <c r="D219" i="10" s="1"/>
  <c r="E219" s="1"/>
  <c r="L207" i="3"/>
  <c r="P207" s="1"/>
  <c r="R207" s="1"/>
  <c r="T207" s="1"/>
  <c r="W207" s="1"/>
  <c r="X207" s="1"/>
  <c r="Y207" s="1"/>
  <c r="Z207" s="1"/>
  <c r="K206"/>
  <c r="D206" i="10" s="1"/>
  <c r="E206" s="1"/>
  <c r="L194" i="3"/>
  <c r="P194" s="1"/>
  <c r="R194" s="1"/>
  <c r="T194" s="1"/>
  <c r="W194" s="1"/>
  <c r="X194" s="1"/>
  <c r="Y194" s="1"/>
  <c r="Z194" s="1"/>
  <c r="AA171" i="8"/>
  <c r="Y171"/>
  <c r="BA194" i="2"/>
  <c r="BB182"/>
  <c r="BH182" s="1"/>
  <c r="BK182" s="1"/>
  <c r="BF180" i="1"/>
  <c r="BG168"/>
  <c r="BJ168" s="1"/>
  <c r="BK168" s="1"/>
  <c r="BF166"/>
  <c r="BG154"/>
  <c r="BJ154" s="1"/>
  <c r="BK154" s="1"/>
  <c r="BA165" i="3"/>
  <c r="BB153"/>
  <c r="BF153" s="1"/>
  <c r="BG153" s="1"/>
  <c r="BA199"/>
  <c r="BB187"/>
  <c r="BF187" s="1"/>
  <c r="BG187" s="1"/>
  <c r="BA210"/>
  <c r="BB198"/>
  <c r="BF198" s="1"/>
  <c r="BA162" i="2"/>
  <c r="BB150"/>
  <c r="BH150" s="1"/>
  <c r="BB218" i="1"/>
  <c r="BC206"/>
  <c r="BI206" s="1"/>
  <c r="BK206" s="1"/>
  <c r="AX177" i="3"/>
  <c r="AY165"/>
  <c r="BC165" s="1"/>
  <c r="BE165" s="1"/>
  <c r="BE188" i="2"/>
  <c r="BF176"/>
  <c r="BI176" s="1"/>
  <c r="BK176" s="1"/>
  <c r="AX162" i="3"/>
  <c r="AY150"/>
  <c r="BE162" i="2"/>
  <c r="BF150"/>
  <c r="BI150" s="1"/>
  <c r="L247"/>
  <c r="M235"/>
  <c r="Q235" s="1"/>
  <c r="S235" s="1"/>
  <c r="O245"/>
  <c r="P233"/>
  <c r="R233" s="1"/>
  <c r="S233" s="1"/>
  <c r="BB269"/>
  <c r="BH269" s="1"/>
  <c r="BK269" s="1"/>
  <c r="BA281"/>
  <c r="BE126" i="3"/>
  <c r="BG126" s="1"/>
  <c r="O305" i="1"/>
  <c r="R305" s="1"/>
  <c r="S305" s="1"/>
  <c r="N317"/>
  <c r="M305" i="2"/>
  <c r="Q305" s="1"/>
  <c r="L317"/>
  <c r="BC138" i="3"/>
  <c r="BD138"/>
  <c r="S303" i="1"/>
  <c r="Y165" i="8" l="1"/>
  <c r="AE170" i="3"/>
  <c r="AA133" i="8"/>
  <c r="Y133"/>
  <c r="AE148" i="3"/>
  <c r="AB207"/>
  <c r="AD207" s="1"/>
  <c r="AH291" i="2"/>
  <c r="AB160" i="1"/>
  <c r="AB160" i="9" s="1"/>
  <c r="AB179" i="2"/>
  <c r="AB138" i="3"/>
  <c r="AD138" s="1"/>
  <c r="AB173"/>
  <c r="AD173" s="1"/>
  <c r="AE173" s="1"/>
  <c r="AB189"/>
  <c r="AD189" s="1"/>
  <c r="AE189" s="1"/>
  <c r="AB116"/>
  <c r="AD116" s="1"/>
  <c r="AB118"/>
  <c r="AD118" s="1"/>
  <c r="AH289" i="2"/>
  <c r="AB194" i="3"/>
  <c r="AD194" s="1"/>
  <c r="AB179"/>
  <c r="AD179" s="1"/>
  <c r="AG148"/>
  <c r="AB132"/>
  <c r="AD132" s="1"/>
  <c r="BC352"/>
  <c r="BE352" s="1"/>
  <c r="BG352" s="1"/>
  <c r="AG297" i="2"/>
  <c r="AF297" s="1"/>
  <c r="AH302" i="1"/>
  <c r="AW14" i="6"/>
  <c r="AX14" s="1"/>
  <c r="AQ14"/>
  <c r="AG306" i="2"/>
  <c r="AH306" s="1"/>
  <c r="X77" i="10"/>
  <c r="AA300" i="2"/>
  <c r="AG221"/>
  <c r="AF221" s="1"/>
  <c r="AH296" i="1"/>
  <c r="W223" i="2"/>
  <c r="X223" s="1"/>
  <c r="AG298"/>
  <c r="AF298" s="1"/>
  <c r="X79" i="10"/>
  <c r="Y58"/>
  <c r="Y59" s="1"/>
  <c r="Y60" s="1"/>
  <c r="Y61" s="1"/>
  <c r="Y62" s="1"/>
  <c r="Y63" s="1"/>
  <c r="Y64" s="1"/>
  <c r="Y65" s="1"/>
  <c r="Y66" s="1"/>
  <c r="Y67" s="1"/>
  <c r="Y68" s="1"/>
  <c r="Y69" s="1"/>
  <c r="Y285" i="9"/>
  <c r="AG303" i="2"/>
  <c r="AF303" s="1"/>
  <c r="Y290" i="9"/>
  <c r="AG293" i="1"/>
  <c r="AF293" s="1"/>
  <c r="W292" i="2"/>
  <c r="X292" s="1"/>
  <c r="W300"/>
  <c r="X300" s="1"/>
  <c r="AH288"/>
  <c r="Z297" i="9"/>
  <c r="Y297" s="1"/>
  <c r="AA223" i="2"/>
  <c r="AA301"/>
  <c r="Y281" i="9"/>
  <c r="AA292" i="2"/>
  <c r="AA293" i="1"/>
  <c r="W301" i="2"/>
  <c r="X301" s="1"/>
  <c r="AQ17" i="9"/>
  <c r="AH294" i="2"/>
  <c r="AG223"/>
  <c r="AF223" s="1"/>
  <c r="AG297" i="1"/>
  <c r="AF297" s="1"/>
  <c r="BK160"/>
  <c r="S315"/>
  <c r="Z315" s="1"/>
  <c r="AG292" i="2"/>
  <c r="AH292" s="1"/>
  <c r="W293" i="1"/>
  <c r="X293" s="1"/>
  <c r="AG300" i="2"/>
  <c r="AH300" s="1"/>
  <c r="AF285"/>
  <c r="AF286"/>
  <c r="AA297" i="1"/>
  <c r="AH293"/>
  <c r="W297"/>
  <c r="X297" s="1"/>
  <c r="AG301" i="2"/>
  <c r="AF301" s="1"/>
  <c r="AH297" i="1"/>
  <c r="AP14" i="8"/>
  <c r="AW14" s="1"/>
  <c r="AG296" i="1"/>
  <c r="AF296" s="1"/>
  <c r="AA302"/>
  <c r="W306" i="2"/>
  <c r="X306" s="1"/>
  <c r="W221"/>
  <c r="X221" s="1"/>
  <c r="AA297"/>
  <c r="AA298"/>
  <c r="AA303"/>
  <c r="Y92" i="8"/>
  <c r="AA92"/>
  <c r="W296" i="1"/>
  <c r="X296" s="1"/>
  <c r="W302"/>
  <c r="X302" s="1"/>
  <c r="AA306" i="2"/>
  <c r="AA221"/>
  <c r="W297"/>
  <c r="X297" s="1"/>
  <c r="W298"/>
  <c r="X298" s="1"/>
  <c r="W303"/>
  <c r="X303" s="1"/>
  <c r="W291" i="1"/>
  <c r="X291" s="1"/>
  <c r="Y284" i="9"/>
  <c r="AG302" i="1"/>
  <c r="AF302" s="1"/>
  <c r="AA296"/>
  <c r="AG291"/>
  <c r="AF291" s="1"/>
  <c r="AA291"/>
  <c r="AA279" i="9"/>
  <c r="Z293"/>
  <c r="Y293" s="1"/>
  <c r="BB356" i="2"/>
  <c r="BH356" s="1"/>
  <c r="BA368"/>
  <c r="BB368" s="1"/>
  <c r="BH368" s="1"/>
  <c r="AB148" i="6"/>
  <c r="AB167"/>
  <c r="AB104"/>
  <c r="AB126"/>
  <c r="AB120"/>
  <c r="AB145"/>
  <c r="AB177"/>
  <c r="AB182"/>
  <c r="AB195"/>
  <c r="AB161"/>
  <c r="AB139"/>
  <c r="AB106"/>
  <c r="AA114" i="8"/>
  <c r="AB114"/>
  <c r="AA127"/>
  <c r="AB127"/>
  <c r="AA151" i="3"/>
  <c r="AB151"/>
  <c r="AD151" s="1"/>
  <c r="AE151" s="1"/>
  <c r="AB160"/>
  <c r="AD160" s="1"/>
  <c r="AE160" s="1"/>
  <c r="AA157"/>
  <c r="AB157"/>
  <c r="AD157" s="1"/>
  <c r="AF157" s="1"/>
  <c r="Z145" i="8"/>
  <c r="AB145" s="1"/>
  <c r="AA177" i="6"/>
  <c r="Z296" i="9"/>
  <c r="Y296" s="1"/>
  <c r="Z302"/>
  <c r="AA302" s="1"/>
  <c r="Z291"/>
  <c r="AA291" s="1"/>
  <c r="AH280" i="2"/>
  <c r="AH291" i="1"/>
  <c r="BE365" i="3"/>
  <c r="AP18" i="9"/>
  <c r="AW18" s="1"/>
  <c r="AX18" s="1"/>
  <c r="Z304" i="2"/>
  <c r="Z309"/>
  <c r="Z310"/>
  <c r="Z313"/>
  <c r="M352"/>
  <c r="L364"/>
  <c r="M364" s="1"/>
  <c r="Z233"/>
  <c r="Z235"/>
  <c r="Z312"/>
  <c r="Z315"/>
  <c r="Z318"/>
  <c r="BD364" i="3"/>
  <c r="BC364"/>
  <c r="Z303" i="1"/>
  <c r="Z305"/>
  <c r="Z308"/>
  <c r="Z309"/>
  <c r="Z314"/>
  <c r="Q87" i="10"/>
  <c r="R87" s="1"/>
  <c r="AA148" i="9"/>
  <c r="AF145" i="3"/>
  <c r="AG145" s="1"/>
  <c r="X80" i="10"/>
  <c r="Q86"/>
  <c r="R86" s="1"/>
  <c r="Z177" i="8"/>
  <c r="Y177" s="1"/>
  <c r="Z160" i="9"/>
  <c r="Y160" s="1"/>
  <c r="AA189" i="3"/>
  <c r="AA160"/>
  <c r="Z157" i="6"/>
  <c r="Y177"/>
  <c r="M349" i="2"/>
  <c r="L361"/>
  <c r="X72" i="10"/>
  <c r="X73"/>
  <c r="Y145" i="6"/>
  <c r="X74" i="10"/>
  <c r="X75"/>
  <c r="X71"/>
  <c r="Q90"/>
  <c r="R90" s="1"/>
  <c r="X78"/>
  <c r="Y127" i="8"/>
  <c r="X81" i="10"/>
  <c r="S70"/>
  <c r="S71" s="1"/>
  <c r="S72" s="1"/>
  <c r="S73" s="1"/>
  <c r="S74" s="1"/>
  <c r="S75" s="1"/>
  <c r="S76" s="1"/>
  <c r="S77" s="1"/>
  <c r="S78" s="1"/>
  <c r="S79" s="1"/>
  <c r="S80" s="1"/>
  <c r="S81" s="1"/>
  <c r="Z189" i="6"/>
  <c r="Q89" i="10"/>
  <c r="R89" s="1"/>
  <c r="Q91"/>
  <c r="R91" s="1"/>
  <c r="X70"/>
  <c r="S316" i="2"/>
  <c r="AA145" i="6"/>
  <c r="Q84" i="10"/>
  <c r="R84" s="1"/>
  <c r="Q88"/>
  <c r="R88" s="1"/>
  <c r="Q82"/>
  <c r="R82" s="1"/>
  <c r="Q85"/>
  <c r="R85" s="1"/>
  <c r="Q83"/>
  <c r="R83" s="1"/>
  <c r="BG343" i="1"/>
  <c r="BJ343" s="1"/>
  <c r="BK343" s="1"/>
  <c r="BF355"/>
  <c r="BB343" i="2"/>
  <c r="BH343" s="1"/>
  <c r="BK343" s="1"/>
  <c r="BA355"/>
  <c r="X76" i="10"/>
  <c r="BG342" i="1"/>
  <c r="BF354"/>
  <c r="Z118" i="6"/>
  <c r="AA118" i="3"/>
  <c r="K206" i="10"/>
  <c r="F206"/>
  <c r="K219"/>
  <c r="F219"/>
  <c r="S272" i="3"/>
  <c r="J272" i="10"/>
  <c r="F205"/>
  <c r="F273"/>
  <c r="Y94" i="8"/>
  <c r="AA94"/>
  <c r="AE120" i="3"/>
  <c r="AF120"/>
  <c r="AG120" s="1"/>
  <c r="D142" i="10"/>
  <c r="E142" s="1"/>
  <c r="K154" i="3"/>
  <c r="Q95" i="10" s="1"/>
  <c r="R95" s="1"/>
  <c r="L142" i="3"/>
  <c r="P142" s="1"/>
  <c r="R142" s="1"/>
  <c r="F130" i="10"/>
  <c r="Z132" i="6"/>
  <c r="AA132" i="3"/>
  <c r="K132" i="10"/>
  <c r="F132"/>
  <c r="U84"/>
  <c r="V84" s="1"/>
  <c r="H142"/>
  <c r="I142" s="1"/>
  <c r="U82"/>
  <c r="V82" s="1"/>
  <c r="U83"/>
  <c r="V83" s="1"/>
  <c r="U85"/>
  <c r="V85" s="1"/>
  <c r="N154" i="3"/>
  <c r="O142"/>
  <c r="U91" i="10"/>
  <c r="V91" s="1"/>
  <c r="U90"/>
  <c r="V90" s="1"/>
  <c r="U87"/>
  <c r="V87" s="1"/>
  <c r="U93"/>
  <c r="V93" s="1"/>
  <c r="U92"/>
  <c r="V92" s="1"/>
  <c r="U86"/>
  <c r="V86" s="1"/>
  <c r="X86" s="1"/>
  <c r="U88"/>
  <c r="V88" s="1"/>
  <c r="U89"/>
  <c r="V89" s="1"/>
  <c r="AF106" i="3"/>
  <c r="AG106" s="1"/>
  <c r="AE106"/>
  <c r="K209" i="10"/>
  <c r="F209"/>
  <c r="K152"/>
  <c r="F152"/>
  <c r="S192" i="3"/>
  <c r="J192" i="10"/>
  <c r="K196"/>
  <c r="F196"/>
  <c r="K187"/>
  <c r="F187"/>
  <c r="S270" i="3"/>
  <c r="J270" i="10"/>
  <c r="K174"/>
  <c r="F174"/>
  <c r="S257" i="3"/>
  <c r="J257" i="10"/>
  <c r="S169" i="3"/>
  <c r="T169" s="1"/>
  <c r="W169" s="1"/>
  <c r="X169" s="1"/>
  <c r="Z169" s="1"/>
  <c r="K191" i="10"/>
  <c r="F191"/>
  <c r="S201" i="3"/>
  <c r="T201" s="1"/>
  <c r="W201" s="1"/>
  <c r="X201" s="1"/>
  <c r="Y201" s="1"/>
  <c r="Z201" s="1"/>
  <c r="S243"/>
  <c r="J243" i="10"/>
  <c r="Z120" i="8"/>
  <c r="AB120" s="1"/>
  <c r="AA120" i="6"/>
  <c r="Y120"/>
  <c r="AA108" i="8"/>
  <c r="Y108"/>
  <c r="J157" i="10"/>
  <c r="K157"/>
  <c r="J189"/>
  <c r="K189"/>
  <c r="D144"/>
  <c r="E144" s="1"/>
  <c r="L144" i="3"/>
  <c r="P144" s="1"/>
  <c r="R144" s="1"/>
  <c r="T144" s="1"/>
  <c r="W144" s="1"/>
  <c r="X144" s="1"/>
  <c r="Z144" s="1"/>
  <c r="K156"/>
  <c r="S130"/>
  <c r="T130" s="1"/>
  <c r="W130" s="1"/>
  <c r="X130" s="1"/>
  <c r="Z130" s="1"/>
  <c r="J130" i="10"/>
  <c r="Z106" i="8"/>
  <c r="AB106" s="1"/>
  <c r="AA106" i="6"/>
  <c r="Y106"/>
  <c r="K118" i="10"/>
  <c r="L118" s="1"/>
  <c r="L119" s="1"/>
  <c r="L120" s="1"/>
  <c r="L121" s="1"/>
  <c r="L122" s="1"/>
  <c r="L123" s="1"/>
  <c r="L124" s="1"/>
  <c r="L125" s="1"/>
  <c r="L126" s="1"/>
  <c r="L127" s="1"/>
  <c r="L128" s="1"/>
  <c r="L129" s="1"/>
  <c r="W70"/>
  <c r="W71" s="1"/>
  <c r="W72" s="1"/>
  <c r="W73" s="1"/>
  <c r="W74" s="1"/>
  <c r="W75" s="1"/>
  <c r="W76" s="1"/>
  <c r="W77" s="1"/>
  <c r="W78" s="1"/>
  <c r="W79" s="1"/>
  <c r="W80" s="1"/>
  <c r="W81" s="1"/>
  <c r="AF104" i="3"/>
  <c r="AG104" s="1"/>
  <c r="Z151" i="6"/>
  <c r="R163" i="3"/>
  <c r="T163" s="1"/>
  <c r="W163" s="1"/>
  <c r="X163" s="1"/>
  <c r="Z163" s="1"/>
  <c r="Z138" i="6"/>
  <c r="AA138" i="3"/>
  <c r="K217"/>
  <c r="D217" i="10" s="1"/>
  <c r="E217" s="1"/>
  <c r="L205" i="3"/>
  <c r="P205" s="1"/>
  <c r="R205" s="1"/>
  <c r="P175"/>
  <c r="Q175"/>
  <c r="K199"/>
  <c r="D199" i="10" s="1"/>
  <c r="E199" s="1"/>
  <c r="L187" i="3"/>
  <c r="Z126" i="8"/>
  <c r="AB126" s="1"/>
  <c r="Y126" i="6"/>
  <c r="AA126"/>
  <c r="N281" i="3"/>
  <c r="H281" i="10" s="1"/>
  <c r="I281" s="1"/>
  <c r="O269" i="3"/>
  <c r="AA179"/>
  <c r="K203"/>
  <c r="D203" i="10" s="1"/>
  <c r="E203" s="1"/>
  <c r="L191" i="3"/>
  <c r="P191" s="1"/>
  <c r="R191" s="1"/>
  <c r="T191" s="1"/>
  <c r="W191" s="1"/>
  <c r="X191" s="1"/>
  <c r="Y191" s="1"/>
  <c r="Z191" s="1"/>
  <c r="Z139" i="8"/>
  <c r="AB139" s="1"/>
  <c r="Y139" i="6"/>
  <c r="AA139"/>
  <c r="N225" i="3"/>
  <c r="H225" i="10" s="1"/>
  <c r="I225" s="1"/>
  <c r="O213" i="3"/>
  <c r="N267"/>
  <c r="H267" i="10" s="1"/>
  <c r="I267" s="1"/>
  <c r="O255" i="3"/>
  <c r="R172"/>
  <c r="T172" s="1"/>
  <c r="W172" s="1"/>
  <c r="X172" s="1"/>
  <c r="Z172" s="1"/>
  <c r="R150"/>
  <c r="T150" s="1"/>
  <c r="W150" s="1"/>
  <c r="X150" s="1"/>
  <c r="Z150" s="1"/>
  <c r="Q93" i="10"/>
  <c r="R93" s="1"/>
  <c r="Q92"/>
  <c r="R92" s="1"/>
  <c r="N216" i="3"/>
  <c r="H216" i="10" s="1"/>
  <c r="I216" s="1"/>
  <c r="O204" i="3"/>
  <c r="P184"/>
  <c r="Q184"/>
  <c r="K208"/>
  <c r="D208" i="10" s="1"/>
  <c r="E208" s="1"/>
  <c r="L196" i="3"/>
  <c r="N294"/>
  <c r="H294" i="10" s="1"/>
  <c r="I294" s="1"/>
  <c r="O282" i="3"/>
  <c r="AF126"/>
  <c r="AG126" s="1"/>
  <c r="AE126"/>
  <c r="P162"/>
  <c r="Q162"/>
  <c r="K186"/>
  <c r="D186" i="10" s="1"/>
  <c r="E186" s="1"/>
  <c r="L174" i="3"/>
  <c r="N193"/>
  <c r="H193" i="10" s="1"/>
  <c r="I193" s="1"/>
  <c r="O181" i="3"/>
  <c r="L273"/>
  <c r="P273" s="1"/>
  <c r="R273" s="1"/>
  <c r="K285"/>
  <c r="D285" i="10" s="1"/>
  <c r="E285" s="1"/>
  <c r="AE167" i="3"/>
  <c r="AF167"/>
  <c r="AG167" s="1"/>
  <c r="AE139"/>
  <c r="AF139"/>
  <c r="AG139" s="1"/>
  <c r="AT19" i="2"/>
  <c r="AU17" i="1"/>
  <c r="Z104" i="8"/>
  <c r="AA104" s="1"/>
  <c r="M330" i="2"/>
  <c r="L342"/>
  <c r="K328" i="1"/>
  <c r="Q328" s="1"/>
  <c r="J340"/>
  <c r="P328" i="2"/>
  <c r="R328" s="1"/>
  <c r="O340"/>
  <c r="M328"/>
  <c r="Q328" s="1"/>
  <c r="M340"/>
  <c r="P327"/>
  <c r="R327" s="1"/>
  <c r="S327" s="1"/>
  <c r="O339"/>
  <c r="O327" i="1"/>
  <c r="R327" s="1"/>
  <c r="N339"/>
  <c r="K327"/>
  <c r="Q327" s="1"/>
  <c r="J339"/>
  <c r="O326"/>
  <c r="R326" s="1"/>
  <c r="S326" s="1"/>
  <c r="N338"/>
  <c r="M325" i="2"/>
  <c r="Q325" s="1"/>
  <c r="S325" s="1"/>
  <c r="M337"/>
  <c r="P324"/>
  <c r="R324" s="1"/>
  <c r="S324" s="1"/>
  <c r="O336"/>
  <c r="P322"/>
  <c r="R322" s="1"/>
  <c r="S322" s="1"/>
  <c r="O334"/>
  <c r="AA116" i="3"/>
  <c r="M321" i="2"/>
  <c r="Q321" s="1"/>
  <c r="S321" s="1"/>
  <c r="L333"/>
  <c r="K321" i="1"/>
  <c r="Q321" s="1"/>
  <c r="S321" s="1"/>
  <c r="J333"/>
  <c r="BF321" i="2"/>
  <c r="BI321" s="1"/>
  <c r="BE333"/>
  <c r="K320" i="1"/>
  <c r="Q320" s="1"/>
  <c r="S320" s="1"/>
  <c r="J332"/>
  <c r="AQ15" i="3"/>
  <c r="O317" i="1"/>
  <c r="R317" s="1"/>
  <c r="S317" s="1"/>
  <c r="N329"/>
  <c r="M317" i="2"/>
  <c r="Q317" s="1"/>
  <c r="L329"/>
  <c r="BF315"/>
  <c r="BI315" s="1"/>
  <c r="BK315" s="1"/>
  <c r="BE327"/>
  <c r="AY315" i="3"/>
  <c r="BD315" s="1"/>
  <c r="AX327"/>
  <c r="AP15" i="6"/>
  <c r="Y104"/>
  <c r="BC312" i="1"/>
  <c r="BI312" s="1"/>
  <c r="BB324"/>
  <c r="AA104" i="6"/>
  <c r="BB293" i="3"/>
  <c r="BA305"/>
  <c r="BB311" i="1"/>
  <c r="BC299"/>
  <c r="BI299" s="1"/>
  <c r="BK299" s="1"/>
  <c r="AY300" i="3"/>
  <c r="AX312"/>
  <c r="BC284"/>
  <c r="BD284"/>
  <c r="BF298" i="2"/>
  <c r="BI298" s="1"/>
  <c r="BK298" s="1"/>
  <c r="BE310"/>
  <c r="BF385"/>
  <c r="BF299"/>
  <c r="BI299" s="1"/>
  <c r="BK299" s="1"/>
  <c r="BE311"/>
  <c r="BF386"/>
  <c r="AY299" i="3"/>
  <c r="AX311"/>
  <c r="BE312" i="2"/>
  <c r="BF300"/>
  <c r="BI300" s="1"/>
  <c r="AX314" i="3"/>
  <c r="AY302"/>
  <c r="AX310"/>
  <c r="AY298"/>
  <c r="AX308"/>
  <c r="AY296"/>
  <c r="BC303"/>
  <c r="BD303"/>
  <c r="BC399"/>
  <c r="BE272"/>
  <c r="BG272" s="1"/>
  <c r="BE291"/>
  <c r="BG291" s="1"/>
  <c r="AA173"/>
  <c r="AF116"/>
  <c r="Z116" i="6"/>
  <c r="BF184" i="1"/>
  <c r="BG172"/>
  <c r="BJ172" s="1"/>
  <c r="BA232" i="2"/>
  <c r="BB220"/>
  <c r="BH220" s="1"/>
  <c r="BK220" s="1"/>
  <c r="BB184" i="1"/>
  <c r="BC172"/>
  <c r="BI172" s="1"/>
  <c r="BE244" i="2"/>
  <c r="BF232"/>
  <c r="BI232" s="1"/>
  <c r="BB181" i="1"/>
  <c r="BC169"/>
  <c r="BI169" s="1"/>
  <c r="BK169" s="1"/>
  <c r="AX205" i="3"/>
  <c r="AY193"/>
  <c r="BC193" s="1"/>
  <c r="BE193" s="1"/>
  <c r="BG193" s="1"/>
  <c r="BB183" i="1"/>
  <c r="BC171"/>
  <c r="BI171" s="1"/>
  <c r="BA216" i="2"/>
  <c r="BB204"/>
  <c r="BH204" s="1"/>
  <c r="BK204" s="1"/>
  <c r="BA205"/>
  <c r="BB193"/>
  <c r="BH193" s="1"/>
  <c r="BK193" s="1"/>
  <c r="BF183" i="1"/>
  <c r="BG171"/>
  <c r="BJ171" s="1"/>
  <c r="AK16" i="3"/>
  <c r="AL16" s="1"/>
  <c r="BK159" i="1"/>
  <c r="BB188"/>
  <c r="BC176"/>
  <c r="BI176" s="1"/>
  <c r="BK176" s="1"/>
  <c r="Z173" i="6"/>
  <c r="Z179"/>
  <c r="AG179" i="2"/>
  <c r="AF179" s="1"/>
  <c r="AA179"/>
  <c r="W179"/>
  <c r="AM21"/>
  <c r="K221" i="3"/>
  <c r="D221" i="10" s="1"/>
  <c r="E221" s="1"/>
  <c r="L209" i="3"/>
  <c r="N296"/>
  <c r="H296" i="10" s="1"/>
  <c r="I296" s="1"/>
  <c r="O284" i="3"/>
  <c r="L215" i="2"/>
  <c r="M203"/>
  <c r="Q203" s="1"/>
  <c r="N184" i="1"/>
  <c r="O172"/>
  <c r="R172" s="1"/>
  <c r="S172" s="1"/>
  <c r="Z172" s="1"/>
  <c r="K164" i="3"/>
  <c r="D164" i="10" s="1"/>
  <c r="E164" s="1"/>
  <c r="L152" i="3"/>
  <c r="O203" i="2"/>
  <c r="P191"/>
  <c r="R191" s="1"/>
  <c r="S191" s="1"/>
  <c r="Z191" s="1"/>
  <c r="AQ13" i="8"/>
  <c r="AW13"/>
  <c r="AT18" i="1"/>
  <c r="AO18"/>
  <c r="Z148" i="8"/>
  <c r="AB148" s="1"/>
  <c r="Y148" i="6"/>
  <c r="AA148"/>
  <c r="AF161" i="3"/>
  <c r="AG161" s="1"/>
  <c r="AE161"/>
  <c r="AS20" i="2"/>
  <c r="AN20"/>
  <c r="Z167" i="8"/>
  <c r="AB167" s="1"/>
  <c r="AA167" i="6"/>
  <c r="Y167"/>
  <c r="R128" i="3"/>
  <c r="T128" s="1"/>
  <c r="W128" s="1"/>
  <c r="X128" s="1"/>
  <c r="Z128" s="1"/>
  <c r="P197"/>
  <c r="Q197"/>
  <c r="Z160" i="6"/>
  <c r="AA160" i="1"/>
  <c r="W160"/>
  <c r="X160" s="1"/>
  <c r="AN19"/>
  <c r="AG160"/>
  <c r="AF160" s="1"/>
  <c r="P140" i="3"/>
  <c r="Q140"/>
  <c r="Y149" i="8"/>
  <c r="AA149"/>
  <c r="Y136"/>
  <c r="AA136"/>
  <c r="Y155"/>
  <c r="AA155"/>
  <c r="Y161" i="6"/>
  <c r="Z161" i="8"/>
  <c r="AB161" s="1"/>
  <c r="AA161" i="6"/>
  <c r="R185" i="3"/>
  <c r="T185" s="1"/>
  <c r="W185" s="1"/>
  <c r="X185" s="1"/>
  <c r="Z185" s="1"/>
  <c r="BB177" i="1"/>
  <c r="BC165"/>
  <c r="BI165" s="1"/>
  <c r="BK165" s="1"/>
  <c r="BA237" i="2"/>
  <c r="BB225"/>
  <c r="BH225" s="1"/>
  <c r="BK225" s="1"/>
  <c r="BK150"/>
  <c r="AA194" i="3"/>
  <c r="Z194" i="6"/>
  <c r="AA207" i="3"/>
  <c r="Z207" i="6"/>
  <c r="AA170" i="8"/>
  <c r="Y170"/>
  <c r="BB317" i="1"/>
  <c r="BC305"/>
  <c r="BI305" s="1"/>
  <c r="BK305" s="1"/>
  <c r="AE182" i="3"/>
  <c r="AF182"/>
  <c r="AG182" s="1"/>
  <c r="AF195"/>
  <c r="AG195" s="1"/>
  <c r="AE195"/>
  <c r="K218"/>
  <c r="D218" i="10" s="1"/>
  <c r="E218" s="1"/>
  <c r="L206" i="3"/>
  <c r="P206" s="1"/>
  <c r="R206" s="1"/>
  <c r="T206" s="1"/>
  <c r="W206" s="1"/>
  <c r="X206" s="1"/>
  <c r="Y206" s="1"/>
  <c r="Z206" s="1"/>
  <c r="L219"/>
  <c r="P219" s="1"/>
  <c r="R219" s="1"/>
  <c r="T219" s="1"/>
  <c r="W219" s="1"/>
  <c r="X219" s="1"/>
  <c r="Y219" s="1"/>
  <c r="Z219" s="1"/>
  <c r="K231"/>
  <c r="D231" i="10" s="1"/>
  <c r="E231" s="1"/>
  <c r="Z182" i="8"/>
  <c r="AB182" s="1"/>
  <c r="AA182" i="6"/>
  <c r="Y182"/>
  <c r="Z195" i="8"/>
  <c r="AB195" s="1"/>
  <c r="AA195" i="6"/>
  <c r="Y195"/>
  <c r="Y183" i="8"/>
  <c r="AA183"/>
  <c r="O257" i="2"/>
  <c r="P245"/>
  <c r="R245" s="1"/>
  <c r="S245" s="1"/>
  <c r="L259"/>
  <c r="M247"/>
  <c r="Q247" s="1"/>
  <c r="S247" s="1"/>
  <c r="BD150" i="3"/>
  <c r="BC150"/>
  <c r="BA174" i="2"/>
  <c r="BB162"/>
  <c r="BH162" s="1"/>
  <c r="BA222" i="3"/>
  <c r="BB210"/>
  <c r="BF210" s="1"/>
  <c r="BA211"/>
  <c r="BB199"/>
  <c r="BF199" s="1"/>
  <c r="BG199" s="1"/>
  <c r="BA177"/>
  <c r="BB165"/>
  <c r="BF165" s="1"/>
  <c r="BG165" s="1"/>
  <c r="BF178" i="1"/>
  <c r="BG166"/>
  <c r="BJ166" s="1"/>
  <c r="BK166" s="1"/>
  <c r="BF192"/>
  <c r="BG180"/>
  <c r="BJ180" s="1"/>
  <c r="BK180" s="1"/>
  <c r="BA206" i="2"/>
  <c r="BB194"/>
  <c r="BH194" s="1"/>
  <c r="BK194" s="1"/>
  <c r="BE138" i="3"/>
  <c r="BG138" s="1"/>
  <c r="BB281" i="2"/>
  <c r="BH281" s="1"/>
  <c r="BK281" s="1"/>
  <c r="BA293"/>
  <c r="BE174"/>
  <c r="BF162"/>
  <c r="BI162" s="1"/>
  <c r="AX174" i="3"/>
  <c r="AY162"/>
  <c r="BE200" i="2"/>
  <c r="BF188"/>
  <c r="BI188" s="1"/>
  <c r="BK188" s="1"/>
  <c r="AX189" i="3"/>
  <c r="AY177"/>
  <c r="BC177" s="1"/>
  <c r="BE177" s="1"/>
  <c r="BB230" i="1"/>
  <c r="BC218"/>
  <c r="BI218" s="1"/>
  <c r="BK218" s="1"/>
  <c r="AQ15" i="6" l="1"/>
  <c r="AH297" i="2"/>
  <c r="AB206" i="3"/>
  <c r="AD206" s="1"/>
  <c r="AB191"/>
  <c r="AD191" s="1"/>
  <c r="AB144"/>
  <c r="AD144" s="1"/>
  <c r="AB191" i="2"/>
  <c r="AB172" i="1"/>
  <c r="AB172" i="9" s="1"/>
  <c r="AB128" i="3"/>
  <c r="AD128" s="1"/>
  <c r="AB150"/>
  <c r="AD150" s="1"/>
  <c r="AB130"/>
  <c r="AD130" s="1"/>
  <c r="AF306" i="2"/>
  <c r="AB185" i="3"/>
  <c r="AD185" s="1"/>
  <c r="AB172"/>
  <c r="AD172" s="1"/>
  <c r="AF151"/>
  <c r="AG151" s="1"/>
  <c r="AB163"/>
  <c r="AD163" s="1"/>
  <c r="AF163" s="1"/>
  <c r="AG163" s="1"/>
  <c r="AB169"/>
  <c r="AD169" s="1"/>
  <c r="AF169" s="1"/>
  <c r="AG169" s="1"/>
  <c r="AF292" i="2"/>
  <c r="X89" i="10"/>
  <c r="AF300" i="2"/>
  <c r="Z169" i="6"/>
  <c r="AE157" i="3"/>
  <c r="X85" i="10"/>
  <c r="AG233" i="2"/>
  <c r="AF233" s="1"/>
  <c r="AH298"/>
  <c r="Q102" i="10"/>
  <c r="R102" s="1"/>
  <c r="Q97"/>
  <c r="R97" s="1"/>
  <c r="M361" i="2"/>
  <c r="Q361" s="1"/>
  <c r="S361" s="1"/>
  <c r="L373"/>
  <c r="M373" s="1"/>
  <c r="Q373" s="1"/>
  <c r="S373" s="1"/>
  <c r="Z373" s="1"/>
  <c r="AH303"/>
  <c r="AA297" i="9"/>
  <c r="AH305" i="1"/>
  <c r="W235" i="2"/>
  <c r="X235" s="1"/>
  <c r="AG314" i="1"/>
  <c r="AF314" s="1"/>
  <c r="AA303"/>
  <c r="AH308"/>
  <c r="AA315"/>
  <c r="AA313" i="2"/>
  <c r="AA318"/>
  <c r="W303" i="1"/>
  <c r="X303" s="1"/>
  <c r="W314"/>
  <c r="X314" s="1"/>
  <c r="AH309"/>
  <c r="AA315" i="2"/>
  <c r="W309"/>
  <c r="X309" s="1"/>
  <c r="AH301"/>
  <c r="BK171" i="1"/>
  <c r="AF160" i="3"/>
  <c r="AG160" s="1"/>
  <c r="S328" i="2"/>
  <c r="Z328" s="1"/>
  <c r="AA160" i="9"/>
  <c r="X91" i="10"/>
  <c r="X83"/>
  <c r="AQ14" i="8"/>
  <c r="AA309" i="2"/>
  <c r="AA308" i="1"/>
  <c r="AQ18" i="9"/>
  <c r="Y291"/>
  <c r="Y145" i="8"/>
  <c r="Z314" i="9"/>
  <c r="Y314" s="1"/>
  <c r="Z309"/>
  <c r="AA309" s="1"/>
  <c r="AG305" i="1"/>
  <c r="AF305" s="1"/>
  <c r="W315"/>
  <c r="W318" i="2"/>
  <c r="X318" s="1"/>
  <c r="W312"/>
  <c r="X312" s="1"/>
  <c r="AA233"/>
  <c r="AA310"/>
  <c r="AG304"/>
  <c r="AF304" s="1"/>
  <c r="W304"/>
  <c r="X304" s="1"/>
  <c r="AG310"/>
  <c r="AH310" s="1"/>
  <c r="AA293" i="9"/>
  <c r="Y302"/>
  <c r="BB355" i="2"/>
  <c r="BH355" s="1"/>
  <c r="BK355" s="1"/>
  <c r="BA367"/>
  <c r="BB367" s="1"/>
  <c r="BG355" i="1"/>
  <c r="BF367"/>
  <c r="BG367" s="1"/>
  <c r="BJ367" s="1"/>
  <c r="BK367" s="1"/>
  <c r="AB207" i="6"/>
  <c r="AB219" i="8" s="1"/>
  <c r="AB179" i="6"/>
  <c r="AB116"/>
  <c r="AB138"/>
  <c r="AB151"/>
  <c r="AB132"/>
  <c r="AB189"/>
  <c r="AB194"/>
  <c r="AB160"/>
  <c r="AB173"/>
  <c r="AB118"/>
  <c r="AB157"/>
  <c r="AG303" i="1"/>
  <c r="AF303" s="1"/>
  <c r="AH303"/>
  <c r="AA235" i="2"/>
  <c r="AG235"/>
  <c r="AF235" s="1"/>
  <c r="W308" i="1"/>
  <c r="AG309" i="2"/>
  <c r="AF309" s="1"/>
  <c r="AG308" i="1"/>
  <c r="AF308" s="1"/>
  <c r="AA314"/>
  <c r="AH314"/>
  <c r="AG315" i="2"/>
  <c r="AF315" s="1"/>
  <c r="AG313"/>
  <c r="AF313" s="1"/>
  <c r="W313"/>
  <c r="X313" s="1"/>
  <c r="W315"/>
  <c r="Z308" i="9"/>
  <c r="AA308" s="1"/>
  <c r="Z303"/>
  <c r="AA145" i="8"/>
  <c r="AA296" i="9"/>
  <c r="Y104" i="8"/>
  <c r="AB104"/>
  <c r="AA177"/>
  <c r="AB177"/>
  <c r="AB201" i="3"/>
  <c r="AD201" s="1"/>
  <c r="AE201" s="1"/>
  <c r="AA157" i="6"/>
  <c r="Z189" i="8"/>
  <c r="AB189" s="1"/>
  <c r="W309" i="1"/>
  <c r="Z305" i="9"/>
  <c r="AA305" s="1"/>
  <c r="Z315"/>
  <c r="AA315" s="1"/>
  <c r="AG318" i="2"/>
  <c r="AH318" s="1"/>
  <c r="AA312"/>
  <c r="W233"/>
  <c r="X233" s="1"/>
  <c r="W310"/>
  <c r="AA304"/>
  <c r="BG354" i="1"/>
  <c r="BF366"/>
  <c r="BG366" s="1"/>
  <c r="BJ366" s="1"/>
  <c r="BK366" s="1"/>
  <c r="W305"/>
  <c r="AA305"/>
  <c r="AH315"/>
  <c r="AA309"/>
  <c r="AG315"/>
  <c r="AF315" s="1"/>
  <c r="AG309"/>
  <c r="AF309" s="1"/>
  <c r="AG312" i="2"/>
  <c r="AP19" i="9"/>
  <c r="AQ19" s="1"/>
  <c r="AF189" i="3"/>
  <c r="AG189" s="1"/>
  <c r="Q337" i="2"/>
  <c r="S337" s="1"/>
  <c r="DA337"/>
  <c r="DG337" s="1"/>
  <c r="Q340"/>
  <c r="Q349"/>
  <c r="S349" s="1"/>
  <c r="Z349" s="1"/>
  <c r="DA349"/>
  <c r="DG349" s="1"/>
  <c r="Q364"/>
  <c r="Q330"/>
  <c r="S330" s="1"/>
  <c r="DA330"/>
  <c r="DG330" s="1"/>
  <c r="Q352"/>
  <c r="Z322"/>
  <c r="Z324"/>
  <c r="Z325"/>
  <c r="Z327"/>
  <c r="Z247"/>
  <c r="Z245"/>
  <c r="Z321"/>
  <c r="Z316"/>
  <c r="Y157" i="6"/>
  <c r="X87" i="10"/>
  <c r="BE364" i="3"/>
  <c r="BG364" s="1"/>
  <c r="Z320" i="1"/>
  <c r="Z321"/>
  <c r="Z157" i="8"/>
  <c r="AA157" s="1"/>
  <c r="Z317" i="1"/>
  <c r="Z326"/>
  <c r="X90" i="10"/>
  <c r="Q100"/>
  <c r="R100" s="1"/>
  <c r="AG116" i="3"/>
  <c r="Q96" i="10"/>
  <c r="R96" s="1"/>
  <c r="AG157" i="3"/>
  <c r="AA163"/>
  <c r="AA169"/>
  <c r="Z172" i="9"/>
  <c r="Y172" s="1"/>
  <c r="AA201" i="3"/>
  <c r="Q103" i="10"/>
  <c r="R103" s="1"/>
  <c r="X88"/>
  <c r="Z201" i="6"/>
  <c r="Q99" i="10"/>
  <c r="R99" s="1"/>
  <c r="Q101"/>
  <c r="R101" s="1"/>
  <c r="Q98"/>
  <c r="R98" s="1"/>
  <c r="Q94"/>
  <c r="R94" s="1"/>
  <c r="AA189" i="6"/>
  <c r="Y151"/>
  <c r="AP15" i="8"/>
  <c r="AW15" s="1"/>
  <c r="AX15" s="1"/>
  <c r="BC315" i="3"/>
  <c r="BE315" s="1"/>
  <c r="BG315" s="1"/>
  <c r="Y189" i="6"/>
  <c r="Y70" i="10"/>
  <c r="Y71" s="1"/>
  <c r="Y72" s="1"/>
  <c r="Y73" s="1"/>
  <c r="Y74" s="1"/>
  <c r="Y75" s="1"/>
  <c r="Y76" s="1"/>
  <c r="Y77" s="1"/>
  <c r="Y78" s="1"/>
  <c r="Y79" s="1"/>
  <c r="Y80" s="1"/>
  <c r="Y81" s="1"/>
  <c r="X92"/>
  <c r="S82"/>
  <c r="S83" s="1"/>
  <c r="S84" s="1"/>
  <c r="S85" s="1"/>
  <c r="S86" s="1"/>
  <c r="S87" s="1"/>
  <c r="S88" s="1"/>
  <c r="S89" s="1"/>
  <c r="S90" s="1"/>
  <c r="S91" s="1"/>
  <c r="S92" s="1"/>
  <c r="S93" s="1"/>
  <c r="X82"/>
  <c r="X84"/>
  <c r="Z163" i="6"/>
  <c r="M342" i="2"/>
  <c r="L354"/>
  <c r="X93" i="10"/>
  <c r="W82"/>
  <c r="W83" s="1"/>
  <c r="W84" s="1"/>
  <c r="W85" s="1"/>
  <c r="W86" s="1"/>
  <c r="W87" s="1"/>
  <c r="W88" s="1"/>
  <c r="W89" s="1"/>
  <c r="W90" s="1"/>
  <c r="W91" s="1"/>
  <c r="W92" s="1"/>
  <c r="W93" s="1"/>
  <c r="AA130" i="3"/>
  <c r="Z130" i="6"/>
  <c r="K231" i="10"/>
  <c r="F231"/>
  <c r="K164"/>
  <c r="F164"/>
  <c r="K221"/>
  <c r="F221"/>
  <c r="S181" i="3"/>
  <c r="T181" s="1"/>
  <c r="W181" s="1"/>
  <c r="X181" s="1"/>
  <c r="Z181" s="1"/>
  <c r="K186" i="10"/>
  <c r="F186"/>
  <c r="S204" i="3"/>
  <c r="J204" i="10"/>
  <c r="S255" i="3"/>
  <c r="J255" i="10"/>
  <c r="S213" i="3"/>
  <c r="T213" s="1"/>
  <c r="W213" s="1"/>
  <c r="X213" s="1"/>
  <c r="Y213" s="1"/>
  <c r="Z213" s="1"/>
  <c r="Z213" i="6" s="1"/>
  <c r="K203" i="10"/>
  <c r="F203"/>
  <c r="D156"/>
  <c r="E156" s="1"/>
  <c r="L156" i="3"/>
  <c r="P156" s="1"/>
  <c r="R156" s="1"/>
  <c r="T156" s="1"/>
  <c r="W156" s="1"/>
  <c r="X156" s="1"/>
  <c r="Z156" s="1"/>
  <c r="K168"/>
  <c r="K144" i="10"/>
  <c r="F144"/>
  <c r="J201"/>
  <c r="K201"/>
  <c r="J169"/>
  <c r="K169"/>
  <c r="U94"/>
  <c r="V94" s="1"/>
  <c r="H154"/>
  <c r="I154" s="1"/>
  <c r="U105"/>
  <c r="V105" s="1"/>
  <c r="U102"/>
  <c r="V102" s="1"/>
  <c r="U99"/>
  <c r="V99" s="1"/>
  <c r="U104"/>
  <c r="V104" s="1"/>
  <c r="U101"/>
  <c r="V101" s="1"/>
  <c r="U95"/>
  <c r="V95" s="1"/>
  <c r="X95" s="1"/>
  <c r="N166" i="3"/>
  <c r="O154"/>
  <c r="U100" i="10"/>
  <c r="V100" s="1"/>
  <c r="U97"/>
  <c r="V97" s="1"/>
  <c r="U103"/>
  <c r="V103" s="1"/>
  <c r="U98"/>
  <c r="V98" s="1"/>
  <c r="U96"/>
  <c r="V96" s="1"/>
  <c r="AF132" i="3"/>
  <c r="AG132" s="1"/>
  <c r="AE132"/>
  <c r="Y132" i="6"/>
  <c r="Z132" i="8"/>
  <c r="AB132" s="1"/>
  <c r="AA132" i="6"/>
  <c r="D154" i="10"/>
  <c r="E154" s="1"/>
  <c r="K166" i="3"/>
  <c r="Q107" i="10" s="1"/>
  <c r="R107" s="1"/>
  <c r="L154" i="3"/>
  <c r="P154" s="1"/>
  <c r="R154" s="1"/>
  <c r="Y118" i="6"/>
  <c r="Z118" i="8"/>
  <c r="AB118" s="1"/>
  <c r="AA118" i="6"/>
  <c r="K218" i="10"/>
  <c r="F218"/>
  <c r="S284" i="3"/>
  <c r="J284" i="10"/>
  <c r="F285"/>
  <c r="S282" i="3"/>
  <c r="J282" i="10"/>
  <c r="K208"/>
  <c r="F208"/>
  <c r="S269" i="3"/>
  <c r="J269" i="10"/>
  <c r="K199"/>
  <c r="F199"/>
  <c r="F217"/>
  <c r="AA106" i="8"/>
  <c r="Y106"/>
  <c r="Z144" i="6"/>
  <c r="AA144" i="3"/>
  <c r="Y120" i="8"/>
  <c r="AA120"/>
  <c r="S142" i="3"/>
  <c r="T142" s="1"/>
  <c r="W142" s="1"/>
  <c r="X142" s="1"/>
  <c r="Z142" s="1"/>
  <c r="J142" i="10"/>
  <c r="F142"/>
  <c r="AF118" i="3"/>
  <c r="AG118" s="1"/>
  <c r="AE118"/>
  <c r="K130" i="10"/>
  <c r="L130" s="1"/>
  <c r="L131" s="1"/>
  <c r="L132" s="1"/>
  <c r="L133" s="1"/>
  <c r="L134" s="1"/>
  <c r="L135" s="1"/>
  <c r="L136" s="1"/>
  <c r="L137" s="1"/>
  <c r="L138" s="1"/>
  <c r="L139" s="1"/>
  <c r="L140" s="1"/>
  <c r="L141" s="1"/>
  <c r="P340" i="2"/>
  <c r="R340" s="1"/>
  <c r="O352"/>
  <c r="K340" i="1"/>
  <c r="J352"/>
  <c r="K339"/>
  <c r="J351"/>
  <c r="O339"/>
  <c r="R339" s="1"/>
  <c r="N351"/>
  <c r="P339" i="2"/>
  <c r="O351"/>
  <c r="Z151" i="8"/>
  <c r="AA151" i="6"/>
  <c r="O338" i="1"/>
  <c r="DA338" s="1"/>
  <c r="DG338" s="1"/>
  <c r="N350"/>
  <c r="R162" i="3"/>
  <c r="T162" s="1"/>
  <c r="W162" s="1"/>
  <c r="X162" s="1"/>
  <c r="Z162" s="1"/>
  <c r="Q104" i="10"/>
  <c r="R104" s="1"/>
  <c r="Q105"/>
  <c r="R105" s="1"/>
  <c r="N205" i="3"/>
  <c r="H205" i="10" s="1"/>
  <c r="I205" s="1"/>
  <c r="O193" i="3"/>
  <c r="Z150" i="6"/>
  <c r="AA150" i="3"/>
  <c r="AA172"/>
  <c r="AA139" i="8"/>
  <c r="Y139"/>
  <c r="AF179" i="3"/>
  <c r="AE179"/>
  <c r="Y126" i="8"/>
  <c r="AA126"/>
  <c r="K229" i="3"/>
  <c r="D229" i="10" s="1"/>
  <c r="E229" s="1"/>
  <c r="L217" i="3"/>
  <c r="P217" s="1"/>
  <c r="R217" s="1"/>
  <c r="AA138" i="6"/>
  <c r="Y138"/>
  <c r="Z138" i="8"/>
  <c r="AB138" s="1"/>
  <c r="R184" i="3"/>
  <c r="T184" s="1"/>
  <c r="W184" s="1"/>
  <c r="X184" s="1"/>
  <c r="Z184" s="1"/>
  <c r="R175"/>
  <c r="T175" s="1"/>
  <c r="W175" s="1"/>
  <c r="X175" s="1"/>
  <c r="Z175" s="1"/>
  <c r="K297"/>
  <c r="D297" i="10" s="1"/>
  <c r="E297" s="1"/>
  <c r="L285" i="3"/>
  <c r="P285" s="1"/>
  <c r="R285" s="1"/>
  <c r="Q174"/>
  <c r="P174"/>
  <c r="K198"/>
  <c r="D198" i="10" s="1"/>
  <c r="E198" s="1"/>
  <c r="L186" i="3"/>
  <c r="O294"/>
  <c r="N306"/>
  <c r="H306" i="10" s="1"/>
  <c r="I306" s="1"/>
  <c r="Q196" i="3"/>
  <c r="P196"/>
  <c r="K220"/>
  <c r="D220" i="10" s="1"/>
  <c r="E220" s="1"/>
  <c r="L208" i="3"/>
  <c r="N228"/>
  <c r="H228" i="10" s="1"/>
  <c r="I228" s="1"/>
  <c r="O216" i="3"/>
  <c r="N279"/>
  <c r="H279" i="10" s="1"/>
  <c r="I279" s="1"/>
  <c r="O267" i="3"/>
  <c r="N237"/>
  <c r="H237" i="10" s="1"/>
  <c r="I237" s="1"/>
  <c r="O225" i="3"/>
  <c r="AA191"/>
  <c r="K215"/>
  <c r="D215" i="10" s="1"/>
  <c r="E215" s="1"/>
  <c r="L203" i="3"/>
  <c r="P203" s="1"/>
  <c r="R203" s="1"/>
  <c r="T203" s="1"/>
  <c r="W203" s="1"/>
  <c r="X203" s="1"/>
  <c r="Y203" s="1"/>
  <c r="Z203" s="1"/>
  <c r="N293"/>
  <c r="H293" i="10" s="1"/>
  <c r="I293" s="1"/>
  <c r="O281" i="3"/>
  <c r="P187"/>
  <c r="Q187"/>
  <c r="K211"/>
  <c r="D211" i="10" s="1"/>
  <c r="E211" s="1"/>
  <c r="L199" i="3"/>
  <c r="AE138"/>
  <c r="AF138"/>
  <c r="AG138" s="1"/>
  <c r="P336" i="2"/>
  <c r="O348"/>
  <c r="P334"/>
  <c r="O346"/>
  <c r="AT20"/>
  <c r="AU18" i="1"/>
  <c r="AR15" i="3"/>
  <c r="BF333" i="2"/>
  <c r="BI333" s="1"/>
  <c r="BE345"/>
  <c r="K333" i="1"/>
  <c r="DA333" s="1"/>
  <c r="DG333" s="1"/>
  <c r="J345"/>
  <c r="M333" i="2"/>
  <c r="L345"/>
  <c r="Y173" i="6"/>
  <c r="AA116"/>
  <c r="K332" i="1"/>
  <c r="DA332" s="1"/>
  <c r="DG332" s="1"/>
  <c r="J344"/>
  <c r="M329" i="2"/>
  <c r="L341"/>
  <c r="O329" i="1"/>
  <c r="DA329" s="1"/>
  <c r="DG329" s="1"/>
  <c r="N341"/>
  <c r="AY327" i="3"/>
  <c r="BC327" s="1"/>
  <c r="AX339"/>
  <c r="BF327" i="2"/>
  <c r="BI327" s="1"/>
  <c r="BK327" s="1"/>
  <c r="BE339"/>
  <c r="S327" i="1"/>
  <c r="AE116" i="3"/>
  <c r="AF173"/>
  <c r="AG173" s="1"/>
  <c r="AW15" i="6"/>
  <c r="AX15" s="1"/>
  <c r="BC324" i="1"/>
  <c r="BI324" s="1"/>
  <c r="BB336"/>
  <c r="BC317"/>
  <c r="BI317" s="1"/>
  <c r="BK317" s="1"/>
  <c r="BB329"/>
  <c r="AY314" i="3"/>
  <c r="BC314" s="1"/>
  <c r="BE314" s="1"/>
  <c r="BG314" s="1"/>
  <c r="AX326"/>
  <c r="BF312" i="2"/>
  <c r="BI312" s="1"/>
  <c r="BE324"/>
  <c r="AY312" i="3"/>
  <c r="BC312" s="1"/>
  <c r="BE312" s="1"/>
  <c r="BG312" s="1"/>
  <c r="AX324"/>
  <c r="AQ16"/>
  <c r="AS16" s="1"/>
  <c r="AP16" i="6"/>
  <c r="AX320" i="3"/>
  <c r="AY308"/>
  <c r="AY310"/>
  <c r="BC310" s="1"/>
  <c r="BE310" s="1"/>
  <c r="BG310" s="1"/>
  <c r="AX322"/>
  <c r="BC299"/>
  <c r="BE299" s="1"/>
  <c r="BG299" s="1"/>
  <c r="BC395"/>
  <c r="BF311" i="2"/>
  <c r="BI311" s="1"/>
  <c r="BK311" s="1"/>
  <c r="BE323"/>
  <c r="BC396" i="3"/>
  <c r="BC300"/>
  <c r="BE300" s="1"/>
  <c r="BG300" s="1"/>
  <c r="BB323" i="1"/>
  <c r="BC311"/>
  <c r="BI311" s="1"/>
  <c r="BK311" s="1"/>
  <c r="BF293" i="3"/>
  <c r="BG293" s="1"/>
  <c r="BC389"/>
  <c r="BE303"/>
  <c r="BG303" s="1"/>
  <c r="BE284"/>
  <c r="BG284" s="1"/>
  <c r="BD296"/>
  <c r="BC392"/>
  <c r="BC296"/>
  <c r="BC298"/>
  <c r="BE298" s="1"/>
  <c r="BG298" s="1"/>
  <c r="BC394"/>
  <c r="BC302"/>
  <c r="BE302" s="1"/>
  <c r="BG302" s="1"/>
  <c r="BC398"/>
  <c r="AY311"/>
  <c r="BC311" s="1"/>
  <c r="BE311" s="1"/>
  <c r="BG311" s="1"/>
  <c r="AX323"/>
  <c r="BF310" i="2"/>
  <c r="BI310" s="1"/>
  <c r="BK310" s="1"/>
  <c r="BE322"/>
  <c r="BB305" i="3"/>
  <c r="BF305" s="1"/>
  <c r="BG305" s="1"/>
  <c r="BA317"/>
  <c r="Z116" i="8"/>
  <c r="Y116" i="6"/>
  <c r="BE256" i="2"/>
  <c r="BF244"/>
  <c r="BI244" s="1"/>
  <c r="BB196" i="1"/>
  <c r="BC184"/>
  <c r="BI184" s="1"/>
  <c r="BA244" i="2"/>
  <c r="BB232"/>
  <c r="BH232" s="1"/>
  <c r="BK232" s="1"/>
  <c r="BF196" i="1"/>
  <c r="BG184"/>
  <c r="BJ184" s="1"/>
  <c r="BK184" s="1"/>
  <c r="BK172"/>
  <c r="AA173" i="6"/>
  <c r="BF195" i="1"/>
  <c r="BG183"/>
  <c r="BJ183" s="1"/>
  <c r="BA217" i="2"/>
  <c r="BB205"/>
  <c r="BH205" s="1"/>
  <c r="BK205" s="1"/>
  <c r="BA228"/>
  <c r="BB216"/>
  <c r="BH216" s="1"/>
  <c r="BK216" s="1"/>
  <c r="BB195" i="1"/>
  <c r="BC183"/>
  <c r="BI183" s="1"/>
  <c r="AX217" i="3"/>
  <c r="AY205"/>
  <c r="BC205" s="1"/>
  <c r="BE205" s="1"/>
  <c r="BG205" s="1"/>
  <c r="BB193" i="1"/>
  <c r="BC181"/>
  <c r="BI181" s="1"/>
  <c r="BK181" s="1"/>
  <c r="Z173" i="8"/>
  <c r="BB200" i="1"/>
  <c r="BC188"/>
  <c r="BI188" s="1"/>
  <c r="BK188" s="1"/>
  <c r="AA185" i="3"/>
  <c r="Z185" i="6"/>
  <c r="Z160" i="8"/>
  <c r="AB160" s="1"/>
  <c r="AA160" i="6"/>
  <c r="Y160"/>
  <c r="Y167" i="8"/>
  <c r="AA167"/>
  <c r="AA148"/>
  <c r="Y148"/>
  <c r="P152" i="3"/>
  <c r="Q152"/>
  <c r="Z172" i="6"/>
  <c r="AG172" i="1"/>
  <c r="AF172" s="1"/>
  <c r="AN20"/>
  <c r="AA172"/>
  <c r="W172"/>
  <c r="X172" s="1"/>
  <c r="P209" i="3"/>
  <c r="Q209"/>
  <c r="AN21" i="2"/>
  <c r="AS21"/>
  <c r="Z179" i="8"/>
  <c r="AB179" s="1"/>
  <c r="AA179" i="6"/>
  <c r="Y179"/>
  <c r="R197" i="3"/>
  <c r="T197" s="1"/>
  <c r="W197" s="1"/>
  <c r="X197" s="1"/>
  <c r="Y197" s="1"/>
  <c r="Z197" s="1"/>
  <c r="Z191" i="6"/>
  <c r="AA191" i="2"/>
  <c r="W191"/>
  <c r="X191" s="1"/>
  <c r="AG191"/>
  <c r="AF191" s="1"/>
  <c r="AM22"/>
  <c r="Y161" i="8"/>
  <c r="AA161"/>
  <c r="AO19" i="1"/>
  <c r="AT19"/>
  <c r="Z128" i="6"/>
  <c r="AA128" i="3"/>
  <c r="AK17"/>
  <c r="AL17" s="1"/>
  <c r="AX14" i="8"/>
  <c r="AX13"/>
  <c r="O215" i="2"/>
  <c r="P203"/>
  <c r="R203" s="1"/>
  <c r="S203" s="1"/>
  <c r="Z203" s="1"/>
  <c r="K176" i="3"/>
  <c r="D176" i="10" s="1"/>
  <c r="E176" s="1"/>
  <c r="L164" i="3"/>
  <c r="N196" i="1"/>
  <c r="O184"/>
  <c r="R184" s="1"/>
  <c r="S184" s="1"/>
  <c r="Z184" s="1"/>
  <c r="L227" i="2"/>
  <c r="M215"/>
  <c r="Q215" s="1"/>
  <c r="N308" i="3"/>
  <c r="H308" i="10" s="1"/>
  <c r="I308" s="1"/>
  <c r="O296" i="3"/>
  <c r="K233"/>
  <c r="D233" i="10" s="1"/>
  <c r="E233" s="1"/>
  <c r="L221" i="3"/>
  <c r="X179" i="2"/>
  <c r="R140" i="3"/>
  <c r="T140" s="1"/>
  <c r="W140" s="1"/>
  <c r="X140" s="1"/>
  <c r="Z140" s="1"/>
  <c r="BA249" i="2"/>
  <c r="BB237"/>
  <c r="BH237" s="1"/>
  <c r="BK237" s="1"/>
  <c r="BB189" i="1"/>
  <c r="BC177"/>
  <c r="BI177" s="1"/>
  <c r="BK177" s="1"/>
  <c r="Z219" i="6"/>
  <c r="AA219" i="3"/>
  <c r="K230"/>
  <c r="D230" i="10" s="1"/>
  <c r="E230" s="1"/>
  <c r="L218" i="3"/>
  <c r="P218" s="1"/>
  <c r="R218" s="1"/>
  <c r="T218" s="1"/>
  <c r="W218" s="1"/>
  <c r="X218" s="1"/>
  <c r="Y218" s="1"/>
  <c r="Z218" s="1"/>
  <c r="Z207" i="8"/>
  <c r="AB207" s="1"/>
  <c r="AA207" i="6"/>
  <c r="Y207"/>
  <c r="AF207" i="3"/>
  <c r="AG207" s="1"/>
  <c r="AE207"/>
  <c r="Z194" i="8"/>
  <c r="AB194" s="1"/>
  <c r="Y194" i="6"/>
  <c r="AA194"/>
  <c r="BE150" i="3"/>
  <c r="BG150" s="1"/>
  <c r="AA195" i="8"/>
  <c r="Y195"/>
  <c r="AA182"/>
  <c r="Y182"/>
  <c r="L231" i="3"/>
  <c r="P231" s="1"/>
  <c r="R231" s="1"/>
  <c r="T231" s="1"/>
  <c r="W231" s="1"/>
  <c r="K243"/>
  <c r="D243" i="10" s="1"/>
  <c r="E243" s="1"/>
  <c r="Z206" i="6"/>
  <c r="AA206" i="3"/>
  <c r="AF194"/>
  <c r="AG194" s="1"/>
  <c r="AE194"/>
  <c r="BB242" i="1"/>
  <c r="BC230"/>
  <c r="BI230" s="1"/>
  <c r="BK230" s="1"/>
  <c r="AX201" i="3"/>
  <c r="AY189"/>
  <c r="BC189" s="1"/>
  <c r="BE189" s="1"/>
  <c r="BE212" i="2"/>
  <c r="BF200"/>
  <c r="BI200" s="1"/>
  <c r="BK200" s="1"/>
  <c r="AX186" i="3"/>
  <c r="AY174"/>
  <c r="BE186" i="2"/>
  <c r="BF174"/>
  <c r="BI174" s="1"/>
  <c r="O269"/>
  <c r="P257"/>
  <c r="R257" s="1"/>
  <c r="S257" s="1"/>
  <c r="BK162"/>
  <c r="BC162" i="3"/>
  <c r="BD162"/>
  <c r="BB293" i="2"/>
  <c r="BA305"/>
  <c r="BA218"/>
  <c r="BB206"/>
  <c r="BH206" s="1"/>
  <c r="BK206" s="1"/>
  <c r="BF204" i="1"/>
  <c r="BG192"/>
  <c r="BJ192" s="1"/>
  <c r="BK192" s="1"/>
  <c r="BF190"/>
  <c r="BG178"/>
  <c r="BJ178" s="1"/>
  <c r="BK178" s="1"/>
  <c r="BA189" i="3"/>
  <c r="BB177"/>
  <c r="BF177" s="1"/>
  <c r="BG177" s="1"/>
  <c r="BA223"/>
  <c r="BB211"/>
  <c r="BF211" s="1"/>
  <c r="BG211" s="1"/>
  <c r="BA234"/>
  <c r="BB222"/>
  <c r="BF222" s="1"/>
  <c r="BA186" i="2"/>
  <c r="BB174"/>
  <c r="BH174" s="1"/>
  <c r="L271"/>
  <c r="M259"/>
  <c r="Q259" s="1"/>
  <c r="S259" s="1"/>
  <c r="Y169" i="6" l="1"/>
  <c r="AE169" i="3"/>
  <c r="X94" i="10"/>
  <c r="X101"/>
  <c r="Z181" i="6"/>
  <c r="AB140" i="3"/>
  <c r="AD140" s="1"/>
  <c r="AB203" i="2"/>
  <c r="AB197" i="3"/>
  <c r="AD197" s="1"/>
  <c r="AB175"/>
  <c r="AD175" s="1"/>
  <c r="AB203"/>
  <c r="AD203" s="1"/>
  <c r="AB184"/>
  <c r="AD184" s="1"/>
  <c r="AE163"/>
  <c r="X104" i="10"/>
  <c r="X97"/>
  <c r="DA361" i="2"/>
  <c r="DG361" s="1"/>
  <c r="AB184" i="1"/>
  <c r="AB184" i="9" s="1"/>
  <c r="AB156" i="3"/>
  <c r="AD156" s="1"/>
  <c r="AB162"/>
  <c r="AD162" s="1"/>
  <c r="AB142"/>
  <c r="AD142" s="1"/>
  <c r="X96" i="10"/>
  <c r="X315" i="1"/>
  <c r="AA169" i="6"/>
  <c r="AF318" i="2"/>
  <c r="Z169" i="8"/>
  <c r="AB169" s="1"/>
  <c r="AB169" i="6"/>
  <c r="X102" i="10"/>
  <c r="AF201" i="3"/>
  <c r="AG201" s="1"/>
  <c r="W373" i="2"/>
  <c r="AG373"/>
  <c r="AA373"/>
  <c r="X103" i="10"/>
  <c r="AG247" i="2"/>
  <c r="AF247" s="1"/>
  <c r="Z326" i="9"/>
  <c r="AA326" s="1"/>
  <c r="W328" i="2"/>
  <c r="W321"/>
  <c r="X321" s="1"/>
  <c r="AA321"/>
  <c r="AA245"/>
  <c r="W325"/>
  <c r="X325" s="1"/>
  <c r="Y315" i="9"/>
  <c r="AH309" i="2"/>
  <c r="AW19" i="9"/>
  <c r="AX19" s="1"/>
  <c r="Y309"/>
  <c r="S340" i="2"/>
  <c r="Z340" s="1"/>
  <c r="AH315"/>
  <c r="AF310"/>
  <c r="AH304"/>
  <c r="BE296" i="3"/>
  <c r="BG296" s="1"/>
  <c r="AA314" i="9"/>
  <c r="AQ16" i="6"/>
  <c r="AT16" i="3"/>
  <c r="BH367" i="2"/>
  <c r="BK367" s="1"/>
  <c r="W322"/>
  <c r="X322" s="1"/>
  <c r="AB206" i="6"/>
  <c r="AB218" i="8" s="1"/>
  <c r="AB128" i="6"/>
  <c r="AB172"/>
  <c r="AB191"/>
  <c r="AB144"/>
  <c r="AB201"/>
  <c r="AB213" i="8" s="1"/>
  <c r="X315" i="2"/>
  <c r="X308" i="1"/>
  <c r="Y308" i="9"/>
  <c r="AB185" i="6"/>
  <c r="AB150"/>
  <c r="AB130"/>
  <c r="AB163"/>
  <c r="X309" i="1"/>
  <c r="AA327" i="2"/>
  <c r="AG324"/>
  <c r="AF324" s="1"/>
  <c r="Y303" i="9"/>
  <c r="AA303"/>
  <c r="AH326" i="1"/>
  <c r="AG245" i="2"/>
  <c r="AH245" s="1"/>
  <c r="AA328"/>
  <c r="AA322"/>
  <c r="AA247"/>
  <c r="AA324"/>
  <c r="AH313"/>
  <c r="AH321" i="1"/>
  <c r="AP20" i="9"/>
  <c r="AQ20" s="1"/>
  <c r="Z317"/>
  <c r="Y317" s="1"/>
  <c r="AA189" i="8"/>
  <c r="W326" i="1"/>
  <c r="X326" s="1"/>
  <c r="Q106" i="10"/>
  <c r="R106" s="1"/>
  <c r="Q114"/>
  <c r="R114" s="1"/>
  <c r="Y189" i="8"/>
  <c r="Y201" i="6"/>
  <c r="W324" i="2"/>
  <c r="AA116" i="8"/>
  <c r="AB116"/>
  <c r="Y151"/>
  <c r="AB151"/>
  <c r="Y157"/>
  <c r="AB157"/>
  <c r="Y173"/>
  <c r="AB173"/>
  <c r="AB181" i="3"/>
  <c r="AD181" s="1"/>
  <c r="AE181" s="1"/>
  <c r="X310" i="2"/>
  <c r="AA320" i="1"/>
  <c r="X305"/>
  <c r="Y305" i="9"/>
  <c r="AG326" i="1"/>
  <c r="AF326" s="1"/>
  <c r="Z320" i="9"/>
  <c r="AA320" s="1"/>
  <c r="W245" i="2"/>
  <c r="X245" s="1"/>
  <c r="AG328"/>
  <c r="AF328" s="1"/>
  <c r="AA325"/>
  <c r="AA201" i="6"/>
  <c r="Z321" i="9"/>
  <c r="AA321" s="1"/>
  <c r="AG321" i="2"/>
  <c r="AH321" s="1"/>
  <c r="W247"/>
  <c r="X247" s="1"/>
  <c r="W327"/>
  <c r="X98" i="10"/>
  <c r="M354" i="2"/>
  <c r="DA354" s="1"/>
  <c r="DG354" s="1"/>
  <c r="L366"/>
  <c r="M366" s="1"/>
  <c r="AF312"/>
  <c r="AH312"/>
  <c r="AG325"/>
  <c r="AF325" s="1"/>
  <c r="Q109" i="10"/>
  <c r="R109" s="1"/>
  <c r="Q110"/>
  <c r="R110" s="1"/>
  <c r="Q115"/>
  <c r="R115" s="1"/>
  <c r="X100"/>
  <c r="X99"/>
  <c r="AQ15" i="8"/>
  <c r="AG321" i="1"/>
  <c r="AF321" s="1"/>
  <c r="W321"/>
  <c r="X321" s="1"/>
  <c r="AG327" i="2"/>
  <c r="AF327" s="1"/>
  <c r="AA172" i="9"/>
  <c r="AA326" i="1"/>
  <c r="W320"/>
  <c r="AA316" i="2"/>
  <c r="AG322"/>
  <c r="AF322" s="1"/>
  <c r="AG349"/>
  <c r="AF349" s="1"/>
  <c r="AH317" i="1"/>
  <c r="AH320"/>
  <c r="W316" i="2"/>
  <c r="Q329"/>
  <c r="Q333"/>
  <c r="S333" s="1"/>
  <c r="DA333"/>
  <c r="DG333" s="1"/>
  <c r="R334"/>
  <c r="S334" s="1"/>
  <c r="DA334"/>
  <c r="DG334" s="1"/>
  <c r="R336"/>
  <c r="S336" s="1"/>
  <c r="DA336"/>
  <c r="DG336" s="1"/>
  <c r="R339"/>
  <c r="S339" s="1"/>
  <c r="Z339" s="1"/>
  <c r="DA339"/>
  <c r="DG339" s="1"/>
  <c r="Q342"/>
  <c r="S342" s="1"/>
  <c r="DA342"/>
  <c r="DG342" s="1"/>
  <c r="DA340"/>
  <c r="DG340" s="1"/>
  <c r="Q340" i="1"/>
  <c r="Q339"/>
  <c r="S339" s="1"/>
  <c r="Z339" s="1"/>
  <c r="DA339"/>
  <c r="DG339" s="1"/>
  <c r="K352"/>
  <c r="J364"/>
  <c r="K364" s="1"/>
  <c r="Z259" i="2"/>
  <c r="Z257"/>
  <c r="AG316"/>
  <c r="P352"/>
  <c r="O364"/>
  <c r="P364" s="1"/>
  <c r="AA349"/>
  <c r="W349"/>
  <c r="X105" i="10"/>
  <c r="Y82"/>
  <c r="Y83" s="1"/>
  <c r="Y84" s="1"/>
  <c r="Y85" s="1"/>
  <c r="Y86" s="1"/>
  <c r="Y87" s="1"/>
  <c r="Y88" s="1"/>
  <c r="Y89" s="1"/>
  <c r="Y90" s="1"/>
  <c r="Y91" s="1"/>
  <c r="Y92" s="1"/>
  <c r="Y93" s="1"/>
  <c r="Y94" s="1"/>
  <c r="Y95" s="1"/>
  <c r="AA317" i="1"/>
  <c r="AA321"/>
  <c r="AG320"/>
  <c r="AF320" s="1"/>
  <c r="Z327"/>
  <c r="AG317"/>
  <c r="AF317" s="1"/>
  <c r="W317"/>
  <c r="S94" i="10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Z201" i="8"/>
  <c r="P351" i="2"/>
  <c r="O363"/>
  <c r="O351" i="1"/>
  <c r="R351" s="1"/>
  <c r="N363"/>
  <c r="K351"/>
  <c r="J363"/>
  <c r="Z184" i="9"/>
  <c r="Y184" s="1"/>
  <c r="O350" i="1"/>
  <c r="N362"/>
  <c r="AA181" i="3"/>
  <c r="AA162"/>
  <c r="P348" i="2"/>
  <c r="O360"/>
  <c r="Z163" i="8"/>
  <c r="Y163" i="6"/>
  <c r="Z162"/>
  <c r="P346" i="2"/>
  <c r="O358"/>
  <c r="AF162" i="3"/>
  <c r="Q111" i="10"/>
  <c r="R111" s="1"/>
  <c r="Q113"/>
  <c r="R113" s="1"/>
  <c r="Q108"/>
  <c r="R108" s="1"/>
  <c r="Q112"/>
  <c r="R112" s="1"/>
  <c r="M345" i="2"/>
  <c r="L357"/>
  <c r="K345" i="1"/>
  <c r="J357"/>
  <c r="BF345" i="2"/>
  <c r="BI345" s="1"/>
  <c r="BE357"/>
  <c r="K344" i="1"/>
  <c r="J356"/>
  <c r="AA163" i="6"/>
  <c r="AA213" i="3"/>
  <c r="O341" i="1"/>
  <c r="DA341" s="1"/>
  <c r="DG341" s="1"/>
  <c r="N353"/>
  <c r="M341" i="2"/>
  <c r="L353"/>
  <c r="AA151" i="8"/>
  <c r="K243" i="10"/>
  <c r="F243"/>
  <c r="K230"/>
  <c r="F230"/>
  <c r="S296" i="3"/>
  <c r="J296" i="10"/>
  <c r="K211"/>
  <c r="F211"/>
  <c r="K215"/>
  <c r="F215"/>
  <c r="K220"/>
  <c r="F220"/>
  <c r="F297"/>
  <c r="S193" i="3"/>
  <c r="T193" s="1"/>
  <c r="W193" s="1"/>
  <c r="X193" s="1"/>
  <c r="Y193" s="1"/>
  <c r="Z193" s="1"/>
  <c r="AA142"/>
  <c r="Z142" i="6"/>
  <c r="Z144" i="8"/>
  <c r="AB144" s="1"/>
  <c r="Y144" i="6"/>
  <c r="AA144"/>
  <c r="D166" i="10"/>
  <c r="E166" s="1"/>
  <c r="K178" i="3"/>
  <c r="Q118" i="10" s="1"/>
  <c r="R118" s="1"/>
  <c r="L166" i="3"/>
  <c r="P166" s="1"/>
  <c r="R166" s="1"/>
  <c r="S154"/>
  <c r="T154" s="1"/>
  <c r="W154" s="1"/>
  <c r="X154" s="1"/>
  <c r="Z154" s="1"/>
  <c r="J154" i="10"/>
  <c r="D168"/>
  <c r="E168" s="1"/>
  <c r="K180" i="3"/>
  <c r="L168"/>
  <c r="P168" s="1"/>
  <c r="R168" s="1"/>
  <c r="T168" s="1"/>
  <c r="W168" s="1"/>
  <c r="X168" s="1"/>
  <c r="Z168" s="1"/>
  <c r="K156" i="10"/>
  <c r="F156"/>
  <c r="K142"/>
  <c r="L142" s="1"/>
  <c r="L143" s="1"/>
  <c r="L144" s="1"/>
  <c r="L145" s="1"/>
  <c r="L146" s="1"/>
  <c r="L147" s="1"/>
  <c r="L148" s="1"/>
  <c r="L149" s="1"/>
  <c r="L150" s="1"/>
  <c r="L151" s="1"/>
  <c r="L152" s="1"/>
  <c r="L153" s="1"/>
  <c r="W94"/>
  <c r="W95" s="1"/>
  <c r="W96" s="1"/>
  <c r="W97" s="1"/>
  <c r="W98" s="1"/>
  <c r="W99" s="1"/>
  <c r="W100" s="1"/>
  <c r="W101" s="1"/>
  <c r="W102" s="1"/>
  <c r="W103" s="1"/>
  <c r="W104" s="1"/>
  <c r="W105" s="1"/>
  <c r="K233"/>
  <c r="F233"/>
  <c r="K176"/>
  <c r="F176"/>
  <c r="S281" i="3"/>
  <c r="J281" i="10"/>
  <c r="S225" i="3"/>
  <c r="T225" s="1"/>
  <c r="W225" s="1"/>
  <c r="X225" s="1"/>
  <c r="Y225" s="1"/>
  <c r="Z225" s="1"/>
  <c r="S267"/>
  <c r="J267" i="10"/>
  <c r="S216" i="3"/>
  <c r="J216" i="10"/>
  <c r="S294" i="3"/>
  <c r="J294" i="10"/>
  <c r="K198"/>
  <c r="F198"/>
  <c r="F229"/>
  <c r="AE144" i="3"/>
  <c r="AF144"/>
  <c r="AG144" s="1"/>
  <c r="AA118" i="8"/>
  <c r="Y118"/>
  <c r="F154" i="10"/>
  <c r="AA132" i="8"/>
  <c r="Y132"/>
  <c r="U107" i="10"/>
  <c r="V107" s="1"/>
  <c r="X107" s="1"/>
  <c r="H166"/>
  <c r="I166" s="1"/>
  <c r="N178" i="3"/>
  <c r="O166"/>
  <c r="U113" i="10"/>
  <c r="V113" s="1"/>
  <c r="U110"/>
  <c r="V110" s="1"/>
  <c r="X110" s="1"/>
  <c r="U115"/>
  <c r="V115" s="1"/>
  <c r="U109"/>
  <c r="V109" s="1"/>
  <c r="U106"/>
  <c r="V106" s="1"/>
  <c r="U117"/>
  <c r="V117" s="1"/>
  <c r="U112"/>
  <c r="V112" s="1"/>
  <c r="U114"/>
  <c r="V114" s="1"/>
  <c r="U116"/>
  <c r="V116" s="1"/>
  <c r="U111"/>
  <c r="V111" s="1"/>
  <c r="U108"/>
  <c r="V108" s="1"/>
  <c r="AA156" i="3"/>
  <c r="Z156" i="6"/>
  <c r="J213" i="10"/>
  <c r="K213"/>
  <c r="J181"/>
  <c r="K181"/>
  <c r="Y130" i="6"/>
  <c r="Z130" i="8"/>
  <c r="AB130" s="1"/>
  <c r="AA130" i="6"/>
  <c r="AF130" i="3"/>
  <c r="AG130" s="1"/>
  <c r="AE130"/>
  <c r="BF339" i="2"/>
  <c r="BI339" s="1"/>
  <c r="BK339" s="1"/>
  <c r="BE351"/>
  <c r="AY339" i="3"/>
  <c r="BC339" s="1"/>
  <c r="AX351"/>
  <c r="BD327"/>
  <c r="BE327" s="1"/>
  <c r="BG327" s="1"/>
  <c r="R174"/>
  <c r="T174" s="1"/>
  <c r="W174" s="1"/>
  <c r="X174" s="1"/>
  <c r="Z174" s="1"/>
  <c r="R187"/>
  <c r="T187" s="1"/>
  <c r="W187" s="1"/>
  <c r="X187" s="1"/>
  <c r="Y187" s="1"/>
  <c r="Z187" s="1"/>
  <c r="Q117" i="10"/>
  <c r="R117" s="1"/>
  <c r="Q116"/>
  <c r="R116" s="1"/>
  <c r="P199" i="3"/>
  <c r="Q199"/>
  <c r="K223"/>
  <c r="D223" i="10" s="1"/>
  <c r="E223" s="1"/>
  <c r="L211" i="3"/>
  <c r="N305"/>
  <c r="H305" i="10" s="1"/>
  <c r="I305" s="1"/>
  <c r="O293" i="3"/>
  <c r="AF191"/>
  <c r="AG191" s="1"/>
  <c r="AE191"/>
  <c r="P186"/>
  <c r="Q186"/>
  <c r="K210"/>
  <c r="D210" i="10" s="1"/>
  <c r="E210" s="1"/>
  <c r="L198" i="3"/>
  <c r="AA175"/>
  <c r="Z175" i="6"/>
  <c r="K241" i="3"/>
  <c r="D241" i="10" s="1"/>
  <c r="E241" s="1"/>
  <c r="L229" i="3"/>
  <c r="P229" s="1"/>
  <c r="R229" s="1"/>
  <c r="Z150" i="8"/>
  <c r="AB150" s="1"/>
  <c r="AA150" i="6"/>
  <c r="Y150"/>
  <c r="R196" i="3"/>
  <c r="T196" s="1"/>
  <c r="W196" s="1"/>
  <c r="X196" s="1"/>
  <c r="Y196" s="1"/>
  <c r="Z196" s="1"/>
  <c r="AA203"/>
  <c r="K227"/>
  <c r="D227" i="10" s="1"/>
  <c r="E227" s="1"/>
  <c r="L215" i="3"/>
  <c r="P215" s="1"/>
  <c r="R215" s="1"/>
  <c r="T215" s="1"/>
  <c r="W215" s="1"/>
  <c r="X215" s="1"/>
  <c r="Y215" s="1"/>
  <c r="Z215" s="1"/>
  <c r="O237"/>
  <c r="N249"/>
  <c r="H249" i="10" s="1"/>
  <c r="I249" s="1"/>
  <c r="N291" i="3"/>
  <c r="H291" i="10" s="1"/>
  <c r="I291" s="1"/>
  <c r="O279" i="3"/>
  <c r="N240"/>
  <c r="H240" i="10" s="1"/>
  <c r="I240" s="1"/>
  <c r="O228" i="3"/>
  <c r="P208"/>
  <c r="Q208"/>
  <c r="K232"/>
  <c r="D232" i="10" s="1"/>
  <c r="E232" s="1"/>
  <c r="L220" i="3"/>
  <c r="O306"/>
  <c r="N318"/>
  <c r="H318" i="10" s="1"/>
  <c r="I318" s="1"/>
  <c r="L297" i="3"/>
  <c r="P297" s="1"/>
  <c r="R297" s="1"/>
  <c r="K309"/>
  <c r="D309" i="10" s="1"/>
  <c r="E309" s="1"/>
  <c r="AA184" i="3"/>
  <c r="AA138" i="8"/>
  <c r="Y138"/>
  <c r="AG179" i="3"/>
  <c r="Z213" i="8"/>
  <c r="Y213" i="6"/>
  <c r="AA213"/>
  <c r="AF172" i="3"/>
  <c r="AG172" s="1"/>
  <c r="AE172"/>
  <c r="AF150"/>
  <c r="AG150" s="1"/>
  <c r="AE150"/>
  <c r="N217"/>
  <c r="H217" i="10" s="1"/>
  <c r="I217" s="1"/>
  <c r="O205" i="3"/>
  <c r="BC336" i="1"/>
  <c r="BB348"/>
  <c r="AU19"/>
  <c r="AR16" i="3"/>
  <c r="AT21" i="2"/>
  <c r="BC329" i="1"/>
  <c r="BB341"/>
  <c r="AY326" i="3"/>
  <c r="BC326" s="1"/>
  <c r="BE326" s="1"/>
  <c r="BG326" s="1"/>
  <c r="AX338"/>
  <c r="AY324"/>
  <c r="BC324" s="1"/>
  <c r="BE324" s="1"/>
  <c r="BG324" s="1"/>
  <c r="AX336"/>
  <c r="BF324" i="2"/>
  <c r="BI324" s="1"/>
  <c r="BE336"/>
  <c r="BC323" i="1"/>
  <c r="BI323" s="1"/>
  <c r="BK323" s="1"/>
  <c r="BB335"/>
  <c r="AY323" i="3"/>
  <c r="BC323" s="1"/>
  <c r="BE323" s="1"/>
  <c r="BG323" s="1"/>
  <c r="AX335"/>
  <c r="BF323" i="2"/>
  <c r="BI323" s="1"/>
  <c r="BK323" s="1"/>
  <c r="BE335"/>
  <c r="BF322"/>
  <c r="BI322" s="1"/>
  <c r="BK322" s="1"/>
  <c r="BE334"/>
  <c r="AY322" i="3"/>
  <c r="BC322" s="1"/>
  <c r="BE322" s="1"/>
  <c r="BG322" s="1"/>
  <c r="AX334"/>
  <c r="AY320"/>
  <c r="BD320" s="1"/>
  <c r="AX332"/>
  <c r="Y116" i="8"/>
  <c r="BB317" i="3"/>
  <c r="BF317" s="1"/>
  <c r="BG317" s="1"/>
  <c r="BA329"/>
  <c r="X231"/>
  <c r="Y231" s="1"/>
  <c r="Z231" s="1"/>
  <c r="AW16" i="6"/>
  <c r="AX16" s="1"/>
  <c r="AP16" i="8"/>
  <c r="AQ16" s="1"/>
  <c r="BC308" i="3"/>
  <c r="BD308"/>
  <c r="BK174" i="2"/>
  <c r="AA173" i="8"/>
  <c r="BF208" i="1"/>
  <c r="BG196"/>
  <c r="BJ196" s="1"/>
  <c r="BA256" i="2"/>
  <c r="BB244"/>
  <c r="BH244" s="1"/>
  <c r="BK244" s="1"/>
  <c r="BB208" i="1"/>
  <c r="BC196"/>
  <c r="BI196" s="1"/>
  <c r="BF256" i="2"/>
  <c r="BI256" s="1"/>
  <c r="BE268"/>
  <c r="O308" i="3"/>
  <c r="N320"/>
  <c r="H320" i="10" s="1"/>
  <c r="I320" s="1"/>
  <c r="BB205" i="1"/>
  <c r="BC193"/>
  <c r="BI193" s="1"/>
  <c r="BK193" s="1"/>
  <c r="AX229" i="3"/>
  <c r="AY217"/>
  <c r="BC217" s="1"/>
  <c r="BE217" s="1"/>
  <c r="BG217" s="1"/>
  <c r="BB207" i="1"/>
  <c r="BC195"/>
  <c r="BI195" s="1"/>
  <c r="BA240" i="2"/>
  <c r="BB228"/>
  <c r="BH228" s="1"/>
  <c r="BK228" s="1"/>
  <c r="BA229"/>
  <c r="BB217"/>
  <c r="BH217" s="1"/>
  <c r="BK217" s="1"/>
  <c r="BF207" i="1"/>
  <c r="BG195"/>
  <c r="BJ195" s="1"/>
  <c r="BK183"/>
  <c r="BB212"/>
  <c r="BC200"/>
  <c r="BI200" s="1"/>
  <c r="BK200" s="1"/>
  <c r="R209" i="3"/>
  <c r="T209" s="1"/>
  <c r="W209" s="1"/>
  <c r="X209" s="1"/>
  <c r="Y209" s="1"/>
  <c r="Z209" s="1"/>
  <c r="Z203" i="6"/>
  <c r="W203" i="2"/>
  <c r="X203" s="1"/>
  <c r="AA203"/>
  <c r="AG203"/>
  <c r="AF203" s="1"/>
  <c r="AM23"/>
  <c r="Z140" i="6"/>
  <c r="AA140" i="3"/>
  <c r="AK18"/>
  <c r="AL18" s="1"/>
  <c r="K245"/>
  <c r="D245" i="10" s="1"/>
  <c r="E245" s="1"/>
  <c r="L233" i="3"/>
  <c r="L239" i="2"/>
  <c r="M227"/>
  <c r="Q227" s="1"/>
  <c r="N208" i="1"/>
  <c r="O196"/>
  <c r="R196" s="1"/>
  <c r="S196" s="1"/>
  <c r="Z196" s="1"/>
  <c r="K188" i="3"/>
  <c r="D188" i="10" s="1"/>
  <c r="E188" s="1"/>
  <c r="L176" i="3"/>
  <c r="O227" i="2"/>
  <c r="P215"/>
  <c r="R215" s="1"/>
  <c r="S215" s="1"/>
  <c r="AQ17" i="3"/>
  <c r="AS17" s="1"/>
  <c r="AT17" s="1"/>
  <c r="AE128"/>
  <c r="AF128"/>
  <c r="AG128" s="1"/>
  <c r="AA197"/>
  <c r="Z197" i="6"/>
  <c r="AO20" i="1"/>
  <c r="AT20"/>
  <c r="Y172" i="6"/>
  <c r="AA172"/>
  <c r="Z172" i="8"/>
  <c r="AB172" s="1"/>
  <c r="AA160"/>
  <c r="Y160"/>
  <c r="Y185" i="6"/>
  <c r="AA185"/>
  <c r="Z185" i="8"/>
  <c r="AB185" s="1"/>
  <c r="R152" i="3"/>
  <c r="T152" s="1"/>
  <c r="W152" s="1"/>
  <c r="X152" s="1"/>
  <c r="Z152" s="1"/>
  <c r="P221"/>
  <c r="Q221"/>
  <c r="Z184" i="6"/>
  <c r="W184" i="1"/>
  <c r="X184" s="1"/>
  <c r="AA184"/>
  <c r="AG184"/>
  <c r="AF184" s="1"/>
  <c r="AN21"/>
  <c r="P164" i="3"/>
  <c r="Q164"/>
  <c r="Y128" i="6"/>
  <c r="AA128"/>
  <c r="Z128" i="8"/>
  <c r="AB128" s="1"/>
  <c r="AP17" i="6"/>
  <c r="AN22" i="2"/>
  <c r="AS22"/>
  <c r="Y191" i="6"/>
  <c r="Z191" i="8"/>
  <c r="AB191" s="1"/>
  <c r="AA191" i="6"/>
  <c r="AA179" i="8"/>
  <c r="Y179"/>
  <c r="AE185" i="3"/>
  <c r="AF185"/>
  <c r="AG185" s="1"/>
  <c r="BB201" i="1"/>
  <c r="BC189"/>
  <c r="BI189" s="1"/>
  <c r="BK189" s="1"/>
  <c r="BB249" i="2"/>
  <c r="BH249" s="1"/>
  <c r="BK249" s="1"/>
  <c r="BA261"/>
  <c r="L243" i="3"/>
  <c r="P243" s="1"/>
  <c r="R243" s="1"/>
  <c r="T243" s="1"/>
  <c r="W243" s="1"/>
  <c r="K255"/>
  <c r="D255" i="10" s="1"/>
  <c r="E255" s="1"/>
  <c r="Y207" i="8"/>
  <c r="AA207"/>
  <c r="Z218" i="6"/>
  <c r="AA218" i="3"/>
  <c r="Z219" i="8"/>
  <c r="Y219" i="6"/>
  <c r="AA219"/>
  <c r="AF206" i="3"/>
  <c r="AG206" s="1"/>
  <c r="AE206"/>
  <c r="Z206" i="8"/>
  <c r="AB206" s="1"/>
  <c r="AA206" i="6"/>
  <c r="Y206"/>
  <c r="AA194" i="8"/>
  <c r="Y194"/>
  <c r="K242" i="3"/>
  <c r="D242" i="10" s="1"/>
  <c r="E242" s="1"/>
  <c r="L230" i="3"/>
  <c r="P230" s="1"/>
  <c r="R230" s="1"/>
  <c r="T230" s="1"/>
  <c r="W230" s="1"/>
  <c r="BA317" i="2"/>
  <c r="BB305"/>
  <c r="BH305" s="1"/>
  <c r="BK305" s="1"/>
  <c r="BE198"/>
  <c r="BF186"/>
  <c r="BI186" s="1"/>
  <c r="AX198" i="3"/>
  <c r="AY186"/>
  <c r="BE224" i="2"/>
  <c r="BF212"/>
  <c r="BI212" s="1"/>
  <c r="BK212" s="1"/>
  <c r="AX213" i="3"/>
  <c r="AY201"/>
  <c r="BC201" s="1"/>
  <c r="BE201" s="1"/>
  <c r="BB254" i="1"/>
  <c r="BC242"/>
  <c r="BI242" s="1"/>
  <c r="BK242" s="1"/>
  <c r="BE162" i="3"/>
  <c r="BG162" s="1"/>
  <c r="L283" i="2"/>
  <c r="M271"/>
  <c r="Q271" s="1"/>
  <c r="S271" s="1"/>
  <c r="BA198"/>
  <c r="BB186"/>
  <c r="BH186" s="1"/>
  <c r="BA246" i="3"/>
  <c r="BB234"/>
  <c r="BF234" s="1"/>
  <c r="BA235"/>
  <c r="BB223"/>
  <c r="BF223" s="1"/>
  <c r="BG223" s="1"/>
  <c r="BA201"/>
  <c r="BB189"/>
  <c r="BF189" s="1"/>
  <c r="BG189" s="1"/>
  <c r="BF202" i="1"/>
  <c r="BG190"/>
  <c r="BJ190" s="1"/>
  <c r="BK190" s="1"/>
  <c r="BF216"/>
  <c r="BG204"/>
  <c r="BJ204" s="1"/>
  <c r="BK204" s="1"/>
  <c r="BA230" i="2"/>
  <c r="BB218"/>
  <c r="BH218" s="1"/>
  <c r="BK218" s="1"/>
  <c r="BF380"/>
  <c r="BH293"/>
  <c r="BK293" s="1"/>
  <c r="O281"/>
  <c r="P269"/>
  <c r="R269" s="1"/>
  <c r="S269" s="1"/>
  <c r="BC174" i="3"/>
  <c r="BD174"/>
  <c r="AB181" i="6" l="1"/>
  <c r="O363" i="1"/>
  <c r="N375"/>
  <c r="O375" s="1"/>
  <c r="R375" s="1"/>
  <c r="K363"/>
  <c r="J375"/>
  <c r="K375" s="1"/>
  <c r="Q375" s="1"/>
  <c r="P363" i="2"/>
  <c r="O375"/>
  <c r="P375" s="1"/>
  <c r="R375" s="1"/>
  <c r="S375" s="1"/>
  <c r="Z375" s="1"/>
  <c r="AA181" i="6"/>
  <c r="Y181"/>
  <c r="Z181" i="8"/>
  <c r="AB181" s="1"/>
  <c r="AB196" i="3"/>
  <c r="AD196" s="1"/>
  <c r="AB187"/>
  <c r="AD187" s="1"/>
  <c r="AB168"/>
  <c r="AD168" s="1"/>
  <c r="AB154"/>
  <c r="AD154" s="1"/>
  <c r="O362" i="1"/>
  <c r="DA362" s="1"/>
  <c r="DG362" s="1"/>
  <c r="N374"/>
  <c r="O374" s="1"/>
  <c r="R374" s="1"/>
  <c r="S374" s="1"/>
  <c r="Z374" s="1"/>
  <c r="AB174" i="3"/>
  <c r="AD174" s="1"/>
  <c r="AF174" s="1"/>
  <c r="AG174" s="1"/>
  <c r="Y96" i="10"/>
  <c r="Y97" s="1"/>
  <c r="Y98" s="1"/>
  <c r="Y99" s="1"/>
  <c r="Y100" s="1"/>
  <c r="Y101" s="1"/>
  <c r="Y102" s="1"/>
  <c r="Y103" s="1"/>
  <c r="Y104" s="1"/>
  <c r="Y105" s="1"/>
  <c r="AB152" i="3"/>
  <c r="AD152" s="1"/>
  <c r="AB196" i="1"/>
  <c r="AB196" i="9" s="1"/>
  <c r="Y169" i="8"/>
  <c r="AA169"/>
  <c r="Y326" i="9"/>
  <c r="W257" i="2"/>
  <c r="X257" s="1"/>
  <c r="AH247"/>
  <c r="AH327" i="1"/>
  <c r="AF373" i="2"/>
  <c r="X328"/>
  <c r="W327" i="1"/>
  <c r="X327" s="1"/>
  <c r="AG257" i="2"/>
  <c r="AF257" s="1"/>
  <c r="AG327" i="1"/>
  <c r="AF327" s="1"/>
  <c r="AP21" i="9"/>
  <c r="AW21" s="1"/>
  <c r="Z327"/>
  <c r="Y327" s="1"/>
  <c r="AA184"/>
  <c r="AA257" i="2"/>
  <c r="AA327" i="1"/>
  <c r="AW20" i="9"/>
  <c r="AX20" s="1"/>
  <c r="AF181" i="3"/>
  <c r="AG181" s="1"/>
  <c r="P360" i="2"/>
  <c r="DA360" s="1"/>
  <c r="DG360" s="1"/>
  <c r="O372"/>
  <c r="P372" s="1"/>
  <c r="R372" s="1"/>
  <c r="S372" s="1"/>
  <c r="Z372" s="1"/>
  <c r="AH325"/>
  <c r="X114" i="10"/>
  <c r="X109"/>
  <c r="BK195" i="1"/>
  <c r="DA363"/>
  <c r="DG363" s="1"/>
  <c r="AF245" i="2"/>
  <c r="AQ17" i="6"/>
  <c r="P358" i="2"/>
  <c r="DA358" s="1"/>
  <c r="DG358" s="1"/>
  <c r="O370"/>
  <c r="P370" s="1"/>
  <c r="R370" s="1"/>
  <c r="S370" s="1"/>
  <c r="AH327"/>
  <c r="AA174" i="3"/>
  <c r="BF357" i="2"/>
  <c r="BI357" s="1"/>
  <c r="BE369"/>
  <c r="BF369" s="1"/>
  <c r="BI369" s="1"/>
  <c r="K357" i="1"/>
  <c r="DA357" s="1"/>
  <c r="DG357" s="1"/>
  <c r="J369"/>
  <c r="K369" s="1"/>
  <c r="Q369" s="1"/>
  <c r="S369" s="1"/>
  <c r="M357" i="2"/>
  <c r="DA357" s="1"/>
  <c r="DG357" s="1"/>
  <c r="L369"/>
  <c r="M369" s="1"/>
  <c r="Q369" s="1"/>
  <c r="S369" s="1"/>
  <c r="Y320" i="9"/>
  <c r="K356" i="1"/>
  <c r="DA356" s="1"/>
  <c r="DG356" s="1"/>
  <c r="J368"/>
  <c r="K368" s="1"/>
  <c r="Q368" s="1"/>
  <c r="S368" s="1"/>
  <c r="AB203" i="6"/>
  <c r="AB215" i="8" s="1"/>
  <c r="AB175" i="6"/>
  <c r="AB156"/>
  <c r="AB142"/>
  <c r="X324" i="2"/>
  <c r="AH328"/>
  <c r="AB184" i="6"/>
  <c r="AB197"/>
  <c r="AB209" i="8" s="1"/>
  <c r="AB140" i="6"/>
  <c r="AB162"/>
  <c r="AA259" i="2"/>
  <c r="AA340"/>
  <c r="AH324"/>
  <c r="AA317" i="9"/>
  <c r="AA163" i="8"/>
  <c r="AB163"/>
  <c r="Y201"/>
  <c r="AB201"/>
  <c r="Z193" i="6"/>
  <c r="AB193" i="3"/>
  <c r="AD193" s="1"/>
  <c r="AF193" s="1"/>
  <c r="AA162" i="6"/>
  <c r="X317" i="1"/>
  <c r="X316" i="2"/>
  <c r="X320" i="1"/>
  <c r="X327" i="2"/>
  <c r="Y321" i="9"/>
  <c r="Q354" i="2"/>
  <c r="S354" s="1"/>
  <c r="W340"/>
  <c r="AG259"/>
  <c r="AF259" s="1"/>
  <c r="AF321"/>
  <c r="Q366"/>
  <c r="S366" s="1"/>
  <c r="DA366"/>
  <c r="W259"/>
  <c r="X259" s="1"/>
  <c r="AG340"/>
  <c r="AH340" s="1"/>
  <c r="X115" i="10"/>
  <c r="Q127"/>
  <c r="R127" s="1"/>
  <c r="X111"/>
  <c r="Q125"/>
  <c r="R125" s="1"/>
  <c r="Q119"/>
  <c r="R119" s="1"/>
  <c r="Q123"/>
  <c r="R123" s="1"/>
  <c r="AH322" i="2"/>
  <c r="M353"/>
  <c r="Q353" s="1"/>
  <c r="L365"/>
  <c r="M365" s="1"/>
  <c r="O353" i="1"/>
  <c r="DA353" s="1"/>
  <c r="DG353" s="1"/>
  <c r="N365"/>
  <c r="O365" s="1"/>
  <c r="R365" s="1"/>
  <c r="S365" s="1"/>
  <c r="AA201" i="8"/>
  <c r="AG339" i="1"/>
  <c r="AF339" s="1"/>
  <c r="AA339"/>
  <c r="Z339" i="9"/>
  <c r="AA339" s="1"/>
  <c r="W339" i="1"/>
  <c r="AH339"/>
  <c r="AA339" i="2"/>
  <c r="W339"/>
  <c r="AG339"/>
  <c r="AF339" s="1"/>
  <c r="Q341"/>
  <c r="Q345"/>
  <c r="S345" s="1"/>
  <c r="Z345" s="1"/>
  <c r="DA345"/>
  <c r="DG345" s="1"/>
  <c r="R358"/>
  <c r="S358" s="1"/>
  <c r="R348"/>
  <c r="S348" s="1"/>
  <c r="Z348" s="1"/>
  <c r="DA348"/>
  <c r="DG348" s="1"/>
  <c r="R363"/>
  <c r="S363" s="1"/>
  <c r="DA363"/>
  <c r="DG363" s="1"/>
  <c r="R352"/>
  <c r="S352" s="1"/>
  <c r="Z352" s="1"/>
  <c r="DA352"/>
  <c r="DG352" s="1"/>
  <c r="Q357"/>
  <c r="S357" s="1"/>
  <c r="R346"/>
  <c r="S346" s="1"/>
  <c r="Z346" s="1"/>
  <c r="DA346"/>
  <c r="DG346" s="1"/>
  <c r="R351"/>
  <c r="S351" s="1"/>
  <c r="Z351" s="1"/>
  <c r="DA351"/>
  <c r="DG351" s="1"/>
  <c r="R364"/>
  <c r="S364" s="1"/>
  <c r="DA364"/>
  <c r="DG364" s="1"/>
  <c r="Q344" i="1"/>
  <c r="S344" s="1"/>
  <c r="Z344" s="1"/>
  <c r="DA344"/>
  <c r="DG344" s="1"/>
  <c r="Q345"/>
  <c r="S345" s="1"/>
  <c r="Z345" s="1"/>
  <c r="DA345"/>
  <c r="DG345" s="1"/>
  <c r="Q352"/>
  <c r="R350"/>
  <c r="S350" s="1"/>
  <c r="Z350" s="1"/>
  <c r="DA350"/>
  <c r="DG350" s="1"/>
  <c r="Q351"/>
  <c r="S351" s="1"/>
  <c r="DA351"/>
  <c r="DG351" s="1"/>
  <c r="Y163" i="8"/>
  <c r="Z269" i="2"/>
  <c r="Z271"/>
  <c r="Z215"/>
  <c r="AF316"/>
  <c r="AH316"/>
  <c r="BD339" i="3"/>
  <c r="BE339" s="1"/>
  <c r="BG339" s="1"/>
  <c r="AE162"/>
  <c r="Z162" i="8"/>
  <c r="AB162" s="1"/>
  <c r="AY351" i="3"/>
  <c r="BC351" s="1"/>
  <c r="AX363"/>
  <c r="BF351" i="2"/>
  <c r="BI351" s="1"/>
  <c r="BK351" s="1"/>
  <c r="BE363"/>
  <c r="X113" i="10"/>
  <c r="Z174" i="6"/>
  <c r="AA193" i="3"/>
  <c r="AE174"/>
  <c r="Y162" i="6"/>
  <c r="X112" i="10"/>
  <c r="Z196" i="9"/>
  <c r="Y196" s="1"/>
  <c r="AF187" i="3"/>
  <c r="BC348" i="1"/>
  <c r="BI348" s="1"/>
  <c r="BB360"/>
  <c r="Q124" i="10"/>
  <c r="R124" s="1"/>
  <c r="Z187" i="6"/>
  <c r="X117" i="10"/>
  <c r="S108"/>
  <c r="S109" s="1"/>
  <c r="S110" s="1"/>
  <c r="S111" s="1"/>
  <c r="S112" s="1"/>
  <c r="S113" s="1"/>
  <c r="S114" s="1"/>
  <c r="S115" s="1"/>
  <c r="S116" s="1"/>
  <c r="S117" s="1"/>
  <c r="S118" s="1"/>
  <c r="X108"/>
  <c r="Q126"/>
  <c r="R126" s="1"/>
  <c r="AA187" i="3"/>
  <c r="Q122" i="10"/>
  <c r="R122" s="1"/>
  <c r="Q120"/>
  <c r="R120" s="1"/>
  <c r="Q121"/>
  <c r="R121" s="1"/>
  <c r="Z225" i="6"/>
  <c r="BC341" i="1"/>
  <c r="BB353"/>
  <c r="X116" i="10"/>
  <c r="K154"/>
  <c r="L154" s="1"/>
  <c r="L155" s="1"/>
  <c r="L156" s="1"/>
  <c r="L157" s="1"/>
  <c r="L158" s="1"/>
  <c r="L159" s="1"/>
  <c r="L160" s="1"/>
  <c r="L161" s="1"/>
  <c r="L162" s="1"/>
  <c r="L163" s="1"/>
  <c r="L164" s="1"/>
  <c r="L165" s="1"/>
  <c r="AA225" i="3"/>
  <c r="K242" i="10"/>
  <c r="F242"/>
  <c r="K255"/>
  <c r="F255"/>
  <c r="S308" i="3"/>
  <c r="J308" i="10"/>
  <c r="S205" i="3"/>
  <c r="T205" s="1"/>
  <c r="W205" s="1"/>
  <c r="X205" s="1"/>
  <c r="Y205" s="1"/>
  <c r="Z205" s="1"/>
  <c r="F309" i="10"/>
  <c r="S306" i="3"/>
  <c r="J306" i="10"/>
  <c r="K232"/>
  <c r="F232"/>
  <c r="S237" i="3"/>
  <c r="T237" s="1"/>
  <c r="W237" s="1"/>
  <c r="X237" s="1"/>
  <c r="Y237" s="1"/>
  <c r="Z237" s="1"/>
  <c r="K227" i="10"/>
  <c r="F227"/>
  <c r="F241"/>
  <c r="K223"/>
  <c r="F223"/>
  <c r="AA154" i="3"/>
  <c r="Z154" i="6"/>
  <c r="Y130" i="8"/>
  <c r="AA130"/>
  <c r="AA156" i="6"/>
  <c r="Y156"/>
  <c r="Z156" i="8"/>
  <c r="AB156" s="1"/>
  <c r="AE156" i="3"/>
  <c r="AF156"/>
  <c r="AG156" s="1"/>
  <c r="S166"/>
  <c r="T166" s="1"/>
  <c r="W166" s="1"/>
  <c r="X166" s="1"/>
  <c r="Z166" s="1"/>
  <c r="J166" i="10"/>
  <c r="J225"/>
  <c r="K225"/>
  <c r="AA168" i="3"/>
  <c r="Z168" i="6"/>
  <c r="K168" i="10"/>
  <c r="F168"/>
  <c r="D178"/>
  <c r="E178" s="1"/>
  <c r="L178" i="3"/>
  <c r="P178" s="1"/>
  <c r="R178" s="1"/>
  <c r="K190"/>
  <c r="Q131" i="10" s="1"/>
  <c r="R131" s="1"/>
  <c r="Y144" i="8"/>
  <c r="AA144"/>
  <c r="AE142" i="3"/>
  <c r="AF142"/>
  <c r="AG142" s="1"/>
  <c r="J193" i="10"/>
  <c r="K193"/>
  <c r="K188"/>
  <c r="F188"/>
  <c r="K245"/>
  <c r="F245"/>
  <c r="S228" i="3"/>
  <c r="J228" i="10"/>
  <c r="S279" i="3"/>
  <c r="J279" i="10"/>
  <c r="K210"/>
  <c r="F210"/>
  <c r="S293" i="3"/>
  <c r="J293" i="10"/>
  <c r="U120"/>
  <c r="V120" s="1"/>
  <c r="H178"/>
  <c r="I178" s="1"/>
  <c r="N190" i="3"/>
  <c r="O178"/>
  <c r="U126" i="10"/>
  <c r="V126" s="1"/>
  <c r="U121"/>
  <c r="V121" s="1"/>
  <c r="U123"/>
  <c r="V123" s="1"/>
  <c r="U122"/>
  <c r="V122" s="1"/>
  <c r="U118"/>
  <c r="V118" s="1"/>
  <c r="U119"/>
  <c r="V119" s="1"/>
  <c r="U129"/>
  <c r="V129" s="1"/>
  <c r="U127"/>
  <c r="V127" s="1"/>
  <c r="U125"/>
  <c r="V125" s="1"/>
  <c r="U128"/>
  <c r="V128" s="1"/>
  <c r="U124"/>
  <c r="V124" s="1"/>
  <c r="D180"/>
  <c r="E180" s="1"/>
  <c r="L180" i="3"/>
  <c r="P180" s="1"/>
  <c r="R180" s="1"/>
  <c r="T180" s="1"/>
  <c r="W180" s="1"/>
  <c r="X180" s="1"/>
  <c r="Z180" s="1"/>
  <c r="K192"/>
  <c r="F166" i="10"/>
  <c r="AA142" i="6"/>
  <c r="Y142"/>
  <c r="Z142" i="8"/>
  <c r="AB142" s="1"/>
  <c r="W106" i="10"/>
  <c r="W107" s="1"/>
  <c r="W108" s="1"/>
  <c r="W109" s="1"/>
  <c r="W110" s="1"/>
  <c r="W111" s="1"/>
  <c r="W112" s="1"/>
  <c r="W113" s="1"/>
  <c r="W114" s="1"/>
  <c r="W115" s="1"/>
  <c r="W116" s="1"/>
  <c r="W117" s="1"/>
  <c r="X106"/>
  <c r="AY338" i="3"/>
  <c r="BC338" s="1"/>
  <c r="BE338" s="1"/>
  <c r="BG338" s="1"/>
  <c r="AX350"/>
  <c r="R208"/>
  <c r="T208" s="1"/>
  <c r="W208" s="1"/>
  <c r="X208" s="1"/>
  <c r="Y208" s="1"/>
  <c r="Z208" s="1"/>
  <c r="AE193"/>
  <c r="AA213" i="8"/>
  <c r="Y213"/>
  <c r="L309" i="3"/>
  <c r="P309" s="1"/>
  <c r="R309" s="1"/>
  <c r="K321"/>
  <c r="D321" i="10" s="1"/>
  <c r="E321" s="1"/>
  <c r="O318" i="3"/>
  <c r="N330"/>
  <c r="H330" i="10" s="1"/>
  <c r="I330" s="1"/>
  <c r="P220" i="3"/>
  <c r="Q220"/>
  <c r="N252"/>
  <c r="H252" i="10" s="1"/>
  <c r="I252" s="1"/>
  <c r="O240" i="3"/>
  <c r="N303"/>
  <c r="H303" i="10" s="1"/>
  <c r="I303" s="1"/>
  <c r="O291" i="3"/>
  <c r="AA196"/>
  <c r="K253"/>
  <c r="D253" i="10" s="1"/>
  <c r="E253" s="1"/>
  <c r="L241" i="3"/>
  <c r="P241" s="1"/>
  <c r="R241" s="1"/>
  <c r="O305"/>
  <c r="N317"/>
  <c r="H317" i="10" s="1"/>
  <c r="I317" s="1"/>
  <c r="R186" i="3"/>
  <c r="T186" s="1"/>
  <c r="W186" s="1"/>
  <c r="X186" s="1"/>
  <c r="Z186" s="1"/>
  <c r="R199"/>
  <c r="T199" s="1"/>
  <c r="W199" s="1"/>
  <c r="X199" s="1"/>
  <c r="Y199" s="1"/>
  <c r="Z199" s="1"/>
  <c r="Q129" i="10"/>
  <c r="R129" s="1"/>
  <c r="Q128"/>
  <c r="R128" s="1"/>
  <c r="Q135"/>
  <c r="R135" s="1"/>
  <c r="N229" i="3"/>
  <c r="H229" i="10" s="1"/>
  <c r="I229" s="1"/>
  <c r="O217" i="3"/>
  <c r="AE184"/>
  <c r="AF184"/>
  <c r="AG184" s="1"/>
  <c r="L232"/>
  <c r="K244"/>
  <c r="D244" i="10" s="1"/>
  <c r="E244" s="1"/>
  <c r="N261" i="3"/>
  <c r="H261" i="10" s="1"/>
  <c r="I261" s="1"/>
  <c r="O249" i="3"/>
  <c r="AA215"/>
  <c r="K239"/>
  <c r="D239" i="10" s="1"/>
  <c r="E239" s="1"/>
  <c r="L227" i="3"/>
  <c r="P227" s="1"/>
  <c r="R227" s="1"/>
  <c r="T227" s="1"/>
  <c r="W227" s="1"/>
  <c r="X227" s="1"/>
  <c r="Y227" s="1"/>
  <c r="Z227" s="1"/>
  <c r="AE203"/>
  <c r="AF203"/>
  <c r="AG203" s="1"/>
  <c r="AE187"/>
  <c r="AA150" i="8"/>
  <c r="Y150"/>
  <c r="Z175"/>
  <c r="AB175" s="1"/>
  <c r="AA175" i="6"/>
  <c r="Y175"/>
  <c r="AF175" i="3"/>
  <c r="AG175" s="1"/>
  <c r="AE175"/>
  <c r="P198"/>
  <c r="Q198"/>
  <c r="K222"/>
  <c r="D222" i="10" s="1"/>
  <c r="E222" s="1"/>
  <c r="L210" i="3"/>
  <c r="P211"/>
  <c r="Q211"/>
  <c r="K235"/>
  <c r="D235" i="10" s="1"/>
  <c r="E235" s="1"/>
  <c r="L223" i="3"/>
  <c r="AG162"/>
  <c r="Z231" i="6"/>
  <c r="BF336" i="2"/>
  <c r="BI336" s="1"/>
  <c r="BE348"/>
  <c r="AY336" i="3"/>
  <c r="BC336" s="1"/>
  <c r="BE336" s="1"/>
  <c r="BG336" s="1"/>
  <c r="AX348"/>
  <c r="BF335" i="2"/>
  <c r="BI335" s="1"/>
  <c r="BK335" s="1"/>
  <c r="BE347"/>
  <c r="AY335" i="3"/>
  <c r="BC335" s="1"/>
  <c r="BE335" s="1"/>
  <c r="BG335" s="1"/>
  <c r="AX347"/>
  <c r="BC335" i="1"/>
  <c r="BB347"/>
  <c r="AY334" i="3"/>
  <c r="BC334" s="1"/>
  <c r="BE334" s="1"/>
  <c r="BG334" s="1"/>
  <c r="AX346"/>
  <c r="BF334" i="2"/>
  <c r="BI334" s="1"/>
  <c r="BK334" s="1"/>
  <c r="BE346"/>
  <c r="AU20" i="1"/>
  <c r="AR17" i="3"/>
  <c r="AW16" i="8"/>
  <c r="AX16" s="1"/>
  <c r="AY332" i="3"/>
  <c r="BD332" s="1"/>
  <c r="AX344"/>
  <c r="BB329"/>
  <c r="BF329" s="1"/>
  <c r="BG329" s="1"/>
  <c r="BA341"/>
  <c r="BC320"/>
  <c r="BE320" s="1"/>
  <c r="BG320" s="1"/>
  <c r="O320"/>
  <c r="N332"/>
  <c r="H332" i="10" s="1"/>
  <c r="I332" s="1"/>
  <c r="AA231" i="3"/>
  <c r="Z209" i="6"/>
  <c r="BB317" i="2"/>
  <c r="BH317" s="1"/>
  <c r="BK317" s="1"/>
  <c r="BA329"/>
  <c r="X230" i="3"/>
  <c r="Y230" s="1"/>
  <c r="Z230" s="1"/>
  <c r="X243"/>
  <c r="Y243" s="1"/>
  <c r="Z243" s="1"/>
  <c r="AA209"/>
  <c r="BE308"/>
  <c r="BG308" s="1"/>
  <c r="BB220" i="1"/>
  <c r="BC208"/>
  <c r="BI208" s="1"/>
  <c r="BB256" i="2"/>
  <c r="BH256" s="1"/>
  <c r="BK256" s="1"/>
  <c r="BA268"/>
  <c r="BF220" i="1"/>
  <c r="BG208"/>
  <c r="BJ208" s="1"/>
  <c r="BK208" s="1"/>
  <c r="BF268" i="2"/>
  <c r="BI268" s="1"/>
  <c r="BE280"/>
  <c r="BK196" i="1"/>
  <c r="BF219"/>
  <c r="BG207"/>
  <c r="BJ207" s="1"/>
  <c r="BA241" i="2"/>
  <c r="BB229"/>
  <c r="BH229" s="1"/>
  <c r="BK229" s="1"/>
  <c r="BA252"/>
  <c r="BB240"/>
  <c r="BH240" s="1"/>
  <c r="BK240" s="1"/>
  <c r="BB219" i="1"/>
  <c r="BC207"/>
  <c r="BI207" s="1"/>
  <c r="AX241" i="3"/>
  <c r="AY229"/>
  <c r="BC229" s="1"/>
  <c r="BE229" s="1"/>
  <c r="BG229" s="1"/>
  <c r="BB217" i="1"/>
  <c r="BC205"/>
  <c r="BI205" s="1"/>
  <c r="BK205" s="1"/>
  <c r="BK186" i="2"/>
  <c r="BB224" i="1"/>
  <c r="BC212"/>
  <c r="BI212" s="1"/>
  <c r="BK212" s="1"/>
  <c r="R221" i="3"/>
  <c r="T221" s="1"/>
  <c r="W221" s="1"/>
  <c r="Y128" i="8"/>
  <c r="AA128"/>
  <c r="AP17"/>
  <c r="Y172"/>
  <c r="AA172"/>
  <c r="AE197" i="3"/>
  <c r="AF197"/>
  <c r="AG197" s="1"/>
  <c r="P176"/>
  <c r="Q176"/>
  <c r="AA196" i="1"/>
  <c r="AH196"/>
  <c r="AG196"/>
  <c r="AF196" s="1"/>
  <c r="W196"/>
  <c r="X196" s="1"/>
  <c r="Z196" i="6"/>
  <c r="AN22" i="1"/>
  <c r="P233" i="3"/>
  <c r="Q233"/>
  <c r="AQ18"/>
  <c r="AS18" s="1"/>
  <c r="AT18" s="1"/>
  <c r="AS23" i="2"/>
  <c r="AN23"/>
  <c r="Z203" i="8"/>
  <c r="AB203" s="1"/>
  <c r="AA203" i="6"/>
  <c r="Y203"/>
  <c r="R164" i="3"/>
  <c r="T164" s="1"/>
  <c r="W164" s="1"/>
  <c r="X164" s="1"/>
  <c r="Z164" s="1"/>
  <c r="Y191" i="8"/>
  <c r="AA191"/>
  <c r="AT22" i="2"/>
  <c r="AW17" i="6"/>
  <c r="AX17" s="1"/>
  <c r="AT21" i="1"/>
  <c r="AO21"/>
  <c r="Z184" i="8"/>
  <c r="AB184" s="1"/>
  <c r="AA184" i="6"/>
  <c r="Y184"/>
  <c r="Z152"/>
  <c r="AA152" i="3"/>
  <c r="AK19"/>
  <c r="AL19" s="1"/>
  <c r="AA185" i="8"/>
  <c r="Y185"/>
  <c r="Z197"/>
  <c r="AB197" s="1"/>
  <c r="Y197" i="6"/>
  <c r="AA197"/>
  <c r="O239" i="2"/>
  <c r="P227"/>
  <c r="R227" s="1"/>
  <c r="S227" s="1"/>
  <c r="K200" i="3"/>
  <c r="D200" i="10" s="1"/>
  <c r="E200" s="1"/>
  <c r="L188" i="3"/>
  <c r="N220" i="1"/>
  <c r="O208"/>
  <c r="R208" s="1"/>
  <c r="S208" s="1"/>
  <c r="Z208" s="1"/>
  <c r="L251" i="2"/>
  <c r="M239"/>
  <c r="Q239" s="1"/>
  <c r="K257" i="3"/>
  <c r="D257" i="10" s="1"/>
  <c r="E257" s="1"/>
  <c r="L245" i="3"/>
  <c r="AE140"/>
  <c r="AF140"/>
  <c r="AG140" s="1"/>
  <c r="Z140" i="8"/>
  <c r="AB140" s="1"/>
  <c r="Y140" i="6"/>
  <c r="AA140"/>
  <c r="AP18"/>
  <c r="BB213" i="1"/>
  <c r="BC201"/>
  <c r="BI201" s="1"/>
  <c r="BK201" s="1"/>
  <c r="BA273" i="2"/>
  <c r="BB261"/>
  <c r="BH261" s="1"/>
  <c r="BK261" s="1"/>
  <c r="Y219" i="8"/>
  <c r="AA219"/>
  <c r="Z218"/>
  <c r="AA218" i="6"/>
  <c r="Y218"/>
  <c r="K254" i="3"/>
  <c r="D254" i="10" s="1"/>
  <c r="E254" s="1"/>
  <c r="L242" i="3"/>
  <c r="P242" s="1"/>
  <c r="R242" s="1"/>
  <c r="T242" s="1"/>
  <c r="W242" s="1"/>
  <c r="Y206" i="8"/>
  <c r="AA206"/>
  <c r="K267" i="3"/>
  <c r="D267" i="10" s="1"/>
  <c r="E267" s="1"/>
  <c r="L255" i="3"/>
  <c r="P255" s="1"/>
  <c r="R255" s="1"/>
  <c r="T255" s="1"/>
  <c r="W255" s="1"/>
  <c r="O293" i="2"/>
  <c r="P281"/>
  <c r="R281" s="1"/>
  <c r="S281" s="1"/>
  <c r="BC254" i="1"/>
  <c r="BI254" s="1"/>
  <c r="BK254" s="1"/>
  <c r="BB266"/>
  <c r="AX225" i="3"/>
  <c r="AY213"/>
  <c r="BC213" s="1"/>
  <c r="BE213" s="1"/>
  <c r="BE236" i="2"/>
  <c r="BF224"/>
  <c r="BI224" s="1"/>
  <c r="BK224" s="1"/>
  <c r="AX210" i="3"/>
  <c r="AY198"/>
  <c r="BE210" i="2"/>
  <c r="BF198"/>
  <c r="BI198" s="1"/>
  <c r="BA242"/>
  <c r="BB230"/>
  <c r="BH230" s="1"/>
  <c r="BK230" s="1"/>
  <c r="BF228" i="1"/>
  <c r="BG216"/>
  <c r="BJ216" s="1"/>
  <c r="BK216" s="1"/>
  <c r="BF214"/>
  <c r="BG202"/>
  <c r="BJ202" s="1"/>
  <c r="BK202" s="1"/>
  <c r="BA213" i="3"/>
  <c r="BB201"/>
  <c r="BF201" s="1"/>
  <c r="BG201" s="1"/>
  <c r="BA247"/>
  <c r="BB235"/>
  <c r="BF235" s="1"/>
  <c r="BG235" s="1"/>
  <c r="BB246"/>
  <c r="BF246" s="1"/>
  <c r="BA258"/>
  <c r="BA210" i="2"/>
  <c r="BB198"/>
  <c r="BH198" s="1"/>
  <c r="L295"/>
  <c r="M283"/>
  <c r="Q283" s="1"/>
  <c r="S283" s="1"/>
  <c r="BC186" i="3"/>
  <c r="BD186"/>
  <c r="BE174"/>
  <c r="BG174" s="1"/>
  <c r="Z193" i="8" l="1"/>
  <c r="AB193" s="1"/>
  <c r="W375" i="2"/>
  <c r="AG375"/>
  <c r="AF375" s="1"/>
  <c r="AA375"/>
  <c r="S375" i="1"/>
  <c r="Z375" s="1"/>
  <c r="Y181" i="8"/>
  <c r="AA181"/>
  <c r="BF363" i="2"/>
  <c r="BI363" s="1"/>
  <c r="BK363" s="1"/>
  <c r="BE375"/>
  <c r="BF375" s="1"/>
  <c r="BI375" s="1"/>
  <c r="BK375" s="1"/>
  <c r="AY363" i="3"/>
  <c r="BD363" s="1"/>
  <c r="AX375"/>
  <c r="AY375" s="1"/>
  <c r="Y106" i="10"/>
  <c r="Y107" s="1"/>
  <c r="AG271" i="2"/>
  <c r="AF271" s="1"/>
  <c r="AA327" i="9"/>
  <c r="AB186" i="3"/>
  <c r="AD186" s="1"/>
  <c r="AA374" i="1"/>
  <c r="W374"/>
  <c r="AG374"/>
  <c r="AF374" s="1"/>
  <c r="Z374" i="9"/>
  <c r="AA374" s="1"/>
  <c r="AB208" i="1"/>
  <c r="AB208" i="9" s="1"/>
  <c r="AB166" i="3"/>
  <c r="AD166" s="1"/>
  <c r="AB164"/>
  <c r="AD164" s="1"/>
  <c r="AB180"/>
  <c r="AD180" s="1"/>
  <c r="Z215" i="6"/>
  <c r="AB199" i="3"/>
  <c r="AD199" s="1"/>
  <c r="AB208"/>
  <c r="AD208" s="1"/>
  <c r="AF208" s="1"/>
  <c r="AA205"/>
  <c r="AH259" i="2"/>
  <c r="AG193" i="3"/>
  <c r="AX21" i="9"/>
  <c r="AA215" i="2"/>
  <c r="R360"/>
  <c r="S360" s="1"/>
  <c r="AQ21" i="9"/>
  <c r="X119" i="10"/>
  <c r="S119"/>
  <c r="S120" s="1"/>
  <c r="S121" s="1"/>
  <c r="S122" s="1"/>
  <c r="S123" s="1"/>
  <c r="S124" s="1"/>
  <c r="S125" s="1"/>
  <c r="S126" s="1"/>
  <c r="S127" s="1"/>
  <c r="S128" s="1"/>
  <c r="S129" s="1"/>
  <c r="AH257" i="2"/>
  <c r="AG269"/>
  <c r="AF269" s="1"/>
  <c r="AP22" i="9"/>
  <c r="AQ22" s="1"/>
  <c r="BC332" i="3"/>
  <c r="BC360" i="1"/>
  <c r="BB372"/>
  <c r="BC372" s="1"/>
  <c r="BI372" s="1"/>
  <c r="AG372" i="2"/>
  <c r="W372"/>
  <c r="AA372"/>
  <c r="Y193" i="6"/>
  <c r="AA269" i="2"/>
  <c r="AA193" i="6"/>
  <c r="X125" i="10"/>
  <c r="X123"/>
  <c r="AF340" i="2"/>
  <c r="AQ18" i="6"/>
  <c r="W271" i="2"/>
  <c r="X271" s="1"/>
  <c r="AA271"/>
  <c r="AA196" i="9"/>
  <c r="X126" i="10"/>
  <c r="AB196" i="6"/>
  <c r="AB168"/>
  <c r="AB193"/>
  <c r="AB152"/>
  <c r="AB154"/>
  <c r="AB187"/>
  <c r="AB174"/>
  <c r="X339" i="1"/>
  <c r="X340" i="2"/>
  <c r="W269"/>
  <c r="X269" s="1"/>
  <c r="W215"/>
  <c r="X215" s="1"/>
  <c r="AG215"/>
  <c r="AF215" s="1"/>
  <c r="BD351" i="3"/>
  <c r="BE351" s="1"/>
  <c r="BG351" s="1"/>
  <c r="X127" i="10"/>
  <c r="Y162" i="8"/>
  <c r="AA162"/>
  <c r="Z205" i="6"/>
  <c r="AB205" i="3"/>
  <c r="AD205" s="1"/>
  <c r="AE205" s="1"/>
  <c r="Z174" i="8"/>
  <c r="AB174" s="1"/>
  <c r="X339" i="2"/>
  <c r="AA174" i="6"/>
  <c r="Q365" i="2"/>
  <c r="AH339"/>
  <c r="AA344" i="1"/>
  <c r="W351" i="2"/>
  <c r="AG345"/>
  <c r="AF345" s="1"/>
  <c r="AA350" i="1"/>
  <c r="X129" i="10"/>
  <c r="BC353" i="1"/>
  <c r="BB365"/>
  <c r="BC365" s="1"/>
  <c r="BI365" s="1"/>
  <c r="BK365" s="1"/>
  <c r="Y339" i="9"/>
  <c r="Z283" i="2"/>
  <c r="Z281"/>
  <c r="Z227"/>
  <c r="AG352"/>
  <c r="AA352"/>
  <c r="W352"/>
  <c r="AG348"/>
  <c r="AF348" s="1"/>
  <c r="AA348"/>
  <c r="W348"/>
  <c r="W345"/>
  <c r="AA345"/>
  <c r="AG351"/>
  <c r="AA351"/>
  <c r="AA346"/>
  <c r="W346"/>
  <c r="AG346"/>
  <c r="AF346" s="1"/>
  <c r="AG345" i="1"/>
  <c r="AF345" s="1"/>
  <c r="Z350" i="9"/>
  <c r="AA350" s="1"/>
  <c r="AG350" i="1"/>
  <c r="AF350" s="1"/>
  <c r="W345"/>
  <c r="AA345"/>
  <c r="Z345" i="9"/>
  <c r="AA345" s="1"/>
  <c r="W350" i="1"/>
  <c r="Z351"/>
  <c r="AG344"/>
  <c r="AF344" s="1"/>
  <c r="Z344" i="9"/>
  <c r="AA344" s="1"/>
  <c r="W344" i="1"/>
  <c r="Y174" i="6"/>
  <c r="X122" i="10"/>
  <c r="X121"/>
  <c r="BC363" i="3"/>
  <c r="AA208"/>
  <c r="Z208" i="9"/>
  <c r="Y208" s="1"/>
  <c r="AY350" i="3"/>
  <c r="BC350" s="1"/>
  <c r="BE350" s="1"/>
  <c r="BG350" s="1"/>
  <c r="AX362"/>
  <c r="BF348" i="2"/>
  <c r="BI348" s="1"/>
  <c r="BE360"/>
  <c r="AY348" i="3"/>
  <c r="BC348" s="1"/>
  <c r="BE348" s="1"/>
  <c r="BG348" s="1"/>
  <c r="AX360"/>
  <c r="Z225" i="8"/>
  <c r="Y225" s="1"/>
  <c r="AA187" i="6"/>
  <c r="Y187"/>
  <c r="Z187" i="8"/>
  <c r="BC347" i="1"/>
  <c r="BI347" s="1"/>
  <c r="BK347" s="1"/>
  <c r="BB359"/>
  <c r="AY347" i="3"/>
  <c r="BC347" s="1"/>
  <c r="BE347" s="1"/>
  <c r="BG347" s="1"/>
  <c r="AX359"/>
  <c r="BF347" i="2"/>
  <c r="BI347" s="1"/>
  <c r="BK347" s="1"/>
  <c r="BE359"/>
  <c r="Y225" i="6"/>
  <c r="BF346" i="2"/>
  <c r="BI346" s="1"/>
  <c r="BK346" s="1"/>
  <c r="BE358"/>
  <c r="AY346" i="3"/>
  <c r="BC346" s="1"/>
  <c r="BE346" s="1"/>
  <c r="BG346" s="1"/>
  <c r="AX358"/>
  <c r="X120" i="10"/>
  <c r="Y108"/>
  <c r="Y109" s="1"/>
  <c r="Y110" s="1"/>
  <c r="Y111" s="1"/>
  <c r="Y112" s="1"/>
  <c r="Y113" s="1"/>
  <c r="Y114" s="1"/>
  <c r="Y115" s="1"/>
  <c r="Y116" s="1"/>
  <c r="Y117" s="1"/>
  <c r="AY344" i="3"/>
  <c r="BD344" s="1"/>
  <c r="AX356"/>
  <c r="Q139" i="10"/>
  <c r="R139" s="1"/>
  <c r="Q132"/>
  <c r="R132" s="1"/>
  <c r="Q133"/>
  <c r="R133" s="1"/>
  <c r="AA225" i="6"/>
  <c r="Z237"/>
  <c r="Q138" i="10"/>
  <c r="R138" s="1"/>
  <c r="Q134"/>
  <c r="R134" s="1"/>
  <c r="Q136"/>
  <c r="R136" s="1"/>
  <c r="Q130"/>
  <c r="R130" s="1"/>
  <c r="Q137"/>
  <c r="R137" s="1"/>
  <c r="Y231" i="6"/>
  <c r="BB341" i="3"/>
  <c r="BF341" s="1"/>
  <c r="BG341" s="1"/>
  <c r="BA353"/>
  <c r="X128" i="10"/>
  <c r="K166"/>
  <c r="L166" s="1"/>
  <c r="L167" s="1"/>
  <c r="L168" s="1"/>
  <c r="L169" s="1"/>
  <c r="L170" s="1"/>
  <c r="L171" s="1"/>
  <c r="L172" s="1"/>
  <c r="L173" s="1"/>
  <c r="L174" s="1"/>
  <c r="L175" s="1"/>
  <c r="L176" s="1"/>
  <c r="L177" s="1"/>
  <c r="AA237" i="3"/>
  <c r="K267" i="10"/>
  <c r="F267"/>
  <c r="K254"/>
  <c r="F254"/>
  <c r="S320" i="3"/>
  <c r="J320" i="10"/>
  <c r="K235"/>
  <c r="F235"/>
  <c r="K239"/>
  <c r="F239"/>
  <c r="K244"/>
  <c r="F244"/>
  <c r="S217" i="3"/>
  <c r="T217" s="1"/>
  <c r="W217" s="1"/>
  <c r="X217" s="1"/>
  <c r="Y217" s="1"/>
  <c r="Z217" s="1"/>
  <c r="Z217" i="6" s="1"/>
  <c r="S305" i="3"/>
  <c r="J305" i="10"/>
  <c r="S318" i="3"/>
  <c r="J318" i="10"/>
  <c r="F321"/>
  <c r="D192"/>
  <c r="E192" s="1"/>
  <c r="K204" i="3"/>
  <c r="L192"/>
  <c r="P192" s="1"/>
  <c r="R192" s="1"/>
  <c r="T192" s="1"/>
  <c r="W192" s="1"/>
  <c r="X192" s="1"/>
  <c r="Y192" s="1"/>
  <c r="Z192" s="1"/>
  <c r="K180" i="10"/>
  <c r="F180"/>
  <c r="S178" i="3"/>
  <c r="T178" s="1"/>
  <c r="W178" s="1"/>
  <c r="X178" s="1"/>
  <c r="Z178" s="1"/>
  <c r="J178" i="10"/>
  <c r="D190"/>
  <c r="E190" s="1"/>
  <c r="L190" i="3"/>
  <c r="P190" s="1"/>
  <c r="R190" s="1"/>
  <c r="K202"/>
  <c r="Q151" i="10" s="1"/>
  <c r="R151" s="1"/>
  <c r="K178"/>
  <c r="F178"/>
  <c r="AA156" i="8"/>
  <c r="Y156"/>
  <c r="Z154"/>
  <c r="AB154" s="1"/>
  <c r="Y154" i="6"/>
  <c r="AA154"/>
  <c r="J237" i="10"/>
  <c r="K237"/>
  <c r="J205"/>
  <c r="K205"/>
  <c r="K257"/>
  <c r="F257"/>
  <c r="K200"/>
  <c r="F200"/>
  <c r="K222"/>
  <c r="F222"/>
  <c r="S249" i="3"/>
  <c r="T249" s="1"/>
  <c r="W249" s="1"/>
  <c r="X249" s="1"/>
  <c r="Y249" s="1"/>
  <c r="Z249" s="1"/>
  <c r="F253" i="10"/>
  <c r="S291" i="3"/>
  <c r="J291" i="10"/>
  <c r="S240" i="3"/>
  <c r="J240" i="10"/>
  <c r="AA142" i="8"/>
  <c r="Y142"/>
  <c r="Z180" i="6"/>
  <c r="AA180" i="3"/>
  <c r="U132" i="10"/>
  <c r="V132" s="1"/>
  <c r="H190"/>
  <c r="I190" s="1"/>
  <c r="U131"/>
  <c r="V131" s="1"/>
  <c r="X131" s="1"/>
  <c r="U130"/>
  <c r="V130" s="1"/>
  <c r="U141"/>
  <c r="V141" s="1"/>
  <c r="U140"/>
  <c r="V140" s="1"/>
  <c r="U135"/>
  <c r="V135" s="1"/>
  <c r="X135" s="1"/>
  <c r="U139"/>
  <c r="V139" s="1"/>
  <c r="U137"/>
  <c r="V137" s="1"/>
  <c r="N202" i="3"/>
  <c r="O190"/>
  <c r="U136" i="10"/>
  <c r="V136" s="1"/>
  <c r="U134"/>
  <c r="V134" s="1"/>
  <c r="U138"/>
  <c r="V138" s="1"/>
  <c r="U133"/>
  <c r="V133" s="1"/>
  <c r="Z168" i="8"/>
  <c r="AB168" s="1"/>
  <c r="Y168" i="6"/>
  <c r="AA168"/>
  <c r="AE168" i="3"/>
  <c r="AF168"/>
  <c r="AG168" s="1"/>
  <c r="AA166"/>
  <c r="Z166" i="6"/>
  <c r="AF154" i="3"/>
  <c r="AG154" s="1"/>
  <c r="AE154"/>
  <c r="W118" i="10"/>
  <c r="W119" s="1"/>
  <c r="W120" s="1"/>
  <c r="W121" s="1"/>
  <c r="W122" s="1"/>
  <c r="W123" s="1"/>
  <c r="W124" s="1"/>
  <c r="W125" s="1"/>
  <c r="W126" s="1"/>
  <c r="W127" s="1"/>
  <c r="W128" s="1"/>
  <c r="W129" s="1"/>
  <c r="X118"/>
  <c r="X124"/>
  <c r="Z231" i="8"/>
  <c r="Y231" s="1"/>
  <c r="R211" i="3"/>
  <c r="T211" s="1"/>
  <c r="W211" s="1"/>
  <c r="X211" s="1"/>
  <c r="Y211" s="1"/>
  <c r="Z211" s="1"/>
  <c r="AA211" s="1"/>
  <c r="R198"/>
  <c r="T198" s="1"/>
  <c r="W198" s="1"/>
  <c r="X198" s="1"/>
  <c r="Y198" s="1"/>
  <c r="Z198" s="1"/>
  <c r="AG187"/>
  <c r="P223"/>
  <c r="Q223"/>
  <c r="K247"/>
  <c r="D247" i="10" s="1"/>
  <c r="E247" s="1"/>
  <c r="L235" i="3"/>
  <c r="P210"/>
  <c r="Q210"/>
  <c r="K234"/>
  <c r="D234" i="10" s="1"/>
  <c r="E234" s="1"/>
  <c r="L222" i="3"/>
  <c r="AA227"/>
  <c r="K251"/>
  <c r="D251" i="10" s="1"/>
  <c r="E251" s="1"/>
  <c r="L239" i="3"/>
  <c r="P239" s="1"/>
  <c r="R239" s="1"/>
  <c r="T239" s="1"/>
  <c r="W239" s="1"/>
  <c r="X239" s="1"/>
  <c r="Y239" s="1"/>
  <c r="Z239" s="1"/>
  <c r="N273"/>
  <c r="H273" i="10" s="1"/>
  <c r="I273" s="1"/>
  <c r="O261" i="3"/>
  <c r="K256"/>
  <c r="D256" i="10" s="1"/>
  <c r="E256" s="1"/>
  <c r="L244" i="3"/>
  <c r="AA193" i="8"/>
  <c r="Y193"/>
  <c r="AA199" i="3"/>
  <c r="Z199" i="6"/>
  <c r="Z186"/>
  <c r="AA186" i="3"/>
  <c r="N329"/>
  <c r="H329" i="10" s="1"/>
  <c r="I329" s="1"/>
  <c r="O317" i="3"/>
  <c r="AE196"/>
  <c r="AF196"/>
  <c r="AG196" s="1"/>
  <c r="O303"/>
  <c r="N315"/>
  <c r="H315" i="10" s="1"/>
  <c r="I315" s="1"/>
  <c r="N264" i="3"/>
  <c r="H264" i="10" s="1"/>
  <c r="I264" s="1"/>
  <c r="O252" i="3"/>
  <c r="R220"/>
  <c r="T220" s="1"/>
  <c r="W220" s="1"/>
  <c r="X220" s="1"/>
  <c r="Y220" s="1"/>
  <c r="Z220" s="1"/>
  <c r="Q141" i="10"/>
  <c r="R141" s="1"/>
  <c r="Q140"/>
  <c r="R140" s="1"/>
  <c r="AA175" i="8"/>
  <c r="Y175"/>
  <c r="P232" i="3"/>
  <c r="Q232"/>
  <c r="N241"/>
  <c r="H241" i="10" s="1"/>
  <c r="I241" s="1"/>
  <c r="O229" i="3"/>
  <c r="K265"/>
  <c r="D265" i="10" s="1"/>
  <c r="E265" s="1"/>
  <c r="L253" i="3"/>
  <c r="P253" s="1"/>
  <c r="R253" s="1"/>
  <c r="O330"/>
  <c r="N342"/>
  <c r="K333"/>
  <c r="D333" i="10" s="1"/>
  <c r="E333" s="1"/>
  <c r="L321" i="3"/>
  <c r="P321" s="1"/>
  <c r="R321" s="1"/>
  <c r="AA231" i="6"/>
  <c r="AU21" i="1"/>
  <c r="AT23" i="2"/>
  <c r="AR18" i="3"/>
  <c r="O332"/>
  <c r="N344"/>
  <c r="BB329" i="2"/>
  <c r="BH329" s="1"/>
  <c r="BK329" s="1"/>
  <c r="BA341"/>
  <c r="AA209" i="6"/>
  <c r="Y209"/>
  <c r="Z243"/>
  <c r="BE332" i="3"/>
  <c r="BG332" s="1"/>
  <c r="Z209" i="8"/>
  <c r="AA209" s="1"/>
  <c r="AA243" i="3"/>
  <c r="AA230"/>
  <c r="Z230" i="6"/>
  <c r="X242" i="3"/>
  <c r="Y242" s="1"/>
  <c r="Z242" s="1"/>
  <c r="X221"/>
  <c r="Y221" s="1"/>
  <c r="Z221" s="1"/>
  <c r="X255"/>
  <c r="Y255" s="1"/>
  <c r="Z255" s="1"/>
  <c r="BF232" i="1"/>
  <c r="BG220"/>
  <c r="BJ220" s="1"/>
  <c r="BB232"/>
  <c r="BC220"/>
  <c r="BI220" s="1"/>
  <c r="BK198" i="2"/>
  <c r="BE292"/>
  <c r="BF280"/>
  <c r="BI280" s="1"/>
  <c r="BB268"/>
  <c r="BH268" s="1"/>
  <c r="BK268" s="1"/>
  <c r="BA280"/>
  <c r="R233" i="3"/>
  <c r="T233" s="1"/>
  <c r="W233" s="1"/>
  <c r="BK207" i="1"/>
  <c r="BB229"/>
  <c r="BC217"/>
  <c r="BI217" s="1"/>
  <c r="BK217" s="1"/>
  <c r="AX253" i="3"/>
  <c r="AY241"/>
  <c r="BC241" s="1"/>
  <c r="BE241" s="1"/>
  <c r="BG241" s="1"/>
  <c r="BB231" i="1"/>
  <c r="BC219"/>
  <c r="BI219" s="1"/>
  <c r="BB252" i="2"/>
  <c r="BH252" s="1"/>
  <c r="BK252" s="1"/>
  <c r="BA264"/>
  <c r="BA253"/>
  <c r="BB241"/>
  <c r="BH241" s="1"/>
  <c r="BK241" s="1"/>
  <c r="BF231" i="1"/>
  <c r="BG219"/>
  <c r="BJ219" s="1"/>
  <c r="R176" i="3"/>
  <c r="T176" s="1"/>
  <c r="W176" s="1"/>
  <c r="X176" s="1"/>
  <c r="Z176" s="1"/>
  <c r="BB236" i="1"/>
  <c r="BC224"/>
  <c r="BI224" s="1"/>
  <c r="BK224" s="1"/>
  <c r="AW18" i="6"/>
  <c r="AX18" s="1"/>
  <c r="P245" i="3"/>
  <c r="Q245"/>
  <c r="Z208" i="6"/>
  <c r="W208" i="1"/>
  <c r="X208" s="1"/>
  <c r="AG208"/>
  <c r="AF208" s="1"/>
  <c r="AN23"/>
  <c r="AA208"/>
  <c r="AH208"/>
  <c r="P188" i="3"/>
  <c r="Q188"/>
  <c r="Y197" i="8"/>
  <c r="AA197"/>
  <c r="AE152" i="3"/>
  <c r="AF152"/>
  <c r="AG152" s="1"/>
  <c r="Y152" i="6"/>
  <c r="Z152" i="8"/>
  <c r="AB152" s="1"/>
  <c r="AA152" i="6"/>
  <c r="AP19"/>
  <c r="Z164"/>
  <c r="AA164" i="3"/>
  <c r="AK20"/>
  <c r="AL20" s="1"/>
  <c r="AO22" i="1"/>
  <c r="AT22"/>
  <c r="AW17" i="8"/>
  <c r="AX17" s="1"/>
  <c r="AQ17"/>
  <c r="AA140"/>
  <c r="Y140"/>
  <c r="AP18"/>
  <c r="K269" i="3"/>
  <c r="D269" i="10" s="1"/>
  <c r="E269" s="1"/>
  <c r="L257" i="3"/>
  <c r="L263" i="2"/>
  <c r="M251"/>
  <c r="Q251" s="1"/>
  <c r="N232" i="1"/>
  <c r="O220"/>
  <c r="R220" s="1"/>
  <c r="S220" s="1"/>
  <c r="K212" i="3"/>
  <c r="D212" i="10" s="1"/>
  <c r="E212" s="1"/>
  <c r="L200" i="3"/>
  <c r="O251" i="2"/>
  <c r="P239"/>
  <c r="R239" s="1"/>
  <c r="S239" s="1"/>
  <c r="AQ19" i="3"/>
  <c r="AS19" s="1"/>
  <c r="AT19" s="1"/>
  <c r="Y184" i="8"/>
  <c r="AA184"/>
  <c r="AS24" i="2"/>
  <c r="AN24"/>
  <c r="AA203" i="8"/>
  <c r="Y203"/>
  <c r="Y196" i="6"/>
  <c r="Z196" i="8"/>
  <c r="AB196" s="1"/>
  <c r="AA196" i="6"/>
  <c r="BA285" i="2"/>
  <c r="BB273"/>
  <c r="BH273" s="1"/>
  <c r="BK273" s="1"/>
  <c r="BB225" i="1"/>
  <c r="BC213"/>
  <c r="BI213" s="1"/>
  <c r="BK213" s="1"/>
  <c r="AA218" i="8"/>
  <c r="Y218"/>
  <c r="K279" i="3"/>
  <c r="D279" i="10" s="1"/>
  <c r="E279" s="1"/>
  <c r="L267" i="3"/>
  <c r="P267" s="1"/>
  <c r="R267" s="1"/>
  <c r="T267" s="1"/>
  <c r="W267" s="1"/>
  <c r="K266"/>
  <c r="D266" i="10" s="1"/>
  <c r="E266" s="1"/>
  <c r="L254" i="3"/>
  <c r="P254" s="1"/>
  <c r="R254" s="1"/>
  <c r="T254" s="1"/>
  <c r="W254" s="1"/>
  <c r="L307" i="2"/>
  <c r="M295"/>
  <c r="Q295" s="1"/>
  <c r="S295" s="1"/>
  <c r="BA222"/>
  <c r="BB210"/>
  <c r="BH210" s="1"/>
  <c r="BB247" i="3"/>
  <c r="BF247" s="1"/>
  <c r="BG247" s="1"/>
  <c r="BA259"/>
  <c r="BA225"/>
  <c r="BB213"/>
  <c r="BF213" s="1"/>
  <c r="BG213" s="1"/>
  <c r="BF226" i="1"/>
  <c r="BG214"/>
  <c r="BJ214" s="1"/>
  <c r="BK214" s="1"/>
  <c r="BF240"/>
  <c r="BG228"/>
  <c r="BJ228" s="1"/>
  <c r="BK228" s="1"/>
  <c r="BA254" i="2"/>
  <c r="BB242"/>
  <c r="BH242" s="1"/>
  <c r="BK242" s="1"/>
  <c r="BE222"/>
  <c r="BF210"/>
  <c r="BI210" s="1"/>
  <c r="AX222" i="3"/>
  <c r="AY210"/>
  <c r="BE248" i="2"/>
  <c r="BF236"/>
  <c r="BI236" s="1"/>
  <c r="BK236" s="1"/>
  <c r="AX237" i="3"/>
  <c r="AY225"/>
  <c r="BC225" s="1"/>
  <c r="BE225" s="1"/>
  <c r="AH271" i="2"/>
  <c r="O305"/>
  <c r="P293"/>
  <c r="R293" s="1"/>
  <c r="S293" s="1"/>
  <c r="BE186" i="3"/>
  <c r="BG186" s="1"/>
  <c r="BA270"/>
  <c r="BB258"/>
  <c r="BF258" s="1"/>
  <c r="BC198"/>
  <c r="BD198"/>
  <c r="BB278" i="1"/>
  <c r="BC266"/>
  <c r="BI266" s="1"/>
  <c r="BK266" s="1"/>
  <c r="AG375" l="1"/>
  <c r="AF375" s="1"/>
  <c r="AA375"/>
  <c r="W375"/>
  <c r="Z375" i="9"/>
  <c r="AA375" s="1"/>
  <c r="Z215" i="8"/>
  <c r="Y215" s="1"/>
  <c r="BD375" i="3"/>
  <c r="BC375"/>
  <c r="BE375" s="1"/>
  <c r="BG375" s="1"/>
  <c r="AA215" i="6"/>
  <c r="AB198" i="3"/>
  <c r="AD198" s="1"/>
  <c r="AF198" s="1"/>
  <c r="AB192"/>
  <c r="AD192" s="1"/>
  <c r="Y215" i="6"/>
  <c r="AE208" i="3"/>
  <c r="AB178"/>
  <c r="AD178" s="1"/>
  <c r="AF205"/>
  <c r="AG205" s="1"/>
  <c r="AB176"/>
  <c r="AD176" s="1"/>
  <c r="AF176" s="1"/>
  <c r="AY362"/>
  <c r="BC362" s="1"/>
  <c r="BE362" s="1"/>
  <c r="BG362" s="1"/>
  <c r="AX374"/>
  <c r="AY374" s="1"/>
  <c r="BC374" s="1"/>
  <c r="BE374" s="1"/>
  <c r="BG374" s="1"/>
  <c r="X134" i="10"/>
  <c r="BK219" i="1"/>
  <c r="AW22" i="9"/>
  <c r="AX22" s="1"/>
  <c r="AH269" i="2"/>
  <c r="W283"/>
  <c r="X283" s="1"/>
  <c r="Z227" i="6"/>
  <c r="W281" i="2"/>
  <c r="X281" s="1"/>
  <c r="Z205" i="8"/>
  <c r="AB205" s="1"/>
  <c r="AP23" i="9"/>
  <c r="AW23" s="1"/>
  <c r="AA208"/>
  <c r="AF372" i="2"/>
  <c r="Q147" i="10"/>
  <c r="R147" s="1"/>
  <c r="BF360" i="2"/>
  <c r="BI360" s="1"/>
  <c r="BE372"/>
  <c r="BF372" s="1"/>
  <c r="BI372" s="1"/>
  <c r="AY360" i="3"/>
  <c r="BC360" s="1"/>
  <c r="BE360" s="1"/>
  <c r="BG360" s="1"/>
  <c r="AX372"/>
  <c r="AY372" s="1"/>
  <c r="BC372" s="1"/>
  <c r="BE372" s="1"/>
  <c r="BG372" s="1"/>
  <c r="Q143" i="10"/>
  <c r="R143" s="1"/>
  <c r="Q150"/>
  <c r="R150" s="1"/>
  <c r="X136"/>
  <c r="Q146"/>
  <c r="R146" s="1"/>
  <c r="X133"/>
  <c r="Q144"/>
  <c r="R144" s="1"/>
  <c r="X138"/>
  <c r="BF359" i="2"/>
  <c r="BI359" s="1"/>
  <c r="BK359" s="1"/>
  <c r="BE371"/>
  <c r="BF371" s="1"/>
  <c r="BI371" s="1"/>
  <c r="BK371" s="1"/>
  <c r="BC359" i="1"/>
  <c r="BB371"/>
  <c r="BC371" s="1"/>
  <c r="BI371" s="1"/>
  <c r="BK371" s="1"/>
  <c r="AY359" i="3"/>
  <c r="BC359" s="1"/>
  <c r="BE359" s="1"/>
  <c r="BG359" s="1"/>
  <c r="AX371"/>
  <c r="AY371" s="1"/>
  <c r="BC371" s="1"/>
  <c r="BE371" s="1"/>
  <c r="BG371" s="1"/>
  <c r="AQ19" i="6"/>
  <c r="AY358" i="3"/>
  <c r="BC358" s="1"/>
  <c r="BE358" s="1"/>
  <c r="BG358" s="1"/>
  <c r="AX370"/>
  <c r="AY370" s="1"/>
  <c r="BC370" s="1"/>
  <c r="BE370" s="1"/>
  <c r="BG370" s="1"/>
  <c r="BF358" i="2"/>
  <c r="BI358" s="1"/>
  <c r="BK358" s="1"/>
  <c r="BE370"/>
  <c r="BF370" s="1"/>
  <c r="BI370" s="1"/>
  <c r="BK370" s="1"/>
  <c r="W227"/>
  <c r="X227" s="1"/>
  <c r="Y174" i="8"/>
  <c r="AA225"/>
  <c r="AY356" i="3"/>
  <c r="BC356" s="1"/>
  <c r="AX368"/>
  <c r="AY368" s="1"/>
  <c r="AB164" i="6"/>
  <c r="AB208"/>
  <c r="AB220" i="8" s="1"/>
  <c r="AB199" i="6"/>
  <c r="AB211" i="8" s="1"/>
  <c r="AB205" i="6"/>
  <c r="AB217" i="8" s="1"/>
  <c r="AB186" i="6"/>
  <c r="AB166"/>
  <c r="AB180"/>
  <c r="AG281" i="2"/>
  <c r="AF281" s="1"/>
  <c r="AA283"/>
  <c r="AG283"/>
  <c r="AH283" s="1"/>
  <c r="AA227"/>
  <c r="AG227"/>
  <c r="AF227" s="1"/>
  <c r="AA281"/>
  <c r="AA174" i="8"/>
  <c r="AA205" i="6"/>
  <c r="Y205"/>
  <c r="Y187" i="8"/>
  <c r="AB187"/>
  <c r="X351" i="2"/>
  <c r="N354" i="3"/>
  <c r="N366" s="1"/>
  <c r="Z351" i="9"/>
  <c r="Y351" s="1"/>
  <c r="BB353" i="3"/>
  <c r="BF353" s="1"/>
  <c r="BG353" s="1"/>
  <c r="BA365"/>
  <c r="BB365" s="1"/>
  <c r="BF365" s="1"/>
  <c r="BG365" s="1"/>
  <c r="Z220" i="1"/>
  <c r="Z293" i="2"/>
  <c r="Z295"/>
  <c r="Z239"/>
  <c r="AF351"/>
  <c r="AH351"/>
  <c r="X352"/>
  <c r="AH352"/>
  <c r="AF352"/>
  <c r="X132" i="10"/>
  <c r="AH351" i="1"/>
  <c r="AA351"/>
  <c r="AG351"/>
  <c r="AF351" s="1"/>
  <c r="W351"/>
  <c r="Z237" i="8"/>
  <c r="AA237" s="1"/>
  <c r="BC344" i="3"/>
  <c r="BE344" s="1"/>
  <c r="BG344" s="1"/>
  <c r="BE363"/>
  <c r="BG363" s="1"/>
  <c r="X139" i="10"/>
  <c r="AA187" i="8"/>
  <c r="S130" i="10"/>
  <c r="S131" s="1"/>
  <c r="S132" s="1"/>
  <c r="S133" s="1"/>
  <c r="S134" s="1"/>
  <c r="S135" s="1"/>
  <c r="S136" s="1"/>
  <c r="S137" s="1"/>
  <c r="S138" s="1"/>
  <c r="S139" s="1"/>
  <c r="S140" s="1"/>
  <c r="S141" s="1"/>
  <c r="AA237" i="6"/>
  <c r="Z198"/>
  <c r="AA231" i="8"/>
  <c r="Y118" i="10"/>
  <c r="Y119" s="1"/>
  <c r="Y120" s="1"/>
  <c r="Y121" s="1"/>
  <c r="Y122" s="1"/>
  <c r="Y123" s="1"/>
  <c r="Y124" s="1"/>
  <c r="Y125" s="1"/>
  <c r="Y126" s="1"/>
  <c r="Y127" s="1"/>
  <c r="Y128" s="1"/>
  <c r="Y129" s="1"/>
  <c r="H344"/>
  <c r="I344" s="1"/>
  <c r="N356" i="3"/>
  <c r="N368" s="1"/>
  <c r="BD356"/>
  <c r="AA217"/>
  <c r="AA198"/>
  <c r="Y237" i="6"/>
  <c r="AA249" i="3"/>
  <c r="Z211" i="6"/>
  <c r="Q142" i="10"/>
  <c r="R142" s="1"/>
  <c r="Q145"/>
  <c r="R145" s="1"/>
  <c r="Q149"/>
  <c r="R149" s="1"/>
  <c r="Q148"/>
  <c r="R148" s="1"/>
  <c r="X140"/>
  <c r="X137"/>
  <c r="BB341" i="2"/>
  <c r="BH341" s="1"/>
  <c r="BK341" s="1"/>
  <c r="BA353"/>
  <c r="L178" i="10"/>
  <c r="L179" s="1"/>
  <c r="L180" s="1"/>
  <c r="L181" s="1"/>
  <c r="L182" s="1"/>
  <c r="L183" s="1"/>
  <c r="L184" s="1"/>
  <c r="L185" s="1"/>
  <c r="L186" s="1"/>
  <c r="L187" s="1"/>
  <c r="L188" s="1"/>
  <c r="L189" s="1"/>
  <c r="X141"/>
  <c r="Z249" i="6"/>
  <c r="S332" i="3"/>
  <c r="J332" i="10"/>
  <c r="F333"/>
  <c r="S330" i="3"/>
  <c r="J330" i="10"/>
  <c r="F265"/>
  <c r="S252" i="3"/>
  <c r="J252" i="10"/>
  <c r="S261" i="3"/>
  <c r="T261" s="1"/>
  <c r="W261" s="1"/>
  <c r="X261" s="1"/>
  <c r="Y261" s="1"/>
  <c r="Z261" s="1"/>
  <c r="AE166"/>
  <c r="AF166"/>
  <c r="AG166" s="1"/>
  <c r="S190"/>
  <c r="T190" s="1"/>
  <c r="W190" s="1"/>
  <c r="X190" s="1"/>
  <c r="Y190" s="1"/>
  <c r="Z190" s="1"/>
  <c r="J190" i="10"/>
  <c r="AE180" i="3"/>
  <c r="AF180"/>
  <c r="AG180" s="1"/>
  <c r="J249" i="10"/>
  <c r="K249"/>
  <c r="Y154" i="8"/>
  <c r="AA154"/>
  <c r="Z192" i="6"/>
  <c r="AA192" i="3"/>
  <c r="K192" i="10"/>
  <c r="F192"/>
  <c r="K266"/>
  <c r="F266"/>
  <c r="K279"/>
  <c r="F279"/>
  <c r="K212"/>
  <c r="F212"/>
  <c r="K269"/>
  <c r="F269"/>
  <c r="O342" i="3"/>
  <c r="H342" i="10"/>
  <c r="I342" s="1"/>
  <c r="S229" i="3"/>
  <c r="T229" s="1"/>
  <c r="W229" s="1"/>
  <c r="X229" s="1"/>
  <c r="Y229" s="1"/>
  <c r="Z229" s="1"/>
  <c r="S303"/>
  <c r="J303" i="10"/>
  <c r="S317" i="3"/>
  <c r="J317" i="10"/>
  <c r="K256"/>
  <c r="F256"/>
  <c r="K251"/>
  <c r="F251"/>
  <c r="K234"/>
  <c r="F234"/>
  <c r="K247"/>
  <c r="F247"/>
  <c r="AA166" i="6"/>
  <c r="Z166" i="8"/>
  <c r="AB166" s="1"/>
  <c r="Y166" i="6"/>
  <c r="Y168" i="8"/>
  <c r="AA168"/>
  <c r="U144" i="10"/>
  <c r="V144" s="1"/>
  <c r="H202"/>
  <c r="I202" s="1"/>
  <c r="U142"/>
  <c r="V142" s="1"/>
  <c r="N214" i="3"/>
  <c r="O202"/>
  <c r="U150" i="10"/>
  <c r="V150" s="1"/>
  <c r="U145"/>
  <c r="V145" s="1"/>
  <c r="X145" s="1"/>
  <c r="U149"/>
  <c r="V149" s="1"/>
  <c r="U146"/>
  <c r="V146" s="1"/>
  <c r="U153"/>
  <c r="V153" s="1"/>
  <c r="U152"/>
  <c r="V152" s="1"/>
  <c r="U147"/>
  <c r="V147" s="1"/>
  <c r="U151"/>
  <c r="V151" s="1"/>
  <c r="X151" s="1"/>
  <c r="U148"/>
  <c r="V148" s="1"/>
  <c r="U143"/>
  <c r="V143" s="1"/>
  <c r="Y180" i="6"/>
  <c r="Z180" i="8"/>
  <c r="AB180" s="1"/>
  <c r="AA180" i="6"/>
  <c r="D202" i="10"/>
  <c r="E202" s="1"/>
  <c r="K214" i="3"/>
  <c r="Q155" i="10" s="1"/>
  <c r="R155" s="1"/>
  <c r="L202" i="3"/>
  <c r="P202" s="1"/>
  <c r="R202" s="1"/>
  <c r="F190" i="10"/>
  <c r="Z178" i="6"/>
  <c r="AA178" i="3"/>
  <c r="D204" i="10"/>
  <c r="E204" s="1"/>
  <c r="K216" i="3"/>
  <c r="L204"/>
  <c r="P204" s="1"/>
  <c r="R204" s="1"/>
  <c r="T204" s="1"/>
  <c r="W204" s="1"/>
  <c r="X204" s="1"/>
  <c r="Y204" s="1"/>
  <c r="Z204" s="1"/>
  <c r="J217" i="10"/>
  <c r="K217"/>
  <c r="W130"/>
  <c r="W131" s="1"/>
  <c r="W132" s="1"/>
  <c r="W133" s="1"/>
  <c r="W134" s="1"/>
  <c r="W135" s="1"/>
  <c r="W136" s="1"/>
  <c r="W137" s="1"/>
  <c r="W138" s="1"/>
  <c r="W139" s="1"/>
  <c r="W140" s="1"/>
  <c r="W141" s="1"/>
  <c r="X130"/>
  <c r="R223" i="3"/>
  <c r="T223" s="1"/>
  <c r="W223" s="1"/>
  <c r="X223" s="1"/>
  <c r="Y223" s="1"/>
  <c r="Z223" s="1"/>
  <c r="K277"/>
  <c r="D277" i="10" s="1"/>
  <c r="E277" s="1"/>
  <c r="L265" i="3"/>
  <c r="P265" s="1"/>
  <c r="R265" s="1"/>
  <c r="N253"/>
  <c r="H253" i="10" s="1"/>
  <c r="I253" s="1"/>
  <c r="O241" i="3"/>
  <c r="Y217" i="6"/>
  <c r="AA217"/>
  <c r="Z217" i="8"/>
  <c r="AE198" i="3"/>
  <c r="N276"/>
  <c r="H276" i="10" s="1"/>
  <c r="I276" s="1"/>
  <c r="O264" i="3"/>
  <c r="AE186"/>
  <c r="AF186"/>
  <c r="AG186" s="1"/>
  <c r="Y186" i="6"/>
  <c r="Z186" i="8"/>
  <c r="AB186" s="1"/>
  <c r="AA186" i="6"/>
  <c r="AF199" i="3"/>
  <c r="AG199" s="1"/>
  <c r="AE199"/>
  <c r="P244"/>
  <c r="Q244"/>
  <c r="N285"/>
  <c r="H285" i="10" s="1"/>
  <c r="I285" s="1"/>
  <c r="O273" i="3"/>
  <c r="P235"/>
  <c r="Q235"/>
  <c r="K259"/>
  <c r="D259" i="10" s="1"/>
  <c r="E259" s="1"/>
  <c r="L247" i="3"/>
  <c r="R232"/>
  <c r="T232" s="1"/>
  <c r="W232" s="1"/>
  <c r="X232" s="1"/>
  <c r="Y232" s="1"/>
  <c r="Z232" s="1"/>
  <c r="AG208"/>
  <c r="R210"/>
  <c r="T210" s="1"/>
  <c r="W210" s="1"/>
  <c r="X210" s="1"/>
  <c r="Y210" s="1"/>
  <c r="Z210" s="1"/>
  <c r="Q153" i="10"/>
  <c r="R153" s="1"/>
  <c r="Q152"/>
  <c r="R152" s="1"/>
  <c r="K345" i="3"/>
  <c r="L333"/>
  <c r="AA220"/>
  <c r="O315"/>
  <c r="N327"/>
  <c r="H327" i="10" s="1"/>
  <c r="I327" s="1"/>
  <c r="O329" i="3"/>
  <c r="N341"/>
  <c r="AA199" i="6"/>
  <c r="Z199" i="8"/>
  <c r="AB199" s="1"/>
  <c r="Y199" i="6"/>
  <c r="K268" i="3"/>
  <c r="D268" i="10" s="1"/>
  <c r="E268" s="1"/>
  <c r="L256" i="3"/>
  <c r="AA239"/>
  <c r="K263"/>
  <c r="D263" i="10" s="1"/>
  <c r="E263" s="1"/>
  <c r="L251" i="3"/>
  <c r="P251" s="1"/>
  <c r="R251" s="1"/>
  <c r="T251" s="1"/>
  <c r="W251" s="1"/>
  <c r="X251" s="1"/>
  <c r="Y251" s="1"/>
  <c r="Z251" s="1"/>
  <c r="P222"/>
  <c r="Q222"/>
  <c r="K246"/>
  <c r="D246" i="10" s="1"/>
  <c r="E246" s="1"/>
  <c r="L234" i="3"/>
  <c r="AA243" i="6"/>
  <c r="O344" i="3"/>
  <c r="Y209" i="8"/>
  <c r="AA221" i="3"/>
  <c r="AR19"/>
  <c r="AU22" i="1"/>
  <c r="Y243" i="6"/>
  <c r="AA230"/>
  <c r="Z243" i="8"/>
  <c r="Y243" s="1"/>
  <c r="Z230"/>
  <c r="Y230" s="1"/>
  <c r="Z242" i="6"/>
  <c r="Y230"/>
  <c r="AA242" i="3"/>
  <c r="AA255"/>
  <c r="Z255" i="6"/>
  <c r="Z221"/>
  <c r="X254" i="3"/>
  <c r="Y254" s="1"/>
  <c r="Z254" s="1"/>
  <c r="X267"/>
  <c r="Y267" s="1"/>
  <c r="Z267" s="1"/>
  <c r="X233"/>
  <c r="Y233" s="1"/>
  <c r="Z233" s="1"/>
  <c r="Z176" i="6"/>
  <c r="AA176" i="3"/>
  <c r="AK21"/>
  <c r="BF292" i="2"/>
  <c r="BI292" s="1"/>
  <c r="BE304"/>
  <c r="BB244" i="1"/>
  <c r="BC232"/>
  <c r="BI232" s="1"/>
  <c r="BF244"/>
  <c r="BG232"/>
  <c r="BJ232" s="1"/>
  <c r="BA292" i="2"/>
  <c r="BB280"/>
  <c r="BH280" s="1"/>
  <c r="BK280" s="1"/>
  <c r="BK220" i="1"/>
  <c r="AT24" i="2"/>
  <c r="BF243" i="1"/>
  <c r="BG231"/>
  <c r="BJ231" s="1"/>
  <c r="BB253" i="2"/>
  <c r="BH253" s="1"/>
  <c r="BK253" s="1"/>
  <c r="BA265"/>
  <c r="BB243" i="1"/>
  <c r="BC231"/>
  <c r="BI231" s="1"/>
  <c r="AY253" i="3"/>
  <c r="BC253" s="1"/>
  <c r="BE253" s="1"/>
  <c r="BG253" s="1"/>
  <c r="AX265"/>
  <c r="BB241" i="1"/>
  <c r="BC229"/>
  <c r="BI229" s="1"/>
  <c r="BK229" s="1"/>
  <c r="BA276" i="2"/>
  <c r="BB264"/>
  <c r="BH264" s="1"/>
  <c r="BK264" s="1"/>
  <c r="M307"/>
  <c r="Q307" s="1"/>
  <c r="S307" s="1"/>
  <c r="L319"/>
  <c r="BB248" i="1"/>
  <c r="BC236"/>
  <c r="BI236" s="1"/>
  <c r="BK236" s="1"/>
  <c r="O263" i="2"/>
  <c r="P251"/>
  <c r="R251" s="1"/>
  <c r="S251" s="1"/>
  <c r="K224" i="3"/>
  <c r="D224" i="10" s="1"/>
  <c r="E224" s="1"/>
  <c r="L212" i="3"/>
  <c r="O232" i="1"/>
  <c r="R232" s="1"/>
  <c r="S232" s="1"/>
  <c r="N244"/>
  <c r="L275" i="2"/>
  <c r="M263"/>
  <c r="Q263" s="1"/>
  <c r="K281" i="3"/>
  <c r="D281" i="10" s="1"/>
  <c r="E281" s="1"/>
  <c r="L269" i="3"/>
  <c r="AQ20"/>
  <c r="AS20" s="1"/>
  <c r="AT20" s="1"/>
  <c r="AA208" i="6"/>
  <c r="Z208" i="8"/>
  <c r="AB208" s="1"/>
  <c r="Y208" i="6"/>
  <c r="R188" i="3"/>
  <c r="T188" s="1"/>
  <c r="W188" s="1"/>
  <c r="X188" s="1"/>
  <c r="Y188" s="1"/>
  <c r="Z188" s="1"/>
  <c r="R245"/>
  <c r="T245" s="1"/>
  <c r="W245" s="1"/>
  <c r="Y196" i="8"/>
  <c r="AA196"/>
  <c r="P200" i="3"/>
  <c r="Q200"/>
  <c r="P257"/>
  <c r="Q257"/>
  <c r="AQ18" i="8"/>
  <c r="AW18"/>
  <c r="AX18" s="1"/>
  <c r="AE164" i="3"/>
  <c r="AF164"/>
  <c r="AG164" s="1"/>
  <c r="Z164" i="8"/>
  <c r="AB164" s="1"/>
  <c r="Y164" i="6"/>
  <c r="AA164"/>
  <c r="AP20"/>
  <c r="AW19"/>
  <c r="AX19" s="1"/>
  <c r="Y152" i="8"/>
  <c r="AA152"/>
  <c r="AP19"/>
  <c r="AO23" i="1"/>
  <c r="AT23"/>
  <c r="AN25" i="2"/>
  <c r="AS25"/>
  <c r="BB237" i="1"/>
  <c r="BC225"/>
  <c r="BI225" s="1"/>
  <c r="BK225" s="1"/>
  <c r="BA297" i="2"/>
  <c r="BB285"/>
  <c r="BH285" s="1"/>
  <c r="BK285" s="1"/>
  <c r="BK210"/>
  <c r="K278" i="3"/>
  <c r="D278" i="10" s="1"/>
  <c r="E278" s="1"/>
  <c r="L266" i="3"/>
  <c r="P266" s="1"/>
  <c r="R266" s="1"/>
  <c r="T266" s="1"/>
  <c r="W266" s="1"/>
  <c r="K291"/>
  <c r="D291" i="10" s="1"/>
  <c r="E291" s="1"/>
  <c r="L279" i="3"/>
  <c r="P279" s="1"/>
  <c r="R279" s="1"/>
  <c r="T279" s="1"/>
  <c r="W279" s="1"/>
  <c r="BE198"/>
  <c r="BG198" s="1"/>
  <c r="BC210"/>
  <c r="BD210"/>
  <c r="BB254" i="2"/>
  <c r="BH254" s="1"/>
  <c r="BK254" s="1"/>
  <c r="BA266"/>
  <c r="BF252" i="1"/>
  <c r="BG240"/>
  <c r="BJ240" s="1"/>
  <c r="BK240" s="1"/>
  <c r="BF238"/>
  <c r="BG226"/>
  <c r="BJ226" s="1"/>
  <c r="BK226" s="1"/>
  <c r="BA237" i="3"/>
  <c r="BB225"/>
  <c r="BF225" s="1"/>
  <c r="BG225" s="1"/>
  <c r="BA234" i="2"/>
  <c r="BB222"/>
  <c r="BH222" s="1"/>
  <c r="BC278" i="1"/>
  <c r="BI278" s="1"/>
  <c r="BK278" s="1"/>
  <c r="BB290"/>
  <c r="BB270" i="3"/>
  <c r="BF270" s="1"/>
  <c r="BA282"/>
  <c r="P305" i="2"/>
  <c r="R305" s="1"/>
  <c r="S305" s="1"/>
  <c r="O317"/>
  <c r="AX249" i="3"/>
  <c r="AY237"/>
  <c r="BC237" s="1"/>
  <c r="BE237" s="1"/>
  <c r="BF248" i="2"/>
  <c r="BI248" s="1"/>
  <c r="BK248" s="1"/>
  <c r="BE260"/>
  <c r="AX234" i="3"/>
  <c r="AY222"/>
  <c r="BE234" i="2"/>
  <c r="BF222"/>
  <c r="BI222" s="1"/>
  <c r="BA271" i="3"/>
  <c r="BB259"/>
  <c r="BF259" s="1"/>
  <c r="BG259" s="1"/>
  <c r="H354" i="10" l="1"/>
  <c r="I354" s="1"/>
  <c r="J354" s="1"/>
  <c r="AA215" i="8"/>
  <c r="Y227" i="6"/>
  <c r="BK232" i="1"/>
  <c r="X146" i="10"/>
  <c r="AQ23" i="9"/>
  <c r="Y205" i="8"/>
  <c r="AB188" i="3"/>
  <c r="AD188" s="1"/>
  <c r="AB190"/>
  <c r="AD190" s="1"/>
  <c r="AB204"/>
  <c r="AD204" s="1"/>
  <c r="AG220" i="1"/>
  <c r="AF220" s="1"/>
  <c r="AF283" i="2"/>
  <c r="Z227" i="8"/>
  <c r="AA227" s="1"/>
  <c r="X147" i="10"/>
  <c r="AG295" i="2"/>
  <c r="AH295" s="1"/>
  <c r="AA295"/>
  <c r="AA239"/>
  <c r="AA205" i="8"/>
  <c r="X150" i="10"/>
  <c r="X144"/>
  <c r="AA227" i="6"/>
  <c r="W295" i="2"/>
  <c r="X295" s="1"/>
  <c r="AA220" i="1"/>
  <c r="Z220" i="9"/>
  <c r="AA220" s="1"/>
  <c r="AH220" i="1"/>
  <c r="AH281" i="2"/>
  <c r="W220" i="1"/>
  <c r="X220" s="1"/>
  <c r="Z220" i="6"/>
  <c r="Q154" i="10"/>
  <c r="R154" s="1"/>
  <c r="X143"/>
  <c r="O354" i="3"/>
  <c r="S354" s="1"/>
  <c r="AQ20" i="6"/>
  <c r="AQ21" i="3"/>
  <c r="AS21" s="1"/>
  <c r="AT21" s="1"/>
  <c r="AL21"/>
  <c r="O368"/>
  <c r="S368" s="1"/>
  <c r="H368" i="10"/>
  <c r="I368" s="1"/>
  <c r="J368" s="1"/>
  <c r="BC368" i="3"/>
  <c r="BD368"/>
  <c r="O366"/>
  <c r="S366" s="1"/>
  <c r="H366" i="10"/>
  <c r="I366" s="1"/>
  <c r="J366" s="1"/>
  <c r="AB176" i="6"/>
  <c r="AB178"/>
  <c r="AB192"/>
  <c r="AB198"/>
  <c r="AB210" i="8" s="1"/>
  <c r="W239" i="2"/>
  <c r="X239" s="1"/>
  <c r="AG293"/>
  <c r="AF293" s="1"/>
  <c r="AE176" i="3"/>
  <c r="AA243" i="8"/>
  <c r="X351" i="1"/>
  <c r="AA351" i="9"/>
  <c r="K357" i="3"/>
  <c r="Z239" i="6"/>
  <c r="W293" i="2"/>
  <c r="X293" s="1"/>
  <c r="Y237" i="8"/>
  <c r="AA293" i="2"/>
  <c r="AG239"/>
  <c r="AF239" s="1"/>
  <c r="X148" i="10"/>
  <c r="BB353" i="2"/>
  <c r="BH353" s="1"/>
  <c r="BK353" s="1"/>
  <c r="BA365"/>
  <c r="BB365" s="1"/>
  <c r="BH365" s="1"/>
  <c r="BK365" s="1"/>
  <c r="P333" i="3"/>
  <c r="R333" s="1"/>
  <c r="Z232" i="1"/>
  <c r="Z305" i="2"/>
  <c r="Z251"/>
  <c r="Z307"/>
  <c r="Q160" i="10"/>
  <c r="R160" s="1"/>
  <c r="AA198" i="6"/>
  <c r="Q158" i="10"/>
  <c r="R158" s="1"/>
  <c r="X153"/>
  <c r="Q161"/>
  <c r="R161" s="1"/>
  <c r="Z211" i="8"/>
  <c r="Y211" s="1"/>
  <c r="Y198" i="6"/>
  <c r="Z198" i="8"/>
  <c r="Q156" i="10"/>
  <c r="R156" s="1"/>
  <c r="Q157"/>
  <c r="R157" s="1"/>
  <c r="Q159"/>
  <c r="R159" s="1"/>
  <c r="X149"/>
  <c r="AA211" i="6"/>
  <c r="Q163" i="10"/>
  <c r="R163" s="1"/>
  <c r="Q162"/>
  <c r="R162" s="1"/>
  <c r="AA261" i="3"/>
  <c r="Z261" i="6"/>
  <c r="S142" i="10"/>
  <c r="S143" s="1"/>
  <c r="S144" s="1"/>
  <c r="S145" s="1"/>
  <c r="S146" s="1"/>
  <c r="S147" s="1"/>
  <c r="S148" s="1"/>
  <c r="S149" s="1"/>
  <c r="S150" s="1"/>
  <c r="S151" s="1"/>
  <c r="AA249" i="6"/>
  <c r="Y211"/>
  <c r="Y249"/>
  <c r="BE356" i="3"/>
  <c r="BG356" s="1"/>
  <c r="O356"/>
  <c r="S356" s="1"/>
  <c r="H356" i="10"/>
  <c r="I356" s="1"/>
  <c r="J356" s="1"/>
  <c r="Z249" i="8"/>
  <c r="Y249" s="1"/>
  <c r="Z229" i="6"/>
  <c r="AA229" i="3"/>
  <c r="H341" i="10"/>
  <c r="I341" s="1"/>
  <c r="N353" i="3"/>
  <c r="X152" i="10"/>
  <c r="Y130"/>
  <c r="Y131" s="1"/>
  <c r="Y132" s="1"/>
  <c r="Y133" s="1"/>
  <c r="Y134" s="1"/>
  <c r="Y135" s="1"/>
  <c r="Y136" s="1"/>
  <c r="Y137" s="1"/>
  <c r="Y138" s="1"/>
  <c r="Y139" s="1"/>
  <c r="Y140" s="1"/>
  <c r="Y141" s="1"/>
  <c r="K190"/>
  <c r="L190" s="1"/>
  <c r="L191" s="1"/>
  <c r="L192" s="1"/>
  <c r="L193" s="1"/>
  <c r="L194" s="1"/>
  <c r="L195" s="1"/>
  <c r="L196" s="1"/>
  <c r="L197" s="1"/>
  <c r="L198" s="1"/>
  <c r="L199" s="1"/>
  <c r="L200" s="1"/>
  <c r="L201" s="1"/>
  <c r="AA223" i="3"/>
  <c r="K291" i="10"/>
  <c r="F291"/>
  <c r="K246"/>
  <c r="F246"/>
  <c r="K263"/>
  <c r="F263"/>
  <c r="S329" i="3"/>
  <c r="J329" i="10"/>
  <c r="S315" i="3"/>
  <c r="J315" i="10"/>
  <c r="L345" i="3"/>
  <c r="D345" i="10"/>
  <c r="E345" s="1"/>
  <c r="K259"/>
  <c r="F259"/>
  <c r="S264" i="3"/>
  <c r="J264" i="10"/>
  <c r="D216"/>
  <c r="E216" s="1"/>
  <c r="K228" i="3"/>
  <c r="L216"/>
  <c r="P216" s="1"/>
  <c r="R216" s="1"/>
  <c r="T216" s="1"/>
  <c r="W216" s="1"/>
  <c r="X216" s="1"/>
  <c r="Y216" s="1"/>
  <c r="Z216" s="1"/>
  <c r="Z178" i="8"/>
  <c r="AB178" s="1"/>
  <c r="Y178" i="6"/>
  <c r="AA178"/>
  <c r="D214" i="10"/>
  <c r="E214" s="1"/>
  <c r="K226" i="3"/>
  <c r="Q167" i="10" s="1"/>
  <c r="R167" s="1"/>
  <c r="L214" i="3"/>
  <c r="P214" s="1"/>
  <c r="R214" s="1"/>
  <c r="U156" i="10"/>
  <c r="V156" s="1"/>
  <c r="H214"/>
  <c r="I214" s="1"/>
  <c r="U155"/>
  <c r="V155" s="1"/>
  <c r="U165"/>
  <c r="V165" s="1"/>
  <c r="U164"/>
  <c r="V164" s="1"/>
  <c r="U159"/>
  <c r="V159" s="1"/>
  <c r="U162"/>
  <c r="V162" s="1"/>
  <c r="U160"/>
  <c r="V160" s="1"/>
  <c r="U154"/>
  <c r="V154" s="1"/>
  <c r="N226" i="3"/>
  <c r="O214"/>
  <c r="U161" i="10"/>
  <c r="V161" s="1"/>
  <c r="U158"/>
  <c r="V158" s="1"/>
  <c r="U163"/>
  <c r="V163" s="1"/>
  <c r="U157"/>
  <c r="V157" s="1"/>
  <c r="S342" i="3"/>
  <c r="J342" i="10"/>
  <c r="AE192" i="3"/>
  <c r="AF192"/>
  <c r="AG192" s="1"/>
  <c r="K278" i="10"/>
  <c r="F278"/>
  <c r="K281"/>
  <c r="F281"/>
  <c r="K224"/>
  <c r="F224"/>
  <c r="S344" i="3"/>
  <c r="J344" i="10"/>
  <c r="K268"/>
  <c r="F268"/>
  <c r="S273" i="3"/>
  <c r="T273" s="1"/>
  <c r="W273" s="1"/>
  <c r="X273" s="1"/>
  <c r="Y273" s="1"/>
  <c r="Z273" s="1"/>
  <c r="S241"/>
  <c r="T241" s="1"/>
  <c r="W241" s="1"/>
  <c r="X241" s="1"/>
  <c r="Y241" s="1"/>
  <c r="Z241" s="1"/>
  <c r="F277" i="10"/>
  <c r="AA204" i="3"/>
  <c r="Z204" i="6"/>
  <c r="K204" i="10"/>
  <c r="F204"/>
  <c r="AE178" i="3"/>
  <c r="AF178"/>
  <c r="AG178" s="1"/>
  <c r="F202" i="10"/>
  <c r="Y180" i="8"/>
  <c r="AA180"/>
  <c r="S202" i="3"/>
  <c r="T202" s="1"/>
  <c r="W202" s="1"/>
  <c r="X202" s="1"/>
  <c r="Y202" s="1"/>
  <c r="Z202" s="1"/>
  <c r="J202" i="10"/>
  <c r="AA166" i="8"/>
  <c r="Y166"/>
  <c r="J229" i="10"/>
  <c r="K229"/>
  <c r="Z190" i="6"/>
  <c r="AA190" i="3"/>
  <c r="AA192" i="6"/>
  <c r="Y192"/>
  <c r="Z192" i="8"/>
  <c r="AB192" s="1"/>
  <c r="J261" i="10"/>
  <c r="K261"/>
  <c r="X155"/>
  <c r="W142"/>
  <c r="W143" s="1"/>
  <c r="W144" s="1"/>
  <c r="W145" s="1"/>
  <c r="W146" s="1"/>
  <c r="W147" s="1"/>
  <c r="W148" s="1"/>
  <c r="W149" s="1"/>
  <c r="W150" s="1"/>
  <c r="W151" s="1"/>
  <c r="W152" s="1"/>
  <c r="W153" s="1"/>
  <c r="X142"/>
  <c r="Z242" i="8"/>
  <c r="AA242" s="1"/>
  <c r="AA242" i="6"/>
  <c r="O341" i="3"/>
  <c r="Y242" i="6"/>
  <c r="Z223"/>
  <c r="R235" i="3"/>
  <c r="T235" s="1"/>
  <c r="W235" s="1"/>
  <c r="X235" s="1"/>
  <c r="Y235" s="1"/>
  <c r="Z235" s="1"/>
  <c r="S152" i="10"/>
  <c r="S153" s="1"/>
  <c r="AA251" i="3"/>
  <c r="K275"/>
  <c r="D275" i="10" s="1"/>
  <c r="E275" s="1"/>
  <c r="L263" i="3"/>
  <c r="P263" s="1"/>
  <c r="R263" s="1"/>
  <c r="T263" s="1"/>
  <c r="W263" s="1"/>
  <c r="X263" s="1"/>
  <c r="Y263" s="1"/>
  <c r="Z263" s="1"/>
  <c r="L268"/>
  <c r="K280"/>
  <c r="D280" i="10" s="1"/>
  <c r="E280" s="1"/>
  <c r="AA232" i="3"/>
  <c r="P247"/>
  <c r="Q247"/>
  <c r="K271"/>
  <c r="D271" i="10" s="1"/>
  <c r="E271" s="1"/>
  <c r="L259" i="3"/>
  <c r="N297"/>
  <c r="H297" i="10" s="1"/>
  <c r="I297" s="1"/>
  <c r="O285" i="3"/>
  <c r="Y186" i="8"/>
  <c r="AA186"/>
  <c r="Y217"/>
  <c r="AA217"/>
  <c r="R222" i="3"/>
  <c r="T222" s="1"/>
  <c r="W222" s="1"/>
  <c r="X222" s="1"/>
  <c r="Y222" s="1"/>
  <c r="Z222" s="1"/>
  <c r="R244"/>
  <c r="T244" s="1"/>
  <c r="W244" s="1"/>
  <c r="X244" s="1"/>
  <c r="Y244" s="1"/>
  <c r="Z244" s="1"/>
  <c r="AG198"/>
  <c r="Q164" i="10"/>
  <c r="R164" s="1"/>
  <c r="Q165"/>
  <c r="R165" s="1"/>
  <c r="P234" i="3"/>
  <c r="Q234"/>
  <c r="K258"/>
  <c r="D258" i="10" s="1"/>
  <c r="E258" s="1"/>
  <c r="L246" i="3"/>
  <c r="Q256"/>
  <c r="P256"/>
  <c r="Y199" i="8"/>
  <c r="AA199"/>
  <c r="O327" i="3"/>
  <c r="N339"/>
  <c r="AA210"/>
  <c r="Z210" i="6"/>
  <c r="N288" i="3"/>
  <c r="H288" i="10" s="1"/>
  <c r="I288" s="1"/>
  <c r="O276" i="3"/>
  <c r="N265"/>
  <c r="H265" i="10" s="1"/>
  <c r="I265" s="1"/>
  <c r="O253" i="3"/>
  <c r="K289"/>
  <c r="D289" i="10" s="1"/>
  <c r="E289" s="1"/>
  <c r="L277" i="3"/>
  <c r="P277" s="1"/>
  <c r="R277" s="1"/>
  <c r="AQ24" i="9"/>
  <c r="AW24"/>
  <c r="AX24" s="1"/>
  <c r="AX23"/>
  <c r="AU23" i="1"/>
  <c r="AR20" i="3"/>
  <c r="AA230" i="8"/>
  <c r="AA255" i="6"/>
  <c r="Y176"/>
  <c r="AA267" i="3"/>
  <c r="Y255" i="6"/>
  <c r="Z255" i="8"/>
  <c r="Y255" s="1"/>
  <c r="Z267" i="6"/>
  <c r="AA221"/>
  <c r="AA254" i="3"/>
  <c r="Z254" i="6"/>
  <c r="M319" i="2"/>
  <c r="Q319" s="1"/>
  <c r="S319" s="1"/>
  <c r="L331"/>
  <c r="Z221" i="8"/>
  <c r="AA221" s="1"/>
  <c r="Y221" i="6"/>
  <c r="Z233"/>
  <c r="P317" i="2"/>
  <c r="R317" s="1"/>
  <c r="S317" s="1"/>
  <c r="O329"/>
  <c r="AA233" i="3"/>
  <c r="X245"/>
  <c r="Y245" s="1"/>
  <c r="Z245" s="1"/>
  <c r="X279"/>
  <c r="Y279" s="1"/>
  <c r="Z279" s="1"/>
  <c r="X266"/>
  <c r="Y266" s="1"/>
  <c r="Z266" s="1"/>
  <c r="Z176" i="8"/>
  <c r="AP21" i="6"/>
  <c r="AA176"/>
  <c r="BA304" i="2"/>
  <c r="BB292"/>
  <c r="BH292" s="1"/>
  <c r="BK292" s="1"/>
  <c r="BF256" i="1"/>
  <c r="BG244"/>
  <c r="BJ244" s="1"/>
  <c r="BB256"/>
  <c r="BC244"/>
  <c r="BI244" s="1"/>
  <c r="BF304" i="2"/>
  <c r="BI304" s="1"/>
  <c r="BE316"/>
  <c r="AT25"/>
  <c r="BK231" i="1"/>
  <c r="AX277" i="3"/>
  <c r="AY265"/>
  <c r="BC265" s="1"/>
  <c r="BE265" s="1"/>
  <c r="BG265" s="1"/>
  <c r="BF255" i="1"/>
  <c r="BG243"/>
  <c r="BJ243" s="1"/>
  <c r="BA288" i="2"/>
  <c r="BB276"/>
  <c r="BH276" s="1"/>
  <c r="BK276" s="1"/>
  <c r="BB253" i="1"/>
  <c r="BC241"/>
  <c r="BI241" s="1"/>
  <c r="BK241" s="1"/>
  <c r="BB255"/>
  <c r="BC243"/>
  <c r="BI243" s="1"/>
  <c r="BA277" i="2"/>
  <c r="BB265"/>
  <c r="BH265" s="1"/>
  <c r="BK265" s="1"/>
  <c r="R200" i="3"/>
  <c r="T200" s="1"/>
  <c r="W200" s="1"/>
  <c r="X200" s="1"/>
  <c r="Y200" s="1"/>
  <c r="Z200" s="1"/>
  <c r="BC248" i="1"/>
  <c r="BI248" s="1"/>
  <c r="BK248" s="1"/>
  <c r="BB260"/>
  <c r="R257" i="3"/>
  <c r="T257" s="1"/>
  <c r="W257" s="1"/>
  <c r="AR21"/>
  <c r="AQ19" i="8"/>
  <c r="AW19"/>
  <c r="AX19" s="1"/>
  <c r="Y164"/>
  <c r="AA164"/>
  <c r="AP20"/>
  <c r="AO24" i="1"/>
  <c r="AT24"/>
  <c r="Z188" i="6"/>
  <c r="AA188" i="3"/>
  <c r="AK22"/>
  <c r="AL22" s="1"/>
  <c r="K293"/>
  <c r="D293" i="10" s="1"/>
  <c r="E293" s="1"/>
  <c r="L281" i="3"/>
  <c r="L287" i="2"/>
  <c r="M275"/>
  <c r="Q275" s="1"/>
  <c r="K236" i="3"/>
  <c r="D236" i="10" s="1"/>
  <c r="E236" s="1"/>
  <c r="L224" i="3"/>
  <c r="O275" i="2"/>
  <c r="P263"/>
  <c r="R263" s="1"/>
  <c r="S263" s="1"/>
  <c r="AG176" i="3"/>
  <c r="AW20" i="6"/>
  <c r="AX20" s="1"/>
  <c r="AA208" i="8"/>
  <c r="Y208"/>
  <c r="Q269" i="3"/>
  <c r="P269"/>
  <c r="N256" i="1"/>
  <c r="O244"/>
  <c r="R244" s="1"/>
  <c r="S244" s="1"/>
  <c r="P212" i="3"/>
  <c r="Q212"/>
  <c r="AN26" i="2"/>
  <c r="BB297"/>
  <c r="BA309"/>
  <c r="BB249" i="1"/>
  <c r="BC237"/>
  <c r="BI237" s="1"/>
  <c r="BK237" s="1"/>
  <c r="L291" i="3"/>
  <c r="P291" s="1"/>
  <c r="R291" s="1"/>
  <c r="T291" s="1"/>
  <c r="W291" s="1"/>
  <c r="K303"/>
  <c r="D303" i="10" s="1"/>
  <c r="E303" s="1"/>
  <c r="K290" i="3"/>
  <c r="D290" i="10" s="1"/>
  <c r="E290" s="1"/>
  <c r="L278" i="3"/>
  <c r="P278" s="1"/>
  <c r="R278" s="1"/>
  <c r="T278" s="1"/>
  <c r="W278" s="1"/>
  <c r="BE210"/>
  <c r="BG210" s="1"/>
  <c r="BE246" i="2"/>
  <c r="BF234"/>
  <c r="BI234" s="1"/>
  <c r="AX246" i="3"/>
  <c r="AY234"/>
  <c r="AY249"/>
  <c r="BC249" s="1"/>
  <c r="BE249" s="1"/>
  <c r="AX261"/>
  <c r="BC290" i="1"/>
  <c r="BI290" s="1"/>
  <c r="BK290" s="1"/>
  <c r="BB302"/>
  <c r="BA278" i="2"/>
  <c r="BB266"/>
  <c r="BH266" s="1"/>
  <c r="BK266" s="1"/>
  <c r="BK222"/>
  <c r="BB271" i="3"/>
  <c r="BF271" s="1"/>
  <c r="BG271" s="1"/>
  <c r="BA283"/>
  <c r="BC222"/>
  <c r="BD222"/>
  <c r="BE272" i="2"/>
  <c r="BF260"/>
  <c r="BI260" s="1"/>
  <c r="BK260" s="1"/>
  <c r="BB282" i="3"/>
  <c r="BF282" s="1"/>
  <c r="BA294"/>
  <c r="BA246" i="2"/>
  <c r="BB234"/>
  <c r="BH234" s="1"/>
  <c r="BA249" i="3"/>
  <c r="BB237"/>
  <c r="BF237" s="1"/>
  <c r="BG237" s="1"/>
  <c r="BF250" i="1"/>
  <c r="BG238"/>
  <c r="BJ238" s="1"/>
  <c r="BK238" s="1"/>
  <c r="BG252"/>
  <c r="BJ252" s="1"/>
  <c r="BK252" s="1"/>
  <c r="BF264"/>
  <c r="Y227" i="8" l="1"/>
  <c r="AB200" i="3"/>
  <c r="AD200" s="1"/>
  <c r="AF200" s="1"/>
  <c r="Q166" i="10"/>
  <c r="R166" s="1"/>
  <c r="AB202" i="3"/>
  <c r="AD202" s="1"/>
  <c r="X163" i="10"/>
  <c r="Z220" i="8"/>
  <c r="AA220" s="1"/>
  <c r="AF295" i="2"/>
  <c r="X164" i="10"/>
  <c r="Z251" i="6"/>
  <c r="AH232" i="1"/>
  <c r="W305" i="2"/>
  <c r="X305" s="1"/>
  <c r="Q171" i="10"/>
  <c r="R171" s="1"/>
  <c r="Q169"/>
  <c r="R169" s="1"/>
  <c r="Z232" i="6"/>
  <c r="Q172" i="10"/>
  <c r="R172" s="1"/>
  <c r="X154"/>
  <c r="X156"/>
  <c r="Q174"/>
  <c r="R174" s="1"/>
  <c r="S154"/>
  <c r="S155" s="1"/>
  <c r="S156" s="1"/>
  <c r="S157" s="1"/>
  <c r="S158" s="1"/>
  <c r="S159" s="1"/>
  <c r="S160" s="1"/>
  <c r="S161" s="1"/>
  <c r="S162" s="1"/>
  <c r="S163" s="1"/>
  <c r="S164" s="1"/>
  <c r="S165" s="1"/>
  <c r="S166" s="1"/>
  <c r="S167" s="1"/>
  <c r="X160"/>
  <c r="Z239" i="8"/>
  <c r="Y239" s="1"/>
  <c r="AA239" i="6"/>
  <c r="AA220"/>
  <c r="AA305" i="2"/>
  <c r="Y220" i="9"/>
  <c r="Q173" i="10"/>
  <c r="R173" s="1"/>
  <c r="Q170"/>
  <c r="R170" s="1"/>
  <c r="Q175"/>
  <c r="R175" s="1"/>
  <c r="Q168"/>
  <c r="R168" s="1"/>
  <c r="Y239" i="6"/>
  <c r="Y220"/>
  <c r="AH293" i="2"/>
  <c r="BK244" i="1"/>
  <c r="AG305" i="2"/>
  <c r="AH305" s="1"/>
  <c r="W307"/>
  <c r="X307" s="1"/>
  <c r="AG307"/>
  <c r="AH307" s="1"/>
  <c r="AA307"/>
  <c r="AQ21" i="6"/>
  <c r="AA273" i="3"/>
  <c r="AA232" i="1"/>
  <c r="Y242" i="8"/>
  <c r="AA251" i="2"/>
  <c r="Z273" i="6"/>
  <c r="Z232" i="9"/>
  <c r="AA232" s="1"/>
  <c r="D357" i="10"/>
  <c r="E357" s="1"/>
  <c r="F357" s="1"/>
  <c r="K369" i="3"/>
  <c r="L357"/>
  <c r="P357" s="1"/>
  <c r="R357" s="1"/>
  <c r="BE368"/>
  <c r="BG368" s="1"/>
  <c r="AA249" i="8"/>
  <c r="X159" i="10"/>
  <c r="AB190" i="6"/>
  <c r="AB204"/>
  <c r="AB216" i="8" s="1"/>
  <c r="AB188" i="6"/>
  <c r="X161" i="10"/>
  <c r="AA176" i="8"/>
  <c r="AB176"/>
  <c r="Y198"/>
  <c r="AB198"/>
  <c r="AS26" i="2"/>
  <c r="N365" i="3"/>
  <c r="O365" s="1"/>
  <c r="S365" s="1"/>
  <c r="Z261" i="8"/>
  <c r="Y261" s="1"/>
  <c r="AA241" i="3"/>
  <c r="AG251" i="2"/>
  <c r="AF251" s="1"/>
  <c r="W232" i="1"/>
  <c r="X232" s="1"/>
  <c r="W251" i="2"/>
  <c r="X251" s="1"/>
  <c r="AG232" i="1"/>
  <c r="AF232" s="1"/>
  <c r="P345" i="3"/>
  <c r="R345" s="1"/>
  <c r="Z244" i="1"/>
  <c r="Z263" i="2"/>
  <c r="Z317"/>
  <c r="Z319"/>
  <c r="Z241" i="6"/>
  <c r="AA261"/>
  <c r="AA211" i="8"/>
  <c r="X165" i="10"/>
  <c r="AA198" i="8"/>
  <c r="X158" i="10"/>
  <c r="AA229" i="6"/>
  <c r="Y261"/>
  <c r="Y229"/>
  <c r="X157" i="10"/>
  <c r="X162"/>
  <c r="Z229" i="8"/>
  <c r="Y229" s="1"/>
  <c r="Y142" i="10"/>
  <c r="Y143" s="1"/>
  <c r="Y144" s="1"/>
  <c r="Y145" s="1"/>
  <c r="Y146" s="1"/>
  <c r="Y147" s="1"/>
  <c r="Y148" s="1"/>
  <c r="Y149" s="1"/>
  <c r="Y150" s="1"/>
  <c r="Y151" s="1"/>
  <c r="Y152" s="1"/>
  <c r="Y153" s="1"/>
  <c r="O353" i="3"/>
  <c r="S353" s="1"/>
  <c r="H353" i="10"/>
  <c r="I353" s="1"/>
  <c r="J353" s="1"/>
  <c r="K290"/>
  <c r="F290"/>
  <c r="K303"/>
  <c r="F303"/>
  <c r="F289"/>
  <c r="S253" i="3"/>
  <c r="T253" s="1"/>
  <c r="W253" s="1"/>
  <c r="X253" s="1"/>
  <c r="Y253" s="1"/>
  <c r="Z253" s="1"/>
  <c r="S276"/>
  <c r="J276" i="10"/>
  <c r="N351" i="3"/>
  <c r="H339" i="10"/>
  <c r="I339" s="1"/>
  <c r="S285" i="3"/>
  <c r="T285" s="1"/>
  <c r="W285" s="1"/>
  <c r="X285" s="1"/>
  <c r="Y285" s="1"/>
  <c r="Z285" s="1"/>
  <c r="K280" i="10"/>
  <c r="F280"/>
  <c r="AE190" i="3"/>
  <c r="AF190"/>
  <c r="AG190" s="1"/>
  <c r="Y204" i="6"/>
  <c r="AA204"/>
  <c r="Z204" i="8"/>
  <c r="AB204" s="1"/>
  <c r="J241" i="10"/>
  <c r="K241"/>
  <c r="J273"/>
  <c r="K273"/>
  <c r="U168"/>
  <c r="V168" s="1"/>
  <c r="X168" s="1"/>
  <c r="H226"/>
  <c r="I226" s="1"/>
  <c r="U177"/>
  <c r="V177" s="1"/>
  <c r="U176"/>
  <c r="V176" s="1"/>
  <c r="U172"/>
  <c r="V172" s="1"/>
  <c r="U174"/>
  <c r="V174" s="1"/>
  <c r="U171"/>
  <c r="V171" s="1"/>
  <c r="U166"/>
  <c r="V166" s="1"/>
  <c r="N238" i="3"/>
  <c r="O226"/>
  <c r="U175" i="10"/>
  <c r="V175" s="1"/>
  <c r="U169"/>
  <c r="V169" s="1"/>
  <c r="U173"/>
  <c r="V173" s="1"/>
  <c r="U170"/>
  <c r="V170" s="1"/>
  <c r="U167"/>
  <c r="V167" s="1"/>
  <c r="X167" s="1"/>
  <c r="F214"/>
  <c r="AA216" i="3"/>
  <c r="Z216" i="6"/>
  <c r="K216" i="10"/>
  <c r="F216"/>
  <c r="K202"/>
  <c r="L202" s="1"/>
  <c r="L203" s="1"/>
  <c r="L204" s="1"/>
  <c r="L205" s="1"/>
  <c r="L206" s="1"/>
  <c r="L207" s="1"/>
  <c r="L208" s="1"/>
  <c r="L209" s="1"/>
  <c r="L210" s="1"/>
  <c r="L211" s="1"/>
  <c r="L212" s="1"/>
  <c r="L213" s="1"/>
  <c r="K236"/>
  <c r="F236"/>
  <c r="K293"/>
  <c r="F293"/>
  <c r="S327" i="3"/>
  <c r="J327" i="10"/>
  <c r="K258"/>
  <c r="F258"/>
  <c r="K271"/>
  <c r="F271"/>
  <c r="K275"/>
  <c r="F275"/>
  <c r="S341" i="3"/>
  <c r="J341" i="10"/>
  <c r="AA202" i="3"/>
  <c r="Z202" i="6"/>
  <c r="Y192" i="8"/>
  <c r="AA192"/>
  <c r="Z190"/>
  <c r="AB190" s="1"/>
  <c r="Y190" i="6"/>
  <c r="AA190"/>
  <c r="AE204" i="3"/>
  <c r="AF204"/>
  <c r="AG204" s="1"/>
  <c r="S214"/>
  <c r="T214" s="1"/>
  <c r="W214" s="1"/>
  <c r="X214" s="1"/>
  <c r="Y214" s="1"/>
  <c r="Z214" s="1"/>
  <c r="J214" i="10"/>
  <c r="D226"/>
  <c r="E226" s="1"/>
  <c r="K238" i="3"/>
  <c r="Q179" i="10" s="1"/>
  <c r="R179" s="1"/>
  <c r="L226" i="3"/>
  <c r="P226" s="1"/>
  <c r="R226" s="1"/>
  <c r="Y178" i="8"/>
  <c r="AA178"/>
  <c r="D228" i="10"/>
  <c r="E228" s="1"/>
  <c r="L228" i="3"/>
  <c r="P228" s="1"/>
  <c r="R228" s="1"/>
  <c r="T228" s="1"/>
  <c r="W228" s="1"/>
  <c r="X228" s="1"/>
  <c r="Y228" s="1"/>
  <c r="Z228" s="1"/>
  <c r="K240"/>
  <c r="F345" i="10"/>
  <c r="W154"/>
  <c r="W155" s="1"/>
  <c r="W156" s="1"/>
  <c r="W157" s="1"/>
  <c r="W158" s="1"/>
  <c r="W159" s="1"/>
  <c r="W160" s="1"/>
  <c r="W161" s="1"/>
  <c r="W162" s="1"/>
  <c r="W163" s="1"/>
  <c r="W164" s="1"/>
  <c r="W165" s="1"/>
  <c r="AA235" i="3"/>
  <c r="Y223" i="6"/>
  <c r="Z235"/>
  <c r="Z223" i="8"/>
  <c r="Y223" s="1"/>
  <c r="AA223" i="6"/>
  <c r="R256" i="3"/>
  <c r="T256" s="1"/>
  <c r="W256" s="1"/>
  <c r="X256" s="1"/>
  <c r="Y256" s="1"/>
  <c r="Z256" s="1"/>
  <c r="R234"/>
  <c r="T234" s="1"/>
  <c r="W234" s="1"/>
  <c r="X234" s="1"/>
  <c r="Y234" s="1"/>
  <c r="Z234" s="1"/>
  <c r="Q176" i="10"/>
  <c r="R176" s="1"/>
  <c r="Q177"/>
  <c r="R177" s="1"/>
  <c r="N277" i="3"/>
  <c r="H277" i="10" s="1"/>
  <c r="I277" s="1"/>
  <c r="O265" i="3"/>
  <c r="N300"/>
  <c r="H300" i="10" s="1"/>
  <c r="I300" s="1"/>
  <c r="O288" i="3"/>
  <c r="Q246"/>
  <c r="P246"/>
  <c r="K270"/>
  <c r="D270" i="10" s="1"/>
  <c r="E270" s="1"/>
  <c r="L258" i="3"/>
  <c r="AA244"/>
  <c r="Z222" i="6"/>
  <c r="AA222" i="3"/>
  <c r="N309"/>
  <c r="H309" i="10" s="1"/>
  <c r="I309" s="1"/>
  <c r="O297" i="3"/>
  <c r="P268"/>
  <c r="Q268"/>
  <c r="AA263"/>
  <c r="K287"/>
  <c r="D287" i="10" s="1"/>
  <c r="E287" s="1"/>
  <c r="L275" i="3"/>
  <c r="P275" s="1"/>
  <c r="R275" s="1"/>
  <c r="T275" s="1"/>
  <c r="W275" s="1"/>
  <c r="X275" s="1"/>
  <c r="Y275" s="1"/>
  <c r="Z275" s="1"/>
  <c r="R247"/>
  <c r="T247" s="1"/>
  <c r="W247" s="1"/>
  <c r="X247" s="1"/>
  <c r="Y247" s="1"/>
  <c r="Z247" s="1"/>
  <c r="K301"/>
  <c r="D301" i="10" s="1"/>
  <c r="E301" s="1"/>
  <c r="L289" i="3"/>
  <c r="P289" s="1"/>
  <c r="R289" s="1"/>
  <c r="Y210" i="6"/>
  <c r="Z210" i="8"/>
  <c r="AA210" i="6"/>
  <c r="O339" i="3"/>
  <c r="P259"/>
  <c r="Q259"/>
  <c r="K283"/>
  <c r="D283" i="10" s="1"/>
  <c r="E283" s="1"/>
  <c r="L271" i="3"/>
  <c r="L280"/>
  <c r="K292"/>
  <c r="D292" i="10" s="1"/>
  <c r="E292" s="1"/>
  <c r="Z267" i="8"/>
  <c r="Y267" s="1"/>
  <c r="AW25" i="9"/>
  <c r="AX25" s="1"/>
  <c r="Y254" i="6"/>
  <c r="AA255" i="8"/>
  <c r="Z200" i="6"/>
  <c r="M331" i="2"/>
  <c r="L343"/>
  <c r="Z266" i="6"/>
  <c r="AA245" i="3"/>
  <c r="AA267" i="6"/>
  <c r="P329" i="2"/>
  <c r="O341"/>
  <c r="Y267" i="6"/>
  <c r="Z254" i="8"/>
  <c r="Y254" s="1"/>
  <c r="Z279" i="6"/>
  <c r="AA254"/>
  <c r="AA279" i="3"/>
  <c r="Z245" i="6"/>
  <c r="AP21" i="8"/>
  <c r="AW21" s="1"/>
  <c r="Y221"/>
  <c r="AA266" i="3"/>
  <c r="Y233" i="6"/>
  <c r="AA233"/>
  <c r="Z233" i="8"/>
  <c r="Y176"/>
  <c r="BF316" i="2"/>
  <c r="BI316" s="1"/>
  <c r="BE328"/>
  <c r="X278" i="3"/>
  <c r="Y278" s="1"/>
  <c r="Z278" s="1"/>
  <c r="X291"/>
  <c r="Y291" s="1"/>
  <c r="Z291" s="1"/>
  <c r="X257"/>
  <c r="Y257" s="1"/>
  <c r="Z257" s="1"/>
  <c r="AW21" i="6"/>
  <c r="AX21" s="1"/>
  <c r="BK234" i="2"/>
  <c r="AK23" i="3"/>
  <c r="AL23" s="1"/>
  <c r="BB309" i="2"/>
  <c r="BH309" s="1"/>
  <c r="BK309" s="1"/>
  <c r="BA321"/>
  <c r="BC256" i="1"/>
  <c r="BI256" s="1"/>
  <c r="BB268"/>
  <c r="BG256"/>
  <c r="BJ256" s="1"/>
  <c r="BF268"/>
  <c r="BB304" i="2"/>
  <c r="BA316"/>
  <c r="AA200" i="3"/>
  <c r="AU24" i="1"/>
  <c r="BG255"/>
  <c r="BJ255" s="1"/>
  <c r="BF267"/>
  <c r="BA289" i="2"/>
  <c r="BB277"/>
  <c r="BH277" s="1"/>
  <c r="BK277" s="1"/>
  <c r="BC255" i="1"/>
  <c r="BI255" s="1"/>
  <c r="BB267"/>
  <c r="BC253"/>
  <c r="BI253" s="1"/>
  <c r="BK253" s="1"/>
  <c r="BB265"/>
  <c r="BB288" i="2"/>
  <c r="BH288" s="1"/>
  <c r="BK288" s="1"/>
  <c r="BA300"/>
  <c r="AY277" i="3"/>
  <c r="BC277" s="1"/>
  <c r="BE277" s="1"/>
  <c r="BG277" s="1"/>
  <c r="AX289"/>
  <c r="BK243" i="1"/>
  <c r="R212" i="3"/>
  <c r="T212" s="1"/>
  <c r="W212" s="1"/>
  <c r="X212" s="1"/>
  <c r="Y212" s="1"/>
  <c r="Z212" s="1"/>
  <c r="BB272" i="1"/>
  <c r="BC260"/>
  <c r="BI260" s="1"/>
  <c r="BK260" s="1"/>
  <c r="AS27" i="2"/>
  <c r="AN27"/>
  <c r="O287"/>
  <c r="P275"/>
  <c r="R275" s="1"/>
  <c r="S275" s="1"/>
  <c r="K248" i="3"/>
  <c r="D248" i="10" s="1"/>
  <c r="E248" s="1"/>
  <c r="L236" i="3"/>
  <c r="AT25" i="1"/>
  <c r="AO25"/>
  <c r="P281" i="3"/>
  <c r="Q281"/>
  <c r="AQ22"/>
  <c r="AS22" s="1"/>
  <c r="AT22" s="1"/>
  <c r="AW20" i="8"/>
  <c r="AX20" s="1"/>
  <c r="AQ20"/>
  <c r="R269" i="3"/>
  <c r="T269" s="1"/>
  <c r="W269" s="1"/>
  <c r="O256" i="1"/>
  <c r="R256" s="1"/>
  <c r="S256" s="1"/>
  <c r="N268"/>
  <c r="P224" i="3"/>
  <c r="Q224"/>
  <c r="L299" i="2"/>
  <c r="M287"/>
  <c r="Q287" s="1"/>
  <c r="K305" i="3"/>
  <c r="D305" i="10" s="1"/>
  <c r="E305" s="1"/>
  <c r="L293" i="3"/>
  <c r="AF188"/>
  <c r="AG188" s="1"/>
  <c r="AE188"/>
  <c r="Z188" i="8"/>
  <c r="AB188" s="1"/>
  <c r="AA188" i="6"/>
  <c r="Y188"/>
  <c r="AP22"/>
  <c r="BC249" i="1"/>
  <c r="BI249" s="1"/>
  <c r="BK249" s="1"/>
  <c r="BB261"/>
  <c r="BH297" i="2"/>
  <c r="BK297" s="1"/>
  <c r="BF384"/>
  <c r="BE222" i="3"/>
  <c r="BG222" s="1"/>
  <c r="K302"/>
  <c r="D302" i="10" s="1"/>
  <c r="E302" s="1"/>
  <c r="L290" i="3"/>
  <c r="P290" s="1"/>
  <c r="R290" s="1"/>
  <c r="T290" s="1"/>
  <c r="W290" s="1"/>
  <c r="K315"/>
  <c r="D315" i="10" s="1"/>
  <c r="E315" s="1"/>
  <c r="L303" i="3"/>
  <c r="P303" s="1"/>
  <c r="R303" s="1"/>
  <c r="T303" s="1"/>
  <c r="W303" s="1"/>
  <c r="BF276" i="1"/>
  <c r="BG264"/>
  <c r="BJ264" s="1"/>
  <c r="BK264" s="1"/>
  <c r="BB283" i="3"/>
  <c r="BF283" s="1"/>
  <c r="BG283" s="1"/>
  <c r="BA295"/>
  <c r="AY246"/>
  <c r="AX258"/>
  <c r="BF246" i="2"/>
  <c r="BI246" s="1"/>
  <c r="BE258"/>
  <c r="BG250" i="1"/>
  <c r="BJ250" s="1"/>
  <c r="BK250" s="1"/>
  <c r="BF262"/>
  <c r="BB249" i="3"/>
  <c r="BF249" s="1"/>
  <c r="BG249" s="1"/>
  <c r="BA261"/>
  <c r="BB246" i="2"/>
  <c r="BH246" s="1"/>
  <c r="BA258"/>
  <c r="BB294" i="3"/>
  <c r="BF294" s="1"/>
  <c r="BA306"/>
  <c r="BF272" i="2"/>
  <c r="BI272" s="1"/>
  <c r="BK272" s="1"/>
  <c r="BE284"/>
  <c r="BB278"/>
  <c r="BH278" s="1"/>
  <c r="BK278" s="1"/>
  <c r="BA290"/>
  <c r="BC302" i="1"/>
  <c r="BI302" s="1"/>
  <c r="BK302" s="1"/>
  <c r="BB314"/>
  <c r="AX273" i="3"/>
  <c r="AY261"/>
  <c r="BC261" s="1"/>
  <c r="BE261" s="1"/>
  <c r="BD234"/>
  <c r="BC234"/>
  <c r="AG263" i="2" l="1"/>
  <c r="Y154" i="10"/>
  <c r="Y155" s="1"/>
  <c r="Y156" s="1"/>
  <c r="Y157" s="1"/>
  <c r="Y158" s="1"/>
  <c r="Y159" s="1"/>
  <c r="Y160" s="1"/>
  <c r="Y161" s="1"/>
  <c r="Y162" s="1"/>
  <c r="Y163" s="1"/>
  <c r="Y164" s="1"/>
  <c r="Y165" s="1"/>
  <c r="X171"/>
  <c r="X166"/>
  <c r="AH244" i="1"/>
  <c r="AA232" i="6"/>
  <c r="Y220" i="8"/>
  <c r="Y273" i="6"/>
  <c r="AA251"/>
  <c r="Z232" i="8"/>
  <c r="AA232" s="1"/>
  <c r="X174" i="10"/>
  <c r="BK256" i="1"/>
  <c r="AA273" i="6"/>
  <c r="X169" i="10"/>
  <c r="S168"/>
  <c r="S169" s="1"/>
  <c r="S170" s="1"/>
  <c r="S171" s="1"/>
  <c r="S172" s="1"/>
  <c r="S173" s="1"/>
  <c r="S174" s="1"/>
  <c r="S175" s="1"/>
  <c r="S176" s="1"/>
  <c r="S177" s="1"/>
  <c r="AA244" i="1"/>
  <c r="Z251" i="8"/>
  <c r="AA251" s="1"/>
  <c r="Y251" i="6"/>
  <c r="AG317" i="2"/>
  <c r="AF317" s="1"/>
  <c r="Y232" i="6"/>
  <c r="X173" i="10"/>
  <c r="X172"/>
  <c r="AH251" i="2"/>
  <c r="AA261" i="8"/>
  <c r="AA239"/>
  <c r="AA241" i="6"/>
  <c r="AG319" i="2"/>
  <c r="AF319" s="1"/>
  <c r="Y200" i="6"/>
  <c r="W263" i="2"/>
  <c r="X263" s="1"/>
  <c r="Z263" i="6"/>
  <c r="Y232" i="9"/>
  <c r="AF305" i="2"/>
  <c r="AA319"/>
  <c r="X170" i="10"/>
  <c r="X175"/>
  <c r="AA263" i="2"/>
  <c r="W319"/>
  <c r="X319" s="1"/>
  <c r="AA229" i="8"/>
  <c r="AF307" i="2"/>
  <c r="Z241" i="8"/>
  <c r="AA241" s="1"/>
  <c r="Z244" i="9"/>
  <c r="Y244" s="1"/>
  <c r="Z273" i="8"/>
  <c r="Y273" s="1"/>
  <c r="AQ22" i="6"/>
  <c r="AT26" i="2"/>
  <c r="Y241" i="6"/>
  <c r="W317" i="2"/>
  <c r="X317" s="1"/>
  <c r="W244" i="1"/>
  <c r="X244" s="1"/>
  <c r="Z244" i="6"/>
  <c r="AG244" i="1"/>
  <c r="AF244" s="1"/>
  <c r="L369" i="3"/>
  <c r="D369" i="10"/>
  <c r="E369" s="1"/>
  <c r="AA285" i="3"/>
  <c r="AB200" i="6"/>
  <c r="AB212" i="8" s="1"/>
  <c r="AB202" i="6"/>
  <c r="AB214" i="8" s="1"/>
  <c r="H365" i="10"/>
  <c r="I365" s="1"/>
  <c r="J365" s="1"/>
  <c r="N363" i="3"/>
  <c r="AA317" i="2"/>
  <c r="R329"/>
  <c r="S329" s="1"/>
  <c r="DA329"/>
  <c r="DG329" s="1"/>
  <c r="Q331"/>
  <c r="S331" s="1"/>
  <c r="DA331"/>
  <c r="DG331" s="1"/>
  <c r="Z256" i="1"/>
  <c r="Z275" i="2"/>
  <c r="AA291" i="3"/>
  <c r="Z285" i="6"/>
  <c r="AA267" i="8"/>
  <c r="X177" i="10"/>
  <c r="AA266" i="6"/>
  <c r="AA256" i="3"/>
  <c r="Q181" i="10"/>
  <c r="R181" s="1"/>
  <c r="AA234" i="3"/>
  <c r="Z253" i="6"/>
  <c r="M343" i="2"/>
  <c r="L355"/>
  <c r="AA253" i="3"/>
  <c r="Z234" i="6"/>
  <c r="X176" i="10"/>
  <c r="Y266" i="6"/>
  <c r="AA200"/>
  <c r="Z235" i="8"/>
  <c r="AA235" s="1"/>
  <c r="Q187" i="10"/>
  <c r="R187" s="1"/>
  <c r="Q184"/>
  <c r="R184" s="1"/>
  <c r="Q180"/>
  <c r="R180" s="1"/>
  <c r="P341" i="2"/>
  <c r="O353"/>
  <c r="Q186" i="10"/>
  <c r="R186" s="1"/>
  <c r="Q178"/>
  <c r="R178" s="1"/>
  <c r="Q185"/>
  <c r="R185" s="1"/>
  <c r="Q183"/>
  <c r="R183" s="1"/>
  <c r="Q182"/>
  <c r="R182" s="1"/>
  <c r="AA223" i="8"/>
  <c r="AA214" i="3"/>
  <c r="Z214" i="6"/>
  <c r="K315" i="10"/>
  <c r="F315"/>
  <c r="K305"/>
  <c r="F305"/>
  <c r="K248"/>
  <c r="F248"/>
  <c r="K292"/>
  <c r="F292"/>
  <c r="K287"/>
  <c r="F287"/>
  <c r="K270"/>
  <c r="F270"/>
  <c r="S265" i="3"/>
  <c r="T265" s="1"/>
  <c r="W265" s="1"/>
  <c r="X265" s="1"/>
  <c r="Y265" s="1"/>
  <c r="Z265" s="1"/>
  <c r="D240" i="10"/>
  <c r="E240" s="1"/>
  <c r="K252" i="3"/>
  <c r="L240"/>
  <c r="P240" s="1"/>
  <c r="R240" s="1"/>
  <c r="T240" s="1"/>
  <c r="W240" s="1"/>
  <c r="X240" s="1"/>
  <c r="Y240" s="1"/>
  <c r="Z240" s="1"/>
  <c r="K228" i="10"/>
  <c r="F228"/>
  <c r="D238"/>
  <c r="E238" s="1"/>
  <c r="L238" i="3"/>
  <c r="P238" s="1"/>
  <c r="R238" s="1"/>
  <c r="K250"/>
  <c r="Q190" i="10" s="1"/>
  <c r="R190" s="1"/>
  <c r="Y190" i="8"/>
  <c r="AA190"/>
  <c r="Z202"/>
  <c r="AB202" s="1"/>
  <c r="Y202" i="6"/>
  <c r="AA202"/>
  <c r="Y216"/>
  <c r="Z216" i="8"/>
  <c r="AA216" i="6"/>
  <c r="S226" i="3"/>
  <c r="T226" s="1"/>
  <c r="W226" s="1"/>
  <c r="X226" s="1"/>
  <c r="Y226" s="1"/>
  <c r="Z226" s="1"/>
  <c r="J226" i="10"/>
  <c r="AA204" i="8"/>
  <c r="Y204"/>
  <c r="O351" i="3"/>
  <c r="H351" i="10"/>
  <c r="I351" s="1"/>
  <c r="K214"/>
  <c r="L214" s="1"/>
  <c r="L215" s="1"/>
  <c r="L216" s="1"/>
  <c r="L217" s="1"/>
  <c r="L218" s="1"/>
  <c r="L219" s="1"/>
  <c r="L220" s="1"/>
  <c r="L221" s="1"/>
  <c r="L222" s="1"/>
  <c r="L223" s="1"/>
  <c r="L224" s="1"/>
  <c r="L225" s="1"/>
  <c r="W166"/>
  <c r="W167" s="1"/>
  <c r="W168" s="1"/>
  <c r="W169" s="1"/>
  <c r="W170" s="1"/>
  <c r="W171" s="1"/>
  <c r="W172" s="1"/>
  <c r="W173" s="1"/>
  <c r="W174" s="1"/>
  <c r="W175" s="1"/>
  <c r="W176" s="1"/>
  <c r="W177" s="1"/>
  <c r="K302"/>
  <c r="F302"/>
  <c r="K283"/>
  <c r="F283"/>
  <c r="S339" i="3"/>
  <c r="J339" i="10"/>
  <c r="F301"/>
  <c r="S297" i="3"/>
  <c r="T297" s="1"/>
  <c r="W297" s="1"/>
  <c r="X297" s="1"/>
  <c r="Y297" s="1"/>
  <c r="Z297" s="1"/>
  <c r="S288"/>
  <c r="J288" i="10"/>
  <c r="AA228" i="3"/>
  <c r="Z228" i="6"/>
  <c r="K226" i="10"/>
  <c r="F226"/>
  <c r="AE202" i="3"/>
  <c r="AF202"/>
  <c r="AG202" s="1"/>
  <c r="U180" i="10"/>
  <c r="V180" s="1"/>
  <c r="X180" s="1"/>
  <c r="H238"/>
  <c r="I238" s="1"/>
  <c r="U178"/>
  <c r="V178" s="1"/>
  <c r="N250" i="3"/>
  <c r="O238"/>
  <c r="U187" i="10"/>
  <c r="V187" s="1"/>
  <c r="U181"/>
  <c r="V181" s="1"/>
  <c r="U185"/>
  <c r="V185" s="1"/>
  <c r="U182"/>
  <c r="V182" s="1"/>
  <c r="U179"/>
  <c r="V179" s="1"/>
  <c r="X179" s="1"/>
  <c r="U189"/>
  <c r="V189" s="1"/>
  <c r="U186"/>
  <c r="V186" s="1"/>
  <c r="U184"/>
  <c r="V184" s="1"/>
  <c r="U188"/>
  <c r="V188" s="1"/>
  <c r="U183"/>
  <c r="V183" s="1"/>
  <c r="X183" s="1"/>
  <c r="J285"/>
  <c r="K285"/>
  <c r="J253"/>
  <c r="K253"/>
  <c r="AQ25" i="9"/>
  <c r="AA235" i="6"/>
  <c r="Y235"/>
  <c r="AA279"/>
  <c r="Z266" i="8"/>
  <c r="AA266" s="1"/>
  <c r="Z200"/>
  <c r="AP23" i="6"/>
  <c r="K304" i="3"/>
  <c r="D304" i="10" s="1"/>
  <c r="E304" s="1"/>
  <c r="L292" i="3"/>
  <c r="AA247"/>
  <c r="Z247" i="6"/>
  <c r="AA275" i="3"/>
  <c r="K299"/>
  <c r="D299" i="10" s="1"/>
  <c r="E299" s="1"/>
  <c r="L287" i="3"/>
  <c r="P287" s="1"/>
  <c r="R287" s="1"/>
  <c r="T287" s="1"/>
  <c r="W287" s="1"/>
  <c r="X287" s="1"/>
  <c r="Y287" s="1"/>
  <c r="Z287" s="1"/>
  <c r="O309"/>
  <c r="N321"/>
  <c r="H321" i="10" s="1"/>
  <c r="I321" s="1"/>
  <c r="R259" i="3"/>
  <c r="T259" s="1"/>
  <c r="W259" s="1"/>
  <c r="X259" s="1"/>
  <c r="Y259" s="1"/>
  <c r="Z259" s="1"/>
  <c r="R268"/>
  <c r="T268" s="1"/>
  <c r="W268" s="1"/>
  <c r="X268" s="1"/>
  <c r="Y268" s="1"/>
  <c r="Z268" s="1"/>
  <c r="R246"/>
  <c r="T246" s="1"/>
  <c r="W246" s="1"/>
  <c r="X246" s="1"/>
  <c r="Y246" s="1"/>
  <c r="Z246" s="1"/>
  <c r="Q189" i="10"/>
  <c r="R189" s="1"/>
  <c r="Q188"/>
  <c r="R188" s="1"/>
  <c r="P280" i="3"/>
  <c r="Q280"/>
  <c r="P271"/>
  <c r="Q271"/>
  <c r="K295"/>
  <c r="D295" i="10" s="1"/>
  <c r="E295" s="1"/>
  <c r="L283" i="3"/>
  <c r="AA210" i="8"/>
  <c r="Y210"/>
  <c r="K313" i="3"/>
  <c r="D313" i="10" s="1"/>
  <c r="E313" s="1"/>
  <c r="L301" i="3"/>
  <c r="P301" s="1"/>
  <c r="R301" s="1"/>
  <c r="AA222" i="6"/>
  <c r="Z222" i="8"/>
  <c r="Y222" i="6"/>
  <c r="P258" i="3"/>
  <c r="Q258"/>
  <c r="K282"/>
  <c r="D282" i="10" s="1"/>
  <c r="E282" s="1"/>
  <c r="L270" i="3"/>
  <c r="N312"/>
  <c r="H312" i="10" s="1"/>
  <c r="I312" s="1"/>
  <c r="O300" i="3"/>
  <c r="N289"/>
  <c r="H289" i="10" s="1"/>
  <c r="I289" s="1"/>
  <c r="O277" i="3"/>
  <c r="AQ26" i="9"/>
  <c r="AA254" i="8"/>
  <c r="Y245" i="6"/>
  <c r="BF328" i="2"/>
  <c r="BI328" s="1"/>
  <c r="BE340"/>
  <c r="Z279" i="8"/>
  <c r="Y279" s="1"/>
  <c r="Y279" i="6"/>
  <c r="AQ21" i="8"/>
  <c r="Z291" i="6"/>
  <c r="BB321" i="2"/>
  <c r="BH321" s="1"/>
  <c r="BK321" s="1"/>
  <c r="BA333"/>
  <c r="AA245" i="6"/>
  <c r="AQ23" i="3"/>
  <c r="Z245" i="8"/>
  <c r="AA245" s="1"/>
  <c r="AA278" i="3"/>
  <c r="Y233" i="8"/>
  <c r="AA233"/>
  <c r="Z278" i="6"/>
  <c r="AA257" i="3"/>
  <c r="Z257" i="6"/>
  <c r="BB316" i="2"/>
  <c r="BH316" s="1"/>
  <c r="BK316" s="1"/>
  <c r="BA328"/>
  <c r="X269" i="3"/>
  <c r="Y269" s="1"/>
  <c r="Z269" s="1"/>
  <c r="X290"/>
  <c r="Y290" s="1"/>
  <c r="Z290" s="1"/>
  <c r="X303"/>
  <c r="Y303" s="1"/>
  <c r="Z303" s="1"/>
  <c r="L315"/>
  <c r="P315" s="1"/>
  <c r="R315" s="1"/>
  <c r="T315" s="1"/>
  <c r="W315" s="1"/>
  <c r="K327"/>
  <c r="D327" i="10" s="1"/>
  <c r="E327" s="1"/>
  <c r="BC314" i="1"/>
  <c r="BI314" s="1"/>
  <c r="BK314" s="1"/>
  <c r="BB326"/>
  <c r="AE200" i="3"/>
  <c r="Z212" i="6"/>
  <c r="BF391" i="2"/>
  <c r="BH304"/>
  <c r="BK304" s="1"/>
  <c r="BF280" i="1"/>
  <c r="BG268"/>
  <c r="BJ268" s="1"/>
  <c r="BB280"/>
  <c r="BC268"/>
  <c r="BI268" s="1"/>
  <c r="AU25"/>
  <c r="AT27" i="2"/>
  <c r="AA212" i="3"/>
  <c r="AY289"/>
  <c r="BC289" s="1"/>
  <c r="BE289" s="1"/>
  <c r="BG289" s="1"/>
  <c r="AX301"/>
  <c r="BB300" i="2"/>
  <c r="BA312"/>
  <c r="BB277" i="1"/>
  <c r="BC265"/>
  <c r="BI265" s="1"/>
  <c r="BK265" s="1"/>
  <c r="BB279"/>
  <c r="BC267"/>
  <c r="BI267" s="1"/>
  <c r="BK255"/>
  <c r="BA301" i="2"/>
  <c r="BB289"/>
  <c r="BH289" s="1"/>
  <c r="BK289" s="1"/>
  <c r="BF279" i="1"/>
  <c r="BG267"/>
  <c r="BJ267" s="1"/>
  <c r="BB284"/>
  <c r="BC272"/>
  <c r="BI272" s="1"/>
  <c r="BK272" s="1"/>
  <c r="AX21" i="8"/>
  <c r="AW22" i="6"/>
  <c r="AX22" s="1"/>
  <c r="P293" i="3"/>
  <c r="Q293"/>
  <c r="N280" i="1"/>
  <c r="O268"/>
  <c r="R268" s="1"/>
  <c r="S268" s="1"/>
  <c r="AR22" i="3"/>
  <c r="K260"/>
  <c r="D260" i="10" s="1"/>
  <c r="E260" s="1"/>
  <c r="L248" i="3"/>
  <c r="O299" i="2"/>
  <c r="P287"/>
  <c r="R287" s="1"/>
  <c r="S287" s="1"/>
  <c r="AO26" i="1"/>
  <c r="AT26"/>
  <c r="R224" i="3"/>
  <c r="T224" s="1"/>
  <c r="W224" s="1"/>
  <c r="R281"/>
  <c r="T281" s="1"/>
  <c r="W281" s="1"/>
  <c r="Y188" i="8"/>
  <c r="AA188"/>
  <c r="AP22"/>
  <c r="L305" i="3"/>
  <c r="K317"/>
  <c r="D317" i="10" s="1"/>
  <c r="E317" s="1"/>
  <c r="L311" i="2"/>
  <c r="M299"/>
  <c r="Q299" s="1"/>
  <c r="Q236" i="3"/>
  <c r="P236"/>
  <c r="AN28" i="2"/>
  <c r="AS28"/>
  <c r="AH263"/>
  <c r="AF263"/>
  <c r="AG200" i="3"/>
  <c r="BB273" i="1"/>
  <c r="BC261"/>
  <c r="BI261" s="1"/>
  <c r="BK261" s="1"/>
  <c r="BE234" i="3"/>
  <c r="BG234" s="1"/>
  <c r="K314"/>
  <c r="D314" i="10" s="1"/>
  <c r="E314" s="1"/>
  <c r="L302" i="3"/>
  <c r="P302" s="1"/>
  <c r="R302" s="1"/>
  <c r="T302" s="1"/>
  <c r="W302" s="1"/>
  <c r="BK246" i="2"/>
  <c r="BA318" i="3"/>
  <c r="BB306"/>
  <c r="BF306" s="1"/>
  <c r="BD246"/>
  <c r="BC246"/>
  <c r="BG276" i="1"/>
  <c r="BJ276" s="1"/>
  <c r="BK276" s="1"/>
  <c r="BF288"/>
  <c r="AY273" i="3"/>
  <c r="BC273" s="1"/>
  <c r="BE273" s="1"/>
  <c r="AX285"/>
  <c r="BB290" i="2"/>
  <c r="BH290" s="1"/>
  <c r="BK290" s="1"/>
  <c r="BA302"/>
  <c r="BF284"/>
  <c r="BI284" s="1"/>
  <c r="BK284" s="1"/>
  <c r="BE296"/>
  <c r="BA270"/>
  <c r="BB258"/>
  <c r="BH258" s="1"/>
  <c r="BA273" i="3"/>
  <c r="BB261"/>
  <c r="BF261" s="1"/>
  <c r="BG261" s="1"/>
  <c r="BF274" i="1"/>
  <c r="BG262"/>
  <c r="BJ262" s="1"/>
  <c r="BK262" s="1"/>
  <c r="BF258" i="2"/>
  <c r="BI258" s="1"/>
  <c r="BE270"/>
  <c r="AY258" i="3"/>
  <c r="AX270"/>
  <c r="BB295"/>
  <c r="BA307"/>
  <c r="O363" l="1"/>
  <c r="S363" s="1"/>
  <c r="N375"/>
  <c r="O375" s="1"/>
  <c r="S375" s="1"/>
  <c r="Z285" i="8"/>
  <c r="Y285" s="1"/>
  <c r="W275" i="2"/>
  <c r="X275" s="1"/>
  <c r="AH317"/>
  <c r="Y232" i="8"/>
  <c r="Y166" i="10"/>
  <c r="Y167" s="1"/>
  <c r="Y168" s="1"/>
  <c r="Y169" s="1"/>
  <c r="Y170" s="1"/>
  <c r="Y171" s="1"/>
  <c r="Y172" s="1"/>
  <c r="Y173" s="1"/>
  <c r="Y174" s="1"/>
  <c r="Y175" s="1"/>
  <c r="Y176" s="1"/>
  <c r="Y177" s="1"/>
  <c r="AA234" i="6"/>
  <c r="Y285"/>
  <c r="Y263"/>
  <c r="Z275"/>
  <c r="Y241" i="8"/>
  <c r="AA263" i="6"/>
  <c r="Z263" i="8"/>
  <c r="AA263" s="1"/>
  <c r="Z256" i="6"/>
  <c r="Y251" i="8"/>
  <c r="AG275" i="2"/>
  <c r="AF275" s="1"/>
  <c r="AA273" i="8"/>
  <c r="Q198" i="10"/>
  <c r="R198" s="1"/>
  <c r="X178"/>
  <c r="AA275" i="2"/>
  <c r="AH319"/>
  <c r="Z244" i="8"/>
  <c r="Y244" s="1"/>
  <c r="Z256" i="9"/>
  <c r="Y256" s="1"/>
  <c r="AA244" i="6"/>
  <c r="AH256" i="1"/>
  <c r="BK268"/>
  <c r="AA244" i="9"/>
  <c r="Q197" i="10"/>
  <c r="R197" s="1"/>
  <c r="AG256" i="1"/>
  <c r="AF256" s="1"/>
  <c r="Y244" i="6"/>
  <c r="P369" i="3"/>
  <c r="R369" s="1"/>
  <c r="Y266" i="8"/>
  <c r="AQ23" i="6"/>
  <c r="AR23" i="3"/>
  <c r="AS23"/>
  <c r="F369" i="10"/>
  <c r="Y235" i="8"/>
  <c r="AP24"/>
  <c r="M355" i="2"/>
  <c r="DA355" s="1"/>
  <c r="DG355" s="1"/>
  <c r="L367"/>
  <c r="M367" s="1"/>
  <c r="X185" i="10"/>
  <c r="W256" i="1"/>
  <c r="AA256"/>
  <c r="Y200" i="8"/>
  <c r="AB200"/>
  <c r="H363" i="10"/>
  <c r="I363" s="1"/>
  <c r="J363" s="1"/>
  <c r="AA285" i="6"/>
  <c r="X186" i="10"/>
  <c r="P353" i="2"/>
  <c r="DA353" s="1"/>
  <c r="DG353" s="1"/>
  <c r="O365"/>
  <c r="P365" s="1"/>
  <c r="R341"/>
  <c r="S341" s="1"/>
  <c r="DA341"/>
  <c r="DG341" s="1"/>
  <c r="Q343"/>
  <c r="S343" s="1"/>
  <c r="Z343" s="1"/>
  <c r="DA343"/>
  <c r="DG343" s="1"/>
  <c r="Z268" i="1"/>
  <c r="Z287" i="2"/>
  <c r="Z297" i="6"/>
  <c r="AA200" i="8"/>
  <c r="Q194" i="10"/>
  <c r="R194" s="1"/>
  <c r="Q193"/>
  <c r="R193" s="1"/>
  <c r="Q199"/>
  <c r="R199" s="1"/>
  <c r="AA279" i="8"/>
  <c r="Z234"/>
  <c r="Y234" s="1"/>
  <c r="Z253"/>
  <c r="Y253" s="1"/>
  <c r="AP23"/>
  <c r="AQ23" s="1"/>
  <c r="X182" i="10"/>
  <c r="X188"/>
  <c r="X184"/>
  <c r="Y234" i="6"/>
  <c r="AA253"/>
  <c r="AW23"/>
  <c r="AX23" s="1"/>
  <c r="Y253"/>
  <c r="AA265" i="3"/>
  <c r="Z265" i="6"/>
  <c r="AA297" i="3"/>
  <c r="Q195" i="10"/>
  <c r="R195" s="1"/>
  <c r="Q191"/>
  <c r="R191" s="1"/>
  <c r="Q192"/>
  <c r="R192" s="1"/>
  <c r="Q196"/>
  <c r="R196" s="1"/>
  <c r="S178"/>
  <c r="S179" s="1"/>
  <c r="S180" s="1"/>
  <c r="S181" s="1"/>
  <c r="S182" s="1"/>
  <c r="S183" s="1"/>
  <c r="S184" s="1"/>
  <c r="S185" s="1"/>
  <c r="S186" s="1"/>
  <c r="S187" s="1"/>
  <c r="S188" s="1"/>
  <c r="S189" s="1"/>
  <c r="S190" s="1"/>
  <c r="X187"/>
  <c r="X189"/>
  <c r="L226"/>
  <c r="L227" s="1"/>
  <c r="L228" s="1"/>
  <c r="L229" s="1"/>
  <c r="L230" s="1"/>
  <c r="L231" s="1"/>
  <c r="L232" s="1"/>
  <c r="L233" s="1"/>
  <c r="L234" s="1"/>
  <c r="L235" s="1"/>
  <c r="L236" s="1"/>
  <c r="L237" s="1"/>
  <c r="W178"/>
  <c r="W179" s="1"/>
  <c r="W180" s="1"/>
  <c r="W181" s="1"/>
  <c r="W182" s="1"/>
  <c r="W183" s="1"/>
  <c r="W184" s="1"/>
  <c r="W185" s="1"/>
  <c r="W186" s="1"/>
  <c r="W187" s="1"/>
  <c r="W188" s="1"/>
  <c r="W189" s="1"/>
  <c r="AA226" i="3"/>
  <c r="Z226" i="6"/>
  <c r="K314" i="10"/>
  <c r="F314"/>
  <c r="K317"/>
  <c r="F317"/>
  <c r="K260"/>
  <c r="F260"/>
  <c r="K327"/>
  <c r="F327"/>
  <c r="K282"/>
  <c r="F282"/>
  <c r="K295"/>
  <c r="F295"/>
  <c r="S309" i="3"/>
  <c r="T309" s="1"/>
  <c r="W309" s="1"/>
  <c r="X309" s="1"/>
  <c r="Y309" s="1"/>
  <c r="Z309" s="1"/>
  <c r="K299" i="10"/>
  <c r="F299"/>
  <c r="K304"/>
  <c r="F304"/>
  <c r="U192"/>
  <c r="V192" s="1"/>
  <c r="H250"/>
  <c r="I250" s="1"/>
  <c r="U191"/>
  <c r="V191" s="1"/>
  <c r="N262" i="3"/>
  <c r="O250"/>
  <c r="U197" i="10"/>
  <c r="V197" s="1"/>
  <c r="U193"/>
  <c r="V193" s="1"/>
  <c r="U198"/>
  <c r="V198" s="1"/>
  <c r="U194"/>
  <c r="V194" s="1"/>
  <c r="X194" s="1"/>
  <c r="U190"/>
  <c r="V190" s="1"/>
  <c r="X190" s="1"/>
  <c r="U201"/>
  <c r="V201" s="1"/>
  <c r="U199"/>
  <c r="V199" s="1"/>
  <c r="U196"/>
  <c r="V196" s="1"/>
  <c r="X196" s="1"/>
  <c r="U200"/>
  <c r="V200" s="1"/>
  <c r="U195"/>
  <c r="V195" s="1"/>
  <c r="AA228" i="6"/>
  <c r="Y228"/>
  <c r="Z228" i="8"/>
  <c r="D250" i="10"/>
  <c r="E250" s="1"/>
  <c r="K262" i="3"/>
  <c r="L250"/>
  <c r="P250" s="1"/>
  <c r="R250" s="1"/>
  <c r="F238" i="10"/>
  <c r="D252"/>
  <c r="E252" s="1"/>
  <c r="K264" i="3"/>
  <c r="L252"/>
  <c r="P252" s="1"/>
  <c r="R252" s="1"/>
  <c r="T252" s="1"/>
  <c r="W252" s="1"/>
  <c r="X252" s="1"/>
  <c r="Y252" s="1"/>
  <c r="Z252" s="1"/>
  <c r="J265" i="10"/>
  <c r="K265"/>
  <c r="Y214" i="6"/>
  <c r="AA214"/>
  <c r="Z214" i="8"/>
  <c r="S277" i="3"/>
  <c r="T277" s="1"/>
  <c r="W277" s="1"/>
  <c r="X277" s="1"/>
  <c r="Y277" s="1"/>
  <c r="Z277" s="1"/>
  <c r="S300"/>
  <c r="J300" i="10"/>
  <c r="F313"/>
  <c r="S238" i="3"/>
  <c r="T238" s="1"/>
  <c r="W238" s="1"/>
  <c r="X238" s="1"/>
  <c r="Y238" s="1"/>
  <c r="Z238" s="1"/>
  <c r="J238" i="10"/>
  <c r="J297"/>
  <c r="K297"/>
  <c r="S351" i="3"/>
  <c r="J351" i="10"/>
  <c r="AA216" i="8"/>
  <c r="Y216"/>
  <c r="AA202"/>
  <c r="Y202"/>
  <c r="AA240" i="3"/>
  <c r="Z240" i="6"/>
  <c r="K240" i="10"/>
  <c r="F240"/>
  <c r="X181"/>
  <c r="BF340" i="2"/>
  <c r="BI340" s="1"/>
  <c r="BE352"/>
  <c r="R280" i="3"/>
  <c r="T280" s="1"/>
  <c r="W280" s="1"/>
  <c r="X280" s="1"/>
  <c r="Y280" s="1"/>
  <c r="Z280" s="1"/>
  <c r="N301"/>
  <c r="H301" i="10" s="1"/>
  <c r="I301" s="1"/>
  <c r="O289" i="3"/>
  <c r="AA268"/>
  <c r="AA259"/>
  <c r="Z259" i="6"/>
  <c r="AA247"/>
  <c r="Y247"/>
  <c r="Z247" i="8"/>
  <c r="L304" i="3"/>
  <c r="K316"/>
  <c r="D316" i="10" s="1"/>
  <c r="E316" s="1"/>
  <c r="R258" i="3"/>
  <c r="T258" s="1"/>
  <c r="W258" s="1"/>
  <c r="X258" s="1"/>
  <c r="Y258" s="1"/>
  <c r="Z258" s="1"/>
  <c r="R271"/>
  <c r="T271" s="1"/>
  <c r="W271" s="1"/>
  <c r="X271" s="1"/>
  <c r="Y271" s="1"/>
  <c r="Z271" s="1"/>
  <c r="Q201" i="10"/>
  <c r="R201" s="1"/>
  <c r="Q200"/>
  <c r="R200" s="1"/>
  <c r="Q203"/>
  <c r="R203" s="1"/>
  <c r="Q204"/>
  <c r="R204" s="1"/>
  <c r="Q205"/>
  <c r="R205" s="1"/>
  <c r="Q208"/>
  <c r="R208" s="1"/>
  <c r="O312" i="3"/>
  <c r="N324"/>
  <c r="H324" i="10" s="1"/>
  <c r="I324" s="1"/>
  <c r="P270" i="3"/>
  <c r="Q270"/>
  <c r="K294"/>
  <c r="D294" i="10" s="1"/>
  <c r="E294" s="1"/>
  <c r="L282" i="3"/>
  <c r="AA222" i="8"/>
  <c r="Y222"/>
  <c r="K325" i="3"/>
  <c r="D325" i="10" s="1"/>
  <c r="E325" s="1"/>
  <c r="L313" i="3"/>
  <c r="P313" s="1"/>
  <c r="R313" s="1"/>
  <c r="P283"/>
  <c r="Q283"/>
  <c r="K307"/>
  <c r="D307" i="10" s="1"/>
  <c r="E307" s="1"/>
  <c r="L295" i="3"/>
  <c r="AA246"/>
  <c r="Z246" i="6"/>
  <c r="O321" i="3"/>
  <c r="N333"/>
  <c r="H333" i="10" s="1"/>
  <c r="I333" s="1"/>
  <c r="AA287" i="3"/>
  <c r="K311"/>
  <c r="D311" i="10" s="1"/>
  <c r="E311" s="1"/>
  <c r="L299" i="3"/>
  <c r="P299" s="1"/>
  <c r="R299" s="1"/>
  <c r="T299" s="1"/>
  <c r="W299" s="1"/>
  <c r="X299" s="1"/>
  <c r="Y299" s="1"/>
  <c r="Z299" s="1"/>
  <c r="P292"/>
  <c r="Q292"/>
  <c r="AW26" i="9"/>
  <c r="AX26" s="1"/>
  <c r="AA278" i="6"/>
  <c r="AA291"/>
  <c r="AW27" i="9"/>
  <c r="Y257" i="6"/>
  <c r="Z291" i="8"/>
  <c r="AA291" s="1"/>
  <c r="X315" i="3"/>
  <c r="Y315" s="1"/>
  <c r="Z315" s="1"/>
  <c r="BB333" i="2"/>
  <c r="BH333" s="1"/>
  <c r="BK333" s="1"/>
  <c r="BA345"/>
  <c r="BB328"/>
  <c r="BH328" s="1"/>
  <c r="BK328" s="1"/>
  <c r="BA340"/>
  <c r="Z290" i="6"/>
  <c r="Y291"/>
  <c r="L327" i="3"/>
  <c r="P327" s="1"/>
  <c r="R327" s="1"/>
  <c r="T327" s="1"/>
  <c r="W327" s="1"/>
  <c r="K339"/>
  <c r="BC326" i="1"/>
  <c r="BI326" s="1"/>
  <c r="BK326" s="1"/>
  <c r="BB338"/>
  <c r="Z303" i="6"/>
  <c r="Y245" i="8"/>
  <c r="AA303" i="3"/>
  <c r="AA290"/>
  <c r="Y278" i="6"/>
  <c r="Z278" i="8"/>
  <c r="AA278" s="1"/>
  <c r="Z257"/>
  <c r="Y257" s="1"/>
  <c r="AA257" i="6"/>
  <c r="BB318" i="3"/>
  <c r="BF318" s="1"/>
  <c r="BA330"/>
  <c r="AA269"/>
  <c r="Z269" i="6"/>
  <c r="Z212" i="8"/>
  <c r="AA212" s="1"/>
  <c r="L317" i="3"/>
  <c r="Q317" s="1"/>
  <c r="K329"/>
  <c r="D329" i="10" s="1"/>
  <c r="E329" s="1"/>
  <c r="X281" i="3"/>
  <c r="Y281" s="1"/>
  <c r="Z281" s="1"/>
  <c r="X302"/>
  <c r="Y302" s="1"/>
  <c r="Z302" s="1"/>
  <c r="X224"/>
  <c r="Y224" s="1"/>
  <c r="Z224" s="1"/>
  <c r="L314"/>
  <c r="P314" s="1"/>
  <c r="R314" s="1"/>
  <c r="T314" s="1"/>
  <c r="W314" s="1"/>
  <c r="K326"/>
  <c r="D326" i="10" s="1"/>
  <c r="E326" s="1"/>
  <c r="BB312" i="2"/>
  <c r="BH312" s="1"/>
  <c r="BK312" s="1"/>
  <c r="BA324"/>
  <c r="Y212" i="6"/>
  <c r="AA212"/>
  <c r="M311" i="2"/>
  <c r="Q311" s="1"/>
  <c r="L323"/>
  <c r="BC280" i="1"/>
  <c r="BI280" s="1"/>
  <c r="BB292"/>
  <c r="BG280"/>
  <c r="BJ280" s="1"/>
  <c r="BF292"/>
  <c r="AT28" i="2"/>
  <c r="AU26" i="1"/>
  <c r="BC279"/>
  <c r="BI279" s="1"/>
  <c r="BB291"/>
  <c r="BC277"/>
  <c r="BI277" s="1"/>
  <c r="BK277" s="1"/>
  <c r="BB289"/>
  <c r="BH300" i="2"/>
  <c r="BK300" s="1"/>
  <c r="BF387"/>
  <c r="BK267" i="1"/>
  <c r="BF291"/>
  <c r="BG279"/>
  <c r="BJ279" s="1"/>
  <c r="BB301" i="2"/>
  <c r="BA313"/>
  <c r="AX313" i="3"/>
  <c r="AY301"/>
  <c r="BB307"/>
  <c r="BF307" s="1"/>
  <c r="BG307" s="1"/>
  <c r="BA319"/>
  <c r="BC284" i="1"/>
  <c r="BI284" s="1"/>
  <c r="BK284" s="1"/>
  <c r="BB296"/>
  <c r="R293" i="3"/>
  <c r="T293" s="1"/>
  <c r="W293" s="1"/>
  <c r="AN29" i="2"/>
  <c r="AS29"/>
  <c r="AQ22" i="8"/>
  <c r="AW22"/>
  <c r="AX22" s="1"/>
  <c r="P248" i="3"/>
  <c r="Q248"/>
  <c r="N292" i="1"/>
  <c r="O280"/>
  <c r="R280" s="1"/>
  <c r="S280" s="1"/>
  <c r="R236" i="3"/>
  <c r="T236" s="1"/>
  <c r="W236" s="1"/>
  <c r="AO27" i="1"/>
  <c r="Q305" i="3"/>
  <c r="P305"/>
  <c r="O311" i="2"/>
  <c r="P299"/>
  <c r="R299" s="1"/>
  <c r="S299" s="1"/>
  <c r="K272" i="3"/>
  <c r="D272" i="10" s="1"/>
  <c r="E272" s="1"/>
  <c r="L260" i="3"/>
  <c r="BB285" i="1"/>
  <c r="BC273"/>
  <c r="BI273" s="1"/>
  <c r="BK273" s="1"/>
  <c r="AY270" i="3"/>
  <c r="AX282"/>
  <c r="BF270" i="2"/>
  <c r="BI270" s="1"/>
  <c r="BE282"/>
  <c r="BG274" i="1"/>
  <c r="BJ274" s="1"/>
  <c r="BK274" s="1"/>
  <c r="BF286"/>
  <c r="BB273" i="3"/>
  <c r="BF273" s="1"/>
  <c r="BG273" s="1"/>
  <c r="BA285"/>
  <c r="BB270" i="2"/>
  <c r="BH270" s="1"/>
  <c r="BA282"/>
  <c r="BB302"/>
  <c r="BA314"/>
  <c r="BG288" i="1"/>
  <c r="BJ288" s="1"/>
  <c r="BK288" s="1"/>
  <c r="BF300"/>
  <c r="BE246" i="3"/>
  <c r="BG246" s="1"/>
  <c r="BF295"/>
  <c r="BG295" s="1"/>
  <c r="BC391"/>
  <c r="BC258"/>
  <c r="BD258"/>
  <c r="BF296" i="2"/>
  <c r="BI296" s="1"/>
  <c r="BK296" s="1"/>
  <c r="BE308"/>
  <c r="BF383"/>
  <c r="AX297" i="3"/>
  <c r="AY285"/>
  <c r="BC285" s="1"/>
  <c r="BE285" s="1"/>
  <c r="BK258" i="2"/>
  <c r="Q210" i="10" l="1"/>
  <c r="R210" s="1"/>
  <c r="AA285" i="8"/>
  <c r="AA256" i="6"/>
  <c r="Z275" i="8"/>
  <c r="Y275" s="1"/>
  <c r="Q209" i="10"/>
  <c r="R209" s="1"/>
  <c r="Q207"/>
  <c r="R207" s="1"/>
  <c r="Z287" i="6"/>
  <c r="Q206" i="10"/>
  <c r="R206" s="1"/>
  <c r="Q202"/>
  <c r="R202" s="1"/>
  <c r="R353" i="2"/>
  <c r="S353" s="1"/>
  <c r="Y256" i="6"/>
  <c r="AA275"/>
  <c r="AA244" i="8"/>
  <c r="Q211" i="10"/>
  <c r="R211" s="1"/>
  <c r="Y275" i="6"/>
  <c r="Z256" i="8"/>
  <c r="AA256" s="1"/>
  <c r="AH275" i="2"/>
  <c r="Y263" i="8"/>
  <c r="X197" i="10"/>
  <c r="Y178"/>
  <c r="Y179" s="1"/>
  <c r="Y180" s="1"/>
  <c r="Y181" s="1"/>
  <c r="Y182" s="1"/>
  <c r="Y183" s="1"/>
  <c r="Y184" s="1"/>
  <c r="Y185" s="1"/>
  <c r="Y186" s="1"/>
  <c r="Y187" s="1"/>
  <c r="Y188" s="1"/>
  <c r="Y189" s="1"/>
  <c r="Y190" s="1"/>
  <c r="X198"/>
  <c r="W287" i="2"/>
  <c r="X287" s="1"/>
  <c r="AG287"/>
  <c r="AH287" s="1"/>
  <c r="AA256" i="9"/>
  <c r="AH268" i="1"/>
  <c r="AA287" i="2"/>
  <c r="Z290" i="8"/>
  <c r="Y290" s="1"/>
  <c r="Y297" i="6"/>
  <c r="X193" i="10"/>
  <c r="AW23" i="8"/>
  <c r="AX23" s="1"/>
  <c r="Q355" i="2"/>
  <c r="S355" s="1"/>
  <c r="AT23" i="3"/>
  <c r="Q367" i="2"/>
  <c r="S367" s="1"/>
  <c r="AT27" i="1"/>
  <c r="X256"/>
  <c r="AA265" i="6"/>
  <c r="W268" i="1"/>
  <c r="X268" s="1"/>
  <c r="AG343" i="2"/>
  <c r="AF343" s="1"/>
  <c r="Z268" i="6"/>
  <c r="AA268" i="1"/>
  <c r="Z268" i="9"/>
  <c r="Y268" s="1"/>
  <c r="AG268" i="1"/>
  <c r="AF268" s="1"/>
  <c r="X199" i="10"/>
  <c r="AA253" i="8"/>
  <c r="R365" i="2"/>
  <c r="S365" s="1"/>
  <c r="DA365"/>
  <c r="Z297" i="8"/>
  <c r="AA297" s="1"/>
  <c r="Z280" i="1"/>
  <c r="AA234" i="8"/>
  <c r="W343" i="2"/>
  <c r="AA343"/>
  <c r="Z299"/>
  <c r="AA297" i="6"/>
  <c r="BF352" i="2"/>
  <c r="BI352" s="1"/>
  <c r="BE364"/>
  <c r="BF364" s="1"/>
  <c r="BI364" s="1"/>
  <c r="AA303" i="6"/>
  <c r="X192" i="10"/>
  <c r="Y265" i="6"/>
  <c r="X191" i="10"/>
  <c r="X201"/>
  <c r="S19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BB345" i="2"/>
  <c r="BH345" s="1"/>
  <c r="BK345" s="1"/>
  <c r="BA357"/>
  <c r="X195" i="10"/>
  <c r="Z265" i="8"/>
  <c r="AA265" s="1"/>
  <c r="AA280" i="3"/>
  <c r="Z303" i="8"/>
  <c r="AA303" s="1"/>
  <c r="Y303" i="6"/>
  <c r="X200" i="10"/>
  <c r="AA309" i="3"/>
  <c r="Z309" i="6"/>
  <c r="AA277" i="3"/>
  <c r="Z277" i="6"/>
  <c r="K272" i="10"/>
  <c r="F272"/>
  <c r="K329"/>
  <c r="F329"/>
  <c r="K311"/>
  <c r="F311"/>
  <c r="S321" i="3"/>
  <c r="T321" s="1"/>
  <c r="W321" s="1"/>
  <c r="X321" s="1"/>
  <c r="Y321" s="1"/>
  <c r="Z321" s="1"/>
  <c r="K294" i="10"/>
  <c r="F294"/>
  <c r="S312" i="3"/>
  <c r="J312" i="10"/>
  <c r="AA240" i="6"/>
  <c r="Z240" i="8"/>
  <c r="Y240" i="6"/>
  <c r="J277" i="10"/>
  <c r="K277"/>
  <c r="AA252" i="3"/>
  <c r="Z252" i="6"/>
  <c r="K252" i="10"/>
  <c r="F252"/>
  <c r="D262"/>
  <c r="E262" s="1"/>
  <c r="K274" i="3"/>
  <c r="Q214" i="10" s="1"/>
  <c r="R214" s="1"/>
  <c r="L262" i="3"/>
  <c r="P262" s="1"/>
  <c r="R262" s="1"/>
  <c r="AA228" i="8"/>
  <c r="Y228"/>
  <c r="U204" i="10"/>
  <c r="V204" s="1"/>
  <c r="X204" s="1"/>
  <c r="H262"/>
  <c r="I262" s="1"/>
  <c r="U202"/>
  <c r="V202" s="1"/>
  <c r="X202" s="1"/>
  <c r="N274" i="3"/>
  <c r="O262"/>
  <c r="U210" i="10"/>
  <c r="V210" s="1"/>
  <c r="X210" s="1"/>
  <c r="U205"/>
  <c r="V205" s="1"/>
  <c r="X205" s="1"/>
  <c r="U211"/>
  <c r="V211" s="1"/>
  <c r="X211" s="1"/>
  <c r="U206"/>
  <c r="V206" s="1"/>
  <c r="U203"/>
  <c r="V203" s="1"/>
  <c r="X203" s="1"/>
  <c r="U213"/>
  <c r="V213" s="1"/>
  <c r="U209"/>
  <c r="V209" s="1"/>
  <c r="X209" s="1"/>
  <c r="U207"/>
  <c r="V207" s="1"/>
  <c r="U212"/>
  <c r="V212" s="1"/>
  <c r="U208"/>
  <c r="V208" s="1"/>
  <c r="X208" s="1"/>
  <c r="J309"/>
  <c r="K309"/>
  <c r="K238"/>
  <c r="L238" s="1"/>
  <c r="L239" s="1"/>
  <c r="L240" s="1"/>
  <c r="L241" s="1"/>
  <c r="L242" s="1"/>
  <c r="L243" s="1"/>
  <c r="L244" s="1"/>
  <c r="L245" s="1"/>
  <c r="L246" s="1"/>
  <c r="L247" s="1"/>
  <c r="L248" s="1"/>
  <c r="L249" s="1"/>
  <c r="W190"/>
  <c r="W191" s="1"/>
  <c r="W192" s="1"/>
  <c r="W193" s="1"/>
  <c r="W194" s="1"/>
  <c r="W195" s="1"/>
  <c r="W196" s="1"/>
  <c r="W197" s="1"/>
  <c r="W198" s="1"/>
  <c r="W199" s="1"/>
  <c r="W200" s="1"/>
  <c r="W201" s="1"/>
  <c r="K326"/>
  <c r="F326"/>
  <c r="K351" i="3"/>
  <c r="D339" i="10"/>
  <c r="E339" s="1"/>
  <c r="K307"/>
  <c r="F307"/>
  <c r="F325"/>
  <c r="K316"/>
  <c r="F316"/>
  <c r="S289" i="3"/>
  <c r="T289" s="1"/>
  <c r="W289" s="1"/>
  <c r="X289" s="1"/>
  <c r="Y289" s="1"/>
  <c r="Z289" s="1"/>
  <c r="AA238"/>
  <c r="Z238" i="6"/>
  <c r="Y214" i="8"/>
  <c r="AA214"/>
  <c r="D264" i="10"/>
  <c r="E264" s="1"/>
  <c r="L264" i="3"/>
  <c r="P264" s="1"/>
  <c r="R264" s="1"/>
  <c r="T264" s="1"/>
  <c r="W264" s="1"/>
  <c r="X264" s="1"/>
  <c r="Y264" s="1"/>
  <c r="Z264" s="1"/>
  <c r="K276"/>
  <c r="F250" i="10"/>
  <c r="S250" i="3"/>
  <c r="T250" s="1"/>
  <c r="W250" s="1"/>
  <c r="X250" s="1"/>
  <c r="Y250" s="1"/>
  <c r="Z250" s="1"/>
  <c r="J250" i="10"/>
  <c r="Y226" i="6"/>
  <c r="AA226"/>
  <c r="Z226" i="8"/>
  <c r="BB340" i="2"/>
  <c r="BH340" s="1"/>
  <c r="BK340" s="1"/>
  <c r="BA352"/>
  <c r="L339" i="3"/>
  <c r="BC338" i="1"/>
  <c r="BB350"/>
  <c r="R270" i="3"/>
  <c r="T270" s="1"/>
  <c r="W270" s="1"/>
  <c r="X270" s="1"/>
  <c r="Y270" s="1"/>
  <c r="Z270" s="1"/>
  <c r="Q213" i="10"/>
  <c r="R213" s="1"/>
  <c r="Q212"/>
  <c r="R212" s="1"/>
  <c r="N345" i="3"/>
  <c r="O333"/>
  <c r="DB333" s="1"/>
  <c r="P282"/>
  <c r="Q282"/>
  <c r="K306"/>
  <c r="D306" i="10" s="1"/>
  <c r="E306" s="1"/>
  <c r="L294" i="3"/>
  <c r="AA258"/>
  <c r="Z258" i="6"/>
  <c r="P304" i="3"/>
  <c r="Q304"/>
  <c r="Z259" i="8"/>
  <c r="Y259" i="6"/>
  <c r="AA259"/>
  <c r="AX27" i="9"/>
  <c r="R292" i="3"/>
  <c r="T292" s="1"/>
  <c r="W292" s="1"/>
  <c r="X292" s="1"/>
  <c r="Y292" s="1"/>
  <c r="Z292" s="1"/>
  <c r="R283"/>
  <c r="T283" s="1"/>
  <c r="W283" s="1"/>
  <c r="X283" s="1"/>
  <c r="Y283" s="1"/>
  <c r="Z283" s="1"/>
  <c r="AA299"/>
  <c r="L311"/>
  <c r="P311" s="1"/>
  <c r="R311" s="1"/>
  <c r="T311" s="1"/>
  <c r="W311" s="1"/>
  <c r="X311" s="1"/>
  <c r="Y311" s="1"/>
  <c r="Z311" s="1"/>
  <c r="K323"/>
  <c r="D323" i="10" s="1"/>
  <c r="E323" s="1"/>
  <c r="Z246" i="8"/>
  <c r="AA246" i="6"/>
  <c r="Y246"/>
  <c r="P295" i="3"/>
  <c r="Q295"/>
  <c r="K319"/>
  <c r="D319" i="10" s="1"/>
  <c r="E319" s="1"/>
  <c r="L307" i="3"/>
  <c r="L325"/>
  <c r="P325" s="1"/>
  <c r="R325" s="1"/>
  <c r="K337"/>
  <c r="D337" i="10" s="1"/>
  <c r="E337" s="1"/>
  <c r="O324" i="3"/>
  <c r="N336"/>
  <c r="H336" i="10" s="1"/>
  <c r="I336" s="1"/>
  <c r="AA271" i="3"/>
  <c r="Z271" i="6"/>
  <c r="K328" i="3"/>
  <c r="D328" i="10" s="1"/>
  <c r="E328" s="1"/>
  <c r="L316" i="3"/>
  <c r="Y247" i="8"/>
  <c r="AA247"/>
  <c r="N313" i="3"/>
  <c r="H313" i="10" s="1"/>
  <c r="I313" s="1"/>
  <c r="O301" i="3"/>
  <c r="AQ27" i="9"/>
  <c r="AW28"/>
  <c r="AX28" s="1"/>
  <c r="Y291" i="8"/>
  <c r="BK270" i="2"/>
  <c r="Z315" i="6"/>
  <c r="AA315" i="3"/>
  <c r="P317"/>
  <c r="R317" s="1"/>
  <c r="T317" s="1"/>
  <c r="X314"/>
  <c r="Y314" s="1"/>
  <c r="Z314" s="1"/>
  <c r="X327"/>
  <c r="Y327" s="1"/>
  <c r="Z327" s="1"/>
  <c r="AA290" i="6"/>
  <c r="BB330" i="3"/>
  <c r="BF330" s="1"/>
  <c r="BA342"/>
  <c r="Y290" i="6"/>
  <c r="L329" i="3"/>
  <c r="DB329" s="1"/>
  <c r="K341"/>
  <c r="Z224" i="6"/>
  <c r="Z281"/>
  <c r="AA224" i="3"/>
  <c r="AA281"/>
  <c r="AQ24" i="8"/>
  <c r="L326" i="3"/>
  <c r="P326" s="1"/>
  <c r="R326" s="1"/>
  <c r="T326" s="1"/>
  <c r="W326" s="1"/>
  <c r="K338"/>
  <c r="Y212" i="8"/>
  <c r="AA269" i="6"/>
  <c r="Y278" i="8"/>
  <c r="BB324" i="2"/>
  <c r="BH324" s="1"/>
  <c r="BK324" s="1"/>
  <c r="BA336"/>
  <c r="M323"/>
  <c r="Q323" s="1"/>
  <c r="L335"/>
  <c r="AA257" i="8"/>
  <c r="AA302" i="3"/>
  <c r="Y269" i="6"/>
  <c r="BB319" i="3"/>
  <c r="BF319" s="1"/>
  <c r="BG319" s="1"/>
  <c r="BA331"/>
  <c r="Z269" i="8"/>
  <c r="AA269" s="1"/>
  <c r="Z302" i="6"/>
  <c r="X236" i="3"/>
  <c r="Y236" s="1"/>
  <c r="Z236" s="1"/>
  <c r="BB314" i="2"/>
  <c r="BH314" s="1"/>
  <c r="BK314" s="1"/>
  <c r="BA326"/>
  <c r="AY313" i="3"/>
  <c r="BC313" s="1"/>
  <c r="BE313" s="1"/>
  <c r="BG313" s="1"/>
  <c r="AX325"/>
  <c r="BB313" i="2"/>
  <c r="BH313" s="1"/>
  <c r="BK313" s="1"/>
  <c r="BA325"/>
  <c r="X293" i="3"/>
  <c r="Y293" s="1"/>
  <c r="Z293" s="1"/>
  <c r="P311" i="2"/>
  <c r="R311" s="1"/>
  <c r="S311" s="1"/>
  <c r="O323"/>
  <c r="BK280" i="1"/>
  <c r="BG292"/>
  <c r="BJ292" s="1"/>
  <c r="BF304"/>
  <c r="BC292"/>
  <c r="BI292" s="1"/>
  <c r="BB304"/>
  <c r="BF308" i="2"/>
  <c r="BI308" s="1"/>
  <c r="BK308" s="1"/>
  <c r="BE320"/>
  <c r="AT29"/>
  <c r="BC289" i="1"/>
  <c r="BI289" s="1"/>
  <c r="BK289" s="1"/>
  <c r="BB301"/>
  <c r="BB303"/>
  <c r="BC291"/>
  <c r="BI291" s="1"/>
  <c r="BK279"/>
  <c r="BC397" i="3"/>
  <c r="BC301"/>
  <c r="BE301" s="1"/>
  <c r="BG301" s="1"/>
  <c r="BH301" i="2"/>
  <c r="BK301" s="1"/>
  <c r="BF388"/>
  <c r="BF303" i="1"/>
  <c r="BG291"/>
  <c r="BJ291" s="1"/>
  <c r="BB308"/>
  <c r="BC296"/>
  <c r="BI296" s="1"/>
  <c r="BK296" s="1"/>
  <c r="R305" i="3"/>
  <c r="T305" s="1"/>
  <c r="W305" s="1"/>
  <c r="AT28" i="1"/>
  <c r="AO28"/>
  <c r="K284" i="3"/>
  <c r="D284" i="10" s="1"/>
  <c r="E284" s="1"/>
  <c r="L272" i="3"/>
  <c r="AS30" i="2"/>
  <c r="AN30"/>
  <c r="P260" i="3"/>
  <c r="Q260"/>
  <c r="O292" i="1"/>
  <c r="R292" s="1"/>
  <c r="S292" s="1"/>
  <c r="N304"/>
  <c r="R248" i="3"/>
  <c r="T248" s="1"/>
  <c r="W248" s="1"/>
  <c r="BB297" i="1"/>
  <c r="BC285"/>
  <c r="BI285" s="1"/>
  <c r="BK285" s="1"/>
  <c r="AY297" i="3"/>
  <c r="AX309"/>
  <c r="BH302" i="2"/>
  <c r="BK302" s="1"/>
  <c r="BF389"/>
  <c r="BC270" i="3"/>
  <c r="BD270"/>
  <c r="BE258"/>
  <c r="BG258" s="1"/>
  <c r="BG300" i="1"/>
  <c r="BJ300" s="1"/>
  <c r="BK300" s="1"/>
  <c r="BF312"/>
  <c r="BB282" i="2"/>
  <c r="BH282" s="1"/>
  <c r="BA294"/>
  <c r="BB285" i="3"/>
  <c r="BF285" s="1"/>
  <c r="BG285" s="1"/>
  <c r="BA297"/>
  <c r="BG286" i="1"/>
  <c r="BJ286" s="1"/>
  <c r="BK286" s="1"/>
  <c r="BF298"/>
  <c r="BE294" i="2"/>
  <c r="BF282"/>
  <c r="BI282" s="1"/>
  <c r="AY282" i="3"/>
  <c r="AX294"/>
  <c r="Y287" i="6" l="1"/>
  <c r="Z287" i="8"/>
  <c r="AA287" s="1"/>
  <c r="AA275"/>
  <c r="AA287" i="6"/>
  <c r="AH280" i="1"/>
  <c r="X207" i="10"/>
  <c r="X206"/>
  <c r="S206"/>
  <c r="S207" s="1"/>
  <c r="S208" s="1"/>
  <c r="S209" s="1"/>
  <c r="S210" s="1"/>
  <c r="S211" s="1"/>
  <c r="S212" s="1"/>
  <c r="S213" s="1"/>
  <c r="S214" s="1"/>
  <c r="AF287" i="2"/>
  <c r="Z268" i="8"/>
  <c r="Y268" s="1"/>
  <c r="Y256"/>
  <c r="AA268" i="6"/>
  <c r="AA299" i="2"/>
  <c r="Y297" i="8"/>
  <c r="AA290"/>
  <c r="Y191" i="10"/>
  <c r="Q329" i="3"/>
  <c r="AA268" i="9"/>
  <c r="Y268" i="6"/>
  <c r="AU27" i="1"/>
  <c r="W299" i="2"/>
  <c r="X299" s="1"/>
  <c r="Z280" i="9"/>
  <c r="Y280" s="1"/>
  <c r="AG280" i="1"/>
  <c r="AF280" s="1"/>
  <c r="Z289" i="6"/>
  <c r="Z299"/>
  <c r="W280" i="1"/>
  <c r="X280" s="1"/>
  <c r="Z280" i="6"/>
  <c r="AA280" i="1"/>
  <c r="AG299" i="2"/>
  <c r="AF299" s="1"/>
  <c r="BB357"/>
  <c r="BH357" s="1"/>
  <c r="BK357" s="1"/>
  <c r="BA369"/>
  <c r="BB369" s="1"/>
  <c r="BH369" s="1"/>
  <c r="BK369" s="1"/>
  <c r="Q215" i="10"/>
  <c r="R215" s="1"/>
  <c r="K363" i="3"/>
  <c r="P329"/>
  <c r="R329" s="1"/>
  <c r="T329" s="1"/>
  <c r="P339"/>
  <c r="R339" s="1"/>
  <c r="T339" s="1"/>
  <c r="DB339"/>
  <c r="Z292" i="1"/>
  <c r="Z311" i="2"/>
  <c r="X213" i="10"/>
  <c r="BB352" i="2"/>
  <c r="BH352" s="1"/>
  <c r="BK352" s="1"/>
  <c r="BA364"/>
  <c r="BB364" s="1"/>
  <c r="BH364" s="1"/>
  <c r="BK364" s="1"/>
  <c r="Z277" i="8"/>
  <c r="Y277" s="1"/>
  <c r="Z309"/>
  <c r="Y309" s="1"/>
  <c r="Y192" i="10"/>
  <c r="Y193" s="1"/>
  <c r="Y194" s="1"/>
  <c r="Y195" s="1"/>
  <c r="Y196" s="1"/>
  <c r="Y197" s="1"/>
  <c r="Y198" s="1"/>
  <c r="Y199" s="1"/>
  <c r="Y200" s="1"/>
  <c r="Y201" s="1"/>
  <c r="Y202" s="1"/>
  <c r="Y203" s="1"/>
  <c r="Y204" s="1"/>
  <c r="Y205" s="1"/>
  <c r="L363" i="3"/>
  <c r="BC350" i="1"/>
  <c r="BI350" s="1"/>
  <c r="BK350" s="1"/>
  <c r="BB362"/>
  <c r="Q220" i="10"/>
  <c r="R220" s="1"/>
  <c r="Q223"/>
  <c r="R223" s="1"/>
  <c r="AA277" i="6"/>
  <c r="AA321" i="3"/>
  <c r="Y265" i="8"/>
  <c r="AA289" i="3"/>
  <c r="Y303" i="8"/>
  <c r="H345" i="10"/>
  <c r="I345" s="1"/>
  <c r="N357" i="3"/>
  <c r="N369" s="1"/>
  <c r="Q219" i="10"/>
  <c r="R219" s="1"/>
  <c r="Q221"/>
  <c r="R221" s="1"/>
  <c r="Q216"/>
  <c r="R216" s="1"/>
  <c r="Q217"/>
  <c r="R217" s="1"/>
  <c r="Q218"/>
  <c r="R218" s="1"/>
  <c r="Q222"/>
  <c r="R222" s="1"/>
  <c r="Y309" i="6"/>
  <c r="Z321"/>
  <c r="BB342" i="3"/>
  <c r="BF342" s="1"/>
  <c r="BA354"/>
  <c r="AQ28" i="9"/>
  <c r="Y277" i="6"/>
  <c r="AA309"/>
  <c r="D341" i="10"/>
  <c r="E341" s="1"/>
  <c r="K341" s="1"/>
  <c r="K353" i="3"/>
  <c r="W202" i="10"/>
  <c r="W203" s="1"/>
  <c r="W204" s="1"/>
  <c r="W205" s="1"/>
  <c r="W206" s="1"/>
  <c r="W207" s="1"/>
  <c r="W208" s="1"/>
  <c r="W209" s="1"/>
  <c r="W210" s="1"/>
  <c r="W211" s="1"/>
  <c r="W212" s="1"/>
  <c r="W213" s="1"/>
  <c r="X212"/>
  <c r="K284"/>
  <c r="F284"/>
  <c r="S301" i="3"/>
  <c r="T301" s="1"/>
  <c r="W301" s="1"/>
  <c r="X301" s="1"/>
  <c r="Y301" s="1"/>
  <c r="Z301" s="1"/>
  <c r="S324"/>
  <c r="J324" i="10"/>
  <c r="AA226" i="8"/>
  <c r="Y226"/>
  <c r="AA264" i="3"/>
  <c r="Z264" i="6"/>
  <c r="Z238" i="8"/>
  <c r="Y238" i="6"/>
  <c r="AA238"/>
  <c r="L351" i="3"/>
  <c r="D351" i="10"/>
  <c r="E351" s="1"/>
  <c r="U215"/>
  <c r="V215" s="1"/>
  <c r="X215" s="1"/>
  <c r="H274"/>
  <c r="I274" s="1"/>
  <c r="N286" i="3"/>
  <c r="O274"/>
  <c r="U222" i="10"/>
  <c r="V222" s="1"/>
  <c r="U217"/>
  <c r="V217" s="1"/>
  <c r="U221"/>
  <c r="V221" s="1"/>
  <c r="U218"/>
  <c r="V218" s="1"/>
  <c r="U216"/>
  <c r="V216" s="1"/>
  <c r="U225"/>
  <c r="V225" s="1"/>
  <c r="U223"/>
  <c r="V223" s="1"/>
  <c r="U220"/>
  <c r="V220" s="1"/>
  <c r="U224"/>
  <c r="V224" s="1"/>
  <c r="U219"/>
  <c r="V219" s="1"/>
  <c r="U214"/>
  <c r="V214" s="1"/>
  <c r="X214" s="1"/>
  <c r="F262"/>
  <c r="AA252" i="6"/>
  <c r="Z252" i="8"/>
  <c r="Y252" i="6"/>
  <c r="K250" i="10"/>
  <c r="L250" s="1"/>
  <c r="L251" s="1"/>
  <c r="L252" s="1"/>
  <c r="L253" s="1"/>
  <c r="L254" s="1"/>
  <c r="L255" s="1"/>
  <c r="L256" s="1"/>
  <c r="L257" s="1"/>
  <c r="L258" s="1"/>
  <c r="L259" s="1"/>
  <c r="L260" s="1"/>
  <c r="L261" s="1"/>
  <c r="K350" i="3"/>
  <c r="D338" i="10"/>
  <c r="E338" s="1"/>
  <c r="K328"/>
  <c r="F328"/>
  <c r="F337"/>
  <c r="K319"/>
  <c r="F319"/>
  <c r="K323"/>
  <c r="F323"/>
  <c r="K306"/>
  <c r="F306"/>
  <c r="S333" i="3"/>
  <c r="T333" s="1"/>
  <c r="AA250"/>
  <c r="Z250" i="6"/>
  <c r="D276" i="10"/>
  <c r="E276" s="1"/>
  <c r="K288" i="3"/>
  <c r="L276"/>
  <c r="P276" s="1"/>
  <c r="R276" s="1"/>
  <c r="T276" s="1"/>
  <c r="W276" s="1"/>
  <c r="X276" s="1"/>
  <c r="Y276" s="1"/>
  <c r="Z276" s="1"/>
  <c r="K264" i="10"/>
  <c r="F264"/>
  <c r="J289"/>
  <c r="K289"/>
  <c r="K339"/>
  <c r="F339"/>
  <c r="S262" i="3"/>
  <c r="T262" s="1"/>
  <c r="W262" s="1"/>
  <c r="X262" s="1"/>
  <c r="Y262" s="1"/>
  <c r="Z262" s="1"/>
  <c r="J262" i="10"/>
  <c r="D274"/>
  <c r="E274" s="1"/>
  <c r="L274" i="3"/>
  <c r="P274" s="1"/>
  <c r="R274" s="1"/>
  <c r="K286"/>
  <c r="Q235" i="10" s="1"/>
  <c r="R235" s="1"/>
  <c r="Y240" i="8"/>
  <c r="AA240"/>
  <c r="J321" i="10"/>
  <c r="K321"/>
  <c r="L341" i="3"/>
  <c r="Q341" s="1"/>
  <c r="AA270"/>
  <c r="Z270" i="6"/>
  <c r="P316" i="3"/>
  <c r="Q316"/>
  <c r="N348"/>
  <c r="O336"/>
  <c r="K331"/>
  <c r="D331" i="10" s="1"/>
  <c r="E331" s="1"/>
  <c r="L319" i="3"/>
  <c r="AA246" i="8"/>
  <c r="Y246"/>
  <c r="AA311" i="3"/>
  <c r="AA259" i="8"/>
  <c r="Y259"/>
  <c r="O345" i="3"/>
  <c r="DB345" s="1"/>
  <c r="R295"/>
  <c r="T295" s="1"/>
  <c r="W295" s="1"/>
  <c r="X295" s="1"/>
  <c r="Y295" s="1"/>
  <c r="Z295" s="1"/>
  <c r="R304"/>
  <c r="T304" s="1"/>
  <c r="W304" s="1"/>
  <c r="X304" s="1"/>
  <c r="Y304" s="1"/>
  <c r="Z304" s="1"/>
  <c r="R282"/>
  <c r="T282" s="1"/>
  <c r="W282" s="1"/>
  <c r="X282" s="1"/>
  <c r="Y282" s="1"/>
  <c r="Z282" s="1"/>
  <c r="Q224" i="10"/>
  <c r="R224" s="1"/>
  <c r="Q225"/>
  <c r="R225" s="1"/>
  <c r="N325" i="3"/>
  <c r="H325" i="10" s="1"/>
  <c r="I325" s="1"/>
  <c r="O313" i="3"/>
  <c r="L328"/>
  <c r="K340"/>
  <c r="Z271" i="8"/>
  <c r="AA271" i="6"/>
  <c r="Y271"/>
  <c r="K349" i="3"/>
  <c r="L337"/>
  <c r="P307"/>
  <c r="Q307"/>
  <c r="L323"/>
  <c r="P323" s="1"/>
  <c r="R323" s="1"/>
  <c r="T323" s="1"/>
  <c r="W323" s="1"/>
  <c r="X323" s="1"/>
  <c r="Y323" s="1"/>
  <c r="Z323" s="1"/>
  <c r="K335"/>
  <c r="D335" i="10" s="1"/>
  <c r="E335" s="1"/>
  <c r="AA283" i="3"/>
  <c r="Z283" i="6"/>
  <c r="AA292" i="3"/>
  <c r="AA258" i="6"/>
  <c r="Y258"/>
  <c r="Z258" i="8"/>
  <c r="P294" i="3"/>
  <c r="Q294"/>
  <c r="K318"/>
  <c r="D318" i="10" s="1"/>
  <c r="E318" s="1"/>
  <c r="L306" i="3"/>
  <c r="AW29" i="9"/>
  <c r="AX29" s="1"/>
  <c r="L338" i="3"/>
  <c r="BB336" i="2"/>
  <c r="BH336" s="1"/>
  <c r="BK336" s="1"/>
  <c r="BA348"/>
  <c r="M335"/>
  <c r="L347"/>
  <c r="Y315" i="6"/>
  <c r="AW24" i="8"/>
  <c r="AX24" s="1"/>
  <c r="AA314" i="3"/>
  <c r="Z314" i="6"/>
  <c r="Z315" i="8"/>
  <c r="AA315" i="6"/>
  <c r="Z327"/>
  <c r="AA327" i="3"/>
  <c r="X326"/>
  <c r="Y326" s="1"/>
  <c r="Z326" s="1"/>
  <c r="Y269" i="8"/>
  <c r="Z236" i="6"/>
  <c r="BB331" i="3"/>
  <c r="BF331" s="1"/>
  <c r="BG331" s="1"/>
  <c r="BA343"/>
  <c r="AA236"/>
  <c r="AA281" i="6"/>
  <c r="Y224"/>
  <c r="Z281" i="8"/>
  <c r="AA281" s="1"/>
  <c r="Z224"/>
  <c r="AA224" s="1"/>
  <c r="Y281" i="6"/>
  <c r="AA224"/>
  <c r="BB326" i="2"/>
  <c r="BH326" s="1"/>
  <c r="BK326" s="1"/>
  <c r="BA338"/>
  <c r="BB325"/>
  <c r="BH325" s="1"/>
  <c r="BK325" s="1"/>
  <c r="BA337"/>
  <c r="AY325" i="3"/>
  <c r="BC325" s="1"/>
  <c r="BE325" s="1"/>
  <c r="BG325" s="1"/>
  <c r="AX337"/>
  <c r="AA302" i="6"/>
  <c r="BK292" i="1"/>
  <c r="P323" i="2"/>
  <c r="R323" s="1"/>
  <c r="S323" s="1"/>
  <c r="O335"/>
  <c r="BF320"/>
  <c r="BI320" s="1"/>
  <c r="BK320" s="1"/>
  <c r="BE332"/>
  <c r="Y302" i="6"/>
  <c r="Z302" i="8"/>
  <c r="AA302" s="1"/>
  <c r="X248" i="3"/>
  <c r="Y248" s="1"/>
  <c r="Z248" s="1"/>
  <c r="X305"/>
  <c r="Y305" s="1"/>
  <c r="Z305" s="1"/>
  <c r="Z293" i="6"/>
  <c r="AA293" i="3"/>
  <c r="BG312" i="1"/>
  <c r="BJ312" s="1"/>
  <c r="BK312" s="1"/>
  <c r="BF324"/>
  <c r="AY309" i="3"/>
  <c r="BC309" s="1"/>
  <c r="BE309" s="1"/>
  <c r="AX321"/>
  <c r="BC304" i="1"/>
  <c r="BI304" s="1"/>
  <c r="BB316"/>
  <c r="BG304"/>
  <c r="BJ304" s="1"/>
  <c r="BF316"/>
  <c r="BC308"/>
  <c r="BI308" s="1"/>
  <c r="BK308" s="1"/>
  <c r="BB320"/>
  <c r="AT30" i="2"/>
  <c r="AU28" i="1"/>
  <c r="BB315"/>
  <c r="BC303"/>
  <c r="BI303" s="1"/>
  <c r="BK291"/>
  <c r="BF315"/>
  <c r="BG303"/>
  <c r="BJ303" s="1"/>
  <c r="BB313"/>
  <c r="BC301"/>
  <c r="BI301" s="1"/>
  <c r="BK301" s="1"/>
  <c r="R260" i="3"/>
  <c r="T260" s="1"/>
  <c r="W260" s="1"/>
  <c r="N316" i="1"/>
  <c r="O304"/>
  <c r="R304" s="1"/>
  <c r="S304" s="1"/>
  <c r="AT29"/>
  <c r="AO29"/>
  <c r="K296" i="3"/>
  <c r="D296" i="10" s="1"/>
  <c r="E296" s="1"/>
  <c r="L284" i="3"/>
  <c r="P272"/>
  <c r="Q272"/>
  <c r="AN31" i="2"/>
  <c r="AS31"/>
  <c r="BC297" i="1"/>
  <c r="BI297" s="1"/>
  <c r="BK297" s="1"/>
  <c r="BB309"/>
  <c r="BK282" i="2"/>
  <c r="BC282" i="3"/>
  <c r="BD282"/>
  <c r="AY294"/>
  <c r="AX306"/>
  <c r="BG298" i="1"/>
  <c r="BJ298" s="1"/>
  <c r="BK298" s="1"/>
  <c r="BF310"/>
  <c r="BA309" i="3"/>
  <c r="BB297"/>
  <c r="BF297" s="1"/>
  <c r="BB294" i="2"/>
  <c r="BA306"/>
  <c r="BE270" i="3"/>
  <c r="BG270" s="1"/>
  <c r="BF294" i="2"/>
  <c r="BI294" s="1"/>
  <c r="BE306"/>
  <c r="BC297" i="3"/>
  <c r="BE297" s="1"/>
  <c r="Y287" i="8" l="1"/>
  <c r="D363" i="10"/>
  <c r="E363" s="1"/>
  <c r="K375" i="3"/>
  <c r="L375" s="1"/>
  <c r="P375" s="1"/>
  <c r="R375" s="1"/>
  <c r="T375" s="1"/>
  <c r="Y206" i="10"/>
  <c r="Y207" s="1"/>
  <c r="Y208" s="1"/>
  <c r="Y209" s="1"/>
  <c r="Y210" s="1"/>
  <c r="Y211" s="1"/>
  <c r="AA289" i="6"/>
  <c r="S215" i="10"/>
  <c r="BC362" i="1"/>
  <c r="BB374"/>
  <c r="BC374" s="1"/>
  <c r="BI374" s="1"/>
  <c r="BK374" s="1"/>
  <c r="AA268" i="8"/>
  <c r="Y289" i="6"/>
  <c r="W311" i="2"/>
  <c r="X311" s="1"/>
  <c r="Z289" i="8"/>
  <c r="Y289" s="1"/>
  <c r="Z311" i="6"/>
  <c r="W292" i="1"/>
  <c r="X292" s="1"/>
  <c r="Z299" i="8"/>
  <c r="AA299" s="1"/>
  <c r="Y280" i="6"/>
  <c r="AH299" i="2"/>
  <c r="AA280" i="6"/>
  <c r="AG311" i="2"/>
  <c r="AF311" s="1"/>
  <c r="AA280" i="9"/>
  <c r="AA277" i="8"/>
  <c r="BG297" i="3"/>
  <c r="Z280" i="8"/>
  <c r="Y280" s="1"/>
  <c r="AA299" i="6"/>
  <c r="AH292" i="1"/>
  <c r="Y299" i="6"/>
  <c r="O369" i="3"/>
  <c r="H369" i="10"/>
  <c r="I369" s="1"/>
  <c r="X225"/>
  <c r="AA311" i="2"/>
  <c r="Z292" i="6"/>
  <c r="AA292" i="1"/>
  <c r="AG292"/>
  <c r="AF292" s="1"/>
  <c r="Z292" i="9"/>
  <c r="AA292" s="1"/>
  <c r="AA309" i="8"/>
  <c r="BB354" i="3"/>
  <c r="BF354" s="1"/>
  <c r="BA366"/>
  <c r="BB366" s="1"/>
  <c r="BF366" s="1"/>
  <c r="K361"/>
  <c r="K362"/>
  <c r="K365"/>
  <c r="D365" i="10" s="1"/>
  <c r="E365" s="1"/>
  <c r="N360" i="3"/>
  <c r="Z301" i="6"/>
  <c r="Q335" i="2"/>
  <c r="P341" i="3"/>
  <c r="R341" s="1"/>
  <c r="T341" s="1"/>
  <c r="DB341"/>
  <c r="P351"/>
  <c r="R351" s="1"/>
  <c r="T351" s="1"/>
  <c r="DB351"/>
  <c r="P363"/>
  <c r="R363" s="1"/>
  <c r="T363" s="1"/>
  <c r="DB363"/>
  <c r="P338"/>
  <c r="R338" s="1"/>
  <c r="T338" s="1"/>
  <c r="DB338"/>
  <c r="P337"/>
  <c r="R337" s="1"/>
  <c r="Z323" i="2"/>
  <c r="Z304" i="1"/>
  <c r="X224" i="10"/>
  <c r="F363"/>
  <c r="K363"/>
  <c r="Z236" i="8"/>
  <c r="Y236" s="1"/>
  <c r="Q227" i="10"/>
  <c r="R227" s="1"/>
  <c r="Q231"/>
  <c r="R231" s="1"/>
  <c r="X223"/>
  <c r="X217"/>
  <c r="X220"/>
  <c r="Q228"/>
  <c r="R228" s="1"/>
  <c r="Q232"/>
  <c r="R232" s="1"/>
  <c r="F341"/>
  <c r="BB348" i="2"/>
  <c r="BH348" s="1"/>
  <c r="BK348" s="1"/>
  <c r="BA360"/>
  <c r="Z270" i="8"/>
  <c r="Y270" s="1"/>
  <c r="Z321"/>
  <c r="Y321" s="1"/>
  <c r="AA301" i="3"/>
  <c r="O357"/>
  <c r="H357" i="10"/>
  <c r="I357" s="1"/>
  <c r="X216"/>
  <c r="Y270" i="6"/>
  <c r="M347" i="2"/>
  <c r="L359"/>
  <c r="AA236" i="6"/>
  <c r="Y321"/>
  <c r="AA321"/>
  <c r="S216" i="10"/>
  <c r="S217" s="1"/>
  <c r="S218" s="1"/>
  <c r="S219" s="1"/>
  <c r="S220" s="1"/>
  <c r="S221" s="1"/>
  <c r="S222" s="1"/>
  <c r="S223" s="1"/>
  <c r="S224" s="1"/>
  <c r="S225" s="1"/>
  <c r="X219"/>
  <c r="X218"/>
  <c r="Q230"/>
  <c r="R230" s="1"/>
  <c r="X221"/>
  <c r="Q234"/>
  <c r="R234" s="1"/>
  <c r="X222"/>
  <c r="BB343" i="3"/>
  <c r="BF343" s="1"/>
  <c r="BG343" s="1"/>
  <c r="BA355"/>
  <c r="AA270" i="6"/>
  <c r="D353" i="10"/>
  <c r="E353" s="1"/>
  <c r="L353" i="3"/>
  <c r="DB353" s="1"/>
  <c r="Y212" i="10"/>
  <c r="Y213" s="1"/>
  <c r="Y214" s="1"/>
  <c r="Y215" s="1"/>
  <c r="Q226"/>
  <c r="R226" s="1"/>
  <c r="Q229"/>
  <c r="R229" s="1"/>
  <c r="Q233"/>
  <c r="R233" s="1"/>
  <c r="Z262" i="6"/>
  <c r="AA262" i="3"/>
  <c r="K296" i="10"/>
  <c r="F296"/>
  <c r="K318"/>
  <c r="F318"/>
  <c r="K335"/>
  <c r="F335"/>
  <c r="K352" i="3"/>
  <c r="D340" i="10"/>
  <c r="E340" s="1"/>
  <c r="S345" i="3"/>
  <c r="T345" s="1"/>
  <c r="S336"/>
  <c r="J336" i="10"/>
  <c r="D286"/>
  <c r="E286" s="1"/>
  <c r="K298" i="3"/>
  <c r="Q239" i="10" s="1"/>
  <c r="R239" s="1"/>
  <c r="L286" i="3"/>
  <c r="P286" s="1"/>
  <c r="R286" s="1"/>
  <c r="F274" i="10"/>
  <c r="D288"/>
  <c r="E288" s="1"/>
  <c r="K300" i="3"/>
  <c r="L288"/>
  <c r="P288" s="1"/>
  <c r="R288" s="1"/>
  <c r="T288" s="1"/>
  <c r="W288" s="1"/>
  <c r="X288" s="1"/>
  <c r="Y288" s="1"/>
  <c r="Z288" s="1"/>
  <c r="Y250" i="6"/>
  <c r="AA250"/>
  <c r="Z250" i="8"/>
  <c r="L350" i="3"/>
  <c r="D350" i="10"/>
  <c r="E350" s="1"/>
  <c r="Y252" i="8"/>
  <c r="AA252"/>
  <c r="H286" i="10"/>
  <c r="I286" s="1"/>
  <c r="U226"/>
  <c r="V226" s="1"/>
  <c r="U228"/>
  <c r="V228" s="1"/>
  <c r="U227"/>
  <c r="V227" s="1"/>
  <c r="N298" i="3"/>
  <c r="O286"/>
  <c r="U233" i="10"/>
  <c r="V233" s="1"/>
  <c r="U230"/>
  <c r="V230" s="1"/>
  <c r="U234"/>
  <c r="V234" s="1"/>
  <c r="X234" s="1"/>
  <c r="U229"/>
  <c r="V229" s="1"/>
  <c r="U237"/>
  <c r="V237" s="1"/>
  <c r="U235"/>
  <c r="V235" s="1"/>
  <c r="X235" s="1"/>
  <c r="U231"/>
  <c r="V231" s="1"/>
  <c r="U236"/>
  <c r="V236" s="1"/>
  <c r="U232"/>
  <c r="V232" s="1"/>
  <c r="Z264" i="8"/>
  <c r="AA264" i="6"/>
  <c r="Y264"/>
  <c r="W214" i="10"/>
  <c r="W215" s="1"/>
  <c r="W216" s="1"/>
  <c r="W217" s="1"/>
  <c r="W218" s="1"/>
  <c r="W219" s="1"/>
  <c r="W220" s="1"/>
  <c r="W221" s="1"/>
  <c r="W222" s="1"/>
  <c r="W223" s="1"/>
  <c r="W224" s="1"/>
  <c r="W225" s="1"/>
  <c r="L349" i="3"/>
  <c r="D349" i="10"/>
  <c r="E349" s="1"/>
  <c r="S313" i="3"/>
  <c r="T313" s="1"/>
  <c r="W313" s="1"/>
  <c r="X313" s="1"/>
  <c r="Y313" s="1"/>
  <c r="Z313" s="1"/>
  <c r="K331" i="10"/>
  <c r="F331"/>
  <c r="O348" i="3"/>
  <c r="H348" i="10"/>
  <c r="I348" s="1"/>
  <c r="Z276" i="6"/>
  <c r="AA276" i="3"/>
  <c r="K276" i="10"/>
  <c r="F276"/>
  <c r="J333"/>
  <c r="K333"/>
  <c r="K338"/>
  <c r="F338"/>
  <c r="S274" i="3"/>
  <c r="T274" s="1"/>
  <c r="W274" s="1"/>
  <c r="X274" s="1"/>
  <c r="Y274" s="1"/>
  <c r="Z274" s="1"/>
  <c r="J274" i="10"/>
  <c r="K351"/>
  <c r="F351"/>
  <c r="AA238" i="8"/>
  <c r="Y238"/>
  <c r="J301" i="10"/>
  <c r="K301"/>
  <c r="K262"/>
  <c r="L262" s="1"/>
  <c r="L263" s="1"/>
  <c r="L264" s="1"/>
  <c r="L265" s="1"/>
  <c r="L266" s="1"/>
  <c r="L267" s="1"/>
  <c r="L268" s="1"/>
  <c r="L269" s="1"/>
  <c r="L270" s="1"/>
  <c r="L271" s="1"/>
  <c r="L272" s="1"/>
  <c r="L273" s="1"/>
  <c r="R316" i="3"/>
  <c r="T316" s="1"/>
  <c r="W316" s="1"/>
  <c r="X316" s="1"/>
  <c r="Y316" s="1"/>
  <c r="Z316" s="1"/>
  <c r="BB338" i="2"/>
  <c r="BH338" s="1"/>
  <c r="BK338" s="1"/>
  <c r="BA350"/>
  <c r="L340" i="3"/>
  <c r="AQ29" i="9"/>
  <c r="R307" i="3"/>
  <c r="T307" s="1"/>
  <c r="W307" s="1"/>
  <c r="X307" s="1"/>
  <c r="Y307" s="1"/>
  <c r="Z307" s="1"/>
  <c r="Q237" i="10"/>
  <c r="R237" s="1"/>
  <c r="Q236"/>
  <c r="R236" s="1"/>
  <c r="L318" i="3"/>
  <c r="K330"/>
  <c r="D330" i="10" s="1"/>
  <c r="E330" s="1"/>
  <c r="AA258" i="8"/>
  <c r="Y258"/>
  <c r="Z283"/>
  <c r="Y283" i="6"/>
  <c r="AA283"/>
  <c r="AA323" i="3"/>
  <c r="AA271" i="8"/>
  <c r="Y271"/>
  <c r="O325" i="3"/>
  <c r="N337"/>
  <c r="H337" i="10" s="1"/>
  <c r="I337" s="1"/>
  <c r="AA304" i="3"/>
  <c r="AA295"/>
  <c r="Z295" i="6"/>
  <c r="Q319" i="3"/>
  <c r="P319"/>
  <c r="R294"/>
  <c r="T294" s="1"/>
  <c r="W294" s="1"/>
  <c r="X294" s="1"/>
  <c r="Y294" s="1"/>
  <c r="Z294" s="1"/>
  <c r="Q306"/>
  <c r="P306"/>
  <c r="L335"/>
  <c r="K347"/>
  <c r="Q328"/>
  <c r="P328"/>
  <c r="Z282" i="6"/>
  <c r="AA282" i="3"/>
  <c r="K343"/>
  <c r="L331"/>
  <c r="DB331" s="1"/>
  <c r="AY337"/>
  <c r="BC337" s="1"/>
  <c r="BE337" s="1"/>
  <c r="BG337" s="1"/>
  <c r="AX349"/>
  <c r="BB337" i="2"/>
  <c r="BH337" s="1"/>
  <c r="BK337" s="1"/>
  <c r="BA349"/>
  <c r="AW30" i="9"/>
  <c r="AX30" s="1"/>
  <c r="P335" i="2"/>
  <c r="R335" s="1"/>
  <c r="O347"/>
  <c r="AA326" i="3"/>
  <c r="Y314" i="6"/>
  <c r="AA314"/>
  <c r="Z314" i="8"/>
  <c r="AA314" s="1"/>
  <c r="Y236" i="6"/>
  <c r="AA315" i="8"/>
  <c r="Y315"/>
  <c r="Y224"/>
  <c r="AA327" i="6"/>
  <c r="Y327"/>
  <c r="Z327" i="8"/>
  <c r="Z326" i="6"/>
  <c r="Y302" i="8"/>
  <c r="Y281"/>
  <c r="BF332" i="2"/>
  <c r="BI332" s="1"/>
  <c r="BK332" s="1"/>
  <c r="BE344"/>
  <c r="AS32"/>
  <c r="BG324" i="1"/>
  <c r="BJ324" s="1"/>
  <c r="BK324" s="1"/>
  <c r="BF336"/>
  <c r="Z248" i="6"/>
  <c r="AY321" i="3"/>
  <c r="BC321" s="1"/>
  <c r="BE321" s="1"/>
  <c r="AX333"/>
  <c r="BC320" i="1"/>
  <c r="BI320" s="1"/>
  <c r="BK320" s="1"/>
  <c r="BB332"/>
  <c r="AA248" i="3"/>
  <c r="Y293" i="6"/>
  <c r="Z305"/>
  <c r="AA305" i="3"/>
  <c r="O316" i="1"/>
  <c r="R316" s="1"/>
  <c r="S316" s="1"/>
  <c r="N328"/>
  <c r="BG316"/>
  <c r="BJ316" s="1"/>
  <c r="BF328"/>
  <c r="BC316"/>
  <c r="BI316" s="1"/>
  <c r="BB328"/>
  <c r="X260" i="3"/>
  <c r="Y260" s="1"/>
  <c r="Z260" s="1"/>
  <c r="BG315" i="1"/>
  <c r="BJ315" s="1"/>
  <c r="BF327"/>
  <c r="BC315"/>
  <c r="BI315" s="1"/>
  <c r="BB327"/>
  <c r="AA293" i="6"/>
  <c r="BC313" i="1"/>
  <c r="BI313" s="1"/>
  <c r="BK313" s="1"/>
  <c r="BB325"/>
  <c r="Z293" i="8"/>
  <c r="BG310" i="1"/>
  <c r="BJ310" s="1"/>
  <c r="BK310" s="1"/>
  <c r="BF322"/>
  <c r="BB309" i="3"/>
  <c r="BF309" s="1"/>
  <c r="BG309" s="1"/>
  <c r="BA321"/>
  <c r="BC309" i="1"/>
  <c r="BI309" s="1"/>
  <c r="BK309" s="1"/>
  <c r="BB321"/>
  <c r="BK304"/>
  <c r="BC393" i="3"/>
  <c r="R272"/>
  <c r="T272" s="1"/>
  <c r="W272" s="1"/>
  <c r="AT31" i="2"/>
  <c r="AU29" i="1"/>
  <c r="BK303"/>
  <c r="P284" i="3"/>
  <c r="Q284"/>
  <c r="AT30" i="1"/>
  <c r="AO30"/>
  <c r="K308" i="3"/>
  <c r="D308" i="10" s="1"/>
  <c r="E308" s="1"/>
  <c r="L296" i="3"/>
  <c r="BE282"/>
  <c r="BG282" s="1"/>
  <c r="BA318" i="2"/>
  <c r="BB306"/>
  <c r="BH306" s="1"/>
  <c r="AX318" i="3"/>
  <c r="AY306"/>
  <c r="BE318" i="2"/>
  <c r="BF306"/>
  <c r="BI306" s="1"/>
  <c r="BH294"/>
  <c r="BK294" s="1"/>
  <c r="BF381"/>
  <c r="BC294" i="3"/>
  <c r="BD294"/>
  <c r="BC390"/>
  <c r="AA289" i="8" l="1"/>
  <c r="AH311" i="2"/>
  <c r="L362" i="3"/>
  <c r="P362" s="1"/>
  <c r="R362" s="1"/>
  <c r="T362" s="1"/>
  <c r="K374"/>
  <c r="L374" s="1"/>
  <c r="P374" s="1"/>
  <c r="R374" s="1"/>
  <c r="T374" s="1"/>
  <c r="Y301" i="6"/>
  <c r="Z311" i="8"/>
  <c r="AA311" s="1"/>
  <c r="AA304" i="1"/>
  <c r="AA292" i="6"/>
  <c r="Y299" i="8"/>
  <c r="AG323" i="2"/>
  <c r="AF323" s="1"/>
  <c r="D361" i="10"/>
  <c r="E361" s="1"/>
  <c r="F361" s="1"/>
  <c r="K373" i="3"/>
  <c r="L373" s="1"/>
  <c r="P373" s="1"/>
  <c r="R373" s="1"/>
  <c r="X231" i="10"/>
  <c r="Z323" i="6"/>
  <c r="AA311"/>
  <c r="Y311"/>
  <c r="W323" i="2"/>
  <c r="X323" s="1"/>
  <c r="AA323"/>
  <c r="Z292" i="8"/>
  <c r="Y292" s="1"/>
  <c r="AA280"/>
  <c r="Q245" i="10"/>
  <c r="R245" s="1"/>
  <c r="H360"/>
  <c r="I360" s="1"/>
  <c r="J360" s="1"/>
  <c r="N372" i="3"/>
  <c r="X228" i="10"/>
  <c r="BB360" i="2"/>
  <c r="BH360" s="1"/>
  <c r="BK360" s="1"/>
  <c r="BA372"/>
  <c r="BB372" s="1"/>
  <c r="BH372" s="1"/>
  <c r="BK372" s="1"/>
  <c r="Y292" i="6"/>
  <c r="S335" i="2"/>
  <c r="Q238" i="10"/>
  <c r="R238" s="1"/>
  <c r="X232"/>
  <c r="M359" i="2"/>
  <c r="Q359" s="1"/>
  <c r="L371"/>
  <c r="M371" s="1"/>
  <c r="Q371" s="1"/>
  <c r="S369" i="3"/>
  <c r="T369" s="1"/>
  <c r="DB369"/>
  <c r="X233" i="10"/>
  <c r="AA236" i="8"/>
  <c r="J369" i="10"/>
  <c r="K369"/>
  <c r="AA301" i="6"/>
  <c r="Y216" i="10"/>
  <c r="Y217" s="1"/>
  <c r="Y218" s="1"/>
  <c r="Y219" s="1"/>
  <c r="Y220" s="1"/>
  <c r="Y221" s="1"/>
  <c r="Y222" s="1"/>
  <c r="Y223" s="1"/>
  <c r="Y224" s="1"/>
  <c r="Y225" s="1"/>
  <c r="Z301" i="8"/>
  <c r="AA301" s="1"/>
  <c r="L361" i="3"/>
  <c r="P361" s="1"/>
  <c r="R361" s="1"/>
  <c r="L365"/>
  <c r="Q365" s="1"/>
  <c r="BB355"/>
  <c r="BF355" s="1"/>
  <c r="BG355" s="1"/>
  <c r="BA367"/>
  <c r="BB367" s="1"/>
  <c r="AN32" i="2"/>
  <c r="Z304" i="9"/>
  <c r="AA304" s="1"/>
  <c r="AG304" i="1"/>
  <c r="AF304" s="1"/>
  <c r="Y292" i="9"/>
  <c r="Z304" i="6"/>
  <c r="AH304" i="1"/>
  <c r="W304"/>
  <c r="O360" i="3"/>
  <c r="S360" s="1"/>
  <c r="D362" i="10"/>
  <c r="E362" s="1"/>
  <c r="F362" s="1"/>
  <c r="K355" i="3"/>
  <c r="K367" s="1"/>
  <c r="K359"/>
  <c r="K364"/>
  <c r="D364" i="10" s="1"/>
  <c r="E364" s="1"/>
  <c r="K365"/>
  <c r="F365"/>
  <c r="S357" i="3"/>
  <c r="T357" s="1"/>
  <c r="DB357"/>
  <c r="P335"/>
  <c r="R335" s="1"/>
  <c r="T335" s="1"/>
  <c r="DB335"/>
  <c r="Q340"/>
  <c r="DB340"/>
  <c r="P349"/>
  <c r="R349" s="1"/>
  <c r="P350"/>
  <c r="R350" s="1"/>
  <c r="T350" s="1"/>
  <c r="DB350"/>
  <c r="Q347" i="2"/>
  <c r="DB362" i="3"/>
  <c r="DA335" i="2"/>
  <c r="DG335" s="1"/>
  <c r="AQ30" i="9"/>
  <c r="AA321" i="8"/>
  <c r="Z316" i="1"/>
  <c r="X227" i="10"/>
  <c r="BB350" i="2"/>
  <c r="BH350" s="1"/>
  <c r="BK350" s="1"/>
  <c r="BA362"/>
  <c r="BB349"/>
  <c r="BH349" s="1"/>
  <c r="BK349" s="1"/>
  <c r="BA361"/>
  <c r="AY349" i="3"/>
  <c r="BC349" s="1"/>
  <c r="BE349" s="1"/>
  <c r="BG349" s="1"/>
  <c r="AX361"/>
  <c r="W226" i="10"/>
  <c r="W227" s="1"/>
  <c r="W228" s="1"/>
  <c r="W229" s="1"/>
  <c r="W230" s="1"/>
  <c r="W231" s="1"/>
  <c r="W232" s="1"/>
  <c r="W233" s="1"/>
  <c r="W234" s="1"/>
  <c r="W235" s="1"/>
  <c r="W236" s="1"/>
  <c r="W237" s="1"/>
  <c r="X230"/>
  <c r="AA270" i="8"/>
  <c r="J357" i="10"/>
  <c r="K357"/>
  <c r="AA313" i="3"/>
  <c r="P347" i="2"/>
  <c r="R347" s="1"/>
  <c r="O359"/>
  <c r="S226" i="10"/>
  <c r="S227" s="1"/>
  <c r="S228" s="1"/>
  <c r="S229" s="1"/>
  <c r="S230" s="1"/>
  <c r="S231" s="1"/>
  <c r="S232" s="1"/>
  <c r="S233" s="1"/>
  <c r="S234" s="1"/>
  <c r="S235" s="1"/>
  <c r="S236" s="1"/>
  <c r="S237" s="1"/>
  <c r="X229"/>
  <c r="Q243"/>
  <c r="R243" s="1"/>
  <c r="Q244"/>
  <c r="R244" s="1"/>
  <c r="Q247"/>
  <c r="R247" s="1"/>
  <c r="BF344" i="2"/>
  <c r="BI344" s="1"/>
  <c r="BK344" s="1"/>
  <c r="BE356"/>
  <c r="X226" i="10"/>
  <c r="Z307" i="6"/>
  <c r="AA316" i="3"/>
  <c r="F353" i="10"/>
  <c r="K353"/>
  <c r="P353" i="3"/>
  <c r="Q353"/>
  <c r="P340"/>
  <c r="X236" i="10"/>
  <c r="X237"/>
  <c r="Z313" i="6"/>
  <c r="Q242" i="10"/>
  <c r="R242" s="1"/>
  <c r="Q241"/>
  <c r="R241" s="1"/>
  <c r="Q240"/>
  <c r="R240" s="1"/>
  <c r="Q246"/>
  <c r="R246" s="1"/>
  <c r="AA307" i="3"/>
  <c r="L343"/>
  <c r="Q343" s="1"/>
  <c r="D343" i="10"/>
  <c r="E343" s="1"/>
  <c r="L347" i="3"/>
  <c r="D347" i="10"/>
  <c r="E347" s="1"/>
  <c r="S325" i="3"/>
  <c r="T325" s="1"/>
  <c r="W325" s="1"/>
  <c r="X325" s="1"/>
  <c r="Y325" s="1"/>
  <c r="Z325" s="1"/>
  <c r="K330" i="10"/>
  <c r="F330"/>
  <c r="S348" i="3"/>
  <c r="J348" i="10"/>
  <c r="H298"/>
  <c r="I298" s="1"/>
  <c r="U249"/>
  <c r="V249" s="1"/>
  <c r="U247"/>
  <c r="V247" s="1"/>
  <c r="U243"/>
  <c r="V243" s="1"/>
  <c r="U248"/>
  <c r="V248" s="1"/>
  <c r="U244"/>
  <c r="V244" s="1"/>
  <c r="U240"/>
  <c r="V240" s="1"/>
  <c r="U239"/>
  <c r="V239" s="1"/>
  <c r="X239" s="1"/>
  <c r="N310" i="3"/>
  <c r="O298"/>
  <c r="U246" i="10"/>
  <c r="V246" s="1"/>
  <c r="U242"/>
  <c r="V242" s="1"/>
  <c r="U245"/>
  <c r="V245" s="1"/>
  <c r="U241"/>
  <c r="V241" s="1"/>
  <c r="U238"/>
  <c r="V238" s="1"/>
  <c r="Z288" i="6"/>
  <c r="AA288" i="3"/>
  <c r="K288" i="10"/>
  <c r="F288"/>
  <c r="D298"/>
  <c r="E298" s="1"/>
  <c r="L298" i="3"/>
  <c r="P298" s="1"/>
  <c r="R298" s="1"/>
  <c r="K310"/>
  <c r="Q251" i="10" s="1"/>
  <c r="R251" s="1"/>
  <c r="J345"/>
  <c r="K345"/>
  <c r="K340"/>
  <c r="F340"/>
  <c r="K274"/>
  <c r="L274" s="1"/>
  <c r="L275" s="1"/>
  <c r="L276" s="1"/>
  <c r="L277" s="1"/>
  <c r="L278" s="1"/>
  <c r="L279" s="1"/>
  <c r="L280" s="1"/>
  <c r="L281" s="1"/>
  <c r="L282" s="1"/>
  <c r="L283" s="1"/>
  <c r="L284" s="1"/>
  <c r="L285" s="1"/>
  <c r="K308"/>
  <c r="F308"/>
  <c r="Z274" i="6"/>
  <c r="AA274" i="3"/>
  <c r="AA276" i="6"/>
  <c r="Z276" i="8"/>
  <c r="Y276" i="6"/>
  <c r="J313" i="10"/>
  <c r="K313"/>
  <c r="F349"/>
  <c r="AA264" i="8"/>
  <c r="Y264"/>
  <c r="S286" i="3"/>
  <c r="T286" s="1"/>
  <c r="W286" s="1"/>
  <c r="X286" s="1"/>
  <c r="Y286" s="1"/>
  <c r="Z286" s="1"/>
  <c r="J286" i="10"/>
  <c r="F350"/>
  <c r="K350"/>
  <c r="Y250" i="8"/>
  <c r="AA250"/>
  <c r="D300" i="10"/>
  <c r="E300" s="1"/>
  <c r="K312" i="3"/>
  <c r="L300"/>
  <c r="P300" s="1"/>
  <c r="R300" s="1"/>
  <c r="T300" s="1"/>
  <c r="W300" s="1"/>
  <c r="X300" s="1"/>
  <c r="Y300" s="1"/>
  <c r="Z300" s="1"/>
  <c r="K286" i="10"/>
  <c r="F286"/>
  <c r="L352" i="3"/>
  <c r="DB352" s="1"/>
  <c r="D352" i="10"/>
  <c r="E352" s="1"/>
  <c r="Z262" i="8"/>
  <c r="AA262" i="6"/>
  <c r="Y262"/>
  <c r="R319" i="3"/>
  <c r="T319" s="1"/>
  <c r="W319" s="1"/>
  <c r="X319" s="1"/>
  <c r="Y319" s="1"/>
  <c r="Z319" s="1"/>
  <c r="Y314" i="8"/>
  <c r="R328" i="3"/>
  <c r="T328" s="1"/>
  <c r="W328" s="1"/>
  <c r="X328" s="1"/>
  <c r="R306"/>
  <c r="T306" s="1"/>
  <c r="W306" s="1"/>
  <c r="X306" s="1"/>
  <c r="Y306" s="1"/>
  <c r="Z306" s="1"/>
  <c r="Q331"/>
  <c r="P331"/>
  <c r="Z294" i="6"/>
  <c r="AA294" i="3"/>
  <c r="Q318"/>
  <c r="P318"/>
  <c r="Q248" i="10"/>
  <c r="R248" s="1"/>
  <c r="Q249"/>
  <c r="R249" s="1"/>
  <c r="Y282" i="6"/>
  <c r="AA282"/>
  <c r="Z282" i="8"/>
  <c r="Y295" i="6"/>
  <c r="AA295"/>
  <c r="Z295" i="8"/>
  <c r="N349" i="3"/>
  <c r="O337"/>
  <c r="DB337" s="1"/>
  <c r="Y283" i="8"/>
  <c r="AA283"/>
  <c r="K342" i="3"/>
  <c r="L330"/>
  <c r="DB330" s="1"/>
  <c r="Z248" i="8"/>
  <c r="Y248" s="1"/>
  <c r="BG336" i="1"/>
  <c r="BF348"/>
  <c r="Y327" i="8"/>
  <c r="AA327"/>
  <c r="Z326"/>
  <c r="AA326" s="1"/>
  <c r="Y326" i="6"/>
  <c r="AA326"/>
  <c r="AY333" i="3"/>
  <c r="BC333" s="1"/>
  <c r="BE333" s="1"/>
  <c r="AX345"/>
  <c r="Y248" i="6"/>
  <c r="AS33" i="2"/>
  <c r="AT32"/>
  <c r="BC332" i="1"/>
  <c r="BB344"/>
  <c r="AA260" i="3"/>
  <c r="Y305" i="6"/>
  <c r="BC328" i="1"/>
  <c r="BI328" s="1"/>
  <c r="BB340"/>
  <c r="BG328"/>
  <c r="BJ328" s="1"/>
  <c r="BF340"/>
  <c r="Z260" i="6"/>
  <c r="BK316" i="1"/>
  <c r="O328"/>
  <c r="R328" s="1"/>
  <c r="S328" s="1"/>
  <c r="N340"/>
  <c r="AA248" i="6"/>
  <c r="BC327" i="1"/>
  <c r="BI327" s="1"/>
  <c r="BB339"/>
  <c r="BG327"/>
  <c r="BJ327" s="1"/>
  <c r="BF339"/>
  <c r="BC325"/>
  <c r="BI325" s="1"/>
  <c r="BK325" s="1"/>
  <c r="BB337"/>
  <c r="AN33" i="2"/>
  <c r="BG322" i="1"/>
  <c r="BJ322" s="1"/>
  <c r="BK322" s="1"/>
  <c r="BF334"/>
  <c r="BC321"/>
  <c r="BI321" s="1"/>
  <c r="BK321" s="1"/>
  <c r="BB333"/>
  <c r="BB321" i="3"/>
  <c r="BF321" s="1"/>
  <c r="BG321" s="1"/>
  <c r="BA333"/>
  <c r="BB318" i="2"/>
  <c r="BH318" s="1"/>
  <c r="BA330"/>
  <c r="BF318"/>
  <c r="BI318" s="1"/>
  <c r="BE330"/>
  <c r="AY318" i="3"/>
  <c r="BD318" s="1"/>
  <c r="AX330"/>
  <c r="AA305" i="6"/>
  <c r="Z305" i="8"/>
  <c r="AA305" s="1"/>
  <c r="X272" i="3"/>
  <c r="Y272" s="1"/>
  <c r="Z272" s="1"/>
  <c r="BK315" i="1"/>
  <c r="Y293" i="8"/>
  <c r="AA293"/>
  <c r="BK306" i="2"/>
  <c r="L308" i="3"/>
  <c r="Q308" s="1"/>
  <c r="K320"/>
  <c r="D320" i="10" s="1"/>
  <c r="E320" s="1"/>
  <c r="AU30" i="1"/>
  <c r="R284" i="3"/>
  <c r="T284" s="1"/>
  <c r="W284" s="1"/>
  <c r="Q296"/>
  <c r="P296"/>
  <c r="AT31" i="1"/>
  <c r="AO31"/>
  <c r="BC306" i="3"/>
  <c r="BD306"/>
  <c r="BE294"/>
  <c r="BG294" s="1"/>
  <c r="AH323" i="2" l="1"/>
  <c r="S238" i="10"/>
  <c r="S239" s="1"/>
  <c r="Y301" i="8"/>
  <c r="BB362" i="2"/>
  <c r="BH362" s="1"/>
  <c r="BK362" s="1"/>
  <c r="BA374"/>
  <c r="BB374" s="1"/>
  <c r="BH374" s="1"/>
  <c r="BK374" s="1"/>
  <c r="AH316" i="1"/>
  <c r="AA292" i="8"/>
  <c r="Y311"/>
  <c r="Z323"/>
  <c r="AA323" s="1"/>
  <c r="L355" i="3"/>
  <c r="P355" s="1"/>
  <c r="AY361"/>
  <c r="BC361" s="1"/>
  <c r="BE361" s="1"/>
  <c r="BG361" s="1"/>
  <c r="AX373"/>
  <c r="AY373" s="1"/>
  <c r="BC373" s="1"/>
  <c r="BE373" s="1"/>
  <c r="BG373" s="1"/>
  <c r="BB361" i="2"/>
  <c r="BH361" s="1"/>
  <c r="BK361" s="1"/>
  <c r="BA373"/>
  <c r="BB373" s="1"/>
  <c r="BH373" s="1"/>
  <c r="BK373" s="1"/>
  <c r="O372" i="3"/>
  <c r="S372" s="1"/>
  <c r="H372" i="10"/>
  <c r="I372" s="1"/>
  <c r="J372" s="1"/>
  <c r="R340" i="3"/>
  <c r="T340" s="1"/>
  <c r="X245" i="10"/>
  <c r="Z316" i="6"/>
  <c r="AA323"/>
  <c r="W316" i="1"/>
  <c r="X316" s="1"/>
  <c r="Y323" i="6"/>
  <c r="Y304"/>
  <c r="BK327" i="1"/>
  <c r="BK328"/>
  <c r="X243" i="10"/>
  <c r="AA316" i="1"/>
  <c r="X238" i="10"/>
  <c r="Y226"/>
  <c r="Y227" s="1"/>
  <c r="Y228" s="1"/>
  <c r="Y229" s="1"/>
  <c r="Y230" s="1"/>
  <c r="Y231" s="1"/>
  <c r="Y232" s="1"/>
  <c r="Y233" s="1"/>
  <c r="Y234" s="1"/>
  <c r="Y235" s="1"/>
  <c r="Y236" s="1"/>
  <c r="Y237" s="1"/>
  <c r="Y238" s="1"/>
  <c r="Y239" s="1"/>
  <c r="P359" i="2"/>
  <c r="R359" s="1"/>
  <c r="S359" s="1"/>
  <c r="O371"/>
  <c r="P371" s="1"/>
  <c r="R371" s="1"/>
  <c r="S371" s="1"/>
  <c r="D355" i="10"/>
  <c r="E355" s="1"/>
  <c r="K355" s="1"/>
  <c r="L359" i="3"/>
  <c r="DB359" s="1"/>
  <c r="K371"/>
  <c r="X249" i="10"/>
  <c r="D359"/>
  <c r="E359" s="1"/>
  <c r="K359" s="1"/>
  <c r="Z313" i="8"/>
  <c r="AA313" s="1"/>
  <c r="BF356" i="2"/>
  <c r="BI356" s="1"/>
  <c r="BK356" s="1"/>
  <c r="BE368"/>
  <c r="BF368" s="1"/>
  <c r="BI368" s="1"/>
  <c r="BK368" s="1"/>
  <c r="BF367" i="3"/>
  <c r="BG367" s="1"/>
  <c r="L367"/>
  <c r="Q367" s="1"/>
  <c r="D367" i="10"/>
  <c r="E367" s="1"/>
  <c r="S347" i="2"/>
  <c r="Z347" s="1"/>
  <c r="L364" i="3"/>
  <c r="DB364" s="1"/>
  <c r="P365"/>
  <c r="R365" s="1"/>
  <c r="T365" s="1"/>
  <c r="DB365"/>
  <c r="X304" i="1"/>
  <c r="Z304" i="8"/>
  <c r="AA304" s="1"/>
  <c r="Y304" i="9"/>
  <c r="AA304" i="6"/>
  <c r="K362" i="10"/>
  <c r="N361" i="3"/>
  <c r="AG316" i="1"/>
  <c r="AF316" s="1"/>
  <c r="Z316" i="9"/>
  <c r="AA316" s="1"/>
  <c r="P347" i="3"/>
  <c r="R347" s="1"/>
  <c r="T347" s="1"/>
  <c r="DB347"/>
  <c r="P343"/>
  <c r="R343" s="1"/>
  <c r="T343" s="1"/>
  <c r="DB343"/>
  <c r="DA347" i="2"/>
  <c r="DG347" s="1"/>
  <c r="F364" i="10"/>
  <c r="K364"/>
  <c r="Z328" i="1"/>
  <c r="AA248" i="8"/>
  <c r="Q256" i="10"/>
  <c r="R256" s="1"/>
  <c r="Q255"/>
  <c r="R255" s="1"/>
  <c r="BG348" i="1"/>
  <c r="BJ348" s="1"/>
  <c r="BK348" s="1"/>
  <c r="BF360"/>
  <c r="X247" i="10"/>
  <c r="AT33" i="2"/>
  <c r="Y328" i="3"/>
  <c r="Z328" s="1"/>
  <c r="Y307" i="6"/>
  <c r="AA307"/>
  <c r="Q257" i="10"/>
  <c r="R257" s="1"/>
  <c r="Z307" i="8"/>
  <c r="Y307" s="1"/>
  <c r="X248" i="10"/>
  <c r="X244"/>
  <c r="AY345" i="3"/>
  <c r="BC345" s="1"/>
  <c r="BE345" s="1"/>
  <c r="AX357"/>
  <c r="BC344" i="1"/>
  <c r="BI344" s="1"/>
  <c r="BK344" s="1"/>
  <c r="BB356"/>
  <c r="X241" i="10"/>
  <c r="F355"/>
  <c r="X240"/>
  <c r="Z319" i="6"/>
  <c r="D342" i="10"/>
  <c r="E342" s="1"/>
  <c r="F342" s="1"/>
  <c r="K354" i="3"/>
  <c r="K366" s="1"/>
  <c r="R353"/>
  <c r="T353" s="1"/>
  <c r="AA325"/>
  <c r="Y313" i="6"/>
  <c r="AA313"/>
  <c r="Q259" i="10"/>
  <c r="R259" s="1"/>
  <c r="X246"/>
  <c r="X242"/>
  <c r="Q254"/>
  <c r="R254" s="1"/>
  <c r="Q253"/>
  <c r="R253" s="1"/>
  <c r="Q250"/>
  <c r="R250" s="1"/>
  <c r="Q252"/>
  <c r="R252" s="1"/>
  <c r="Q258"/>
  <c r="R258" s="1"/>
  <c r="Z325" i="6"/>
  <c r="S240" i="10"/>
  <c r="S241" s="1"/>
  <c r="S242" s="1"/>
  <c r="S243" s="1"/>
  <c r="S244" s="1"/>
  <c r="S245" s="1"/>
  <c r="S246" s="1"/>
  <c r="S247" s="1"/>
  <c r="S248" s="1"/>
  <c r="S249" s="1"/>
  <c r="S250" s="1"/>
  <c r="S251" s="1"/>
  <c r="Z306" i="6"/>
  <c r="L286" i="10"/>
  <c r="L287" s="1"/>
  <c r="L288" s="1"/>
  <c r="L289" s="1"/>
  <c r="L290" s="1"/>
  <c r="L291" s="1"/>
  <c r="L292" s="1"/>
  <c r="L293" s="1"/>
  <c r="L294" s="1"/>
  <c r="L295" s="1"/>
  <c r="L296" s="1"/>
  <c r="L297" s="1"/>
  <c r="O349" i="3"/>
  <c r="DB349" s="1"/>
  <c r="H349" i="10"/>
  <c r="I349" s="1"/>
  <c r="Z286" i="6"/>
  <c r="AA286" i="3"/>
  <c r="F352" i="10"/>
  <c r="K352"/>
  <c r="Z300" i="6"/>
  <c r="AA300" i="3"/>
  <c r="K300" i="10"/>
  <c r="F300"/>
  <c r="AA276" i="8"/>
  <c r="Y276"/>
  <c r="Z274"/>
  <c r="Y274" i="6"/>
  <c r="AA274"/>
  <c r="Y288"/>
  <c r="Z288" i="8"/>
  <c r="AA288" i="6"/>
  <c r="S298" i="3"/>
  <c r="T298" s="1"/>
  <c r="W298" s="1"/>
  <c r="X298" s="1"/>
  <c r="Y298" s="1"/>
  <c r="Z298" s="1"/>
  <c r="J298" i="10"/>
  <c r="J325"/>
  <c r="K325"/>
  <c r="K347"/>
  <c r="F347"/>
  <c r="K343"/>
  <c r="F343"/>
  <c r="K320"/>
  <c r="F320"/>
  <c r="S337" i="3"/>
  <c r="T337" s="1"/>
  <c r="AA262" i="8"/>
  <c r="Y262"/>
  <c r="P352" i="3"/>
  <c r="Q352"/>
  <c r="D312" i="10"/>
  <c r="E312" s="1"/>
  <c r="L312" i="3"/>
  <c r="P312" s="1"/>
  <c r="R312" s="1"/>
  <c r="T312" s="1"/>
  <c r="W312" s="1"/>
  <c r="X312" s="1"/>
  <c r="Y312" s="1"/>
  <c r="Z312" s="1"/>
  <c r="K324"/>
  <c r="D310" i="10"/>
  <c r="E310" s="1"/>
  <c r="K322" i="3"/>
  <c r="Q268" i="10" s="1"/>
  <c r="R268" s="1"/>
  <c r="L310" i="3"/>
  <c r="P310" s="1"/>
  <c r="R310" s="1"/>
  <c r="F298" i="10"/>
  <c r="H310"/>
  <c r="I310" s="1"/>
  <c r="U252"/>
  <c r="V252" s="1"/>
  <c r="U250"/>
  <c r="V250" s="1"/>
  <c r="U251"/>
  <c r="V251" s="1"/>
  <c r="X251" s="1"/>
  <c r="U261"/>
  <c r="V261" s="1"/>
  <c r="N322" i="3"/>
  <c r="U257" i="10"/>
  <c r="V257" s="1"/>
  <c r="U254"/>
  <c r="V254" s="1"/>
  <c r="U258"/>
  <c r="V258" s="1"/>
  <c r="U253"/>
  <c r="V253" s="1"/>
  <c r="O310" i="3"/>
  <c r="U259" i="10"/>
  <c r="V259" s="1"/>
  <c r="U256"/>
  <c r="V256" s="1"/>
  <c r="U260"/>
  <c r="V260" s="1"/>
  <c r="U255"/>
  <c r="V255" s="1"/>
  <c r="W238"/>
  <c r="W239" s="1"/>
  <c r="W240" s="1"/>
  <c r="W241" s="1"/>
  <c r="W242" s="1"/>
  <c r="W243" s="1"/>
  <c r="W244" s="1"/>
  <c r="W245" s="1"/>
  <c r="W246" s="1"/>
  <c r="W247" s="1"/>
  <c r="W248" s="1"/>
  <c r="W249" s="1"/>
  <c r="AA319" i="3"/>
  <c r="AA306"/>
  <c r="BG340" i="1"/>
  <c r="BJ340" s="1"/>
  <c r="BF352"/>
  <c r="BC340"/>
  <c r="BI340" s="1"/>
  <c r="BB352"/>
  <c r="O340"/>
  <c r="N352"/>
  <c r="BG339"/>
  <c r="BJ339" s="1"/>
  <c r="BF351"/>
  <c r="BC339"/>
  <c r="BI339" s="1"/>
  <c r="BB351"/>
  <c r="R331" i="3"/>
  <c r="T331" s="1"/>
  <c r="Q260" i="10"/>
  <c r="R260" s="1"/>
  <c r="Q261"/>
  <c r="R261" s="1"/>
  <c r="Q330" i="3"/>
  <c r="P330"/>
  <c r="Y295" i="8"/>
  <c r="AA295"/>
  <c r="Y282"/>
  <c r="AA282"/>
  <c r="AA294" i="6"/>
  <c r="Y294"/>
  <c r="Z294" i="8"/>
  <c r="R318" i="3"/>
  <c r="T318" s="1"/>
  <c r="L342"/>
  <c r="DB342" s="1"/>
  <c r="BC337" i="1"/>
  <c r="BB349"/>
  <c r="BG334"/>
  <c r="BF346"/>
  <c r="Y260" i="6"/>
  <c r="Y326" i="8"/>
  <c r="BC333" i="1"/>
  <c r="BB345"/>
  <c r="BB333" i="3"/>
  <c r="BF333" s="1"/>
  <c r="BG333" s="1"/>
  <c r="BA345"/>
  <c r="AO32" i="1"/>
  <c r="BC318" i="3"/>
  <c r="BE318" s="1"/>
  <c r="BG318" s="1"/>
  <c r="AY330"/>
  <c r="BC330" s="1"/>
  <c r="AX342"/>
  <c r="BF330" i="2"/>
  <c r="BI330" s="1"/>
  <c r="BE342"/>
  <c r="BB330"/>
  <c r="BH330" s="1"/>
  <c r="BA342"/>
  <c r="AA260" i="6"/>
  <c r="Z260" i="8"/>
  <c r="Y260" s="1"/>
  <c r="BK318" i="2"/>
  <c r="L320" i="3"/>
  <c r="Q320" s="1"/>
  <c r="K332"/>
  <c r="D332" i="10" s="1"/>
  <c r="E332" s="1"/>
  <c r="P308" i="3"/>
  <c r="R308" s="1"/>
  <c r="T308" s="1"/>
  <c r="W308" s="1"/>
  <c r="AT32" i="1"/>
  <c r="Y305" i="8"/>
  <c r="Z272" i="6"/>
  <c r="X284" i="3"/>
  <c r="Y284" s="1"/>
  <c r="Z284" s="1"/>
  <c r="AA272"/>
  <c r="AU31" i="1"/>
  <c r="R296" i="3"/>
  <c r="T296" s="1"/>
  <c r="W296" s="1"/>
  <c r="BE306"/>
  <c r="BG306" s="1"/>
  <c r="Y316" i="6" l="1"/>
  <c r="DB355" i="3"/>
  <c r="X256" i="10"/>
  <c r="Q355" i="3"/>
  <c r="R355" s="1"/>
  <c r="T355" s="1"/>
  <c r="Y304" i="8"/>
  <c r="Y323"/>
  <c r="Z316"/>
  <c r="AA316" s="1"/>
  <c r="Z328" i="9"/>
  <c r="AA328" s="1"/>
  <c r="AA316" i="6"/>
  <c r="O361" i="3"/>
  <c r="S361" s="1"/>
  <c r="T361" s="1"/>
  <c r="N373"/>
  <c r="O373" s="1"/>
  <c r="S373" s="1"/>
  <c r="T373" s="1"/>
  <c r="X257" i="10"/>
  <c r="DA359" i="2"/>
  <c r="DG359" s="1"/>
  <c r="AH328" i="1"/>
  <c r="AG328"/>
  <c r="AF328" s="1"/>
  <c r="BG360"/>
  <c r="BF372"/>
  <c r="BG372" s="1"/>
  <c r="BJ372" s="1"/>
  <c r="BK372" s="1"/>
  <c r="P359" i="3"/>
  <c r="R359" s="1"/>
  <c r="T359" s="1"/>
  <c r="F359" i="10"/>
  <c r="L371" i="3"/>
  <c r="D371" i="10"/>
  <c r="E371" s="1"/>
  <c r="Q265"/>
  <c r="R265" s="1"/>
  <c r="Y313" i="8"/>
  <c r="AY357" i="3"/>
  <c r="BC357" s="1"/>
  <c r="BE357" s="1"/>
  <c r="AX369"/>
  <c r="AY369" s="1"/>
  <c r="BC369" s="1"/>
  <c r="BE369" s="1"/>
  <c r="P367"/>
  <c r="R367" s="1"/>
  <c r="T367" s="1"/>
  <c r="DB367"/>
  <c r="BC356" i="1"/>
  <c r="BB368"/>
  <c r="BC368" s="1"/>
  <c r="BI368" s="1"/>
  <c r="BK368" s="1"/>
  <c r="X259" i="10"/>
  <c r="K342"/>
  <c r="L366" i="3"/>
  <c r="Q366" s="1"/>
  <c r="D366" i="10"/>
  <c r="E366" s="1"/>
  <c r="P364" i="3"/>
  <c r="F367" i="10"/>
  <c r="K367"/>
  <c r="Q364" i="3"/>
  <c r="H361" i="10"/>
  <c r="I361" s="1"/>
  <c r="J361" s="1"/>
  <c r="AA328" i="1"/>
  <c r="AQ31" i="9"/>
  <c r="AW31"/>
  <c r="AX31" s="1"/>
  <c r="AG347" i="2"/>
  <c r="AF347" s="1"/>
  <c r="W328" i="1"/>
  <c r="X328" s="1"/>
  <c r="AQ32" i="9"/>
  <c r="AA307" i="8"/>
  <c r="Y316" i="9"/>
  <c r="W347" i="2"/>
  <c r="BC352" i="1"/>
  <c r="BI352" s="1"/>
  <c r="BB364"/>
  <c r="BC364" s="1"/>
  <c r="BG352"/>
  <c r="BJ352" s="1"/>
  <c r="BF364"/>
  <c r="BG364" s="1"/>
  <c r="AA347" i="2"/>
  <c r="R340" i="1"/>
  <c r="S340" s="1"/>
  <c r="Z340" s="1"/>
  <c r="DA340"/>
  <c r="DG340" s="1"/>
  <c r="O352"/>
  <c r="N364"/>
  <c r="O364" s="1"/>
  <c r="AW32" i="9"/>
  <c r="AA319" i="6"/>
  <c r="Z328"/>
  <c r="Q266" i="10"/>
  <c r="R266" s="1"/>
  <c r="Q262"/>
  <c r="R262" s="1"/>
  <c r="X255"/>
  <c r="BC351" i="1"/>
  <c r="BI351" s="1"/>
  <c r="BB363"/>
  <c r="BG351"/>
  <c r="BJ351" s="1"/>
  <c r="BF363"/>
  <c r="BC349"/>
  <c r="BI349" s="1"/>
  <c r="BK349" s="1"/>
  <c r="BB361"/>
  <c r="AA328" i="3"/>
  <c r="Y319" i="6"/>
  <c r="Z319" i="8"/>
  <c r="Y319" s="1"/>
  <c r="BG346" i="1"/>
  <c r="BJ346" s="1"/>
  <c r="BK346" s="1"/>
  <c r="BF358"/>
  <c r="S252" i="10"/>
  <c r="S253" s="1"/>
  <c r="S254" s="1"/>
  <c r="S255" s="1"/>
  <c r="S256" s="1"/>
  <c r="AC256" s="1"/>
  <c r="X253"/>
  <c r="BB345" i="3"/>
  <c r="BF345" s="1"/>
  <c r="BG345" s="1"/>
  <c r="BA357"/>
  <c r="BC345" i="1"/>
  <c r="BI345" s="1"/>
  <c r="BK345" s="1"/>
  <c r="BB357"/>
  <c r="Y240" i="10"/>
  <c r="Y241" s="1"/>
  <c r="Y242" s="1"/>
  <c r="Y243" s="1"/>
  <c r="Y244" s="1"/>
  <c r="Y245" s="1"/>
  <c r="Y246" s="1"/>
  <c r="Y247" s="1"/>
  <c r="Y248" s="1"/>
  <c r="Y249" s="1"/>
  <c r="BK340" i="1"/>
  <c r="Q264" i="10"/>
  <c r="R264" s="1"/>
  <c r="Q263"/>
  <c r="R263" s="1"/>
  <c r="Q269"/>
  <c r="R269" s="1"/>
  <c r="Q270"/>
  <c r="R270" s="1"/>
  <c r="Q271"/>
  <c r="R271" s="1"/>
  <c r="X258"/>
  <c r="X250"/>
  <c r="Y306" i="6"/>
  <c r="L354" i="3"/>
  <c r="D354" i="10"/>
  <c r="E354" s="1"/>
  <c r="BB342" i="2"/>
  <c r="BH342" s="1"/>
  <c r="BA354"/>
  <c r="BF342"/>
  <c r="BI342" s="1"/>
  <c r="BE354"/>
  <c r="AY342" i="3"/>
  <c r="BD342" s="1"/>
  <c r="AX354"/>
  <c r="AA306" i="6"/>
  <c r="AA325"/>
  <c r="Z306" i="8"/>
  <c r="Y306" s="1"/>
  <c r="Y325" i="6"/>
  <c r="Z325" i="8"/>
  <c r="Y325" s="1"/>
  <c r="Q267" i="10"/>
  <c r="R267" s="1"/>
  <c r="W250"/>
  <c r="W251" s="1"/>
  <c r="W252" s="1"/>
  <c r="X254"/>
  <c r="X261"/>
  <c r="X252"/>
  <c r="X260"/>
  <c r="K298"/>
  <c r="L298" s="1"/>
  <c r="L299" s="1"/>
  <c r="L300" s="1"/>
  <c r="L301" s="1"/>
  <c r="L302" s="1"/>
  <c r="L303" s="1"/>
  <c r="L304" s="1"/>
  <c r="L305" s="1"/>
  <c r="L306" s="1"/>
  <c r="L307" s="1"/>
  <c r="L308" s="1"/>
  <c r="L309" s="1"/>
  <c r="R352" i="3"/>
  <c r="T352" s="1"/>
  <c r="K332" i="10"/>
  <c r="F332"/>
  <c r="U264"/>
  <c r="V264" s="1"/>
  <c r="H322"/>
  <c r="I322" s="1"/>
  <c r="U262"/>
  <c r="V262" s="1"/>
  <c r="U263"/>
  <c r="V263" s="1"/>
  <c r="N334" i="3"/>
  <c r="U272" i="10"/>
  <c r="V272" s="1"/>
  <c r="U268"/>
  <c r="V268" s="1"/>
  <c r="X268" s="1"/>
  <c r="U269"/>
  <c r="V269" s="1"/>
  <c r="U267"/>
  <c r="V267" s="1"/>
  <c r="U273"/>
  <c r="V273" s="1"/>
  <c r="O322" i="3"/>
  <c r="U271" i="10"/>
  <c r="V271" s="1"/>
  <c r="U265"/>
  <c r="V265" s="1"/>
  <c r="U270"/>
  <c r="V270" s="1"/>
  <c r="U266"/>
  <c r="V266" s="1"/>
  <c r="F310"/>
  <c r="Z312" i="6"/>
  <c r="AA312" i="3"/>
  <c r="J337" i="10"/>
  <c r="K337"/>
  <c r="Y300" i="6"/>
  <c r="AA300"/>
  <c r="Z300" i="8"/>
  <c r="W253" i="10"/>
  <c r="W254" s="1"/>
  <c r="W255" s="1"/>
  <c r="W256" s="1"/>
  <c r="AD256" s="1"/>
  <c r="S310" i="3"/>
  <c r="T310" s="1"/>
  <c r="W310" s="1"/>
  <c r="X310" s="1"/>
  <c r="Y310" s="1"/>
  <c r="Z310" s="1"/>
  <c r="J310" i="10"/>
  <c r="D322"/>
  <c r="E322" s="1"/>
  <c r="K334" i="3"/>
  <c r="Q275" i="10" s="1"/>
  <c r="R275" s="1"/>
  <c r="L322" i="3"/>
  <c r="P322" s="1"/>
  <c r="R322" s="1"/>
  <c r="D324" i="10"/>
  <c r="E324" s="1"/>
  <c r="L324" i="3"/>
  <c r="P324" s="1"/>
  <c r="R324" s="1"/>
  <c r="T324" s="1"/>
  <c r="W324" s="1"/>
  <c r="X324" s="1"/>
  <c r="Y324" s="1"/>
  <c r="Z324" s="1"/>
  <c r="K336"/>
  <c r="K312" i="10"/>
  <c r="F312"/>
  <c r="AA298" i="3"/>
  <c r="Z298" i="6"/>
  <c r="Y288" i="8"/>
  <c r="AA288"/>
  <c r="AA274"/>
  <c r="Y274"/>
  <c r="Y286" i="6"/>
  <c r="AA286"/>
  <c r="Z286" i="8"/>
  <c r="S349" i="3"/>
  <c r="T349" s="1"/>
  <c r="BK339" i="1"/>
  <c r="Q272" i="10"/>
  <c r="R272" s="1"/>
  <c r="Q273"/>
  <c r="R273" s="1"/>
  <c r="Y294" i="8"/>
  <c r="AA294"/>
  <c r="R330" i="3"/>
  <c r="T330" s="1"/>
  <c r="Q342"/>
  <c r="P342"/>
  <c r="AW33" i="9"/>
  <c r="AT33" i="1"/>
  <c r="L332" i="3"/>
  <c r="K344"/>
  <c r="BD330"/>
  <c r="BE330" s="1"/>
  <c r="BG330" s="1"/>
  <c r="BK330" i="2"/>
  <c r="AA272" i="6"/>
  <c r="P320" i="3"/>
  <c r="R320" s="1"/>
  <c r="T320" s="1"/>
  <c r="W320" s="1"/>
  <c r="AA260" i="8"/>
  <c r="AO33" i="1"/>
  <c r="Z272" i="8"/>
  <c r="AU32" i="1"/>
  <c r="Y272" i="6"/>
  <c r="Z284"/>
  <c r="AA284" i="3"/>
  <c r="X296"/>
  <c r="Y296" s="1"/>
  <c r="Z296" s="1"/>
  <c r="X308"/>
  <c r="Y308" s="1"/>
  <c r="Z308" s="1"/>
  <c r="BG363" i="1" l="1"/>
  <c r="BF375"/>
  <c r="BG375" s="1"/>
  <c r="BJ375" s="1"/>
  <c r="BC363"/>
  <c r="BB375"/>
  <c r="BC375" s="1"/>
  <c r="BI375" s="1"/>
  <c r="X263" i="10"/>
  <c r="Y316" i="8"/>
  <c r="DB361" i="3"/>
  <c r="Y328" i="9"/>
  <c r="Q282" i="10"/>
  <c r="R282" s="1"/>
  <c r="BC361" i="1"/>
  <c r="BB373"/>
  <c r="BC373" s="1"/>
  <c r="BI373" s="1"/>
  <c r="BK373" s="1"/>
  <c r="X266" i="10"/>
  <c r="P366" i="3"/>
  <c r="R366" s="1"/>
  <c r="T366" s="1"/>
  <c r="Q276" i="10"/>
  <c r="R276" s="1"/>
  <c r="BK351" i="1"/>
  <c r="X265" i="10"/>
  <c r="X272"/>
  <c r="BK352" i="1"/>
  <c r="X270" i="10"/>
  <c r="K371"/>
  <c r="F371"/>
  <c r="P371" i="3"/>
  <c r="R371" s="1"/>
  <c r="T371" s="1"/>
  <c r="DB371"/>
  <c r="BG358" i="1"/>
  <c r="BF370"/>
  <c r="BG370" s="1"/>
  <c r="BJ370" s="1"/>
  <c r="BK370" s="1"/>
  <c r="DB366" i="3"/>
  <c r="BC357" i="1"/>
  <c r="BB369"/>
  <c r="BC369" s="1"/>
  <c r="BI369" s="1"/>
  <c r="BK369" s="1"/>
  <c r="BB357" i="3"/>
  <c r="BF357" s="1"/>
  <c r="BG357" s="1"/>
  <c r="BA369"/>
  <c r="BB369" s="1"/>
  <c r="BF369" s="1"/>
  <c r="BG369" s="1"/>
  <c r="K361" i="10"/>
  <c r="AX33" i="9"/>
  <c r="R364" i="3"/>
  <c r="T364" s="1"/>
  <c r="Z340" i="9"/>
  <c r="AA340" s="1"/>
  <c r="AG340" i="1"/>
  <c r="AF340" s="1"/>
  <c r="F366" i="10"/>
  <c r="K366"/>
  <c r="AX32" i="9"/>
  <c r="AY354" i="3"/>
  <c r="BD354" s="1"/>
  <c r="AX366"/>
  <c r="AY366" s="1"/>
  <c r="BF354" i="2"/>
  <c r="BI354" s="1"/>
  <c r="BE366"/>
  <c r="BF366" s="1"/>
  <c r="BI366" s="1"/>
  <c r="BB354"/>
  <c r="BH354" s="1"/>
  <c r="BA366"/>
  <c r="BB366" s="1"/>
  <c r="BH366" s="1"/>
  <c r="K356" i="3"/>
  <c r="K368" s="1"/>
  <c r="Y250" i="10"/>
  <c r="Y251" s="1"/>
  <c r="Y252" s="1"/>
  <c r="Y253" s="1"/>
  <c r="Y254" s="1"/>
  <c r="Y255" s="1"/>
  <c r="Y256" s="1"/>
  <c r="X264"/>
  <c r="AA328" i="6"/>
  <c r="AA340" i="1"/>
  <c r="AH340"/>
  <c r="Y328" i="6"/>
  <c r="S257" i="10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X271"/>
  <c r="X269"/>
  <c r="W340" i="1"/>
  <c r="Q332" i="3"/>
  <c r="DB332"/>
  <c r="Q354"/>
  <c r="DB354"/>
  <c r="R352" i="1"/>
  <c r="S352" s="1"/>
  <c r="DA352"/>
  <c r="DG352" s="1"/>
  <c r="DA364"/>
  <c r="DG364" s="1"/>
  <c r="AA319" i="8"/>
  <c r="BC342" i="3"/>
  <c r="BE342" s="1"/>
  <c r="BG342" s="1"/>
  <c r="BK342" i="2"/>
  <c r="Z328" i="8"/>
  <c r="Y328" s="1"/>
  <c r="AA306"/>
  <c r="X273" i="10"/>
  <c r="Q277"/>
  <c r="R277" s="1"/>
  <c r="Q278"/>
  <c r="R278" s="1"/>
  <c r="Q283"/>
  <c r="R283" s="1"/>
  <c r="X262"/>
  <c r="AU33" i="1"/>
  <c r="P354" i="3"/>
  <c r="F354" i="10"/>
  <c r="K354"/>
  <c r="AA325" i="8"/>
  <c r="X267" i="10"/>
  <c r="Q274"/>
  <c r="R274" s="1"/>
  <c r="Q281"/>
  <c r="R281" s="1"/>
  <c r="Q279"/>
  <c r="R279" s="1"/>
  <c r="Q280"/>
  <c r="R280" s="1"/>
  <c r="Z310" i="6"/>
  <c r="AA310" i="3"/>
  <c r="D344" i="10"/>
  <c r="E344" s="1"/>
  <c r="J349"/>
  <c r="K349"/>
  <c r="AA286" i="8"/>
  <c r="Y286"/>
  <c r="D336" i="10"/>
  <c r="E336" s="1"/>
  <c r="K348" i="3"/>
  <c r="L336"/>
  <c r="K324" i="10"/>
  <c r="F324"/>
  <c r="D334"/>
  <c r="E334" s="1"/>
  <c r="K346" i="3"/>
  <c r="L334"/>
  <c r="W257" i="10"/>
  <c r="W258" s="1"/>
  <c r="W259" s="1"/>
  <c r="W260" s="1"/>
  <c r="W261" s="1"/>
  <c r="W262" s="1"/>
  <c r="W263" s="1"/>
  <c r="W264" s="1"/>
  <c r="W265" s="1"/>
  <c r="W266" s="1"/>
  <c r="W267" s="1"/>
  <c r="W268" s="1"/>
  <c r="W269" s="1"/>
  <c r="W270" s="1"/>
  <c r="W271" s="1"/>
  <c r="W272" s="1"/>
  <c r="W273" s="1"/>
  <c r="K310"/>
  <c r="L310" s="1"/>
  <c r="L311" s="1"/>
  <c r="L312" s="1"/>
  <c r="L313" s="1"/>
  <c r="L314" s="1"/>
  <c r="L315" s="1"/>
  <c r="L316" s="1"/>
  <c r="L317" s="1"/>
  <c r="L318" s="1"/>
  <c r="L319" s="1"/>
  <c r="L320" s="1"/>
  <c r="L321" s="1"/>
  <c r="AA298" i="6"/>
  <c r="Z298" i="8"/>
  <c r="Y298" i="6"/>
  <c r="Z324"/>
  <c r="AA324" i="3"/>
  <c r="F322" i="10"/>
  <c r="AA300" i="8"/>
  <c r="Y300"/>
  <c r="Z312"/>
  <c r="AA312" i="6"/>
  <c r="Y312"/>
  <c r="S322" i="3"/>
  <c r="T322" s="1"/>
  <c r="W322" s="1"/>
  <c r="X322" s="1"/>
  <c r="Y322" s="1"/>
  <c r="Z322" s="1"/>
  <c r="J322" i="10"/>
  <c r="U275"/>
  <c r="V275" s="1"/>
  <c r="X275" s="1"/>
  <c r="H334"/>
  <c r="I334" s="1"/>
  <c r="O334" i="3"/>
  <c r="U282" i="10"/>
  <c r="V282" s="1"/>
  <c r="U280"/>
  <c r="V280" s="1"/>
  <c r="U284"/>
  <c r="V284" s="1"/>
  <c r="U279"/>
  <c r="V279" s="1"/>
  <c r="U276"/>
  <c r="V276" s="1"/>
  <c r="U285"/>
  <c r="V285" s="1"/>
  <c r="N346" i="3"/>
  <c r="U283" i="10"/>
  <c r="V283" s="1"/>
  <c r="U278"/>
  <c r="V278" s="1"/>
  <c r="U281"/>
  <c r="V281" s="1"/>
  <c r="U277"/>
  <c r="V277" s="1"/>
  <c r="U274"/>
  <c r="V274" s="1"/>
  <c r="AQ33" i="9"/>
  <c r="Q284" i="10"/>
  <c r="R284" s="1"/>
  <c r="Q285"/>
  <c r="R285" s="1"/>
  <c r="R342" i="3"/>
  <c r="T342" s="1"/>
  <c r="L344"/>
  <c r="X320"/>
  <c r="Y320" s="1"/>
  <c r="Z320" s="1"/>
  <c r="P332"/>
  <c r="AA296"/>
  <c r="Z308" i="6"/>
  <c r="AA272" i="8"/>
  <c r="Y272"/>
  <c r="AA284" i="6"/>
  <c r="Z284" i="8"/>
  <c r="Y284" s="1"/>
  <c r="Y284" i="6"/>
  <c r="Z296"/>
  <c r="AA308" i="3"/>
  <c r="BK375" i="1" l="1"/>
  <c r="X282" i="10"/>
  <c r="BK366" i="2"/>
  <c r="X278" i="10"/>
  <c r="BK354" i="2"/>
  <c r="BC354" i="3"/>
  <c r="BE354" s="1"/>
  <c r="BG354" s="1"/>
  <c r="D356" i="10"/>
  <c r="E356" s="1"/>
  <c r="K356" s="1"/>
  <c r="Z308" i="8"/>
  <c r="AA308" s="1"/>
  <c r="R332" i="3"/>
  <c r="T332" s="1"/>
  <c r="L368"/>
  <c r="DB368" s="1"/>
  <c r="D368" i="10"/>
  <c r="E368" s="1"/>
  <c r="Y340" i="9"/>
  <c r="X279" i="10"/>
  <c r="L356" i="3"/>
  <c r="DB356" s="1"/>
  <c r="X340" i="1"/>
  <c r="Q294" i="10"/>
  <c r="R294" s="1"/>
  <c r="BC366" i="3"/>
  <c r="BD366"/>
  <c r="K360"/>
  <c r="L360" s="1"/>
  <c r="N358"/>
  <c r="U297" i="10"/>
  <c r="V297" s="1"/>
  <c r="U294"/>
  <c r="V294" s="1"/>
  <c r="U295"/>
  <c r="V295" s="1"/>
  <c r="U296"/>
  <c r="V296" s="1"/>
  <c r="U293"/>
  <c r="V293" s="1"/>
  <c r="K358" i="3"/>
  <c r="Q297" i="10"/>
  <c r="R297" s="1"/>
  <c r="Q296"/>
  <c r="R296" s="1"/>
  <c r="Q293"/>
  <c r="R293" s="1"/>
  <c r="Q295"/>
  <c r="R295" s="1"/>
  <c r="X277"/>
  <c r="S274"/>
  <c r="S275" s="1"/>
  <c r="S276" s="1"/>
  <c r="S277" s="1"/>
  <c r="S278" s="1"/>
  <c r="S279" s="1"/>
  <c r="S280" s="1"/>
  <c r="S281" s="1"/>
  <c r="S282" s="1"/>
  <c r="S283" s="1"/>
  <c r="S284" s="1"/>
  <c r="S285" s="1"/>
  <c r="R354" i="3"/>
  <c r="T354" s="1"/>
  <c r="X283" i="10"/>
  <c r="P336" i="3"/>
  <c r="R336" s="1"/>
  <c r="T336" s="1"/>
  <c r="DB336"/>
  <c r="Q344"/>
  <c r="DB344"/>
  <c r="P334"/>
  <c r="R334" s="1"/>
  <c r="DB334"/>
  <c r="Z352" i="1"/>
  <c r="AA328" i="8"/>
  <c r="Q287" i="10"/>
  <c r="R287" s="1"/>
  <c r="Q286"/>
  <c r="R286" s="1"/>
  <c r="Q290"/>
  <c r="R290" s="1"/>
  <c r="Q356" i="3"/>
  <c r="X281" i="10"/>
  <c r="X280"/>
  <c r="X284"/>
  <c r="W274"/>
  <c r="W275" s="1"/>
  <c r="Q291"/>
  <c r="R291" s="1"/>
  <c r="Q288"/>
  <c r="R288" s="1"/>
  <c r="X285"/>
  <c r="Q289"/>
  <c r="R289" s="1"/>
  <c r="Y257"/>
  <c r="Y258" s="1"/>
  <c r="Y259" s="1"/>
  <c r="Y260" s="1"/>
  <c r="Y261" s="1"/>
  <c r="Y262" s="1"/>
  <c r="Y263" s="1"/>
  <c r="Y264" s="1"/>
  <c r="Y265" s="1"/>
  <c r="Y266" s="1"/>
  <c r="Y267" s="1"/>
  <c r="Y268" s="1"/>
  <c r="Y269" s="1"/>
  <c r="Y270" s="1"/>
  <c r="Y271" s="1"/>
  <c r="Y272" s="1"/>
  <c r="Y273" s="1"/>
  <c r="AA256"/>
  <c r="X274"/>
  <c r="W276"/>
  <c r="W277" s="1"/>
  <c r="W278" s="1"/>
  <c r="W279" s="1"/>
  <c r="W280" s="1"/>
  <c r="W281" s="1"/>
  <c r="W282" s="1"/>
  <c r="W283" s="1"/>
  <c r="W284" s="1"/>
  <c r="W285" s="1"/>
  <c r="AA322" i="3"/>
  <c r="Z322" i="6"/>
  <c r="H346" i="10"/>
  <c r="I346" s="1"/>
  <c r="U286"/>
  <c r="V286" s="1"/>
  <c r="U288"/>
  <c r="V288" s="1"/>
  <c r="U287"/>
  <c r="V287" s="1"/>
  <c r="U289"/>
  <c r="V289" s="1"/>
  <c r="U292"/>
  <c r="V292" s="1"/>
  <c r="U291"/>
  <c r="V291" s="1"/>
  <c r="U290"/>
  <c r="V290" s="1"/>
  <c r="O346" i="3"/>
  <c r="AA312" i="8"/>
  <c r="Y312"/>
  <c r="Y324" i="6"/>
  <c r="Z324" i="8"/>
  <c r="AA324" i="6"/>
  <c r="Y298" i="8"/>
  <c r="AA298"/>
  <c r="F334" i="10"/>
  <c r="L348" i="3"/>
  <c r="D348" i="10"/>
  <c r="E348" s="1"/>
  <c r="K344"/>
  <c r="F344"/>
  <c r="AA310" i="6"/>
  <c r="Y310"/>
  <c r="Z310" i="8"/>
  <c r="K322" i="10"/>
  <c r="L322" s="1"/>
  <c r="L323" s="1"/>
  <c r="L324" s="1"/>
  <c r="L325" s="1"/>
  <c r="L326" s="1"/>
  <c r="L327" s="1"/>
  <c r="L328" s="1"/>
  <c r="L329" s="1"/>
  <c r="L330" s="1"/>
  <c r="L331" s="1"/>
  <c r="L332" s="1"/>
  <c r="L333" s="1"/>
  <c r="X276"/>
  <c r="S334" i="3"/>
  <c r="J334" i="10"/>
  <c r="L346" i="3"/>
  <c r="D346" i="10"/>
  <c r="E346" s="1"/>
  <c r="K336"/>
  <c r="F336"/>
  <c r="Q292"/>
  <c r="R292" s="1"/>
  <c r="Z320" i="6"/>
  <c r="P344" i="3"/>
  <c r="AA320"/>
  <c r="Y296" i="6"/>
  <c r="AA308"/>
  <c r="Y308"/>
  <c r="AA284" i="8"/>
  <c r="Z296"/>
  <c r="Y296" s="1"/>
  <c r="AA296" i="6"/>
  <c r="R344" i="3" l="1"/>
  <c r="T344" s="1"/>
  <c r="X289" i="10"/>
  <c r="F356"/>
  <c r="T334" i="3"/>
  <c r="X288" i="10"/>
  <c r="D360"/>
  <c r="E360" s="1"/>
  <c r="F360" s="1"/>
  <c r="K372" i="3"/>
  <c r="X294" i="10"/>
  <c r="P356" i="3"/>
  <c r="R356" s="1"/>
  <c r="T356" s="1"/>
  <c r="Q368"/>
  <c r="Q299" i="10"/>
  <c r="R299" s="1"/>
  <c r="K370" i="3"/>
  <c r="O358"/>
  <c r="S358" s="1"/>
  <c r="N370"/>
  <c r="P368"/>
  <c r="Y274" i="10"/>
  <c r="Y275" s="1"/>
  <c r="Y276" s="1"/>
  <c r="Y277" s="1"/>
  <c r="Y278" s="1"/>
  <c r="Y279" s="1"/>
  <c r="Y280" s="1"/>
  <c r="Y281" s="1"/>
  <c r="Y282" s="1"/>
  <c r="Y283" s="1"/>
  <c r="Y284" s="1"/>
  <c r="Y285" s="1"/>
  <c r="K368"/>
  <c r="F368"/>
  <c r="D358"/>
  <c r="E358" s="1"/>
  <c r="F358" s="1"/>
  <c r="H358"/>
  <c r="I358" s="1"/>
  <c r="J358" s="1"/>
  <c r="L358" i="3"/>
  <c r="P358" s="1"/>
  <c r="R358" s="1"/>
  <c r="BE366"/>
  <c r="BG366" s="1"/>
  <c r="X293" i="10"/>
  <c r="X297"/>
  <c r="Q302"/>
  <c r="R302" s="1"/>
  <c r="Q305"/>
  <c r="R305" s="1"/>
  <c r="Q301"/>
  <c r="R301" s="1"/>
  <c r="Q298"/>
  <c r="R298" s="1"/>
  <c r="X295"/>
  <c r="X296"/>
  <c r="U305"/>
  <c r="V305" s="1"/>
  <c r="U303"/>
  <c r="V303" s="1"/>
  <c r="U301"/>
  <c r="V301" s="1"/>
  <c r="U304"/>
  <c r="V304" s="1"/>
  <c r="U302"/>
  <c r="V302" s="1"/>
  <c r="U300"/>
  <c r="V300" s="1"/>
  <c r="U298"/>
  <c r="V298" s="1"/>
  <c r="U299"/>
  <c r="V299" s="1"/>
  <c r="Q303"/>
  <c r="R303" s="1"/>
  <c r="Q300"/>
  <c r="R300" s="1"/>
  <c r="X300" s="1"/>
  <c r="Q304"/>
  <c r="R304" s="1"/>
  <c r="X286"/>
  <c r="P346" i="3"/>
  <c r="R346" s="1"/>
  <c r="DB346"/>
  <c r="P348"/>
  <c r="R348" s="1"/>
  <c r="T348" s="1"/>
  <c r="DB348"/>
  <c r="P360"/>
  <c r="R360" s="1"/>
  <c r="T360" s="1"/>
  <c r="DB360"/>
  <c r="AA352" i="1"/>
  <c r="Z352" i="9"/>
  <c r="AH352" i="1"/>
  <c r="W352"/>
  <c r="AG352"/>
  <c r="AF352" s="1"/>
  <c r="X287" i="10"/>
  <c r="S286"/>
  <c r="S287" s="1"/>
  <c r="S288" s="1"/>
  <c r="S289" s="1"/>
  <c r="S290" s="1"/>
  <c r="S291" s="1"/>
  <c r="S292" s="1"/>
  <c r="AC292" s="1"/>
  <c r="X290"/>
  <c r="AA320" i="6"/>
  <c r="X291" i="10"/>
  <c r="X292"/>
  <c r="W286"/>
  <c r="W287" s="1"/>
  <c r="W288" s="1"/>
  <c r="W289" s="1"/>
  <c r="W290" s="1"/>
  <c r="W291" s="1"/>
  <c r="W292" s="1"/>
  <c r="AD292" s="1"/>
  <c r="AA310" i="8"/>
  <c r="Y310"/>
  <c r="Y324"/>
  <c r="AA324"/>
  <c r="Z322"/>
  <c r="AA322" i="6"/>
  <c r="Y322"/>
  <c r="K334" i="10"/>
  <c r="L334" s="1"/>
  <c r="L335" s="1"/>
  <c r="L336" s="1"/>
  <c r="L337" s="1"/>
  <c r="L338" s="1"/>
  <c r="L339" s="1"/>
  <c r="L340" s="1"/>
  <c r="L341" s="1"/>
  <c r="L342" s="1"/>
  <c r="L343" s="1"/>
  <c r="L344" s="1"/>
  <c r="L345" s="1"/>
  <c r="F346"/>
  <c r="F348"/>
  <c r="K348"/>
  <c r="S346" i="3"/>
  <c r="J346" i="10"/>
  <c r="Z320" i="8"/>
  <c r="Y320" s="1"/>
  <c r="Y320" i="6"/>
  <c r="Y308" i="8"/>
  <c r="AA296"/>
  <c r="K360" i="10" l="1"/>
  <c r="L372" i="3"/>
  <c r="P372" s="1"/>
  <c r="R372" s="1"/>
  <c r="T372" s="1"/>
  <c r="D372" i="10"/>
  <c r="E372" s="1"/>
  <c r="O370" i="3"/>
  <c r="S370" s="1"/>
  <c r="H370" i="10"/>
  <c r="I370" s="1"/>
  <c r="J370" s="1"/>
  <c r="L370" i="3"/>
  <c r="D370" i="10"/>
  <c r="E370" s="1"/>
  <c r="X299"/>
  <c r="R368" i="3"/>
  <c r="T368" s="1"/>
  <c r="T358"/>
  <c r="DB358"/>
  <c r="T346"/>
  <c r="K358" i="10"/>
  <c r="Y286"/>
  <c r="Y287" s="1"/>
  <c r="Y288" s="1"/>
  <c r="Y289" s="1"/>
  <c r="Y290" s="1"/>
  <c r="Y291" s="1"/>
  <c r="Y292" s="1"/>
  <c r="AA292" s="1"/>
  <c r="X304"/>
  <c r="X303"/>
  <c r="X298"/>
  <c r="X305"/>
  <c r="W293"/>
  <c r="W294" s="1"/>
  <c r="W295" s="1"/>
  <c r="W296" s="1"/>
  <c r="W297" s="1"/>
  <c r="W298" s="1"/>
  <c r="W299" s="1"/>
  <c r="W300" s="1"/>
  <c r="W301" s="1"/>
  <c r="W302" s="1"/>
  <c r="W303" s="1"/>
  <c r="W304" s="1"/>
  <c r="W305" s="1"/>
  <c r="AD305" s="1"/>
  <c r="S293"/>
  <c r="S294" s="1"/>
  <c r="S295" s="1"/>
  <c r="S296" s="1"/>
  <c r="S297" s="1"/>
  <c r="S298" s="1"/>
  <c r="S299" s="1"/>
  <c r="S300" s="1"/>
  <c r="S301" s="1"/>
  <c r="S302" s="1"/>
  <c r="S303" s="1"/>
  <c r="S304" s="1"/>
  <c r="S305" s="1"/>
  <c r="AC305" s="1"/>
  <c r="X301"/>
  <c r="X302"/>
  <c r="X352" i="1"/>
  <c r="AA352" i="9"/>
  <c r="Y352"/>
  <c r="AA322" i="8"/>
  <c r="Y322"/>
  <c r="K346" i="10"/>
  <c r="L346" s="1"/>
  <c r="L347" s="1"/>
  <c r="L348" s="1"/>
  <c r="L349" s="1"/>
  <c r="L350" s="1"/>
  <c r="L351" s="1"/>
  <c r="L352" s="1"/>
  <c r="AA320" i="8"/>
  <c r="K372" i="10" l="1"/>
  <c r="F372"/>
  <c r="F370"/>
  <c r="K370"/>
  <c r="P370" i="3"/>
  <c r="R370" s="1"/>
  <c r="T370" s="1"/>
  <c r="DB370"/>
  <c r="Y293" i="10"/>
  <c r="Y294" s="1"/>
  <c r="Y295" s="1"/>
  <c r="Y296" s="1"/>
  <c r="Y297" s="1"/>
  <c r="Y298" s="1"/>
  <c r="Y299" s="1"/>
  <c r="Y300" s="1"/>
  <c r="Y301" s="1"/>
  <c r="Y302" s="1"/>
  <c r="Y303" s="1"/>
  <c r="Y304" s="1"/>
  <c r="Y305" s="1"/>
  <c r="AA305" s="1"/>
  <c r="L353"/>
  <c r="F318" i="3"/>
  <c r="F317"/>
  <c r="E318"/>
  <c r="E317"/>
  <c r="N354" i="10" l="1"/>
  <c r="L354"/>
  <c r="G317" i="3"/>
  <c r="W317" s="1"/>
  <c r="G318"/>
  <c r="W318" s="1"/>
  <c r="N355" i="10" l="1"/>
  <c r="L355"/>
  <c r="X318" i="3"/>
  <c r="Y318" s="1"/>
  <c r="Z318" s="1"/>
  <c r="X317"/>
  <c r="Y317" s="1"/>
  <c r="Z317" s="1"/>
  <c r="AI318"/>
  <c r="AI317"/>
  <c r="N356" i="10" l="1"/>
  <c r="L356"/>
  <c r="AA318" i="3"/>
  <c r="Z318" i="6"/>
  <c r="AA317" i="3"/>
  <c r="Z317" i="6"/>
  <c r="AK318" i="3"/>
  <c r="AK317"/>
  <c r="N357" i="10" l="1"/>
  <c r="L357"/>
  <c r="Y317" i="6"/>
  <c r="AA318"/>
  <c r="Z318" i="8"/>
  <c r="AA318" s="1"/>
  <c r="Y318" i="6"/>
  <c r="Z317" i="8"/>
  <c r="AA317" i="6"/>
  <c r="N358" i="10" l="1"/>
  <c r="L358"/>
  <c r="Y318" i="8"/>
  <c r="Y317"/>
  <c r="AA317"/>
  <c r="G325" i="4"/>
  <c r="N359" i="10" l="1"/>
  <c r="L359"/>
  <c r="G326" i="4"/>
  <c r="CW326" i="3"/>
  <c r="N360" i="10" l="1"/>
  <c r="L360"/>
  <c r="CV326" i="3"/>
  <c r="G318" i="4"/>
  <c r="G320"/>
  <c r="G322"/>
  <c r="G324"/>
  <c r="G317"/>
  <c r="G319"/>
  <c r="G321"/>
  <c r="G323"/>
  <c r="N361" i="10" l="1"/>
  <c r="L361"/>
  <c r="AO33" i="4"/>
  <c r="CW324" i="3"/>
  <c r="CV324"/>
  <c r="N362" i="10" l="1"/>
  <c r="L362"/>
  <c r="CW323" i="3"/>
  <c r="CV316"/>
  <c r="CW316"/>
  <c r="CW325"/>
  <c r="CV325"/>
  <c r="CV315"/>
  <c r="CW315"/>
  <c r="L363" i="10" l="1"/>
  <c r="N363"/>
  <c r="CV323" i="3"/>
  <c r="CW317"/>
  <c r="CW318"/>
  <c r="CV318"/>
  <c r="CW321"/>
  <c r="CV321"/>
  <c r="N364" i="10" l="1"/>
  <c r="L364"/>
  <c r="CV317" i="3"/>
  <c r="N365" i="10" l="1"/>
  <c r="L365"/>
  <c r="CW319" i="3"/>
  <c r="CW320"/>
  <c r="CW322"/>
  <c r="N366" i="10" l="1"/>
  <c r="L366"/>
  <c r="CV320" i="3"/>
  <c r="CV319"/>
  <c r="CV322"/>
  <c r="N367" i="10" l="1"/>
  <c r="L367"/>
  <c r="E337" i="7"/>
  <c r="E336"/>
  <c r="E335"/>
  <c r="E334"/>
  <c r="E333"/>
  <c r="E332"/>
  <c r="E331"/>
  <c r="E330"/>
  <c r="E329"/>
  <c r="N368" i="10" l="1"/>
  <c r="L368"/>
  <c r="C331" i="2"/>
  <c r="C335"/>
  <c r="C330" i="4"/>
  <c r="C330" i="2"/>
  <c r="C332"/>
  <c r="C334"/>
  <c r="C336"/>
  <c r="C329" i="4"/>
  <c r="C331"/>
  <c r="C333"/>
  <c r="C335"/>
  <c r="C337"/>
  <c r="C330" i="5"/>
  <c r="BP330" s="1"/>
  <c r="C332"/>
  <c r="BP332" s="1"/>
  <c r="C334"/>
  <c r="BP334" s="1"/>
  <c r="C336"/>
  <c r="BP336" s="1"/>
  <c r="C329" i="1"/>
  <c r="C331"/>
  <c r="C333"/>
  <c r="C335"/>
  <c r="C337"/>
  <c r="CR330" i="3"/>
  <c r="C330" i="7"/>
  <c r="CR332" i="3"/>
  <c r="C332" i="7"/>
  <c r="CR334" i="3"/>
  <c r="C334" i="7"/>
  <c r="CR336" i="3"/>
  <c r="C336" i="7"/>
  <c r="D329"/>
  <c r="D331"/>
  <c r="D333"/>
  <c r="D335"/>
  <c r="D337"/>
  <c r="C338" i="3"/>
  <c r="C338" i="4"/>
  <c r="C338" i="1"/>
  <c r="D338" i="7"/>
  <c r="D338" i="3"/>
  <c r="D330" i="2"/>
  <c r="AK330" s="1"/>
  <c r="D332"/>
  <c r="AK332" s="1"/>
  <c r="D334"/>
  <c r="AK334" s="1"/>
  <c r="D336"/>
  <c r="AK336" s="1"/>
  <c r="D338"/>
  <c r="D330" i="4"/>
  <c r="D332"/>
  <c r="D334"/>
  <c r="D336"/>
  <c r="D338"/>
  <c r="D330" i="1"/>
  <c r="F330" s="1"/>
  <c r="D332"/>
  <c r="F332" s="1"/>
  <c r="D334"/>
  <c r="F334" s="1"/>
  <c r="D336"/>
  <c r="F336" s="1"/>
  <c r="D338"/>
  <c r="F338" s="1"/>
  <c r="E338" i="7"/>
  <c r="AR34" s="1"/>
  <c r="AS34" s="1"/>
  <c r="D330" i="5"/>
  <c r="D332"/>
  <c r="D334"/>
  <c r="D336"/>
  <c r="D338"/>
  <c r="C329" i="2"/>
  <c r="C333"/>
  <c r="C337"/>
  <c r="C332" i="4"/>
  <c r="C334"/>
  <c r="C336"/>
  <c r="C329" i="5"/>
  <c r="C331"/>
  <c r="BP331" s="1"/>
  <c r="C333"/>
  <c r="BP333" s="1"/>
  <c r="C335"/>
  <c r="BP335" s="1"/>
  <c r="C337"/>
  <c r="BP337" s="1"/>
  <c r="C330" i="1"/>
  <c r="C332"/>
  <c r="C334"/>
  <c r="C336"/>
  <c r="CR329" i="3"/>
  <c r="C329" i="7"/>
  <c r="CR331" i="3"/>
  <c r="C331" i="7"/>
  <c r="Z331" s="1"/>
  <c r="CR333" i="3"/>
  <c r="C333" i="7"/>
  <c r="CR335" i="3"/>
  <c r="C335" i="7"/>
  <c r="C337"/>
  <c r="CR337" i="3"/>
  <c r="D330" i="7"/>
  <c r="D332"/>
  <c r="D334"/>
  <c r="D336"/>
  <c r="C338" i="2"/>
  <c r="C338" i="5"/>
  <c r="BP338" s="1"/>
  <c r="CR338" i="3"/>
  <c r="C338" i="7"/>
  <c r="D329" i="2"/>
  <c r="D331"/>
  <c r="AK331" s="1"/>
  <c r="D333"/>
  <c r="AK333" s="1"/>
  <c r="D335"/>
  <c r="AK335" s="1"/>
  <c r="D337"/>
  <c r="AK337" s="1"/>
  <c r="D329" i="4"/>
  <c r="D331"/>
  <c r="D333"/>
  <c r="D335"/>
  <c r="D337"/>
  <c r="D329" i="1"/>
  <c r="F329" s="1"/>
  <c r="D331"/>
  <c r="F331" s="1"/>
  <c r="D333"/>
  <c r="F333" s="1"/>
  <c r="D335"/>
  <c r="F335" s="1"/>
  <c r="D337"/>
  <c r="F337" s="1"/>
  <c r="D329" i="5"/>
  <c r="D331"/>
  <c r="D333"/>
  <c r="D335"/>
  <c r="D337"/>
  <c r="Z335" i="7" l="1"/>
  <c r="AB335" s="1"/>
  <c r="D336" i="9"/>
  <c r="Z337" i="7"/>
  <c r="AB349" s="1"/>
  <c r="D338" i="9"/>
  <c r="D330"/>
  <c r="D334"/>
  <c r="D332"/>
  <c r="BP338" i="2"/>
  <c r="BP336" i="1"/>
  <c r="BP332"/>
  <c r="BP337" i="2"/>
  <c r="BP329"/>
  <c r="BP338" i="1"/>
  <c r="BJ338" i="3"/>
  <c r="BP337" i="1"/>
  <c r="BP333"/>
  <c r="BP329"/>
  <c r="BP336" i="2"/>
  <c r="BP332"/>
  <c r="BP331"/>
  <c r="BP334" i="1"/>
  <c r="BP330"/>
  <c r="BP333" i="2"/>
  <c r="BP335" i="1"/>
  <c r="BP331"/>
  <c r="BP334" i="2"/>
  <c r="BP330"/>
  <c r="BP335"/>
  <c r="C329" i="9"/>
  <c r="BP329" i="5"/>
  <c r="AJ334" i="4"/>
  <c r="BP334"/>
  <c r="AJ335"/>
  <c r="BP335"/>
  <c r="AJ331"/>
  <c r="BP331"/>
  <c r="AJ330"/>
  <c r="BP330"/>
  <c r="AJ336"/>
  <c r="BP336"/>
  <c r="AJ332"/>
  <c r="BP332"/>
  <c r="AJ338"/>
  <c r="BP338"/>
  <c r="AJ337"/>
  <c r="BP337"/>
  <c r="AJ333"/>
  <c r="BP333"/>
  <c r="AJ329"/>
  <c r="BP329"/>
  <c r="N369" i="10"/>
  <c r="L369"/>
  <c r="AB347" i="7"/>
  <c r="AB343"/>
  <c r="AN34"/>
  <c r="D335" i="9"/>
  <c r="D331"/>
  <c r="Z338" i="5"/>
  <c r="C338" i="9"/>
  <c r="Z337" i="5"/>
  <c r="C337" i="9"/>
  <c r="Z333" i="5"/>
  <c r="C333" i="9"/>
  <c r="Z334" i="5"/>
  <c r="C334" i="9"/>
  <c r="Z330" i="5"/>
  <c r="C330" i="9"/>
  <c r="D337"/>
  <c r="D333"/>
  <c r="D329"/>
  <c r="Z335" i="5"/>
  <c r="C335" i="9"/>
  <c r="Z331" i="5"/>
  <c r="C331" i="9"/>
  <c r="Z336" i="5"/>
  <c r="C336" i="9"/>
  <c r="Z332" i="5"/>
  <c r="C332" i="9"/>
  <c r="Z338" i="7"/>
  <c r="AU34" i="4"/>
  <c r="AK329" i="2"/>
  <c r="AO34"/>
  <c r="AP34" i="1"/>
  <c r="AQ34" s="1"/>
  <c r="AM34" i="4"/>
  <c r="Z329" i="5"/>
  <c r="AM34"/>
  <c r="AU34"/>
  <c r="AK34" i="2"/>
  <c r="AL34" i="1"/>
  <c r="E336"/>
  <c r="E332"/>
  <c r="E334"/>
  <c r="E330"/>
  <c r="Z333" i="7"/>
  <c r="Z329"/>
  <c r="CP338" i="3"/>
  <c r="R337" i="1"/>
  <c r="Q337"/>
  <c r="BJ337"/>
  <c r="BI337"/>
  <c r="Q335"/>
  <c r="R335"/>
  <c r="BJ335"/>
  <c r="BI335"/>
  <c r="BJ333"/>
  <c r="BI333"/>
  <c r="R333"/>
  <c r="Q333"/>
  <c r="BI331"/>
  <c r="R331"/>
  <c r="Q331"/>
  <c r="BJ331"/>
  <c r="BJ329"/>
  <c r="R329"/>
  <c r="Q329"/>
  <c r="BI329"/>
  <c r="Z336" i="4"/>
  <c r="AA348" s="1"/>
  <c r="G336"/>
  <c r="G332"/>
  <c r="Z332"/>
  <c r="E333" i="2"/>
  <c r="AD333"/>
  <c r="Z333"/>
  <c r="AJ333"/>
  <c r="AL333" s="1"/>
  <c r="Q336" i="1"/>
  <c r="BJ336"/>
  <c r="BI336"/>
  <c r="R336"/>
  <c r="BI334"/>
  <c r="R334"/>
  <c r="Q334"/>
  <c r="BJ334"/>
  <c r="R332"/>
  <c r="BJ332"/>
  <c r="BI332"/>
  <c r="Q332"/>
  <c r="Q330"/>
  <c r="BI330"/>
  <c r="BJ330"/>
  <c r="R330"/>
  <c r="D338" i="6"/>
  <c r="D338" i="8" s="1"/>
  <c r="C338" i="6"/>
  <c r="G335" i="4"/>
  <c r="Z335"/>
  <c r="AA347" s="1"/>
  <c r="G331"/>
  <c r="Z331"/>
  <c r="AD334" i="2"/>
  <c r="Z334"/>
  <c r="E334"/>
  <c r="AJ334"/>
  <c r="AL334" s="1"/>
  <c r="E330"/>
  <c r="AD330"/>
  <c r="AJ330"/>
  <c r="AL330" s="1"/>
  <c r="Z330"/>
  <c r="AJ335"/>
  <c r="AL335" s="1"/>
  <c r="Z335"/>
  <c r="E335"/>
  <c r="AD335"/>
  <c r="Z336" i="7"/>
  <c r="Z332"/>
  <c r="E337" i="1"/>
  <c r="E333"/>
  <c r="E329"/>
  <c r="AJ338" i="2"/>
  <c r="AD338"/>
  <c r="Z338"/>
  <c r="AB337" i="7"/>
  <c r="AB331"/>
  <c r="Z334" i="4"/>
  <c r="AA346" s="1"/>
  <c r="G334"/>
  <c r="E337" i="2"/>
  <c r="AD337"/>
  <c r="AJ337"/>
  <c r="AL337" s="1"/>
  <c r="Z337"/>
  <c r="AD329"/>
  <c r="Z329"/>
  <c r="E329"/>
  <c r="AJ329"/>
  <c r="E338" i="1"/>
  <c r="BJ338"/>
  <c r="Q338"/>
  <c r="R338"/>
  <c r="BI338"/>
  <c r="E338" i="2"/>
  <c r="AK338"/>
  <c r="G338" i="4"/>
  <c r="Z338"/>
  <c r="AA350" s="1"/>
  <c r="G337"/>
  <c r="Z337"/>
  <c r="AA349" s="1"/>
  <c r="G333"/>
  <c r="Z333"/>
  <c r="G329"/>
  <c r="Z329"/>
  <c r="AD336" i="2"/>
  <c r="Z336"/>
  <c r="E336"/>
  <c r="AJ336"/>
  <c r="AL336" s="1"/>
  <c r="AJ332"/>
  <c r="AL332" s="1"/>
  <c r="AD332"/>
  <c r="E332"/>
  <c r="Z332"/>
  <c r="Z330" i="4"/>
  <c r="G330"/>
  <c r="AD331" i="2"/>
  <c r="AJ331"/>
  <c r="AL331" s="1"/>
  <c r="Z331"/>
  <c r="E331"/>
  <c r="Z334" i="7"/>
  <c r="Z330"/>
  <c r="E335" i="1"/>
  <c r="E331"/>
  <c r="N370" i="10" l="1"/>
  <c r="L370"/>
  <c r="AB346" i="7"/>
  <c r="AB348"/>
  <c r="AB344"/>
  <c r="C338" i="8"/>
  <c r="AM34" i="7"/>
  <c r="AO34" s="1"/>
  <c r="AE338" i="2"/>
  <c r="AE350"/>
  <c r="AB338" i="7"/>
  <c r="AB350"/>
  <c r="AE337" i="2"/>
  <c r="AE349"/>
  <c r="AE336"/>
  <c r="AE348"/>
  <c r="AM34" i="9"/>
  <c r="AN34" s="1"/>
  <c r="AR34"/>
  <c r="AS34" s="1"/>
  <c r="AE335" i="2"/>
  <c r="AE347"/>
  <c r="AE334"/>
  <c r="AE346"/>
  <c r="AA337" i="4"/>
  <c r="AA334"/>
  <c r="AA336"/>
  <c r="AA333"/>
  <c r="AA345"/>
  <c r="AE333" i="2"/>
  <c r="AE345"/>
  <c r="AB333" i="7"/>
  <c r="AB345"/>
  <c r="AA338" i="4"/>
  <c r="AA335"/>
  <c r="AA332"/>
  <c r="AA344"/>
  <c r="AE332" i="2"/>
  <c r="AE344"/>
  <c r="AE331"/>
  <c r="AE343"/>
  <c r="AA331" i="4"/>
  <c r="AA343"/>
  <c r="AA330"/>
  <c r="AE330" i="2"/>
  <c r="AE329"/>
  <c r="AL329"/>
  <c r="AO34" i="4"/>
  <c r="AA329"/>
  <c r="AS34"/>
  <c r="AB329" i="7"/>
  <c r="AP34"/>
  <c r="AM34" i="1"/>
  <c r="AR34"/>
  <c r="AS34" s="1"/>
  <c r="AL34" i="2"/>
  <c r="AQ34"/>
  <c r="AP34"/>
  <c r="AL338"/>
  <c r="BK338" i="1"/>
  <c r="S332"/>
  <c r="BK334"/>
  <c r="S336"/>
  <c r="BK336"/>
  <c r="S329"/>
  <c r="BK331"/>
  <c r="S333"/>
  <c r="BK333"/>
  <c r="S335"/>
  <c r="BK337"/>
  <c r="AA331" i="2"/>
  <c r="AG331"/>
  <c r="AH343" s="1"/>
  <c r="W331"/>
  <c r="C337" i="3"/>
  <c r="D337"/>
  <c r="AB330" i="7"/>
  <c r="AA332" i="2"/>
  <c r="AG332"/>
  <c r="AH344" s="1"/>
  <c r="W332"/>
  <c r="AA336"/>
  <c r="W336"/>
  <c r="AG336"/>
  <c r="AH348" s="1"/>
  <c r="AA329"/>
  <c r="W329"/>
  <c r="AG329"/>
  <c r="AA337"/>
  <c r="W337"/>
  <c r="AG337"/>
  <c r="AH349" s="1"/>
  <c r="AA338"/>
  <c r="W338"/>
  <c r="AG338"/>
  <c r="AH350" s="1"/>
  <c r="AB332" i="7"/>
  <c r="W330" i="2"/>
  <c r="AA330"/>
  <c r="AG330"/>
  <c r="W334"/>
  <c r="AG334"/>
  <c r="AH346" s="1"/>
  <c r="AA334"/>
  <c r="S338" i="1"/>
  <c r="BK330"/>
  <c r="S330"/>
  <c r="BK332"/>
  <c r="S334"/>
  <c r="BK329"/>
  <c r="S331"/>
  <c r="BK335"/>
  <c r="S337"/>
  <c r="AB334" i="7"/>
  <c r="AB336"/>
  <c r="AG335" i="2"/>
  <c r="AH347" s="1"/>
  <c r="W335"/>
  <c r="AA335"/>
  <c r="AG333"/>
  <c r="AH345" s="1"/>
  <c r="W333"/>
  <c r="AA333"/>
  <c r="CP337" i="3"/>
  <c r="BJ337" l="1"/>
  <c r="N371" i="10"/>
  <c r="L371"/>
  <c r="Z331" i="1"/>
  <c r="Z330"/>
  <c r="Z333"/>
  <c r="Z336"/>
  <c r="Z337"/>
  <c r="Z334"/>
  <c r="Z338"/>
  <c r="Z335"/>
  <c r="Z329"/>
  <c r="Z332"/>
  <c r="X338" i="2"/>
  <c r="X350"/>
  <c r="X337"/>
  <c r="X349"/>
  <c r="X336"/>
  <c r="X348"/>
  <c r="X335"/>
  <c r="X347"/>
  <c r="X334"/>
  <c r="X346"/>
  <c r="AR34"/>
  <c r="X333"/>
  <c r="X345"/>
  <c r="X332"/>
  <c r="X344"/>
  <c r="X331"/>
  <c r="X343"/>
  <c r="X330"/>
  <c r="X329"/>
  <c r="AQ34" i="7"/>
  <c r="AW34"/>
  <c r="AX34" s="1"/>
  <c r="AN34" i="2"/>
  <c r="AS34"/>
  <c r="AH333"/>
  <c r="AF333"/>
  <c r="AH334"/>
  <c r="AF334"/>
  <c r="AF330"/>
  <c r="AH330"/>
  <c r="AF338"/>
  <c r="AH338"/>
  <c r="AF337"/>
  <c r="AH337"/>
  <c r="AF329"/>
  <c r="AH329"/>
  <c r="AH332"/>
  <c r="AF332"/>
  <c r="C337" i="6"/>
  <c r="AH331" i="2"/>
  <c r="AF331"/>
  <c r="AH335"/>
  <c r="AF335"/>
  <c r="AH336"/>
  <c r="AF336"/>
  <c r="D337" i="6"/>
  <c r="D337" i="8" s="1"/>
  <c r="AH350" i="1" l="1"/>
  <c r="AG329"/>
  <c r="AF329" s="1"/>
  <c r="N372" i="10"/>
  <c r="L372"/>
  <c r="AH338" i="1"/>
  <c r="AA331"/>
  <c r="AG337"/>
  <c r="AF337" s="1"/>
  <c r="AA329"/>
  <c r="Z338" i="9"/>
  <c r="Y350" s="1"/>
  <c r="AA337" i="1"/>
  <c r="Z333" i="9"/>
  <c r="AA333" s="1"/>
  <c r="Z331"/>
  <c r="Y331" s="1"/>
  <c r="AG338" i="1"/>
  <c r="AF338" s="1"/>
  <c r="AG331"/>
  <c r="AF331" s="1"/>
  <c r="AA333"/>
  <c r="AH333"/>
  <c r="AH343"/>
  <c r="Z329" i="9"/>
  <c r="AA329" s="1"/>
  <c r="W338" i="1"/>
  <c r="AH349"/>
  <c r="AH345"/>
  <c r="AH331"/>
  <c r="AA338"/>
  <c r="W331"/>
  <c r="X331" s="1"/>
  <c r="W337"/>
  <c r="AH337"/>
  <c r="W329"/>
  <c r="AG333"/>
  <c r="AF333" s="1"/>
  <c r="AH329"/>
  <c r="W333"/>
  <c r="X345" s="1"/>
  <c r="Z337" i="9"/>
  <c r="AA337" s="1"/>
  <c r="Z332"/>
  <c r="Y332" s="1"/>
  <c r="AH347" i="1"/>
  <c r="Z334" i="9"/>
  <c r="AA334" s="1"/>
  <c r="AH348" i="1"/>
  <c r="Z330" i="9"/>
  <c r="AA330" s="1"/>
  <c r="AH330" i="1"/>
  <c r="W330"/>
  <c r="X330" s="1"/>
  <c r="AA330"/>
  <c r="AG330"/>
  <c r="AF330" s="1"/>
  <c r="AG334"/>
  <c r="AF334" s="1"/>
  <c r="AH334"/>
  <c r="W332"/>
  <c r="W334"/>
  <c r="AA334"/>
  <c r="AA336"/>
  <c r="AH346"/>
  <c r="AG332"/>
  <c r="AF332" s="1"/>
  <c r="AH335"/>
  <c r="W336"/>
  <c r="AA332"/>
  <c r="AG335"/>
  <c r="AF335" s="1"/>
  <c r="AG336"/>
  <c r="AF336" s="1"/>
  <c r="AH332"/>
  <c r="AA335"/>
  <c r="AH336"/>
  <c r="W335"/>
  <c r="AH344"/>
  <c r="Z336" i="9"/>
  <c r="Y348" s="1"/>
  <c r="Z335"/>
  <c r="Y335" s="1"/>
  <c r="C337" i="8"/>
  <c r="AT34" i="2"/>
  <c r="Y345" i="9" l="1"/>
  <c r="AA331"/>
  <c r="Y334"/>
  <c r="Y329"/>
  <c r="Y349"/>
  <c r="Y343"/>
  <c r="AA335"/>
  <c r="X335" i="1"/>
  <c r="X346"/>
  <c r="X337"/>
  <c r="X332"/>
  <c r="AT34"/>
  <c r="X343"/>
  <c r="X336"/>
  <c r="X333"/>
  <c r="X329"/>
  <c r="X350"/>
  <c r="X349"/>
  <c r="X338"/>
  <c r="Y346" i="9"/>
  <c r="Y344"/>
  <c r="Y338"/>
  <c r="AA338"/>
  <c r="Y330"/>
  <c r="AA332"/>
  <c r="Y333"/>
  <c r="AO34" i="1"/>
  <c r="Y337" i="9"/>
  <c r="X344" i="1"/>
  <c r="X347"/>
  <c r="X334"/>
  <c r="X348"/>
  <c r="AA336" i="9"/>
  <c r="Y336"/>
  <c r="AW34"/>
  <c r="AX34" s="1"/>
  <c r="Y347"/>
  <c r="D336" i="3"/>
  <c r="CP336"/>
  <c r="C336"/>
  <c r="BJ336" l="1"/>
  <c r="AU34" i="1"/>
  <c r="AQ34" i="9"/>
  <c r="C336" i="6"/>
  <c r="D336"/>
  <c r="D336" i="8" s="1"/>
  <c r="C336" l="1"/>
  <c r="C329" i="3"/>
  <c r="D329"/>
  <c r="D331"/>
  <c r="D332"/>
  <c r="D334"/>
  <c r="C330"/>
  <c r="C331"/>
  <c r="C332"/>
  <c r="C333"/>
  <c r="C334"/>
  <c r="CP335"/>
  <c r="C335"/>
  <c r="D335"/>
  <c r="D330"/>
  <c r="D333"/>
  <c r="BJ331" l="1"/>
  <c r="BJ329"/>
  <c r="BJ335"/>
  <c r="BJ334"/>
  <c r="BJ332"/>
  <c r="BJ330"/>
  <c r="BJ333"/>
  <c r="AM34"/>
  <c r="AI34"/>
  <c r="D333" i="6"/>
  <c r="D333" i="8" s="1"/>
  <c r="D335" i="6"/>
  <c r="D335" i="8" s="1"/>
  <c r="C335" i="6"/>
  <c r="C334"/>
  <c r="C332"/>
  <c r="C330"/>
  <c r="D334"/>
  <c r="D334" i="8" s="1"/>
  <c r="D331" i="6"/>
  <c r="D331" i="8" s="1"/>
  <c r="D330" i="6"/>
  <c r="D330" i="8" s="1"/>
  <c r="C333" i="6"/>
  <c r="C331"/>
  <c r="D332"/>
  <c r="D332" i="8" s="1"/>
  <c r="D329" i="6"/>
  <c r="C329"/>
  <c r="C331" i="8" l="1"/>
  <c r="C332"/>
  <c r="C335"/>
  <c r="C333"/>
  <c r="C330"/>
  <c r="C334"/>
  <c r="D329"/>
  <c r="AR34" s="1"/>
  <c r="AR34" i="6"/>
  <c r="AS34" s="1"/>
  <c r="AJ34" i="3"/>
  <c r="AO34"/>
  <c r="AP34" s="1"/>
  <c r="CB34"/>
  <c r="AN34"/>
  <c r="C329" i="8"/>
  <c r="AM34" i="6"/>
  <c r="AM34" i="8" l="1"/>
  <c r="AN34" i="6"/>
  <c r="AS34" i="8"/>
  <c r="CA74" i="3"/>
  <c r="CC34"/>
  <c r="CP334"/>
  <c r="AN34" i="8" l="1"/>
  <c r="CB74" i="3"/>
  <c r="CC74"/>
  <c r="CD74" s="1"/>
  <c r="CP333" l="1"/>
  <c r="CP332" l="1"/>
  <c r="CP331"/>
  <c r="CP330" l="1"/>
  <c r="CP329" l="1"/>
  <c r="E342" i="7" l="1"/>
  <c r="E341"/>
  <c r="D342"/>
  <c r="CP342" i="3"/>
  <c r="AR35" i="7" l="1"/>
  <c r="AS35" s="1"/>
  <c r="C341" i="4"/>
  <c r="C341" i="1"/>
  <c r="D341" i="7"/>
  <c r="AN35" s="1"/>
  <c r="C342" i="2"/>
  <c r="C342" i="5"/>
  <c r="BP342" s="1"/>
  <c r="C342" i="7"/>
  <c r="Z342" s="1"/>
  <c r="CR342" i="3"/>
  <c r="D341" i="2"/>
  <c r="D342" i="4"/>
  <c r="D342" i="5"/>
  <c r="D342" i="1"/>
  <c r="F342" s="1"/>
  <c r="C341" i="2"/>
  <c r="C341" i="5"/>
  <c r="CR341" i="3"/>
  <c r="C341" i="7"/>
  <c r="C342" i="3"/>
  <c r="C342" i="4"/>
  <c r="C342" i="1"/>
  <c r="D342" i="3"/>
  <c r="D342" i="2"/>
  <c r="AK342" s="1"/>
  <c r="D341" i="4"/>
  <c r="AU35" s="1"/>
  <c r="D341" i="5"/>
  <c r="AU35" s="1"/>
  <c r="D341" i="1"/>
  <c r="BP342" l="1"/>
  <c r="BJ342" i="3"/>
  <c r="BP341" i="2"/>
  <c r="BP342"/>
  <c r="BP341" i="1"/>
  <c r="AP35"/>
  <c r="AQ35" s="1"/>
  <c r="F341"/>
  <c r="AJ342" i="4"/>
  <c r="BP342"/>
  <c r="AM35" i="5"/>
  <c r="BP341"/>
  <c r="AJ341" i="4"/>
  <c r="BP341"/>
  <c r="AK35" i="2"/>
  <c r="AL35" s="1"/>
  <c r="Z341" i="7"/>
  <c r="AM35" i="4"/>
  <c r="AK341" i="2"/>
  <c r="AO35"/>
  <c r="AP35" s="1"/>
  <c r="AL35" i="1"/>
  <c r="D341" i="9"/>
  <c r="D342"/>
  <c r="Z341" i="5"/>
  <c r="C341" i="9"/>
  <c r="Z342" i="5"/>
  <c r="C342" i="9"/>
  <c r="E342" i="1"/>
  <c r="D342" i="6"/>
  <c r="D342" i="8" s="1"/>
  <c r="G342" i="4"/>
  <c r="Z342"/>
  <c r="Q341" i="1"/>
  <c r="BI341"/>
  <c r="BJ341"/>
  <c r="R341"/>
  <c r="C342" i="6"/>
  <c r="E341" i="2"/>
  <c r="Z341"/>
  <c r="AD341"/>
  <c r="AJ341"/>
  <c r="R342" i="1"/>
  <c r="BI342"/>
  <c r="Q342"/>
  <c r="BJ342"/>
  <c r="AJ342" i="2"/>
  <c r="AL342" s="1"/>
  <c r="E342"/>
  <c r="AD342"/>
  <c r="Z342"/>
  <c r="Z341" i="4"/>
  <c r="G341"/>
  <c r="AO35" s="1"/>
  <c r="AB342" i="7"/>
  <c r="E341" i="1"/>
  <c r="BK342" l="1"/>
  <c r="AM35" i="7"/>
  <c r="AO35" s="1"/>
  <c r="AR35" i="9"/>
  <c r="AS35" s="1"/>
  <c r="AM35"/>
  <c r="AN35" s="1"/>
  <c r="C342" i="8"/>
  <c r="AE342" i="2"/>
  <c r="AA342" i="4"/>
  <c r="AP35" i="7"/>
  <c r="AE341" i="2"/>
  <c r="AS35" i="4"/>
  <c r="AB341" i="7"/>
  <c r="AQ35" i="2"/>
  <c r="AR35" s="1"/>
  <c r="AL341"/>
  <c r="AM35" i="1"/>
  <c r="AR35"/>
  <c r="AS35" s="1"/>
  <c r="S342"/>
  <c r="AA341" i="4"/>
  <c r="S341" i="1"/>
  <c r="BK341"/>
  <c r="AA342" i="2"/>
  <c r="W342"/>
  <c r="AG342"/>
  <c r="W341"/>
  <c r="AG341"/>
  <c r="AA341"/>
  <c r="AW35" i="7" l="1"/>
  <c r="AX35" s="1"/>
  <c r="Z341" i="1"/>
  <c r="Z342"/>
  <c r="X342" i="2"/>
  <c r="AQ35" i="7"/>
  <c r="AN35" i="2"/>
  <c r="AS35"/>
  <c r="X341"/>
  <c r="D341" i="3"/>
  <c r="AM35" s="1"/>
  <c r="AF342" i="2"/>
  <c r="AH342"/>
  <c r="C341" i="3"/>
  <c r="AH341" i="2"/>
  <c r="AF341"/>
  <c r="CP341" i="3"/>
  <c r="BJ341" l="1"/>
  <c r="AH341" i="1"/>
  <c r="Z341" i="9"/>
  <c r="Y341" s="1"/>
  <c r="AA341" i="1"/>
  <c r="AO35"/>
  <c r="AG342"/>
  <c r="AF342" s="1"/>
  <c r="W341"/>
  <c r="AG341"/>
  <c r="AF341" s="1"/>
  <c r="AA342"/>
  <c r="W342"/>
  <c r="AH342"/>
  <c r="Z342" i="9"/>
  <c r="Y342" s="1"/>
  <c r="AT35" i="2"/>
  <c r="AI35" i="3"/>
  <c r="AJ35" s="1"/>
  <c r="CB35"/>
  <c r="CC35" s="1"/>
  <c r="AN35"/>
  <c r="D341" i="6"/>
  <c r="C341"/>
  <c r="X342" i="1" l="1"/>
  <c r="X341"/>
  <c r="AT35"/>
  <c r="AA341" i="9"/>
  <c r="AA342"/>
  <c r="AM35" i="6"/>
  <c r="AN35" s="1"/>
  <c r="AO35" i="3"/>
  <c r="AP35" s="1"/>
  <c r="D341" i="8"/>
  <c r="AR35" s="1"/>
  <c r="AS35" s="1"/>
  <c r="AR35" i="6"/>
  <c r="AS35" s="1"/>
  <c r="C341" i="8"/>
  <c r="AM35" s="1"/>
  <c r="AN35" s="1"/>
  <c r="CP340" i="3"/>
  <c r="AU35" i="1" l="1"/>
  <c r="AQ35" i="9"/>
  <c r="AW35"/>
  <c r="AX35" s="1"/>
  <c r="F340" i="3"/>
  <c r="E340" l="1"/>
  <c r="F339"/>
  <c r="G340" l="1"/>
  <c r="E339"/>
  <c r="W340" l="1"/>
  <c r="X340" s="1"/>
  <c r="Y340" s="1"/>
  <c r="Z340" s="1"/>
  <c r="DC340"/>
  <c r="DD340" s="1"/>
  <c r="DE340" s="1"/>
  <c r="DF340" s="1"/>
  <c r="DG340" s="1"/>
  <c r="AI340"/>
  <c r="AK340" s="1"/>
  <c r="G339"/>
  <c r="W339" l="1"/>
  <c r="X339" s="1"/>
  <c r="Y339" s="1"/>
  <c r="Z339" s="1"/>
  <c r="DC339"/>
  <c r="DD339" s="1"/>
  <c r="DE339" s="1"/>
  <c r="DF339" s="1"/>
  <c r="DG339" s="1"/>
  <c r="AI339"/>
  <c r="AK339" s="1"/>
  <c r="AA340"/>
  <c r="Z340" i="6"/>
  <c r="F338" i="3"/>
  <c r="AA340" i="6" l="1"/>
  <c r="Z340" i="8"/>
  <c r="Y340" i="6"/>
  <c r="AA339" i="3"/>
  <c r="Z339" i="6"/>
  <c r="E337" i="3"/>
  <c r="E338"/>
  <c r="F337"/>
  <c r="Z339" i="8" l="1"/>
  <c r="Y339" i="6"/>
  <c r="AA339"/>
  <c r="AA340" i="8"/>
  <c r="Y340"/>
  <c r="G338" i="3"/>
  <c r="G337"/>
  <c r="DC337" s="1"/>
  <c r="DD337" s="1"/>
  <c r="DE337" s="1"/>
  <c r="DF337" s="1"/>
  <c r="DG337" s="1"/>
  <c r="W338" l="1"/>
  <c r="X338" s="1"/>
  <c r="DC338"/>
  <c r="DD338" s="1"/>
  <c r="DE338" s="1"/>
  <c r="DF338" s="1"/>
  <c r="DG338" s="1"/>
  <c r="AI338"/>
  <c r="AK338" s="1"/>
  <c r="Y339" i="8"/>
  <c r="AA339"/>
  <c r="F336" i="3"/>
  <c r="E336"/>
  <c r="W337"/>
  <c r="X337" s="1"/>
  <c r="AI337"/>
  <c r="Y338" l="1"/>
  <c r="Z338" s="1"/>
  <c r="Y337"/>
  <c r="Z337" s="1"/>
  <c r="G336"/>
  <c r="AK337"/>
  <c r="Z338" i="6" l="1"/>
  <c r="AA338" i="3"/>
  <c r="W336"/>
  <c r="X336" s="1"/>
  <c r="DC336"/>
  <c r="DD336" s="1"/>
  <c r="DE336" s="1"/>
  <c r="DF336" s="1"/>
  <c r="DG336" s="1"/>
  <c r="Z337" i="6"/>
  <c r="AA337" i="3"/>
  <c r="AI336"/>
  <c r="E335"/>
  <c r="F334"/>
  <c r="E334"/>
  <c r="F335"/>
  <c r="AA338" i="6" l="1"/>
  <c r="Y338"/>
  <c r="Z338" i="8"/>
  <c r="AA338" s="1"/>
  <c r="Y336" i="3"/>
  <c r="Z336" s="1"/>
  <c r="AA337" i="6"/>
  <c r="Z337" i="8"/>
  <c r="AA337" s="1"/>
  <c r="Y337" i="6"/>
  <c r="AK336" i="3"/>
  <c r="G334"/>
  <c r="E333"/>
  <c r="F333"/>
  <c r="G335"/>
  <c r="Y338" i="8" l="1"/>
  <c r="AA336" i="3"/>
  <c r="Z336" i="6"/>
  <c r="W335" i="3"/>
  <c r="X335" s="1"/>
  <c r="DC335"/>
  <c r="DD335" s="1"/>
  <c r="DE335" s="1"/>
  <c r="DF335" s="1"/>
  <c r="DG335" s="1"/>
  <c r="W334"/>
  <c r="X334" s="1"/>
  <c r="DC334"/>
  <c r="DD334" s="1"/>
  <c r="DE334" s="1"/>
  <c r="DF334" s="1"/>
  <c r="DG334" s="1"/>
  <c r="Y337" i="8"/>
  <c r="AI334" i="3"/>
  <c r="AK334" s="1"/>
  <c r="AI335"/>
  <c r="G333"/>
  <c r="Y336" i="6" l="1"/>
  <c r="Y335" i="3"/>
  <c r="Z335" s="1"/>
  <c r="Z336" i="8"/>
  <c r="Y336" s="1"/>
  <c r="AA336" i="6"/>
  <c r="Y334" i="3"/>
  <c r="Z334" s="1"/>
  <c r="W333"/>
  <c r="X333" s="1"/>
  <c r="DC333"/>
  <c r="DD333" s="1"/>
  <c r="DE333" s="1"/>
  <c r="DF333" s="1"/>
  <c r="DG333" s="1"/>
  <c r="AI333"/>
  <c r="AK333" s="1"/>
  <c r="AK335"/>
  <c r="Z335" i="6" l="1"/>
  <c r="AA334" i="3"/>
  <c r="AA335"/>
  <c r="Y333"/>
  <c r="Z333" s="1"/>
  <c r="Z334" i="6"/>
  <c r="AA336" i="8"/>
  <c r="F332" i="3"/>
  <c r="E332"/>
  <c r="AA335" i="6" l="1"/>
  <c r="Z335" i="8"/>
  <c r="Y335" s="1"/>
  <c r="Y335" i="6"/>
  <c r="AA334"/>
  <c r="Z334" i="8"/>
  <c r="Y334" s="1"/>
  <c r="Y334" i="6"/>
  <c r="AA333" i="3"/>
  <c r="Z333" i="6"/>
  <c r="G332" i="3"/>
  <c r="AA335" i="8" l="1"/>
  <c r="Z333"/>
  <c r="Y333" s="1"/>
  <c r="AA333" i="6"/>
  <c r="AA334" i="8"/>
  <c r="Y333" i="6"/>
  <c r="W332" i="3"/>
  <c r="X332" s="1"/>
  <c r="DC332"/>
  <c r="DD332" s="1"/>
  <c r="DE332" s="1"/>
  <c r="DF332" s="1"/>
  <c r="DG332" s="1"/>
  <c r="AI332"/>
  <c r="AA333" i="8" l="1"/>
  <c r="Y332" i="3"/>
  <c r="Z332" s="1"/>
  <c r="AK332"/>
  <c r="F331"/>
  <c r="F330"/>
  <c r="AA332" l="1"/>
  <c r="Z332" i="6"/>
  <c r="E331" i="3"/>
  <c r="E330"/>
  <c r="F329"/>
  <c r="Y332" i="6" l="1"/>
  <c r="AA332"/>
  <c r="Z332" i="8"/>
  <c r="AA332" s="1"/>
  <c r="G331" i="3"/>
  <c r="G330"/>
  <c r="E329"/>
  <c r="Y332" i="8" l="1"/>
  <c r="W330" i="3"/>
  <c r="X330" s="1"/>
  <c r="Y330" s="1"/>
  <c r="Z330" s="1"/>
  <c r="DC330"/>
  <c r="DD330" s="1"/>
  <c r="DE330" s="1"/>
  <c r="DF330" s="1"/>
  <c r="DG330" s="1"/>
  <c r="W331"/>
  <c r="X331" s="1"/>
  <c r="DC331"/>
  <c r="DD331" s="1"/>
  <c r="DE331" s="1"/>
  <c r="DF331" s="1"/>
  <c r="DG331" s="1"/>
  <c r="AI330"/>
  <c r="AK330" s="1"/>
  <c r="G329"/>
  <c r="AI331"/>
  <c r="AK331" s="1"/>
  <c r="Y331" l="1"/>
  <c r="Z331" s="1"/>
  <c r="AI329"/>
  <c r="AK329" s="1"/>
  <c r="DC329"/>
  <c r="DD329" s="1"/>
  <c r="DE329" s="1"/>
  <c r="DF329" s="1"/>
  <c r="DG329" s="1"/>
  <c r="W329"/>
  <c r="X329" s="1"/>
  <c r="AA330"/>
  <c r="Z330" i="6"/>
  <c r="AA331" i="3" l="1"/>
  <c r="Z331" i="6"/>
  <c r="Y329" i="3"/>
  <c r="Z329" s="1"/>
  <c r="Y330" i="6"/>
  <c r="AA330"/>
  <c r="Z330" i="8"/>
  <c r="Y331" i="6" l="1"/>
  <c r="AA331"/>
  <c r="Z331" i="8"/>
  <c r="AA331" s="1"/>
  <c r="AA329" i="3"/>
  <c r="Z329" i="6"/>
  <c r="AA330" i="8"/>
  <c r="Y330"/>
  <c r="Y329" i="6" l="1"/>
  <c r="Y331" i="8"/>
  <c r="Z329"/>
  <c r="Y329" s="1"/>
  <c r="AA329" i="6"/>
  <c r="CO351" i="3"/>
  <c r="AA329" i="8" l="1"/>
  <c r="CU351" i="3"/>
  <c r="CO350"/>
  <c r="CW351" l="1"/>
  <c r="CV351"/>
  <c r="CO349" l="1"/>
  <c r="CU350" l="1"/>
  <c r="CW350" l="1"/>
  <c r="CV350"/>
  <c r="CU349"/>
  <c r="CW349" l="1"/>
  <c r="CV349"/>
  <c r="CO348"/>
  <c r="CU348" l="1"/>
  <c r="CW348" s="1"/>
  <c r="CV348" l="1"/>
  <c r="CO347"/>
  <c r="CO346"/>
  <c r="CU347" l="1"/>
  <c r="CW347" s="1"/>
  <c r="CV347" l="1"/>
  <c r="CU346" l="1"/>
  <c r="CO345"/>
  <c r="CW346" l="1"/>
  <c r="CV346"/>
  <c r="CU345" l="1"/>
  <c r="CO344"/>
  <c r="CW345" l="1"/>
  <c r="CV345"/>
  <c r="CU344" l="1"/>
  <c r="CO343"/>
  <c r="CW344" l="1"/>
  <c r="CV344"/>
  <c r="CU343" l="1"/>
  <c r="CO342"/>
  <c r="CO341"/>
  <c r="CW343" l="1"/>
  <c r="CV343"/>
  <c r="CU342" l="1"/>
  <c r="CV342" l="1"/>
  <c r="CW342"/>
  <c r="CU341" l="1"/>
  <c r="CW341" l="1"/>
  <c r="CV341"/>
  <c r="CO340" l="1"/>
  <c r="CU340" l="1"/>
  <c r="CV340" s="1"/>
  <c r="CW340" l="1"/>
  <c r="CO339"/>
  <c r="CO338" l="1"/>
  <c r="CU339" l="1"/>
  <c r="CW339" l="1"/>
  <c r="CV339"/>
  <c r="CU338"/>
  <c r="CO337"/>
  <c r="CW338" l="1"/>
  <c r="CV338"/>
  <c r="CO336" l="1"/>
  <c r="CU337" l="1"/>
  <c r="CW337" l="1"/>
  <c r="CV337"/>
  <c r="CO335" l="1"/>
  <c r="CU336" l="1"/>
  <c r="CW336" l="1"/>
  <c r="CV336"/>
  <c r="CU335" l="1"/>
  <c r="CO334"/>
  <c r="CV335" l="1"/>
  <c r="CW335"/>
  <c r="CO333" l="1"/>
  <c r="CO332"/>
  <c r="CU334" l="1"/>
  <c r="CW334" l="1"/>
  <c r="CV334"/>
  <c r="CU333" l="1"/>
  <c r="CO331"/>
  <c r="CW333" l="1"/>
  <c r="CV333"/>
  <c r="CU332" l="1"/>
  <c r="CV332" l="1"/>
  <c r="CW332"/>
  <c r="CO330" l="1"/>
  <c r="CU331" l="1"/>
  <c r="CW331" l="1"/>
  <c r="CV331"/>
  <c r="CO329" l="1"/>
  <c r="CU330" l="1"/>
  <c r="CV330" l="1"/>
  <c r="CW330"/>
  <c r="CU328"/>
  <c r="CW328" l="1"/>
  <c r="CV328"/>
  <c r="CU329"/>
  <c r="CV329" l="1"/>
  <c r="CW329"/>
  <c r="F352" l="1"/>
  <c r="E352" l="1"/>
  <c r="F351"/>
  <c r="G352" l="1"/>
  <c r="E351"/>
  <c r="F350"/>
  <c r="W352" l="1"/>
  <c r="X352" s="1"/>
  <c r="Y352" s="1"/>
  <c r="Z352" s="1"/>
  <c r="DC352"/>
  <c r="DD352" s="1"/>
  <c r="DE352" s="1"/>
  <c r="DF352" s="1"/>
  <c r="DG352" s="1"/>
  <c r="AI352"/>
  <c r="G351"/>
  <c r="E350"/>
  <c r="F348"/>
  <c r="AI351" l="1"/>
  <c r="AK351" s="1"/>
  <c r="DC351"/>
  <c r="DD351" s="1"/>
  <c r="DE351" s="1"/>
  <c r="DF351" s="1"/>
  <c r="DG351" s="1"/>
  <c r="AK352"/>
  <c r="W351"/>
  <c r="X351" s="1"/>
  <c r="G350"/>
  <c r="AA352"/>
  <c r="Z352" i="6"/>
  <c r="F349" i="3"/>
  <c r="E349"/>
  <c r="E348"/>
  <c r="Y351" l="1"/>
  <c r="Z351" s="1"/>
  <c r="W350"/>
  <c r="X350" s="1"/>
  <c r="DC350"/>
  <c r="DD350" s="1"/>
  <c r="DE350" s="1"/>
  <c r="DF350" s="1"/>
  <c r="DG350" s="1"/>
  <c r="AI350"/>
  <c r="G348"/>
  <c r="Z352" i="8"/>
  <c r="AA352" i="6"/>
  <c r="Y352"/>
  <c r="G349" i="3"/>
  <c r="DC349" s="1"/>
  <c r="DD349" s="1"/>
  <c r="DE349" s="1"/>
  <c r="DF349" s="1"/>
  <c r="DG349" s="1"/>
  <c r="F347"/>
  <c r="F346"/>
  <c r="Z351" i="6" l="1"/>
  <c r="Y350" i="3"/>
  <c r="Z350" s="1"/>
  <c r="AA351"/>
  <c r="W348"/>
  <c r="X348" s="1"/>
  <c r="DC348"/>
  <c r="DD348" s="1"/>
  <c r="DE348" s="1"/>
  <c r="DF348" s="1"/>
  <c r="DG348" s="1"/>
  <c r="AK350"/>
  <c r="AI348"/>
  <c r="AK348" s="1"/>
  <c r="AA352" i="8"/>
  <c r="Y352"/>
  <c r="E346" i="3"/>
  <c r="W349"/>
  <c r="X349" s="1"/>
  <c r="AI349"/>
  <c r="AK349" s="1"/>
  <c r="E347"/>
  <c r="AA351" i="6" l="1"/>
  <c r="Z351" i="8"/>
  <c r="AA351" s="1"/>
  <c r="Y351" i="6"/>
  <c r="AA350" i="3"/>
  <c r="Z350" i="6"/>
  <c r="Y348" i="3"/>
  <c r="Z348" s="1"/>
  <c r="G347"/>
  <c r="Y349"/>
  <c r="Z349" s="1"/>
  <c r="G346"/>
  <c r="AI346" s="1"/>
  <c r="AK346" s="1"/>
  <c r="F345"/>
  <c r="Y351" i="8" l="1"/>
  <c r="AA350" i="6"/>
  <c r="Z350" i="8"/>
  <c r="AA350" s="1"/>
  <c r="Y350" i="6"/>
  <c r="Z349"/>
  <c r="Z348"/>
  <c r="AA348" i="3"/>
  <c r="W346"/>
  <c r="X346" s="1"/>
  <c r="DC346"/>
  <c r="DD346" s="1"/>
  <c r="DE346" s="1"/>
  <c r="DF346" s="1"/>
  <c r="DG346" s="1"/>
  <c r="W347"/>
  <c r="X347" s="1"/>
  <c r="DC347"/>
  <c r="DD347" s="1"/>
  <c r="DE347" s="1"/>
  <c r="DF347" s="1"/>
  <c r="DG347" s="1"/>
  <c r="AA349"/>
  <c r="AI347"/>
  <c r="AK347" s="1"/>
  <c r="E345"/>
  <c r="Y350" i="8" l="1"/>
  <c r="Y346" i="3"/>
  <c r="Z346" s="1"/>
  <c r="Y349" i="6"/>
  <c r="AA348"/>
  <c r="Y348"/>
  <c r="Z349" i="8"/>
  <c r="Y349" s="1"/>
  <c r="Z348"/>
  <c r="Y348" s="1"/>
  <c r="AA349" i="6"/>
  <c r="Y347" i="3"/>
  <c r="Z347" s="1"/>
  <c r="G345"/>
  <c r="AI345" s="1"/>
  <c r="AK345" s="1"/>
  <c r="F344"/>
  <c r="Z346" i="6" l="1"/>
  <c r="AA346" i="3"/>
  <c r="AA348" i="8"/>
  <c r="AA349"/>
  <c r="Z347" i="6"/>
  <c r="AA347" i="3"/>
  <c r="W345"/>
  <c r="X345" s="1"/>
  <c r="DC345"/>
  <c r="DD345" s="1"/>
  <c r="DE345" s="1"/>
  <c r="DF345" s="1"/>
  <c r="DG345" s="1"/>
  <c r="E344"/>
  <c r="AA346" i="6" l="1"/>
  <c r="Y346"/>
  <c r="Z346" i="8"/>
  <c r="AA346" s="1"/>
  <c r="Y345" i="3"/>
  <c r="Z345" s="1"/>
  <c r="Z347" i="8"/>
  <c r="Y347" s="1"/>
  <c r="Y347" i="6"/>
  <c r="AA347"/>
  <c r="G344" i="3"/>
  <c r="F343"/>
  <c r="Y346" i="8" l="1"/>
  <c r="AA345" i="3"/>
  <c r="Z345" i="6"/>
  <c r="AA347" i="8"/>
  <c r="W344" i="3"/>
  <c r="X344" s="1"/>
  <c r="Y344" s="1"/>
  <c r="Z344" s="1"/>
  <c r="DC344"/>
  <c r="DD344" s="1"/>
  <c r="DE344" s="1"/>
  <c r="DF344" s="1"/>
  <c r="DG344" s="1"/>
  <c r="AI344"/>
  <c r="AK344" s="1"/>
  <c r="E343"/>
  <c r="Z345" i="8" l="1"/>
  <c r="AA345" s="1"/>
  <c r="Y345" i="6"/>
  <c r="AA345"/>
  <c r="AA344" i="3"/>
  <c r="Z344" i="6"/>
  <c r="G343" i="3"/>
  <c r="F342"/>
  <c r="Y345" i="8" l="1"/>
  <c r="W343" i="3"/>
  <c r="X343" s="1"/>
  <c r="DC343"/>
  <c r="DD343" s="1"/>
  <c r="DE343" s="1"/>
  <c r="DF343" s="1"/>
  <c r="DG343" s="1"/>
  <c r="AI343"/>
  <c r="AK343" s="1"/>
  <c r="Y344" i="6"/>
  <c r="AA344"/>
  <c r="Z344" i="8"/>
  <c r="E342" i="3"/>
  <c r="Y343" l="1"/>
  <c r="Z343" s="1"/>
  <c r="G342"/>
  <c r="AI342" s="1"/>
  <c r="AK342" s="1"/>
  <c r="Y344" i="8"/>
  <c r="AA344"/>
  <c r="AA343" i="3" l="1"/>
  <c r="Z343" i="6"/>
  <c r="W342" i="3"/>
  <c r="X342" s="1"/>
  <c r="DC342"/>
  <c r="DD342" s="1"/>
  <c r="DE342" s="1"/>
  <c r="DF342" s="1"/>
  <c r="DG342" s="1"/>
  <c r="E341"/>
  <c r="F341"/>
  <c r="Z343" i="8" l="1"/>
  <c r="Y343" s="1"/>
  <c r="AA343" i="6"/>
  <c r="Y342" i="3"/>
  <c r="Z342" s="1"/>
  <c r="Y343" i="6"/>
  <c r="G341" i="3"/>
  <c r="DC341" s="1"/>
  <c r="DD341" s="1"/>
  <c r="DE341" s="1"/>
  <c r="DF341" s="1"/>
  <c r="DG341" s="1"/>
  <c r="Z342" i="6" l="1"/>
  <c r="AA343" i="8"/>
  <c r="AA342" i="3"/>
  <c r="W341"/>
  <c r="X341" s="1"/>
  <c r="AI341"/>
  <c r="AK341" s="1"/>
  <c r="Z342" i="8" l="1"/>
  <c r="AA342" s="1"/>
  <c r="Y342" i="6"/>
  <c r="AA342"/>
  <c r="Y341" i="3"/>
  <c r="Z341" s="1"/>
  <c r="Y342" i="8" l="1"/>
  <c r="Z341" i="6"/>
  <c r="AA341" i="3"/>
  <c r="AA341" i="6" l="1"/>
  <c r="Y341"/>
  <c r="Z341" i="8"/>
  <c r="Y341" l="1"/>
  <c r="AA341"/>
  <c r="CQ357" i="3" l="1"/>
  <c r="CT357"/>
  <c r="CS357" l="1"/>
  <c r="F361" i="4" l="1"/>
  <c r="F360" l="1"/>
  <c r="F359" l="1"/>
  <c r="F358"/>
  <c r="F357" l="1"/>
  <c r="F356" l="1"/>
  <c r="F355"/>
  <c r="F354" l="1"/>
  <c r="F353" l="1"/>
  <c r="AN36" s="1"/>
  <c r="CQ362" i="3" l="1"/>
  <c r="CT362"/>
  <c r="CS362" l="1"/>
  <c r="I363" l="1"/>
  <c r="H363"/>
  <c r="D364" l="1"/>
  <c r="F364" s="1"/>
  <c r="D364" i="4"/>
  <c r="D364" i="1"/>
  <c r="D364" i="5"/>
  <c r="C364" i="3"/>
  <c r="C364" i="4"/>
  <c r="C364" i="1"/>
  <c r="D364" i="7"/>
  <c r="C364" i="2"/>
  <c r="C364" i="5"/>
  <c r="BP364" s="1"/>
  <c r="CR364" i="3"/>
  <c r="C364" i="7"/>
  <c r="D364" i="2"/>
  <c r="AK364" s="1"/>
  <c r="E364" i="7"/>
  <c r="BP364" i="2" l="1"/>
  <c r="BP364" i="1"/>
  <c r="BJ364" i="3"/>
  <c r="BI364" i="1"/>
  <c r="F364"/>
  <c r="AJ364" i="4"/>
  <c r="BP364"/>
  <c r="R364" i="1"/>
  <c r="BJ364"/>
  <c r="Q364"/>
  <c r="Z364" i="7"/>
  <c r="D364" i="9"/>
  <c r="Z364" i="5"/>
  <c r="C364" i="9"/>
  <c r="AJ364" i="2"/>
  <c r="AL364" s="1"/>
  <c r="AD364"/>
  <c r="E364"/>
  <c r="Z364"/>
  <c r="E364" i="1"/>
  <c r="G364" i="4"/>
  <c r="Z364"/>
  <c r="C364" i="6"/>
  <c r="C364" i="8" s="1"/>
  <c r="E364" i="3"/>
  <c r="D364" i="6"/>
  <c r="D364" i="8" s="1"/>
  <c r="AE364" i="2" l="1"/>
  <c r="AE376"/>
  <c r="AB364" i="7"/>
  <c r="AB376"/>
  <c r="AA364" i="4"/>
  <c r="AA376"/>
  <c r="S364" i="1"/>
  <c r="Z364" s="1"/>
  <c r="BK364"/>
  <c r="G364" i="3"/>
  <c r="AI364" s="1"/>
  <c r="W364" i="2"/>
  <c r="X376" s="1"/>
  <c r="AA364"/>
  <c r="AG364"/>
  <c r="AH376" s="1"/>
  <c r="AK364" i="3" l="1"/>
  <c r="AH376" i="1"/>
  <c r="Z364" i="9"/>
  <c r="Y364" s="1"/>
  <c r="AA364" i="1"/>
  <c r="AH364"/>
  <c r="AG364"/>
  <c r="AF364" s="1"/>
  <c r="W364"/>
  <c r="DC364" i="3"/>
  <c r="DD364" s="1"/>
  <c r="DE364" s="1"/>
  <c r="DF364" s="1"/>
  <c r="DG364" s="1"/>
  <c r="X364" i="2"/>
  <c r="W364" i="3"/>
  <c r="X364" s="1"/>
  <c r="D363" i="2"/>
  <c r="AK363" s="1"/>
  <c r="D363" i="5"/>
  <c r="D363" i="3"/>
  <c r="F363" s="1"/>
  <c r="D363" i="4"/>
  <c r="D363" i="1"/>
  <c r="C363" i="5"/>
  <c r="BP363" s="1"/>
  <c r="C363" i="7"/>
  <c r="CR363" i="3"/>
  <c r="E363" i="7"/>
  <c r="AF364" i="2"/>
  <c r="AH364"/>
  <c r="C363"/>
  <c r="C363" i="3"/>
  <c r="C363" i="4"/>
  <c r="C363" i="1"/>
  <c r="D363" i="7"/>
  <c r="BI363" i="1"/>
  <c r="CP363" i="3"/>
  <c r="X364" i="1" l="1"/>
  <c r="X376"/>
  <c r="AA364" i="9"/>
  <c r="Y376"/>
  <c r="BP363" i="1"/>
  <c r="BJ363" i="3"/>
  <c r="BP363" i="2"/>
  <c r="Q363" i="1"/>
  <c r="F363"/>
  <c r="AJ363" i="4"/>
  <c r="BP363"/>
  <c r="Y364" i="3"/>
  <c r="Z364" s="1"/>
  <c r="BJ363" i="1"/>
  <c r="BK363" s="1"/>
  <c r="D363" i="6"/>
  <c r="D363" i="8" s="1"/>
  <c r="R363" i="1"/>
  <c r="D363" i="9"/>
  <c r="E363" i="1"/>
  <c r="Z363" i="4"/>
  <c r="G363"/>
  <c r="C363" i="6"/>
  <c r="C363" i="8" s="1"/>
  <c r="E363" i="3"/>
  <c r="E363" i="2"/>
  <c r="AJ363"/>
  <c r="AL363" s="1"/>
  <c r="AD363"/>
  <c r="Z363"/>
  <c r="Z363" i="7"/>
  <c r="C363" i="9"/>
  <c r="Z363" i="5"/>
  <c r="AE363" i="2" l="1"/>
  <c r="AE375"/>
  <c r="AA363" i="4"/>
  <c r="AA375"/>
  <c r="AB375" i="7"/>
  <c r="S363" i="1"/>
  <c r="Z363" s="1"/>
  <c r="G363" i="3"/>
  <c r="W363" s="1"/>
  <c r="X363" s="1"/>
  <c r="AA364"/>
  <c r="Z364" i="6"/>
  <c r="AB363" i="7"/>
  <c r="AA363" i="2"/>
  <c r="W363"/>
  <c r="X375" s="1"/>
  <c r="AG363"/>
  <c r="AH375" s="1"/>
  <c r="AH375" i="1" l="1"/>
  <c r="AA363"/>
  <c r="Z363" i="9"/>
  <c r="W363" i="1"/>
  <c r="AH363"/>
  <c r="AG363"/>
  <c r="AF363" s="1"/>
  <c r="DC363" i="3"/>
  <c r="DD363" s="1"/>
  <c r="DE363" s="1"/>
  <c r="DF363" s="1"/>
  <c r="DG363" s="1"/>
  <c r="Y363"/>
  <c r="Z363" s="1"/>
  <c r="Y364" i="6"/>
  <c r="AA364"/>
  <c r="Z364" i="8"/>
  <c r="X363" i="2"/>
  <c r="AI363" i="3"/>
  <c r="D362" i="2"/>
  <c r="AK362" s="1"/>
  <c r="D362" i="5"/>
  <c r="D362" i="3"/>
  <c r="D362" i="4"/>
  <c r="D362" i="1"/>
  <c r="BJ362" s="1"/>
  <c r="C362" i="2"/>
  <c r="C362" i="5"/>
  <c r="BP362" s="1"/>
  <c r="CR362" i="3"/>
  <c r="C362" i="7"/>
  <c r="E362"/>
  <c r="C362" i="3"/>
  <c r="C362" i="4"/>
  <c r="C362" i="1"/>
  <c r="D362" i="7"/>
  <c r="AF363" i="2"/>
  <c r="AH363"/>
  <c r="CP362" i="3"/>
  <c r="AK363" l="1"/>
  <c r="X363" i="1"/>
  <c r="X375"/>
  <c r="Y363" i="9"/>
  <c r="Y375"/>
  <c r="AA363"/>
  <c r="BP362" i="1"/>
  <c r="BJ362" i="3"/>
  <c r="BP362" i="2"/>
  <c r="R362" i="1"/>
  <c r="F362"/>
  <c r="AJ362" i="4"/>
  <c r="BP362"/>
  <c r="Z363" i="6"/>
  <c r="AA363" i="3"/>
  <c r="Y364" i="8"/>
  <c r="AA364"/>
  <c r="Q362" i="1"/>
  <c r="S362" s="1"/>
  <c r="Z362" s="1"/>
  <c r="BI362"/>
  <c r="BK362" s="1"/>
  <c r="D362" i="6"/>
  <c r="D362" i="8" s="1"/>
  <c r="D362" i="9"/>
  <c r="Z362" i="7"/>
  <c r="E362" i="1"/>
  <c r="Z362" i="4"/>
  <c r="G362"/>
  <c r="C362" i="6"/>
  <c r="C362" i="8" s="1"/>
  <c r="Z362" i="5"/>
  <c r="C362" i="9"/>
  <c r="AJ362" i="2"/>
  <c r="AL362" s="1"/>
  <c r="Z362"/>
  <c r="AD362"/>
  <c r="E362"/>
  <c r="AH374" i="1" l="1"/>
  <c r="AA363" i="6"/>
  <c r="AB374" i="7"/>
  <c r="AA362" i="4"/>
  <c r="AA374"/>
  <c r="AE362" i="2"/>
  <c r="AE374"/>
  <c r="Z362" i="9"/>
  <c r="Y363" i="6"/>
  <c r="Z363" i="8"/>
  <c r="AH362" i="1"/>
  <c r="AA362"/>
  <c r="AG362"/>
  <c r="AF362" s="1"/>
  <c r="W362"/>
  <c r="X374" s="1"/>
  <c r="D353" i="4"/>
  <c r="D353" i="1"/>
  <c r="BJ353" s="1"/>
  <c r="D354" i="2"/>
  <c r="AK354" s="1"/>
  <c r="D354" i="5"/>
  <c r="D355" i="3"/>
  <c r="D355" i="4"/>
  <c r="D355" i="1"/>
  <c r="D356" i="2"/>
  <c r="AK356" s="1"/>
  <c r="D356" i="5"/>
  <c r="D357" i="3"/>
  <c r="D357" i="4"/>
  <c r="D357" i="1"/>
  <c r="BI357" s="1"/>
  <c r="D358" i="2"/>
  <c r="AK358" s="1"/>
  <c r="D358" i="5"/>
  <c r="D359" i="3"/>
  <c r="D359" i="4"/>
  <c r="D359" i="1"/>
  <c r="R359" s="1"/>
  <c r="D360" i="2"/>
  <c r="AK360" s="1"/>
  <c r="D360" i="5"/>
  <c r="D361" i="3"/>
  <c r="D361" i="4"/>
  <c r="D361" i="1"/>
  <c r="BI361" s="1"/>
  <c r="D353" i="2"/>
  <c r="D353" i="5"/>
  <c r="D354" i="3"/>
  <c r="D354" i="4"/>
  <c r="D354" i="1"/>
  <c r="D355" i="2"/>
  <c r="AK355" s="1"/>
  <c r="D355" i="5"/>
  <c r="D356" i="3"/>
  <c r="D356" i="4"/>
  <c r="D356" i="1"/>
  <c r="D357" i="2"/>
  <c r="AK357" s="1"/>
  <c r="D357" i="5"/>
  <c r="D358" i="3"/>
  <c r="D358" i="4"/>
  <c r="D358" i="1"/>
  <c r="D359" i="2"/>
  <c r="AK359" s="1"/>
  <c r="D359" i="5"/>
  <c r="D360" i="3"/>
  <c r="D360" i="4"/>
  <c r="D360" i="1"/>
  <c r="BI360" s="1"/>
  <c r="D361" i="2"/>
  <c r="AK361" s="1"/>
  <c r="D361" i="5"/>
  <c r="C353" i="3"/>
  <c r="C353" i="4"/>
  <c r="C353" i="1"/>
  <c r="D353" i="7"/>
  <c r="E353"/>
  <c r="C354" i="2"/>
  <c r="C354" i="5"/>
  <c r="BP354" s="1"/>
  <c r="CR354" i="3"/>
  <c r="C354" i="7"/>
  <c r="C355" i="3"/>
  <c r="C355" i="4"/>
  <c r="C355" i="1"/>
  <c r="D355" i="7"/>
  <c r="E355"/>
  <c r="C356" i="2"/>
  <c r="C356" i="5"/>
  <c r="BP356" s="1"/>
  <c r="C356" i="7"/>
  <c r="CR356" i="3"/>
  <c r="C357"/>
  <c r="C357" i="4"/>
  <c r="C357" i="1"/>
  <c r="D357" i="7"/>
  <c r="E357"/>
  <c r="C358" i="2"/>
  <c r="C358" i="5"/>
  <c r="BP358" s="1"/>
  <c r="CR358" i="3"/>
  <c r="C358" i="7"/>
  <c r="C359" i="3"/>
  <c r="C359" i="4"/>
  <c r="C359" i="1"/>
  <c r="D359" i="7"/>
  <c r="E359"/>
  <c r="C360" i="2"/>
  <c r="D360" i="7"/>
  <c r="C360" i="1"/>
  <c r="C361" i="3"/>
  <c r="C361" i="4"/>
  <c r="C361" i="1"/>
  <c r="D361" i="7"/>
  <c r="E361"/>
  <c r="C353" i="2"/>
  <c r="C353" i="5"/>
  <c r="BP353" s="1"/>
  <c r="CR353" i="3"/>
  <c r="C353" i="7"/>
  <c r="D353" i="3"/>
  <c r="BI353" i="1"/>
  <c r="C354" i="3"/>
  <c r="C354" i="4"/>
  <c r="C354" i="1"/>
  <c r="D354" i="7"/>
  <c r="E354"/>
  <c r="C355" i="2"/>
  <c r="C355" i="5"/>
  <c r="BP355" s="1"/>
  <c r="C355" i="7"/>
  <c r="CR355" i="3"/>
  <c r="C356"/>
  <c r="C356" i="4"/>
  <c r="C356" i="1"/>
  <c r="D356" i="7"/>
  <c r="E356"/>
  <c r="C357" i="2"/>
  <c r="C357" i="5"/>
  <c r="BP357" s="1"/>
  <c r="C357" i="7"/>
  <c r="CR357" i="3"/>
  <c r="C358"/>
  <c r="C358" i="4"/>
  <c r="C358" i="1"/>
  <c r="D358" i="7"/>
  <c r="E358"/>
  <c r="C359" i="2"/>
  <c r="C359" i="5"/>
  <c r="BP359" s="1"/>
  <c r="C359" i="7"/>
  <c r="CR359" i="3"/>
  <c r="C360"/>
  <c r="C360" i="4"/>
  <c r="C360" i="5"/>
  <c r="BP360" s="1"/>
  <c r="CR360" i="3"/>
  <c r="C360" i="7"/>
  <c r="E360"/>
  <c r="C361" i="2"/>
  <c r="C361" i="5"/>
  <c r="BP361" s="1"/>
  <c r="CR361" i="3"/>
  <c r="C361" i="7"/>
  <c r="AA362" i="2"/>
  <c r="AG362"/>
  <c r="AH374" s="1"/>
  <c r="W362"/>
  <c r="X374" s="1"/>
  <c r="AB362" i="7"/>
  <c r="CP361" i="3"/>
  <c r="Y363" i="8" l="1"/>
  <c r="AA362" i="9"/>
  <c r="Y374"/>
  <c r="AA363" i="8"/>
  <c r="BJ357" i="1"/>
  <c r="BK357" s="1"/>
  <c r="D357" i="9"/>
  <c r="D359"/>
  <c r="BJ361" i="1"/>
  <c r="BK361" s="1"/>
  <c r="D355" i="9"/>
  <c r="D361"/>
  <c r="D353"/>
  <c r="Y362"/>
  <c r="BJ360" i="3"/>
  <c r="BP358" i="1"/>
  <c r="BP357" i="2"/>
  <c r="BJ354" i="3"/>
  <c r="BP359" i="2"/>
  <c r="BP356" i="1"/>
  <c r="BJ356" i="3"/>
  <c r="BP355" i="2"/>
  <c r="BP353"/>
  <c r="BP361" i="1"/>
  <c r="BJ361" i="3"/>
  <c r="BP360" i="1"/>
  <c r="BP360" i="2"/>
  <c r="BP357" i="1"/>
  <c r="BJ357" i="3"/>
  <c r="BP356" i="2"/>
  <c r="BP353" i="1"/>
  <c r="BJ353" i="3"/>
  <c r="BP361" i="2"/>
  <c r="BJ358" i="3"/>
  <c r="BP354" i="1"/>
  <c r="BP359"/>
  <c r="BJ359" i="3"/>
  <c r="BP358" i="2"/>
  <c r="BP355" i="1"/>
  <c r="BJ355" i="3"/>
  <c r="BP354" i="2"/>
  <c r="Q360" i="1"/>
  <c r="F360"/>
  <c r="BI356"/>
  <c r="F356"/>
  <c r="Q361"/>
  <c r="F361"/>
  <c r="R357"/>
  <c r="F357"/>
  <c r="R353"/>
  <c r="F353"/>
  <c r="R358"/>
  <c r="F358"/>
  <c r="R354"/>
  <c r="F354"/>
  <c r="BI359"/>
  <c r="F359"/>
  <c r="R355"/>
  <c r="F355"/>
  <c r="AJ360" i="4"/>
  <c r="BP360"/>
  <c r="AJ358"/>
  <c r="BP358"/>
  <c r="AJ356"/>
  <c r="BP356"/>
  <c r="AJ361"/>
  <c r="BP361"/>
  <c r="AJ357"/>
  <c r="BP357"/>
  <c r="AJ353"/>
  <c r="BP353"/>
  <c r="AJ354"/>
  <c r="BP354"/>
  <c r="AJ359"/>
  <c r="BP359"/>
  <c r="AJ355"/>
  <c r="BP355"/>
  <c r="Z353" i="7"/>
  <c r="AB353" s="1"/>
  <c r="BK353" i="1"/>
  <c r="R361"/>
  <c r="Q357"/>
  <c r="Q353"/>
  <c r="BI355"/>
  <c r="D361" i="6"/>
  <c r="D361" i="8" s="1"/>
  <c r="BJ359" i="1"/>
  <c r="Q355"/>
  <c r="X362"/>
  <c r="X362" i="2"/>
  <c r="D359" i="6"/>
  <c r="D359" i="8" s="1"/>
  <c r="D355" i="6"/>
  <c r="D355" i="8" s="1"/>
  <c r="Q359" i="1"/>
  <c r="S359" s="1"/>
  <c r="Z359" s="1"/>
  <c r="D357" i="6"/>
  <c r="D357" i="8" s="1"/>
  <c r="BJ355" i="1"/>
  <c r="AM36" i="3"/>
  <c r="CB36" s="1"/>
  <c r="CC36" s="1"/>
  <c r="R360" i="1"/>
  <c r="BJ356"/>
  <c r="BK356" s="1"/>
  <c r="BJ360"/>
  <c r="BK360" s="1"/>
  <c r="Q356"/>
  <c r="D360" i="6"/>
  <c r="D360" i="8" s="1"/>
  <c r="D356" i="6"/>
  <c r="D356" i="8" s="1"/>
  <c r="Q358" i="1"/>
  <c r="BJ354"/>
  <c r="BJ358"/>
  <c r="Q354"/>
  <c r="D358" i="6"/>
  <c r="D358" i="8" s="1"/>
  <c r="D354" i="6"/>
  <c r="D354" i="8" s="1"/>
  <c r="BI358" i="1"/>
  <c r="BI354"/>
  <c r="AK353" i="2"/>
  <c r="AO36"/>
  <c r="AP36" s="1"/>
  <c r="AK36"/>
  <c r="AR36" i="7"/>
  <c r="AS36" s="1"/>
  <c r="AL36" i="1"/>
  <c r="AI36" i="3"/>
  <c r="AU36" i="4"/>
  <c r="AM36" i="5"/>
  <c r="AN36" i="7"/>
  <c r="AM36" i="4"/>
  <c r="AU36" i="5"/>
  <c r="AP36" i="1"/>
  <c r="AQ36" s="1"/>
  <c r="R356"/>
  <c r="S355"/>
  <c r="Z355" s="1"/>
  <c r="D360" i="9"/>
  <c r="D356"/>
  <c r="D354"/>
  <c r="D358"/>
  <c r="C361"/>
  <c r="Z361" i="5"/>
  <c r="AD361" i="2"/>
  <c r="Z361"/>
  <c r="AJ361"/>
  <c r="AL361" s="1"/>
  <c r="E361"/>
  <c r="Z360" i="7"/>
  <c r="Z359"/>
  <c r="C359" i="9"/>
  <c r="Z359" i="5"/>
  <c r="E359" i="2"/>
  <c r="AD359"/>
  <c r="Z359"/>
  <c r="AJ359"/>
  <c r="AL359" s="1"/>
  <c r="E358" i="1"/>
  <c r="G358" i="4"/>
  <c r="Z358"/>
  <c r="C358" i="6"/>
  <c r="C358" i="8" s="1"/>
  <c r="Z355" i="7"/>
  <c r="C355" i="9"/>
  <c r="Z355" i="5"/>
  <c r="Z355" i="2"/>
  <c r="E355"/>
  <c r="AD355"/>
  <c r="AJ355"/>
  <c r="AL355" s="1"/>
  <c r="E354" i="1"/>
  <c r="G354" i="4"/>
  <c r="Z354"/>
  <c r="C354" i="6"/>
  <c r="C354" i="8" s="1"/>
  <c r="E361" i="1"/>
  <c r="G361" i="4"/>
  <c r="Z361"/>
  <c r="C361" i="6"/>
  <c r="C361" i="8" s="1"/>
  <c r="E360" i="1"/>
  <c r="AJ360" i="2"/>
  <c r="AL360" s="1"/>
  <c r="AD360"/>
  <c r="E360"/>
  <c r="Z360"/>
  <c r="E359" i="1"/>
  <c r="Z359" i="4"/>
  <c r="G359"/>
  <c r="C359" i="6"/>
  <c r="C359" i="8" s="1"/>
  <c r="Z358" i="7"/>
  <c r="Z356"/>
  <c r="C356" i="9"/>
  <c r="Z356" i="5"/>
  <c r="AJ356" i="2"/>
  <c r="AL356" s="1"/>
  <c r="AD356"/>
  <c r="Z356"/>
  <c r="E356"/>
  <c r="E355" i="1"/>
  <c r="Z355" i="4"/>
  <c r="G355"/>
  <c r="C355" i="6"/>
  <c r="C355" i="8" s="1"/>
  <c r="Z354" i="7"/>
  <c r="AH362" i="2"/>
  <c r="AF362"/>
  <c r="Z361" i="7"/>
  <c r="C360" i="9"/>
  <c r="Z360" i="5"/>
  <c r="Z360" i="4"/>
  <c r="G360"/>
  <c r="C360" i="6"/>
  <c r="C360" i="8" s="1"/>
  <c r="Z357" i="7"/>
  <c r="C357" i="9"/>
  <c r="Z357" i="5"/>
  <c r="Z357" i="2"/>
  <c r="E357"/>
  <c r="AJ357"/>
  <c r="AL357" s="1"/>
  <c r="AD357"/>
  <c r="E356" i="1"/>
  <c r="G356" i="4"/>
  <c r="Z356"/>
  <c r="C356" i="6"/>
  <c r="C356" i="8" s="1"/>
  <c r="D353" i="6"/>
  <c r="C353" i="9"/>
  <c r="Z353" i="5"/>
  <c r="Z353" i="2"/>
  <c r="E353"/>
  <c r="AJ353"/>
  <c r="AD353"/>
  <c r="C358" i="9"/>
  <c r="Z358" i="5"/>
  <c r="E358" i="2"/>
  <c r="AJ358"/>
  <c r="AL358" s="1"/>
  <c r="Z358"/>
  <c r="AD358"/>
  <c r="E357" i="1"/>
  <c r="Z357" i="4"/>
  <c r="G357"/>
  <c r="C357" i="6"/>
  <c r="C357" i="8" s="1"/>
  <c r="C354" i="9"/>
  <c r="Z354" i="5"/>
  <c r="AD354" i="2"/>
  <c r="AJ354"/>
  <c r="AL354" s="1"/>
  <c r="Z354"/>
  <c r="E354"/>
  <c r="E353" i="1"/>
  <c r="Z353" i="4"/>
  <c r="G353"/>
  <c r="C353" i="6"/>
  <c r="AB373" i="7" l="1"/>
  <c r="S354" i="1"/>
  <c r="Z354" s="1"/>
  <c r="S361"/>
  <c r="Z361" s="1"/>
  <c r="AA361" i="4"/>
  <c r="AA373"/>
  <c r="AE361" i="2"/>
  <c r="AE373"/>
  <c r="AL353"/>
  <c r="AA360" i="4"/>
  <c r="AA372"/>
  <c r="AB372" i="7"/>
  <c r="AE360" i="2"/>
  <c r="AE372"/>
  <c r="S353" i="1"/>
  <c r="Z353" s="1"/>
  <c r="BK359"/>
  <c r="AA359" i="4"/>
  <c r="S358" i="1"/>
  <c r="Z358" s="1"/>
  <c r="AE359" i="2"/>
  <c r="S360" i="1"/>
  <c r="Z360" s="1"/>
  <c r="S357"/>
  <c r="Z357" s="1"/>
  <c r="AA358" i="4"/>
  <c r="AE358" i="2"/>
  <c r="AG355" i="1"/>
  <c r="AF355" s="1"/>
  <c r="AA357" i="4"/>
  <c r="AE357" i="2"/>
  <c r="AA356" i="4"/>
  <c r="AE356" i="2"/>
  <c r="AA355" i="1"/>
  <c r="BK355"/>
  <c r="AA355" i="4"/>
  <c r="AE355" i="2"/>
  <c r="AH355" i="1"/>
  <c r="S356"/>
  <c r="Z356" s="1"/>
  <c r="AN36" i="3"/>
  <c r="AA360" i="1"/>
  <c r="W355"/>
  <c r="AE354" i="2"/>
  <c r="AA354" i="4"/>
  <c r="BK354" i="1"/>
  <c r="AO36" i="4"/>
  <c r="AE353" i="2"/>
  <c r="BK358" i="1"/>
  <c r="AN36" i="2"/>
  <c r="AP36" i="7"/>
  <c r="AA353" i="4"/>
  <c r="AS36"/>
  <c r="AM36" i="1"/>
  <c r="AR36"/>
  <c r="AS36" s="1"/>
  <c r="AL36" i="2"/>
  <c r="AQ36"/>
  <c r="AR36" s="1"/>
  <c r="AM36" i="7"/>
  <c r="AO36" s="1"/>
  <c r="AJ36" i="3"/>
  <c r="AO36"/>
  <c r="AP36" s="1"/>
  <c r="AR36" i="9"/>
  <c r="AS36" s="1"/>
  <c r="C353" i="8"/>
  <c r="AM36" s="1"/>
  <c r="AN36" s="1"/>
  <c r="AM36" i="6"/>
  <c r="AN36" s="1"/>
  <c r="D353" i="8"/>
  <c r="AR36" s="1"/>
  <c r="AS36" s="1"/>
  <c r="AR36" i="6"/>
  <c r="AS36" s="1"/>
  <c r="AM36" i="9"/>
  <c r="AN36" s="1"/>
  <c r="Z355"/>
  <c r="W353" i="2"/>
  <c r="AG353"/>
  <c r="AA353"/>
  <c r="AA357"/>
  <c r="W357"/>
  <c r="AG357"/>
  <c r="AB357" i="7"/>
  <c r="W359" i="1"/>
  <c r="AG359"/>
  <c r="AF359" s="1"/>
  <c r="AH359"/>
  <c r="AA359"/>
  <c r="AB354" i="7"/>
  <c r="AA360" i="2"/>
  <c r="W360"/>
  <c r="X372" s="1"/>
  <c r="AG360"/>
  <c r="AH372" s="1"/>
  <c r="Z359" i="9"/>
  <c r="AG354" i="2"/>
  <c r="AA354"/>
  <c r="W354"/>
  <c r="W358"/>
  <c r="AA358"/>
  <c r="AG358"/>
  <c r="AB361" i="7"/>
  <c r="AA356" i="2"/>
  <c r="W356"/>
  <c r="AG356"/>
  <c r="AB356" i="7"/>
  <c r="AB358"/>
  <c r="AG355" i="2"/>
  <c r="AA355"/>
  <c r="W355"/>
  <c r="AB355" i="7"/>
  <c r="W359" i="2"/>
  <c r="AA359"/>
  <c r="AG359"/>
  <c r="AB359" i="7"/>
  <c r="AB360"/>
  <c r="AA361" i="2"/>
  <c r="W361"/>
  <c r="X373" s="1"/>
  <c r="AG361"/>
  <c r="AH373" s="1"/>
  <c r="CP360" i="3"/>
  <c r="AQ36" i="7" l="1"/>
  <c r="W354" i="1"/>
  <c r="X354" s="1"/>
  <c r="AA354"/>
  <c r="AH354"/>
  <c r="Z354" i="9"/>
  <c r="Y354" s="1"/>
  <c r="AH357" i="1"/>
  <c r="AG354"/>
  <c r="AF354" s="1"/>
  <c r="AH361"/>
  <c r="AG361"/>
  <c r="AF361" s="1"/>
  <c r="W361"/>
  <c r="X373" s="1"/>
  <c r="Z361" i="9"/>
  <c r="Y373" s="1"/>
  <c r="AH373" i="1"/>
  <c r="AA361"/>
  <c r="AG353"/>
  <c r="AF353" s="1"/>
  <c r="W357"/>
  <c r="X357" s="1"/>
  <c r="Z353" i="9"/>
  <c r="Y353" s="1"/>
  <c r="AA353" i="1"/>
  <c r="W353"/>
  <c r="X353" s="1"/>
  <c r="W356"/>
  <c r="X356" s="1"/>
  <c r="W358"/>
  <c r="X358" s="1"/>
  <c r="AH353"/>
  <c r="AG357"/>
  <c r="AF357" s="1"/>
  <c r="Z357" i="9"/>
  <c r="AA357" s="1"/>
  <c r="AG358" i="1"/>
  <c r="AF358" s="1"/>
  <c r="AA357"/>
  <c r="AA358"/>
  <c r="Z360" i="9"/>
  <c r="AA360" s="1"/>
  <c r="AH372" i="1"/>
  <c r="AH358"/>
  <c r="AH360"/>
  <c r="Z358" i="9"/>
  <c r="AA358" s="1"/>
  <c r="W360" i="1"/>
  <c r="AG360"/>
  <c r="AF360" s="1"/>
  <c r="AA356"/>
  <c r="Z356" i="9"/>
  <c r="AH356" i="1"/>
  <c r="AG356"/>
  <c r="AF356" s="1"/>
  <c r="AA355" i="9"/>
  <c r="X355" i="1"/>
  <c r="X361" i="2"/>
  <c r="X359"/>
  <c r="X355"/>
  <c r="X356"/>
  <c r="X360"/>
  <c r="X359" i="1"/>
  <c r="X358" i="2"/>
  <c r="X357"/>
  <c r="X354"/>
  <c r="Y355" i="9"/>
  <c r="AW36" i="7"/>
  <c r="AX36" s="1"/>
  <c r="X353" i="2"/>
  <c r="AS36"/>
  <c r="AT36" s="1"/>
  <c r="AO36" i="1"/>
  <c r="AT36"/>
  <c r="AU36" s="1"/>
  <c r="AH361" i="2"/>
  <c r="AF361"/>
  <c r="AF359"/>
  <c r="AH359"/>
  <c r="AH354"/>
  <c r="AF354"/>
  <c r="Y359" i="9"/>
  <c r="AA359"/>
  <c r="AH360" i="2"/>
  <c r="AF360"/>
  <c r="AF353"/>
  <c r="AH353"/>
  <c r="AF355"/>
  <c r="AH355"/>
  <c r="AH356"/>
  <c r="AF356"/>
  <c r="AF358"/>
  <c r="AH358"/>
  <c r="AH357"/>
  <c r="AF357"/>
  <c r="CP359" i="3"/>
  <c r="CP358"/>
  <c r="CP357"/>
  <c r="AA354" i="9" l="1"/>
  <c r="AA353"/>
  <c r="X361" i="1"/>
  <c r="Y361" i="9"/>
  <c r="AA361"/>
  <c r="Y357"/>
  <c r="X360" i="1"/>
  <c r="X372"/>
  <c r="Y360" i="9"/>
  <c r="Y372"/>
  <c r="Y358"/>
  <c r="Y356"/>
  <c r="AA356"/>
  <c r="AQ36"/>
  <c r="AW36"/>
  <c r="AX36" s="1"/>
  <c r="CP356" i="3"/>
  <c r="CP355"/>
  <c r="CP354" l="1"/>
  <c r="CP353" l="1"/>
  <c r="CP352" l="1"/>
  <c r="CU352" l="1"/>
  <c r="CW352" l="1"/>
  <c r="CV352"/>
  <c r="I362" l="1"/>
  <c r="F362" s="1"/>
  <c r="H362"/>
  <c r="E362" l="1"/>
  <c r="G362" l="1"/>
  <c r="AI362" s="1"/>
  <c r="I361"/>
  <c r="F361" s="1"/>
  <c r="H361"/>
  <c r="I360"/>
  <c r="F360" s="1"/>
  <c r="H360"/>
  <c r="I359"/>
  <c r="F359" s="1"/>
  <c r="H359"/>
  <c r="I358"/>
  <c r="F358" s="1"/>
  <c r="H358"/>
  <c r="I357"/>
  <c r="F357" s="1"/>
  <c r="H357"/>
  <c r="I356"/>
  <c r="F356" s="1"/>
  <c r="H356"/>
  <c r="I355"/>
  <c r="F355" s="1"/>
  <c r="H355"/>
  <c r="I354"/>
  <c r="F354" s="1"/>
  <c r="H354"/>
  <c r="H353"/>
  <c r="AK362" l="1"/>
  <c r="DC362"/>
  <c r="DD362" s="1"/>
  <c r="DE362" s="1"/>
  <c r="DF362" s="1"/>
  <c r="DG362" s="1"/>
  <c r="W362"/>
  <c r="X362" s="1"/>
  <c r="E353"/>
  <c r="E354"/>
  <c r="E355"/>
  <c r="E356"/>
  <c r="E357"/>
  <c r="E358"/>
  <c r="E359"/>
  <c r="E360"/>
  <c r="E361"/>
  <c r="I353"/>
  <c r="F353" s="1"/>
  <c r="Y362" l="1"/>
  <c r="Z362" s="1"/>
  <c r="G360"/>
  <c r="AI360" s="1"/>
  <c r="G358"/>
  <c r="AI358" s="1"/>
  <c r="AK358" s="1"/>
  <c r="G356"/>
  <c r="AI356" s="1"/>
  <c r="AK356" s="1"/>
  <c r="G354"/>
  <c r="AI354" s="1"/>
  <c r="AK354" s="1"/>
  <c r="G361"/>
  <c r="AI361" s="1"/>
  <c r="G359"/>
  <c r="AI359" s="1"/>
  <c r="AK359" s="1"/>
  <c r="G357"/>
  <c r="AI357" s="1"/>
  <c r="AK357" s="1"/>
  <c r="G355"/>
  <c r="AI355" s="1"/>
  <c r="AK355" s="1"/>
  <c r="G353"/>
  <c r="AI353" s="1"/>
  <c r="AK353" s="1"/>
  <c r="DC354"/>
  <c r="DD354" s="1"/>
  <c r="DE354" s="1"/>
  <c r="DF354" s="1"/>
  <c r="DG354" s="1"/>
  <c r="W356" l="1"/>
  <c r="X356" s="1"/>
  <c r="DC361"/>
  <c r="DD361" s="1"/>
  <c r="DE361" s="1"/>
  <c r="DF361" s="1"/>
  <c r="DG361" s="1"/>
  <c r="AK361"/>
  <c r="AK360"/>
  <c r="Z362" i="6"/>
  <c r="W360" i="3"/>
  <c r="X360" s="1"/>
  <c r="Y360" s="1"/>
  <c r="Z360" s="1"/>
  <c r="DC357"/>
  <c r="DD357" s="1"/>
  <c r="DE357" s="1"/>
  <c r="DF357" s="1"/>
  <c r="DG357" s="1"/>
  <c r="DC356"/>
  <c r="DD356" s="1"/>
  <c r="DE356" s="1"/>
  <c r="DF356" s="1"/>
  <c r="DG356" s="1"/>
  <c r="DC360"/>
  <c r="DD360" s="1"/>
  <c r="DE360" s="1"/>
  <c r="DF360" s="1"/>
  <c r="DG360" s="1"/>
  <c r="W357"/>
  <c r="X357" s="1"/>
  <c r="W361"/>
  <c r="X361" s="1"/>
  <c r="Y361" s="1"/>
  <c r="Z361" s="1"/>
  <c r="AA362"/>
  <c r="W358"/>
  <c r="X358" s="1"/>
  <c r="W359"/>
  <c r="X359" s="1"/>
  <c r="W354"/>
  <c r="X354" s="1"/>
  <c r="DC358"/>
  <c r="DD358" s="1"/>
  <c r="DE358" s="1"/>
  <c r="DF358" s="1"/>
  <c r="DG358" s="1"/>
  <c r="W355"/>
  <c r="X355" s="1"/>
  <c r="DC355"/>
  <c r="DD355" s="1"/>
  <c r="DE355" s="1"/>
  <c r="DF355" s="1"/>
  <c r="DG355" s="1"/>
  <c r="DC359"/>
  <c r="DD359" s="1"/>
  <c r="DE359" s="1"/>
  <c r="DF359" s="1"/>
  <c r="DG359" s="1"/>
  <c r="Y356"/>
  <c r="Z356" s="1"/>
  <c r="W353"/>
  <c r="X353" s="1"/>
  <c r="DC353"/>
  <c r="DD353" s="1"/>
  <c r="DE353" s="1"/>
  <c r="DF353" s="1"/>
  <c r="DG353" s="1"/>
  <c r="Y362" i="6" l="1"/>
  <c r="AA362"/>
  <c r="Z362" i="8"/>
  <c r="Z361" i="6"/>
  <c r="Y359" i="3"/>
  <c r="Z359" s="1"/>
  <c r="Y354"/>
  <c r="Z354" s="1"/>
  <c r="Y358"/>
  <c r="Z358" s="1"/>
  <c r="Y357"/>
  <c r="Z357" s="1"/>
  <c r="Z360" i="6"/>
  <c r="AA361" i="3"/>
  <c r="Z356" i="6"/>
  <c r="AA360" i="3"/>
  <c r="Y355"/>
  <c r="Z355" s="1"/>
  <c r="AA356"/>
  <c r="Y353"/>
  <c r="Z353" s="1"/>
  <c r="Z358" i="6" l="1"/>
  <c r="AA362" i="8"/>
  <c r="AA361" i="6"/>
  <c r="Z361" i="8"/>
  <c r="Y362"/>
  <c r="Z360"/>
  <c r="Y361" i="6"/>
  <c r="Y356"/>
  <c r="Z354"/>
  <c r="Y360"/>
  <c r="AA358" i="3"/>
  <c r="Z359" i="6"/>
  <c r="AA359" i="3"/>
  <c r="AA354"/>
  <c r="AA357"/>
  <c r="Z357" i="6"/>
  <c r="AA360"/>
  <c r="AA356"/>
  <c r="Z356" i="8"/>
  <c r="Y356" s="1"/>
  <c r="AA353" i="3"/>
  <c r="AA355"/>
  <c r="Z355" i="6"/>
  <c r="Z353"/>
  <c r="Z358" i="8" l="1"/>
  <c r="AA358" s="1"/>
  <c r="Y358" i="6"/>
  <c r="AA358"/>
  <c r="AA361" i="8"/>
  <c r="Y361"/>
  <c r="Y359" i="6"/>
  <c r="Z354" i="8"/>
  <c r="Y354" s="1"/>
  <c r="AA360"/>
  <c r="Y360"/>
  <c r="Y354" i="6"/>
  <c r="AA354"/>
  <c r="Y357"/>
  <c r="AA359"/>
  <c r="Z359" i="8"/>
  <c r="AA359" s="1"/>
  <c r="AA357" i="6"/>
  <c r="Z357" i="8"/>
  <c r="AA357" s="1"/>
  <c r="Y358"/>
  <c r="AA355" i="6"/>
  <c r="AA356" i="8"/>
  <c r="AA353" i="6"/>
  <c r="Y355"/>
  <c r="Z355" i="8"/>
  <c r="Y353" i="6"/>
  <c r="Z353" i="8"/>
  <c r="Y353" s="1"/>
  <c r="AA354" l="1"/>
  <c r="Y359"/>
  <c r="Y357"/>
  <c r="Y355"/>
  <c r="AA355"/>
  <c r="AA353"/>
  <c r="CO364" i="3" l="1"/>
  <c r="CO363" l="1"/>
  <c r="CU363" l="1"/>
  <c r="CV363" l="1"/>
  <c r="CW363"/>
  <c r="CO361" l="1"/>
  <c r="CO360"/>
  <c r="CO359"/>
  <c r="CU360" l="1"/>
  <c r="CW360" s="1"/>
  <c r="CU359"/>
  <c r="CW359" s="1"/>
  <c r="CU361"/>
  <c r="CV361" s="1"/>
  <c r="CO362"/>
  <c r="CO358"/>
  <c r="CV359" l="1"/>
  <c r="CW361"/>
  <c r="CV360"/>
  <c r="CU358"/>
  <c r="CW358" s="1"/>
  <c r="CU362"/>
  <c r="CW362" s="1"/>
  <c r="CO357"/>
  <c r="CV362" l="1"/>
  <c r="CV358"/>
  <c r="CU357"/>
  <c r="CV357" s="1"/>
  <c r="CO356"/>
  <c r="CW357" l="1"/>
  <c r="CU356"/>
  <c r="CW356" s="1"/>
  <c r="CO355"/>
  <c r="CV356" l="1"/>
  <c r="CO354"/>
  <c r="CU354"/>
  <c r="CU355"/>
  <c r="CV355" s="1"/>
  <c r="CV354" l="1"/>
  <c r="CO353"/>
  <c r="CW355"/>
  <c r="CW354"/>
  <c r="CU353" l="1"/>
  <c r="CV353" s="1"/>
  <c r="CW353" l="1"/>
  <c r="DH338" l="1"/>
  <c r="DH339"/>
  <c r="DH340"/>
  <c r="DH337"/>
  <c r="DH336"/>
  <c r="DH335"/>
  <c r="DH334"/>
  <c r="DH333"/>
  <c r="DH332"/>
  <c r="DH331"/>
  <c r="DH330"/>
  <c r="DH329"/>
  <c r="DH347" l="1"/>
  <c r="DI347" s="1"/>
  <c r="DH349"/>
  <c r="DI349" s="1"/>
  <c r="DH345" l="1"/>
  <c r="DI345" s="1"/>
  <c r="DH352"/>
  <c r="DI352" s="1"/>
  <c r="DH350"/>
  <c r="DI350" s="1"/>
  <c r="DH348"/>
  <c r="DI348" s="1"/>
  <c r="DH343" l="1"/>
  <c r="DI343" s="1"/>
  <c r="DH346"/>
  <c r="DI346" s="1"/>
  <c r="DH344"/>
  <c r="DI344" s="1"/>
  <c r="DH351"/>
  <c r="DI351" s="1"/>
  <c r="DH342" l="1"/>
  <c r="DI342" s="1"/>
  <c r="DH341" l="1"/>
  <c r="DI341" s="1"/>
  <c r="DH362" l="1"/>
  <c r="DI362" s="1"/>
  <c r="DH363"/>
  <c r="DI363" s="1"/>
  <c r="DH361" l="1"/>
  <c r="DI361" s="1"/>
  <c r="DH360" l="1"/>
  <c r="DI360" s="1"/>
  <c r="DH354" l="1"/>
  <c r="DI354" s="1"/>
  <c r="DH356"/>
  <c r="DI356" s="1"/>
  <c r="DH358"/>
  <c r="DH353"/>
  <c r="DI353" s="1"/>
  <c r="DH355"/>
  <c r="DI355" s="1"/>
  <c r="DH357"/>
  <c r="DH359"/>
  <c r="DI359" l="1"/>
  <c r="DI358"/>
  <c r="DI357"/>
  <c r="DH364"/>
  <c r="DI364" s="1"/>
  <c r="CM366" l="1"/>
  <c r="CM368" l="1"/>
  <c r="BH41" l="1"/>
  <c r="BH39"/>
  <c r="BH42"/>
  <c r="AS47"/>
  <c r="BH40"/>
  <c r="AZ41" i="6"/>
  <c r="AZ42"/>
  <c r="AZ40"/>
  <c r="AZ39"/>
  <c r="BA39" l="1"/>
  <c r="AX39"/>
  <c r="AX40"/>
  <c r="BA40"/>
  <c r="AX42"/>
  <c r="BA42"/>
  <c r="BA41"/>
  <c r="AX41"/>
  <c r="AP38" l="1"/>
  <c r="AO39" l="1"/>
  <c r="BP370" i="7" l="1"/>
  <c r="BQ370" l="1"/>
  <c r="BT370" l="1"/>
  <c r="BP369"/>
  <c r="BP368" l="1"/>
  <c r="BQ369" l="1"/>
  <c r="BT369" l="1"/>
  <c r="BQ368"/>
  <c r="BT368" l="1"/>
  <c r="BP367" l="1"/>
  <c r="BP366" l="1"/>
  <c r="BQ367"/>
  <c r="BT367" l="1"/>
  <c r="BP352" l="1"/>
  <c r="BW352" s="1"/>
  <c r="BT352" i="4" l="1"/>
  <c r="BQ352" i="7"/>
  <c r="BT352" l="1"/>
  <c r="BX352"/>
  <c r="BW352" i="4"/>
  <c r="BQ352" i="3"/>
  <c r="BK352"/>
  <c r="BL352" s="1"/>
  <c r="BM352" s="1"/>
  <c r="BN352" s="1"/>
  <c r="BP352" i="9" l="1"/>
  <c r="BT352" i="5"/>
  <c r="BP352" i="6"/>
  <c r="BP352" i="8" s="1"/>
  <c r="BQ352" i="1"/>
  <c r="BT352"/>
  <c r="BO352" i="3"/>
  <c r="BR352" s="1"/>
  <c r="BT352" i="2"/>
  <c r="BQ352"/>
  <c r="BP351" i="7"/>
  <c r="BW351" s="1"/>
  <c r="BP352" i="3" l="1"/>
  <c r="BW352" i="5"/>
  <c r="BT352" i="9"/>
  <c r="BW352" i="2"/>
  <c r="BR352"/>
  <c r="BV352"/>
  <c r="BV352" i="1"/>
  <c r="BW352"/>
  <c r="BR352"/>
  <c r="BT352" i="3"/>
  <c r="CL352" l="1"/>
  <c r="CN352" s="1"/>
  <c r="BW352" i="9"/>
  <c r="BT352" i="6"/>
  <c r="CX352" i="3" l="1"/>
  <c r="CY352" s="1"/>
  <c r="BV352" i="6"/>
  <c r="BT352" i="8"/>
  <c r="BW352" l="1"/>
  <c r="BP340" i="7" l="1"/>
  <c r="BW340" s="1"/>
  <c r="BP328" l="1"/>
  <c r="BW328" s="1"/>
  <c r="BP325"/>
  <c r="BW325" s="1"/>
  <c r="BP314"/>
  <c r="BW314" s="1"/>
  <c r="BP312"/>
  <c r="BW312" s="1"/>
  <c r="BP310"/>
  <c r="BW310" s="1"/>
  <c r="BP301"/>
  <c r="BW301" s="1"/>
  <c r="BP299"/>
  <c r="BW299" s="1"/>
  <c r="BP286"/>
  <c r="BW286" s="1"/>
  <c r="BP283"/>
  <c r="BW283" s="1"/>
  <c r="BP280"/>
  <c r="BW280" s="1"/>
  <c r="BP274"/>
  <c r="BW274" s="1"/>
  <c r="BP268"/>
  <c r="BW268" s="1"/>
  <c r="BP259"/>
  <c r="BW259" s="1"/>
  <c r="BP256"/>
  <c r="BW256" s="1"/>
  <c r="BP232"/>
  <c r="BP222"/>
  <c r="BP218"/>
  <c r="BP216"/>
  <c r="BP213"/>
  <c r="BP205"/>
  <c r="BP202"/>
  <c r="BP197"/>
  <c r="BP187"/>
  <c r="BP184"/>
  <c r="BP179"/>
  <c r="BP178"/>
  <c r="BP175"/>
  <c r="BP214"/>
  <c r="BP200"/>
  <c r="BP192"/>
  <c r="BP269"/>
  <c r="BP267"/>
  <c r="BW267" s="1"/>
  <c r="BP266"/>
  <c r="BW266" s="1"/>
  <c r="BP262"/>
  <c r="BW262" s="1"/>
  <c r="BP252"/>
  <c r="BW252" s="1"/>
  <c r="BP220"/>
  <c r="BP211"/>
  <c r="BP210"/>
  <c r="BP207"/>
  <c r="BP203"/>
  <c r="BP195"/>
  <c r="BP194"/>
  <c r="BP189"/>
  <c r="BP181"/>
  <c r="BP177"/>
  <c r="BP285"/>
  <c r="BW285" s="1"/>
  <c r="BP289"/>
  <c r="BW289" s="1"/>
  <c r="BP221"/>
  <c r="BP227"/>
  <c r="BP235"/>
  <c r="BP244"/>
  <c r="BP275"/>
  <c r="BW275" s="1"/>
  <c r="BP281"/>
  <c r="BP279"/>
  <c r="BW279" s="1"/>
  <c r="BP271"/>
  <c r="BW271" s="1"/>
  <c r="BP243"/>
  <c r="BP239"/>
  <c r="BP273"/>
  <c r="BP233"/>
  <c r="BP231"/>
  <c r="BP229"/>
  <c r="BP225"/>
  <c r="BP223"/>
  <c r="BP237"/>
  <c r="BP291"/>
  <c r="BW291" s="1"/>
  <c r="BP224"/>
  <c r="BP230"/>
  <c r="BP236"/>
  <c r="BP242"/>
  <c r="BP292"/>
  <c r="BW292" s="1"/>
  <c r="BP288"/>
  <c r="BW288" s="1"/>
  <c r="BP282"/>
  <c r="BP276"/>
  <c r="BW276" s="1"/>
  <c r="BP272"/>
  <c r="BW272" s="1"/>
  <c r="BP247"/>
  <c r="BW247" s="1"/>
  <c r="BP300"/>
  <c r="BW300" s="1"/>
  <c r="BP295"/>
  <c r="BW295" s="1"/>
  <c r="BP303"/>
  <c r="BW303" s="1"/>
  <c r="BP304"/>
  <c r="BW304" s="1"/>
  <c r="BP298"/>
  <c r="BW298" s="1"/>
  <c r="BP191"/>
  <c r="BP183"/>
  <c r="BP185"/>
  <c r="BP215"/>
  <c r="BP217"/>
  <c r="BP219"/>
  <c r="BP226"/>
  <c r="BP234"/>
  <c r="BP246"/>
  <c r="BW246" s="1"/>
  <c r="BP270"/>
  <c r="BW270" s="1"/>
  <c r="BP277"/>
  <c r="BW277" s="1"/>
  <c r="BP245"/>
  <c r="BP241"/>
  <c r="BP199"/>
  <c r="BP201"/>
  <c r="BP193"/>
  <c r="BP209"/>
  <c r="BP238"/>
  <c r="BP174"/>
  <c r="BP176"/>
  <c r="BP180"/>
  <c r="BP182"/>
  <c r="BP188"/>
  <c r="BP190"/>
  <c r="BP196"/>
  <c r="BP198"/>
  <c r="BP204"/>
  <c r="BP212"/>
  <c r="BP296"/>
  <c r="BW296" s="1"/>
  <c r="BQ215"/>
  <c r="BT215" s="1"/>
  <c r="BP297"/>
  <c r="BW297" s="1"/>
  <c r="BP263"/>
  <c r="BW263" s="1"/>
  <c r="BP249"/>
  <c r="BW249" s="1"/>
  <c r="BP251"/>
  <c r="BW251" s="1"/>
  <c r="BP253"/>
  <c r="BW253" s="1"/>
  <c r="BP255"/>
  <c r="BW255" s="1"/>
  <c r="BP257"/>
  <c r="BP261"/>
  <c r="BP305"/>
  <c r="BP250"/>
  <c r="BW250" s="1"/>
  <c r="BP254"/>
  <c r="BW254" s="1"/>
  <c r="BP208"/>
  <c r="BP302"/>
  <c r="BW302" s="1"/>
  <c r="BP186"/>
  <c r="BP248"/>
  <c r="BW248" s="1"/>
  <c r="BP264"/>
  <c r="BW264" s="1"/>
  <c r="BP308"/>
  <c r="BW308" s="1"/>
  <c r="BP309"/>
  <c r="BW309" s="1"/>
  <c r="BP306"/>
  <c r="BW306" s="1"/>
  <c r="BP307"/>
  <c r="BW307" s="1"/>
  <c r="BP311"/>
  <c r="BW311" s="1"/>
  <c r="BP315"/>
  <c r="BW315" s="1"/>
  <c r="BP313"/>
  <c r="BW313" s="1"/>
  <c r="BP316"/>
  <c r="BW316" s="1"/>
  <c r="BP258"/>
  <c r="BW258" s="1"/>
  <c r="BP293"/>
  <c r="BP287"/>
  <c r="BW287" s="1"/>
  <c r="BP265"/>
  <c r="BW265" s="1"/>
  <c r="BP228"/>
  <c r="BP240"/>
  <c r="BP260"/>
  <c r="BW260" s="1"/>
  <c r="BP278"/>
  <c r="BW278" s="1"/>
  <c r="BP284"/>
  <c r="BW284" s="1"/>
  <c r="BP290"/>
  <c r="BW290" s="1"/>
  <c r="BP294"/>
  <c r="BP206"/>
  <c r="BP324"/>
  <c r="BW324" s="1"/>
  <c r="BP323"/>
  <c r="BW323" s="1"/>
  <c r="BP321"/>
  <c r="BW321" s="1"/>
  <c r="BP319"/>
  <c r="BW319" s="1"/>
  <c r="BP320"/>
  <c r="BW320" s="1"/>
  <c r="BP318"/>
  <c r="BW318" s="1"/>
  <c r="BP326"/>
  <c r="BW326" s="1"/>
  <c r="BP327"/>
  <c r="BW327" s="1"/>
  <c r="BP322"/>
  <c r="BW322" s="1"/>
  <c r="BQ241"/>
  <c r="BP317"/>
  <c r="BT241" l="1"/>
  <c r="BW294"/>
  <c r="CL31"/>
  <c r="BW293"/>
  <c r="BW257"/>
  <c r="CL28"/>
  <c r="BW282"/>
  <c r="BW273"/>
  <c r="CL25"/>
  <c r="CL29"/>
  <c r="BW269"/>
  <c r="CL23"/>
  <c r="BW317"/>
  <c r="CL33"/>
  <c r="CL32"/>
  <c r="BW305"/>
  <c r="BW261"/>
  <c r="CL24"/>
  <c r="BW245"/>
  <c r="CL27"/>
  <c r="CL22"/>
  <c r="CL26"/>
  <c r="BW281"/>
  <c r="CL30"/>
  <c r="BQ259"/>
  <c r="BQ242"/>
  <c r="BT242" s="1"/>
  <c r="BQ298"/>
  <c r="BQ247"/>
  <c r="BT253" i="4"/>
  <c r="BT279"/>
  <c r="BQ292" i="7"/>
  <c r="BQ221"/>
  <c r="BQ239"/>
  <c r="BT239" s="1"/>
  <c r="BT282" i="4"/>
  <c r="BW282" s="1"/>
  <c r="BT310"/>
  <c r="BT256"/>
  <c r="BQ301" i="7"/>
  <c r="BQ300"/>
  <c r="BQ229"/>
  <c r="BT229" s="1"/>
  <c r="BQ280"/>
  <c r="BQ214"/>
  <c r="BT214" s="1"/>
  <c r="BQ177"/>
  <c r="BT177" s="1"/>
  <c r="BQ299"/>
  <c r="BT322" i="4"/>
  <c r="BT192"/>
  <c r="BQ208" i="7"/>
  <c r="BT208" s="1"/>
  <c r="BT324" i="4"/>
  <c r="BQ304" i="7"/>
  <c r="BQ203"/>
  <c r="BT203" s="1"/>
  <c r="BQ195"/>
  <c r="BT195" s="1"/>
  <c r="BQ303"/>
  <c r="BQ302"/>
  <c r="BQ213"/>
  <c r="BT213" s="1"/>
  <c r="BQ286"/>
  <c r="BQ258"/>
  <c r="BQ228"/>
  <c r="BT228" s="1"/>
  <c r="BQ198"/>
  <c r="BT198" s="1"/>
  <c r="BQ227"/>
  <c r="BT227" s="1"/>
  <c r="BQ310"/>
  <c r="BQ240"/>
  <c r="BT240" s="1"/>
  <c r="BQ293"/>
  <c r="BQ210"/>
  <c r="BT210" s="1"/>
  <c r="BT226" i="4"/>
  <c r="BT284"/>
  <c r="BT224"/>
  <c r="BT227"/>
  <c r="BT248"/>
  <c r="BQ184" i="7"/>
  <c r="BT184" s="1"/>
  <c r="BQ291"/>
  <c r="BT280" i="4"/>
  <c r="BQ199" i="7"/>
  <c r="BT199" s="1"/>
  <c r="BQ289"/>
  <c r="BT240" i="4"/>
  <c r="BT246"/>
  <c r="BW246" s="1"/>
  <c r="BT244"/>
  <c r="BT229" i="5"/>
  <c r="BT213" i="4"/>
  <c r="BQ267" i="7"/>
  <c r="BQ233"/>
  <c r="BQ234"/>
  <c r="BT234" s="1"/>
  <c r="BQ238"/>
  <c r="BT238" s="1"/>
  <c r="BT286" i="4"/>
  <c r="BQ176" i="7"/>
  <c r="BT176" s="1"/>
  <c r="BQ232"/>
  <c r="BT232" s="1"/>
  <c r="BT285" i="4"/>
  <c r="BT271"/>
  <c r="BT181"/>
  <c r="BT230"/>
  <c r="BT287"/>
  <c r="BQ211" i="7"/>
  <c r="BT211" s="1"/>
  <c r="BQ180"/>
  <c r="BT180" s="1"/>
  <c r="BT295" i="4"/>
  <c r="BQ287" i="7"/>
  <c r="BQ183"/>
  <c r="BT183" s="1"/>
  <c r="BT216" i="4"/>
  <c r="BT291"/>
  <c r="BQ188" i="7"/>
  <c r="BT188" s="1"/>
  <c r="BT259" i="4"/>
  <c r="BT229"/>
  <c r="BT184"/>
  <c r="BT278"/>
  <c r="BT231"/>
  <c r="BT254"/>
  <c r="BQ222" i="7"/>
  <c r="BT222" s="1"/>
  <c r="BQ186"/>
  <c r="BT186" s="1"/>
  <c r="BQ235"/>
  <c r="BT235" s="1"/>
  <c r="BQ207"/>
  <c r="BT207" s="1"/>
  <c r="BQ268"/>
  <c r="BT290" i="4"/>
  <c r="BT275"/>
  <c r="BQ212" i="7"/>
  <c r="BT212" s="1"/>
  <c r="BT189" i="4"/>
  <c r="BT327"/>
  <c r="BT300"/>
  <c r="BT241"/>
  <c r="BU241" s="1"/>
  <c r="BT195"/>
  <c r="BT202"/>
  <c r="BT218"/>
  <c r="BT289"/>
  <c r="BT254" i="5"/>
  <c r="BQ311" i="7"/>
  <c r="BT176" i="4"/>
  <c r="BQ319" i="7"/>
  <c r="BQ318"/>
  <c r="BQ317"/>
  <c r="BP173"/>
  <c r="BT267" i="4"/>
  <c r="BQ285" i="7"/>
  <c r="BT311" i="4"/>
  <c r="BQ307" i="7"/>
  <c r="BQ243"/>
  <c r="BT243" s="1"/>
  <c r="BQ284"/>
  <c r="BQ175"/>
  <c r="BT175" s="1"/>
  <c r="BT320" i="4"/>
  <c r="BQ296" i="7"/>
  <c r="BQ237"/>
  <c r="BT237" s="1"/>
  <c r="BQ290"/>
  <c r="BT316" i="5"/>
  <c r="BQ281" i="7"/>
  <c r="BQ315"/>
  <c r="BQ275"/>
  <c r="BQ276"/>
  <c r="BQ277"/>
  <c r="BQ295"/>
  <c r="BQ196"/>
  <c r="BT196" s="1"/>
  <c r="BQ197"/>
  <c r="BQ204"/>
  <c r="BT204" s="1"/>
  <c r="BQ278"/>
  <c r="BT326" i="4"/>
  <c r="BQ189" i="7"/>
  <c r="BT189" s="1"/>
  <c r="BT328" i="4"/>
  <c r="BQ230" i="7"/>
  <c r="BT230" s="1"/>
  <c r="BQ218"/>
  <c r="BT218" s="1"/>
  <c r="BT321" i="4"/>
  <c r="BT316"/>
  <c r="BQ326" i="7"/>
  <c r="BQ316"/>
  <c r="BQ265"/>
  <c r="BQ263"/>
  <c r="BQ257"/>
  <c r="BQ253"/>
  <c r="BQ251"/>
  <c r="BQ200"/>
  <c r="BT200" s="1"/>
  <c r="BQ312"/>
  <c r="BQ313"/>
  <c r="BQ245"/>
  <c r="BQ193"/>
  <c r="BT193" s="1"/>
  <c r="BQ194"/>
  <c r="BT194" s="1"/>
  <c r="BQ270"/>
  <c r="BQ271"/>
  <c r="BQ264"/>
  <c r="BQ262"/>
  <c r="BQ256"/>
  <c r="BQ252"/>
  <c r="BQ250"/>
  <c r="BQ223"/>
  <c r="BT223" s="1"/>
  <c r="BQ224"/>
  <c r="BT224" s="1"/>
  <c r="BQ179"/>
  <c r="BT179" s="1"/>
  <c r="BQ178"/>
  <c r="BT178" s="1"/>
  <c r="BQ325"/>
  <c r="BT268" i="4"/>
  <c r="BQ190" i="7"/>
  <c r="BT190" s="1"/>
  <c r="BQ191"/>
  <c r="BT191" s="1"/>
  <c r="BQ297"/>
  <c r="BQ328"/>
  <c r="BQ327"/>
  <c r="BQ322"/>
  <c r="BQ192"/>
  <c r="BT192" s="1"/>
  <c r="BQ272"/>
  <c r="BQ279"/>
  <c r="BQ187"/>
  <c r="BT187" s="1"/>
  <c r="BQ266"/>
  <c r="BT279" l="1"/>
  <c r="BX279"/>
  <c r="BP247" i="9"/>
  <c r="BT247" i="5"/>
  <c r="BX322" i="7"/>
  <c r="BT322"/>
  <c r="BX327"/>
  <c r="BT327"/>
  <c r="BT297"/>
  <c r="BX297"/>
  <c r="BP275" i="9"/>
  <c r="BT275" i="5"/>
  <c r="BT187"/>
  <c r="BW268" i="4"/>
  <c r="BU268"/>
  <c r="BX325" i="7"/>
  <c r="BT325"/>
  <c r="BX250"/>
  <c r="BT250"/>
  <c r="BX252"/>
  <c r="BT252"/>
  <c r="BX256"/>
  <c r="BT256"/>
  <c r="BX262"/>
  <c r="BT262"/>
  <c r="BQ218" i="2"/>
  <c r="BT218"/>
  <c r="BX313" i="7"/>
  <c r="BT313"/>
  <c r="BX251"/>
  <c r="BT251"/>
  <c r="BX253"/>
  <c r="BT253"/>
  <c r="BX263"/>
  <c r="BT263"/>
  <c r="BX265"/>
  <c r="BT265"/>
  <c r="BQ230" i="2"/>
  <c r="BT230"/>
  <c r="BX316" i="7"/>
  <c r="BT316"/>
  <c r="BK224" i="3"/>
  <c r="BL224" s="1"/>
  <c r="BM224" s="1"/>
  <c r="BN224" s="1"/>
  <c r="BQ224"/>
  <c r="BW321" i="4"/>
  <c r="BQ200" i="2"/>
  <c r="BT200"/>
  <c r="BT307"/>
  <c r="BQ307"/>
  <c r="BW326" i="4"/>
  <c r="BT278" i="7"/>
  <c r="BX278"/>
  <c r="BT197"/>
  <c r="BT306" i="2"/>
  <c r="BQ306"/>
  <c r="BX277" i="7"/>
  <c r="BT277"/>
  <c r="BT275"/>
  <c r="BX275"/>
  <c r="BK306" i="3"/>
  <c r="BL306" s="1"/>
  <c r="BM306" s="1"/>
  <c r="BN306" s="1"/>
  <c r="BQ306"/>
  <c r="BT315" i="7"/>
  <c r="BX315"/>
  <c r="BQ195" i="3"/>
  <c r="BK195"/>
  <c r="BL195" s="1"/>
  <c r="BM195" s="1"/>
  <c r="BN195" s="1"/>
  <c r="BT281" i="7"/>
  <c r="BX281"/>
  <c r="BK250" i="3"/>
  <c r="BL250" s="1"/>
  <c r="BM250" s="1"/>
  <c r="BN250" s="1"/>
  <c r="BQ250"/>
  <c r="BW316" i="5"/>
  <c r="BT225" i="2"/>
  <c r="BQ225"/>
  <c r="BQ307" i="3"/>
  <c r="BK307"/>
  <c r="BL307" s="1"/>
  <c r="BM307" s="1"/>
  <c r="BN307" s="1"/>
  <c r="BQ275" i="1"/>
  <c r="BT275"/>
  <c r="BT328" i="5"/>
  <c r="BT283" i="2"/>
  <c r="BQ283"/>
  <c r="BW320" i="4"/>
  <c r="BT307" i="7"/>
  <c r="BX307"/>
  <c r="BW311" i="4"/>
  <c r="BX285" i="7"/>
  <c r="BT285"/>
  <c r="BQ307" i="1"/>
  <c r="BT307"/>
  <c r="BW267" i="4"/>
  <c r="CL21" i="7"/>
  <c r="BX318"/>
  <c r="BT318"/>
  <c r="BX319"/>
  <c r="BT319"/>
  <c r="BQ247" i="1"/>
  <c r="BT247"/>
  <c r="BW289" i="4"/>
  <c r="BP232" i="9"/>
  <c r="BT232" i="5"/>
  <c r="BP220" i="9"/>
  <c r="BT220" i="5"/>
  <c r="BQ176" i="2"/>
  <c r="BT176"/>
  <c r="BP270" i="9"/>
  <c r="BT270" i="5"/>
  <c r="BT257" i="2"/>
  <c r="BQ257"/>
  <c r="BP283" i="9"/>
  <c r="BT283" i="5"/>
  <c r="BT281" i="4"/>
  <c r="BW300"/>
  <c r="BT185" i="5"/>
  <c r="BT298"/>
  <c r="BT303"/>
  <c r="BK261" i="3"/>
  <c r="BL261" s="1"/>
  <c r="BM261" s="1"/>
  <c r="BN261" s="1"/>
  <c r="BQ261"/>
  <c r="BT320" i="5"/>
  <c r="BW290" i="4"/>
  <c r="BU290"/>
  <c r="BQ189" i="1"/>
  <c r="BT189"/>
  <c r="BK304" i="3"/>
  <c r="BL304" s="1"/>
  <c r="BM304" s="1"/>
  <c r="BN304" s="1"/>
  <c r="BQ304"/>
  <c r="BK313"/>
  <c r="BL313" s="1"/>
  <c r="BM313" s="1"/>
  <c r="BN313" s="1"/>
  <c r="BQ313"/>
  <c r="BQ207" i="1"/>
  <c r="BT207"/>
  <c r="BT284"/>
  <c r="BQ284"/>
  <c r="BQ175"/>
  <c r="BT175"/>
  <c r="BQ267"/>
  <c r="BT267"/>
  <c r="BW254" i="4"/>
  <c r="BT288" i="2"/>
  <c r="BQ288"/>
  <c r="BQ227"/>
  <c r="BT227"/>
  <c r="BQ273" i="1"/>
  <c r="BT273"/>
  <c r="BQ236"/>
  <c r="BT236"/>
  <c r="BQ179" i="2"/>
  <c r="BT179"/>
  <c r="BQ176" i="1"/>
  <c r="BT176"/>
  <c r="BQ276" i="3"/>
  <c r="BK276"/>
  <c r="BL276" s="1"/>
  <c r="BM276" s="1"/>
  <c r="BN276" s="1"/>
  <c r="BT235" i="2"/>
  <c r="BQ235"/>
  <c r="BT227" i="5"/>
  <c r="BW278" i="4"/>
  <c r="BQ301" i="1"/>
  <c r="BT301"/>
  <c r="BW259" i="4"/>
  <c r="BQ314" i="3"/>
  <c r="BK314"/>
  <c r="BL314" s="1"/>
  <c r="BM314" s="1"/>
  <c r="BN314" s="1"/>
  <c r="BX287" i="7"/>
  <c r="BT287"/>
  <c r="BW295" i="4"/>
  <c r="BU287"/>
  <c r="BW287"/>
  <c r="BQ285" i="1"/>
  <c r="BT285"/>
  <c r="BQ216" i="2"/>
  <c r="BT216"/>
  <c r="BK177" i="3"/>
  <c r="BL177" s="1"/>
  <c r="BM177" s="1"/>
  <c r="BN177" s="1"/>
  <c r="BQ177"/>
  <c r="BT250" i="1"/>
  <c r="BQ250"/>
  <c r="BW285" i="4"/>
  <c r="BQ318" i="2"/>
  <c r="BT318"/>
  <c r="BW286" i="4"/>
  <c r="BQ243" i="1"/>
  <c r="BT243"/>
  <c r="BQ297" i="3"/>
  <c r="BK297"/>
  <c r="BL297" s="1"/>
  <c r="BM297" s="1"/>
  <c r="BN297" s="1"/>
  <c r="BT282" i="5"/>
  <c r="BQ220" i="1"/>
  <c r="BT220"/>
  <c r="BT197"/>
  <c r="BQ197"/>
  <c r="BT182" i="5"/>
  <c r="BP182" i="9"/>
  <c r="BT268" i="5"/>
  <c r="BT270" i="1"/>
  <c r="BQ270"/>
  <c r="BT292" i="5"/>
  <c r="BT261" i="2"/>
  <c r="BQ261"/>
  <c r="BT233" i="5"/>
  <c r="BX289" i="7"/>
  <c r="BT289"/>
  <c r="BT242" i="2"/>
  <c r="BQ242"/>
  <c r="BQ198" i="3"/>
  <c r="BK198"/>
  <c r="BL198" s="1"/>
  <c r="BM198" s="1"/>
  <c r="BN198" s="1"/>
  <c r="BP250" i="9"/>
  <c r="BT250" i="5"/>
  <c r="BK303" i="3"/>
  <c r="BL303" s="1"/>
  <c r="BM303" s="1"/>
  <c r="BN303" s="1"/>
  <c r="BQ303"/>
  <c r="BQ265"/>
  <c r="BK265"/>
  <c r="BL265" s="1"/>
  <c r="BM265" s="1"/>
  <c r="BN265" s="1"/>
  <c r="BW280" i="4"/>
  <c r="BU280"/>
  <c r="BQ273" i="3"/>
  <c r="BK273"/>
  <c r="BL273" s="1"/>
  <c r="BM273" s="1"/>
  <c r="BN273" s="1"/>
  <c r="BQ251" i="2"/>
  <c r="BT251"/>
  <c r="BT228"/>
  <c r="BQ228"/>
  <c r="BT308" i="1"/>
  <c r="BQ308"/>
  <c r="BW284" i="4"/>
  <c r="BT257"/>
  <c r="BQ317" i="2"/>
  <c r="BT317"/>
  <c r="BT305" i="4"/>
  <c r="BT293" i="7"/>
  <c r="BX293"/>
  <c r="BT310"/>
  <c r="BX310"/>
  <c r="BT286"/>
  <c r="BX286"/>
  <c r="BX303"/>
  <c r="BT303"/>
  <c r="BK266" i="3"/>
  <c r="BL266" s="1"/>
  <c r="BM266" s="1"/>
  <c r="BN266" s="1"/>
  <c r="BQ266"/>
  <c r="BW324" i="4"/>
  <c r="BT215" i="1"/>
  <c r="BQ215"/>
  <c r="BT206"/>
  <c r="BQ206"/>
  <c r="BT296" i="5"/>
  <c r="BQ232" i="3"/>
  <c r="BK232"/>
  <c r="BL232" s="1"/>
  <c r="BM232" s="1"/>
  <c r="BN232" s="1"/>
  <c r="BT255" i="2"/>
  <c r="BQ255"/>
  <c r="BT221" i="1"/>
  <c r="BQ221"/>
  <c r="BQ181"/>
  <c r="BT181"/>
  <c r="BQ285" i="3"/>
  <c r="BK285"/>
  <c r="BL285" s="1"/>
  <c r="BM285" s="1"/>
  <c r="BN285" s="1"/>
  <c r="BQ242"/>
  <c r="BK242"/>
  <c r="BL242" s="1"/>
  <c r="BM242" s="1"/>
  <c r="BN242" s="1"/>
  <c r="BU322" i="4"/>
  <c r="BW322"/>
  <c r="BT213" i="2"/>
  <c r="BQ213"/>
  <c r="BX299" i="7"/>
  <c r="BT299"/>
  <c r="BQ294" i="3"/>
  <c r="BK294"/>
  <c r="BL294" s="1"/>
  <c r="BM294" s="1"/>
  <c r="BN294" s="1"/>
  <c r="BK243"/>
  <c r="BL243" s="1"/>
  <c r="BM243" s="1"/>
  <c r="BN243" s="1"/>
  <c r="BQ243"/>
  <c r="BT192" i="1"/>
  <c r="BQ192"/>
  <c r="BQ289" i="3"/>
  <c r="BK289"/>
  <c r="BL289" s="1"/>
  <c r="BM289" s="1"/>
  <c r="BN289" s="1"/>
  <c r="BQ264" i="1"/>
  <c r="BT264"/>
  <c r="BK245" i="3"/>
  <c r="BL245" s="1"/>
  <c r="BM245" s="1"/>
  <c r="BN245" s="1"/>
  <c r="BQ245"/>
  <c r="BX280" i="7"/>
  <c r="BT280"/>
  <c r="BT230" i="1"/>
  <c r="BQ230"/>
  <c r="BQ276"/>
  <c r="BT276"/>
  <c r="BK305" i="3"/>
  <c r="BL305" s="1"/>
  <c r="BM305" s="1"/>
  <c r="BN305" s="1"/>
  <c r="BQ305"/>
  <c r="BT178" i="5"/>
  <c r="BK310" i="3"/>
  <c r="BL310" s="1"/>
  <c r="BM310" s="1"/>
  <c r="BN310" s="1"/>
  <c r="BQ310"/>
  <c r="BU256" i="4"/>
  <c r="BW256"/>
  <c r="BP236" i="9"/>
  <c r="BT236" i="5"/>
  <c r="BT221" i="7"/>
  <c r="BT224" i="1"/>
  <c r="BQ224"/>
  <c r="BK246" i="3"/>
  <c r="BL246" s="1"/>
  <c r="BM246" s="1"/>
  <c r="BN246" s="1"/>
  <c r="BQ246"/>
  <c r="BT260" i="2"/>
  <c r="BQ260"/>
  <c r="BT293" i="5"/>
  <c r="BP293" i="9"/>
  <c r="BQ257" i="1"/>
  <c r="BT257"/>
  <c r="BT259" i="7"/>
  <c r="BX259"/>
  <c r="BU230" i="4"/>
  <c r="BT266" i="7"/>
  <c r="BX266"/>
  <c r="BX272"/>
  <c r="BT272"/>
  <c r="BT328"/>
  <c r="BX328"/>
  <c r="BQ193" i="1"/>
  <c r="BT193"/>
  <c r="BQ214"/>
  <c r="BT214"/>
  <c r="BT258" i="2"/>
  <c r="BQ258"/>
  <c r="BT186" i="5"/>
  <c r="BQ190" i="1"/>
  <c r="BT190"/>
  <c r="BQ194"/>
  <c r="BT194"/>
  <c r="BT264" i="7"/>
  <c r="BX264"/>
  <c r="BQ217" i="2"/>
  <c r="BT217"/>
  <c r="BT271" i="7"/>
  <c r="BX271"/>
  <c r="BT270"/>
  <c r="BX270"/>
  <c r="BT245"/>
  <c r="BX245"/>
  <c r="BT312"/>
  <c r="BX312"/>
  <c r="BT257"/>
  <c r="BX257"/>
  <c r="BQ177" i="1"/>
  <c r="BT177"/>
  <c r="BQ226" i="3"/>
  <c r="BK226"/>
  <c r="BL226" s="1"/>
  <c r="BM226" s="1"/>
  <c r="BN226" s="1"/>
  <c r="BT326" i="7"/>
  <c r="BX326"/>
  <c r="BQ225" i="3"/>
  <c r="BK225"/>
  <c r="BL225" s="1"/>
  <c r="BM225" s="1"/>
  <c r="BN225" s="1"/>
  <c r="BW316" i="4"/>
  <c r="BQ229" i="2"/>
  <c r="BT229"/>
  <c r="BU328" i="4"/>
  <c r="BW328"/>
  <c r="BQ193" i="3"/>
  <c r="BK193"/>
  <c r="BL193" s="1"/>
  <c r="BM193" s="1"/>
  <c r="BN193" s="1"/>
  <c r="BT210" i="5"/>
  <c r="BK291" i="3"/>
  <c r="BL291" s="1"/>
  <c r="BM291" s="1"/>
  <c r="BN291" s="1"/>
  <c r="BQ291"/>
  <c r="BT209" i="5"/>
  <c r="BT295" i="7"/>
  <c r="BX295"/>
  <c r="BT276"/>
  <c r="BX276"/>
  <c r="BT313" i="5"/>
  <c r="BT290" i="7"/>
  <c r="BX290"/>
  <c r="BX296"/>
  <c r="BT296"/>
  <c r="BT228" i="1"/>
  <c r="BQ228"/>
  <c r="BQ241"/>
  <c r="BT241"/>
  <c r="BT284" i="7"/>
  <c r="BX284"/>
  <c r="BT245" i="2"/>
  <c r="BQ245"/>
  <c r="BX317" i="7"/>
  <c r="BT317"/>
  <c r="BX311"/>
  <c r="BT311"/>
  <c r="BW254" i="5"/>
  <c r="BT202"/>
  <c r="BT201" i="2"/>
  <c r="BQ201"/>
  <c r="BK176" i="3"/>
  <c r="BL176" s="1"/>
  <c r="BM176" s="1"/>
  <c r="BN176" s="1"/>
  <c r="BQ176"/>
  <c r="BP301" i="9"/>
  <c r="BT301" i="5"/>
  <c r="BQ280" i="3"/>
  <c r="BK280"/>
  <c r="BL280" s="1"/>
  <c r="BM280" s="1"/>
  <c r="BN280" s="1"/>
  <c r="BQ272"/>
  <c r="BK272"/>
  <c r="BL272" s="1"/>
  <c r="BM272" s="1"/>
  <c r="BN272" s="1"/>
  <c r="BQ231" i="2"/>
  <c r="BT231"/>
  <c r="BT265" i="1"/>
  <c r="BQ265"/>
  <c r="BK228" i="3"/>
  <c r="BL228" s="1"/>
  <c r="BM228" s="1"/>
  <c r="BN228" s="1"/>
  <c r="BQ228"/>
  <c r="BQ223" i="1"/>
  <c r="BT223"/>
  <c r="BK223" i="3"/>
  <c r="BL223" s="1"/>
  <c r="BM223" s="1"/>
  <c r="BN223" s="1"/>
  <c r="BQ223"/>
  <c r="BT255" i="5"/>
  <c r="BT300"/>
  <c r="BW327" i="4"/>
  <c r="BT263" i="2"/>
  <c r="BQ263"/>
  <c r="BT188" i="1"/>
  <c r="BQ188"/>
  <c r="BK189" i="3"/>
  <c r="BL189" s="1"/>
  <c r="BM189" s="1"/>
  <c r="BN189" s="1"/>
  <c r="BQ189"/>
  <c r="BT205" i="1"/>
  <c r="BQ205"/>
  <c r="BQ288"/>
  <c r="BT288"/>
  <c r="BW275" i="4"/>
  <c r="BT317" i="5"/>
  <c r="BT268" i="7"/>
  <c r="BX268"/>
  <c r="BT258" i="1"/>
  <c r="BQ258"/>
  <c r="BT311"/>
  <c r="BQ311"/>
  <c r="BT294" i="5"/>
  <c r="BK237" i="3"/>
  <c r="BL237" s="1"/>
  <c r="BM237" s="1"/>
  <c r="BN237" s="1"/>
  <c r="BQ237"/>
  <c r="BQ201"/>
  <c r="BK201"/>
  <c r="BL201" s="1"/>
  <c r="BM201" s="1"/>
  <c r="BN201" s="1"/>
  <c r="BT267" i="5"/>
  <c r="BP267" i="9"/>
  <c r="BT297" i="2"/>
  <c r="BQ297"/>
  <c r="BT199" i="5"/>
  <c r="BT183"/>
  <c r="BT185" i="4"/>
  <c r="BQ277" i="1"/>
  <c r="BT277"/>
  <c r="BW291" i="4"/>
  <c r="BU291"/>
  <c r="BT259" i="5"/>
  <c r="BK240" i="3"/>
  <c r="BL240" s="1"/>
  <c r="BM240" s="1"/>
  <c r="BN240" s="1"/>
  <c r="BQ240"/>
  <c r="BT235" i="5"/>
  <c r="BT244"/>
  <c r="BK263" i="3"/>
  <c r="BL263" s="1"/>
  <c r="BM263" s="1"/>
  <c r="BN263" s="1"/>
  <c r="BQ263"/>
  <c r="BK173"/>
  <c r="BL173" s="1"/>
  <c r="BM173" s="1"/>
  <c r="BN173" s="1"/>
  <c r="BQ173"/>
  <c r="BK206"/>
  <c r="BL206" s="1"/>
  <c r="BM206" s="1"/>
  <c r="BN206" s="1"/>
  <c r="BQ206"/>
  <c r="BQ177" i="2"/>
  <c r="BT177"/>
  <c r="BT249" i="5"/>
  <c r="BP249" i="9"/>
  <c r="BW271" i="4"/>
  <c r="BU271"/>
  <c r="BK183" i="3"/>
  <c r="BL183" s="1"/>
  <c r="BM183" s="1"/>
  <c r="BN183" s="1"/>
  <c r="BQ183"/>
  <c r="BT259" i="2"/>
  <c r="BQ259"/>
  <c r="BP228" i="9"/>
  <c r="BT228" i="5"/>
  <c r="BK267" i="3"/>
  <c r="BL267" s="1"/>
  <c r="BM267" s="1"/>
  <c r="BN267" s="1"/>
  <c r="BQ267"/>
  <c r="BQ293" i="1"/>
  <c r="BT293"/>
  <c r="BT287" i="2"/>
  <c r="BQ287"/>
  <c r="BT179" i="5"/>
  <c r="BT233" i="7"/>
  <c r="BT267"/>
  <c r="BX267"/>
  <c r="BQ206" i="2"/>
  <c r="BT206"/>
  <c r="BT257" i="5"/>
  <c r="BP257" i="9"/>
  <c r="BQ185" i="3"/>
  <c r="BK185"/>
  <c r="BL185" s="1"/>
  <c r="BM185" s="1"/>
  <c r="BN185" s="1"/>
  <c r="BQ196" i="1"/>
  <c r="BT196"/>
  <c r="BQ260"/>
  <c r="BT260"/>
  <c r="BT211" i="5"/>
  <c r="BQ222" i="2"/>
  <c r="BT222"/>
  <c r="BQ295"/>
  <c r="BT295"/>
  <c r="BK282" i="3"/>
  <c r="BL282" s="1"/>
  <c r="BM282" s="1"/>
  <c r="BN282" s="1"/>
  <c r="BQ282"/>
  <c r="BK218"/>
  <c r="BL218" s="1"/>
  <c r="BM218" s="1"/>
  <c r="BN218" s="1"/>
  <c r="BQ218"/>
  <c r="BT276" i="2"/>
  <c r="BQ276"/>
  <c r="BT243"/>
  <c r="BQ243"/>
  <c r="BK235" i="3"/>
  <c r="BL235" s="1"/>
  <c r="BM235" s="1"/>
  <c r="BN235" s="1"/>
  <c r="BQ235"/>
  <c r="BT193" i="2"/>
  <c r="BQ193"/>
  <c r="BT208" i="5"/>
  <c r="BQ207" i="3"/>
  <c r="BK207"/>
  <c r="BL207" s="1"/>
  <c r="BM207" s="1"/>
  <c r="BN207" s="1"/>
  <c r="BQ221"/>
  <c r="BK221"/>
  <c r="BL221" s="1"/>
  <c r="BM221" s="1"/>
  <c r="BN221" s="1"/>
  <c r="BT219" i="5"/>
  <c r="BK229" i="3"/>
  <c r="BL229" s="1"/>
  <c r="BM229" s="1"/>
  <c r="BN229" s="1"/>
  <c r="BQ229"/>
  <c r="BP206" i="9"/>
  <c r="BT206" i="5"/>
  <c r="BQ182" i="3"/>
  <c r="BK182"/>
  <c r="BL182" s="1"/>
  <c r="BM182" s="1"/>
  <c r="BN182" s="1"/>
  <c r="BT261" i="5"/>
  <c r="BT264" i="2"/>
  <c r="BQ264"/>
  <c r="BT283" i="1"/>
  <c r="BQ283"/>
  <c r="BQ249"/>
  <c r="BT249"/>
  <c r="BK219" i="3"/>
  <c r="BL219" s="1"/>
  <c r="BM219" s="1"/>
  <c r="BN219" s="1"/>
  <c r="BQ219"/>
  <c r="BT291" i="7"/>
  <c r="BX291"/>
  <c r="BQ180" i="3"/>
  <c r="BK180"/>
  <c r="BL180" s="1"/>
  <c r="BM180" s="1"/>
  <c r="BN180" s="1"/>
  <c r="BQ208"/>
  <c r="BK208"/>
  <c r="BL208" s="1"/>
  <c r="BM208" s="1"/>
  <c r="BN208" s="1"/>
  <c r="BQ271" i="1"/>
  <c r="BT271"/>
  <c r="BK204" i="3"/>
  <c r="BL204" s="1"/>
  <c r="BM204" s="1"/>
  <c r="BN204" s="1"/>
  <c r="BQ204"/>
  <c r="BP276" i="9"/>
  <c r="BT276" i="5"/>
  <c r="BQ247" i="2"/>
  <c r="BT247"/>
  <c r="BW248" i="4"/>
  <c r="BT287" i="5"/>
  <c r="BP287" i="9"/>
  <c r="BQ284" i="2"/>
  <c r="BT284"/>
  <c r="BQ225" i="1"/>
  <c r="BT225"/>
  <c r="BQ231"/>
  <c r="BT231"/>
  <c r="BQ240"/>
  <c r="BT240"/>
  <c r="BK238" i="3"/>
  <c r="BL238" s="1"/>
  <c r="BM238" s="1"/>
  <c r="BN238" s="1"/>
  <c r="BQ238"/>
  <c r="BQ262"/>
  <c r="BK262"/>
  <c r="BL262" s="1"/>
  <c r="BM262" s="1"/>
  <c r="BN262" s="1"/>
  <c r="BX258" i="7"/>
  <c r="BT258"/>
  <c r="BX302"/>
  <c r="BT302"/>
  <c r="BP307" i="9"/>
  <c r="BT307" i="5"/>
  <c r="BX304" i="7"/>
  <c r="BT304"/>
  <c r="BQ220" i="3"/>
  <c r="BK220"/>
  <c r="BL220" s="1"/>
  <c r="BM220" s="1"/>
  <c r="BN220" s="1"/>
  <c r="BT237" i="5"/>
  <c r="BT182" i="1"/>
  <c r="BQ182"/>
  <c r="BT191" i="5"/>
  <c r="BQ288" i="3"/>
  <c r="BK288"/>
  <c r="BL288" s="1"/>
  <c r="BM288" s="1"/>
  <c r="BN288" s="1"/>
  <c r="BT297" i="5"/>
  <c r="BQ232" i="1"/>
  <c r="BT232"/>
  <c r="BQ287"/>
  <c r="BT287"/>
  <c r="BQ242"/>
  <c r="BT242"/>
  <c r="BT190" i="5"/>
  <c r="BP190" i="9"/>
  <c r="BT249" i="2"/>
  <c r="BQ249"/>
  <c r="BK239" i="3"/>
  <c r="BL239" s="1"/>
  <c r="BM239" s="1"/>
  <c r="BN239" s="1"/>
  <c r="BQ239"/>
  <c r="BX300" i="7"/>
  <c r="BT300"/>
  <c r="BX301"/>
  <c r="BT301"/>
  <c r="BW310" i="4"/>
  <c r="BT292" i="7"/>
  <c r="BX292"/>
  <c r="BU279" i="4"/>
  <c r="BW279"/>
  <c r="BQ252" i="2"/>
  <c r="BT252"/>
  <c r="BQ231" i="3"/>
  <c r="BK231"/>
  <c r="BL231" s="1"/>
  <c r="BM231" s="1"/>
  <c r="BN231" s="1"/>
  <c r="BU253" i="4"/>
  <c r="BW253"/>
  <c r="BT247" i="7"/>
  <c r="BX247"/>
  <c r="BT278" i="1"/>
  <c r="BQ278"/>
  <c r="BX298" i="7"/>
  <c r="BT298"/>
  <c r="BT325" i="4"/>
  <c r="BT186"/>
  <c r="BT235"/>
  <c r="BT223"/>
  <c r="BQ294" i="7"/>
  <c r="BT225" i="4"/>
  <c r="BU225" s="1"/>
  <c r="BT179"/>
  <c r="BT205"/>
  <c r="BT303"/>
  <c r="BT262"/>
  <c r="BQ220" i="7"/>
  <c r="BT193" i="4"/>
  <c r="BU193" s="1"/>
  <c r="BT219"/>
  <c r="BT307"/>
  <c r="BT261"/>
  <c r="BQ254" i="7"/>
  <c r="BQ261"/>
  <c r="BT323" i="4"/>
  <c r="BQ282" i="7"/>
  <c r="BT266" i="4"/>
  <c r="BT177"/>
  <c r="BU189" s="1"/>
  <c r="BT234"/>
  <c r="BQ219" i="7"/>
  <c r="BT219" s="1"/>
  <c r="BQ260"/>
  <c r="BT260" i="4"/>
  <c r="BT203"/>
  <c r="BT206"/>
  <c r="BQ174" i="7"/>
  <c r="BT277" i="4"/>
  <c r="BU289" s="1"/>
  <c r="BT264"/>
  <c r="BT249"/>
  <c r="BQ231" i="7"/>
  <c r="BP223" i="6"/>
  <c r="BP223" i="8" s="1"/>
  <c r="BT255" i="4"/>
  <c r="BQ248" i="7"/>
  <c r="BT258" i="4"/>
  <c r="BQ249" i="7"/>
  <c r="BT314" i="4"/>
  <c r="BQ288" i="7"/>
  <c r="BT239" i="4"/>
  <c r="BU239" s="1"/>
  <c r="BP205" i="6"/>
  <c r="BQ273" i="7"/>
  <c r="BT194" i="4"/>
  <c r="BT270"/>
  <c r="BT187"/>
  <c r="BT236"/>
  <c r="BU236" s="1"/>
  <c r="BT250"/>
  <c r="BQ246" i="7"/>
  <c r="BQ209"/>
  <c r="BQ269"/>
  <c r="BT306" i="4"/>
  <c r="BT283"/>
  <c r="BQ173" i="7"/>
  <c r="BT251" i="4"/>
  <c r="BT252"/>
  <c r="BT191"/>
  <c r="BT190"/>
  <c r="BU202" s="1"/>
  <c r="BQ255" i="7"/>
  <c r="BT304" i="4"/>
  <c r="BT200"/>
  <c r="BT182"/>
  <c r="BT319"/>
  <c r="BT228"/>
  <c r="BU228" s="1"/>
  <c r="BT265"/>
  <c r="BT237"/>
  <c r="BT247"/>
  <c r="BT263"/>
  <c r="BQ308" i="7"/>
  <c r="BQ309"/>
  <c r="BP297" i="9"/>
  <c r="BT220" i="4"/>
  <c r="BT272"/>
  <c r="BT178"/>
  <c r="BU190" s="1"/>
  <c r="BT315"/>
  <c r="BT204"/>
  <c r="BT183"/>
  <c r="BU195" s="1"/>
  <c r="BT198"/>
  <c r="BQ225" i="7"/>
  <c r="BQ226"/>
  <c r="BT226" s="1"/>
  <c r="BQ217"/>
  <c r="BT217" s="1"/>
  <c r="BT188" i="4"/>
  <c r="BU188" s="1"/>
  <c r="BT292"/>
  <c r="BQ306" i="7"/>
  <c r="BT210" i="4"/>
  <c r="BQ216" i="7"/>
  <c r="BT216" s="1"/>
  <c r="BQ244"/>
  <c r="BT244" s="1"/>
  <c r="BT294" i="4"/>
  <c r="BQ236" i="7"/>
  <c r="BQ185"/>
  <c r="BT238" i="4"/>
  <c r="BU238" s="1"/>
  <c r="BQ274" i="7"/>
  <c r="BT180" i="4"/>
  <c r="BU192" s="1"/>
  <c r="BT222"/>
  <c r="BT297"/>
  <c r="BT296"/>
  <c r="BQ205" i="7"/>
  <c r="BT205" s="1"/>
  <c r="BQ206"/>
  <c r="BT206" s="1"/>
  <c r="BQ305"/>
  <c r="BT196" i="4"/>
  <c r="BU196" s="1"/>
  <c r="BT273"/>
  <c r="BT274"/>
  <c r="BT243"/>
  <c r="BU243" s="1"/>
  <c r="BT242"/>
  <c r="BT208"/>
  <c r="BT207"/>
  <c r="BU207" s="1"/>
  <c r="BT318"/>
  <c r="BT299"/>
  <c r="BT298"/>
  <c r="BT201"/>
  <c r="BT302"/>
  <c r="BT217"/>
  <c r="BT288"/>
  <c r="BT211"/>
  <c r="BT212"/>
  <c r="BQ321" i="7"/>
  <c r="BQ320"/>
  <c r="BQ283"/>
  <c r="BT308" i="4"/>
  <c r="BT309"/>
  <c r="BQ314" i="7"/>
  <c r="BT312" i="4"/>
  <c r="BT313"/>
  <c r="BW313" s="1"/>
  <c r="BT199"/>
  <c r="BQ182" i="7"/>
  <c r="BT182" s="1"/>
  <c r="BQ181"/>
  <c r="BT181" s="1"/>
  <c r="BQ202"/>
  <c r="BT202" s="1"/>
  <c r="BQ201"/>
  <c r="BT174" i="4"/>
  <c r="BT175"/>
  <c r="BT215"/>
  <c r="BT214"/>
  <c r="BQ324" i="7"/>
  <c r="BQ323"/>
  <c r="BU186" i="4" l="1"/>
  <c r="BU222"/>
  <c r="BU198"/>
  <c r="BU237"/>
  <c r="BU199"/>
  <c r="BU191"/>
  <c r="BU208"/>
  <c r="BU210"/>
  <c r="BT327" i="2"/>
  <c r="BQ327"/>
  <c r="BP322" i="9"/>
  <c r="BT322" i="5"/>
  <c r="BK328" i="3"/>
  <c r="BL328" s="1"/>
  <c r="BM328" s="1"/>
  <c r="BN328" s="1"/>
  <c r="BQ328"/>
  <c r="BQ327" i="1"/>
  <c r="BT327"/>
  <c r="BP327" i="6"/>
  <c r="BP327" i="8" s="1"/>
  <c r="BQ322" i="1"/>
  <c r="BP322" i="6"/>
  <c r="BP322" i="8" s="1"/>
  <c r="BT322" i="1"/>
  <c r="BU214" i="4"/>
  <c r="BU226"/>
  <c r="BT328" i="2"/>
  <c r="BQ328"/>
  <c r="BK321" i="3"/>
  <c r="BL321" s="1"/>
  <c r="BM321" s="1"/>
  <c r="BN321" s="1"/>
  <c r="BQ321"/>
  <c r="BK322"/>
  <c r="BL322" s="1"/>
  <c r="BM322" s="1"/>
  <c r="BN322" s="1"/>
  <c r="BQ322"/>
  <c r="BP321" i="9"/>
  <c r="BT321" i="5"/>
  <c r="BX323" i="7"/>
  <c r="BT323"/>
  <c r="BQ328" i="1"/>
  <c r="BT328"/>
  <c r="BP328" i="6"/>
  <c r="BP328" i="8" s="1"/>
  <c r="BP328" i="9"/>
  <c r="BX324" i="7"/>
  <c r="BT324"/>
  <c r="BT321" i="1"/>
  <c r="BQ321"/>
  <c r="BP321" i="6"/>
  <c r="BP321" i="8" s="1"/>
  <c r="BT321" i="2"/>
  <c r="BQ321"/>
  <c r="BU215" i="4"/>
  <c r="BU227"/>
  <c r="BP308" i="9"/>
  <c r="BT308" i="5"/>
  <c r="BU320" s="1"/>
  <c r="BP308" i="6"/>
  <c r="BP308" i="8" s="1"/>
  <c r="BQ324" i="1"/>
  <c r="BP324" i="6"/>
  <c r="BP324" i="8" s="1"/>
  <c r="BT324" i="1"/>
  <c r="BT318" i="5"/>
  <c r="BP318" i="9"/>
  <c r="CH33" i="5"/>
  <c r="BQ214" i="3"/>
  <c r="BK214"/>
  <c r="BL214" s="1"/>
  <c r="BM214" s="1"/>
  <c r="BN214" s="1"/>
  <c r="BT314" i="5"/>
  <c r="BP314" i="9"/>
  <c r="BQ219" i="1"/>
  <c r="BT219"/>
  <c r="BT219" i="9" s="1"/>
  <c r="BP219" i="6"/>
  <c r="BP219" i="8" s="1"/>
  <c r="BP219" i="9"/>
  <c r="BT174" i="2"/>
  <c r="BQ174"/>
  <c r="BT323"/>
  <c r="BQ323"/>
  <c r="BT214"/>
  <c r="BQ214"/>
  <c r="BQ315"/>
  <c r="BT315"/>
  <c r="BK174" i="3"/>
  <c r="BL174" s="1"/>
  <c r="BM174" s="1"/>
  <c r="BN174" s="1"/>
  <c r="BQ174"/>
  <c r="BZ21"/>
  <c r="CD21" s="1"/>
  <c r="BP183" i="6"/>
  <c r="BP183" i="8" s="1"/>
  <c r="BT183" i="1"/>
  <c r="BT183" i="9" s="1"/>
  <c r="BQ183" i="1"/>
  <c r="BP183" i="9"/>
  <c r="BT201" i="7"/>
  <c r="CK23"/>
  <c r="BQ195" i="2"/>
  <c r="BT195"/>
  <c r="BT232" i="4"/>
  <c r="BP232" i="6"/>
  <c r="BP232" i="8" s="1"/>
  <c r="BQ251" i="3"/>
  <c r="BK251"/>
  <c r="BL251" s="1"/>
  <c r="BM251" s="1"/>
  <c r="BN251" s="1"/>
  <c r="BP303" i="6"/>
  <c r="BP303" i="8" s="1"/>
  <c r="BQ303" i="1"/>
  <c r="BT303"/>
  <c r="BP303" i="9"/>
  <c r="BT204" i="2"/>
  <c r="BU216" s="1"/>
  <c r="BQ204"/>
  <c r="BP204" i="9"/>
  <c r="BT204" i="5"/>
  <c r="BK196" i="3"/>
  <c r="BL196" s="1"/>
  <c r="BM196" s="1"/>
  <c r="BN196" s="1"/>
  <c r="BQ196"/>
  <c r="BT325" i="5"/>
  <c r="BP325" i="9"/>
  <c r="BQ292" i="3"/>
  <c r="BK292"/>
  <c r="BL292" s="1"/>
  <c r="BM292" s="1"/>
  <c r="BN292" s="1"/>
  <c r="BT195" i="5"/>
  <c r="BP195" i="9"/>
  <c r="BP261" i="6"/>
  <c r="BP261" i="8" s="1"/>
  <c r="BT261" i="1"/>
  <c r="BQ261"/>
  <c r="BP261" i="9"/>
  <c r="BT291" i="2"/>
  <c r="BQ291"/>
  <c r="BT292"/>
  <c r="BQ292"/>
  <c r="BT285" i="5"/>
  <c r="BU297" s="1"/>
  <c r="BP285" i="9"/>
  <c r="BP285" i="6"/>
  <c r="BP285" i="8" s="1"/>
  <c r="BT303" i="2"/>
  <c r="BQ303"/>
  <c r="BT200" i="1"/>
  <c r="BP200" i="6"/>
  <c r="BP200" i="8" s="1"/>
  <c r="BQ200" i="1"/>
  <c r="BP200" i="9"/>
  <c r="BT200" i="5"/>
  <c r="BQ184" i="2"/>
  <c r="BT184"/>
  <c r="BK199" i="3"/>
  <c r="BL199" s="1"/>
  <c r="BM199" s="1"/>
  <c r="BN199" s="1"/>
  <c r="BQ199"/>
  <c r="BQ293"/>
  <c r="BK293"/>
  <c r="BL293" s="1"/>
  <c r="BM293" s="1"/>
  <c r="BN293" s="1"/>
  <c r="BZ31"/>
  <c r="BQ210" i="2"/>
  <c r="BT210"/>
  <c r="BU222" s="1"/>
  <c r="BK319" i="3"/>
  <c r="BL319" s="1"/>
  <c r="BM319" s="1"/>
  <c r="BN319" s="1"/>
  <c r="BQ319"/>
  <c r="BQ320" i="2"/>
  <c r="BT320"/>
  <c r="BQ212" i="1"/>
  <c r="BP212" i="6"/>
  <c r="BP212" i="8" s="1"/>
  <c r="BT212" i="1"/>
  <c r="BU224" s="1"/>
  <c r="BQ211" i="2"/>
  <c r="BT211"/>
  <c r="BW312" i="4"/>
  <c r="BU312"/>
  <c r="BU324"/>
  <c r="BQ179" i="1"/>
  <c r="BT179"/>
  <c r="BT179" i="9" s="1"/>
  <c r="BP179" i="6"/>
  <c r="BP179" i="8" s="1"/>
  <c r="BP179" i="9"/>
  <c r="BW309" i="4"/>
  <c r="BU309"/>
  <c r="BU321"/>
  <c r="BT311" i="5"/>
  <c r="BP311" i="9"/>
  <c r="BP311" i="6"/>
  <c r="BP311" i="8" s="1"/>
  <c r="BQ311" i="3"/>
  <c r="BK311"/>
  <c r="BL311" s="1"/>
  <c r="BM311" s="1"/>
  <c r="BN311" s="1"/>
  <c r="BX283" i="7"/>
  <c r="BT283"/>
  <c r="BX321"/>
  <c r="BT321"/>
  <c r="BU212" i="4"/>
  <c r="BU224"/>
  <c r="BQ211" i="3"/>
  <c r="BK211"/>
  <c r="BL211" s="1"/>
  <c r="BM211" s="1"/>
  <c r="BN211" s="1"/>
  <c r="BT180" i="5"/>
  <c r="BP180" i="9"/>
  <c r="BQ178" i="3"/>
  <c r="BK178"/>
  <c r="BL178" s="1"/>
  <c r="BM178" s="1"/>
  <c r="BN178" s="1"/>
  <c r="BP310" i="6"/>
  <c r="BP310" i="8" s="1"/>
  <c r="BT310" i="1"/>
  <c r="BQ310"/>
  <c r="CH31" i="4"/>
  <c r="BT293"/>
  <c r="BU305" s="1"/>
  <c r="BP293" i="6"/>
  <c r="BQ279" i="3"/>
  <c r="BK279"/>
  <c r="BL279" s="1"/>
  <c r="BM279" s="1"/>
  <c r="BN279" s="1"/>
  <c r="BT276" i="4"/>
  <c r="BU288" s="1"/>
  <c r="BP276" i="6"/>
  <c r="BP276" i="8" s="1"/>
  <c r="BQ202" i="2"/>
  <c r="BT202"/>
  <c r="BW302" i="4"/>
  <c r="BU302"/>
  <c r="BP262" i="9"/>
  <c r="BT262" i="5"/>
  <c r="BW298" i="4"/>
  <c r="BU298"/>
  <c r="BU310"/>
  <c r="BP189" i="9"/>
  <c r="BT189" i="5"/>
  <c r="BP189" i="6"/>
  <c r="BP189" i="8" s="1"/>
  <c r="BK188" i="3"/>
  <c r="BL188" s="1"/>
  <c r="BM188" s="1"/>
  <c r="BN188" s="1"/>
  <c r="BQ188"/>
  <c r="BQ318"/>
  <c r="BK318"/>
  <c r="BL318" s="1"/>
  <c r="BM318" s="1"/>
  <c r="BN318" s="1"/>
  <c r="BW318" i="4"/>
  <c r="BU318"/>
  <c r="BQ269" i="3"/>
  <c r="BZ29"/>
  <c r="BK269"/>
  <c r="BL269" s="1"/>
  <c r="BM269" s="1"/>
  <c r="BN269" s="1"/>
  <c r="BQ268" i="2"/>
  <c r="BT268"/>
  <c r="BT301" i="4"/>
  <c r="BP301" i="6"/>
  <c r="BP301" i="8" s="1"/>
  <c r="BU273" i="4"/>
  <c r="BW273"/>
  <c r="BU285"/>
  <c r="BP280" i="6"/>
  <c r="BP280" i="8" s="1"/>
  <c r="BT280" i="1"/>
  <c r="BQ280"/>
  <c r="BQ253" i="2"/>
  <c r="BT253"/>
  <c r="BT231" i="5"/>
  <c r="BP231" i="9"/>
  <c r="BP231" i="6"/>
  <c r="BP231" i="8" s="1"/>
  <c r="BT221" i="5"/>
  <c r="BU233" s="1"/>
  <c r="BP221" i="9"/>
  <c r="CH25" i="5"/>
  <c r="BP221" i="6"/>
  <c r="BT296" i="1"/>
  <c r="BP296" i="6"/>
  <c r="BP296" i="8" s="1"/>
  <c r="BQ296" i="1"/>
  <c r="BP296" i="9"/>
  <c r="BP277"/>
  <c r="BT277" i="5"/>
  <c r="BP277" i="6"/>
  <c r="BP277" i="8" s="1"/>
  <c r="BT306" i="5"/>
  <c r="BP306" i="9"/>
  <c r="BQ306" i="1"/>
  <c r="BT306"/>
  <c r="BP306" i="6"/>
  <c r="BP306" i="8" s="1"/>
  <c r="BX305" i="7"/>
  <c r="CK32"/>
  <c r="BT305"/>
  <c r="BV317" s="1"/>
  <c r="BQ298" i="3"/>
  <c r="BK298"/>
  <c r="BL298" s="1"/>
  <c r="BM298" s="1"/>
  <c r="BN298" s="1"/>
  <c r="BT265" i="5"/>
  <c r="BP265" i="9"/>
  <c r="BP265" i="6"/>
  <c r="BP265" i="8" s="1"/>
  <c r="BQ277" i="2"/>
  <c r="BT277"/>
  <c r="BW296" i="4"/>
  <c r="BU296"/>
  <c r="BT237" i="2"/>
  <c r="BQ237"/>
  <c r="BT274"/>
  <c r="BQ274"/>
  <c r="BT224" i="5"/>
  <c r="BU236" s="1"/>
  <c r="BP224" i="9"/>
  <c r="BP224" i="6"/>
  <c r="BP224" i="8" s="1"/>
  <c r="BQ317" i="1"/>
  <c r="CG33"/>
  <c r="BP317" i="6"/>
  <c r="BT317" i="1"/>
  <c r="BP317" i="9"/>
  <c r="BQ191" i="3"/>
  <c r="BK191"/>
  <c r="BL191" s="1"/>
  <c r="BM191" s="1"/>
  <c r="BN191" s="1"/>
  <c r="CG27" i="1"/>
  <c r="BP245" i="6"/>
  <c r="BT245" i="1"/>
  <c r="BQ245"/>
  <c r="BQ271" i="3"/>
  <c r="BK271"/>
  <c r="BL271" s="1"/>
  <c r="BM271" s="1"/>
  <c r="BN271" s="1"/>
  <c r="BX274" i="7"/>
  <c r="BT274"/>
  <c r="BP304" i="9"/>
  <c r="BT304" i="5"/>
  <c r="BT313" i="1"/>
  <c r="BQ313"/>
  <c r="BP313" i="6"/>
  <c r="BP313" i="8" s="1"/>
  <c r="BP313" i="9"/>
  <c r="BQ323" i="3"/>
  <c r="BK323"/>
  <c r="BL323" s="1"/>
  <c r="BM323" s="1"/>
  <c r="BN323" s="1"/>
  <c r="BT185" i="7"/>
  <c r="CK22"/>
  <c r="BP225" i="9"/>
  <c r="BT225" i="5"/>
  <c r="BU237" s="1"/>
  <c r="BP225" i="6"/>
  <c r="BP225" i="8" s="1"/>
  <c r="BT236" i="7"/>
  <c r="CK26"/>
  <c r="BU294" i="4"/>
  <c r="BW294"/>
  <c r="BQ323" i="1"/>
  <c r="BT323"/>
  <c r="BP323" i="6"/>
  <c r="BP323" i="8" s="1"/>
  <c r="BT243" i="5"/>
  <c r="BU255" s="1"/>
  <c r="BP243" i="9"/>
  <c r="BP243" i="6"/>
  <c r="BP243" i="8" s="1"/>
  <c r="BT226" i="2"/>
  <c r="BQ226"/>
  <c r="BQ298" i="1"/>
  <c r="BT298"/>
  <c r="BP298" i="6"/>
  <c r="BP298" i="8" s="1"/>
  <c r="BP298" i="9"/>
  <c r="BT226" i="5"/>
  <c r="BP226" i="9"/>
  <c r="BT208" i="2"/>
  <c r="BQ208"/>
  <c r="BX306" i="7"/>
  <c r="BT306"/>
  <c r="BT324" i="2"/>
  <c r="BQ324"/>
  <c r="BQ180"/>
  <c r="BT180"/>
  <c r="BQ314" i="1"/>
  <c r="BT314"/>
  <c r="BP314" i="6"/>
  <c r="BP314" i="8" s="1"/>
  <c r="BT218" i="5"/>
  <c r="BP218" i="9"/>
  <c r="CH29" i="4"/>
  <c r="BT269"/>
  <c r="BU281" s="1"/>
  <c r="BT298" i="2"/>
  <c r="BQ298"/>
  <c r="BT251" i="1"/>
  <c r="BP251" i="6"/>
  <c r="BP251" i="8" s="1"/>
  <c r="BQ251" i="1"/>
  <c r="BP174" i="9"/>
  <c r="BT174" i="5"/>
  <c r="BU186" s="1"/>
  <c r="BT251"/>
  <c r="BP251" i="9"/>
  <c r="BQ267" i="2"/>
  <c r="BT267"/>
  <c r="BP267" i="6"/>
  <c r="BP267" i="8" s="1"/>
  <c r="BQ290" i="2"/>
  <c r="BT290"/>
  <c r="BT177" i="5"/>
  <c r="BT177" i="9" s="1"/>
  <c r="BP177"/>
  <c r="BP177" i="6"/>
  <c r="BP177" i="8" s="1"/>
  <c r="BT225" i="7"/>
  <c r="CK25"/>
  <c r="BT295" i="1"/>
  <c r="BP295" i="6"/>
  <c r="BP295" i="8" s="1"/>
  <c r="BQ295" i="1"/>
  <c r="BP227" i="6"/>
  <c r="BP227" i="8" s="1"/>
  <c r="BT227" i="1"/>
  <c r="BQ227"/>
  <c r="BP227" i="9"/>
  <c r="BP295"/>
  <c r="BT295" i="5"/>
  <c r="BU307" s="1"/>
  <c r="BT197" i="4"/>
  <c r="CH23"/>
  <c r="BT197" i="5"/>
  <c r="BU209" s="1"/>
  <c r="BP197" i="9"/>
  <c r="CH23" i="5"/>
  <c r="BP197" i="6"/>
  <c r="BT286" i="2"/>
  <c r="BQ286"/>
  <c r="BP274" i="9"/>
  <c r="BT274" i="5"/>
  <c r="BP281" i="9"/>
  <c r="BT281" i="5"/>
  <c r="BU293" s="1"/>
  <c r="CH30"/>
  <c r="BQ282" i="1"/>
  <c r="BP282" i="6"/>
  <c r="BP282" i="8" s="1"/>
  <c r="BT282" i="1"/>
  <c r="BP282" i="9"/>
  <c r="CH24" i="4"/>
  <c r="CI24" s="1"/>
  <c r="BT209"/>
  <c r="CH25"/>
  <c r="BT221"/>
  <c r="BU204"/>
  <c r="BU216"/>
  <c r="BQ327" i="3"/>
  <c r="BK327"/>
  <c r="BL327" s="1"/>
  <c r="BM327" s="1"/>
  <c r="BN327" s="1"/>
  <c r="BT322" i="2"/>
  <c r="BQ322"/>
  <c r="BP309" i="9"/>
  <c r="BT309" i="5"/>
  <c r="BT325" i="1"/>
  <c r="BQ325"/>
  <c r="BP325" i="6"/>
  <c r="BP325" i="8" s="1"/>
  <c r="BP319" i="9"/>
  <c r="BT319" i="5"/>
  <c r="BQ325" i="2"/>
  <c r="BT325"/>
  <c r="BQ326"/>
  <c r="BT326"/>
  <c r="BK215" i="3"/>
  <c r="BL215" s="1"/>
  <c r="BM215" s="1"/>
  <c r="BN215" s="1"/>
  <c r="BQ215"/>
  <c r="BP218" i="6"/>
  <c r="BP218" i="8" s="1"/>
  <c r="BQ218" i="1"/>
  <c r="BT218"/>
  <c r="BT175" i="2"/>
  <c r="BQ175"/>
  <c r="BT215"/>
  <c r="BU227" s="1"/>
  <c r="BQ215"/>
  <c r="BQ316"/>
  <c r="BT316"/>
  <c r="BK175" i="3"/>
  <c r="BL175" s="1"/>
  <c r="BM175" s="1"/>
  <c r="BN175" s="1"/>
  <c r="BQ175"/>
  <c r="BT193" i="5"/>
  <c r="BP193" i="9"/>
  <c r="BP193" i="6"/>
  <c r="BP193" i="8" s="1"/>
  <c r="BT194" i="2"/>
  <c r="BU206" s="1"/>
  <c r="BQ194"/>
  <c r="CH26" i="4"/>
  <c r="BT233"/>
  <c r="BQ252" i="3"/>
  <c r="BK252"/>
  <c r="BL252" s="1"/>
  <c r="BM252" s="1"/>
  <c r="BN252" s="1"/>
  <c r="BQ302" i="1"/>
  <c r="BT302"/>
  <c r="BP302" i="6"/>
  <c r="BP302" i="8" s="1"/>
  <c r="BT203" i="2"/>
  <c r="BQ203"/>
  <c r="BP203" i="9"/>
  <c r="BT203" i="5"/>
  <c r="BK197" i="3"/>
  <c r="BL197" s="1"/>
  <c r="BM197" s="1"/>
  <c r="BN197" s="1"/>
  <c r="BQ197"/>
  <c r="BZ23"/>
  <c r="BT194" i="5"/>
  <c r="BU206" s="1"/>
  <c r="BP194" i="9"/>
  <c r="BP194" i="6"/>
  <c r="BP194" i="8" s="1"/>
  <c r="BT262" i="1"/>
  <c r="BP262" i="6"/>
  <c r="BP262" i="8" s="1"/>
  <c r="BQ262" i="1"/>
  <c r="BT284" i="5"/>
  <c r="BU296" s="1"/>
  <c r="BP284" i="9"/>
  <c r="BP284" i="6"/>
  <c r="BP284" i="8" s="1"/>
  <c r="BT302" i="2"/>
  <c r="BQ302"/>
  <c r="BT201" i="1"/>
  <c r="BP201" i="6"/>
  <c r="BP201" i="8" s="1"/>
  <c r="BQ201" i="1"/>
  <c r="BT201" i="5"/>
  <c r="BP201" i="9"/>
  <c r="BT183" i="2"/>
  <c r="BQ183"/>
  <c r="BK200" i="3"/>
  <c r="BL200" s="1"/>
  <c r="BM200" s="1"/>
  <c r="BN200" s="1"/>
  <c r="BQ200"/>
  <c r="BQ209" i="2"/>
  <c r="BT209"/>
  <c r="CG24"/>
  <c r="BQ325" i="3"/>
  <c r="BK325"/>
  <c r="BL325" s="1"/>
  <c r="BM325" s="1"/>
  <c r="BN325" s="1"/>
  <c r="BQ199" i="2"/>
  <c r="BT199"/>
  <c r="BK194" i="3"/>
  <c r="BL194" s="1"/>
  <c r="BM194" s="1"/>
  <c r="BN194" s="1"/>
  <c r="BQ194"/>
  <c r="BK309"/>
  <c r="BL309" s="1"/>
  <c r="BM309" s="1"/>
  <c r="BN309" s="1"/>
  <c r="BQ309"/>
  <c r="BP309" i="6"/>
  <c r="BP309" i="8" s="1"/>
  <c r="BT309" i="1"/>
  <c r="BQ309"/>
  <c r="BK320" i="3"/>
  <c r="BL320" s="1"/>
  <c r="BM320" s="1"/>
  <c r="BN320" s="1"/>
  <c r="BQ320"/>
  <c r="BT319" i="2"/>
  <c r="BQ319"/>
  <c r="CG33"/>
  <c r="BQ211" i="1"/>
  <c r="BT211"/>
  <c r="BT211" i="9" s="1"/>
  <c r="BP211" i="6"/>
  <c r="BP211" i="8" s="1"/>
  <c r="BP211" i="9"/>
  <c r="BQ212" i="2"/>
  <c r="BT212"/>
  <c r="BT178" i="1"/>
  <c r="BT178" i="9" s="1"/>
  <c r="BQ178" i="1"/>
  <c r="BP178" i="6"/>
  <c r="BP178" i="8" s="1"/>
  <c r="BP178" i="9"/>
  <c r="BX314" i="7"/>
  <c r="BT314"/>
  <c r="BT313" i="2"/>
  <c r="BQ313"/>
  <c r="BT314"/>
  <c r="BQ314"/>
  <c r="BW308" i="4"/>
  <c r="BU308"/>
  <c r="BU320"/>
  <c r="BP312" i="9"/>
  <c r="BT312" i="5"/>
  <c r="BQ312" i="3"/>
  <c r="BK312"/>
  <c r="BL312" s="1"/>
  <c r="BM312" s="1"/>
  <c r="BN312" s="1"/>
  <c r="BT320" i="7"/>
  <c r="BX320"/>
  <c r="CK33"/>
  <c r="BQ212" i="3"/>
  <c r="BK212"/>
  <c r="BL212" s="1"/>
  <c r="BM212" s="1"/>
  <c r="BN212" s="1"/>
  <c r="BP181" i="9"/>
  <c r="BT181" i="5"/>
  <c r="BT181" i="9" s="1"/>
  <c r="BP181" i="6"/>
  <c r="BP181" i="8" s="1"/>
  <c r="BK179" i="3"/>
  <c r="BL179" s="1"/>
  <c r="BM179" s="1"/>
  <c r="BN179" s="1"/>
  <c r="BQ179"/>
  <c r="BP210" i="6"/>
  <c r="BP210" i="8" s="1"/>
  <c r="BQ210" i="1"/>
  <c r="BT210"/>
  <c r="BT210" i="9" s="1"/>
  <c r="BP210"/>
  <c r="BW288" i="4"/>
  <c r="BU300"/>
  <c r="BQ256" i="2"/>
  <c r="BT256"/>
  <c r="BU217" i="4"/>
  <c r="BU229"/>
  <c r="BQ282" i="2"/>
  <c r="BT282"/>
  <c r="BU201" i="4"/>
  <c r="BU213"/>
  <c r="BP263" i="9"/>
  <c r="BT263" i="5"/>
  <c r="BU275" s="1"/>
  <c r="BU299" i="4"/>
  <c r="BW299"/>
  <c r="BU311"/>
  <c r="BP188" i="9"/>
  <c r="BT188" i="5"/>
  <c r="CH22"/>
  <c r="BP188" i="6"/>
  <c r="BP188" i="8" s="1"/>
  <c r="BK187" i="3"/>
  <c r="BL187" s="1"/>
  <c r="BM187" s="1"/>
  <c r="BN187" s="1"/>
  <c r="BQ187"/>
  <c r="BK317"/>
  <c r="BL317" s="1"/>
  <c r="BM317" s="1"/>
  <c r="BN317" s="1"/>
  <c r="BZ33"/>
  <c r="BQ317"/>
  <c r="BT317" i="4"/>
  <c r="CH33"/>
  <c r="BQ268" i="3"/>
  <c r="BK268"/>
  <c r="BL268" s="1"/>
  <c r="BM268" s="1"/>
  <c r="BN268" s="1"/>
  <c r="BU242" i="4"/>
  <c r="BU254"/>
  <c r="BQ269" i="2"/>
  <c r="CG29"/>
  <c r="BT269"/>
  <c r="BU274" i="4"/>
  <c r="BW274"/>
  <c r="BU286"/>
  <c r="BQ279" i="1"/>
  <c r="BT279"/>
  <c r="BP279" i="6"/>
  <c r="BP279" i="8" s="1"/>
  <c r="BP271" i="9"/>
  <c r="BT271" i="5"/>
  <c r="BU283" s="1"/>
  <c r="BP271" i="6"/>
  <c r="BP271" i="8" s="1"/>
  <c r="BT239" i="2"/>
  <c r="BQ239"/>
  <c r="BQ249" i="3"/>
  <c r="BK249"/>
  <c r="BL249" s="1"/>
  <c r="BM249" s="1"/>
  <c r="BN249" s="1"/>
  <c r="CH32" i="5"/>
  <c r="BT305"/>
  <c r="BU317" s="1"/>
  <c r="BP305" i="9"/>
  <c r="BQ305" i="1"/>
  <c r="CG32"/>
  <c r="BT305"/>
  <c r="BP305" i="6"/>
  <c r="BQ299" i="3"/>
  <c r="BK299"/>
  <c r="BL299" s="1"/>
  <c r="BM299" s="1"/>
  <c r="BN299" s="1"/>
  <c r="BP264" i="9"/>
  <c r="BT264" i="5"/>
  <c r="BU276" s="1"/>
  <c r="BP264" i="6"/>
  <c r="BP264" i="8" s="1"/>
  <c r="BT278" i="2"/>
  <c r="BQ278"/>
  <c r="BU297" i="4"/>
  <c r="BW297"/>
  <c r="BT236" i="2"/>
  <c r="BQ236"/>
  <c r="BT273"/>
  <c r="BQ273"/>
  <c r="BQ315" i="3"/>
  <c r="BK315"/>
  <c r="BL315" s="1"/>
  <c r="BM315" s="1"/>
  <c r="BN315" s="1"/>
  <c r="BQ315" i="1"/>
  <c r="BT315"/>
  <c r="BP315" i="6"/>
  <c r="BP315" i="8" s="1"/>
  <c r="BT315" i="5"/>
  <c r="BP315" i="9"/>
  <c r="BP256"/>
  <c r="BT256" i="5"/>
  <c r="BU268" s="1"/>
  <c r="BP324" i="9"/>
  <c r="BT324" i="5"/>
  <c r="BT302"/>
  <c r="BP302" i="9"/>
  <c r="BQ268" i="1"/>
  <c r="BT268"/>
  <c r="BP268" i="6"/>
  <c r="BP268" i="8" s="1"/>
  <c r="BP268" i="9"/>
  <c r="BQ324" i="3"/>
  <c r="BK324"/>
  <c r="BL324" s="1"/>
  <c r="BM324" s="1"/>
  <c r="BN324" s="1"/>
  <c r="BQ312" i="2"/>
  <c r="BT312"/>
  <c r="BT280" i="5"/>
  <c r="BU292" s="1"/>
  <c r="BP280" i="9"/>
  <c r="BT253" i="5"/>
  <c r="BP253" i="9"/>
  <c r="BT214" i="5"/>
  <c r="BP214" i="9"/>
  <c r="BP214" i="6"/>
  <c r="BP214" i="8" s="1"/>
  <c r="BQ207" i="2"/>
  <c r="BT207"/>
  <c r="CH29" i="5"/>
  <c r="BT269"/>
  <c r="BP269" i="9"/>
  <c r="BT181" i="2"/>
  <c r="BU193" s="1"/>
  <c r="BQ181"/>
  <c r="BQ274" i="1"/>
  <c r="BP274" i="6"/>
  <c r="BP274" i="8" s="1"/>
  <c r="BT274" i="1"/>
  <c r="BT279" i="2"/>
  <c r="BQ279"/>
  <c r="BU292" i="4"/>
  <c r="BW292"/>
  <c r="BQ256" i="1"/>
  <c r="BT256"/>
  <c r="BP256" i="6"/>
  <c r="BP256" i="8" s="1"/>
  <c r="BQ188" i="2"/>
  <c r="BT188"/>
  <c r="BU200" s="1"/>
  <c r="BQ187" i="1"/>
  <c r="BT187"/>
  <c r="BT187" i="9" s="1"/>
  <c r="BP187" i="6"/>
  <c r="BP187" i="8" s="1"/>
  <c r="BP187" i="9"/>
  <c r="BK275" i="3"/>
  <c r="BL275" s="1"/>
  <c r="BM275" s="1"/>
  <c r="BN275" s="1"/>
  <c r="BQ275"/>
  <c r="BT252" i="1"/>
  <c r="BQ252"/>
  <c r="BP252" i="6"/>
  <c r="BP252" i="8" s="1"/>
  <c r="BP175" i="9"/>
  <c r="BT175" i="5"/>
  <c r="BT175" i="9" s="1"/>
  <c r="BP175" i="6"/>
  <c r="BP175" i="8" s="1"/>
  <c r="BT252" i="5"/>
  <c r="BP252" i="9"/>
  <c r="BQ266" i="2"/>
  <c r="BT266"/>
  <c r="BP176" i="9"/>
  <c r="BT176" i="5"/>
  <c r="BT176" i="9" s="1"/>
  <c r="BP176" i="6"/>
  <c r="BP176" i="8" s="1"/>
  <c r="BK301" i="3"/>
  <c r="BL301" s="1"/>
  <c r="BM301" s="1"/>
  <c r="BN301" s="1"/>
  <c r="BQ301"/>
  <c r="BT294" i="1"/>
  <c r="BQ294"/>
  <c r="BP294" i="6"/>
  <c r="BP294" i="8" s="1"/>
  <c r="CG31" i="1"/>
  <c r="BP294" i="9"/>
  <c r="BQ290" i="1"/>
  <c r="BP290" i="6"/>
  <c r="BP290" i="8" s="1"/>
  <c r="BT290" i="1"/>
  <c r="BT184" i="5"/>
  <c r="BP184" i="9"/>
  <c r="BT234" i="2"/>
  <c r="BQ234"/>
  <c r="BT199" i="1"/>
  <c r="BT199" i="9" s="1"/>
  <c r="BP199" i="6"/>
  <c r="BP199" i="8" s="1"/>
  <c r="BQ199" i="1"/>
  <c r="BP199" i="9"/>
  <c r="BQ173" i="1"/>
  <c r="CG21"/>
  <c r="BT173"/>
  <c r="BP173" i="6"/>
  <c r="BP173" i="8" s="1"/>
  <c r="BP198" i="9"/>
  <c r="BT198" i="5"/>
  <c r="BU210" s="1"/>
  <c r="BP273" i="9"/>
  <c r="BT273" i="5"/>
  <c r="BP273" i="6"/>
  <c r="BP273" i="8" s="1"/>
  <c r="BT323" i="5"/>
  <c r="BP323" i="9"/>
  <c r="BT266" i="5"/>
  <c r="BP266" i="9"/>
  <c r="BQ236" i="3"/>
  <c r="BK236"/>
  <c r="BL236" s="1"/>
  <c r="BM236" s="1"/>
  <c r="BN236" s="1"/>
  <c r="BW315" i="4"/>
  <c r="BU315"/>
  <c r="BU327"/>
  <c r="BU211"/>
  <c r="BP275" i="6"/>
  <c r="BP275" i="8" s="1"/>
  <c r="CG23" i="1"/>
  <c r="BP205" i="8"/>
  <c r="CH24" i="5"/>
  <c r="CG27" i="2"/>
  <c r="CK30" i="7"/>
  <c r="BP215" i="6"/>
  <c r="BP215" i="8" s="1"/>
  <c r="BZ22" i="3"/>
  <c r="BQ202"/>
  <c r="BK202"/>
  <c r="BL202" s="1"/>
  <c r="BM202" s="1"/>
  <c r="BN202" s="1"/>
  <c r="BT271" i="2"/>
  <c r="BQ271"/>
  <c r="BQ300" i="3"/>
  <c r="BK300"/>
  <c r="BL300" s="1"/>
  <c r="BM300" s="1"/>
  <c r="BN300" s="1"/>
  <c r="BK184"/>
  <c r="BL184" s="1"/>
  <c r="BM184" s="1"/>
  <c r="BN184" s="1"/>
  <c r="BQ184"/>
  <c r="BP300" i="6"/>
  <c r="BP300" i="8" s="1"/>
  <c r="BQ300" i="1"/>
  <c r="BT300"/>
  <c r="BT187" i="2"/>
  <c r="BQ187"/>
  <c r="BT255" i="1"/>
  <c r="BQ255"/>
  <c r="BP255" i="6"/>
  <c r="BP255" i="8" s="1"/>
  <c r="BQ192" i="3"/>
  <c r="BK192"/>
  <c r="BL192" s="1"/>
  <c r="BM192" s="1"/>
  <c r="BN192" s="1"/>
  <c r="CH31" i="5"/>
  <c r="BT299"/>
  <c r="BP299" i="9"/>
  <c r="BT237" i="1"/>
  <c r="BQ237"/>
  <c r="BP237" i="6"/>
  <c r="BP237" i="8" s="1"/>
  <c r="BU247" i="4"/>
  <c r="BW247"/>
  <c r="BT291" i="5"/>
  <c r="BU303" s="1"/>
  <c r="BP291" i="9"/>
  <c r="BQ278" i="3"/>
  <c r="BK278"/>
  <c r="BL278" s="1"/>
  <c r="BM278" s="1"/>
  <c r="BN278" s="1"/>
  <c r="BT234" i="1"/>
  <c r="BQ234"/>
  <c r="BP234" i="6"/>
  <c r="BP234" i="8" s="1"/>
  <c r="BT240" i="5"/>
  <c r="BP240" i="9"/>
  <c r="BQ300" i="2"/>
  <c r="BT300"/>
  <c r="BU265" i="4"/>
  <c r="BW265"/>
  <c r="BT265" i="2"/>
  <c r="BQ265"/>
  <c r="BT304"/>
  <c r="BQ304"/>
  <c r="BP269" i="6"/>
  <c r="BP269" i="8" s="1"/>
  <c r="BQ269" i="1"/>
  <c r="CG29"/>
  <c r="BT269"/>
  <c r="BW319" i="4"/>
  <c r="BU319"/>
  <c r="BT233" i="2"/>
  <c r="BQ233"/>
  <c r="CG26"/>
  <c r="BT258" i="5"/>
  <c r="BU270" s="1"/>
  <c r="BP258" i="9"/>
  <c r="BT296" i="2"/>
  <c r="BQ296"/>
  <c r="BW304" i="4"/>
  <c r="BU304"/>
  <c r="BT198" i="2"/>
  <c r="BQ198"/>
  <c r="BU252" i="4"/>
  <c r="BW252"/>
  <c r="BQ235" i="1"/>
  <c r="BT235"/>
  <c r="BP235" i="6"/>
  <c r="BP235" i="8" s="1"/>
  <c r="BQ304" i="1"/>
  <c r="BT304"/>
  <c r="BP304" i="6"/>
  <c r="BP304" i="8" s="1"/>
  <c r="BU283" i="4"/>
  <c r="BW283"/>
  <c r="BT246" i="7"/>
  <c r="BX246"/>
  <c r="BW250" i="4"/>
  <c r="BU250"/>
  <c r="BP180" i="6"/>
  <c r="BP180" i="8" s="1"/>
  <c r="BQ180" i="1"/>
  <c r="BT180"/>
  <c r="BU192" s="1"/>
  <c r="BT213" i="5"/>
  <c r="BP213" i="9"/>
  <c r="BP292" i="6"/>
  <c r="BP292" i="8" s="1"/>
  <c r="BQ292" i="1"/>
  <c r="BT292"/>
  <c r="BT234" i="5"/>
  <c r="BP234" i="9"/>
  <c r="BT299" i="2"/>
  <c r="BQ299"/>
  <c r="BK233" i="3"/>
  <c r="BL233" s="1"/>
  <c r="BM233" s="1"/>
  <c r="BN233" s="1"/>
  <c r="BQ233"/>
  <c r="BZ26"/>
  <c r="BT273" i="7"/>
  <c r="BX273"/>
  <c r="BQ320" i="1"/>
  <c r="BT320"/>
  <c r="BP320" i="6"/>
  <c r="BP320" i="8" s="1"/>
  <c r="BQ246" i="1"/>
  <c r="BT246"/>
  <c r="BP246" i="6"/>
  <c r="BP246" i="8" s="1"/>
  <c r="BQ270" i="3"/>
  <c r="BK270"/>
  <c r="BL270" s="1"/>
  <c r="BM270" s="1"/>
  <c r="BN270" s="1"/>
  <c r="BP260" i="9"/>
  <c r="BT260" i="5"/>
  <c r="BK296" i="3"/>
  <c r="BL296" s="1"/>
  <c r="BM296" s="1"/>
  <c r="BN296" s="1"/>
  <c r="BQ296"/>
  <c r="BT244" i="2"/>
  <c r="BQ244"/>
  <c r="BQ286" i="3"/>
  <c r="BK286"/>
  <c r="BL286" s="1"/>
  <c r="BM286" s="1"/>
  <c r="BN286" s="1"/>
  <c r="BQ190"/>
  <c r="BK190"/>
  <c r="BL190" s="1"/>
  <c r="BM190" s="1"/>
  <c r="BN190" s="1"/>
  <c r="BQ222" i="1"/>
  <c r="BP222" i="6"/>
  <c r="BP222" i="8" s="1"/>
  <c r="BT222" i="1"/>
  <c r="BT249" i="7"/>
  <c r="BX249"/>
  <c r="BW258" i="4"/>
  <c r="BU258"/>
  <c r="BT259" i="1"/>
  <c r="BP259" i="6"/>
  <c r="BP259" i="8" s="1"/>
  <c r="BQ259" i="1"/>
  <c r="BQ202"/>
  <c r="BP202" i="6"/>
  <c r="BP202" i="8" s="1"/>
  <c r="BT202" i="1"/>
  <c r="BT202" i="9" s="1"/>
  <c r="BU255" i="4"/>
  <c r="BW255"/>
  <c r="BZ30" i="3"/>
  <c r="BQ281"/>
  <c r="BK281"/>
  <c r="BL281" s="1"/>
  <c r="BM281" s="1"/>
  <c r="BN281" s="1"/>
  <c r="BW249" i="4"/>
  <c r="BU249"/>
  <c r="BT232" i="2"/>
  <c r="BQ232"/>
  <c r="BQ283" i="3"/>
  <c r="BK283"/>
  <c r="BL283" s="1"/>
  <c r="BM283" s="1"/>
  <c r="BN283" s="1"/>
  <c r="BU264" i="4"/>
  <c r="BW264"/>
  <c r="BP326" i="6"/>
  <c r="BP326" i="8" s="1"/>
  <c r="BT326" i="1"/>
  <c r="BQ326"/>
  <c r="BQ312"/>
  <c r="BP312" i="6"/>
  <c r="BP312" i="8" s="1"/>
  <c r="BT312" i="1"/>
  <c r="BQ319"/>
  <c r="BP319" i="6"/>
  <c r="BP319" i="8" s="1"/>
  <c r="BT319" i="1"/>
  <c r="CG26"/>
  <c r="BP233" i="6"/>
  <c r="BQ233" i="1"/>
  <c r="BT233"/>
  <c r="BT203"/>
  <c r="BU215" s="1"/>
  <c r="BQ203"/>
  <c r="BP203" i="6"/>
  <c r="BP203" i="8" s="1"/>
  <c r="BQ217" i="1"/>
  <c r="BP217" i="6"/>
  <c r="BP217" i="8" s="1"/>
  <c r="BT217" i="1"/>
  <c r="BK290" i="3"/>
  <c r="BL290" s="1"/>
  <c r="BM290" s="1"/>
  <c r="BN290" s="1"/>
  <c r="BQ290"/>
  <c r="BT246" i="5"/>
  <c r="BP246" i="9"/>
  <c r="BT238" i="1"/>
  <c r="BQ238"/>
  <c r="BP238" i="6"/>
  <c r="BP238" i="8" s="1"/>
  <c r="BT260" i="7"/>
  <c r="CJ28" s="1"/>
  <c r="BX260"/>
  <c r="BQ260" i="3"/>
  <c r="BK260"/>
  <c r="BL260" s="1"/>
  <c r="BM260" s="1"/>
  <c r="BN260" s="1"/>
  <c r="BP173" i="9"/>
  <c r="CH21" i="5"/>
  <c r="BQ182" i="2"/>
  <c r="BT182"/>
  <c r="BT219"/>
  <c r="BU231" s="1"/>
  <c r="BQ219"/>
  <c r="BT238" i="5"/>
  <c r="BU250" s="1"/>
  <c r="BP238" i="9"/>
  <c r="BT263" i="1"/>
  <c r="BQ263"/>
  <c r="BP263" i="6"/>
  <c r="BP263" i="8" s="1"/>
  <c r="BP272" i="9"/>
  <c r="BT272" i="5"/>
  <c r="BT278"/>
  <c r="BP278" i="9"/>
  <c r="BQ208" i="1"/>
  <c r="BT208"/>
  <c r="BU220" s="1"/>
  <c r="BP208" i="6"/>
  <c r="BP208" i="8" s="1"/>
  <c r="BQ311" i="2"/>
  <c r="BT311"/>
  <c r="BX261" i="7"/>
  <c r="BT261"/>
  <c r="BQ244" i="1"/>
  <c r="BT244"/>
  <c r="BP244" i="6"/>
  <c r="BP244" i="8" s="1"/>
  <c r="BQ181" i="3"/>
  <c r="BK181"/>
  <c r="BL181" s="1"/>
  <c r="BM181" s="1"/>
  <c r="BN181" s="1"/>
  <c r="BQ294" i="2"/>
  <c r="BT294"/>
  <c r="BK287" i="3"/>
  <c r="BL287" s="1"/>
  <c r="BM287" s="1"/>
  <c r="BN287" s="1"/>
  <c r="BQ287"/>
  <c r="BT239" i="1"/>
  <c r="BQ239"/>
  <c r="BP239" i="6"/>
  <c r="BP239" i="8" s="1"/>
  <c r="BU261" i="4"/>
  <c r="BW261"/>
  <c r="BU307"/>
  <c r="BW307"/>
  <c r="BK222" i="3"/>
  <c r="BL222" s="1"/>
  <c r="BM222" s="1"/>
  <c r="BN222" s="1"/>
  <c r="BQ222"/>
  <c r="BP196" i="9"/>
  <c r="BT196" i="5"/>
  <c r="BU208" s="1"/>
  <c r="BK255" i="3"/>
  <c r="BL255" s="1"/>
  <c r="BM255" s="1"/>
  <c r="BN255" s="1"/>
  <c r="BQ255"/>
  <c r="BQ196" i="2"/>
  <c r="BT196"/>
  <c r="BT197"/>
  <c r="BQ197"/>
  <c r="CG23"/>
  <c r="BT289" i="1"/>
  <c r="BQ289"/>
  <c r="BP289" i="6"/>
  <c r="BP289" i="8" s="1"/>
  <c r="BQ209" i="3"/>
  <c r="BK209"/>
  <c r="BL209" s="1"/>
  <c r="BM209" s="1"/>
  <c r="BN209" s="1"/>
  <c r="BZ24"/>
  <c r="BT220" i="7"/>
  <c r="BU303" i="4"/>
  <c r="BW303"/>
  <c r="BQ192" i="2"/>
  <c r="BT192"/>
  <c r="BT254"/>
  <c r="BQ254"/>
  <c r="BQ308" i="3"/>
  <c r="BK308"/>
  <c r="BL308" s="1"/>
  <c r="BM308" s="1"/>
  <c r="BN308" s="1"/>
  <c r="BT294" i="7"/>
  <c r="BX294"/>
  <c r="BQ191" i="1"/>
  <c r="BT191"/>
  <c r="BP191" i="6"/>
  <c r="BP191" i="8" s="1"/>
  <c r="BT245" i="4"/>
  <c r="BU257" s="1"/>
  <c r="CH27"/>
  <c r="BQ293" i="2"/>
  <c r="BT293"/>
  <c r="CG31"/>
  <c r="BT240"/>
  <c r="BQ240"/>
  <c r="BP216" i="6"/>
  <c r="BP216" i="8" s="1"/>
  <c r="BT216" i="1"/>
  <c r="BU228" s="1"/>
  <c r="BQ216"/>
  <c r="BQ281" i="2"/>
  <c r="CG30"/>
  <c r="BT281"/>
  <c r="BQ257" i="3"/>
  <c r="BZ28"/>
  <c r="BK257"/>
  <c r="BL257" s="1"/>
  <c r="BM257" s="1"/>
  <c r="BN257" s="1"/>
  <c r="BK259"/>
  <c r="BL259" s="1"/>
  <c r="BM259" s="1"/>
  <c r="BN259" s="1"/>
  <c r="BQ259"/>
  <c r="BV298" i="7"/>
  <c r="BV278" i="1"/>
  <c r="BW278"/>
  <c r="BR278"/>
  <c r="BV292" i="7"/>
  <c r="BO239" i="3"/>
  <c r="BR239" s="1"/>
  <c r="BV249" i="2"/>
  <c r="BW249"/>
  <c r="BR249"/>
  <c r="BU190" i="5"/>
  <c r="BT190" i="9"/>
  <c r="BV242" i="1"/>
  <c r="BU242"/>
  <c r="BR242"/>
  <c r="BV232"/>
  <c r="BR232"/>
  <c r="BU232"/>
  <c r="BO288" i="3"/>
  <c r="BP288" s="1"/>
  <c r="BV182" i="1"/>
  <c r="BR182"/>
  <c r="BO238" i="3"/>
  <c r="BR238" s="1"/>
  <c r="BV240" i="1"/>
  <c r="BU240"/>
  <c r="BR240"/>
  <c r="BV225"/>
  <c r="BR225"/>
  <c r="BV284" i="2"/>
  <c r="BW284"/>
  <c r="BR284"/>
  <c r="BV247"/>
  <c r="BW247"/>
  <c r="BU247"/>
  <c r="BR247"/>
  <c r="BT276" i="9"/>
  <c r="BW276" i="5"/>
  <c r="BV291" i="7"/>
  <c r="BO219" i="3"/>
  <c r="BR219" s="1"/>
  <c r="BW249" i="1"/>
  <c r="BV249"/>
  <c r="BR249"/>
  <c r="BW283"/>
  <c r="BU283"/>
  <c r="BV283"/>
  <c r="BR283"/>
  <c r="BW264" i="2"/>
  <c r="BU264"/>
  <c r="BV264"/>
  <c r="BR264"/>
  <c r="BU261" i="5"/>
  <c r="BW261"/>
  <c r="BO229" i="3"/>
  <c r="BT229" s="1"/>
  <c r="BO221"/>
  <c r="BR221" s="1"/>
  <c r="BO207"/>
  <c r="BR207" s="1"/>
  <c r="BW295" i="2"/>
  <c r="BV295"/>
  <c r="BR295"/>
  <c r="BU295"/>
  <c r="BV222"/>
  <c r="BR222"/>
  <c r="BR196" i="1"/>
  <c r="BV196"/>
  <c r="BV206" i="2"/>
  <c r="BR206"/>
  <c r="BV293" i="1"/>
  <c r="BR293"/>
  <c r="BW293"/>
  <c r="BT228" i="9"/>
  <c r="BV177" i="2"/>
  <c r="BR177"/>
  <c r="BT173" i="3"/>
  <c r="BR173"/>
  <c r="BP173"/>
  <c r="BO263"/>
  <c r="BP263" s="1"/>
  <c r="BU244" i="5"/>
  <c r="BO240" i="3"/>
  <c r="BR240" s="1"/>
  <c r="BU259" i="5"/>
  <c r="BW259"/>
  <c r="BR277" i="1"/>
  <c r="BV277"/>
  <c r="BW277"/>
  <c r="BU277"/>
  <c r="BO201" i="3"/>
  <c r="BP201" s="1"/>
  <c r="BR311" i="1"/>
  <c r="BV311"/>
  <c r="BW311"/>
  <c r="BW317" i="5"/>
  <c r="BR288" i="1"/>
  <c r="BW288"/>
  <c r="BU288"/>
  <c r="BV288"/>
  <c r="BV205"/>
  <c r="BR205"/>
  <c r="BU205"/>
  <c r="BO189" i="3"/>
  <c r="BT189" s="1"/>
  <c r="BO228"/>
  <c r="BP228" s="1"/>
  <c r="BV231" i="2"/>
  <c r="BR231"/>
  <c r="BO272" i="3"/>
  <c r="BR272" s="1"/>
  <c r="BO280"/>
  <c r="BR280" s="1"/>
  <c r="BW301" i="5"/>
  <c r="BT301" i="9"/>
  <c r="CJ33" i="7"/>
  <c r="BR245" i="2"/>
  <c r="BW245"/>
  <c r="BV245"/>
  <c r="BV284" i="7"/>
  <c r="BR241" i="1"/>
  <c r="BV241"/>
  <c r="BR228"/>
  <c r="BV228"/>
  <c r="BV290" i="7"/>
  <c r="BU313" i="5"/>
  <c r="BW313"/>
  <c r="BV276" i="7"/>
  <c r="BV295"/>
  <c r="BO193" i="3"/>
  <c r="BP193" s="1"/>
  <c r="BR229" i="2"/>
  <c r="BU229"/>
  <c r="BV229"/>
  <c r="BO225" i="3"/>
  <c r="BT225" s="1"/>
  <c r="BO226"/>
  <c r="BP226" s="1"/>
  <c r="BV270" i="7"/>
  <c r="BV271"/>
  <c r="BV194" i="1"/>
  <c r="BU194"/>
  <c r="BR194"/>
  <c r="BW258" i="2"/>
  <c r="BV258"/>
  <c r="BR258"/>
  <c r="BR214" i="1"/>
  <c r="BV214"/>
  <c r="BV328" i="7"/>
  <c r="BR257" i="1"/>
  <c r="BV257"/>
  <c r="BW257"/>
  <c r="BR224"/>
  <c r="BV224"/>
  <c r="BO310" i="3"/>
  <c r="BT310" s="1"/>
  <c r="BU230" i="1"/>
  <c r="BR230"/>
  <c r="BV230"/>
  <c r="BO294" i="3"/>
  <c r="BP294" s="1"/>
  <c r="BV299" i="7"/>
  <c r="BO242" i="3"/>
  <c r="BP242" s="1"/>
  <c r="BO285"/>
  <c r="BR285" s="1"/>
  <c r="BR221" i="1"/>
  <c r="BV221"/>
  <c r="BV255" i="2"/>
  <c r="BW255"/>
  <c r="BU255"/>
  <c r="BR255"/>
  <c r="BW296" i="5"/>
  <c r="BV215" i="1"/>
  <c r="BR215"/>
  <c r="BO266" i="3"/>
  <c r="BR266" s="1"/>
  <c r="BV286" i="7"/>
  <c r="BV310"/>
  <c r="BW257" i="4"/>
  <c r="CJ28"/>
  <c r="BV251" i="2"/>
  <c r="BR251"/>
  <c r="BW251"/>
  <c r="BO273" i="3"/>
  <c r="BR273" s="1"/>
  <c r="BO265"/>
  <c r="BP265" s="1"/>
  <c r="BT250" i="9"/>
  <c r="BW250" i="5"/>
  <c r="BO198" i="3"/>
  <c r="BP198" s="1"/>
  <c r="BV289" i="7"/>
  <c r="BU261" i="2"/>
  <c r="BV261"/>
  <c r="BW261"/>
  <c r="BR261"/>
  <c r="BW292" i="5"/>
  <c r="BU282"/>
  <c r="BW282"/>
  <c r="BV243" i="1"/>
  <c r="BR243"/>
  <c r="BU243"/>
  <c r="BW318" i="2"/>
  <c r="BU318"/>
  <c r="BV318"/>
  <c r="BR318"/>
  <c r="BR250" i="1"/>
  <c r="BW250"/>
  <c r="BV250"/>
  <c r="BR177" i="3"/>
  <c r="BP177"/>
  <c r="BT177"/>
  <c r="BR285" i="1"/>
  <c r="BW285"/>
  <c r="BV285"/>
  <c r="BU285"/>
  <c r="BV287" i="7"/>
  <c r="BO314" i="3"/>
  <c r="BT314" s="1"/>
  <c r="BV235" i="2"/>
  <c r="BR235"/>
  <c r="BV176" i="1"/>
  <c r="BR176"/>
  <c r="BV179" i="2"/>
  <c r="BR179"/>
  <c r="BW273" i="1"/>
  <c r="BR273"/>
  <c r="BV273"/>
  <c r="BR227" i="2"/>
  <c r="BV227"/>
  <c r="BR175" i="1"/>
  <c r="BV175"/>
  <c r="BW284"/>
  <c r="BV284"/>
  <c r="BR284"/>
  <c r="BV207"/>
  <c r="BR207"/>
  <c r="BW320" i="5"/>
  <c r="BO261" i="3"/>
  <c r="BT261" s="1"/>
  <c r="BW303" i="5"/>
  <c r="BW298"/>
  <c r="BU185"/>
  <c r="BW281" i="4"/>
  <c r="CJ30"/>
  <c r="BT270" i="9"/>
  <c r="BW270" i="5"/>
  <c r="BV176" i="2"/>
  <c r="BR176"/>
  <c r="BU220" i="5"/>
  <c r="BT220" i="9"/>
  <c r="BU232" i="5"/>
  <c r="BT232" i="9"/>
  <c r="BV307" i="1"/>
  <c r="BR307"/>
  <c r="BW307"/>
  <c r="BV285" i="7"/>
  <c r="BR225" i="2"/>
  <c r="BU225"/>
  <c r="BV225"/>
  <c r="BV315" i="7"/>
  <c r="BO306" i="3"/>
  <c r="BT306" s="1"/>
  <c r="BV275" i="7"/>
  <c r="BW306" i="2"/>
  <c r="BR306"/>
  <c r="BV306"/>
  <c r="CJ23" i="7"/>
  <c r="BV278"/>
  <c r="BR307" i="2"/>
  <c r="BU307"/>
  <c r="BW307"/>
  <c r="BV307"/>
  <c r="BO224" i="3"/>
  <c r="BR224" s="1"/>
  <c r="BV297" i="7"/>
  <c r="BV279"/>
  <c r="BU220" i="4"/>
  <c r="BU200"/>
  <c r="BU187"/>
  <c r="BU194"/>
  <c r="BU206"/>
  <c r="BU235"/>
  <c r="BP278" i="6"/>
  <c r="BP278" i="8" s="1"/>
  <c r="BP287" i="6"/>
  <c r="BP287" i="8" s="1"/>
  <c r="BP191" i="9"/>
  <c r="BP182" i="6"/>
  <c r="BP182" i="8" s="1"/>
  <c r="BU248" i="4"/>
  <c r="BP283" i="6"/>
  <c r="BP283" i="8" s="1"/>
  <c r="BP208" i="9"/>
  <c r="BP260" i="6"/>
  <c r="BP260" i="8" s="1"/>
  <c r="CH22" i="4"/>
  <c r="BP300" i="9"/>
  <c r="BP255"/>
  <c r="BP202"/>
  <c r="BP228" i="6"/>
  <c r="BP228" i="8" s="1"/>
  <c r="BU316" i="4"/>
  <c r="CK27" i="7"/>
  <c r="BP190" i="6"/>
  <c r="BP190" i="8" s="1"/>
  <c r="BU240" i="4"/>
  <c r="BU218"/>
  <c r="CG28" i="1"/>
  <c r="CG25"/>
  <c r="CH32" i="4"/>
  <c r="CH26" i="5"/>
  <c r="BP220" i="6"/>
  <c r="BP220" i="8" s="1"/>
  <c r="BP250" i="6"/>
  <c r="BP250" i="8" s="1"/>
  <c r="BU295" i="4"/>
  <c r="BU259"/>
  <c r="BP236" i="6"/>
  <c r="BP236" i="8" s="1"/>
  <c r="BP247" i="6"/>
  <c r="BP247" i="8" s="1"/>
  <c r="BW272" i="4"/>
  <c r="BU272"/>
  <c r="BQ266" i="1"/>
  <c r="BT266"/>
  <c r="BP266" i="6"/>
  <c r="BP266" i="8" s="1"/>
  <c r="BT174" i="1"/>
  <c r="BP174" i="6"/>
  <c r="BP174" i="8" s="1"/>
  <c r="BQ174" i="1"/>
  <c r="BQ286"/>
  <c r="BT286"/>
  <c r="BP286" i="6"/>
  <c r="BP286" i="8" s="1"/>
  <c r="BQ289" i="2"/>
  <c r="BT289"/>
  <c r="BQ297" i="1"/>
  <c r="BP297" i="6"/>
  <c r="BP297" i="8" s="1"/>
  <c r="BT297" i="1"/>
  <c r="BT309" i="7"/>
  <c r="BX309"/>
  <c r="BT308"/>
  <c r="BX308"/>
  <c r="BQ216" i="3"/>
  <c r="BK216"/>
  <c r="BL216" s="1"/>
  <c r="BM216" s="1"/>
  <c r="BN216" s="1"/>
  <c r="BT195" i="1"/>
  <c r="BU207" s="1"/>
  <c r="BQ195"/>
  <c r="BP195" i="6"/>
  <c r="BP195" i="8" s="1"/>
  <c r="BP318" i="6"/>
  <c r="BP318" i="8" s="1"/>
  <c r="BQ318" i="1"/>
  <c r="BT318"/>
  <c r="BU263" i="4"/>
  <c r="BW263"/>
  <c r="BP239" i="9"/>
  <c r="BT239" i="5"/>
  <c r="BP217" i="9"/>
  <c r="BT217" i="5"/>
  <c r="BT262" i="2"/>
  <c r="BQ262"/>
  <c r="BK277" i="3"/>
  <c r="BL277" s="1"/>
  <c r="BM277" s="1"/>
  <c r="BN277" s="1"/>
  <c r="BQ277"/>
  <c r="BT275" i="2"/>
  <c r="BQ275"/>
  <c r="BP198" i="6"/>
  <c r="BP198" i="8" s="1"/>
  <c r="BT198" i="1"/>
  <c r="BQ198"/>
  <c r="BK264" i="3"/>
  <c r="BL264" s="1"/>
  <c r="BM264" s="1"/>
  <c r="BN264" s="1"/>
  <c r="BQ264"/>
  <c r="BT248" i="1"/>
  <c r="BQ248"/>
  <c r="BQ302" i="3"/>
  <c r="BK302"/>
  <c r="BL302" s="1"/>
  <c r="BM302" s="1"/>
  <c r="BN302" s="1"/>
  <c r="BT305" i="2"/>
  <c r="BQ305"/>
  <c r="CG32"/>
  <c r="BT301"/>
  <c r="BQ301"/>
  <c r="BT185"/>
  <c r="BQ185"/>
  <c r="CG22"/>
  <c r="BP230" i="6"/>
  <c r="BP230" i="8" s="1"/>
  <c r="BP230" i="9"/>
  <c r="BT230" i="5"/>
  <c r="BK241" i="3"/>
  <c r="BL241" s="1"/>
  <c r="BM241" s="1"/>
  <c r="BN241" s="1"/>
  <c r="BQ241"/>
  <c r="BQ316"/>
  <c r="BK316"/>
  <c r="BL316" s="1"/>
  <c r="BM316" s="1"/>
  <c r="BN316" s="1"/>
  <c r="BP326" i="9"/>
  <c r="BT326" i="5"/>
  <c r="BP184" i="6"/>
  <c r="BP184" i="8" s="1"/>
  <c r="BQ184" i="1"/>
  <c r="BT184"/>
  <c r="BP209" i="6"/>
  <c r="BP209" i="8" s="1"/>
  <c r="BQ209" i="1"/>
  <c r="CG24"/>
  <c r="BT209"/>
  <c r="BX255" i="7"/>
  <c r="BT255"/>
  <c r="BT241" i="2"/>
  <c r="BQ241"/>
  <c r="BU251" i="4"/>
  <c r="BW251"/>
  <c r="BT173" i="7"/>
  <c r="CK21"/>
  <c r="BP299" i="6"/>
  <c r="BP299" i="8" s="1"/>
  <c r="BT299" i="1"/>
  <c r="BQ299"/>
  <c r="BP327" i="9"/>
  <c r="BT327" i="5"/>
  <c r="BW306" i="4"/>
  <c r="BU306"/>
  <c r="BT269" i="7"/>
  <c r="CK29"/>
  <c r="BX269"/>
  <c r="CK24"/>
  <c r="BT209"/>
  <c r="BT248" i="2"/>
  <c r="BQ248"/>
  <c r="BT173" i="4"/>
  <c r="CJ21" s="1"/>
  <c r="CH21"/>
  <c r="BQ281" i="1"/>
  <c r="CG30"/>
  <c r="BT281"/>
  <c r="BP281" i="6"/>
  <c r="BQ223" i="2"/>
  <c r="BT223"/>
  <c r="BU282" i="4"/>
  <c r="BW270"/>
  <c r="BU270"/>
  <c r="BQ203" i="3"/>
  <c r="BK203"/>
  <c r="BL203" s="1"/>
  <c r="BM203" s="1"/>
  <c r="BN203" s="1"/>
  <c r="BQ284"/>
  <c r="BK284"/>
  <c r="BL284" s="1"/>
  <c r="BM284" s="1"/>
  <c r="BN284" s="1"/>
  <c r="BP205" i="9"/>
  <c r="BT205" i="5"/>
  <c r="BT191" i="2"/>
  <c r="BQ191"/>
  <c r="BQ213" i="1"/>
  <c r="BP213" i="6"/>
  <c r="BP213" i="8" s="1"/>
  <c r="BT213" i="1"/>
  <c r="BT288" i="5"/>
  <c r="BU300" s="1"/>
  <c r="BP288" i="9"/>
  <c r="BT308" i="2"/>
  <c r="BQ308"/>
  <c r="BX288" i="7"/>
  <c r="BT288"/>
  <c r="BW314" i="4"/>
  <c r="BU314"/>
  <c r="BP192" i="9"/>
  <c r="BT192" i="5"/>
  <c r="BT212"/>
  <c r="BP212" i="9"/>
  <c r="CG25" i="2"/>
  <c r="BT221"/>
  <c r="BQ221"/>
  <c r="BQ204" i="1"/>
  <c r="BT204"/>
  <c r="BP204" i="6"/>
  <c r="BP204" i="8" s="1"/>
  <c r="BT248" i="7"/>
  <c r="BX248"/>
  <c r="BT246" i="2"/>
  <c r="BQ246"/>
  <c r="BK234" i="3"/>
  <c r="BL234" s="1"/>
  <c r="BM234" s="1"/>
  <c r="BN234" s="1"/>
  <c r="BQ234"/>
  <c r="BP248" i="6"/>
  <c r="BP248" i="8" s="1"/>
  <c r="BT248" i="5"/>
  <c r="BP248" i="9"/>
  <c r="BT309" i="2"/>
  <c r="BQ309"/>
  <c r="BP223" i="9"/>
  <c r="BT223" i="5"/>
  <c r="BK244" i="3"/>
  <c r="BL244" s="1"/>
  <c r="BM244" s="1"/>
  <c r="BN244" s="1"/>
  <c r="BQ244"/>
  <c r="BT231" i="7"/>
  <c r="BK217" i="3"/>
  <c r="BL217" s="1"/>
  <c r="BM217" s="1"/>
  <c r="BN217" s="1"/>
  <c r="BQ217"/>
  <c r="BP185" i="9"/>
  <c r="BT185" i="1"/>
  <c r="BU197" s="1"/>
  <c r="BQ185"/>
  <c r="BP185" i="6"/>
  <c r="CG22" i="1"/>
  <c r="BQ253"/>
  <c r="BT253"/>
  <c r="BP253" i="6"/>
  <c r="BP253" i="8" s="1"/>
  <c r="BU277" i="4"/>
  <c r="BW277"/>
  <c r="BT174" i="7"/>
  <c r="BK210" i="3"/>
  <c r="BL210" s="1"/>
  <c r="BM210" s="1"/>
  <c r="BN210" s="1"/>
  <c r="BQ210"/>
  <c r="BP254" i="9"/>
  <c r="BT254" i="1"/>
  <c r="BQ254"/>
  <c r="BP254" i="6"/>
  <c r="BP254" i="8" s="1"/>
  <c r="BT290" i="5"/>
  <c r="BP290" i="9"/>
  <c r="BQ291" i="1"/>
  <c r="BT291"/>
  <c r="BP291" i="6"/>
  <c r="BP291" i="8" s="1"/>
  <c r="BK274" i="3"/>
  <c r="BL274" s="1"/>
  <c r="BM274" s="1"/>
  <c r="BN274" s="1"/>
  <c r="BQ274"/>
  <c r="BT272" i="2"/>
  <c r="BQ272"/>
  <c r="BT216" i="5"/>
  <c r="BP216" i="9"/>
  <c r="BK230" i="3"/>
  <c r="BL230" s="1"/>
  <c r="BM230" s="1"/>
  <c r="BN230" s="1"/>
  <c r="BQ230"/>
  <c r="BU260" i="4"/>
  <c r="BW260"/>
  <c r="BQ190" i="2"/>
  <c r="BT190"/>
  <c r="BQ186"/>
  <c r="BT186"/>
  <c r="BT205"/>
  <c r="BU217" s="1"/>
  <c r="BQ205"/>
  <c r="BQ205" i="3"/>
  <c r="BK205"/>
  <c r="BL205" s="1"/>
  <c r="BM205" s="1"/>
  <c r="BN205" s="1"/>
  <c r="BT178" i="2"/>
  <c r="BQ178"/>
  <c r="BQ253" i="3"/>
  <c r="BK253"/>
  <c r="BL253" s="1"/>
  <c r="BM253" s="1"/>
  <c r="BN253" s="1"/>
  <c r="BQ220" i="2"/>
  <c r="BT220"/>
  <c r="BP241" i="9"/>
  <c r="BT241" i="5"/>
  <c r="BU246" i="4"/>
  <c r="BU234"/>
  <c r="CG21" i="2"/>
  <c r="BQ173"/>
  <c r="BT173"/>
  <c r="BU266" i="4"/>
  <c r="BW266"/>
  <c r="BQ213" i="3"/>
  <c r="BK213"/>
  <c r="BL213" s="1"/>
  <c r="BM213" s="1"/>
  <c r="BN213" s="1"/>
  <c r="BT282" i="7"/>
  <c r="BX282"/>
  <c r="BT226" i="1"/>
  <c r="BQ226"/>
  <c r="BP226" i="6"/>
  <c r="BP226" i="8" s="1"/>
  <c r="BU323" i="4"/>
  <c r="BW323"/>
  <c r="BT250" i="2"/>
  <c r="BQ250"/>
  <c r="BP242" i="9"/>
  <c r="BT242" i="5"/>
  <c r="BQ248" i="3"/>
  <c r="BK248"/>
  <c r="BL248" s="1"/>
  <c r="BM248" s="1"/>
  <c r="BN248" s="1"/>
  <c r="BT279" i="5"/>
  <c r="BP279" i="9"/>
  <c r="BQ238" i="2"/>
  <c r="BT238"/>
  <c r="BQ295" i="3"/>
  <c r="BK295"/>
  <c r="BL295" s="1"/>
  <c r="BM295" s="1"/>
  <c r="BN295" s="1"/>
  <c r="BT215" i="5"/>
  <c r="BP215" i="9"/>
  <c r="BX254" i="7"/>
  <c r="BT254"/>
  <c r="BQ285" i="2"/>
  <c r="BT285"/>
  <c r="BQ254" i="3"/>
  <c r="BK254"/>
  <c r="BL254" s="1"/>
  <c r="BM254" s="1"/>
  <c r="BN254" s="1"/>
  <c r="BT310" i="2"/>
  <c r="BQ310"/>
  <c r="BT186" i="1"/>
  <c r="BT186" i="9" s="1"/>
  <c r="BQ186" i="1"/>
  <c r="BP186" i="6"/>
  <c r="BP186" i="8" s="1"/>
  <c r="BQ272" i="1"/>
  <c r="BP272" i="6"/>
  <c r="BP272" i="8" s="1"/>
  <c r="BT272" i="1"/>
  <c r="BP222" i="9"/>
  <c r="BT222" i="5"/>
  <c r="BQ224" i="2"/>
  <c r="BT224"/>
  <c r="BK186" i="3"/>
  <c r="BL186" s="1"/>
  <c r="BM186" s="1"/>
  <c r="BN186" s="1"/>
  <c r="BQ186"/>
  <c r="BP289" i="9"/>
  <c r="BT289" i="5"/>
  <c r="BU231" i="4"/>
  <c r="BU219"/>
  <c r="BT270" i="2"/>
  <c r="BQ270"/>
  <c r="BQ189"/>
  <c r="BT189"/>
  <c r="BU201" s="1"/>
  <c r="BW262" i="4"/>
  <c r="BU262"/>
  <c r="BP229" i="9"/>
  <c r="BP229" i="6"/>
  <c r="BP229" i="8" s="1"/>
  <c r="BQ229" i="1"/>
  <c r="BT229"/>
  <c r="BQ326" i="3"/>
  <c r="BK326"/>
  <c r="BL326" s="1"/>
  <c r="BM326" s="1"/>
  <c r="BN326" s="1"/>
  <c r="BK227"/>
  <c r="BL227" s="1"/>
  <c r="BM227" s="1"/>
  <c r="BN227" s="1"/>
  <c r="BQ227"/>
  <c r="BK247"/>
  <c r="BL247" s="1"/>
  <c r="BM247" s="1"/>
  <c r="BN247" s="1"/>
  <c r="BQ247"/>
  <c r="BK256"/>
  <c r="BL256" s="1"/>
  <c r="BM256" s="1"/>
  <c r="BN256" s="1"/>
  <c r="BQ256"/>
  <c r="BP286" i="9"/>
  <c r="BT286" i="5"/>
  <c r="BT207"/>
  <c r="BP207" i="9"/>
  <c r="BQ280" i="2"/>
  <c r="BT280"/>
  <c r="BP316" i="9"/>
  <c r="BP316" i="6"/>
  <c r="BP316" i="8" s="1"/>
  <c r="BQ316" i="1"/>
  <c r="BT316"/>
  <c r="BU325" i="4"/>
  <c r="BW325"/>
  <c r="BT245" i="5"/>
  <c r="BU257" s="1"/>
  <c r="BP245" i="9"/>
  <c r="CH27" i="5"/>
  <c r="BK258" i="3"/>
  <c r="BL258" s="1"/>
  <c r="BM258" s="1"/>
  <c r="BN258" s="1"/>
  <c r="BQ258"/>
  <c r="BT310" i="5"/>
  <c r="BP310" i="9"/>
  <c r="BO231" i="3"/>
  <c r="BT231" s="1"/>
  <c r="BR252" i="2"/>
  <c r="BW252"/>
  <c r="BV252"/>
  <c r="BV301" i="7"/>
  <c r="BV300"/>
  <c r="BR287" i="1"/>
  <c r="BU287"/>
  <c r="BW287"/>
  <c r="BV287"/>
  <c r="BW297" i="5"/>
  <c r="BT191" i="9"/>
  <c r="BU191" i="5"/>
  <c r="BO220" i="3"/>
  <c r="BT220" s="1"/>
  <c r="BV304" i="7"/>
  <c r="BW307" i="5"/>
  <c r="BT307" i="9"/>
  <c r="BV302" i="7"/>
  <c r="BO262" i="3"/>
  <c r="BP262" s="1"/>
  <c r="BR231" i="1"/>
  <c r="BV231"/>
  <c r="BU287" i="5"/>
  <c r="BT287" i="9"/>
  <c r="BW287" i="5"/>
  <c r="BO204" i="3"/>
  <c r="BP204" s="1"/>
  <c r="BW271" i="1"/>
  <c r="BR271"/>
  <c r="BV271"/>
  <c r="BO208" i="3"/>
  <c r="BR208" s="1"/>
  <c r="BT180"/>
  <c r="BP180"/>
  <c r="BR180"/>
  <c r="BP182"/>
  <c r="BT182"/>
  <c r="BR182"/>
  <c r="BT206" i="9"/>
  <c r="BV193" i="2"/>
  <c r="BR193"/>
  <c r="BO235" i="3"/>
  <c r="BR235" s="1"/>
  <c r="BU243" i="2"/>
  <c r="BV243"/>
  <c r="BR243"/>
  <c r="BU276"/>
  <c r="BV276"/>
  <c r="BW276"/>
  <c r="BR276"/>
  <c r="BO218" i="3"/>
  <c r="BR218" s="1"/>
  <c r="BO282"/>
  <c r="BR282" s="1"/>
  <c r="BU211" i="5"/>
  <c r="BR260" i="1"/>
  <c r="BV260"/>
  <c r="BW260"/>
  <c r="BR185" i="3"/>
  <c r="BP185"/>
  <c r="BT185"/>
  <c r="BW257" i="5"/>
  <c r="BT257" i="9"/>
  <c r="BV287" i="2"/>
  <c r="BR287"/>
  <c r="BW287"/>
  <c r="BO267" i="3"/>
  <c r="BP267" s="1"/>
  <c r="BV259" i="2"/>
  <c r="BW259"/>
  <c r="BR259"/>
  <c r="BU259"/>
  <c r="BR183" i="3"/>
  <c r="BT183"/>
  <c r="BP183"/>
  <c r="BW249" i="5"/>
  <c r="BU249"/>
  <c r="BT249" i="9"/>
  <c r="BO206" i="3"/>
  <c r="BR206" s="1"/>
  <c r="CJ22" i="4"/>
  <c r="BU199" i="5"/>
  <c r="BV297" i="2"/>
  <c r="BW297"/>
  <c r="BR297"/>
  <c r="BW267" i="5"/>
  <c r="BT267" i="9"/>
  <c r="BU267" i="5"/>
  <c r="BO237" i="3"/>
  <c r="BT237" s="1"/>
  <c r="BU294" i="5"/>
  <c r="BW294"/>
  <c r="BW258" i="1"/>
  <c r="BV258"/>
  <c r="BR258"/>
  <c r="BV188"/>
  <c r="BU188"/>
  <c r="BR188"/>
  <c r="BU263" i="2"/>
  <c r="BR263"/>
  <c r="BW263"/>
  <c r="BV263"/>
  <c r="BW300" i="5"/>
  <c r="BW255"/>
  <c r="BO223" i="3"/>
  <c r="BT223" s="1"/>
  <c r="BV223" i="1"/>
  <c r="BR223"/>
  <c r="BR265"/>
  <c r="BW265"/>
  <c r="BV265"/>
  <c r="BP176" i="3"/>
  <c r="BR176"/>
  <c r="BT176"/>
  <c r="BV201" i="2"/>
  <c r="BR201"/>
  <c r="BU202" i="5"/>
  <c r="BV311" i="7"/>
  <c r="BV296"/>
  <c r="BO291" i="3"/>
  <c r="BP291" s="1"/>
  <c r="BV326" i="7"/>
  <c r="BR177" i="1"/>
  <c r="BV177"/>
  <c r="BV312" i="7"/>
  <c r="BR217" i="2"/>
  <c r="BV217"/>
  <c r="BV190" i="1"/>
  <c r="BU190"/>
  <c r="BR190"/>
  <c r="BU193"/>
  <c r="BR193"/>
  <c r="BV193"/>
  <c r="BV272" i="7"/>
  <c r="BW293" i="5"/>
  <c r="BT293" i="9"/>
  <c r="BW260" i="2"/>
  <c r="BR260"/>
  <c r="BV260"/>
  <c r="BO246" i="3"/>
  <c r="BT246" s="1"/>
  <c r="BT236" i="9"/>
  <c r="BO305" i="3"/>
  <c r="BT305" s="1"/>
  <c r="BR276" i="1"/>
  <c r="BW276"/>
  <c r="BV276"/>
  <c r="BU276"/>
  <c r="BV280" i="7"/>
  <c r="BO245" i="3"/>
  <c r="BT245" s="1"/>
  <c r="BR264" i="1"/>
  <c r="BV264"/>
  <c r="BW264"/>
  <c r="BO289" i="3"/>
  <c r="BT289" s="1"/>
  <c r="BV192" i="1"/>
  <c r="BR192"/>
  <c r="BO243" i="3"/>
  <c r="BT243" s="1"/>
  <c r="BV213" i="2"/>
  <c r="BU213"/>
  <c r="BR213"/>
  <c r="BV181" i="1"/>
  <c r="BR181"/>
  <c r="BO232" i="3"/>
  <c r="BT232" s="1"/>
  <c r="BU206" i="1"/>
  <c r="BR206"/>
  <c r="BV206"/>
  <c r="BV303" i="7"/>
  <c r="BV293"/>
  <c r="CJ31"/>
  <c r="BW305" i="4"/>
  <c r="CJ32"/>
  <c r="BR317" i="2"/>
  <c r="BW317"/>
  <c r="BV317"/>
  <c r="BR308" i="1"/>
  <c r="BV308"/>
  <c r="BW308"/>
  <c r="BV228" i="2"/>
  <c r="BU228"/>
  <c r="BR228"/>
  <c r="BO303" i="3"/>
  <c r="BT303" s="1"/>
  <c r="BU242" i="2"/>
  <c r="BR242"/>
  <c r="BV242"/>
  <c r="BU270" i="1"/>
  <c r="BW270"/>
  <c r="BV270"/>
  <c r="BR270"/>
  <c r="BW268" i="5"/>
  <c r="BV197" i="1"/>
  <c r="BR197"/>
  <c r="BV220"/>
  <c r="BR220"/>
  <c r="BO297" i="3"/>
  <c r="BT297" s="1"/>
  <c r="BR216" i="2"/>
  <c r="BV216"/>
  <c r="BV301" i="1"/>
  <c r="BR301"/>
  <c r="BW301"/>
  <c r="BO276" i="3"/>
  <c r="BT276" s="1"/>
  <c r="BR236" i="1"/>
  <c r="BV236"/>
  <c r="BU236"/>
  <c r="BR288" i="2"/>
  <c r="BW288"/>
  <c r="BU288"/>
  <c r="BV288"/>
  <c r="BR267" i="1"/>
  <c r="BW267"/>
  <c r="BV267"/>
  <c r="BO313" i="3"/>
  <c r="BP313" s="1"/>
  <c r="BO304"/>
  <c r="BT304" s="1"/>
  <c r="BR189" i="1"/>
  <c r="BU189"/>
  <c r="BV189"/>
  <c r="BT283" i="9"/>
  <c r="BW283" i="5"/>
  <c r="BV257" i="2"/>
  <c r="BR257"/>
  <c r="BU257"/>
  <c r="BW257"/>
  <c r="BW247" i="1"/>
  <c r="BR247"/>
  <c r="BV247"/>
  <c r="BV319" i="7"/>
  <c r="BV318"/>
  <c r="BV307"/>
  <c r="BW283" i="2"/>
  <c r="BR283"/>
  <c r="BV283"/>
  <c r="BW328" i="5"/>
  <c r="BU328"/>
  <c r="BW275" i="1"/>
  <c r="BR275"/>
  <c r="BV275"/>
  <c r="BO307" i="3"/>
  <c r="BT307" s="1"/>
  <c r="BO250"/>
  <c r="BT250" s="1"/>
  <c r="BO195"/>
  <c r="BT195" s="1"/>
  <c r="BV277" i="7"/>
  <c r="BR200" i="2"/>
  <c r="BV200"/>
  <c r="BV316" i="7"/>
  <c r="BR230" i="2"/>
  <c r="BU230"/>
  <c r="BV230"/>
  <c r="BV313" i="7"/>
  <c r="BU218" i="2"/>
  <c r="BR218"/>
  <c r="BV218"/>
  <c r="BV325" i="7"/>
  <c r="BW275" i="5"/>
  <c r="BT275" i="9"/>
  <c r="BW275" s="1"/>
  <c r="BV327" i="7"/>
  <c r="BV322"/>
  <c r="BU247" i="5"/>
  <c r="BT247" i="9"/>
  <c r="BW247" i="5"/>
  <c r="BU203" i="4"/>
  <c r="BU205"/>
  <c r="BU223"/>
  <c r="BP242" i="6"/>
  <c r="BP242" i="8" s="1"/>
  <c r="BP237" i="9"/>
  <c r="BP240" i="6"/>
  <c r="BP240" i="8" s="1"/>
  <c r="BP249" i="6"/>
  <c r="BP249" i="8" s="1"/>
  <c r="BZ25" i="3"/>
  <c r="BP196" i="6"/>
  <c r="BP196" i="8" s="1"/>
  <c r="CH28" i="5"/>
  <c r="BP244" i="9"/>
  <c r="BP235"/>
  <c r="BP259"/>
  <c r="BP258" i="6"/>
  <c r="BP258" i="8" s="1"/>
  <c r="BU275" i="4"/>
  <c r="BP288" i="6"/>
  <c r="BP288" i="8" s="1"/>
  <c r="BP241" i="6"/>
  <c r="BP241" i="8" s="1"/>
  <c r="BP209" i="9"/>
  <c r="CK28" i="7"/>
  <c r="BP186" i="9"/>
  <c r="BP257" i="6"/>
  <c r="BZ32" i="3"/>
  <c r="BZ27"/>
  <c r="BP192" i="6"/>
  <c r="BP192" i="8" s="1"/>
  <c r="BP206" i="6"/>
  <c r="BP206" i="8" s="1"/>
  <c r="CK31" i="7"/>
  <c r="CH28" i="4"/>
  <c r="BU284"/>
  <c r="BP233" i="9"/>
  <c r="BP292"/>
  <c r="BP270" i="6"/>
  <c r="BP270" i="8" s="1"/>
  <c r="BT182" i="9"/>
  <c r="BW182" s="1"/>
  <c r="BU278" i="4"/>
  <c r="BP207" i="6"/>
  <c r="BP207" i="8" s="1"/>
  <c r="BP320" i="9"/>
  <c r="CH30" i="4"/>
  <c r="CG28" i="2"/>
  <c r="BU267" i="4"/>
  <c r="BP307" i="6"/>
  <c r="BP307" i="8" s="1"/>
  <c r="BU326" i="4"/>
  <c r="BT227" i="9" l="1"/>
  <c r="BU307" i="1"/>
  <c r="BT328" i="9"/>
  <c r="BW328" s="1"/>
  <c r="BT233"/>
  <c r="BW233" s="1"/>
  <c r="BT235"/>
  <c r="BU250" i="1"/>
  <c r="BT320" i="9"/>
  <c r="BT282"/>
  <c r="BU282" s="1"/>
  <c r="BU297" i="2"/>
  <c r="BU287"/>
  <c r="BS194" i="1"/>
  <c r="CH24"/>
  <c r="BS188"/>
  <c r="BU214"/>
  <c r="CI31" i="5"/>
  <c r="BU195" i="3"/>
  <c r="BS206" i="1"/>
  <c r="CI27" i="4"/>
  <c r="BU185"/>
  <c r="CI22"/>
  <c r="CJ31" i="5"/>
  <c r="BS236" i="1"/>
  <c r="BU223"/>
  <c r="BS185" i="3"/>
  <c r="BT300" i="9"/>
  <c r="BW300" s="1"/>
  <c r="BT297"/>
  <c r="BW297" s="1"/>
  <c r="BT292"/>
  <c r="BW292" s="1"/>
  <c r="BT313"/>
  <c r="BW313" s="1"/>
  <c r="BU249" i="2"/>
  <c r="BU260"/>
  <c r="BU317"/>
  <c r="BU260" i="1"/>
  <c r="BU245" i="2"/>
  <c r="BU247" i="1"/>
  <c r="BT268" i="9"/>
  <c r="BW268" s="1"/>
  <c r="BT317"/>
  <c r="BW317" s="1"/>
  <c r="BU265" i="1"/>
  <c r="BT244" i="9"/>
  <c r="BW244" s="1"/>
  <c r="BU275" i="1"/>
  <c r="BU264"/>
  <c r="BW179" i="9"/>
  <c r="BU252" i="2"/>
  <c r="BU271" i="1"/>
  <c r="BT237" i="9"/>
  <c r="BW237" s="1"/>
  <c r="BT255"/>
  <c r="BU267" s="1"/>
  <c r="BU251" i="2"/>
  <c r="BT298" i="9"/>
  <c r="BU257" i="1"/>
  <c r="BT296" i="9"/>
  <c r="BW296" s="1"/>
  <c r="BU273" i="1"/>
  <c r="BT176" i="6"/>
  <c r="BV176" s="1"/>
  <c r="BT294" i="9"/>
  <c r="BW294" s="1"/>
  <c r="CK22" i="4"/>
  <c r="CH30" i="1"/>
  <c r="CI28" i="2"/>
  <c r="CK28" s="1"/>
  <c r="BT303" i="9"/>
  <c r="BW303" s="1"/>
  <c r="BT259"/>
  <c r="BW259" s="1"/>
  <c r="BT261"/>
  <c r="BW261" s="1"/>
  <c r="BU301" i="1"/>
  <c r="BU258"/>
  <c r="BW175" i="9"/>
  <c r="CJ24" i="5"/>
  <c r="BT231" i="6"/>
  <c r="BT231" i="8" s="1"/>
  <c r="CJ28" i="5"/>
  <c r="CI26"/>
  <c r="CJ21" i="9"/>
  <c r="BW298"/>
  <c r="BW183"/>
  <c r="CH28" i="1"/>
  <c r="BU267"/>
  <c r="BU308"/>
  <c r="CI33" i="2"/>
  <c r="CK33" s="1"/>
  <c r="BS270" i="1"/>
  <c r="BU249"/>
  <c r="BS259" i="2"/>
  <c r="CI23" i="1"/>
  <c r="CI28" i="5"/>
  <c r="BS189" i="1"/>
  <c r="BP235" i="3"/>
  <c r="BT208" i="9"/>
  <c r="BW208" s="1"/>
  <c r="BU231" i="1"/>
  <c r="CI32" i="4"/>
  <c r="CI28"/>
  <c r="CH22" i="1"/>
  <c r="CJ22" i="5"/>
  <c r="CI25" i="4"/>
  <c r="BS288" i="2"/>
  <c r="BS213"/>
  <c r="BT189" i="6"/>
  <c r="BT189" i="8" s="1"/>
  <c r="CI30" i="4"/>
  <c r="BS218" i="2"/>
  <c r="CI27" i="5"/>
  <c r="BW178" i="9"/>
  <c r="BU187" i="5"/>
  <c r="CN23" i="7"/>
  <c r="BT177" i="6"/>
  <c r="BV177" s="1"/>
  <c r="BS261" i="2"/>
  <c r="CJ24" i="9"/>
  <c r="BS257" i="2"/>
  <c r="CJ30" i="7"/>
  <c r="CI24" i="5"/>
  <c r="BU283" i="2"/>
  <c r="BU237" i="3"/>
  <c r="BU235" i="2"/>
  <c r="BU306"/>
  <c r="BP303" i="3"/>
  <c r="BR303"/>
  <c r="BT265"/>
  <c r="BT273"/>
  <c r="BR304"/>
  <c r="BP276"/>
  <c r="CL276" s="1"/>
  <c r="CN276" s="1"/>
  <c r="BR289"/>
  <c r="BP245"/>
  <c r="BT272"/>
  <c r="BT238"/>
  <c r="BR195"/>
  <c r="BS195" s="1"/>
  <c r="BR232"/>
  <c r="BT208"/>
  <c r="BT208" i="6" s="1"/>
  <c r="BR204" i="3"/>
  <c r="BP310"/>
  <c r="BT226"/>
  <c r="BR193"/>
  <c r="BR228"/>
  <c r="BS240" s="1"/>
  <c r="BT201"/>
  <c r="BT201" i="6" s="1"/>
  <c r="BT201" i="8" s="1"/>
  <c r="BP239" i="3"/>
  <c r="BP195"/>
  <c r="BR250"/>
  <c r="BS250" s="1"/>
  <c r="BP307"/>
  <c r="CL307" s="1"/>
  <c r="CN307" s="1"/>
  <c r="BP304"/>
  <c r="BT313"/>
  <c r="BR276"/>
  <c r="BS228" i="2"/>
  <c r="BP243" i="3"/>
  <c r="CL243" s="1"/>
  <c r="CN243" s="1"/>
  <c r="BP305"/>
  <c r="BT291"/>
  <c r="BP223"/>
  <c r="BP206"/>
  <c r="CL206" s="1"/>
  <c r="BP282"/>
  <c r="BT218"/>
  <c r="BT218" i="6" s="1"/>
  <c r="BT235" i="3"/>
  <c r="BP208"/>
  <c r="BP224"/>
  <c r="BR261"/>
  <c r="BS273" s="1"/>
  <c r="BP314"/>
  <c r="BP272"/>
  <c r="BT228"/>
  <c r="BP189"/>
  <c r="BR201"/>
  <c r="BT207"/>
  <c r="BU207" s="1"/>
  <c r="BR229"/>
  <c r="BT262"/>
  <c r="BT220" i="6"/>
  <c r="BT220" i="8" s="1"/>
  <c r="BT266" i="3"/>
  <c r="BP285"/>
  <c r="BR242"/>
  <c r="BR310"/>
  <c r="BT263"/>
  <c r="BP238"/>
  <c r="BR288"/>
  <c r="CH31" i="2"/>
  <c r="CI26" i="4"/>
  <c r="CJ21" i="8"/>
  <c r="CH28" i="2"/>
  <c r="BT223" i="6"/>
  <c r="BT223" i="8" s="1"/>
  <c r="BS263" i="2"/>
  <c r="BS276"/>
  <c r="BS243"/>
  <c r="BT182" i="6"/>
  <c r="BV182" s="1"/>
  <c r="CH25" i="2"/>
  <c r="CH32"/>
  <c r="BS307"/>
  <c r="CH30"/>
  <c r="BT204" i="3"/>
  <c r="BT204" i="6" s="1"/>
  <c r="BR262" i="3"/>
  <c r="BT224"/>
  <c r="BT242"/>
  <c r="BR226"/>
  <c r="BS238" s="1"/>
  <c r="BP225"/>
  <c r="CL225" s="1"/>
  <c r="BT280"/>
  <c r="BP240"/>
  <c r="BR263"/>
  <c r="BP207"/>
  <c r="BT221"/>
  <c r="BP229"/>
  <c r="BT239"/>
  <c r="BR307"/>
  <c r="BP297"/>
  <c r="BP232"/>
  <c r="BR243"/>
  <c r="BR245"/>
  <c r="BR305"/>
  <c r="BP246"/>
  <c r="BR291"/>
  <c r="BR223"/>
  <c r="BS235" s="1"/>
  <c r="BP237"/>
  <c r="BT206"/>
  <c r="BR267"/>
  <c r="BP218"/>
  <c r="BR231"/>
  <c r="BS231" s="1"/>
  <c r="BR306"/>
  <c r="BR314"/>
  <c r="BT198"/>
  <c r="BT198" i="6" s="1"/>
  <c r="BP273" i="3"/>
  <c r="BP266"/>
  <c r="BT294"/>
  <c r="CD32"/>
  <c r="CA32"/>
  <c r="BW283" i="9"/>
  <c r="CD27" i="3"/>
  <c r="CA27"/>
  <c r="CJ28" i="6"/>
  <c r="BP257" i="8"/>
  <c r="CJ28" s="1"/>
  <c r="CA25" i="3"/>
  <c r="CD25"/>
  <c r="BU247" i="9"/>
  <c r="BW247"/>
  <c r="BT307" i="6"/>
  <c r="CN31" i="7"/>
  <c r="CM31"/>
  <c r="BU232" i="3"/>
  <c r="BT232" i="6"/>
  <c r="BU243" i="3"/>
  <c r="BT243" i="6"/>
  <c r="BW186" i="9"/>
  <c r="CN30" i="7"/>
  <c r="BS230" i="2"/>
  <c r="BP250" i="3"/>
  <c r="BR313"/>
  <c r="BR297"/>
  <c r="BS297" s="1"/>
  <c r="BS242" i="2"/>
  <c r="BP289" i="3"/>
  <c r="BT276" i="6"/>
  <c r="BT250"/>
  <c r="BW293" i="9"/>
  <c r="BW249"/>
  <c r="BW206"/>
  <c r="BW310" i="5"/>
  <c r="BU310"/>
  <c r="BT310" i="9"/>
  <c r="BO258" i="3"/>
  <c r="BP258" s="1"/>
  <c r="CL258" s="1"/>
  <c r="BW316" i="1"/>
  <c r="BU316"/>
  <c r="BV316"/>
  <c r="BR316"/>
  <c r="BT316" i="9"/>
  <c r="BW316" s="1"/>
  <c r="BR280" i="2"/>
  <c r="BU280"/>
  <c r="BV280"/>
  <c r="BW280"/>
  <c r="BU286" i="5"/>
  <c r="BW286"/>
  <c r="BT286" i="9"/>
  <c r="BO326" i="3"/>
  <c r="BR326" s="1"/>
  <c r="BU241" i="1"/>
  <c r="BT229" i="6"/>
  <c r="BU229" i="1"/>
  <c r="BR229"/>
  <c r="BS241" s="1"/>
  <c r="BV229"/>
  <c r="BT229" i="9"/>
  <c r="BW229" s="1"/>
  <c r="BV189" i="2"/>
  <c r="BZ189" i="3" s="1"/>
  <c r="BU189" i="2"/>
  <c r="BR189"/>
  <c r="BS189" s="1"/>
  <c r="BW289" i="5"/>
  <c r="BU289"/>
  <c r="BT289" i="9"/>
  <c r="BU301" s="1"/>
  <c r="BV224" i="2"/>
  <c r="BR224"/>
  <c r="BU224"/>
  <c r="BT222" i="9"/>
  <c r="BU222" i="5"/>
  <c r="BU284" i="1"/>
  <c r="BR272"/>
  <c r="BS272" s="1"/>
  <c r="BU272"/>
  <c r="BW272"/>
  <c r="BV272"/>
  <c r="BO254" i="3"/>
  <c r="BP254" s="1"/>
  <c r="BW285" i="2"/>
  <c r="BV285"/>
  <c r="BR285"/>
  <c r="BS297" s="1"/>
  <c r="BU285"/>
  <c r="BO295" i="3"/>
  <c r="BT295" s="1"/>
  <c r="BU238" i="2"/>
  <c r="BV238"/>
  <c r="BR238"/>
  <c r="BO248" i="3"/>
  <c r="BP248" s="1"/>
  <c r="BU242" i="5"/>
  <c r="BT242" i="9"/>
  <c r="BU254" i="5"/>
  <c r="BR226" i="1"/>
  <c r="BS226" s="1"/>
  <c r="BV226"/>
  <c r="BU226"/>
  <c r="BO213" i="3"/>
  <c r="BP213" s="1"/>
  <c r="BV173" i="2"/>
  <c r="CI21"/>
  <c r="CK21" s="1"/>
  <c r="BR173"/>
  <c r="BV178"/>
  <c r="BW178" s="1"/>
  <c r="BR178"/>
  <c r="BR205"/>
  <c r="BS205" s="1"/>
  <c r="BU205"/>
  <c r="BV205"/>
  <c r="BO230" i="3"/>
  <c r="BT230" s="1"/>
  <c r="BU216" i="5"/>
  <c r="BT216" i="9"/>
  <c r="BU228" s="1"/>
  <c r="BW272" i="2"/>
  <c r="BU272"/>
  <c r="BV272"/>
  <c r="BR272"/>
  <c r="BS272" s="1"/>
  <c r="BO274" i="3"/>
  <c r="BT274" s="1"/>
  <c r="BV291" i="1"/>
  <c r="BR291"/>
  <c r="BU291"/>
  <c r="BW291"/>
  <c r="BR254"/>
  <c r="BS254" s="1"/>
  <c r="BW254"/>
  <c r="BV254"/>
  <c r="BU254"/>
  <c r="BT254" i="9"/>
  <c r="BU185" i="1"/>
  <c r="BV185"/>
  <c r="CI22"/>
  <c r="BR185"/>
  <c r="BT185" i="6"/>
  <c r="BT185" i="8" s="1"/>
  <c r="BT223" i="9"/>
  <c r="BU235" s="1"/>
  <c r="BU223" i="5"/>
  <c r="BO234" i="3"/>
  <c r="BT234" s="1"/>
  <c r="BV246" i="2"/>
  <c r="BR246"/>
  <c r="BS258" s="1"/>
  <c r="BU246"/>
  <c r="BW246"/>
  <c r="BR204" i="1"/>
  <c r="BS204" s="1"/>
  <c r="BV204"/>
  <c r="BU204"/>
  <c r="BU212" i="5"/>
  <c r="BT212" i="9"/>
  <c r="BU308" i="2"/>
  <c r="BV308"/>
  <c r="BW308"/>
  <c r="BR308"/>
  <c r="BU288" i="5"/>
  <c r="BT288" i="9"/>
  <c r="BW288" i="5"/>
  <c r="BU205"/>
  <c r="BT205" i="9"/>
  <c r="BO284" i="3"/>
  <c r="BP284" s="1"/>
  <c r="CL284" s="1"/>
  <c r="BO203"/>
  <c r="BP203" s="1"/>
  <c r="BU293" i="1"/>
  <c r="BR281"/>
  <c r="BS293" s="1"/>
  <c r="BW281"/>
  <c r="CI30"/>
  <c r="BV281"/>
  <c r="BU281"/>
  <c r="BW248" i="2"/>
  <c r="BV248"/>
  <c r="BU248"/>
  <c r="BR248"/>
  <c r="BS260" s="1"/>
  <c r="CJ24" i="7"/>
  <c r="BT327" i="9"/>
  <c r="BU327" i="5"/>
  <c r="BW327"/>
  <c r="CJ21" i="7"/>
  <c r="CN21" s="1"/>
  <c r="BU241" i="2"/>
  <c r="BR241"/>
  <c r="BS241" s="1"/>
  <c r="BV241"/>
  <c r="BT326" i="9"/>
  <c r="BW326" i="5"/>
  <c r="BU326"/>
  <c r="BO316" i="3"/>
  <c r="BT316" s="1"/>
  <c r="BU230" i="5"/>
  <c r="BT230" i="9"/>
  <c r="BV305" i="2"/>
  <c r="BW305"/>
  <c r="BR305"/>
  <c r="CI32"/>
  <c r="BU305"/>
  <c r="BW248" i="1"/>
  <c r="BV248"/>
  <c r="BR248"/>
  <c r="BS248" s="1"/>
  <c r="BU248"/>
  <c r="BO264" i="3"/>
  <c r="BT264" s="1"/>
  <c r="BR198" i="1"/>
  <c r="BU198"/>
  <c r="BV198"/>
  <c r="BT217" i="9"/>
  <c r="BU217" i="5"/>
  <c r="BU229"/>
  <c r="BU239"/>
  <c r="BT239" i="9"/>
  <c r="BU318" i="1"/>
  <c r="BW318"/>
  <c r="BV318"/>
  <c r="BR318"/>
  <c r="BO216" i="3"/>
  <c r="BT216" s="1"/>
  <c r="BT216" i="6" s="1"/>
  <c r="BT297"/>
  <c r="BU297" i="1"/>
  <c r="BW297"/>
  <c r="BV297"/>
  <c r="BR297"/>
  <c r="BS297" s="1"/>
  <c r="BW286"/>
  <c r="BR286"/>
  <c r="BV286"/>
  <c r="BU286"/>
  <c r="BR174"/>
  <c r="BV174"/>
  <c r="BU266"/>
  <c r="BW266"/>
  <c r="BV266"/>
  <c r="BR266"/>
  <c r="BU187" i="9"/>
  <c r="BW187"/>
  <c r="BZ176" i="3"/>
  <c r="BW320" i="9"/>
  <c r="BW227"/>
  <c r="BT225" i="6"/>
  <c r="BT225" i="8" s="1"/>
  <c r="BW228" i="9"/>
  <c r="BW219"/>
  <c r="BO259" i="3"/>
  <c r="BR259" s="1"/>
  <c r="CD28"/>
  <c r="CA28"/>
  <c r="BU293" i="2"/>
  <c r="BR281"/>
  <c r="BU281"/>
  <c r="CI30"/>
  <c r="BV281"/>
  <c r="BW281"/>
  <c r="BR216" i="1"/>
  <c r="BS228" s="1"/>
  <c r="BV216"/>
  <c r="BU216"/>
  <c r="BW245" i="4"/>
  <c r="CJ27"/>
  <c r="CK28" s="1"/>
  <c r="BU245"/>
  <c r="BR191" i="1"/>
  <c r="BU191"/>
  <c r="BV191"/>
  <c r="BV294" i="7"/>
  <c r="BR254" i="2"/>
  <c r="BS254" s="1"/>
  <c r="BU254"/>
  <c r="BW254"/>
  <c r="BV254"/>
  <c r="BO209" i="3"/>
  <c r="BT209" s="1"/>
  <c r="BT209" i="6" s="1"/>
  <c r="BW289" i="1"/>
  <c r="BV289"/>
  <c r="BR289"/>
  <c r="BS289" s="1"/>
  <c r="BT289" i="6"/>
  <c r="BU289" i="1"/>
  <c r="BU196" i="2"/>
  <c r="BR196"/>
  <c r="BV196"/>
  <c r="BT196" i="9"/>
  <c r="BU196" i="5"/>
  <c r="BV239" i="1"/>
  <c r="BU239"/>
  <c r="BR239"/>
  <c r="BO287" i="3"/>
  <c r="BR287" s="1"/>
  <c r="BU244" i="1"/>
  <c r="BR244"/>
  <c r="BS244" s="1"/>
  <c r="BV244"/>
  <c r="BU208"/>
  <c r="BR208"/>
  <c r="BS208" s="1"/>
  <c r="BV208"/>
  <c r="BU272" i="5"/>
  <c r="BW272"/>
  <c r="BT272" i="9"/>
  <c r="BV263" i="1"/>
  <c r="CL263" i="3" s="1"/>
  <c r="BR263" i="1"/>
  <c r="BU263"/>
  <c r="BW263"/>
  <c r="BT238" i="9"/>
  <c r="BU250" s="1"/>
  <c r="BU238" i="5"/>
  <c r="BV219" i="2"/>
  <c r="BR219"/>
  <c r="BS231" s="1"/>
  <c r="BU219"/>
  <c r="BO260" i="3"/>
  <c r="BT260" s="1"/>
  <c r="BU238" i="1"/>
  <c r="BV238"/>
  <c r="BR238"/>
  <c r="BS250" s="1"/>
  <c r="BT246" i="9"/>
  <c r="BW246" i="5"/>
  <c r="BU246"/>
  <c r="BO290" i="3"/>
  <c r="BT290" s="1"/>
  <c r="BV203" i="1"/>
  <c r="BR203"/>
  <c r="BU203"/>
  <c r="BW312"/>
  <c r="BV312"/>
  <c r="BR312"/>
  <c r="BU312"/>
  <c r="BU326"/>
  <c r="BV326"/>
  <c r="BR326"/>
  <c r="BW326"/>
  <c r="BO283" i="3"/>
  <c r="BT283" s="1"/>
  <c r="BO281"/>
  <c r="BT281" s="1"/>
  <c r="CA30"/>
  <c r="CD30"/>
  <c r="BW259" i="1"/>
  <c r="BV259"/>
  <c r="BR259"/>
  <c r="BS259" s="1"/>
  <c r="BU259"/>
  <c r="BO190" i="3"/>
  <c r="BR190" s="1"/>
  <c r="BO286"/>
  <c r="BP286" s="1"/>
  <c r="BU260" i="5"/>
  <c r="BW260"/>
  <c r="BT260" i="9"/>
  <c r="BO270" i="3"/>
  <c r="BP270" s="1"/>
  <c r="BV320" i="1"/>
  <c r="BU320"/>
  <c r="BR320"/>
  <c r="BS320" s="1"/>
  <c r="BW320"/>
  <c r="BV273" i="7"/>
  <c r="BR292" i="1"/>
  <c r="BW292"/>
  <c r="BV292"/>
  <c r="BU292"/>
  <c r="BT213" i="9"/>
  <c r="BU213" i="5"/>
  <c r="BR235" i="1"/>
  <c r="BS235" s="1"/>
  <c r="BV235"/>
  <c r="BU235"/>
  <c r="BU233" i="2"/>
  <c r="CI26"/>
  <c r="CK26" s="1"/>
  <c r="BR233"/>
  <c r="BV233"/>
  <c r="BU304"/>
  <c r="BW304"/>
  <c r="BR304"/>
  <c r="BV304"/>
  <c r="BV265"/>
  <c r="CL265" i="3" s="1"/>
  <c r="BW265" i="2"/>
  <c r="BU265"/>
  <c r="BR265"/>
  <c r="BT240" i="9"/>
  <c r="BU240" i="5"/>
  <c r="BO278" i="3"/>
  <c r="BT278" s="1"/>
  <c r="BV237" i="1"/>
  <c r="BU237"/>
  <c r="BT237" i="6"/>
  <c r="BR237" i="1"/>
  <c r="BS237" s="1"/>
  <c r="BW299" i="5"/>
  <c r="BU299"/>
  <c r="BT299" i="9"/>
  <c r="BO192" i="3"/>
  <c r="BT192" s="1"/>
  <c r="BV255" i="1"/>
  <c r="BU255"/>
  <c r="BR255"/>
  <c r="BS255" s="1"/>
  <c r="BW255"/>
  <c r="BV187" i="2"/>
  <c r="BU187"/>
  <c r="BR187"/>
  <c r="BO300" i="3"/>
  <c r="BT300" s="1"/>
  <c r="BO202"/>
  <c r="BT202" s="1"/>
  <c r="BT202" i="6" s="1"/>
  <c r="CD22" i="3"/>
  <c r="CE22" s="1"/>
  <c r="CA22"/>
  <c r="BU266" i="5"/>
  <c r="BW266"/>
  <c r="BT266" i="9"/>
  <c r="BW323" i="5"/>
  <c r="BU323"/>
  <c r="BT323" i="9"/>
  <c r="BW273" i="5"/>
  <c r="BT273" i="9"/>
  <c r="BU273" i="5"/>
  <c r="BT198" i="9"/>
  <c r="BU210" s="1"/>
  <c r="BU198" i="5"/>
  <c r="BU290" i="1"/>
  <c r="BV290"/>
  <c r="BR290"/>
  <c r="BS290" s="1"/>
  <c r="BW290"/>
  <c r="BT252" i="9"/>
  <c r="BW252" i="5"/>
  <c r="BU252"/>
  <c r="BR252" i="1"/>
  <c r="BS252" s="1"/>
  <c r="BU252"/>
  <c r="BV252"/>
  <c r="BW252"/>
  <c r="BO275" i="3"/>
  <c r="BT275" s="1"/>
  <c r="BW256" i="1"/>
  <c r="BU256"/>
  <c r="BV256"/>
  <c r="BR256"/>
  <c r="BR274"/>
  <c r="BW274"/>
  <c r="BU274"/>
  <c r="BV274"/>
  <c r="BV181" i="2"/>
  <c r="BZ181" i="3" s="1"/>
  <c r="BR181" i="2"/>
  <c r="BS193" s="1"/>
  <c r="BU269" i="5"/>
  <c r="BT269" i="9"/>
  <c r="BW269" i="5"/>
  <c r="CJ29"/>
  <c r="BR207" i="2"/>
  <c r="BU207"/>
  <c r="BV207"/>
  <c r="BT214" i="9"/>
  <c r="BU214" i="5"/>
  <c r="BT253" i="9"/>
  <c r="BW253" i="5"/>
  <c r="BU253"/>
  <c r="BW280"/>
  <c r="BT280" i="9"/>
  <c r="BU280" i="5"/>
  <c r="BW302"/>
  <c r="BT302" i="9"/>
  <c r="BU302" i="5"/>
  <c r="BT315" i="9"/>
  <c r="BW315" i="5"/>
  <c r="BU315"/>
  <c r="BW315" i="1"/>
  <c r="BR315"/>
  <c r="BV315"/>
  <c r="BU315"/>
  <c r="BO315" i="3"/>
  <c r="BP315" s="1"/>
  <c r="BW305" i="1"/>
  <c r="BV305"/>
  <c r="BU305"/>
  <c r="BT305" i="6"/>
  <c r="BT305" i="8" s="1"/>
  <c r="CI32" i="1"/>
  <c r="BR305"/>
  <c r="BS305" s="1"/>
  <c r="BT305" i="9"/>
  <c r="BW305" i="5"/>
  <c r="BU305"/>
  <c r="CJ32"/>
  <c r="BO249" i="3"/>
  <c r="BP249" s="1"/>
  <c r="CL249" s="1"/>
  <c r="BW279" i="1"/>
  <c r="BR279"/>
  <c r="BS279" s="1"/>
  <c r="BV279"/>
  <c r="BU279"/>
  <c r="BO268" i="3"/>
  <c r="BP268" s="1"/>
  <c r="BO317"/>
  <c r="BR317" s="1"/>
  <c r="BO187"/>
  <c r="BR187" s="1"/>
  <c r="BW263" i="5"/>
  <c r="BT263" i="9"/>
  <c r="BU263" i="5"/>
  <c r="BR282" i="2"/>
  <c r="BV282"/>
  <c r="BW282"/>
  <c r="BU282"/>
  <c r="BR256"/>
  <c r="BU256"/>
  <c r="BW256"/>
  <c r="BV256"/>
  <c r="BU210" i="1"/>
  <c r="BV210"/>
  <c r="BR210"/>
  <c r="BP179" i="3"/>
  <c r="BT179"/>
  <c r="BT179" i="6" s="1"/>
  <c r="BR179" i="3"/>
  <c r="BO212"/>
  <c r="BR212" s="1"/>
  <c r="BS224" s="1"/>
  <c r="BV320" i="7"/>
  <c r="BV314"/>
  <c r="BV212" i="2"/>
  <c r="BU212"/>
  <c r="BR212"/>
  <c r="BS212" s="1"/>
  <c r="BR211" i="1"/>
  <c r="BS223" s="1"/>
  <c r="BV211"/>
  <c r="BU211"/>
  <c r="BW319" i="2"/>
  <c r="BU319"/>
  <c r="BV319"/>
  <c r="BR319"/>
  <c r="BS319" s="1"/>
  <c r="BO320" i="3"/>
  <c r="BP320" s="1"/>
  <c r="BW309" i="1"/>
  <c r="BU309"/>
  <c r="BR309"/>
  <c r="BV309"/>
  <c r="BV199" i="2"/>
  <c r="BR199"/>
  <c r="BU199"/>
  <c r="BO325" i="3"/>
  <c r="BP325" s="1"/>
  <c r="BO200"/>
  <c r="BP200" s="1"/>
  <c r="BR183" i="2"/>
  <c r="BV183"/>
  <c r="BT201" i="9"/>
  <c r="BU201" i="5"/>
  <c r="BW284"/>
  <c r="BU284"/>
  <c r="BT284" i="9"/>
  <c r="BT194"/>
  <c r="BU194" i="5"/>
  <c r="BT203" i="9"/>
  <c r="BU203" i="5"/>
  <c r="BR194" i="2"/>
  <c r="BS206" s="1"/>
  <c r="BV194"/>
  <c r="BU194"/>
  <c r="BR316"/>
  <c r="BW316"/>
  <c r="BV316"/>
  <c r="BU316"/>
  <c r="BU218" i="1"/>
  <c r="BV218"/>
  <c r="BR218"/>
  <c r="BS218" s="1"/>
  <c r="BO215" i="3"/>
  <c r="BR215" s="1"/>
  <c r="BU309" i="5"/>
  <c r="BW309"/>
  <c r="BT309" i="9"/>
  <c r="BO327" i="3"/>
  <c r="BP327" s="1"/>
  <c r="CJ25" i="4"/>
  <c r="BU221"/>
  <c r="BU209"/>
  <c r="CJ24"/>
  <c r="BR286" i="2"/>
  <c r="BV286"/>
  <c r="BU286"/>
  <c r="BW286"/>
  <c r="BT197" i="9"/>
  <c r="BU197" i="5"/>
  <c r="CJ23"/>
  <c r="BU197" i="4"/>
  <c r="CJ23"/>
  <c r="CK23" s="1"/>
  <c r="BR267" i="2"/>
  <c r="BS267" s="1"/>
  <c r="BV267"/>
  <c r="CL267" i="3" s="1"/>
  <c r="BW267" i="2"/>
  <c r="BU267"/>
  <c r="BW251" i="1"/>
  <c r="BU251"/>
  <c r="BV251"/>
  <c r="BR251"/>
  <c r="BW298" i="2"/>
  <c r="BU298"/>
  <c r="BV298"/>
  <c r="BR298"/>
  <c r="BS298" s="1"/>
  <c r="BU218" i="5"/>
  <c r="BT218" i="9"/>
  <c r="BW314" i="1"/>
  <c r="BT314" i="6"/>
  <c r="BT314" i="8" s="1"/>
  <c r="BW314" s="1"/>
  <c r="BR314" i="1"/>
  <c r="BU314"/>
  <c r="BV314"/>
  <c r="BR180" i="2"/>
  <c r="BV180"/>
  <c r="BV306" i="7"/>
  <c r="BU298" i="1"/>
  <c r="BW298"/>
  <c r="BV298"/>
  <c r="BR298"/>
  <c r="BT243" i="9"/>
  <c r="BU243" i="5"/>
  <c r="BU323" i="1"/>
  <c r="BV323"/>
  <c r="BR323"/>
  <c r="BS323" s="1"/>
  <c r="BW323"/>
  <c r="BO323" i="3"/>
  <c r="BT323" s="1"/>
  <c r="BW304" i="5"/>
  <c r="BU304"/>
  <c r="BT304" i="9"/>
  <c r="BU316" i="5"/>
  <c r="BV274" i="7"/>
  <c r="BO271" i="3"/>
  <c r="BT271" s="1"/>
  <c r="CJ27" i="6"/>
  <c r="BP245" i="8"/>
  <c r="CJ27" s="1"/>
  <c r="BO191" i="3"/>
  <c r="BT191" s="1"/>
  <c r="CJ33" i="6"/>
  <c r="BP317" i="8"/>
  <c r="CJ33" s="1"/>
  <c r="BV277" i="2"/>
  <c r="BU277"/>
  <c r="BW277"/>
  <c r="BR277"/>
  <c r="BU265" i="5"/>
  <c r="BW265"/>
  <c r="BT265" i="9"/>
  <c r="BV305" i="7"/>
  <c r="CJ32"/>
  <c r="BU306" i="1"/>
  <c r="BR306"/>
  <c r="BV306"/>
  <c r="BT306" i="6"/>
  <c r="BW306" i="1"/>
  <c r="BV296"/>
  <c r="BU296"/>
  <c r="BW296"/>
  <c r="BR296"/>
  <c r="BS296" s="1"/>
  <c r="BT221" i="9"/>
  <c r="BU221" i="5"/>
  <c r="CJ25"/>
  <c r="BU253" i="2"/>
  <c r="BR253"/>
  <c r="BW253"/>
  <c r="BV253"/>
  <c r="BV268"/>
  <c r="BR268"/>
  <c r="BW268"/>
  <c r="BU268"/>
  <c r="BO269" i="3"/>
  <c r="BP269" s="1"/>
  <c r="BO188"/>
  <c r="BT188" s="1"/>
  <c r="BT189" i="9"/>
  <c r="BU189" i="5"/>
  <c r="BU276" i="4"/>
  <c r="BW276"/>
  <c r="CJ31"/>
  <c r="CK31" s="1"/>
  <c r="BU293"/>
  <c r="BW293"/>
  <c r="BV211" i="2"/>
  <c r="BU211"/>
  <c r="BR211"/>
  <c r="BV212" i="1"/>
  <c r="BU212"/>
  <c r="BR212"/>
  <c r="BS224" s="1"/>
  <c r="BO319" i="3"/>
  <c r="BT319" s="1"/>
  <c r="BO293"/>
  <c r="BT293" s="1"/>
  <c r="BR184" i="2"/>
  <c r="BV184"/>
  <c r="BT200" i="9"/>
  <c r="BU200" i="5"/>
  <c r="BU200" i="1"/>
  <c r="BR200"/>
  <c r="BS200" s="1"/>
  <c r="BV200"/>
  <c r="BV303" i="2"/>
  <c r="BR303"/>
  <c r="BW303"/>
  <c r="BU303"/>
  <c r="BR261" i="1"/>
  <c r="BS261" s="1"/>
  <c r="BU261"/>
  <c r="BW261"/>
  <c r="BV261"/>
  <c r="BT261" i="6"/>
  <c r="BT261" i="8" s="1"/>
  <c r="BO292" i="3"/>
  <c r="BT292" s="1"/>
  <c r="BT204" i="9"/>
  <c r="BU204" i="5"/>
  <c r="BO251" i="3"/>
  <c r="BT251" s="1"/>
  <c r="BU195" i="2"/>
  <c r="BV195"/>
  <c r="BR195"/>
  <c r="BR183" i="1"/>
  <c r="BV183"/>
  <c r="BT183" i="6"/>
  <c r="BP174" i="3"/>
  <c r="BT174"/>
  <c r="BT174" i="6" s="1"/>
  <c r="BV174" s="1"/>
  <c r="BR174" i="3"/>
  <c r="BV214" i="2"/>
  <c r="BU214"/>
  <c r="BR214"/>
  <c r="BU323"/>
  <c r="BW323"/>
  <c r="BV323"/>
  <c r="BR323"/>
  <c r="BV174"/>
  <c r="BR174"/>
  <c r="BU314" i="5"/>
  <c r="BW314"/>
  <c r="BT314" i="9"/>
  <c r="BU324" i="1"/>
  <c r="BW324"/>
  <c r="BV324"/>
  <c r="BR324"/>
  <c r="BU308" i="5"/>
  <c r="BT308" i="9"/>
  <c r="BW308" i="5"/>
  <c r="BU321" i="1"/>
  <c r="BW321"/>
  <c r="BV321"/>
  <c r="BR321"/>
  <c r="BO322" i="3"/>
  <c r="BP322" s="1"/>
  <c r="BO321"/>
  <c r="BP321" s="1"/>
  <c r="BW328" i="2"/>
  <c r="BR328"/>
  <c r="BV328"/>
  <c r="BU328"/>
  <c r="BO328" i="3"/>
  <c r="BR328" s="1"/>
  <c r="BW327" i="2"/>
  <c r="BR327"/>
  <c r="BV327"/>
  <c r="BU327"/>
  <c r="BR246" i="3"/>
  <c r="BR237"/>
  <c r="CJ22" i="6"/>
  <c r="CJ27" i="9"/>
  <c r="CJ29" i="8"/>
  <c r="CJ24" i="6"/>
  <c r="CH25" i="1"/>
  <c r="BS225" i="2"/>
  <c r="BU298" i="5"/>
  <c r="BS285" i="1"/>
  <c r="CI25"/>
  <c r="BS285" i="3"/>
  <c r="CI28" i="1"/>
  <c r="CJ27" i="7"/>
  <c r="BU301" i="5"/>
  <c r="BU189" i="3"/>
  <c r="CJ33" i="5"/>
  <c r="BS277" i="1"/>
  <c r="BU235" i="5"/>
  <c r="BZ177" i="3"/>
  <c r="BS295" i="2"/>
  <c r="BS283" i="1"/>
  <c r="BS219" i="3"/>
  <c r="BS240" i="1"/>
  <c r="CL288" i="3"/>
  <c r="BS242" i="1"/>
  <c r="BU278"/>
  <c r="CH26"/>
  <c r="CJ26" i="9"/>
  <c r="CJ28"/>
  <c r="CH26" i="2"/>
  <c r="CH29" i="1"/>
  <c r="CJ29" i="6"/>
  <c r="CH23" i="1"/>
  <c r="CJ21" i="6"/>
  <c r="CH31" i="1"/>
  <c r="CH29" i="2"/>
  <c r="CI33" i="4"/>
  <c r="CI22" i="5"/>
  <c r="BW181" i="9"/>
  <c r="CH33" i="2"/>
  <c r="CH24"/>
  <c r="CI30" i="5"/>
  <c r="CJ30" i="9"/>
  <c r="CI23" i="5"/>
  <c r="BW177" i="9"/>
  <c r="BT174"/>
  <c r="BW174" s="1"/>
  <c r="CI29" i="4"/>
  <c r="CJ33" i="9"/>
  <c r="CI25" i="5"/>
  <c r="BT180" i="9"/>
  <c r="BW180" s="1"/>
  <c r="BW236"/>
  <c r="BW210"/>
  <c r="BW202"/>
  <c r="BU202"/>
  <c r="BW267"/>
  <c r="BW199"/>
  <c r="BU199"/>
  <c r="BW257"/>
  <c r="BU185" i="3"/>
  <c r="BU211" i="9"/>
  <c r="BW211"/>
  <c r="BU287"/>
  <c r="BW287"/>
  <c r="BW307"/>
  <c r="BW191"/>
  <c r="BU191"/>
  <c r="BW245" i="5"/>
  <c r="BT245" i="9"/>
  <c r="BU257" s="1"/>
  <c r="BU245" i="5"/>
  <c r="BT207" i="9"/>
  <c r="BU207" i="5"/>
  <c r="BO256" i="3"/>
  <c r="BP256" s="1"/>
  <c r="BO247"/>
  <c r="BP247" s="1"/>
  <c r="CL247" s="1"/>
  <c r="BO227"/>
  <c r="BT227" s="1"/>
  <c r="BW270" i="2"/>
  <c r="BU270"/>
  <c r="BV270"/>
  <c r="BR270"/>
  <c r="BS270" s="1"/>
  <c r="BP186" i="3"/>
  <c r="BR186"/>
  <c r="BT186"/>
  <c r="BU186" i="1"/>
  <c r="BR186"/>
  <c r="BV186"/>
  <c r="BR310" i="2"/>
  <c r="BU310"/>
  <c r="BW310"/>
  <c r="BV310"/>
  <c r="BU215" i="5"/>
  <c r="BT215" i="9"/>
  <c r="BW279" i="5"/>
  <c r="BT279" i="9"/>
  <c r="BU279" i="5"/>
  <c r="BW250" i="2"/>
  <c r="BU250"/>
  <c r="BR250"/>
  <c r="BV250"/>
  <c r="BV282" i="7"/>
  <c r="BT241" i="9"/>
  <c r="BU241" i="5"/>
  <c r="BU220" i="2"/>
  <c r="BR220"/>
  <c r="BV220"/>
  <c r="BO253" i="3"/>
  <c r="BR253" s="1"/>
  <c r="BO205"/>
  <c r="BR205" s="1"/>
  <c r="BU186" i="2"/>
  <c r="BV186"/>
  <c r="BR186"/>
  <c r="BV190"/>
  <c r="BZ190" i="3" s="1"/>
  <c r="BR190" i="2"/>
  <c r="BU190"/>
  <c r="BT290" i="9"/>
  <c r="BU290" i="5"/>
  <c r="BW290"/>
  <c r="BO210" i="3"/>
  <c r="BR210" s="1"/>
  <c r="BV253" i="1"/>
  <c r="BW253"/>
  <c r="BU253"/>
  <c r="BR253"/>
  <c r="BS253" s="1"/>
  <c r="BO217" i="3"/>
  <c r="BT217" s="1"/>
  <c r="BT217" i="6" s="1"/>
  <c r="BO244" i="3"/>
  <c r="BP244" s="1"/>
  <c r="BU309" i="2"/>
  <c r="BV309"/>
  <c r="BW309"/>
  <c r="BR309"/>
  <c r="BS309" s="1"/>
  <c r="CJ27" i="5"/>
  <c r="BU248"/>
  <c r="BT248" i="9"/>
  <c r="BW248" i="5"/>
  <c r="CI25" i="2"/>
  <c r="BR221"/>
  <c r="BU221"/>
  <c r="BV221"/>
  <c r="BT192" i="9"/>
  <c r="BU192" i="5"/>
  <c r="BV288" i="7"/>
  <c r="BU213" i="1"/>
  <c r="BR213"/>
  <c r="BS225" s="1"/>
  <c r="BV213"/>
  <c r="BV191" i="2"/>
  <c r="BU191"/>
  <c r="BR191"/>
  <c r="BS191" s="1"/>
  <c r="BV223"/>
  <c r="BU223"/>
  <c r="BR223"/>
  <c r="BS235" s="1"/>
  <c r="CJ30" i="6"/>
  <c r="BP281" i="8"/>
  <c r="CJ30" s="1"/>
  <c r="CJ29" i="7"/>
  <c r="BV269"/>
  <c r="CI31" i="1"/>
  <c r="BU299"/>
  <c r="BV299"/>
  <c r="BR299"/>
  <c r="BS299" s="1"/>
  <c r="BW299"/>
  <c r="BT209" i="9"/>
  <c r="CI24" i="1"/>
  <c r="BR209"/>
  <c r="BS209" s="1"/>
  <c r="BU209"/>
  <c r="BV209"/>
  <c r="BV184"/>
  <c r="BR184"/>
  <c r="BS196" s="1"/>
  <c r="BO241" i="3"/>
  <c r="BR241" s="1"/>
  <c r="BR185" i="2"/>
  <c r="CI22"/>
  <c r="BV185"/>
  <c r="BU185"/>
  <c r="BU301"/>
  <c r="BW301"/>
  <c r="BR301"/>
  <c r="BV301"/>
  <c r="BO302" i="3"/>
  <c r="BT302" s="1"/>
  <c r="BW275" i="2"/>
  <c r="BU275"/>
  <c r="BR275"/>
  <c r="BS275" s="1"/>
  <c r="BV275"/>
  <c r="BO277" i="3"/>
  <c r="BT277" s="1"/>
  <c r="BV262" i="2"/>
  <c r="BU262"/>
  <c r="BR262"/>
  <c r="BW262"/>
  <c r="BR195" i="1"/>
  <c r="BV195"/>
  <c r="BU195"/>
  <c r="BT195" i="6"/>
  <c r="BV308" i="7"/>
  <c r="BV309"/>
  <c r="BV289" i="2"/>
  <c r="BU289"/>
  <c r="BR289"/>
  <c r="BW289"/>
  <c r="BW232" i="9"/>
  <c r="BU232"/>
  <c r="BW220"/>
  <c r="BW270"/>
  <c r="BW250"/>
  <c r="CM33" i="7"/>
  <c r="CN33"/>
  <c r="BW301" i="9"/>
  <c r="BW235"/>
  <c r="BW276"/>
  <c r="BW190"/>
  <c r="BU190"/>
  <c r="BO257" i="3"/>
  <c r="BP257" s="1"/>
  <c r="CL257" s="1"/>
  <c r="BU240" i="2"/>
  <c r="BR240"/>
  <c r="BS240" s="1"/>
  <c r="BV240"/>
  <c r="BW293"/>
  <c r="BR293"/>
  <c r="CI31"/>
  <c r="BV293"/>
  <c r="BO308" i="3"/>
  <c r="BR308" s="1"/>
  <c r="BR192" i="2"/>
  <c r="BV192"/>
  <c r="BU192"/>
  <c r="CD24" i="3"/>
  <c r="CA24"/>
  <c r="BR197" i="2"/>
  <c r="BU197"/>
  <c r="CI23"/>
  <c r="BV197"/>
  <c r="BO255" i="3"/>
  <c r="BT255" s="1"/>
  <c r="BO222"/>
  <c r="BT222" s="1"/>
  <c r="BV294" i="2"/>
  <c r="BU294"/>
  <c r="BR294"/>
  <c r="BW294"/>
  <c r="BT181" i="3"/>
  <c r="BT181" i="6" s="1"/>
  <c r="BR181" i="3"/>
  <c r="BP181"/>
  <c r="BU311" i="2"/>
  <c r="BW311"/>
  <c r="BR311"/>
  <c r="BV311"/>
  <c r="BW278" i="5"/>
  <c r="BU278"/>
  <c r="BT278" i="9"/>
  <c r="BR182" i="2"/>
  <c r="BV182"/>
  <c r="BZ182" i="3" s="1"/>
  <c r="CJ21" i="5"/>
  <c r="BT173" i="9"/>
  <c r="BV217" i="1"/>
  <c r="BR217"/>
  <c r="BS217" s="1"/>
  <c r="BU217"/>
  <c r="BV233"/>
  <c r="BR233"/>
  <c r="BS233" s="1"/>
  <c r="CI26"/>
  <c r="BU233"/>
  <c r="CJ26" i="6"/>
  <c r="BP233" i="8"/>
  <c r="CJ26" s="1"/>
  <c r="BV319" i="1"/>
  <c r="BU319"/>
  <c r="BW319"/>
  <c r="BR319"/>
  <c r="BS319" s="1"/>
  <c r="BV232" i="2"/>
  <c r="BR232"/>
  <c r="BU232"/>
  <c r="BV202" i="1"/>
  <c r="BR202"/>
  <c r="BS202" s="1"/>
  <c r="BU202"/>
  <c r="BV222"/>
  <c r="BU222"/>
  <c r="BR222"/>
  <c r="BR244" i="2"/>
  <c r="BU244"/>
  <c r="BV244"/>
  <c r="BO296" i="3"/>
  <c r="BR296" s="1"/>
  <c r="BV246" i="1"/>
  <c r="BW246"/>
  <c r="BT246" i="6"/>
  <c r="BR246" i="1"/>
  <c r="BS258" s="1"/>
  <c r="BU246"/>
  <c r="CD26" i="3"/>
  <c r="CA26"/>
  <c r="BO233"/>
  <c r="BT233" s="1"/>
  <c r="BW299" i="2"/>
  <c r="BR299"/>
  <c r="BS299" s="1"/>
  <c r="BU299"/>
  <c r="BV299"/>
  <c r="BU234" i="5"/>
  <c r="BT234" i="9"/>
  <c r="BV180" i="1"/>
  <c r="BR180"/>
  <c r="BS192" s="1"/>
  <c r="BT180" i="6"/>
  <c r="BT304"/>
  <c r="BU304" i="1"/>
  <c r="BR304"/>
  <c r="BW304"/>
  <c r="BV304"/>
  <c r="BR198" i="2"/>
  <c r="BV198"/>
  <c r="BU198"/>
  <c r="BW296"/>
  <c r="BV296"/>
  <c r="BR296"/>
  <c r="BS296" s="1"/>
  <c r="BU296"/>
  <c r="BT258" i="9"/>
  <c r="BU258" i="5"/>
  <c r="BW258"/>
  <c r="BV269" i="1"/>
  <c r="BR269"/>
  <c r="BS269" s="1"/>
  <c r="CI29"/>
  <c r="BW269"/>
  <c r="BU269"/>
  <c r="BV300" i="2"/>
  <c r="BU300"/>
  <c r="BW300"/>
  <c r="BR300"/>
  <c r="BS300" s="1"/>
  <c r="BV234" i="1"/>
  <c r="BR234"/>
  <c r="BU234"/>
  <c r="BT291" i="9"/>
  <c r="BU291" i="5"/>
  <c r="BW291"/>
  <c r="BR300" i="1"/>
  <c r="BS300" s="1"/>
  <c r="BW300"/>
  <c r="BU300"/>
  <c r="BV300"/>
  <c r="BR184" i="3"/>
  <c r="BT184"/>
  <c r="BT184" i="6" s="1"/>
  <c r="BP184" i="3"/>
  <c r="BR271" i="2"/>
  <c r="BS271" s="1"/>
  <c r="BU271"/>
  <c r="BW271"/>
  <c r="BV271"/>
  <c r="BO236" i="3"/>
  <c r="BT236" s="1"/>
  <c r="CI21" i="1"/>
  <c r="BR173"/>
  <c r="BT173" i="6"/>
  <c r="BV173" i="1"/>
  <c r="BV199"/>
  <c r="BU199"/>
  <c r="BR199"/>
  <c r="BU234" i="2"/>
  <c r="BR234"/>
  <c r="BS234" s="1"/>
  <c r="BV234"/>
  <c r="BR294" i="1"/>
  <c r="BW294"/>
  <c r="BV294"/>
  <c r="BU294"/>
  <c r="BO301" i="3"/>
  <c r="BT301" s="1"/>
  <c r="BR266" i="2"/>
  <c r="BU266"/>
  <c r="BV266"/>
  <c r="BW266"/>
  <c r="BU187" i="1"/>
  <c r="BV187"/>
  <c r="BR187"/>
  <c r="BS187" s="1"/>
  <c r="BU188" i="2"/>
  <c r="BR188"/>
  <c r="BS188" s="1"/>
  <c r="BV188"/>
  <c r="BV279"/>
  <c r="BR279"/>
  <c r="BU279"/>
  <c r="BW279"/>
  <c r="BV312"/>
  <c r="BW312"/>
  <c r="BR312"/>
  <c r="BU312"/>
  <c r="BO324" i="3"/>
  <c r="BP324" s="1"/>
  <c r="BW268" i="1"/>
  <c r="BR268"/>
  <c r="BV268"/>
  <c r="BU268"/>
  <c r="BU324" i="5"/>
  <c r="BW324"/>
  <c r="BT324" i="9"/>
  <c r="BW256" i="5"/>
  <c r="BT256" i="9"/>
  <c r="BU256" i="5"/>
  <c r="BU273" i="2"/>
  <c r="BR273"/>
  <c r="BS273" s="1"/>
  <c r="BV273"/>
  <c r="BW273"/>
  <c r="BR236"/>
  <c r="BV236"/>
  <c r="BU236"/>
  <c r="BR278"/>
  <c r="BS278" s="1"/>
  <c r="BV278"/>
  <c r="BW278"/>
  <c r="BU278"/>
  <c r="BT264" i="9"/>
  <c r="BU276" s="1"/>
  <c r="BW264" i="5"/>
  <c r="BU264"/>
  <c r="BO299" i="3"/>
  <c r="BT299" s="1"/>
  <c r="BV239" i="2"/>
  <c r="BU239"/>
  <c r="BR239"/>
  <c r="BS239" s="1"/>
  <c r="BU271" i="5"/>
  <c r="BT271" i="9"/>
  <c r="BW271" i="5"/>
  <c r="BW269" i="2"/>
  <c r="BV269"/>
  <c r="BU269"/>
  <c r="BR269"/>
  <c r="BS269" s="1"/>
  <c r="CI29"/>
  <c r="BW317" i="4"/>
  <c r="BU317"/>
  <c r="CJ33"/>
  <c r="CK33" s="1"/>
  <c r="CD33" i="3"/>
  <c r="CA33"/>
  <c r="BT188" i="9"/>
  <c r="BU188" i="5"/>
  <c r="BO312" i="3"/>
  <c r="BT312" s="1"/>
  <c r="BU312" i="5"/>
  <c r="BT312" i="9"/>
  <c r="BW312" i="5"/>
  <c r="BW314" i="2"/>
  <c r="BR314"/>
  <c r="BV314"/>
  <c r="BU314"/>
  <c r="BW313"/>
  <c r="BU313"/>
  <c r="BR313"/>
  <c r="BV313"/>
  <c r="BR178" i="1"/>
  <c r="BS190" s="1"/>
  <c r="BV178"/>
  <c r="BO309" i="3"/>
  <c r="BP309" s="1"/>
  <c r="BO194"/>
  <c r="BP194" s="1"/>
  <c r="BV209" i="2"/>
  <c r="BU209"/>
  <c r="BR209"/>
  <c r="CI24"/>
  <c r="BV201" i="1"/>
  <c r="CL201" i="3" s="1"/>
  <c r="BU201" i="1"/>
  <c r="BR201"/>
  <c r="BS201" s="1"/>
  <c r="BV302" i="2"/>
  <c r="BW302"/>
  <c r="BR302"/>
  <c r="BU302"/>
  <c r="BR262" i="1"/>
  <c r="BS262" s="1"/>
  <c r="BW262"/>
  <c r="BU262"/>
  <c r="BV262"/>
  <c r="CD23" i="3"/>
  <c r="CA23"/>
  <c r="BO197"/>
  <c r="BT197" s="1"/>
  <c r="BV203" i="2"/>
  <c r="BR203"/>
  <c r="BU203"/>
  <c r="BU302" i="1"/>
  <c r="BV302"/>
  <c r="BW302"/>
  <c r="BR302"/>
  <c r="BO252" i="3"/>
  <c r="BT252" s="1"/>
  <c r="BU233" i="4"/>
  <c r="CJ26"/>
  <c r="BU193" i="5"/>
  <c r="BT193" i="9"/>
  <c r="BR175" i="3"/>
  <c r="BP175"/>
  <c r="BT175"/>
  <c r="BT175" i="6" s="1"/>
  <c r="BR215" i="2"/>
  <c r="BV215"/>
  <c r="BU215"/>
  <c r="BV175"/>
  <c r="BZ175" i="3" s="1"/>
  <c r="BR175" i="2"/>
  <c r="BV326"/>
  <c r="BW326"/>
  <c r="BR326"/>
  <c r="BU326"/>
  <c r="BR325"/>
  <c r="BV325"/>
  <c r="BW325"/>
  <c r="BU325"/>
  <c r="BT319" i="9"/>
  <c r="BU319" i="5"/>
  <c r="BW319"/>
  <c r="BR325" i="1"/>
  <c r="BU325"/>
  <c r="BW325"/>
  <c r="BV325"/>
  <c r="BU322" i="2"/>
  <c r="BV322"/>
  <c r="BW322"/>
  <c r="BR322"/>
  <c r="BV282" i="1"/>
  <c r="BR282"/>
  <c r="BS282" s="1"/>
  <c r="BW282"/>
  <c r="BU282"/>
  <c r="BU281" i="5"/>
  <c r="CJ30"/>
  <c r="BT281" i="9"/>
  <c r="BW281" i="5"/>
  <c r="BW274"/>
  <c r="BU274"/>
  <c r="BT274" i="9"/>
  <c r="CJ23" i="6"/>
  <c r="BP197" i="8"/>
  <c r="CJ23" s="1"/>
  <c r="BW295" i="5"/>
  <c r="BU295"/>
  <c r="BT295" i="9"/>
  <c r="BU227" i="1"/>
  <c r="BR227"/>
  <c r="BS227" s="1"/>
  <c r="BV227"/>
  <c r="BU295"/>
  <c r="BR295"/>
  <c r="BS295" s="1"/>
  <c r="BW295"/>
  <c r="BV295"/>
  <c r="BV290" i="2"/>
  <c r="BR290"/>
  <c r="BW290"/>
  <c r="BU290"/>
  <c r="BT251" i="9"/>
  <c r="BW251" i="5"/>
  <c r="BU251"/>
  <c r="CJ29" i="4"/>
  <c r="CK29" s="1"/>
  <c r="BU269"/>
  <c r="BW269"/>
  <c r="BV324" i="2"/>
  <c r="BR324"/>
  <c r="BW324"/>
  <c r="BU324"/>
  <c r="BV208"/>
  <c r="BR208"/>
  <c r="BU208"/>
  <c r="BT226" i="9"/>
  <c r="BU226" i="5"/>
  <c r="BV226" i="2"/>
  <c r="BR226"/>
  <c r="BU226"/>
  <c r="CJ26" i="7"/>
  <c r="BT225" i="9"/>
  <c r="BU225" i="5"/>
  <c r="CJ22" i="7"/>
  <c r="BV313" i="1"/>
  <c r="BU313"/>
  <c r="BW313"/>
  <c r="BR313"/>
  <c r="BS313" s="1"/>
  <c r="CI27"/>
  <c r="BR245"/>
  <c r="BU245"/>
  <c r="BT245" i="6"/>
  <c r="BV245" i="1"/>
  <c r="BW245"/>
  <c r="BW317"/>
  <c r="BR317"/>
  <c r="CI33"/>
  <c r="BU317"/>
  <c r="BV317"/>
  <c r="BU224" i="5"/>
  <c r="BT224" i="9"/>
  <c r="BW274" i="2"/>
  <c r="BU274"/>
  <c r="BV274"/>
  <c r="BR274"/>
  <c r="BV237"/>
  <c r="BU237"/>
  <c r="BR237"/>
  <c r="BS237" s="1"/>
  <c r="BO298" i="3"/>
  <c r="BT298" s="1"/>
  <c r="BT306" i="9"/>
  <c r="BU306" i="5"/>
  <c r="BW306"/>
  <c r="BW277"/>
  <c r="BU277"/>
  <c r="BT277" i="9"/>
  <c r="CJ25" i="6"/>
  <c r="BP221" i="8"/>
  <c r="CJ25" s="1"/>
  <c r="BU231" i="5"/>
  <c r="BT231" i="9"/>
  <c r="BW280" i="1"/>
  <c r="BV280"/>
  <c r="BR280"/>
  <c r="BU280"/>
  <c r="BU313" i="4"/>
  <c r="BW301"/>
  <c r="BU301"/>
  <c r="CD29" i="3"/>
  <c r="CA29"/>
  <c r="BO318"/>
  <c r="BP318" s="1"/>
  <c r="BT262" i="9"/>
  <c r="BU262" i="5"/>
  <c r="BW262"/>
  <c r="BV202" i="2"/>
  <c r="BU202"/>
  <c r="BR202"/>
  <c r="BO279" i="3"/>
  <c r="BR279" s="1"/>
  <c r="CJ31" i="6"/>
  <c r="BP293" i="8"/>
  <c r="CJ31" s="1"/>
  <c r="BU310" i="1"/>
  <c r="BV310"/>
  <c r="BR310"/>
  <c r="BT310" i="6"/>
  <c r="BW310" i="1"/>
  <c r="BP178" i="3"/>
  <c r="BT178"/>
  <c r="BT178" i="6" s="1"/>
  <c r="BR178" i="3"/>
  <c r="BO211"/>
  <c r="BT211" s="1"/>
  <c r="BV321" i="7"/>
  <c r="BV283"/>
  <c r="BO311" i="3"/>
  <c r="BT311" s="1"/>
  <c r="BT311" i="9"/>
  <c r="BW311" i="5"/>
  <c r="BU311"/>
  <c r="BV179" i="1"/>
  <c r="BZ179" i="3" s="1"/>
  <c r="BR179" i="1"/>
  <c r="BV320" i="2"/>
  <c r="BU320"/>
  <c r="BW320"/>
  <c r="BR320"/>
  <c r="BR210"/>
  <c r="BU210"/>
  <c r="BV210"/>
  <c r="CD31" i="3"/>
  <c r="CA31"/>
  <c r="BO199"/>
  <c r="BP199" s="1"/>
  <c r="BW285" i="5"/>
  <c r="BT285" i="9"/>
  <c r="BU285" i="5"/>
  <c r="BU292" i="2"/>
  <c r="BV292"/>
  <c r="BW292"/>
  <c r="BR292"/>
  <c r="BU291"/>
  <c r="BR291"/>
  <c r="BW291"/>
  <c r="BV291"/>
  <c r="BT195" i="9"/>
  <c r="BU195" i="5"/>
  <c r="BU325"/>
  <c r="BT325" i="9"/>
  <c r="BW325" i="5"/>
  <c r="BO196" i="3"/>
  <c r="BP196" s="1"/>
  <c r="BV204" i="2"/>
  <c r="BR204"/>
  <c r="BU204"/>
  <c r="BT303" i="6"/>
  <c r="BV303" i="1"/>
  <c r="BW303"/>
  <c r="BU303"/>
  <c r="BR303"/>
  <c r="BU232" i="4"/>
  <c r="BU244"/>
  <c r="BW315" i="2"/>
  <c r="BR315"/>
  <c r="BV315"/>
  <c r="BU315"/>
  <c r="BV219" i="1"/>
  <c r="BR219"/>
  <c r="BS219" s="1"/>
  <c r="BU219"/>
  <c r="BO214" i="3"/>
  <c r="BT214" s="1"/>
  <c r="BU318" i="5"/>
  <c r="BT318" i="9"/>
  <c r="BW318" i="5"/>
  <c r="BW321" i="2"/>
  <c r="BR321"/>
  <c r="BU321"/>
  <c r="BV321"/>
  <c r="BV324" i="7"/>
  <c r="BW328" i="1"/>
  <c r="BR328"/>
  <c r="BU328"/>
  <c r="BV328"/>
  <c r="BV323" i="7"/>
  <c r="BT321" i="9"/>
  <c r="BW321" i="5"/>
  <c r="BU321"/>
  <c r="BW322" i="1"/>
  <c r="BV322"/>
  <c r="BR322"/>
  <c r="BU322"/>
  <c r="BU327"/>
  <c r="BW327"/>
  <c r="BR327"/>
  <c r="BV327"/>
  <c r="BU322" i="5"/>
  <c r="BW322"/>
  <c r="BT322" i="9"/>
  <c r="BS276" i="1"/>
  <c r="BS193"/>
  <c r="CN28" i="7"/>
  <c r="CO28" s="1"/>
  <c r="BT267" i="3"/>
  <c r="BT282"/>
  <c r="BS218"/>
  <c r="BR220"/>
  <c r="BS220" s="1"/>
  <c r="BP220"/>
  <c r="BS287" i="1"/>
  <c r="BP231" i="3"/>
  <c r="CL231" s="1"/>
  <c r="CJ22" i="9"/>
  <c r="CJ23"/>
  <c r="CJ24" i="8"/>
  <c r="CH22" i="2"/>
  <c r="BP306" i="3"/>
  <c r="BV281" i="7"/>
  <c r="BT185" i="9"/>
  <c r="BP261" i="3"/>
  <c r="BU227" i="5"/>
  <c r="BS318" i="2"/>
  <c r="BS243" i="1"/>
  <c r="CJ26" i="5"/>
  <c r="BR198" i="3"/>
  <c r="BR265"/>
  <c r="BS215" i="1"/>
  <c r="BS255" i="2"/>
  <c r="BU221" i="1"/>
  <c r="BT285" i="3"/>
  <c r="CL242"/>
  <c r="BR294"/>
  <c r="BS294" s="1"/>
  <c r="CJ25" i="7"/>
  <c r="BU258" i="2"/>
  <c r="BR225" i="3"/>
  <c r="BS229" i="2"/>
  <c r="BT193" i="3"/>
  <c r="CI27" i="2"/>
  <c r="BP280" i="3"/>
  <c r="CL228"/>
  <c r="BR189"/>
  <c r="BS189" s="1"/>
  <c r="BS205" i="1"/>
  <c r="BS288"/>
  <c r="BU311"/>
  <c r="BT240" i="3"/>
  <c r="BU228" i="5"/>
  <c r="BU196" i="1"/>
  <c r="BS207" i="3"/>
  <c r="BP221"/>
  <c r="BU219" i="5"/>
  <c r="BS264" i="2"/>
  <c r="BT219" i="3"/>
  <c r="BP219"/>
  <c r="BS247" i="2"/>
  <c r="BU284"/>
  <c r="BU225" i="1"/>
  <c r="BT288" i="3"/>
  <c r="BS232" i="1"/>
  <c r="CH23" i="2"/>
  <c r="CJ31" i="9"/>
  <c r="CH27" i="2"/>
  <c r="BT184" i="9"/>
  <c r="BW184" s="1"/>
  <c r="BW176"/>
  <c r="CJ29"/>
  <c r="CI29" i="5"/>
  <c r="CJ32" i="6"/>
  <c r="CH32" i="1"/>
  <c r="CJ32" i="9"/>
  <c r="CK32" s="1"/>
  <c r="CI32" i="5"/>
  <c r="CI23" i="4"/>
  <c r="BP185" i="8"/>
  <c r="CJ22" s="1"/>
  <c r="CH27" i="1"/>
  <c r="CH33"/>
  <c r="BP305" i="8"/>
  <c r="CJ32" s="1"/>
  <c r="CJ25" i="9"/>
  <c r="CI31" i="4"/>
  <c r="CI33" i="5"/>
  <c r="CE23" i="3" l="1"/>
  <c r="BW282" i="9"/>
  <c r="BU233"/>
  <c r="BT273" i="6"/>
  <c r="BV273" s="1"/>
  <c r="BT227"/>
  <c r="BV227" s="1"/>
  <c r="BT230"/>
  <c r="BU230" s="1"/>
  <c r="BS288" i="3"/>
  <c r="BS202" i="2"/>
  <c r="CK23" i="6"/>
  <c r="BU204" i="3"/>
  <c r="BU255" i="9"/>
  <c r="BS211" i="2"/>
  <c r="BS230" i="1"/>
  <c r="BS201" i="2"/>
  <c r="BZ174" i="3"/>
  <c r="BU249" i="9"/>
  <c r="CJ28" i="2"/>
  <c r="CL262" i="3"/>
  <c r="CN262" s="1"/>
  <c r="BT176" i="8"/>
  <c r="BW176" s="1"/>
  <c r="BV231" i="6"/>
  <c r="BU292" i="9"/>
  <c r="BS290" i="2"/>
  <c r="BU261" i="9"/>
  <c r="BU237"/>
  <c r="BU263" i="3"/>
  <c r="CK23" i="5"/>
  <c r="BS324" i="2"/>
  <c r="BS310" i="1"/>
  <c r="CK31" i="6"/>
  <c r="BU294" i="9"/>
  <c r="CK25" i="5"/>
  <c r="CE28" i="3"/>
  <c r="CE26"/>
  <c r="CK28" i="5"/>
  <c r="BU317" i="9"/>
  <c r="BS210" i="1"/>
  <c r="CK22" i="8"/>
  <c r="BS198" i="2"/>
  <c r="BU244" i="9"/>
  <c r="BU313"/>
  <c r="CK30" i="6"/>
  <c r="BW255" i="9"/>
  <c r="BU220" i="3"/>
  <c r="BS298" i="1"/>
  <c r="BU259" i="9"/>
  <c r="BS238" i="1"/>
  <c r="CK32" i="8"/>
  <c r="BS327" i="1"/>
  <c r="CL204" i="3"/>
  <c r="CX204" s="1"/>
  <c r="CY204" s="1"/>
  <c r="CL218"/>
  <c r="CX218" s="1"/>
  <c r="CY218" s="1"/>
  <c r="CK29" i="5"/>
  <c r="BS203" i="1"/>
  <c r="CL285" i="3"/>
  <c r="CX285" s="1"/>
  <c r="CY285" s="1"/>
  <c r="BT274" i="6"/>
  <c r="BT274" i="8" s="1"/>
  <c r="BW274" s="1"/>
  <c r="BU235" i="3"/>
  <c r="BS284" i="1"/>
  <c r="BS302"/>
  <c r="CE33" i="3"/>
  <c r="CK22" i="5"/>
  <c r="BT302" i="6"/>
  <c r="BT302" i="8" s="1"/>
  <c r="BT319" i="6"/>
  <c r="BV319" s="1"/>
  <c r="BT221"/>
  <c r="BV221" s="1"/>
  <c r="BT280"/>
  <c r="BV280" s="1"/>
  <c r="BT224"/>
  <c r="BV224" s="1"/>
  <c r="BU262" i="3"/>
  <c r="BU303"/>
  <c r="BU250"/>
  <c r="BT222" i="6"/>
  <c r="BT222" i="8" s="1"/>
  <c r="BT313" i="6"/>
  <c r="BV313" s="1"/>
  <c r="BS309" i="1"/>
  <c r="BT234" i="6"/>
  <c r="BT234" i="8" s="1"/>
  <c r="BT295" i="6"/>
  <c r="BT295" i="8" s="1"/>
  <c r="BV189" i="6"/>
  <c r="BT294"/>
  <c r="BU306" s="1"/>
  <c r="BT239"/>
  <c r="BV239" s="1"/>
  <c r="BT263"/>
  <c r="BV263" s="1"/>
  <c r="BT266"/>
  <c r="BV266" s="1"/>
  <c r="BT226"/>
  <c r="BV226" s="1"/>
  <c r="BU273" i="3"/>
  <c r="CK24" i="8"/>
  <c r="CL199" i="3"/>
  <c r="CX199" s="1"/>
  <c r="CY199" s="1"/>
  <c r="CL318"/>
  <c r="CN318" s="1"/>
  <c r="BS274" i="2"/>
  <c r="CL245" i="3"/>
  <c r="CX245" s="1"/>
  <c r="CY245" s="1"/>
  <c r="BS293" i="2"/>
  <c r="BS324" i="1"/>
  <c r="BS253" i="2"/>
  <c r="CX243" i="3"/>
  <c r="CY243" s="1"/>
  <c r="BS249" i="1"/>
  <c r="BS198" i="3"/>
  <c r="BU226"/>
  <c r="BS279"/>
  <c r="BS328" i="2"/>
  <c r="BU306" i="3"/>
  <c r="BS326"/>
  <c r="BV220" i="6"/>
  <c r="CX307" i="3"/>
  <c r="CY307" s="1"/>
  <c r="CK25" i="9"/>
  <c r="CK22"/>
  <c r="BS326" i="2"/>
  <c r="BS197"/>
  <c r="BS316"/>
  <c r="CL272" i="3"/>
  <c r="CX272" s="1"/>
  <c r="CY272" s="1"/>
  <c r="BS292" i="2"/>
  <c r="BS249"/>
  <c r="CE29" i="3"/>
  <c r="BS268" i="1"/>
  <c r="BS277" i="2"/>
  <c r="BS251" i="1"/>
  <c r="CL235" i="3"/>
  <c r="CN235" s="1"/>
  <c r="CK30" i="8"/>
  <c r="BS266" i="1"/>
  <c r="CL282" i="3"/>
  <c r="CX282" s="1"/>
  <c r="CY282" s="1"/>
  <c r="BS279" i="2"/>
  <c r="BS268"/>
  <c r="CL246" i="3"/>
  <c r="CN246" s="1"/>
  <c r="CL226"/>
  <c r="CN226" s="1"/>
  <c r="BS221" i="1"/>
  <c r="BS291" i="3"/>
  <c r="BS321" i="2"/>
  <c r="BS322"/>
  <c r="BT262" i="6"/>
  <c r="BT262" i="8" s="1"/>
  <c r="CL273" i="3"/>
  <c r="CN273" s="1"/>
  <c r="BS195" i="1"/>
  <c r="BS273"/>
  <c r="BT291" i="6"/>
  <c r="BU303" s="1"/>
  <c r="BU189"/>
  <c r="BS217" i="2"/>
  <c r="BS226"/>
  <c r="BS260" i="1"/>
  <c r="BS303"/>
  <c r="BS245"/>
  <c r="BS209" i="2"/>
  <c r="CL239" i="3"/>
  <c r="CN239" s="1"/>
  <c r="BS216" i="1"/>
  <c r="CJ23"/>
  <c r="CL220" i="3"/>
  <c r="CN220" s="1"/>
  <c r="CK26" i="4"/>
  <c r="CL266" i="3"/>
  <c r="CX266" s="1"/>
  <c r="CY266" s="1"/>
  <c r="BT177" i="8"/>
  <c r="BW177" s="1"/>
  <c r="BU220" i="9"/>
  <c r="BZ185" i="3"/>
  <c r="CK29" i="8"/>
  <c r="BS317" i="3"/>
  <c r="BT238" i="6"/>
  <c r="BU250" s="1"/>
  <c r="CL207" i="3"/>
  <c r="CX207" s="1"/>
  <c r="CY207" s="1"/>
  <c r="BS262"/>
  <c r="BU228"/>
  <c r="CL305"/>
  <c r="CX305" s="1"/>
  <c r="CY305" s="1"/>
  <c r="BU272"/>
  <c r="BS204" i="2"/>
  <c r="CE31" i="3"/>
  <c r="BU191"/>
  <c r="CL297"/>
  <c r="CX297" s="1"/>
  <c r="CY297" s="1"/>
  <c r="CX276"/>
  <c r="CY276" s="1"/>
  <c r="BS303"/>
  <c r="BU238"/>
  <c r="BS320" i="2"/>
  <c r="BS265" i="1"/>
  <c r="BS328"/>
  <c r="BS291" i="2"/>
  <c r="CL309" i="3"/>
  <c r="CX309" s="1"/>
  <c r="CY309" s="1"/>
  <c r="CK21" i="1"/>
  <c r="BS304"/>
  <c r="CL289" i="3"/>
  <c r="CN289" s="1"/>
  <c r="BS185" i="2"/>
  <c r="BS250"/>
  <c r="CL256" i="3"/>
  <c r="CX256" s="1"/>
  <c r="CY256" s="1"/>
  <c r="BU218"/>
  <c r="BU242"/>
  <c r="CL314"/>
  <c r="CN314" s="1"/>
  <c r="CK29" i="9"/>
  <c r="CK31"/>
  <c r="BT242" i="6"/>
  <c r="BU242" s="1"/>
  <c r="CL219" i="3"/>
  <c r="CN219" s="1"/>
  <c r="BU229"/>
  <c r="BS265"/>
  <c r="CL291"/>
  <c r="CX291" s="1"/>
  <c r="CY291" s="1"/>
  <c r="CK25" i="6"/>
  <c r="BS317" i="1"/>
  <c r="CL208" i="3"/>
  <c r="CN208" s="1"/>
  <c r="CL31" i="9"/>
  <c r="CN31" s="1"/>
  <c r="BS236" i="2"/>
  <c r="CL26" i="9"/>
  <c r="CN26" s="1"/>
  <c r="CL232" i="3"/>
  <c r="CX232" s="1"/>
  <c r="CY232" s="1"/>
  <c r="BS193"/>
  <c r="BS223" i="2"/>
  <c r="BS205" i="3"/>
  <c r="CL250"/>
  <c r="CN250" s="1"/>
  <c r="BU246"/>
  <c r="BS321" i="1"/>
  <c r="BT235" i="6"/>
  <c r="BU235" s="1"/>
  <c r="BT272"/>
  <c r="BV272" s="1"/>
  <c r="CL224" i="3"/>
  <c r="CN224" s="1"/>
  <c r="CL229"/>
  <c r="CN229" s="1"/>
  <c r="BS322" i="1"/>
  <c r="BS244" i="2"/>
  <c r="BS278" i="1"/>
  <c r="BU201" i="3"/>
  <c r="BS214" i="1"/>
  <c r="BS251" i="2"/>
  <c r="CK26" i="5"/>
  <c r="BS207" i="1"/>
  <c r="CK23" i="9"/>
  <c r="BS252" i="2"/>
  <c r="BS271" i="1"/>
  <c r="CK24" i="5"/>
  <c r="BS315" i="2"/>
  <c r="BS280" i="1"/>
  <c r="CL237" i="3"/>
  <c r="CX237" s="1"/>
  <c r="CY237" s="1"/>
  <c r="CK30" i="5"/>
  <c r="BS203" i="2"/>
  <c r="BZ173" i="3"/>
  <c r="BS222" i="1"/>
  <c r="CL240" i="3"/>
  <c r="CX240" s="1"/>
  <c r="CY240" s="1"/>
  <c r="BS241"/>
  <c r="CL223"/>
  <c r="CX223" s="1"/>
  <c r="CY223" s="1"/>
  <c r="BS256" i="1"/>
  <c r="BP281" i="3"/>
  <c r="CL281" s="1"/>
  <c r="CN281" s="1"/>
  <c r="BS234" i="1"/>
  <c r="BU219" i="3"/>
  <c r="BT252" i="6"/>
  <c r="BV252" s="1"/>
  <c r="BT255"/>
  <c r="BT255" i="8" s="1"/>
  <c r="BU314" i="3"/>
  <c r="BT290" i="6"/>
  <c r="BV290" s="1"/>
  <c r="BU216" i="3"/>
  <c r="BT206" i="6"/>
  <c r="BV206" s="1"/>
  <c r="BT228"/>
  <c r="BT265"/>
  <c r="BT233"/>
  <c r="BU245" s="1"/>
  <c r="BU230" i="3"/>
  <c r="BT207" i="6"/>
  <c r="BT207" i="8" s="1"/>
  <c r="BW207" s="1"/>
  <c r="BZ186" i="3"/>
  <c r="BP264"/>
  <c r="CL264" s="1"/>
  <c r="CN264" s="1"/>
  <c r="BT324"/>
  <c r="BR324"/>
  <c r="BR301"/>
  <c r="BS301" s="1"/>
  <c r="BT317"/>
  <c r="BR322"/>
  <c r="BS322" s="1"/>
  <c r="BR323"/>
  <c r="CK32" i="6"/>
  <c r="BR214" i="3"/>
  <c r="BS226" s="1"/>
  <c r="BP211"/>
  <c r="CL211" s="1"/>
  <c r="CN211" s="1"/>
  <c r="BR222"/>
  <c r="BS222" s="1"/>
  <c r="BP308"/>
  <c r="CL308" s="1"/>
  <c r="CN308" s="1"/>
  <c r="CK28" i="9"/>
  <c r="BP323" i="3"/>
  <c r="CL323" s="1"/>
  <c r="BP317"/>
  <c r="CL317" s="1"/>
  <c r="BR268"/>
  <c r="BS280" s="1"/>
  <c r="BT249"/>
  <c r="BR278"/>
  <c r="BS278" s="1"/>
  <c r="BR316"/>
  <c r="BS316" s="1"/>
  <c r="BR234"/>
  <c r="BS246" s="1"/>
  <c r="BR295"/>
  <c r="BS307" s="1"/>
  <c r="BP326"/>
  <c r="CL326" s="1"/>
  <c r="BT258"/>
  <c r="BP252"/>
  <c r="CL252" s="1"/>
  <c r="CX252" s="1"/>
  <c r="CY252" s="1"/>
  <c r="BX400" i="6"/>
  <c r="BP298" i="3"/>
  <c r="CL298" s="1"/>
  <c r="CN298" s="1"/>
  <c r="BR236"/>
  <c r="BS236" s="1"/>
  <c r="BP205"/>
  <c r="CL205" s="1"/>
  <c r="CX205" s="1"/>
  <c r="CY205" s="1"/>
  <c r="BR227"/>
  <c r="BT247"/>
  <c r="BR256"/>
  <c r="BP188"/>
  <c r="BR274"/>
  <c r="BS274" s="1"/>
  <c r="BT259"/>
  <c r="BT248"/>
  <c r="BR194"/>
  <c r="BR312"/>
  <c r="BR299"/>
  <c r="BS299" s="1"/>
  <c r="BP301"/>
  <c r="CL301" s="1"/>
  <c r="CX301" s="1"/>
  <c r="CY301" s="1"/>
  <c r="BP236"/>
  <c r="CL236" s="1"/>
  <c r="BR233"/>
  <c r="BS233" s="1"/>
  <c r="BR302"/>
  <c r="BS314" s="1"/>
  <c r="BP241"/>
  <c r="CL241" s="1"/>
  <c r="CX241" s="1"/>
  <c r="CY241" s="1"/>
  <c r="BT244"/>
  <c r="BR217"/>
  <c r="BP210"/>
  <c r="CL210" s="1"/>
  <c r="BP328"/>
  <c r="CL328" s="1"/>
  <c r="BT322"/>
  <c r="BR251"/>
  <c r="BR292"/>
  <c r="BS292" s="1"/>
  <c r="BP293"/>
  <c r="CL293" s="1"/>
  <c r="BR188"/>
  <c r="BS188" s="1"/>
  <c r="BT269"/>
  <c r="BP191"/>
  <c r="BP215"/>
  <c r="CL215" s="1"/>
  <c r="BR200"/>
  <c r="BS212" s="1"/>
  <c r="BR320"/>
  <c r="BS320" s="1"/>
  <c r="BT212"/>
  <c r="BU224" s="1"/>
  <c r="BP202"/>
  <c r="CL202" s="1"/>
  <c r="BR192"/>
  <c r="BR286"/>
  <c r="BT190"/>
  <c r="BU202" s="1"/>
  <c r="BT287"/>
  <c r="BR209"/>
  <c r="BS221" s="1"/>
  <c r="BR203"/>
  <c r="BS215" s="1"/>
  <c r="BR284"/>
  <c r="BS284" s="1"/>
  <c r="BP234"/>
  <c r="CL234" s="1"/>
  <c r="BT213"/>
  <c r="BR248"/>
  <c r="BP295"/>
  <c r="CL295" s="1"/>
  <c r="BT254"/>
  <c r="BR196"/>
  <c r="BS196" s="1"/>
  <c r="BR199"/>
  <c r="BS199" s="1"/>
  <c r="BR211"/>
  <c r="BS223" s="1"/>
  <c r="BT279"/>
  <c r="BR318"/>
  <c r="BS318" s="1"/>
  <c r="BR298"/>
  <c r="BS298" s="1"/>
  <c r="BS296"/>
  <c r="BS325" i="1"/>
  <c r="CL294" i="3"/>
  <c r="CX294" s="1"/>
  <c r="CY294" s="1"/>
  <c r="CL303"/>
  <c r="CX303" s="1"/>
  <c r="CY303" s="1"/>
  <c r="BS212" i="1"/>
  <c r="CL313" i="3"/>
  <c r="CN313" s="1"/>
  <c r="CK22" i="6"/>
  <c r="CL28" i="9"/>
  <c r="CN28" s="1"/>
  <c r="CK24" i="4"/>
  <c r="BV223" i="6"/>
  <c r="BT174" i="8"/>
  <c r="BW174" s="1"/>
  <c r="BS210" i="2"/>
  <c r="CL310" i="3"/>
  <c r="CN310" s="1"/>
  <c r="CK31" i="8"/>
  <c r="BS208" i="2"/>
  <c r="BS313"/>
  <c r="BS266"/>
  <c r="CL304" i="3"/>
  <c r="CN304" s="1"/>
  <c r="BS232" i="2"/>
  <c r="BS294"/>
  <c r="BS192"/>
  <c r="BS289"/>
  <c r="BS262"/>
  <c r="BS190"/>
  <c r="BS186"/>
  <c r="BS310"/>
  <c r="BT182" i="8"/>
  <c r="BW182" s="1"/>
  <c r="CK29" i="6"/>
  <c r="BS284" i="2"/>
  <c r="BS195"/>
  <c r="BS196"/>
  <c r="BS199"/>
  <c r="BP214" i="3"/>
  <c r="CL214" s="1"/>
  <c r="CN214" s="1"/>
  <c r="BT199"/>
  <c r="BT199" i="6" s="1"/>
  <c r="BR311" i="3"/>
  <c r="BT318"/>
  <c r="BP302"/>
  <c r="CL302" s="1"/>
  <c r="BT256"/>
  <c r="BR270"/>
  <c r="BP190"/>
  <c r="BR281"/>
  <c r="BP283"/>
  <c r="CL283" s="1"/>
  <c r="CX283" s="1"/>
  <c r="CY283" s="1"/>
  <c r="BR260"/>
  <c r="BR213"/>
  <c r="BS213" s="1"/>
  <c r="BR258"/>
  <c r="BS258" s="1"/>
  <c r="BT194"/>
  <c r="BU206" s="1"/>
  <c r="BT309"/>
  <c r="BP299"/>
  <c r="CL299" s="1"/>
  <c r="CN299" s="1"/>
  <c r="BP296"/>
  <c r="CL296" s="1"/>
  <c r="CN296" s="1"/>
  <c r="BP222"/>
  <c r="CL222" s="1"/>
  <c r="CX222" s="1"/>
  <c r="CY222" s="1"/>
  <c r="BP255"/>
  <c r="CL255" s="1"/>
  <c r="CX255" s="1"/>
  <c r="CY255" s="1"/>
  <c r="BR257"/>
  <c r="BS257" s="1"/>
  <c r="BP277"/>
  <c r="CL277" s="1"/>
  <c r="CN277" s="1"/>
  <c r="BP217"/>
  <c r="CL217" s="1"/>
  <c r="BT210"/>
  <c r="BT210" i="6" s="1"/>
  <c r="BT205" i="3"/>
  <c r="BU217" s="1"/>
  <c r="BT253"/>
  <c r="BP227"/>
  <c r="CL227" s="1"/>
  <c r="BT328"/>
  <c r="BR321"/>
  <c r="BP292"/>
  <c r="CL292" s="1"/>
  <c r="BR293"/>
  <c r="BS305" s="1"/>
  <c r="BR319"/>
  <c r="BS319" s="1"/>
  <c r="BR191"/>
  <c r="BS191" s="1"/>
  <c r="BR271"/>
  <c r="BS271" s="1"/>
  <c r="BT327"/>
  <c r="BT200"/>
  <c r="BT200" i="6" s="1"/>
  <c r="BT200" i="8" s="1"/>
  <c r="BR325" i="3"/>
  <c r="BS325" s="1"/>
  <c r="BT187"/>
  <c r="BT187" i="6" s="1"/>
  <c r="BV187" s="1"/>
  <c r="BR249" i="3"/>
  <c r="BS261" s="1"/>
  <c r="BR315"/>
  <c r="BS315" s="1"/>
  <c r="BP275"/>
  <c r="CL275" s="1"/>
  <c r="BR202"/>
  <c r="BS202" s="1"/>
  <c r="BR300"/>
  <c r="BS300" s="1"/>
  <c r="BP192"/>
  <c r="BP278"/>
  <c r="CL278" s="1"/>
  <c r="BR290"/>
  <c r="BP209"/>
  <c r="CL209" s="1"/>
  <c r="BP259"/>
  <c r="CL259" s="1"/>
  <c r="BR216"/>
  <c r="BP316"/>
  <c r="CL316" s="1"/>
  <c r="BT284"/>
  <c r="BP274"/>
  <c r="CL274" s="1"/>
  <c r="BP230"/>
  <c r="CL230" s="1"/>
  <c r="CN230" s="1"/>
  <c r="BS243"/>
  <c r="BW201" i="8"/>
  <c r="BU201"/>
  <c r="BW261"/>
  <c r="BU288" i="3"/>
  <c r="BT240" i="6"/>
  <c r="BU240" i="3"/>
  <c r="CN228"/>
  <c r="CX228"/>
  <c r="CY228" s="1"/>
  <c r="CN25" i="7"/>
  <c r="CM25"/>
  <c r="BV230" i="6"/>
  <c r="CN242" i="3"/>
  <c r="CX242"/>
  <c r="CY242" s="1"/>
  <c r="BU285"/>
  <c r="CX231"/>
  <c r="CY231" s="1"/>
  <c r="CN231"/>
  <c r="BT267" i="6"/>
  <c r="BU267" i="3"/>
  <c r="CX206"/>
  <c r="CY206" s="1"/>
  <c r="CN206"/>
  <c r="BU321" i="9"/>
  <c r="BW321"/>
  <c r="BW318"/>
  <c r="BU318"/>
  <c r="BU214" i="3"/>
  <c r="BT214" i="6"/>
  <c r="BW195" i="9"/>
  <c r="BU195"/>
  <c r="BU297"/>
  <c r="BU285"/>
  <c r="BW285"/>
  <c r="CN199" i="3"/>
  <c r="BW311" i="9"/>
  <c r="BU311"/>
  <c r="BV178" i="6"/>
  <c r="BT178" i="8"/>
  <c r="BW178" s="1"/>
  <c r="BW231" i="9"/>
  <c r="BU231"/>
  <c r="BU277"/>
  <c r="BW277"/>
  <c r="BU224"/>
  <c r="BW224"/>
  <c r="CJ33" i="1"/>
  <c r="CK33"/>
  <c r="CJ27"/>
  <c r="CK27"/>
  <c r="CM23" i="7"/>
  <c r="CM22"/>
  <c r="CN22"/>
  <c r="BW226" i="9"/>
  <c r="BU226"/>
  <c r="BU274"/>
  <c r="BW274"/>
  <c r="BU293"/>
  <c r="BU281"/>
  <c r="BW281"/>
  <c r="CL30"/>
  <c r="BU319"/>
  <c r="BW319"/>
  <c r="BV175" i="6"/>
  <c r="BT175" i="8"/>
  <c r="BW175" s="1"/>
  <c r="BV201" i="6"/>
  <c r="BU201"/>
  <c r="CK24" i="2"/>
  <c r="CJ24"/>
  <c r="BW256" i="9"/>
  <c r="BU256"/>
  <c r="BU324"/>
  <c r="BW324"/>
  <c r="BU301" i="3"/>
  <c r="BT301" i="6"/>
  <c r="BU236" i="3"/>
  <c r="BT236" i="6"/>
  <c r="BV184"/>
  <c r="BT184" i="8"/>
  <c r="BW184" s="1"/>
  <c r="BU291" i="9"/>
  <c r="BW291"/>
  <c r="BV180" i="6"/>
  <c r="BT180" i="8"/>
  <c r="BW180" s="1"/>
  <c r="BT246"/>
  <c r="BV246" i="6"/>
  <c r="BV202"/>
  <c r="BT202" i="8"/>
  <c r="BV217" i="6"/>
  <c r="BT217" i="8"/>
  <c r="CL21" i="9"/>
  <c r="CN21" s="1"/>
  <c r="BW173"/>
  <c r="BU278"/>
  <c r="BW278"/>
  <c r="BU302" i="3"/>
  <c r="BV209" i="6"/>
  <c r="CJ24" i="1"/>
  <c r="CK24"/>
  <c r="CM29" i="7"/>
  <c r="CN29"/>
  <c r="BW192" i="9"/>
  <c r="BU192"/>
  <c r="CJ26" i="2"/>
  <c r="CJ25"/>
  <c r="CK25"/>
  <c r="CL26" s="1"/>
  <c r="BU248" i="9"/>
  <c r="BW248"/>
  <c r="BU241"/>
  <c r="BW241"/>
  <c r="BU279"/>
  <c r="BW279"/>
  <c r="BW215"/>
  <c r="BU215"/>
  <c r="BW207"/>
  <c r="BU207"/>
  <c r="BW245"/>
  <c r="BU245"/>
  <c r="CL27"/>
  <c r="CN225" i="3"/>
  <c r="CX225"/>
  <c r="CY225" s="1"/>
  <c r="CM28" i="7"/>
  <c r="CM27"/>
  <c r="CN27"/>
  <c r="BU314" i="9"/>
  <c r="BW314"/>
  <c r="BU292" i="3"/>
  <c r="BU293"/>
  <c r="BT293" i="6"/>
  <c r="BU305" s="1"/>
  <c r="BU188" i="3"/>
  <c r="BT188" i="6"/>
  <c r="BW221" i="9"/>
  <c r="BU221"/>
  <c r="CL25"/>
  <c r="BV306" i="6"/>
  <c r="BW305" i="8"/>
  <c r="BT323" i="6"/>
  <c r="BU323" i="3"/>
  <c r="BW243" i="9"/>
  <c r="BU243"/>
  <c r="CN267" i="3"/>
  <c r="CX267"/>
  <c r="CY267" s="1"/>
  <c r="BU197" i="9"/>
  <c r="BW197"/>
  <c r="CL23"/>
  <c r="BW309"/>
  <c r="BU309"/>
  <c r="BV218" i="6"/>
  <c r="BT218" i="8"/>
  <c r="BU203" i="9"/>
  <c r="BW203"/>
  <c r="BU194"/>
  <c r="BW194"/>
  <c r="CX249" i="3"/>
  <c r="CY249" s="1"/>
  <c r="CN249"/>
  <c r="CL32" i="9"/>
  <c r="BU305"/>
  <c r="BW305"/>
  <c r="CK32" i="1"/>
  <c r="CJ32"/>
  <c r="BU280" i="9"/>
  <c r="BW280"/>
  <c r="BW253"/>
  <c r="BU253"/>
  <c r="BW214"/>
  <c r="BU214"/>
  <c r="BW269"/>
  <c r="BU269"/>
  <c r="CL29"/>
  <c r="BW198"/>
  <c r="BU198"/>
  <c r="BU273"/>
  <c r="BW273"/>
  <c r="BU323"/>
  <c r="BW323"/>
  <c r="BU192" i="3"/>
  <c r="BT192" i="6"/>
  <c r="BU204" s="1"/>
  <c r="BU278" i="3"/>
  <c r="BT278" i="6"/>
  <c r="BU240" i="9"/>
  <c r="BW240"/>
  <c r="CX265" i="3"/>
  <c r="CY265" s="1"/>
  <c r="CN265"/>
  <c r="BS245" i="2"/>
  <c r="BS233"/>
  <c r="BU213" i="9"/>
  <c r="BW213"/>
  <c r="BW260"/>
  <c r="BU260"/>
  <c r="BW246"/>
  <c r="BU246"/>
  <c r="BW238"/>
  <c r="BU238"/>
  <c r="BW272"/>
  <c r="BU272"/>
  <c r="BV289" i="6"/>
  <c r="BT289" i="8"/>
  <c r="BU221" i="3"/>
  <c r="BU209"/>
  <c r="BU216" i="6"/>
  <c r="BV216"/>
  <c r="BT216" i="8"/>
  <c r="CJ30" i="2"/>
  <c r="CK30"/>
  <c r="BV225" i="6"/>
  <c r="BV297"/>
  <c r="BT297" i="8"/>
  <c r="BW239" i="9"/>
  <c r="BU239"/>
  <c r="BU229"/>
  <c r="BW217"/>
  <c r="BU217"/>
  <c r="CJ33" i="2"/>
  <c r="CK32"/>
  <c r="CJ32"/>
  <c r="BU230" i="9"/>
  <c r="BW230"/>
  <c r="BT316" i="6"/>
  <c r="BU316" i="3"/>
  <c r="CN284"/>
  <c r="CX284"/>
  <c r="CY284" s="1"/>
  <c r="BU288" i="9"/>
  <c r="BW288"/>
  <c r="BW212"/>
  <c r="BU212"/>
  <c r="BV204" i="6"/>
  <c r="BT204" i="8"/>
  <c r="BU223" i="9"/>
  <c r="BW223"/>
  <c r="BW254"/>
  <c r="BU254"/>
  <c r="BU274" i="3"/>
  <c r="BW242" i="9"/>
  <c r="BU242"/>
  <c r="BU295" i="3"/>
  <c r="BU298" i="9"/>
  <c r="BU286"/>
  <c r="BW286"/>
  <c r="CX258" i="3"/>
  <c r="CY258" s="1"/>
  <c r="CN258"/>
  <c r="BW223" i="8"/>
  <c r="BV250" i="6"/>
  <c r="BT250" i="8"/>
  <c r="BV276" i="6"/>
  <c r="BT276" i="8"/>
  <c r="BW189"/>
  <c r="BT288" i="6"/>
  <c r="BT196" i="3"/>
  <c r="BP311"/>
  <c r="CL311" s="1"/>
  <c r="BP279"/>
  <c r="CL279" s="1"/>
  <c r="CK25" i="8"/>
  <c r="CK23"/>
  <c r="BS325" i="2"/>
  <c r="BR252" i="3"/>
  <c r="BS252" s="1"/>
  <c r="BR197"/>
  <c r="BS197" s="1"/>
  <c r="BP197"/>
  <c r="CL197" s="1"/>
  <c r="BR309"/>
  <c r="BS309" s="1"/>
  <c r="BS314" i="2"/>
  <c r="BP312" i="3"/>
  <c r="CL312" s="1"/>
  <c r="CL324"/>
  <c r="BS312" i="2"/>
  <c r="BP233" i="3"/>
  <c r="CL233" s="1"/>
  <c r="BT296"/>
  <c r="CK26" i="6"/>
  <c r="BS311" i="2"/>
  <c r="BR255" i="3"/>
  <c r="BT308"/>
  <c r="BT257"/>
  <c r="BR277"/>
  <c r="BS301" i="2"/>
  <c r="BT241" i="3"/>
  <c r="BT299" i="6"/>
  <c r="CK27" i="5"/>
  <c r="BR244" i="3"/>
  <c r="BS244" s="1"/>
  <c r="BS210"/>
  <c r="BP253"/>
  <c r="CL253" s="1"/>
  <c r="BR247"/>
  <c r="BS247" s="1"/>
  <c r="BU307" i="9"/>
  <c r="CK30"/>
  <c r="CK26"/>
  <c r="BS222" i="2"/>
  <c r="CF21" i="3"/>
  <c r="CH21" s="1"/>
  <c r="BS201"/>
  <c r="BS257" i="1"/>
  <c r="BS307"/>
  <c r="BS306" i="3"/>
  <c r="CK27" i="9"/>
  <c r="BS231" i="1"/>
  <c r="BS287" i="2"/>
  <c r="BS237" i="3"/>
  <c r="CK31" i="5"/>
  <c r="BS327" i="2"/>
  <c r="BT321" i="3"/>
  <c r="CL322"/>
  <c r="BS186"/>
  <c r="BP251"/>
  <c r="CL251" s="1"/>
  <c r="CL261"/>
  <c r="BS303" i="2"/>
  <c r="BZ184" i="3"/>
  <c r="BP319"/>
  <c r="CL319" s="1"/>
  <c r="BR269"/>
  <c r="BS306" i="1"/>
  <c r="CK33" i="8"/>
  <c r="CK27" i="6"/>
  <c r="BP271" i="3"/>
  <c r="CL271" s="1"/>
  <c r="BT306" i="8"/>
  <c r="BZ180" i="3"/>
  <c r="BS314" i="1"/>
  <c r="BS286" i="2"/>
  <c r="CK25" i="4"/>
  <c r="BR327" i="3"/>
  <c r="BT215"/>
  <c r="BS194" i="2"/>
  <c r="BZ183" i="3"/>
  <c r="CL200"/>
  <c r="BT325"/>
  <c r="BT320"/>
  <c r="BT211" i="6"/>
  <c r="BP212" i="3"/>
  <c r="CL212" s="1"/>
  <c r="BP187"/>
  <c r="BT268"/>
  <c r="BT315"/>
  <c r="BS274" i="1"/>
  <c r="BR275" i="3"/>
  <c r="BS275" s="1"/>
  <c r="BP300"/>
  <c r="CL300" s="1"/>
  <c r="BS187" i="2"/>
  <c r="BZ187" i="3"/>
  <c r="BS304" i="2"/>
  <c r="BT270" i="3"/>
  <c r="BT286"/>
  <c r="BS190"/>
  <c r="CE30"/>
  <c r="BR283"/>
  <c r="BS326" i="1"/>
  <c r="BS312"/>
  <c r="BP290" i="3"/>
  <c r="CL290" s="1"/>
  <c r="BP260"/>
  <c r="CL260" s="1"/>
  <c r="BS263" i="1"/>
  <c r="BP287" i="3"/>
  <c r="CL287" s="1"/>
  <c r="BS191" i="1"/>
  <c r="CK27" i="4"/>
  <c r="BS281" i="2"/>
  <c r="BU227" i="9"/>
  <c r="BS286" i="1"/>
  <c r="BP216" i="3"/>
  <c r="CL216" s="1"/>
  <c r="BS318" i="1"/>
  <c r="CL198" i="3"/>
  <c r="BS198" i="1"/>
  <c r="BR264" i="3"/>
  <c r="BT209" i="8"/>
  <c r="BS248" i="2"/>
  <c r="BT203" i="3"/>
  <c r="BS308" i="2"/>
  <c r="BS246"/>
  <c r="BU234" i="3"/>
  <c r="BS185" i="1"/>
  <c r="BS291"/>
  <c r="BR230" i="3"/>
  <c r="BZ178"/>
  <c r="CL213"/>
  <c r="CL248"/>
  <c r="CL238"/>
  <c r="BS285" i="2"/>
  <c r="BR254" i="3"/>
  <c r="BT326"/>
  <c r="CL280"/>
  <c r="BS280" i="2"/>
  <c r="BS316" i="1"/>
  <c r="BU206" i="9"/>
  <c r="BU300"/>
  <c r="BS301" i="1"/>
  <c r="BS283" i="2"/>
  <c r="CM30" i="7"/>
  <c r="CE25" i="3"/>
  <c r="CK28" i="8"/>
  <c r="CK32" i="4"/>
  <c r="BS308" i="1"/>
  <c r="BS267"/>
  <c r="BS275"/>
  <c r="BU268" i="9"/>
  <c r="BU297" i="3"/>
  <c r="BU313"/>
  <c r="CE32"/>
  <c r="BW225" i="8"/>
  <c r="CK27" i="2"/>
  <c r="CL27" s="1"/>
  <c r="CJ27"/>
  <c r="BT193" i="6"/>
  <c r="BU193" i="3"/>
  <c r="BW185" i="9"/>
  <c r="BU185"/>
  <c r="CL22"/>
  <c r="BW231" i="8"/>
  <c r="BU322" i="9"/>
  <c r="BW322"/>
  <c r="BV303" i="6"/>
  <c r="BT303" i="8"/>
  <c r="BW325" i="9"/>
  <c r="BU325"/>
  <c r="BU311" i="3"/>
  <c r="BT311" i="6"/>
  <c r="BV310"/>
  <c r="BT310" i="8"/>
  <c r="BU262" i="9"/>
  <c r="BW262"/>
  <c r="BW306"/>
  <c r="BU306"/>
  <c r="BV245" i="6"/>
  <c r="BT245" i="8"/>
  <c r="BW185"/>
  <c r="BU225" i="9"/>
  <c r="BW225"/>
  <c r="CN26" i="7"/>
  <c r="CM26"/>
  <c r="BW251" i="9"/>
  <c r="BU251"/>
  <c r="BU295"/>
  <c r="BW295"/>
  <c r="BS227" i="2"/>
  <c r="BS215"/>
  <c r="BU193" i="9"/>
  <c r="BW193"/>
  <c r="BU252" i="3"/>
  <c r="BU197"/>
  <c r="BT197" i="6"/>
  <c r="CX201" i="3"/>
  <c r="CY201" s="1"/>
  <c r="CN201"/>
  <c r="BU312" i="9"/>
  <c r="BW312"/>
  <c r="BT312" i="6"/>
  <c r="BU312" i="3"/>
  <c r="BU188" i="9"/>
  <c r="BW188"/>
  <c r="CK29" i="2"/>
  <c r="CL29" s="1"/>
  <c r="CJ29"/>
  <c r="BW271" i="9"/>
  <c r="BU271"/>
  <c r="BW264"/>
  <c r="BU264"/>
  <c r="BW190" i="2"/>
  <c r="BZ188" i="3"/>
  <c r="CL21" i="6"/>
  <c r="BV173"/>
  <c r="CJ29" i="1"/>
  <c r="CK29"/>
  <c r="BU258" i="9"/>
  <c r="BW258"/>
  <c r="BV304" i="6"/>
  <c r="BT304" i="8"/>
  <c r="BW234" i="9"/>
  <c r="BU234"/>
  <c r="BU245" i="3"/>
  <c r="BU233"/>
  <c r="CK26" i="1"/>
  <c r="CJ26"/>
  <c r="BV181" i="6"/>
  <c r="BT181" i="8"/>
  <c r="BW181" s="1"/>
  <c r="BU255" i="3"/>
  <c r="CJ23" i="2"/>
  <c r="CK23"/>
  <c r="CJ31"/>
  <c r="CK31"/>
  <c r="CX257" i="3"/>
  <c r="CY257" s="1"/>
  <c r="CN257"/>
  <c r="BU195" i="6"/>
  <c r="BV195"/>
  <c r="BT195" i="8"/>
  <c r="BU289" i="3"/>
  <c r="BU277"/>
  <c r="BT277" i="6"/>
  <c r="CJ22" i="2"/>
  <c r="CK22"/>
  <c r="CL22" s="1"/>
  <c r="BW209" i="9"/>
  <c r="CL24"/>
  <c r="BU209"/>
  <c r="CJ31" i="1"/>
  <c r="CK31"/>
  <c r="BU290" i="9"/>
  <c r="BW290"/>
  <c r="BT186" i="6"/>
  <c r="BU198" s="1"/>
  <c r="BU186" i="3"/>
  <c r="CX247"/>
  <c r="CY247" s="1"/>
  <c r="CN247"/>
  <c r="BW220" i="8"/>
  <c r="CN288" i="3"/>
  <c r="CX288"/>
  <c r="CY288" s="1"/>
  <c r="CJ28" i="1"/>
  <c r="CK28"/>
  <c r="CK25"/>
  <c r="CJ25"/>
  <c r="BU308" i="9"/>
  <c r="BW308"/>
  <c r="BV183" i="6"/>
  <c r="BT183" i="8"/>
  <c r="BW183" s="1"/>
  <c r="BU251" i="3"/>
  <c r="BU204" i="9"/>
  <c r="BW204"/>
  <c r="BV261" i="6"/>
  <c r="BW200" i="9"/>
  <c r="BU200"/>
  <c r="BU319" i="3"/>
  <c r="BW189" i="9"/>
  <c r="BU189"/>
  <c r="CM32" i="7"/>
  <c r="CN32"/>
  <c r="BU265" i="9"/>
  <c r="BW265"/>
  <c r="BT271" i="6"/>
  <c r="BU316" i="9"/>
  <c r="BU304"/>
  <c r="BW304"/>
  <c r="BV314" i="6"/>
  <c r="BU218" i="9"/>
  <c r="BW218"/>
  <c r="BW284"/>
  <c r="BU284"/>
  <c r="BW201"/>
  <c r="BU201"/>
  <c r="BV179" i="6"/>
  <c r="BT179" i="8"/>
  <c r="BW179" s="1"/>
  <c r="BU275" i="9"/>
  <c r="BU263"/>
  <c r="BW263"/>
  <c r="CK33" i="5"/>
  <c r="CK32"/>
  <c r="BV305" i="6"/>
  <c r="BW315" i="9"/>
  <c r="BU315"/>
  <c r="BW302"/>
  <c r="BU302"/>
  <c r="BU275" i="3"/>
  <c r="BT275" i="6"/>
  <c r="BU252" i="9"/>
  <c r="BW252"/>
  <c r="BW266"/>
  <c r="BU266"/>
  <c r="BT300" i="6"/>
  <c r="BU300" i="3"/>
  <c r="BW299" i="9"/>
  <c r="BU299"/>
  <c r="BV237" i="6"/>
  <c r="BU237"/>
  <c r="BT237" i="8"/>
  <c r="BU283" i="3"/>
  <c r="BT283" i="6"/>
  <c r="BU290" i="3"/>
  <c r="BT260" i="6"/>
  <c r="CX263" i="3"/>
  <c r="CY263" s="1"/>
  <c r="CN263"/>
  <c r="BV208" i="6"/>
  <c r="BT208" i="8"/>
  <c r="BU220" s="1"/>
  <c r="BU208" i="9"/>
  <c r="BU196"/>
  <c r="BW196"/>
  <c r="BV198" i="6"/>
  <c r="BT198" i="8"/>
  <c r="BU264" i="3"/>
  <c r="BT264" i="6"/>
  <c r="BU276" s="1"/>
  <c r="BW326" i="9"/>
  <c r="BU326"/>
  <c r="BW327"/>
  <c r="BU327"/>
  <c r="CM24" i="7"/>
  <c r="CN24"/>
  <c r="CK30" i="1"/>
  <c r="CJ30"/>
  <c r="BW205" i="9"/>
  <c r="BU205"/>
  <c r="BV185" i="6"/>
  <c r="BU185"/>
  <c r="CK22" i="1"/>
  <c r="CJ22"/>
  <c r="BU216" i="9"/>
  <c r="BW216"/>
  <c r="BW222"/>
  <c r="BU222"/>
  <c r="BU289"/>
  <c r="BW289"/>
  <c r="BV229" i="6"/>
  <c r="BU229"/>
  <c r="BT229" i="8"/>
  <c r="BW310" i="9"/>
  <c r="BU310"/>
  <c r="BV243" i="6"/>
  <c r="BU243"/>
  <c r="BT243" i="8"/>
  <c r="BU232" i="6"/>
  <c r="BV232"/>
  <c r="BT232" i="8"/>
  <c r="BV307" i="6"/>
  <c r="BT307" i="8"/>
  <c r="BT219" i="6"/>
  <c r="BT282"/>
  <c r="BS302" i="2"/>
  <c r="BS294" i="1"/>
  <c r="BS199"/>
  <c r="BS246"/>
  <c r="CK26" i="8"/>
  <c r="CE24" i="3"/>
  <c r="BS308"/>
  <c r="CL33" i="9"/>
  <c r="BU310" i="3"/>
  <c r="BU303" i="9"/>
  <c r="BU270"/>
  <c r="BS213" i="1"/>
  <c r="CL221" i="3"/>
  <c r="BS221" i="2"/>
  <c r="CL244" i="3"/>
  <c r="BS253"/>
  <c r="BS220" i="2"/>
  <c r="BU236" i="9"/>
  <c r="CK33"/>
  <c r="BU239" i="3"/>
  <c r="CF25"/>
  <c r="BS311" i="1"/>
  <c r="BU198" i="3"/>
  <c r="BT285" i="6"/>
  <c r="CK30" i="4"/>
  <c r="BS306" i="2"/>
  <c r="CK24" i="6"/>
  <c r="BU231" i="3"/>
  <c r="BU223"/>
  <c r="CL321"/>
  <c r="BS323" i="2"/>
  <c r="BS214"/>
  <c r="CL269" i="3"/>
  <c r="CL306"/>
  <c r="CK33" i="6"/>
  <c r="CK27" i="8"/>
  <c r="BT298" i="6"/>
  <c r="BU310" s="1"/>
  <c r="BT251"/>
  <c r="CL327" i="3"/>
  <c r="CL325"/>
  <c r="CL320"/>
  <c r="BS211" i="1"/>
  <c r="BS256" i="2"/>
  <c r="BS282"/>
  <c r="BS187" i="3"/>
  <c r="CL268"/>
  <c r="CL315"/>
  <c r="BS315" i="1"/>
  <c r="BS207" i="2"/>
  <c r="BS265"/>
  <c r="BT292" i="6"/>
  <c r="BS292" i="1"/>
  <c r="CL270" i="3"/>
  <c r="CL286"/>
  <c r="BS219" i="2"/>
  <c r="BS239" i="1"/>
  <c r="BT191" i="6"/>
  <c r="BU219" i="9"/>
  <c r="BU294" i="3"/>
  <c r="BU296" i="9"/>
  <c r="BU320"/>
  <c r="BS186" i="1"/>
  <c r="BS305" i="2"/>
  <c r="BT173" i="8"/>
  <c r="BT281" i="6"/>
  <c r="BS281" i="1"/>
  <c r="CL203" i="3"/>
  <c r="BS238" i="2"/>
  <c r="CL254" i="3"/>
  <c r="BS224" i="2"/>
  <c r="BS229" i="1"/>
  <c r="BU305" i="3"/>
  <c r="BS232"/>
  <c r="BS197" i="1"/>
  <c r="BS216" i="2"/>
  <c r="BS247" i="1"/>
  <c r="CK24" i="9"/>
  <c r="BU186"/>
  <c r="BU220" i="6"/>
  <c r="BU276" i="3"/>
  <c r="BU304"/>
  <c r="BU328" i="9"/>
  <c r="BU307" i="3"/>
  <c r="CK28" i="6"/>
  <c r="CE27" i="3"/>
  <c r="BS264" i="1"/>
  <c r="BS317" i="2"/>
  <c r="BS220" i="1"/>
  <c r="BS200" i="2"/>
  <c r="CK23" i="1"/>
  <c r="BU283" i="9"/>
  <c r="BT230" i="8" l="1"/>
  <c r="BT273"/>
  <c r="BW273" s="1"/>
  <c r="BU314" i="6"/>
  <c r="BU273"/>
  <c r="BU271" i="3"/>
  <c r="BT324" i="6"/>
  <c r="BT324" i="8" s="1"/>
  <c r="BT227"/>
  <c r="BW227" s="1"/>
  <c r="BU328" i="3"/>
  <c r="BU254"/>
  <c r="BU299"/>
  <c r="CX214"/>
  <c r="CY214" s="1"/>
  <c r="BT313" i="8"/>
  <c r="BW313" s="1"/>
  <c r="CX220" i="3"/>
  <c r="CY220" s="1"/>
  <c r="CX211"/>
  <c r="CY211" s="1"/>
  <c r="BU246" i="6"/>
  <c r="CX318" i="3"/>
  <c r="CY318" s="1"/>
  <c r="BU233" i="6"/>
  <c r="BU259" i="3"/>
  <c r="BV234" i="6"/>
  <c r="BT280" i="8"/>
  <c r="BW280" s="1"/>
  <c r="BU255" i="6"/>
  <c r="BT206" i="8"/>
  <c r="BW206" s="1"/>
  <c r="CN272" i="3"/>
  <c r="CX229"/>
  <c r="CY229" s="1"/>
  <c r="BU239" i="6"/>
  <c r="CN241" i="3"/>
  <c r="CN232"/>
  <c r="BV295" i="6"/>
  <c r="BU313"/>
  <c r="CN207" i="3"/>
  <c r="BU210"/>
  <c r="BU212"/>
  <c r="BU187"/>
  <c r="BS287"/>
  <c r="CX246"/>
  <c r="CY246" s="1"/>
  <c r="BT224" i="8"/>
  <c r="BW224" s="1"/>
  <c r="CX262" i="3"/>
  <c r="CY262" s="1"/>
  <c r="CN237"/>
  <c r="BV294" i="6"/>
  <c r="CN285" i="3"/>
  <c r="BU319" i="6"/>
  <c r="CL28" i="2"/>
  <c r="BT238" i="8"/>
  <c r="BU250" s="1"/>
  <c r="CX250" i="3"/>
  <c r="CY250" s="1"/>
  <c r="BT290" i="8"/>
  <c r="BW290" s="1"/>
  <c r="BV302" i="6"/>
  <c r="BU307"/>
  <c r="BT291" i="8"/>
  <c r="BU303" s="1"/>
  <c r="BT294"/>
  <c r="BU306" s="1"/>
  <c r="BV222" i="6"/>
  <c r="CN309" i="3"/>
  <c r="CX239"/>
  <c r="CY239" s="1"/>
  <c r="CN303"/>
  <c r="BU269"/>
  <c r="BT266" i="8"/>
  <c r="BW266" s="1"/>
  <c r="BV238" i="6"/>
  <c r="CX289" i="3"/>
  <c r="CY289" s="1"/>
  <c r="CX208"/>
  <c r="CY208" s="1"/>
  <c r="CN282"/>
  <c r="BT263" i="8"/>
  <c r="BW263" s="1"/>
  <c r="CN305" i="3"/>
  <c r="CN255"/>
  <c r="CN204"/>
  <c r="BT221" i="8"/>
  <c r="BU221" s="1"/>
  <c r="BT272"/>
  <c r="BW272" s="1"/>
  <c r="BU190" i="3"/>
  <c r="CN218"/>
  <c r="BU200" i="6"/>
  <c r="BV200"/>
  <c r="CX226" i="3"/>
  <c r="CY226" s="1"/>
  <c r="CN223"/>
  <c r="BS304"/>
  <c r="BT190" i="6"/>
  <c r="BU202" s="1"/>
  <c r="CL25"/>
  <c r="CX230" i="3"/>
  <c r="CY230" s="1"/>
  <c r="CX299"/>
  <c r="CY299" s="1"/>
  <c r="BU221" i="6"/>
  <c r="BV235"/>
  <c r="CN245" i="3"/>
  <c r="BS290"/>
  <c r="BU274" i="6"/>
  <c r="BU238"/>
  <c r="BU265" i="3"/>
  <c r="BT279" i="6"/>
  <c r="BU291" s="1"/>
  <c r="BT287"/>
  <c r="BV287" s="1"/>
  <c r="BU260" i="3"/>
  <c r="BU258"/>
  <c r="BT226" i="8"/>
  <c r="CN297" i="3"/>
  <c r="BU287"/>
  <c r="BT328" i="6"/>
  <c r="BT328" i="8" s="1"/>
  <c r="CN301" i="3"/>
  <c r="CX224"/>
  <c r="CY224" s="1"/>
  <c r="BU248"/>
  <c r="BT239" i="8"/>
  <c r="BU239" s="1"/>
  <c r="BT319"/>
  <c r="BW319" s="1"/>
  <c r="BU234" i="6"/>
  <c r="BU302"/>
  <c r="BU226"/>
  <c r="BT233" i="8"/>
  <c r="BU245" s="1"/>
  <c r="BT318" i="6"/>
  <c r="BV318" s="1"/>
  <c r="BT247"/>
  <c r="BT247" i="8" s="1"/>
  <c r="BU324" i="3"/>
  <c r="BT309" i="6"/>
  <c r="BU309" s="1"/>
  <c r="BU281" i="3"/>
  <c r="BU261"/>
  <c r="BU317"/>
  <c r="CX296"/>
  <c r="CY296" s="1"/>
  <c r="BU309"/>
  <c r="BS328"/>
  <c r="BV274" i="6"/>
  <c r="CX235" i="3"/>
  <c r="CY235" s="1"/>
  <c r="CN291"/>
  <c r="BT284" i="6"/>
  <c r="BT284" i="8" s="1"/>
  <c r="BT256" i="6"/>
  <c r="BV256" s="1"/>
  <c r="BU322" i="3"/>
  <c r="BT244" i="6"/>
  <c r="BU244" s="1"/>
  <c r="BU218"/>
  <c r="CX273" i="3"/>
  <c r="CY273" s="1"/>
  <c r="BS209"/>
  <c r="BS208"/>
  <c r="CX281"/>
  <c r="CY281" s="1"/>
  <c r="CX219"/>
  <c r="CY219" s="1"/>
  <c r="BS268"/>
  <c r="CN222"/>
  <c r="BU211"/>
  <c r="BV255" i="6"/>
  <c r="BS248" i="3"/>
  <c r="BS249"/>
  <c r="BV291" i="6"/>
  <c r="BV262"/>
  <c r="BU279" i="3"/>
  <c r="CX314"/>
  <c r="CY314" s="1"/>
  <c r="BT258" i="6"/>
  <c r="BU258" s="1"/>
  <c r="BS302" i="3"/>
  <c r="BT242" i="8"/>
  <c r="BU242" s="1"/>
  <c r="BV233" i="6"/>
  <c r="CN240" i="3"/>
  <c r="CN266"/>
  <c r="BU327"/>
  <c r="CN252"/>
  <c r="BU291"/>
  <c r="CX277"/>
  <c r="CY277" s="1"/>
  <c r="CX308"/>
  <c r="CY308" s="1"/>
  <c r="CF26"/>
  <c r="CG26" s="1"/>
  <c r="BU262" i="6"/>
  <c r="BV242"/>
  <c r="BT252" i="8"/>
  <c r="BW252" s="1"/>
  <c r="BS323" i="3"/>
  <c r="BS324"/>
  <c r="CN283"/>
  <c r="CF29"/>
  <c r="CH29" s="1"/>
  <c r="CF23"/>
  <c r="CH23" s="1"/>
  <c r="CN294"/>
  <c r="BS310"/>
  <c r="BT194" i="6"/>
  <c r="BT194" i="8" s="1"/>
  <c r="BU199" i="3"/>
  <c r="BU228" i="6"/>
  <c r="BT317"/>
  <c r="BU317" s="1"/>
  <c r="CN256" i="3"/>
  <c r="BS321"/>
  <c r="CX304"/>
  <c r="CY304" s="1"/>
  <c r="BU194"/>
  <c r="CX264"/>
  <c r="CY264" s="1"/>
  <c r="BS269"/>
  <c r="BT249" i="6"/>
  <c r="BU261" s="1"/>
  <c r="BU207"/>
  <c r="BV207"/>
  <c r="BU205" i="3"/>
  <c r="BU256"/>
  <c r="CL31" i="2"/>
  <c r="BU318" i="3"/>
  <c r="BU249"/>
  <c r="CF27"/>
  <c r="CH27" s="1"/>
  <c r="BS203"/>
  <c r="BS200"/>
  <c r="BS327"/>
  <c r="BU189" i="8"/>
  <c r="BT235"/>
  <c r="BW235" s="1"/>
  <c r="BU253" i="3"/>
  <c r="BS293"/>
  <c r="BS286"/>
  <c r="BS281"/>
  <c r="BU284"/>
  <c r="BU247"/>
  <c r="CN205"/>
  <c r="CM31" i="9"/>
  <c r="BS313" i="3"/>
  <c r="BS245"/>
  <c r="BU200"/>
  <c r="CX310"/>
  <c r="CY310" s="1"/>
  <c r="BS234"/>
  <c r="BS283"/>
  <c r="CM26" i="9"/>
  <c r="CX298" i="3"/>
  <c r="CY298" s="1"/>
  <c r="CX313"/>
  <c r="CY313" s="1"/>
  <c r="BT253" i="6"/>
  <c r="BU222" i="3"/>
  <c r="BT269" i="6"/>
  <c r="BU281" s="1"/>
  <c r="BT248"/>
  <c r="BU260" s="1"/>
  <c r="BV228"/>
  <c r="BT228" i="8"/>
  <c r="BW228" s="1"/>
  <c r="BU282" i="3"/>
  <c r="BT327" i="6"/>
  <c r="BV327" s="1"/>
  <c r="BT205"/>
  <c r="BT205" i="8" s="1"/>
  <c r="BT212" i="6"/>
  <c r="BT322"/>
  <c r="BU244" i="3"/>
  <c r="BT259" i="6"/>
  <c r="BU271" s="1"/>
  <c r="BT265" i="8"/>
  <c r="BW265" s="1"/>
  <c r="BV265" i="6"/>
  <c r="BS311" i="3"/>
  <c r="BS211"/>
  <c r="BS227"/>
  <c r="BS239"/>
  <c r="BU213"/>
  <c r="BT213" i="6"/>
  <c r="BU225" i="3"/>
  <c r="BS192"/>
  <c r="BS204"/>
  <c r="BS194"/>
  <c r="BS206"/>
  <c r="BT254" i="6"/>
  <c r="BU266" i="3"/>
  <c r="BS251"/>
  <c r="BS263"/>
  <c r="BS217"/>
  <c r="BS229"/>
  <c r="BU187" i="6"/>
  <c r="BT187" i="8"/>
  <c r="BU187" s="1"/>
  <c r="CL23" i="2"/>
  <c r="BS214" i="3"/>
  <c r="BS225"/>
  <c r="BS216"/>
  <c r="BS228"/>
  <c r="BS260"/>
  <c r="BS272"/>
  <c r="BS270"/>
  <c r="BS282"/>
  <c r="BS312"/>
  <c r="CN326"/>
  <c r="CX326"/>
  <c r="CY326" s="1"/>
  <c r="CN295"/>
  <c r="CX295"/>
  <c r="CY295" s="1"/>
  <c r="CN234"/>
  <c r="CX234"/>
  <c r="CY234" s="1"/>
  <c r="BV281" i="6"/>
  <c r="BT281" i="8"/>
  <c r="CN316" i="3"/>
  <c r="CX316"/>
  <c r="CY316" s="1"/>
  <c r="CN259"/>
  <c r="CX259"/>
  <c r="CY259" s="1"/>
  <c r="BW294" i="8"/>
  <c r="CX286" i="3"/>
  <c r="CY286" s="1"/>
  <c r="CN286"/>
  <c r="BU273" i="8"/>
  <c r="BU304" i="6"/>
  <c r="BU292"/>
  <c r="BV292"/>
  <c r="BT292" i="8"/>
  <c r="BU304" s="1"/>
  <c r="CX275" i="3"/>
  <c r="CY275" s="1"/>
  <c r="CN275"/>
  <c r="CX320"/>
  <c r="CY320" s="1"/>
  <c r="CN320"/>
  <c r="CX325"/>
  <c r="CY325" s="1"/>
  <c r="CN325"/>
  <c r="CX215"/>
  <c r="CY215" s="1"/>
  <c r="CN215"/>
  <c r="BU251" i="6"/>
  <c r="BV251"/>
  <c r="BT251" i="8"/>
  <c r="CX323" i="3"/>
  <c r="CY323" s="1"/>
  <c r="CN323"/>
  <c r="CX269"/>
  <c r="CY269" s="1"/>
  <c r="CN269"/>
  <c r="BU285" i="6"/>
  <c r="BV285"/>
  <c r="BT285" i="8"/>
  <c r="BU297" s="1"/>
  <c r="CX227" i="3"/>
  <c r="CY227" s="1"/>
  <c r="CN227"/>
  <c r="CN217"/>
  <c r="CX217"/>
  <c r="CY217" s="1"/>
  <c r="CX236"/>
  <c r="CY236" s="1"/>
  <c r="CN236"/>
  <c r="BV219" i="6"/>
  <c r="BU219"/>
  <c r="BT219" i="8"/>
  <c r="BU231" i="6"/>
  <c r="BW232" i="8"/>
  <c r="BU232"/>
  <c r="BW198"/>
  <c r="BU237"/>
  <c r="BW237"/>
  <c r="BU275" i="6"/>
  <c r="BV275"/>
  <c r="BT275" i="8"/>
  <c r="BV271" i="6"/>
  <c r="BT271" i="8"/>
  <c r="CN24" i="9"/>
  <c r="CM24"/>
  <c r="BU277" i="6"/>
  <c r="BV277"/>
  <c r="BT277" i="8"/>
  <c r="BU289" s="1"/>
  <c r="BU195"/>
  <c r="BW195"/>
  <c r="BV312" i="6"/>
  <c r="BU312"/>
  <c r="BT312" i="8"/>
  <c r="BU262"/>
  <c r="BW262"/>
  <c r="BW245"/>
  <c r="BU323" i="6"/>
  <c r="BV311"/>
  <c r="BU311"/>
  <c r="BT311" i="8"/>
  <c r="BV199" i="6"/>
  <c r="BU199"/>
  <c r="BT199" i="8"/>
  <c r="CX280" i="3"/>
  <c r="CY280" s="1"/>
  <c r="CN280"/>
  <c r="BS254"/>
  <c r="BS266"/>
  <c r="CN238"/>
  <c r="CX238"/>
  <c r="CY238" s="1"/>
  <c r="CN213"/>
  <c r="CX213"/>
  <c r="CY213" s="1"/>
  <c r="BS230"/>
  <c r="BS242"/>
  <c r="BS276"/>
  <c r="BS264"/>
  <c r="CX198"/>
  <c r="CY198" s="1"/>
  <c r="CN198"/>
  <c r="CN216"/>
  <c r="CX216"/>
  <c r="CY216" s="1"/>
  <c r="CX290"/>
  <c r="CY290" s="1"/>
  <c r="CN290"/>
  <c r="BT286" i="6"/>
  <c r="BU298" s="1"/>
  <c r="BU286" i="3"/>
  <c r="CN202"/>
  <c r="CX202"/>
  <c r="CY202" s="1"/>
  <c r="BU268"/>
  <c r="BU280"/>
  <c r="BT268" i="6"/>
  <c r="CX212" i="3"/>
  <c r="CY212" s="1"/>
  <c r="CN212"/>
  <c r="BU320"/>
  <c r="BT320" i="6"/>
  <c r="CX200" i="3"/>
  <c r="CY200" s="1"/>
  <c r="CN200"/>
  <c r="BU215"/>
  <c r="BT215" i="6"/>
  <c r="BW306" i="8"/>
  <c r="CN271" i="3"/>
  <c r="CX271"/>
  <c r="CY271" s="1"/>
  <c r="CN293"/>
  <c r="CX293"/>
  <c r="CY293" s="1"/>
  <c r="CN251"/>
  <c r="CX251"/>
  <c r="CY251" s="1"/>
  <c r="CX322"/>
  <c r="CY322" s="1"/>
  <c r="CN322"/>
  <c r="CN328"/>
  <c r="CX328"/>
  <c r="CY328" s="1"/>
  <c r="BU241"/>
  <c r="BT241" i="6"/>
  <c r="BS289" i="3"/>
  <c r="BS277"/>
  <c r="BU308"/>
  <c r="BT308" i="6"/>
  <c r="CF32" i="3"/>
  <c r="BT296" i="6"/>
  <c r="CL31" s="1"/>
  <c r="BU296" i="3"/>
  <c r="CX312"/>
  <c r="CY312" s="1"/>
  <c r="CN312"/>
  <c r="BU208"/>
  <c r="BU196"/>
  <c r="BT196" i="6"/>
  <c r="BV288"/>
  <c r="BU288"/>
  <c r="BT288" i="8"/>
  <c r="BW250"/>
  <c r="BW204"/>
  <c r="BW297"/>
  <c r="BU216"/>
  <c r="BW216"/>
  <c r="BW289"/>
  <c r="BV278" i="6"/>
  <c r="BU278"/>
  <c r="BT278" i="8"/>
  <c r="CM29" i="9"/>
  <c r="CN29"/>
  <c r="CO29" s="1"/>
  <c r="CM23"/>
  <c r="CN23"/>
  <c r="BV188" i="6"/>
  <c r="BU188"/>
  <c r="BT188" i="8"/>
  <c r="BU200" s="1"/>
  <c r="BW246"/>
  <c r="BU246"/>
  <c r="BV236" i="6"/>
  <c r="BU236"/>
  <c r="BT236" i="8"/>
  <c r="BV301" i="6"/>
  <c r="BU301"/>
  <c r="BT301" i="8"/>
  <c r="BU314"/>
  <c r="BW302"/>
  <c r="BW295"/>
  <c r="BT267"/>
  <c r="BW267" s="1"/>
  <c r="BV267" i="6"/>
  <c r="BU267"/>
  <c r="BV240"/>
  <c r="BU240"/>
  <c r="BT240" i="8"/>
  <c r="BS259" i="3"/>
  <c r="BS256"/>
  <c r="BU227"/>
  <c r="BU207" i="8"/>
  <c r="BS295" i="3"/>
  <c r="CL30" i="2"/>
  <c r="CF30" i="3"/>
  <c r="BU290" i="6"/>
  <c r="BU274" i="8"/>
  <c r="CL25" i="2"/>
  <c r="BU298" i="3"/>
  <c r="CF22"/>
  <c r="BU252" i="6"/>
  <c r="CX254" i="3"/>
  <c r="CY254" s="1"/>
  <c r="CN254"/>
  <c r="CX274"/>
  <c r="CY274" s="1"/>
  <c r="CN274"/>
  <c r="CX203"/>
  <c r="CY203" s="1"/>
  <c r="CN203"/>
  <c r="CL21" i="8"/>
  <c r="BW173"/>
  <c r="BU191" i="6"/>
  <c r="BV191"/>
  <c r="BT191" i="8"/>
  <c r="CX209" i="3"/>
  <c r="CY209" s="1"/>
  <c r="CN209"/>
  <c r="CX270"/>
  <c r="CY270" s="1"/>
  <c r="CN270"/>
  <c r="CN278"/>
  <c r="CX278"/>
  <c r="CY278" s="1"/>
  <c r="CX315"/>
  <c r="CY315" s="1"/>
  <c r="CN315"/>
  <c r="CN268"/>
  <c r="CX268"/>
  <c r="CY268" s="1"/>
  <c r="CN317"/>
  <c r="CX317"/>
  <c r="CY317" s="1"/>
  <c r="CX327"/>
  <c r="CY327" s="1"/>
  <c r="CN327"/>
  <c r="BV298" i="6"/>
  <c r="BT298" i="8"/>
  <c r="BU310" s="1"/>
  <c r="CX306" i="3"/>
  <c r="CY306" s="1"/>
  <c r="CN306"/>
  <c r="CN292"/>
  <c r="CX292"/>
  <c r="CY292" s="1"/>
  <c r="CX321"/>
  <c r="CY321" s="1"/>
  <c r="CN321"/>
  <c r="CH25"/>
  <c r="CN244"/>
  <c r="CX244"/>
  <c r="CY244" s="1"/>
  <c r="CX221"/>
  <c r="CY221" s="1"/>
  <c r="CN221"/>
  <c r="CX302"/>
  <c r="CY302" s="1"/>
  <c r="CN302"/>
  <c r="CN33" i="9"/>
  <c r="CM33"/>
  <c r="BV282" i="6"/>
  <c r="BT282" i="8"/>
  <c r="BW307"/>
  <c r="BU307"/>
  <c r="BW243"/>
  <c r="BU243"/>
  <c r="BW229"/>
  <c r="BU229"/>
  <c r="BU264" i="6"/>
  <c r="BV264"/>
  <c r="BT264" i="8"/>
  <c r="BU276" s="1"/>
  <c r="BW208"/>
  <c r="BV260" i="6"/>
  <c r="BT260" i="8"/>
  <c r="BV283" i="6"/>
  <c r="BU283"/>
  <c r="BT283" i="8"/>
  <c r="BU300" i="6"/>
  <c r="BV300"/>
  <c r="BT300" i="8"/>
  <c r="BU186" i="6"/>
  <c r="BV186"/>
  <c r="BT186" i="8"/>
  <c r="BV210" i="6"/>
  <c r="BU210"/>
  <c r="BT210" i="8"/>
  <c r="BU222" s="1"/>
  <c r="BW222"/>
  <c r="BW304"/>
  <c r="BV197" i="6"/>
  <c r="BU197"/>
  <c r="BT197" i="8"/>
  <c r="BW310"/>
  <c r="BW303"/>
  <c r="CN22" i="9"/>
  <c r="CO22" s="1"/>
  <c r="CM22"/>
  <c r="BV193" i="6"/>
  <c r="BU193"/>
  <c r="BT193" i="8"/>
  <c r="BU326" i="3"/>
  <c r="BT326" i="6"/>
  <c r="CX248" i="3"/>
  <c r="CY248" s="1"/>
  <c r="CN248"/>
  <c r="BU203"/>
  <c r="BT203" i="6"/>
  <c r="BW209" i="8"/>
  <c r="CX287" i="3"/>
  <c r="CY287" s="1"/>
  <c r="CN287"/>
  <c r="CN260"/>
  <c r="CX260"/>
  <c r="CY260" s="1"/>
  <c r="BU270"/>
  <c r="BT270" i="6"/>
  <c r="BU282" s="1"/>
  <c r="CN300" i="3"/>
  <c r="CX300"/>
  <c r="CY300" s="1"/>
  <c r="BU315"/>
  <c r="BT315" i="6"/>
  <c r="BV211"/>
  <c r="BU211"/>
  <c r="BT211" i="8"/>
  <c r="BU223" i="6"/>
  <c r="BT325"/>
  <c r="BU325" i="3"/>
  <c r="CX319"/>
  <c r="CY319" s="1"/>
  <c r="CN319"/>
  <c r="CN261"/>
  <c r="CX261"/>
  <c r="CY261" s="1"/>
  <c r="BU321"/>
  <c r="BT321" i="6"/>
  <c r="CN253" i="3"/>
  <c r="CX253"/>
  <c r="CY253" s="1"/>
  <c r="CN210"/>
  <c r="CX210"/>
  <c r="CY210" s="1"/>
  <c r="BV299" i="6"/>
  <c r="BT299" i="8"/>
  <c r="BU257" i="3"/>
  <c r="CF28"/>
  <c r="BT257" i="6"/>
  <c r="BS255" i="3"/>
  <c r="BS267"/>
  <c r="CX233"/>
  <c r="CY233" s="1"/>
  <c r="CN233"/>
  <c r="CN324"/>
  <c r="CX324"/>
  <c r="CY324" s="1"/>
  <c r="CX197"/>
  <c r="CY197" s="1"/>
  <c r="CN197"/>
  <c r="CX279"/>
  <c r="CY279" s="1"/>
  <c r="CN279"/>
  <c r="CX311"/>
  <c r="CY311" s="1"/>
  <c r="CN311"/>
  <c r="BW276" i="8"/>
  <c r="BU316" i="6"/>
  <c r="BV316"/>
  <c r="BT316" i="8"/>
  <c r="CL32" i="2"/>
  <c r="CL33"/>
  <c r="BV192" i="6"/>
  <c r="BU192"/>
  <c r="BT192" i="8"/>
  <c r="BU204" s="1"/>
  <c r="CM32" i="9"/>
  <c r="CN32"/>
  <c r="CO32" s="1"/>
  <c r="BW218" i="8"/>
  <c r="BV323" i="6"/>
  <c r="BT323" i="8"/>
  <c r="CM25" i="9"/>
  <c r="CN25"/>
  <c r="BV293" i="6"/>
  <c r="BU293"/>
  <c r="BT293" i="8"/>
  <c r="BW200"/>
  <c r="CM27" i="9"/>
  <c r="CN27"/>
  <c r="CO27" s="1"/>
  <c r="BW217" i="8"/>
  <c r="BW202"/>
  <c r="BW234"/>
  <c r="BU234"/>
  <c r="CM30" i="9"/>
  <c r="CN30"/>
  <c r="CO31" s="1"/>
  <c r="BU214" i="6"/>
  <c r="BV214"/>
  <c r="BT214" i="8"/>
  <c r="BU230"/>
  <c r="BW230"/>
  <c r="BW255"/>
  <c r="BU255"/>
  <c r="BU263" i="6"/>
  <c r="BU222"/>
  <c r="BU294"/>
  <c r="BU185" i="8"/>
  <c r="BU272" i="6"/>
  <c r="BU297"/>
  <c r="CF24" i="3"/>
  <c r="BU289" i="6"/>
  <c r="CF33" i="3"/>
  <c r="CF31"/>
  <c r="BU209" i="6"/>
  <c r="CL24" i="2"/>
  <c r="BU295" i="6"/>
  <c r="CM28" i="9"/>
  <c r="BP339" i="7"/>
  <c r="BW339" s="1"/>
  <c r="BU324" i="6" l="1"/>
  <c r="BU313" i="8"/>
  <c r="BV324" i="6"/>
  <c r="BU218" i="8"/>
  <c r="BW233"/>
  <c r="BU302"/>
  <c r="BW221"/>
  <c r="BT279"/>
  <c r="BW279" s="1"/>
  <c r="BW242"/>
  <c r="BU319"/>
  <c r="BU206" i="6"/>
  <c r="BT309" i="8"/>
  <c r="BU309" s="1"/>
  <c r="BW291"/>
  <c r="BV309" i="6"/>
  <c r="BU279"/>
  <c r="BV194"/>
  <c r="BT256" i="8"/>
  <c r="BW256" s="1"/>
  <c r="CL22" i="6"/>
  <c r="CM22" s="1"/>
  <c r="CL26"/>
  <c r="CM26" s="1"/>
  <c r="BU272" i="8"/>
  <c r="BV190" i="6"/>
  <c r="BV317"/>
  <c r="BT244" i="8"/>
  <c r="BW244" s="1"/>
  <c r="BW239"/>
  <c r="BW238"/>
  <c r="BU235"/>
  <c r="BV328" i="6"/>
  <c r="BT317" i="8"/>
  <c r="BU317" s="1"/>
  <c r="BV284" i="6"/>
  <c r="BT190" i="8"/>
  <c r="BU202" s="1"/>
  <c r="BU294"/>
  <c r="BU290"/>
  <c r="BU287" i="6"/>
  <c r="BU238" i="8"/>
  <c r="BU226"/>
  <c r="CO25" i="9"/>
  <c r="BV279" i="6"/>
  <c r="BU194"/>
  <c r="BW226" i="8"/>
  <c r="BU233"/>
  <c r="BT327"/>
  <c r="BW327" s="1"/>
  <c r="BU190" i="6"/>
  <c r="BV244"/>
  <c r="BW187" i="8"/>
  <c r="BU284" i="6"/>
  <c r="BU247"/>
  <c r="BU256"/>
  <c r="BT287" i="8"/>
  <c r="BU299" s="1"/>
  <c r="BV247" i="6"/>
  <c r="BU318"/>
  <c r="BU328"/>
  <c r="BU299"/>
  <c r="BT318" i="8"/>
  <c r="BU318" s="1"/>
  <c r="BU249" i="6"/>
  <c r="BV258"/>
  <c r="CH26" i="3"/>
  <c r="CI27" s="1"/>
  <c r="BT249" i="8"/>
  <c r="BW249" s="1"/>
  <c r="CG27" i="3"/>
  <c r="BT258" i="8"/>
  <c r="BW258" s="1"/>
  <c r="BV249" i="6"/>
  <c r="BU259"/>
  <c r="CL23"/>
  <c r="CM23" s="1"/>
  <c r="BU205"/>
  <c r="BU217" i="8"/>
  <c r="BW205"/>
  <c r="CL27" i="6"/>
  <c r="CL25" i="8"/>
  <c r="BU228"/>
  <c r="BT248"/>
  <c r="BW248" s="1"/>
  <c r="BV248" i="6"/>
  <c r="BU248"/>
  <c r="BT269" i="8"/>
  <c r="BW269" s="1"/>
  <c r="BV269" i="6"/>
  <c r="BV253"/>
  <c r="BU265"/>
  <c r="BT253" i="8"/>
  <c r="BV259" i="6"/>
  <c r="BT259" i="8"/>
  <c r="BW259" s="1"/>
  <c r="BV322" i="6"/>
  <c r="BU322"/>
  <c r="BT322" i="8"/>
  <c r="BU212" i="6"/>
  <c r="BT212" i="8"/>
  <c r="BU224" i="6"/>
  <c r="BV212"/>
  <c r="BV205"/>
  <c r="BU217"/>
  <c r="BT254" i="8"/>
  <c r="BV254" i="6"/>
  <c r="BU266"/>
  <c r="BU254"/>
  <c r="BV213"/>
  <c r="BT213" i="8"/>
  <c r="BU225" i="6"/>
  <c r="BU213"/>
  <c r="CO30" i="9"/>
  <c r="BU267" i="8"/>
  <c r="CH31" i="3"/>
  <c r="CG31"/>
  <c r="BU293" i="8"/>
  <c r="BW293"/>
  <c r="BU305"/>
  <c r="BW316"/>
  <c r="BU316"/>
  <c r="BV257" i="6"/>
  <c r="BU257"/>
  <c r="BT257" i="8"/>
  <c r="BU269" i="6"/>
  <c r="CL28"/>
  <c r="BW299" i="8"/>
  <c r="BU321" i="6"/>
  <c r="BV321"/>
  <c r="BT321" i="8"/>
  <c r="BU315" i="6"/>
  <c r="BV315"/>
  <c r="BT315" i="8"/>
  <c r="BU327" i="6"/>
  <c r="BW193" i="8"/>
  <c r="BU193"/>
  <c r="BU197"/>
  <c r="BW197"/>
  <c r="BU186"/>
  <c r="BW186"/>
  <c r="BU328"/>
  <c r="BW328"/>
  <c r="BW283"/>
  <c r="BU283"/>
  <c r="BW264"/>
  <c r="BU264"/>
  <c r="BW298"/>
  <c r="CH22" i="3"/>
  <c r="CI22" s="1"/>
  <c r="CG22"/>
  <c r="CG30"/>
  <c r="CH30"/>
  <c r="CI30" s="1"/>
  <c r="BW240" i="8"/>
  <c r="BU240"/>
  <c r="BW236"/>
  <c r="BU236"/>
  <c r="BU278"/>
  <c r="BW278"/>
  <c r="BU196" i="6"/>
  <c r="BV196"/>
  <c r="BT196" i="8"/>
  <c r="BU208" i="6"/>
  <c r="CH32" i="3"/>
  <c r="CG32"/>
  <c r="BV241" i="6"/>
  <c r="BU241"/>
  <c r="BT241" i="8"/>
  <c r="BU253" i="6"/>
  <c r="BV215"/>
  <c r="BT215" i="8"/>
  <c r="BU227" i="6"/>
  <c r="BV320"/>
  <c r="BU320"/>
  <c r="BT320" i="8"/>
  <c r="BW320" s="1"/>
  <c r="BU311"/>
  <c r="BW311"/>
  <c r="BU206"/>
  <c r="BU194"/>
  <c r="BW194"/>
  <c r="BU312"/>
  <c r="BW312"/>
  <c r="BW271"/>
  <c r="BW285"/>
  <c r="BU285"/>
  <c r="BW251"/>
  <c r="BU251"/>
  <c r="BW281"/>
  <c r="CO28" i="9"/>
  <c r="BU295" i="8"/>
  <c r="CO23" i="9"/>
  <c r="BU198" i="8"/>
  <c r="CL24" i="6"/>
  <c r="BW323" i="8"/>
  <c r="BU323"/>
  <c r="BW192"/>
  <c r="BU192"/>
  <c r="CH33" i="3"/>
  <c r="CG33"/>
  <c r="CH24"/>
  <c r="CI24" s="1"/>
  <c r="CG24"/>
  <c r="BW214" i="8"/>
  <c r="BU214"/>
  <c r="CG28" i="3"/>
  <c r="CH28"/>
  <c r="CI28" s="1"/>
  <c r="BV325" i="6"/>
  <c r="BU325"/>
  <c r="BT325" i="8"/>
  <c r="BU211"/>
  <c r="BW211"/>
  <c r="BU223"/>
  <c r="BV270" i="6"/>
  <c r="BU270"/>
  <c r="BT270" i="8"/>
  <c r="BU282" s="1"/>
  <c r="CL29" i="6"/>
  <c r="BU215"/>
  <c r="BU203"/>
  <c r="BV203"/>
  <c r="BT203" i="8"/>
  <c r="BV326" i="6"/>
  <c r="BU326"/>
  <c r="BT326" i="8"/>
  <c r="BW210"/>
  <c r="BU210"/>
  <c r="BU247"/>
  <c r="BW247"/>
  <c r="BW300"/>
  <c r="BU300"/>
  <c r="BW260"/>
  <c r="BW282"/>
  <c r="BW191"/>
  <c r="BU191"/>
  <c r="BW301"/>
  <c r="BU301"/>
  <c r="BW188"/>
  <c r="BU188"/>
  <c r="BW288"/>
  <c r="BU288"/>
  <c r="BV296" i="6"/>
  <c r="BU296"/>
  <c r="BT296" i="8"/>
  <c r="BV308" i="6"/>
  <c r="BU308"/>
  <c r="BT308" i="8"/>
  <c r="CL32" i="6"/>
  <c r="CM32" s="1"/>
  <c r="BU268"/>
  <c r="BV268"/>
  <c r="BT268" i="8"/>
  <c r="BU280" i="6"/>
  <c r="BV286"/>
  <c r="BU286"/>
  <c r="BT286" i="8"/>
  <c r="BW199"/>
  <c r="BU199"/>
  <c r="BW277"/>
  <c r="BU277"/>
  <c r="BW275"/>
  <c r="BU275"/>
  <c r="BW284"/>
  <c r="BU284"/>
  <c r="BU219"/>
  <c r="BW219"/>
  <c r="BU231"/>
  <c r="BU324"/>
  <c r="BW324"/>
  <c r="BU292"/>
  <c r="BW292"/>
  <c r="CO26" i="9"/>
  <c r="BU209" i="8"/>
  <c r="CG29" i="3"/>
  <c r="CO33" i="9"/>
  <c r="CG25" i="3"/>
  <c r="BU252" i="8"/>
  <c r="BU205"/>
  <c r="CL33" i="6"/>
  <c r="CG23" i="3"/>
  <c r="CO24" i="9"/>
  <c r="BU263" i="8"/>
  <c r="CL30" i="6"/>
  <c r="BQ340" i="7"/>
  <c r="BU291" i="8" l="1"/>
  <c r="BU271"/>
  <c r="BW309"/>
  <c r="CM27" i="6"/>
  <c r="BU244" i="8"/>
  <c r="CL26"/>
  <c r="CM26" s="1"/>
  <c r="BU258"/>
  <c r="BU256"/>
  <c r="BU279"/>
  <c r="BW190"/>
  <c r="BW287"/>
  <c r="BU190"/>
  <c r="BU287"/>
  <c r="CI26" i="3"/>
  <c r="BW317" i="8"/>
  <c r="CM29" i="6"/>
  <c r="BW318" i="8"/>
  <c r="CI32" i="3"/>
  <c r="BU249" i="8"/>
  <c r="BU261"/>
  <c r="BU281"/>
  <c r="CL24"/>
  <c r="CM25" s="1"/>
  <c r="BU248"/>
  <c r="CL27"/>
  <c r="CM33" i="6"/>
  <c r="CI33" i="3"/>
  <c r="CI23"/>
  <c r="BU259" i="8"/>
  <c r="BU260"/>
  <c r="CM28" i="6"/>
  <c r="BU212" i="8"/>
  <c r="BU224"/>
  <c r="BW212"/>
  <c r="BU322"/>
  <c r="BW322"/>
  <c r="BW253"/>
  <c r="BU265"/>
  <c r="BW254"/>
  <c r="BU254"/>
  <c r="BU266"/>
  <c r="BU225"/>
  <c r="BW213"/>
  <c r="BU213"/>
  <c r="CM30" i="6"/>
  <c r="BX399"/>
  <c r="BX401" s="1"/>
  <c r="BY399" s="1"/>
  <c r="BW286" i="8"/>
  <c r="BU286"/>
  <c r="BW268"/>
  <c r="BU268"/>
  <c r="BU280"/>
  <c r="BU270"/>
  <c r="BW270"/>
  <c r="CL29"/>
  <c r="BU325"/>
  <c r="BW325"/>
  <c r="BX340" i="7"/>
  <c r="BT340"/>
  <c r="BW296" i="8"/>
  <c r="BU296"/>
  <c r="BU215"/>
  <c r="BU203"/>
  <c r="BW203"/>
  <c r="CM24" i="6"/>
  <c r="CM25"/>
  <c r="BW215" i="8"/>
  <c r="BU227"/>
  <c r="BU315"/>
  <c r="BW315"/>
  <c r="BU327"/>
  <c r="BU257"/>
  <c r="BW257"/>
  <c r="BU269"/>
  <c r="CL28"/>
  <c r="CM31" i="6"/>
  <c r="CL30" i="8"/>
  <c r="CI29" i="3"/>
  <c r="BU298" i="8"/>
  <c r="CL23"/>
  <c r="CL31"/>
  <c r="CI31" i="3"/>
  <c r="BU320" i="8"/>
  <c r="BW308"/>
  <c r="BU308"/>
  <c r="CL32"/>
  <c r="BW326"/>
  <c r="BU326"/>
  <c r="BW241"/>
  <c r="BU241"/>
  <c r="BU253"/>
  <c r="BW196"/>
  <c r="BU196"/>
  <c r="BU208"/>
  <c r="BU321"/>
  <c r="BW321"/>
  <c r="CI25" i="3"/>
  <c r="CL33" i="8"/>
  <c r="CL22"/>
  <c r="CM22" s="1"/>
  <c r="BP330" i="7"/>
  <c r="BW330" s="1"/>
  <c r="BP332"/>
  <c r="BW332" s="1"/>
  <c r="BP334"/>
  <c r="BW334" s="1"/>
  <c r="BP336"/>
  <c r="BW336" s="1"/>
  <c r="BT340" i="4"/>
  <c r="BP331" i="7"/>
  <c r="BW331" s="1"/>
  <c r="BP333"/>
  <c r="BW333" s="1"/>
  <c r="BP335"/>
  <c r="BW335" s="1"/>
  <c r="BP337"/>
  <c r="BW337" s="1"/>
  <c r="BP338"/>
  <c r="BW338" s="1"/>
  <c r="CM27" i="8" l="1"/>
  <c r="CM30"/>
  <c r="CM28"/>
  <c r="CM33"/>
  <c r="CM32"/>
  <c r="CM23"/>
  <c r="BW340" i="4"/>
  <c r="BU340"/>
  <c r="BU352"/>
  <c r="BQ340" i="3"/>
  <c r="BK340"/>
  <c r="BL340" s="1"/>
  <c r="BM340" s="1"/>
  <c r="BN340" s="1"/>
  <c r="BT340" i="2"/>
  <c r="BQ340"/>
  <c r="BQ340" i="1"/>
  <c r="BT340"/>
  <c r="BP340" i="6"/>
  <c r="BP340" i="8" s="1"/>
  <c r="BY401" i="6"/>
  <c r="BY400"/>
  <c r="CM31" i="8"/>
  <c r="BT340" i="5"/>
  <c r="BP340" i="9"/>
  <c r="BV340" i="7"/>
  <c r="BV352"/>
  <c r="CM24" i="8"/>
  <c r="CM29"/>
  <c r="BQ339" i="7"/>
  <c r="BP329"/>
  <c r="CL34" l="1"/>
  <c r="BW329"/>
  <c r="BX339"/>
  <c r="BT339"/>
  <c r="BV340" i="1"/>
  <c r="BU340"/>
  <c r="BW340"/>
  <c r="BR340"/>
  <c r="BU352"/>
  <c r="BO340" i="3"/>
  <c r="BP340" s="1"/>
  <c r="BW340" i="5"/>
  <c r="BT340" i="9"/>
  <c r="BU340" i="5"/>
  <c r="BU352"/>
  <c r="BU340" i="2"/>
  <c r="BW340"/>
  <c r="BV340"/>
  <c r="BR340"/>
  <c r="BU352"/>
  <c r="BT339" i="4"/>
  <c r="CL340" i="3" l="1"/>
  <c r="CX340" s="1"/>
  <c r="CY340" s="1"/>
  <c r="BT340"/>
  <c r="BT339" i="1"/>
  <c r="BQ339"/>
  <c r="BP339" i="9"/>
  <c r="BT339" i="5"/>
  <c r="BW339" i="4"/>
  <c r="BU339"/>
  <c r="BS340" i="1"/>
  <c r="BS352"/>
  <c r="BV339" i="7"/>
  <c r="BR340" i="3"/>
  <c r="BT339" i="2"/>
  <c r="BQ339"/>
  <c r="BS340"/>
  <c r="BS352"/>
  <c r="BU340" i="9"/>
  <c r="BW340"/>
  <c r="BU352"/>
  <c r="BQ338" i="7"/>
  <c r="BT338" i="4"/>
  <c r="CN340" i="3" l="1"/>
  <c r="BU340"/>
  <c r="BU352"/>
  <c r="BT340" i="6"/>
  <c r="BV340" s="1"/>
  <c r="BT338" i="1"/>
  <c r="BQ338"/>
  <c r="BT338" i="5"/>
  <c r="BP338" i="9"/>
  <c r="BW339" i="2"/>
  <c r="BR339"/>
  <c r="BS339" s="1"/>
  <c r="BU339"/>
  <c r="BV339"/>
  <c r="BW339" i="5"/>
  <c r="BT339" i="9"/>
  <c r="BU339" i="5"/>
  <c r="BQ338" i="2"/>
  <c r="BT338"/>
  <c r="BX338" i="7"/>
  <c r="BT338"/>
  <c r="BP339" i="6"/>
  <c r="BP339" i="8" s="1"/>
  <c r="BK339" i="3"/>
  <c r="BL339" s="1"/>
  <c r="BM339" s="1"/>
  <c r="BN339" s="1"/>
  <c r="BQ339"/>
  <c r="BS340"/>
  <c r="BS352"/>
  <c r="BW339" i="1"/>
  <c r="BU339"/>
  <c r="BV339"/>
  <c r="BR339"/>
  <c r="BS339" s="1"/>
  <c r="BW338" i="4"/>
  <c r="BU338"/>
  <c r="BT340" i="8" l="1"/>
  <c r="BU340" s="1"/>
  <c r="BU340" i="6"/>
  <c r="BU352"/>
  <c r="BW339" i="9"/>
  <c r="BU339"/>
  <c r="BO339" i="3"/>
  <c r="BP339" s="1"/>
  <c r="CL339" s="1"/>
  <c r="BV338" i="7"/>
  <c r="BV338" i="2"/>
  <c r="BW338"/>
  <c r="BR338"/>
  <c r="BS338" s="1"/>
  <c r="BU338"/>
  <c r="BU338" i="5"/>
  <c r="BW338"/>
  <c r="BT338" i="9"/>
  <c r="BR338" i="1"/>
  <c r="BS338" s="1"/>
  <c r="BU338"/>
  <c r="BV338"/>
  <c r="BW338"/>
  <c r="BP338" i="6"/>
  <c r="BP338" i="8" s="1"/>
  <c r="BQ338" i="3"/>
  <c r="BK338"/>
  <c r="BL338" s="1"/>
  <c r="BM338" s="1"/>
  <c r="BN338" s="1"/>
  <c r="BQ337" i="7"/>
  <c r="BW340" i="8" l="1"/>
  <c r="BU352"/>
  <c r="BR339" i="3"/>
  <c r="BS339" s="1"/>
  <c r="CN339"/>
  <c r="CX339"/>
  <c r="CY339" s="1"/>
  <c r="BX337" i="7"/>
  <c r="BT337"/>
  <c r="BT337" i="5"/>
  <c r="BP337" i="9"/>
  <c r="BO338" i="3"/>
  <c r="BP338" s="1"/>
  <c r="CL338" s="1"/>
  <c r="BW338" i="9"/>
  <c r="BU338"/>
  <c r="BT339" i="3"/>
  <c r="BT337" i="4"/>
  <c r="BT338" i="3" l="1"/>
  <c r="BR338"/>
  <c r="BS338" s="1"/>
  <c r="BK337"/>
  <c r="BL337" s="1"/>
  <c r="BM337" s="1"/>
  <c r="BN337" s="1"/>
  <c r="BQ337"/>
  <c r="BQ337" i="2"/>
  <c r="BT337"/>
  <c r="BU339" i="3"/>
  <c r="BT339" i="6"/>
  <c r="BV337" i="7"/>
  <c r="BW337" i="4"/>
  <c r="BU337"/>
  <c r="BQ337" i="1"/>
  <c r="BT337"/>
  <c r="BP337" i="6"/>
  <c r="BP337" i="8" s="1"/>
  <c r="CN338" i="3"/>
  <c r="CX338"/>
  <c r="CY338" s="1"/>
  <c r="BW337" i="5"/>
  <c r="BU337"/>
  <c r="BU338" i="3" l="1"/>
  <c r="BT337" i="9"/>
  <c r="BW337" s="1"/>
  <c r="BT338" i="6"/>
  <c r="BU338" s="1"/>
  <c r="BU337" i="2"/>
  <c r="BV337"/>
  <c r="BW337"/>
  <c r="BR337"/>
  <c r="BS337" s="1"/>
  <c r="BR337" i="1"/>
  <c r="BS337" s="1"/>
  <c r="BV337"/>
  <c r="BU337"/>
  <c r="BW337"/>
  <c r="BU339" i="6"/>
  <c r="BV339"/>
  <c r="BT339" i="8"/>
  <c r="BO337" i="3"/>
  <c r="BT337" s="1"/>
  <c r="BU337" i="9" l="1"/>
  <c r="BV338" i="6"/>
  <c r="BT338" i="8"/>
  <c r="BU338" s="1"/>
  <c r="BR337" i="3"/>
  <c r="BS337" s="1"/>
  <c r="BP337"/>
  <c r="CL337" s="1"/>
  <c r="CN337" s="1"/>
  <c r="BW339" i="8"/>
  <c r="BU339"/>
  <c r="BT337" i="6"/>
  <c r="BU337" i="3"/>
  <c r="BQ336" i="7"/>
  <c r="BW338" i="8" l="1"/>
  <c r="CX337" i="3"/>
  <c r="CY337" s="1"/>
  <c r="BT336" i="7"/>
  <c r="BX336"/>
  <c r="BV337" i="6"/>
  <c r="BU337"/>
  <c r="BT337" i="8"/>
  <c r="BU337" l="1"/>
  <c r="BW337"/>
  <c r="BV336" i="7"/>
  <c r="BT336" i="4"/>
  <c r="BQ335" i="7"/>
  <c r="BX335" l="1"/>
  <c r="BT335"/>
  <c r="BT336" i="5"/>
  <c r="BP336" i="9"/>
  <c r="BT336" i="1"/>
  <c r="BQ336"/>
  <c r="BQ336" i="2"/>
  <c r="BT336"/>
  <c r="BU336" i="4"/>
  <c r="BW336"/>
  <c r="BT335"/>
  <c r="BK335" i="3" l="1"/>
  <c r="BL335" s="1"/>
  <c r="BM335" s="1"/>
  <c r="BN335" s="1"/>
  <c r="BQ335"/>
  <c r="BU335" i="4"/>
  <c r="BW335"/>
  <c r="BQ335" i="2"/>
  <c r="BT335"/>
  <c r="BV335" i="7"/>
  <c r="BK336" i="3"/>
  <c r="BL336" s="1"/>
  <c r="BM336" s="1"/>
  <c r="BN336" s="1"/>
  <c r="BQ336"/>
  <c r="BT335" i="1"/>
  <c r="BQ335"/>
  <c r="BP335" i="6"/>
  <c r="BP335" i="8" s="1"/>
  <c r="BP335" i="9"/>
  <c r="BT335" i="5"/>
  <c r="BU336" i="2"/>
  <c r="BR336"/>
  <c r="BS336" s="1"/>
  <c r="BV336"/>
  <c r="BW336"/>
  <c r="BU336" i="1"/>
  <c r="BW336"/>
  <c r="BR336"/>
  <c r="BS336" s="1"/>
  <c r="BV336"/>
  <c r="BT336" i="9"/>
  <c r="BW336" i="5"/>
  <c r="BU336"/>
  <c r="BP336" i="6"/>
  <c r="BP336" i="8" s="1"/>
  <c r="BU336" i="9" l="1"/>
  <c r="BW336"/>
  <c r="BU335" i="5"/>
  <c r="BT335" i="9"/>
  <c r="BW335" i="5"/>
  <c r="BU335" i="1"/>
  <c r="BR335"/>
  <c r="BS335" s="1"/>
  <c r="BV335"/>
  <c r="BW335"/>
  <c r="BO336" i="3"/>
  <c r="BP336" s="1"/>
  <c r="CL336" s="1"/>
  <c r="BO335"/>
  <c r="BP335" s="1"/>
  <c r="BR335" i="2"/>
  <c r="BS335" s="1"/>
  <c r="BU335"/>
  <c r="BV335"/>
  <c r="BW335"/>
  <c r="BQ334" i="7"/>
  <c r="BT334" i="4"/>
  <c r="BR335" i="3" l="1"/>
  <c r="BS335" s="1"/>
  <c r="BR336"/>
  <c r="BS336" s="1"/>
  <c r="CL335"/>
  <c r="CX335" s="1"/>
  <c r="CY335" s="1"/>
  <c r="BT336"/>
  <c r="BQ334" i="1"/>
  <c r="BT334"/>
  <c r="BU334" i="4"/>
  <c r="BW334"/>
  <c r="BT334" i="2"/>
  <c r="BQ334"/>
  <c r="BU335" i="9"/>
  <c r="BW335"/>
  <c r="BT334" i="5"/>
  <c r="BP334" i="9"/>
  <c r="BT334" i="7"/>
  <c r="BX334"/>
  <c r="CX336" i="3"/>
  <c r="CY336" s="1"/>
  <c r="CN336"/>
  <c r="BT335"/>
  <c r="CN335" l="1"/>
  <c r="BU336"/>
  <c r="BT336" i="6"/>
  <c r="BU336" s="1"/>
  <c r="BQ334" i="3"/>
  <c r="BK334"/>
  <c r="BL334" s="1"/>
  <c r="BM334" s="1"/>
  <c r="BN334" s="1"/>
  <c r="BW334" i="2"/>
  <c r="BR334"/>
  <c r="BS334" s="1"/>
  <c r="BU334"/>
  <c r="BV334"/>
  <c r="BR334" i="1"/>
  <c r="BS334" s="1"/>
  <c r="BW334"/>
  <c r="BV334"/>
  <c r="BU334"/>
  <c r="BU335" i="3"/>
  <c r="BT335" i="6"/>
  <c r="BV334" i="7"/>
  <c r="BW334" i="5"/>
  <c r="BT334" i="9"/>
  <c r="BU334" i="5"/>
  <c r="BP334" i="6"/>
  <c r="BP334" i="8" s="1"/>
  <c r="BV336" i="6" l="1"/>
  <c r="BT336" i="8"/>
  <c r="BU336" s="1"/>
  <c r="BO334" i="3"/>
  <c r="BR334" s="1"/>
  <c r="BS334" s="1"/>
  <c r="BU334" i="9"/>
  <c r="BW334"/>
  <c r="BU335" i="6"/>
  <c r="BV335"/>
  <c r="BT335" i="8"/>
  <c r="BW336" l="1"/>
  <c r="BT334" i="3"/>
  <c r="BT334" i="6" s="1"/>
  <c r="BP334" i="3"/>
  <c r="CL334" s="1"/>
  <c r="CN334" s="1"/>
  <c r="BW335" i="8"/>
  <c r="BU335"/>
  <c r="BQ333" i="7"/>
  <c r="BT333" i="4"/>
  <c r="BU334" i="3" l="1"/>
  <c r="CX334"/>
  <c r="CY334" s="1"/>
  <c r="BP333" i="9"/>
  <c r="BT333" i="5"/>
  <c r="BT333" i="7"/>
  <c r="BX333"/>
  <c r="BW333" i="4"/>
  <c r="BU333"/>
  <c r="BQ333" i="1"/>
  <c r="BT333"/>
  <c r="BV334" i="6"/>
  <c r="BU334"/>
  <c r="BT334" i="8"/>
  <c r="BQ333" i="2"/>
  <c r="BT333"/>
  <c r="BQ332" i="7"/>
  <c r="BT332" i="4"/>
  <c r="BP332" i="9" l="1"/>
  <c r="BT332" i="5"/>
  <c r="BT332" i="7"/>
  <c r="BX332"/>
  <c r="BW333" i="2"/>
  <c r="BU333"/>
  <c r="BV333"/>
  <c r="BR333"/>
  <c r="BS333" s="1"/>
  <c r="BU334" i="8"/>
  <c r="BW334"/>
  <c r="BU333" i="1"/>
  <c r="BW333"/>
  <c r="BV333"/>
  <c r="BR333"/>
  <c r="BS333" s="1"/>
  <c r="BU333" i="5"/>
  <c r="BW333"/>
  <c r="BT333" i="9"/>
  <c r="BK333" i="3"/>
  <c r="BL333" s="1"/>
  <c r="BM333" s="1"/>
  <c r="BN333" s="1"/>
  <c r="BQ333"/>
  <c r="BQ332" i="1"/>
  <c r="BT332"/>
  <c r="BU332" i="4"/>
  <c r="BW332"/>
  <c r="BT332" i="2"/>
  <c r="BQ332"/>
  <c r="BV333" i="7"/>
  <c r="BP333" i="6"/>
  <c r="BP333" i="8" s="1"/>
  <c r="BW332" i="2" l="1"/>
  <c r="BV332"/>
  <c r="BR332"/>
  <c r="BS332" s="1"/>
  <c r="BU332"/>
  <c r="BU332" i="1"/>
  <c r="BR332"/>
  <c r="BS332" s="1"/>
  <c r="BW332"/>
  <c r="BV332"/>
  <c r="BW333" i="9"/>
  <c r="BU333"/>
  <c r="BT332"/>
  <c r="BW332" i="5"/>
  <c r="BU332"/>
  <c r="BK332" i="3"/>
  <c r="BL332" s="1"/>
  <c r="BM332" s="1"/>
  <c r="BN332" s="1"/>
  <c r="BQ332"/>
  <c r="BO333"/>
  <c r="BP333" s="1"/>
  <c r="CL333" s="1"/>
  <c r="BV332" i="7"/>
  <c r="BP332" i="6"/>
  <c r="BP332" i="8" s="1"/>
  <c r="BT333" i="3" l="1"/>
  <c r="CX333"/>
  <c r="CY333" s="1"/>
  <c r="CN333"/>
  <c r="BO332"/>
  <c r="BR332" s="1"/>
  <c r="BS332" s="1"/>
  <c r="BW332" i="9"/>
  <c r="BU332"/>
  <c r="BR333" i="3"/>
  <c r="BS333" s="1"/>
  <c r="BU333" l="1"/>
  <c r="BT332"/>
  <c r="BT333" i="6"/>
  <c r="BU333" s="1"/>
  <c r="BP332" i="3"/>
  <c r="CL332" s="1"/>
  <c r="BT332" i="6" l="1"/>
  <c r="BU332" s="1"/>
  <c r="BU332" i="3"/>
  <c r="BV333" i="6"/>
  <c r="BT333" i="8"/>
  <c r="BU333" s="1"/>
  <c r="CN332" i="3"/>
  <c r="CX332"/>
  <c r="CY332" s="1"/>
  <c r="BQ331" i="7"/>
  <c r="BT331" i="4"/>
  <c r="BT332" i="8" l="1"/>
  <c r="BU332" s="1"/>
  <c r="BV332" i="6"/>
  <c r="BW333" i="8"/>
  <c r="BT331" i="2"/>
  <c r="BQ331"/>
  <c r="BU331" i="4"/>
  <c r="BW331"/>
  <c r="BP331" i="9"/>
  <c r="BT331" i="5"/>
  <c r="BX331" i="7"/>
  <c r="BT331"/>
  <c r="BQ331" i="1"/>
  <c r="BT331"/>
  <c r="BW332" i="8" l="1"/>
  <c r="BQ331" i="3"/>
  <c r="BK331"/>
  <c r="BL331" s="1"/>
  <c r="BM331" s="1"/>
  <c r="BN331" s="1"/>
  <c r="BV331" i="1"/>
  <c r="BW331"/>
  <c r="BU331"/>
  <c r="BR331"/>
  <c r="BS331" s="1"/>
  <c r="BV331" i="7"/>
  <c r="BU331" i="5"/>
  <c r="BT331" i="9"/>
  <c r="BW331" i="5"/>
  <c r="BW331" i="2"/>
  <c r="BV331"/>
  <c r="BR331"/>
  <c r="BS331" s="1"/>
  <c r="BU331"/>
  <c r="BP331" i="6"/>
  <c r="BP331" i="8" s="1"/>
  <c r="BO331" i="3" l="1"/>
  <c r="BR331" s="1"/>
  <c r="BS331" s="1"/>
  <c r="BW331" i="9"/>
  <c r="BU331"/>
  <c r="BT331" i="3" l="1"/>
  <c r="BP331"/>
  <c r="CL331" s="1"/>
  <c r="CX331" s="1"/>
  <c r="CY331" s="1"/>
  <c r="BT330" i="4"/>
  <c r="BQ330" i="7"/>
  <c r="BQ329"/>
  <c r="BT331" i="6" l="1"/>
  <c r="BT331" i="8" s="1"/>
  <c r="BU331" i="3"/>
  <c r="CN331"/>
  <c r="BT329" i="1"/>
  <c r="BQ329"/>
  <c r="CG34"/>
  <c r="CH34" s="1"/>
  <c r="BP329" i="6"/>
  <c r="BQ329" i="2"/>
  <c r="CG34"/>
  <c r="CH34" s="1"/>
  <c r="BT329"/>
  <c r="CH34" i="5"/>
  <c r="CI34" s="1"/>
  <c r="BP329" i="9"/>
  <c r="BT329" i="5"/>
  <c r="BU330" i="4"/>
  <c r="BW330"/>
  <c r="BZ34" i="3"/>
  <c r="BQ329"/>
  <c r="BK329"/>
  <c r="BL329" s="1"/>
  <c r="BM329" s="1"/>
  <c r="BN329" s="1"/>
  <c r="BP330" i="6"/>
  <c r="BP330" i="8" s="1"/>
  <c r="BT330" i="1"/>
  <c r="BQ330"/>
  <c r="BQ330" i="2"/>
  <c r="BT330"/>
  <c r="BT329" i="7"/>
  <c r="BX329"/>
  <c r="CK34"/>
  <c r="BP329" i="8"/>
  <c r="BT330" i="7"/>
  <c r="BX330"/>
  <c r="BP330" i="9"/>
  <c r="BT330" i="5"/>
  <c r="CH34" i="4"/>
  <c r="CI34" s="1"/>
  <c r="BT329"/>
  <c r="BQ330" i="3"/>
  <c r="BK330"/>
  <c r="BL330" s="1"/>
  <c r="BM330" s="1"/>
  <c r="BN330" s="1"/>
  <c r="BV331" i="6"/>
  <c r="BU331" l="1"/>
  <c r="CJ34" i="8"/>
  <c r="CK34" s="1"/>
  <c r="BO330" i="3"/>
  <c r="BP330" s="1"/>
  <c r="BT330" i="9"/>
  <c r="BU330" i="5"/>
  <c r="BW330"/>
  <c r="BW331" i="8"/>
  <c r="BU331"/>
  <c r="BV330" i="7"/>
  <c r="BV329"/>
  <c r="CJ34"/>
  <c r="BW330" i="1"/>
  <c r="BU330"/>
  <c r="BR330"/>
  <c r="BS330" s="1"/>
  <c r="BV330"/>
  <c r="BO329" i="3"/>
  <c r="BP329" s="1"/>
  <c r="CD34"/>
  <c r="CE34" s="1"/>
  <c r="CA34"/>
  <c r="CI34" i="2"/>
  <c r="BU329"/>
  <c r="BR329"/>
  <c r="BS329" s="1"/>
  <c r="BW329"/>
  <c r="BV329"/>
  <c r="BU329" i="1"/>
  <c r="CI34"/>
  <c r="BR329"/>
  <c r="BS329" s="1"/>
  <c r="BW329"/>
  <c r="BV329"/>
  <c r="CJ34" i="9"/>
  <c r="CK34" s="1"/>
  <c r="CJ34" i="4"/>
  <c r="CK34" s="1"/>
  <c r="BU329"/>
  <c r="BW329"/>
  <c r="BU330" i="2"/>
  <c r="BW330"/>
  <c r="BR330"/>
  <c r="BS330" s="1"/>
  <c r="BV330"/>
  <c r="BT329" i="9"/>
  <c r="BU329" i="5"/>
  <c r="CJ34"/>
  <c r="CK34" s="1"/>
  <c r="BW329"/>
  <c r="CJ34" i="6"/>
  <c r="CK34" s="1"/>
  <c r="BT330" i="3" l="1"/>
  <c r="BR330"/>
  <c r="BS330" s="1"/>
  <c r="BT329"/>
  <c r="BU329" i="9"/>
  <c r="BW329"/>
  <c r="CL34"/>
  <c r="CK34" i="1"/>
  <c r="CJ34"/>
  <c r="CJ34" i="2"/>
  <c r="CK34"/>
  <c r="CL34" s="1"/>
  <c r="BR329" i="3"/>
  <c r="BS329" s="1"/>
  <c r="CL330"/>
  <c r="CM34" i="7"/>
  <c r="CN34"/>
  <c r="BU330" i="9"/>
  <c r="BW330"/>
  <c r="CL329" i="3"/>
  <c r="BT330" i="6" l="1"/>
  <c r="BV330" s="1"/>
  <c r="BU330" i="3"/>
  <c r="BT329" i="6"/>
  <c r="BV329" s="1"/>
  <c r="BU329" i="3"/>
  <c r="CF34"/>
  <c r="CH34" s="1"/>
  <c r="CI34" s="1"/>
  <c r="CN34" i="9"/>
  <c r="CO34" s="1"/>
  <c r="CM34"/>
  <c r="CN329" i="3"/>
  <c r="CX329"/>
  <c r="CY329" s="1"/>
  <c r="CN330"/>
  <c r="CX330"/>
  <c r="CY330" s="1"/>
  <c r="BU330" i="6"/>
  <c r="BT330" i="8"/>
  <c r="BT329" l="1"/>
  <c r="BW329" s="1"/>
  <c r="CG34" i="3"/>
  <c r="BU329" i="6"/>
  <c r="CL34"/>
  <c r="CM34" s="1"/>
  <c r="BU330" i="8"/>
  <c r="BW330"/>
  <c r="BP350" i="7"/>
  <c r="BW350" s="1"/>
  <c r="BU329" i="8" l="1"/>
  <c r="CL34"/>
  <c r="CM34" s="1"/>
  <c r="BQ351" i="7"/>
  <c r="BX351" l="1"/>
  <c r="BT351"/>
  <c r="BT351" i="4"/>
  <c r="BT351" i="5"/>
  <c r="BW351" l="1"/>
  <c r="BU351"/>
  <c r="BQ351" i="2"/>
  <c r="BT351"/>
  <c r="BV351" i="7"/>
  <c r="BU351" i="4"/>
  <c r="BW351"/>
  <c r="BK351" i="3"/>
  <c r="BL351" s="1"/>
  <c r="BM351" s="1"/>
  <c r="BN351" s="1"/>
  <c r="BQ351"/>
  <c r="BO351" l="1"/>
  <c r="BR351" s="1"/>
  <c r="BS351" s="1"/>
  <c r="BP351" i="9"/>
  <c r="BP351" i="6"/>
  <c r="BP351" i="8" s="1"/>
  <c r="BT351" i="1"/>
  <c r="BQ351"/>
  <c r="BV351" i="2"/>
  <c r="BU351"/>
  <c r="BW351"/>
  <c r="BR351"/>
  <c r="BS351" s="1"/>
  <c r="BP349" i="7"/>
  <c r="BW349" s="1"/>
  <c r="BT351" i="3" l="1"/>
  <c r="BP351"/>
  <c r="BV351" i="1"/>
  <c r="BR351"/>
  <c r="BS351" s="1"/>
  <c r="BU351"/>
  <c r="BW351"/>
  <c r="BT351" i="9"/>
  <c r="BQ350" i="7"/>
  <c r="BP348"/>
  <c r="BW348" s="1"/>
  <c r="BU351" i="3" l="1"/>
  <c r="BT351" i="6"/>
  <c r="BU351" s="1"/>
  <c r="CL351" i="3"/>
  <c r="CX351" s="1"/>
  <c r="CY351" s="1"/>
  <c r="BQ350"/>
  <c r="BK350"/>
  <c r="BL350" s="1"/>
  <c r="BM350" s="1"/>
  <c r="BN350" s="1"/>
  <c r="BW351" i="9"/>
  <c r="BU351"/>
  <c r="BX350" i="7"/>
  <c r="BT350"/>
  <c r="BT350" i="4"/>
  <c r="BQ349" i="7"/>
  <c r="BV351" i="6" l="1"/>
  <c r="BT351" i="8"/>
  <c r="BW351" s="1"/>
  <c r="CN351" i="3"/>
  <c r="BT349" i="7"/>
  <c r="BX349"/>
  <c r="BQ349" i="1"/>
  <c r="BT349"/>
  <c r="BT350"/>
  <c r="BQ350"/>
  <c r="BV350" i="7"/>
  <c r="BO350" i="3"/>
  <c r="BP350" s="1"/>
  <c r="BW350" i="4"/>
  <c r="BU350"/>
  <c r="BT350" i="5"/>
  <c r="BP350" i="9"/>
  <c r="BT349" i="4"/>
  <c r="BU351" i="8" l="1"/>
  <c r="BT350" i="3"/>
  <c r="BT349" i="5"/>
  <c r="BP349" i="9"/>
  <c r="BP350" i="6"/>
  <c r="BP350" i="8" s="1"/>
  <c r="BQ350" i="2"/>
  <c r="BT350"/>
  <c r="BU350" i="1"/>
  <c r="BV350"/>
  <c r="BW350"/>
  <c r="BR350"/>
  <c r="BS350" s="1"/>
  <c r="BW349"/>
  <c r="BU349"/>
  <c r="BV349"/>
  <c r="BR349"/>
  <c r="BS349" s="1"/>
  <c r="BT349" i="2"/>
  <c r="BQ349"/>
  <c r="BU349" i="4"/>
  <c r="BW349"/>
  <c r="BW350" i="5"/>
  <c r="BT350" i="9"/>
  <c r="BU350" i="5"/>
  <c r="BV349" i="7"/>
  <c r="BR350" i="3"/>
  <c r="BS350" s="1"/>
  <c r="BP349" i="6"/>
  <c r="BP349" i="8" s="1"/>
  <c r="BK349" i="3"/>
  <c r="BL349" s="1"/>
  <c r="BM349" s="1"/>
  <c r="BN349" s="1"/>
  <c r="BQ349"/>
  <c r="BP342" i="7"/>
  <c r="BW342" s="1"/>
  <c r="BP343"/>
  <c r="BW343" s="1"/>
  <c r="BP344"/>
  <c r="BW344" s="1"/>
  <c r="BP345"/>
  <c r="BW345" s="1"/>
  <c r="BP346"/>
  <c r="BW346" s="1"/>
  <c r="BP347"/>
  <c r="BW347" s="1"/>
  <c r="BU350" i="3" l="1"/>
  <c r="BR349" i="2"/>
  <c r="BS349" s="1"/>
  <c r="BV349"/>
  <c r="BW349"/>
  <c r="BU349"/>
  <c r="BT350" i="6"/>
  <c r="BR350" i="2"/>
  <c r="BS350" s="1"/>
  <c r="BV350"/>
  <c r="CL350" i="3" s="1"/>
  <c r="BW350" i="2"/>
  <c r="BU350"/>
  <c r="BW349" i="5"/>
  <c r="BT349" i="9"/>
  <c r="BU349" i="5"/>
  <c r="BO349" i="3"/>
  <c r="BP349" s="1"/>
  <c r="BW350" i="9"/>
  <c r="BU350"/>
  <c r="BQ343" i="7"/>
  <c r="BT348" i="4"/>
  <c r="BQ346" i="7"/>
  <c r="BQ344"/>
  <c r="BP341"/>
  <c r="BT349" i="3" l="1"/>
  <c r="BR349"/>
  <c r="BS349" s="1"/>
  <c r="CL35" i="7"/>
  <c r="BW341"/>
  <c r="BU348" i="4"/>
  <c r="BW348"/>
  <c r="BX343" i="7"/>
  <c r="BT343"/>
  <c r="BU349" i="9"/>
  <c r="BW349"/>
  <c r="CN350" i="3"/>
  <c r="CX350"/>
  <c r="CY350" s="1"/>
  <c r="BV350" i="6"/>
  <c r="BU350"/>
  <c r="BT350" i="8"/>
  <c r="CL349" i="3"/>
  <c r="BX344" i="7"/>
  <c r="BT344"/>
  <c r="BX346"/>
  <c r="BT346"/>
  <c r="BQ348"/>
  <c r="BQ347"/>
  <c r="BQ341"/>
  <c r="BQ345"/>
  <c r="BT349" i="6" l="1"/>
  <c r="BU349" s="1"/>
  <c r="BU349" i="3"/>
  <c r="BX341" i="7"/>
  <c r="BT341"/>
  <c r="BT347"/>
  <c r="BX347"/>
  <c r="BP348" i="9"/>
  <c r="BT348" i="5"/>
  <c r="BX345" i="7"/>
  <c r="BT345"/>
  <c r="BX348"/>
  <c r="BT348"/>
  <c r="BV348" s="1"/>
  <c r="BP348" i="6"/>
  <c r="BP348" i="8" s="1"/>
  <c r="BQ348" i="1"/>
  <c r="BT348"/>
  <c r="BQ348" i="3"/>
  <c r="BK348"/>
  <c r="BL348" s="1"/>
  <c r="BM348" s="1"/>
  <c r="BN348" s="1"/>
  <c r="BV346" i="7"/>
  <c r="BV344"/>
  <c r="CX349" i="3"/>
  <c r="CY349" s="1"/>
  <c r="CN349"/>
  <c r="BV343" i="7"/>
  <c r="BQ348" i="2"/>
  <c r="BT348"/>
  <c r="BW350" i="8"/>
  <c r="BU350"/>
  <c r="BT347" i="4"/>
  <c r="BQ342" i="7"/>
  <c r="CK35" s="1"/>
  <c r="BT349" i="8" l="1"/>
  <c r="BV349" i="6"/>
  <c r="BU347" i="4"/>
  <c r="BW347"/>
  <c r="BO348" i="3"/>
  <c r="BR348" s="1"/>
  <c r="BS348" s="1"/>
  <c r="BU348" i="1"/>
  <c r="BR348"/>
  <c r="BS348" s="1"/>
  <c r="BV348"/>
  <c r="BW348"/>
  <c r="BV347" i="7"/>
  <c r="BT347" i="2"/>
  <c r="BQ347"/>
  <c r="BT347" i="5"/>
  <c r="BP347" i="9"/>
  <c r="BP347" i="6"/>
  <c r="BP347" i="8" s="1"/>
  <c r="BQ347" i="1"/>
  <c r="BT347"/>
  <c r="BV348" i="2"/>
  <c r="BR348"/>
  <c r="BS348" s="1"/>
  <c r="BW348"/>
  <c r="BU348"/>
  <c r="BV345" i="7"/>
  <c r="BW348" i="5"/>
  <c r="BT348" i="9"/>
  <c r="BU348" i="5"/>
  <c r="BX342" i="7"/>
  <c r="BT342"/>
  <c r="BQ347" i="3"/>
  <c r="BK347"/>
  <c r="BL347" s="1"/>
  <c r="BM347" s="1"/>
  <c r="BN347" s="1"/>
  <c r="BV341" i="7"/>
  <c r="BU349" i="8" l="1"/>
  <c r="BW349"/>
  <c r="BT348" i="3"/>
  <c r="BO347"/>
  <c r="BP347" s="1"/>
  <c r="CJ35" i="7"/>
  <c r="BV342"/>
  <c r="BW348" i="9"/>
  <c r="BU348"/>
  <c r="BU347" i="1"/>
  <c r="BR347"/>
  <c r="BS347" s="1"/>
  <c r="BW347"/>
  <c r="BV347"/>
  <c r="BW347" i="5"/>
  <c r="BT347" i="9"/>
  <c r="BU347" i="5"/>
  <c r="BU347" i="2"/>
  <c r="BV347"/>
  <c r="BW347"/>
  <c r="BR347"/>
  <c r="BS347" s="1"/>
  <c r="BP348" i="3"/>
  <c r="CL348" s="1"/>
  <c r="BT348" i="6" l="1"/>
  <c r="BT348" i="8" s="1"/>
  <c r="BU348" i="3"/>
  <c r="BR347"/>
  <c r="BS347" s="1"/>
  <c r="CX348"/>
  <c r="CY348" s="1"/>
  <c r="CN348"/>
  <c r="BW347" i="9"/>
  <c r="BU347"/>
  <c r="CN35" i="7"/>
  <c r="CM35"/>
  <c r="CL347" i="3"/>
  <c r="BT347"/>
  <c r="BV348" i="6" l="1"/>
  <c r="BU348"/>
  <c r="CX347" i="3"/>
  <c r="CY347" s="1"/>
  <c r="CN347"/>
  <c r="BT347" i="6"/>
  <c r="BU347" i="3"/>
  <c r="BW348" i="8"/>
  <c r="BU348"/>
  <c r="BT346" i="4"/>
  <c r="BQ346" i="1" l="1"/>
  <c r="BT346"/>
  <c r="BP346" i="6"/>
  <c r="BP346" i="8" s="1"/>
  <c r="BU346" i="4"/>
  <c r="BW346"/>
  <c r="BT346" i="2"/>
  <c r="BQ346"/>
  <c r="BP346" i="9"/>
  <c r="BT346" i="5"/>
  <c r="BV347" i="6"/>
  <c r="BU347"/>
  <c r="BT347" i="8"/>
  <c r="BQ346" i="3"/>
  <c r="BK346"/>
  <c r="BL346" s="1"/>
  <c r="BM346" s="1"/>
  <c r="BN346" s="1"/>
  <c r="BW346" i="5" l="1"/>
  <c r="BU346"/>
  <c r="BT346" i="9"/>
  <c r="BO346" i="3"/>
  <c r="BP346" s="1"/>
  <c r="BU347" i="8"/>
  <c r="BW347"/>
  <c r="BU346" i="2"/>
  <c r="BR346"/>
  <c r="BS346" s="1"/>
  <c r="BW346"/>
  <c r="BV346"/>
  <c r="BR346" i="1"/>
  <c r="BS346" s="1"/>
  <c r="BU346"/>
  <c r="BW346"/>
  <c r="BV346"/>
  <c r="BR346" i="3" l="1"/>
  <c r="BS346" s="1"/>
  <c r="BQ345" i="1"/>
  <c r="BT345"/>
  <c r="BQ345" i="2"/>
  <c r="BT345"/>
  <c r="BT345" i="5"/>
  <c r="BP345" i="9"/>
  <c r="BU346"/>
  <c r="BW346"/>
  <c r="CL346" i="3"/>
  <c r="BT346"/>
  <c r="BT345" i="4"/>
  <c r="BQ345" i="3" l="1"/>
  <c r="BK345"/>
  <c r="BL345" s="1"/>
  <c r="BM345" s="1"/>
  <c r="BN345" s="1"/>
  <c r="CX346"/>
  <c r="CY346" s="1"/>
  <c r="CN346"/>
  <c r="BW345" i="5"/>
  <c r="BU345"/>
  <c r="BT345" i="9"/>
  <c r="BR345" i="1"/>
  <c r="BS345" s="1"/>
  <c r="BW345"/>
  <c r="BU345"/>
  <c r="BV345"/>
  <c r="BW345" i="4"/>
  <c r="BU345"/>
  <c r="BU346" i="3"/>
  <c r="BT346" i="6"/>
  <c r="BU345" i="2"/>
  <c r="BV345"/>
  <c r="BR345"/>
  <c r="BS345" s="1"/>
  <c r="BW345"/>
  <c r="BP345" i="6"/>
  <c r="BP345" i="8" s="1"/>
  <c r="BO345" i="3" l="1"/>
  <c r="BP345" s="1"/>
  <c r="CL345" s="1"/>
  <c r="BV346" i="6"/>
  <c r="BU346"/>
  <c r="BT346" i="8"/>
  <c r="BU345" i="9"/>
  <c r="BW345"/>
  <c r="BR345" i="3" l="1"/>
  <c r="BS345" s="1"/>
  <c r="BT345"/>
  <c r="BU346" i="8"/>
  <c r="BW346"/>
  <c r="CN345" i="3"/>
  <c r="CX345"/>
  <c r="CY345" s="1"/>
  <c r="BU345" l="1"/>
  <c r="BT345" i="6"/>
  <c r="BU345" s="1"/>
  <c r="BT344" i="4"/>
  <c r="BV345" i="6" l="1"/>
  <c r="BT345" i="8"/>
  <c r="BU345" s="1"/>
  <c r="BQ344" i="2"/>
  <c r="BT344"/>
  <c r="BT344" i="1"/>
  <c r="BQ344"/>
  <c r="BP344" i="6"/>
  <c r="BP344" i="8" s="1"/>
  <c r="BQ344" i="3"/>
  <c r="BK344"/>
  <c r="BL344" s="1"/>
  <c r="BM344" s="1"/>
  <c r="BN344" s="1"/>
  <c r="BT344" i="5"/>
  <c r="BP344" i="9"/>
  <c r="BU344" i="4"/>
  <c r="BW344"/>
  <c r="BW345" i="8" l="1"/>
  <c r="BU344" i="5"/>
  <c r="BW344"/>
  <c r="BT344" i="9"/>
  <c r="BR344" i="2"/>
  <c r="BS344" s="1"/>
  <c r="BV344"/>
  <c r="BW344"/>
  <c r="BU344"/>
  <c r="BO344" i="3"/>
  <c r="BP344" s="1"/>
  <c r="BU344" i="1"/>
  <c r="BW344"/>
  <c r="BV344"/>
  <c r="BR344"/>
  <c r="BS344" s="1"/>
  <c r="CL344" i="3" l="1"/>
  <c r="CN344" s="1"/>
  <c r="BR344"/>
  <c r="BS344" s="1"/>
  <c r="BW344" i="9"/>
  <c r="BU344"/>
  <c r="BT344" i="3"/>
  <c r="CX344" l="1"/>
  <c r="CY344" s="1"/>
  <c r="BT344" i="6"/>
  <c r="BU344" i="3"/>
  <c r="BU344" i="6" l="1"/>
  <c r="BV344"/>
  <c r="BT344" i="8"/>
  <c r="BU344" l="1"/>
  <c r="BW344"/>
  <c r="BT343" i="4"/>
  <c r="BW343" l="1"/>
  <c r="BU343"/>
  <c r="BT343" i="5"/>
  <c r="BP343" i="9"/>
  <c r="BT343" i="1"/>
  <c r="BP343" i="6"/>
  <c r="BP343" i="8" s="1"/>
  <c r="BQ343" i="1"/>
  <c r="BQ343" i="3"/>
  <c r="BK343"/>
  <c r="BL343" s="1"/>
  <c r="BM343" s="1"/>
  <c r="BN343" s="1"/>
  <c r="BQ343" i="2"/>
  <c r="BT343"/>
  <c r="BW343" l="1"/>
  <c r="BV343"/>
  <c r="BR343"/>
  <c r="BS343" s="1"/>
  <c r="BU343"/>
  <c r="BO343" i="3"/>
  <c r="BR343" s="1"/>
  <c r="BS343" s="1"/>
  <c r="BU343" i="1"/>
  <c r="BW343"/>
  <c r="BR343"/>
  <c r="BS343" s="1"/>
  <c r="BV343"/>
  <c r="BU343" i="5"/>
  <c r="BW343"/>
  <c r="BT343" i="9"/>
  <c r="BT343" i="3" l="1"/>
  <c r="BP343"/>
  <c r="CL343" s="1"/>
  <c r="CX343" s="1"/>
  <c r="CY343" s="1"/>
  <c r="BU343" i="9"/>
  <c r="BW343"/>
  <c r="BK341" i="3"/>
  <c r="BL341" s="1"/>
  <c r="BM341" s="1"/>
  <c r="BN341" s="1"/>
  <c r="BQ341"/>
  <c r="BT342" i="4"/>
  <c r="CN343" i="3" l="1"/>
  <c r="BU343"/>
  <c r="BT343" i="6"/>
  <c r="BV343" s="1"/>
  <c r="BP341" i="9"/>
  <c r="BT341" i="5"/>
  <c r="CH35"/>
  <c r="CI35" s="1"/>
  <c r="BT341" i="2"/>
  <c r="CG35"/>
  <c r="CH35" s="1"/>
  <c r="BQ341"/>
  <c r="BT342" i="1"/>
  <c r="BQ342"/>
  <c r="BP342" i="6"/>
  <c r="BP342" i="8" s="1"/>
  <c r="CH35" i="4"/>
  <c r="CI35" s="1"/>
  <c r="BT341"/>
  <c r="BU343" i="6"/>
  <c r="BT342" i="5"/>
  <c r="BP342" i="9"/>
  <c r="BQ342" i="2"/>
  <c r="BT342"/>
  <c r="BQ341" i="1"/>
  <c r="CG35"/>
  <c r="CH35" s="1"/>
  <c r="BP341" i="6"/>
  <c r="BT341" i="1"/>
  <c r="BU342" i="4"/>
  <c r="BW342"/>
  <c r="BK342" i="3"/>
  <c r="BL342" s="1"/>
  <c r="BM342" s="1"/>
  <c r="BN342" s="1"/>
  <c r="BQ342"/>
  <c r="BO341"/>
  <c r="BP341" s="1"/>
  <c r="BZ35"/>
  <c r="BT343" i="8" l="1"/>
  <c r="BU343" s="1"/>
  <c r="BT341" i="3"/>
  <c r="CJ35" i="9"/>
  <c r="CK35" s="1"/>
  <c r="BT342"/>
  <c r="BW342" i="5"/>
  <c r="BU342"/>
  <c r="BU342" i="1"/>
  <c r="BV342"/>
  <c r="BR342"/>
  <c r="BS342" s="1"/>
  <c r="BW342"/>
  <c r="BO342" i="3"/>
  <c r="BP342" s="1"/>
  <c r="CJ35" i="6"/>
  <c r="CK35" s="1"/>
  <c r="BP341" i="8"/>
  <c r="CJ35" s="1"/>
  <c r="CK35" s="1"/>
  <c r="CJ35" i="4"/>
  <c r="CK35" s="1"/>
  <c r="BU341"/>
  <c r="BW341"/>
  <c r="CA35" i="3"/>
  <c r="CD35"/>
  <c r="CE35" s="1"/>
  <c r="BR341" i="1"/>
  <c r="BS341" s="1"/>
  <c r="BW341"/>
  <c r="BU341"/>
  <c r="BV341"/>
  <c r="CI35"/>
  <c r="BW342" i="2"/>
  <c r="BR342"/>
  <c r="BS342" s="1"/>
  <c r="BV342"/>
  <c r="BU342"/>
  <c r="BV341"/>
  <c r="BW341"/>
  <c r="CI35"/>
  <c r="BR341"/>
  <c r="BS341" s="1"/>
  <c r="BU341"/>
  <c r="BT341" i="9"/>
  <c r="BW341" i="5"/>
  <c r="BU341"/>
  <c r="CJ35"/>
  <c r="CK35" s="1"/>
  <c r="BR341" i="3"/>
  <c r="BS341" s="1"/>
  <c r="BW343" i="8" l="1"/>
  <c r="BT341" i="6"/>
  <c r="BV341" s="1"/>
  <c r="BU341" i="3"/>
  <c r="CL341"/>
  <c r="CX341" s="1"/>
  <c r="CY341" s="1"/>
  <c r="BR342"/>
  <c r="BS342" s="1"/>
  <c r="CK35" i="2"/>
  <c r="CL35" s="1"/>
  <c r="CJ35"/>
  <c r="BU341" i="9"/>
  <c r="CL35"/>
  <c r="BW341"/>
  <c r="BT342" i="3"/>
  <c r="CJ35" i="1"/>
  <c r="CK35"/>
  <c r="BW342" i="9"/>
  <c r="BU342"/>
  <c r="CL342" i="3"/>
  <c r="BT341" i="8" l="1"/>
  <c r="BW341" s="1"/>
  <c r="BU341" i="6"/>
  <c r="CN341" i="3"/>
  <c r="BT342" i="6"/>
  <c r="BU342" i="3"/>
  <c r="CF35"/>
  <c r="CN35" i="9"/>
  <c r="CO35" s="1"/>
  <c r="CM35"/>
  <c r="CX342" i="3"/>
  <c r="CY342" s="1"/>
  <c r="CN342"/>
  <c r="BU341" i="8" l="1"/>
  <c r="CF37" i="3"/>
  <c r="CH35"/>
  <c r="CI35" s="1"/>
  <c r="CG35"/>
  <c r="BV342" i="6"/>
  <c r="BU342"/>
  <c r="BT342" i="8"/>
  <c r="CL35" i="6"/>
  <c r="CM35" s="1"/>
  <c r="BU342" i="8" l="1"/>
  <c r="BW342"/>
  <c r="CL35"/>
  <c r="CM35" s="1"/>
  <c r="BP364" i="7" l="1"/>
  <c r="BW364" s="1"/>
  <c r="BY364" s="1"/>
  <c r="BP363" l="1"/>
  <c r="BW363" s="1"/>
  <c r="BY363" s="1"/>
  <c r="BQ364" l="1"/>
  <c r="BT364" i="2" l="1"/>
  <c r="BQ364"/>
  <c r="BQ364" i="3"/>
  <c r="BK364"/>
  <c r="BL364" s="1"/>
  <c r="BM364" s="1"/>
  <c r="BN364" s="1"/>
  <c r="BX364" i="7"/>
  <c r="BZ364" s="1"/>
  <c r="BT364"/>
  <c r="BT364" i="4"/>
  <c r="BU364" l="1"/>
  <c r="BW364"/>
  <c r="BX364" s="1"/>
  <c r="BT364" i="5"/>
  <c r="BP364" i="9"/>
  <c r="BV364" i="7"/>
  <c r="BO364" i="3"/>
  <c r="BP364" s="1"/>
  <c r="BQ364" i="1"/>
  <c r="BP364" i="6"/>
  <c r="BP364" i="8" s="1"/>
  <c r="BT364" i="1"/>
  <c r="BW364" i="2"/>
  <c r="BX364" s="1"/>
  <c r="BU364"/>
  <c r="BV364"/>
  <c r="BR364"/>
  <c r="BS364" l="1"/>
  <c r="BR364" i="3"/>
  <c r="BT364"/>
  <c r="BW364" i="1"/>
  <c r="BX364" s="1"/>
  <c r="BU364"/>
  <c r="BR364"/>
  <c r="BV364"/>
  <c r="CL364" i="3" s="1"/>
  <c r="BT364" i="9"/>
  <c r="BU364" i="5"/>
  <c r="BW364"/>
  <c r="BX364" s="1"/>
  <c r="BP362" i="7"/>
  <c r="BW362" s="1"/>
  <c r="BY362" s="1"/>
  <c r="BS364" i="1" l="1"/>
  <c r="BS364" i="3"/>
  <c r="BT364" i="6"/>
  <c r="BU364" i="3"/>
  <c r="BV364"/>
  <c r="BT363" i="5"/>
  <c r="BU364" i="9"/>
  <c r="BW364"/>
  <c r="CN364" i="3"/>
  <c r="BT363" i="4"/>
  <c r="BP354" i="7"/>
  <c r="BW354" s="1"/>
  <c r="BY354" s="1"/>
  <c r="BP358"/>
  <c r="BW358" s="1"/>
  <c r="BY358" s="1"/>
  <c r="BP355"/>
  <c r="BW355" s="1"/>
  <c r="BY355" s="1"/>
  <c r="BP360"/>
  <c r="BW360" s="1"/>
  <c r="BY360" s="1"/>
  <c r="BP361"/>
  <c r="BW361" s="1"/>
  <c r="BY361" s="1"/>
  <c r="BT364" i="8" l="1"/>
  <c r="BU364" s="1"/>
  <c r="BV364" i="6"/>
  <c r="BU364"/>
  <c r="BW363" i="4"/>
  <c r="BX363" s="1"/>
  <c r="BU363"/>
  <c r="BW363" i="5"/>
  <c r="BX363" s="1"/>
  <c r="BU363"/>
  <c r="BT363" i="1"/>
  <c r="BQ363"/>
  <c r="BQ363" i="2"/>
  <c r="BT363"/>
  <c r="BP363" i="9"/>
  <c r="BP359" i="7"/>
  <c r="BW359" s="1"/>
  <c r="BY359" s="1"/>
  <c r="BQ363"/>
  <c r="BP356"/>
  <c r="BW356" s="1"/>
  <c r="BY356" s="1"/>
  <c r="BQ362"/>
  <c r="BP357"/>
  <c r="BP353"/>
  <c r="BW364" i="8" l="1"/>
  <c r="CL36" i="7"/>
  <c r="BW353"/>
  <c r="BY353" s="1"/>
  <c r="BQ353" i="3"/>
  <c r="BK353"/>
  <c r="BL353" s="1"/>
  <c r="BM353" s="1"/>
  <c r="BN353" s="1"/>
  <c r="BK363"/>
  <c r="BL363" s="1"/>
  <c r="BM363" s="1"/>
  <c r="BN363" s="1"/>
  <c r="BQ363"/>
  <c r="BW357" i="7"/>
  <c r="BY357" s="1"/>
  <c r="BU363" i="2"/>
  <c r="BW363"/>
  <c r="BX363" s="1"/>
  <c r="BR363"/>
  <c r="BV363"/>
  <c r="BT363" i="9"/>
  <c r="BR363" i="1"/>
  <c r="BW363"/>
  <c r="BX363" s="1"/>
  <c r="BV363"/>
  <c r="BU363"/>
  <c r="BP363" i="6"/>
  <c r="BP363" i="8" s="1"/>
  <c r="BT362" i="7"/>
  <c r="BX362"/>
  <c r="BZ362" s="1"/>
  <c r="BX363"/>
  <c r="BZ363" s="1"/>
  <c r="BT363"/>
  <c r="BQ361"/>
  <c r="BQ355"/>
  <c r="BT355" i="4"/>
  <c r="BQ359" i="7"/>
  <c r="BT362" i="4"/>
  <c r="BQ358" i="7"/>
  <c r="BT356" i="4"/>
  <c r="BT359"/>
  <c r="BS363" i="2" l="1"/>
  <c r="BS363" i="1"/>
  <c r="BY365" i="7"/>
  <c r="BT353" i="1"/>
  <c r="BQ353"/>
  <c r="BQ358" i="2"/>
  <c r="BT358"/>
  <c r="BP353" i="9"/>
  <c r="BT353" i="5"/>
  <c r="BT353" i="4"/>
  <c r="BT361" i="1"/>
  <c r="BQ361"/>
  <c r="BW359" i="4"/>
  <c r="BX359" s="1"/>
  <c r="BU359"/>
  <c r="BT360" i="1"/>
  <c r="BQ360"/>
  <c r="BP360" i="9"/>
  <c r="BT360" i="5"/>
  <c r="BU356" i="4"/>
  <c r="BW356"/>
  <c r="BX356" s="1"/>
  <c r="BQ362" i="2"/>
  <c r="BT362"/>
  <c r="BQ362" i="3"/>
  <c r="BK362"/>
  <c r="BL362" s="1"/>
  <c r="BM362" s="1"/>
  <c r="BN362" s="1"/>
  <c r="BQ354"/>
  <c r="BK354"/>
  <c r="BL354" s="1"/>
  <c r="BM354" s="1"/>
  <c r="BN354" s="1"/>
  <c r="BQ361"/>
  <c r="BK361"/>
  <c r="BL361" s="1"/>
  <c r="BM361" s="1"/>
  <c r="BN361" s="1"/>
  <c r="BU355" i="4"/>
  <c r="BW355"/>
  <c r="BX355" s="1"/>
  <c r="BT362" i="1"/>
  <c r="BQ362"/>
  <c r="BV363" i="7"/>
  <c r="BU363" i="9"/>
  <c r="BW363"/>
  <c r="BO363" i="3"/>
  <c r="BP363" s="1"/>
  <c r="CL363" s="1"/>
  <c r="BO353"/>
  <c r="BP353" s="1"/>
  <c r="BT356" i="1"/>
  <c r="BQ356"/>
  <c r="BT358" i="7"/>
  <c r="BX358"/>
  <c r="BZ358" s="1"/>
  <c r="BW362" i="4"/>
  <c r="BX362" s="1"/>
  <c r="BU362"/>
  <c r="BT359" i="7"/>
  <c r="BX359"/>
  <c r="BZ359" s="1"/>
  <c r="BT359" i="2"/>
  <c r="BQ359"/>
  <c r="BT355" i="7"/>
  <c r="BX355"/>
  <c r="BZ355" s="1"/>
  <c r="BQ355" i="2"/>
  <c r="BT355"/>
  <c r="BX361" i="7"/>
  <c r="BZ361" s="1"/>
  <c r="BT361"/>
  <c r="BT359" i="5"/>
  <c r="BV362" i="7"/>
  <c r="BT360" i="4"/>
  <c r="BQ360" i="7"/>
  <c r="BQ356"/>
  <c r="BQ357"/>
  <c r="BT361" i="4"/>
  <c r="BP359" i="9"/>
  <c r="BT354" i="4"/>
  <c r="BT357"/>
  <c r="BT358"/>
  <c r="BP353" i="6"/>
  <c r="BQ353" i="7"/>
  <c r="BQ354"/>
  <c r="BT353" i="3" l="1"/>
  <c r="BR353"/>
  <c r="BS353" s="1"/>
  <c r="BR363"/>
  <c r="BT363"/>
  <c r="BT353" i="7"/>
  <c r="BX353"/>
  <c r="BZ353" s="1"/>
  <c r="CK36"/>
  <c r="BP353" i="8"/>
  <c r="BP358" i="6"/>
  <c r="BP358" i="8" s="1"/>
  <c r="BQ358" i="1"/>
  <c r="BT358"/>
  <c r="BW358" i="4"/>
  <c r="BX358" s="1"/>
  <c r="BU358"/>
  <c r="BQ357" i="2"/>
  <c r="BT357"/>
  <c r="BU354" i="4"/>
  <c r="BW354"/>
  <c r="BX354" s="1"/>
  <c r="BT354" i="1"/>
  <c r="BP354" i="6"/>
  <c r="BP354" i="8" s="1"/>
  <c r="BQ354" i="1"/>
  <c r="BP354" i="9"/>
  <c r="BT354" i="5"/>
  <c r="BP362" i="9"/>
  <c r="BT362" i="5"/>
  <c r="BP355" i="9"/>
  <c r="BT355" i="5"/>
  <c r="BT357" i="7"/>
  <c r="BX357"/>
  <c r="BZ357" s="1"/>
  <c r="BT356"/>
  <c r="BX356"/>
  <c r="BZ356" s="1"/>
  <c r="BQ355" i="3"/>
  <c r="BK355"/>
  <c r="BL355" s="1"/>
  <c r="BM355" s="1"/>
  <c r="BN355" s="1"/>
  <c r="BK359"/>
  <c r="BL359" s="1"/>
  <c r="BM359" s="1"/>
  <c r="BN359" s="1"/>
  <c r="BQ359"/>
  <c r="BP356" i="9"/>
  <c r="BT356" i="5"/>
  <c r="BT356" i="2"/>
  <c r="BQ356"/>
  <c r="BV361" i="7"/>
  <c r="BR355" i="2"/>
  <c r="BV355"/>
  <c r="BU355"/>
  <c r="BW355"/>
  <c r="BX355" s="1"/>
  <c r="BV356" i="1"/>
  <c r="BR356"/>
  <c r="BU356"/>
  <c r="BW356"/>
  <c r="BX356" s="1"/>
  <c r="BU363" i="3"/>
  <c r="BU360" i="5"/>
  <c r="BW360"/>
  <c r="BX360" s="1"/>
  <c r="BT360" i="9"/>
  <c r="BV360" i="1"/>
  <c r="BR360"/>
  <c r="BU360"/>
  <c r="BW360"/>
  <c r="BX360" s="1"/>
  <c r="BW353"/>
  <c r="BX353" s="1"/>
  <c r="BR353"/>
  <c r="BS353" s="1"/>
  <c r="BV353"/>
  <c r="BU353"/>
  <c r="BP356" i="6"/>
  <c r="BP356" i="8" s="1"/>
  <c r="BP360" i="6"/>
  <c r="BP360" i="8" s="1"/>
  <c r="CH36" i="4"/>
  <c r="CI36" s="1"/>
  <c r="CH36" i="5"/>
  <c r="CI36" s="1"/>
  <c r="BX354" i="7"/>
  <c r="BZ354" s="1"/>
  <c r="BT354"/>
  <c r="BV354" s="1"/>
  <c r="BT353" i="2"/>
  <c r="BQ353"/>
  <c r="CG36"/>
  <c r="CH36" s="1"/>
  <c r="BQ354"/>
  <c r="BT354"/>
  <c r="BT357" i="1"/>
  <c r="BQ357"/>
  <c r="BP357" i="6"/>
  <c r="BP357" i="8" s="1"/>
  <c r="BQ357" i="3"/>
  <c r="BK357"/>
  <c r="BL357" s="1"/>
  <c r="BM357" s="1"/>
  <c r="BN357" s="1"/>
  <c r="BQ358"/>
  <c r="BK358"/>
  <c r="BL358" s="1"/>
  <c r="BM358" s="1"/>
  <c r="BN358" s="1"/>
  <c r="BU357" i="4"/>
  <c r="BW357"/>
  <c r="BX357" s="1"/>
  <c r="BP359" i="6"/>
  <c r="BP359" i="8" s="1"/>
  <c r="BT359" i="1"/>
  <c r="BQ359"/>
  <c r="BQ361" i="2"/>
  <c r="BT361"/>
  <c r="BP361" i="9"/>
  <c r="BT361" i="5"/>
  <c r="BT357"/>
  <c r="BP357" i="9"/>
  <c r="BK356" i="3"/>
  <c r="BL356" s="1"/>
  <c r="BM356" s="1"/>
  <c r="BN356" s="1"/>
  <c r="BQ356"/>
  <c r="BQ355" i="1"/>
  <c r="BT355"/>
  <c r="BP355" i="6"/>
  <c r="BP355" i="8" s="1"/>
  <c r="BU361" i="4"/>
  <c r="BW361"/>
  <c r="BX361" s="1"/>
  <c r="BT360" i="2"/>
  <c r="BQ360"/>
  <c r="BT360" i="7"/>
  <c r="BX360"/>
  <c r="BZ360" s="1"/>
  <c r="BK360" i="3"/>
  <c r="BL360" s="1"/>
  <c r="BM360" s="1"/>
  <c r="BN360" s="1"/>
  <c r="BQ360"/>
  <c r="CJ36" i="4"/>
  <c r="CK36" s="1"/>
  <c r="BW360"/>
  <c r="BX360" s="1"/>
  <c r="BU360"/>
  <c r="BT358" i="5"/>
  <c r="BP358" i="9"/>
  <c r="BU359" i="5"/>
  <c r="BW359"/>
  <c r="BX359" s="1"/>
  <c r="BV355" i="7"/>
  <c r="BV367"/>
  <c r="BU359" i="2"/>
  <c r="BR359"/>
  <c r="BV359"/>
  <c r="BW359"/>
  <c r="BX359" s="1"/>
  <c r="BV359" i="7"/>
  <c r="BV358"/>
  <c r="BV370"/>
  <c r="CX363" i="3"/>
  <c r="CY363" s="1"/>
  <c r="CN363"/>
  <c r="BR362" i="1"/>
  <c r="BV362"/>
  <c r="BU362"/>
  <c r="BW362"/>
  <c r="BX362" s="1"/>
  <c r="BO361" i="3"/>
  <c r="BR361" s="1"/>
  <c r="BO354"/>
  <c r="BR354" s="1"/>
  <c r="BS354" s="1"/>
  <c r="BO362"/>
  <c r="BP362" s="1"/>
  <c r="BV362" i="2"/>
  <c r="BR362"/>
  <c r="BW362"/>
  <c r="BX362" s="1"/>
  <c r="BU362"/>
  <c r="BV361" i="1"/>
  <c r="BW361"/>
  <c r="BX361" s="1"/>
  <c r="BU361"/>
  <c r="BR361"/>
  <c r="BU353" i="4"/>
  <c r="BW353"/>
  <c r="BX353" s="1"/>
  <c r="BW353" i="5"/>
  <c r="BX353" s="1"/>
  <c r="BT353" i="9"/>
  <c r="BU353" i="5"/>
  <c r="BW358" i="2"/>
  <c r="BX358" s="1"/>
  <c r="BV358"/>
  <c r="BU358"/>
  <c r="BR358"/>
  <c r="BZ36" i="3"/>
  <c r="BP362" i="6"/>
  <c r="BP362" i="8" s="1"/>
  <c r="BP361" i="6"/>
  <c r="BP361" i="8" s="1"/>
  <c r="CG36" i="1"/>
  <c r="CH36" s="1"/>
  <c r="BS363" i="3" l="1"/>
  <c r="BS362" i="2"/>
  <c r="BS362" i="1"/>
  <c r="BS361"/>
  <c r="BS361" i="3"/>
  <c r="BU353"/>
  <c r="BS360" i="1"/>
  <c r="BT353" i="6"/>
  <c r="BT353" i="8" s="1"/>
  <c r="BV363" i="3"/>
  <c r="CJ36" i="5"/>
  <c r="CK36" s="1"/>
  <c r="BT359" i="9"/>
  <c r="BU359" s="1"/>
  <c r="BS359" i="2"/>
  <c r="BT363" i="6"/>
  <c r="BT354" i="3"/>
  <c r="CI36" i="1"/>
  <c r="CJ36" i="9"/>
  <c r="CK36" s="1"/>
  <c r="BT362" i="3"/>
  <c r="BR362"/>
  <c r="BP354"/>
  <c r="BT361"/>
  <c r="CA36"/>
  <c r="CD36"/>
  <c r="CE36" s="1"/>
  <c r="BS358" i="2"/>
  <c r="BU353" i="9"/>
  <c r="BW353"/>
  <c r="BV354" i="3"/>
  <c r="BU358" i="5"/>
  <c r="BW358"/>
  <c r="BX358" s="1"/>
  <c r="BT358" i="9"/>
  <c r="BO356" i="3"/>
  <c r="BP356" s="1"/>
  <c r="BU357" i="5"/>
  <c r="BT357" i="9"/>
  <c r="BW357" i="5"/>
  <c r="BX357" s="1"/>
  <c r="BU359" i="1"/>
  <c r="BV359"/>
  <c r="BR359"/>
  <c r="BW359"/>
  <c r="BX359" s="1"/>
  <c r="BU354" i="2"/>
  <c r="BV354"/>
  <c r="BR354"/>
  <c r="BS354" s="1"/>
  <c r="BW354"/>
  <c r="BX354" s="1"/>
  <c r="CI36"/>
  <c r="BV353"/>
  <c r="CL353" i="3" s="1"/>
  <c r="BU353" i="2"/>
  <c r="BW353"/>
  <c r="BX353" s="1"/>
  <c r="BR353"/>
  <c r="BS353" s="1"/>
  <c r="BT356" i="9"/>
  <c r="BW356" i="5"/>
  <c r="BX356" s="1"/>
  <c r="BU356"/>
  <c r="BO355" i="3"/>
  <c r="BP355" s="1"/>
  <c r="BV357" i="7"/>
  <c r="BV369"/>
  <c r="BU357" i="2"/>
  <c r="BW357"/>
  <c r="BX357" s="1"/>
  <c r="BR357"/>
  <c r="BV357"/>
  <c r="CL362" i="3"/>
  <c r="BP361"/>
  <c r="BX365" i="4"/>
  <c r="CJ36" i="8"/>
  <c r="CK36" s="1"/>
  <c r="BZ365" i="7"/>
  <c r="CJ36" i="6"/>
  <c r="CK36" s="1"/>
  <c r="BW359" i="9"/>
  <c r="BO360" i="3"/>
  <c r="BR360" s="1"/>
  <c r="BV360" i="7"/>
  <c r="BW360" i="2"/>
  <c r="BX360" s="1"/>
  <c r="BU360"/>
  <c r="BR360"/>
  <c r="BV360"/>
  <c r="BV355" i="1"/>
  <c r="BU355"/>
  <c r="BW355"/>
  <c r="BX355" s="1"/>
  <c r="BR355"/>
  <c r="BU361" i="5"/>
  <c r="BW361"/>
  <c r="BX361" s="1"/>
  <c r="BT361" i="9"/>
  <c r="BV361" i="2"/>
  <c r="BU361"/>
  <c r="BW361"/>
  <c r="BX361" s="1"/>
  <c r="BR361"/>
  <c r="BO358" i="3"/>
  <c r="BP358" s="1"/>
  <c r="BO357"/>
  <c r="BT357" s="1"/>
  <c r="BR357" i="1"/>
  <c r="BU357"/>
  <c r="BV357"/>
  <c r="BW357"/>
  <c r="BX357" s="1"/>
  <c r="BW360" i="9"/>
  <c r="BU360"/>
  <c r="BS356" i="1"/>
  <c r="BS355" i="2"/>
  <c r="BV356"/>
  <c r="BW356"/>
  <c r="BX356" s="1"/>
  <c r="BU356"/>
  <c r="BR356"/>
  <c r="BO359" i="3"/>
  <c r="BP359" s="1"/>
  <c r="BV356" i="7"/>
  <c r="BV368"/>
  <c r="BU355" i="5"/>
  <c r="BT355" i="9"/>
  <c r="BW355" i="5"/>
  <c r="BX355" s="1"/>
  <c r="BU362"/>
  <c r="BT362" i="9"/>
  <c r="BW362" i="5"/>
  <c r="BX362" s="1"/>
  <c r="BW354"/>
  <c r="BX354" s="1"/>
  <c r="BT354" i="9"/>
  <c r="BU354" i="5"/>
  <c r="BR354" i="1"/>
  <c r="BS354" s="1"/>
  <c r="BU354"/>
  <c r="BW354"/>
  <c r="BX354" s="1"/>
  <c r="BV354"/>
  <c r="BW358"/>
  <c r="BX358" s="1"/>
  <c r="BV358"/>
  <c r="BU358"/>
  <c r="BR358"/>
  <c r="CJ36" i="7"/>
  <c r="BV353"/>
  <c r="BV363" i="6" l="1"/>
  <c r="BS362" i="3"/>
  <c r="BS361" i="2"/>
  <c r="CL354" i="3"/>
  <c r="CN354" s="1"/>
  <c r="BV362"/>
  <c r="BT354" i="6"/>
  <c r="BV354" s="1"/>
  <c r="BU363"/>
  <c r="BS360" i="2"/>
  <c r="BS360" i="3"/>
  <c r="BV353" i="6"/>
  <c r="BU353"/>
  <c r="BT363" i="8"/>
  <c r="BT357" i="6"/>
  <c r="BV357" s="1"/>
  <c r="BT361"/>
  <c r="BU354" i="3"/>
  <c r="BT362" i="6"/>
  <c r="CK36" i="1"/>
  <c r="BU362" i="3"/>
  <c r="BS359" i="1"/>
  <c r="CL359" i="3"/>
  <c r="CN359" s="1"/>
  <c r="BU361"/>
  <c r="CL361"/>
  <c r="CN361" s="1"/>
  <c r="BP360"/>
  <c r="CL360" s="1"/>
  <c r="BT360"/>
  <c r="BV361"/>
  <c r="CJ36" i="1"/>
  <c r="BX365"/>
  <c r="BX365" i="5"/>
  <c r="BR357" i="3"/>
  <c r="BS357" s="1"/>
  <c r="BT355"/>
  <c r="BR355"/>
  <c r="BS355" s="1"/>
  <c r="BT356"/>
  <c r="BT359"/>
  <c r="BP357"/>
  <c r="CL357" s="1"/>
  <c r="BT358"/>
  <c r="CN36" i="7"/>
  <c r="CM36"/>
  <c r="BS358" i="1"/>
  <c r="BU354" i="9"/>
  <c r="BW354"/>
  <c r="BS356" i="2"/>
  <c r="BS357" i="1"/>
  <c r="BS355"/>
  <c r="CN362" i="3"/>
  <c r="CX362"/>
  <c r="CY362" s="1"/>
  <c r="CX353"/>
  <c r="CY353" s="1"/>
  <c r="CN353"/>
  <c r="CL358"/>
  <c r="BX365" i="2"/>
  <c r="BR356" i="3"/>
  <c r="BU353" i="8"/>
  <c r="BW353"/>
  <c r="BU362" i="9"/>
  <c r="BW362"/>
  <c r="BW355"/>
  <c r="BU355"/>
  <c r="BV357" i="3"/>
  <c r="BU357"/>
  <c r="BU361" i="9"/>
  <c r="BW361"/>
  <c r="BS357" i="2"/>
  <c r="BU356" i="9"/>
  <c r="BW356"/>
  <c r="CK36" i="2"/>
  <c r="CL36" s="1"/>
  <c r="CJ36"/>
  <c r="BW357" i="9"/>
  <c r="BU357"/>
  <c r="BW358"/>
  <c r="BU358"/>
  <c r="BR359" i="3"/>
  <c r="BS359" s="1"/>
  <c r="BR358"/>
  <c r="CL355"/>
  <c r="CL356"/>
  <c r="CL36" i="9"/>
  <c r="BW363" i="8" l="1"/>
  <c r="BT354"/>
  <c r="BU354" s="1"/>
  <c r="BT362"/>
  <c r="BW362" s="1"/>
  <c r="BT361"/>
  <c r="BU361" s="1"/>
  <c r="CX354" i="3"/>
  <c r="CY354" s="1"/>
  <c r="BU357" i="6"/>
  <c r="BV356" i="3"/>
  <c r="BU354" i="6"/>
  <c r="BU355" i="3"/>
  <c r="BT359" i="6"/>
  <c r="BU359" s="1"/>
  <c r="BT357" i="8"/>
  <c r="BW357" s="1"/>
  <c r="BV360" i="3"/>
  <c r="BU363" i="8"/>
  <c r="CX361" i="3"/>
  <c r="CY361" s="1"/>
  <c r="BT356" i="6"/>
  <c r="BU356" s="1"/>
  <c r="BT355"/>
  <c r="BU355" s="1"/>
  <c r="BT360"/>
  <c r="BV362"/>
  <c r="BU362"/>
  <c r="BU361"/>
  <c r="BV361"/>
  <c r="BT358"/>
  <c r="BV358" s="1"/>
  <c r="BV359" i="3"/>
  <c r="CX359"/>
  <c r="CY359" s="1"/>
  <c r="CF36"/>
  <c r="CH36" s="1"/>
  <c r="CI36" s="1"/>
  <c r="BU360"/>
  <c r="BU359"/>
  <c r="BV358"/>
  <c r="BU356"/>
  <c r="BV355"/>
  <c r="BU358"/>
  <c r="CN36" i="9"/>
  <c r="CO36" s="1"/>
  <c r="CM36"/>
  <c r="BS358" i="3"/>
  <c r="CX360"/>
  <c r="CY360" s="1"/>
  <c r="CN360"/>
  <c r="CX357"/>
  <c r="CY357" s="1"/>
  <c r="CN357"/>
  <c r="CN355"/>
  <c r="CX355"/>
  <c r="CY355" s="1"/>
  <c r="CN356"/>
  <c r="CX356"/>
  <c r="CY356" s="1"/>
  <c r="BS356"/>
  <c r="CN358"/>
  <c r="CX358"/>
  <c r="CY358" s="1"/>
  <c r="BW354" i="8" l="1"/>
  <c r="BU362"/>
  <c r="BW361"/>
  <c r="BV359" i="6"/>
  <c r="BU357" i="8"/>
  <c r="BT359"/>
  <c r="BU359" s="1"/>
  <c r="BT360"/>
  <c r="BU360" s="1"/>
  <c r="BT356"/>
  <c r="BU356" s="1"/>
  <c r="BV356" i="6"/>
  <c r="BT358" i="8"/>
  <c r="BU358" s="1"/>
  <c r="CL36" i="6"/>
  <c r="CM36" s="1"/>
  <c r="CG36" i="3"/>
  <c r="BU358" i="6"/>
  <c r="BU360"/>
  <c r="BV360"/>
  <c r="BV355"/>
  <c r="BT355" i="8"/>
  <c r="CF38" i="3"/>
  <c r="BP365" i="7"/>
  <c r="BW360" i="8" l="1"/>
  <c r="BW359"/>
  <c r="BW358"/>
  <c r="BW356"/>
  <c r="CL36"/>
  <c r="CM36" s="1"/>
  <c r="BU355"/>
  <c r="BW355"/>
  <c r="BQ366" i="7"/>
  <c r="BT366" l="1"/>
  <c r="BQ365"/>
  <c r="BT365" l="1"/>
  <c r="BV366"/>
  <c r="BV365" l="1"/>
  <c r="D371" l="1"/>
  <c r="BQ371" l="1"/>
  <c r="C371" i="3"/>
  <c r="C371" i="4"/>
  <c r="C371" i="1"/>
  <c r="D371" i="3"/>
  <c r="D371" i="4"/>
  <c r="D371" i="1"/>
  <c r="F371" s="1"/>
  <c r="C371" i="2"/>
  <c r="C371" i="5"/>
  <c r="C371" i="7"/>
  <c r="BP371" s="1"/>
  <c r="CR371" i="3"/>
  <c r="D371" i="2"/>
  <c r="AK371" s="1"/>
  <c r="D371" i="5"/>
  <c r="E371" i="7"/>
  <c r="F371" i="4"/>
  <c r="G371" s="1"/>
  <c r="BT371" i="7" l="1"/>
  <c r="BV371" s="1"/>
  <c r="BX371"/>
  <c r="D371" i="9"/>
  <c r="D368" i="2"/>
  <c r="AK368" s="1"/>
  <c r="C367"/>
  <c r="D365"/>
  <c r="D367"/>
  <c r="AK367" s="1"/>
  <c r="D369"/>
  <c r="AK369" s="1"/>
  <c r="C365"/>
  <c r="C368"/>
  <c r="C365" i="4"/>
  <c r="C367"/>
  <c r="C369"/>
  <c r="D366"/>
  <c r="D368"/>
  <c r="D365" i="5"/>
  <c r="D367"/>
  <c r="D369"/>
  <c r="C366"/>
  <c r="C368"/>
  <c r="C365" i="1"/>
  <c r="C367"/>
  <c r="C369"/>
  <c r="D366"/>
  <c r="F366" s="1"/>
  <c r="D368"/>
  <c r="F368" s="1"/>
  <c r="CR365" i="3"/>
  <c r="C365" i="7"/>
  <c r="CR367" i="3"/>
  <c r="C367" i="7"/>
  <c r="CR369" i="3"/>
  <c r="C369" i="7"/>
  <c r="E366"/>
  <c r="E368"/>
  <c r="D365"/>
  <c r="D367"/>
  <c r="BX367" s="1"/>
  <c r="D369"/>
  <c r="BX369" s="1"/>
  <c r="C370" i="3"/>
  <c r="C370" i="4"/>
  <c r="C370" i="1"/>
  <c r="D370" i="7"/>
  <c r="BX370" s="1"/>
  <c r="D370" i="3"/>
  <c r="D370" i="4"/>
  <c r="D370" i="1"/>
  <c r="F370" s="1"/>
  <c r="C371" i="9"/>
  <c r="Z371" i="5"/>
  <c r="AJ371" i="2"/>
  <c r="AL371" s="1"/>
  <c r="E371"/>
  <c r="AD371"/>
  <c r="AE371" s="1"/>
  <c r="Z371"/>
  <c r="D366"/>
  <c r="AK366" s="1"/>
  <c r="C366"/>
  <c r="C369"/>
  <c r="C366" i="4"/>
  <c r="C368"/>
  <c r="D365"/>
  <c r="D367"/>
  <c r="D369"/>
  <c r="D366" i="5"/>
  <c r="D368"/>
  <c r="C365"/>
  <c r="C367"/>
  <c r="C369"/>
  <c r="C366" i="1"/>
  <c r="C368"/>
  <c r="D365"/>
  <c r="D367"/>
  <c r="F367" s="1"/>
  <c r="D369"/>
  <c r="F369" s="1"/>
  <c r="C366" i="7"/>
  <c r="CR366" i="3"/>
  <c r="C368" i="7"/>
  <c r="CR368" i="3"/>
  <c r="E365" i="7"/>
  <c r="AR37" s="1"/>
  <c r="AS37" s="1"/>
  <c r="E367"/>
  <c r="E369"/>
  <c r="D366"/>
  <c r="BX366" s="1"/>
  <c r="D368"/>
  <c r="BX368" s="1"/>
  <c r="C370" i="2"/>
  <c r="C370" i="5"/>
  <c r="C370" i="7"/>
  <c r="CR370" i="3"/>
  <c r="D370" i="2"/>
  <c r="AK370" s="1"/>
  <c r="D370" i="5"/>
  <c r="E370" i="7"/>
  <c r="Z371"/>
  <c r="BW371"/>
  <c r="D371" i="6"/>
  <c r="D371" i="8" s="1"/>
  <c r="E371" i="1"/>
  <c r="Z371"/>
  <c r="Z371" i="4"/>
  <c r="AA371" s="1"/>
  <c r="AJ371"/>
  <c r="C371" i="6"/>
  <c r="C371" i="8" s="1"/>
  <c r="F370" i="4"/>
  <c r="AM37" l="1"/>
  <c r="AM37" i="5"/>
  <c r="AU37"/>
  <c r="BX365" i="7"/>
  <c r="AN37"/>
  <c r="F365" i="1"/>
  <c r="AP37"/>
  <c r="AL37"/>
  <c r="AK365" i="2"/>
  <c r="AO37"/>
  <c r="AP37" s="1"/>
  <c r="AK37"/>
  <c r="D368" i="9"/>
  <c r="D366"/>
  <c r="G370" i="4"/>
  <c r="D370" i="9"/>
  <c r="C369" i="3"/>
  <c r="D369"/>
  <c r="E370" i="2"/>
  <c r="AJ370"/>
  <c r="AL370" s="1"/>
  <c r="Z370"/>
  <c r="AD370"/>
  <c r="AE370" s="1"/>
  <c r="Z368" i="7"/>
  <c r="BW368"/>
  <c r="Z366" i="1"/>
  <c r="E366"/>
  <c r="Z367" i="5"/>
  <c r="C367" i="9"/>
  <c r="E366" i="2"/>
  <c r="Z366"/>
  <c r="AJ366"/>
  <c r="AL366" s="1"/>
  <c r="AD366"/>
  <c r="AE366" s="1"/>
  <c r="W371"/>
  <c r="X371" s="1"/>
  <c r="AA371"/>
  <c r="AG371"/>
  <c r="E370" i="1"/>
  <c r="Z370"/>
  <c r="Z367" i="7"/>
  <c r="BW367"/>
  <c r="Z369" i="1"/>
  <c r="E369"/>
  <c r="Z365"/>
  <c r="E365"/>
  <c r="Z366" i="5"/>
  <c r="C366" i="9"/>
  <c r="Z365" i="2"/>
  <c r="AD365"/>
  <c r="AE365" s="1"/>
  <c r="E365"/>
  <c r="AJ365"/>
  <c r="Z371" i="9"/>
  <c r="D369"/>
  <c r="D367"/>
  <c r="D365"/>
  <c r="W371" i="1"/>
  <c r="X371" s="1"/>
  <c r="AG371"/>
  <c r="AF371" s="1"/>
  <c r="AA371"/>
  <c r="AH371"/>
  <c r="AB371" i="7"/>
  <c r="BW370"/>
  <c r="Z370"/>
  <c r="Z370" i="5"/>
  <c r="C370" i="9"/>
  <c r="Z366" i="7"/>
  <c r="BW366"/>
  <c r="E368" i="1"/>
  <c r="Z368"/>
  <c r="C369" i="9"/>
  <c r="Z369" i="5"/>
  <c r="C365" i="9"/>
  <c r="Z365" i="5"/>
  <c r="Z365" i="9" s="1"/>
  <c r="Z368" i="4"/>
  <c r="AA368" s="1"/>
  <c r="AJ368"/>
  <c r="AJ366"/>
  <c r="Z366"/>
  <c r="AA366" s="1"/>
  <c r="AJ369" i="2"/>
  <c r="AL369" s="1"/>
  <c r="E369"/>
  <c r="AD369"/>
  <c r="AE369" s="1"/>
  <c r="Z369"/>
  <c r="D370" i="6"/>
  <c r="D370" i="8" s="1"/>
  <c r="AJ370" i="4"/>
  <c r="Z370"/>
  <c r="AA370" s="1"/>
  <c r="C370" i="6"/>
  <c r="C370" i="8" s="1"/>
  <c r="BW369" i="7"/>
  <c r="Z369"/>
  <c r="BW365"/>
  <c r="Z365"/>
  <c r="E367" i="1"/>
  <c r="Z367"/>
  <c r="C368" i="9"/>
  <c r="Z368" i="5"/>
  <c r="AJ369" i="4"/>
  <c r="Z369"/>
  <c r="AA369" s="1"/>
  <c r="Z367"/>
  <c r="AA367" s="1"/>
  <c r="AJ367"/>
  <c r="Z365"/>
  <c r="AA365" s="1"/>
  <c r="AJ365"/>
  <c r="AJ368" i="2"/>
  <c r="AL368" s="1"/>
  <c r="Z368"/>
  <c r="E368"/>
  <c r="AD368"/>
  <c r="AE368" s="1"/>
  <c r="E367"/>
  <c r="AJ367"/>
  <c r="AL367" s="1"/>
  <c r="AD367"/>
  <c r="AE367" s="1"/>
  <c r="Z367"/>
  <c r="AR37" i="9" l="1"/>
  <c r="AS37" s="1"/>
  <c r="AL365" i="2"/>
  <c r="AM37" i="1"/>
  <c r="AR37"/>
  <c r="AS37" s="1"/>
  <c r="AP37" i="7"/>
  <c r="AM37"/>
  <c r="AO37" s="1"/>
  <c r="AQ37" i="1"/>
  <c r="AM37" i="9"/>
  <c r="AN37" s="1"/>
  <c r="AL37" i="2"/>
  <c r="AQ37"/>
  <c r="AR37" s="1"/>
  <c r="Z370" i="9"/>
  <c r="AA370" s="1"/>
  <c r="Z368"/>
  <c r="AA368" s="1"/>
  <c r="Z366"/>
  <c r="Y366" s="1"/>
  <c r="Z369"/>
  <c r="Y369" s="1"/>
  <c r="W369" i="2"/>
  <c r="X369" s="1"/>
  <c r="AG369"/>
  <c r="AA369"/>
  <c r="AA371" i="9"/>
  <c r="Y371"/>
  <c r="AG365" i="2"/>
  <c r="AA365"/>
  <c r="W365"/>
  <c r="X365" s="1"/>
  <c r="AG365" i="1"/>
  <c r="AF365" s="1"/>
  <c r="AH365"/>
  <c r="AA365"/>
  <c r="W365"/>
  <c r="X365" s="1"/>
  <c r="W369"/>
  <c r="X369" s="1"/>
  <c r="AA369"/>
  <c r="AG369"/>
  <c r="AF369" s="1"/>
  <c r="AH369"/>
  <c r="AB367" i="7"/>
  <c r="AA370" i="1"/>
  <c r="AG370"/>
  <c r="AF370" s="1"/>
  <c r="AH370"/>
  <c r="W370"/>
  <c r="X370" s="1"/>
  <c r="D369" i="6"/>
  <c r="D369" i="8" s="1"/>
  <c r="C369" i="6"/>
  <c r="C369" i="8" s="1"/>
  <c r="Z367" i="9"/>
  <c r="AG367" i="2"/>
  <c r="W367"/>
  <c r="X367" s="1"/>
  <c r="AA367"/>
  <c r="W368"/>
  <c r="X368" s="1"/>
  <c r="AG368"/>
  <c r="AA368"/>
  <c r="AA367" i="1"/>
  <c r="W367"/>
  <c r="X367" s="1"/>
  <c r="AH367"/>
  <c r="AG367"/>
  <c r="AF367" s="1"/>
  <c r="AB365" i="7"/>
  <c r="AB369"/>
  <c r="AA365" i="9"/>
  <c r="Y365"/>
  <c r="AG368" i="1"/>
  <c r="AF368" s="1"/>
  <c r="AA368"/>
  <c r="W368"/>
  <c r="X368" s="1"/>
  <c r="AH368"/>
  <c r="AB366" i="7"/>
  <c r="AB370"/>
  <c r="AF371" i="2"/>
  <c r="AH371"/>
  <c r="W366"/>
  <c r="X366" s="1"/>
  <c r="AG366"/>
  <c r="AA366"/>
  <c r="W366" i="1"/>
  <c r="X366" s="1"/>
  <c r="AG366"/>
  <c r="AF366" s="1"/>
  <c r="AH366"/>
  <c r="AA366"/>
  <c r="AB368" i="7"/>
  <c r="AA370" i="2"/>
  <c r="W370"/>
  <c r="X370" s="1"/>
  <c r="AG370"/>
  <c r="F369" i="4"/>
  <c r="G369" s="1"/>
  <c r="AQ37" i="7" l="1"/>
  <c r="AW37"/>
  <c r="AX37" s="1"/>
  <c r="Y370" i="9"/>
  <c r="AA366"/>
  <c r="AA369"/>
  <c r="Y368"/>
  <c r="AH370" i="2"/>
  <c r="AF370"/>
  <c r="AA367" i="9"/>
  <c r="Y367"/>
  <c r="AF366" i="2"/>
  <c r="AH366"/>
  <c r="AH368"/>
  <c r="AF368"/>
  <c r="AF367"/>
  <c r="AH367"/>
  <c r="AF365"/>
  <c r="AH365"/>
  <c r="AF369"/>
  <c r="AH369"/>
  <c r="C368" i="3" l="1"/>
  <c r="D368"/>
  <c r="F368" i="4"/>
  <c r="G368" s="1"/>
  <c r="D368" i="6" l="1"/>
  <c r="D368" i="8" s="1"/>
  <c r="C368" i="6"/>
  <c r="C368" i="8" s="1"/>
  <c r="C367" i="3" l="1"/>
  <c r="D367"/>
  <c r="D367" i="6" l="1"/>
  <c r="D367" i="8" s="1"/>
  <c r="C367" i="6"/>
  <c r="C367" i="8" s="1"/>
  <c r="C366" i="3"/>
  <c r="D366"/>
  <c r="F366" i="4"/>
  <c r="G366" s="1"/>
  <c r="C366" i="6" l="1"/>
  <c r="C366" i="8" s="1"/>
  <c r="D366" i="6"/>
  <c r="D366" i="8" s="1"/>
  <c r="C365" i="3" l="1"/>
  <c r="AI37" s="1"/>
  <c r="D365"/>
  <c r="AM37" s="1"/>
  <c r="F365" i="4"/>
  <c r="CP366" i="3"/>
  <c r="CP367"/>
  <c r="CP368"/>
  <c r="CP369"/>
  <c r="CP370"/>
  <c r="CP365"/>
  <c r="AN37" l="1"/>
  <c r="AS37"/>
  <c r="AO17" i="10" s="1"/>
  <c r="G365" i="4"/>
  <c r="AJ37" i="3"/>
  <c r="AO37"/>
  <c r="AP37" s="1"/>
  <c r="CP371"/>
  <c r="C365" i="6"/>
  <c r="D365"/>
  <c r="CP364" i="3"/>
  <c r="D365" i="8" l="1"/>
  <c r="AR37" s="1"/>
  <c r="AS37" s="1"/>
  <c r="AR37" i="6"/>
  <c r="C365" i="8"/>
  <c r="AM37" s="1"/>
  <c r="AN37" s="1"/>
  <c r="AM37" i="6"/>
  <c r="AN37" s="1"/>
  <c r="CX364" i="3"/>
  <c r="AS37" i="6" l="1"/>
  <c r="CU364" i="3"/>
  <c r="CW364" l="1"/>
  <c r="CY364" s="1"/>
  <c r="CV364"/>
  <c r="F367" i="4" l="1"/>
  <c r="G367" l="1"/>
  <c r="AO37" s="1"/>
  <c r="AN37"/>
  <c r="BW374" i="7"/>
  <c r="BT374" l="1"/>
  <c r="BX374"/>
  <c r="BV374" l="1"/>
  <c r="BW373" l="1"/>
  <c r="BT373" l="1"/>
  <c r="BX373"/>
  <c r="BV373" l="1"/>
  <c r="AB347" i="3" l="1"/>
  <c r="BW347"/>
  <c r="AB345"/>
  <c r="BW345"/>
  <c r="AB346" l="1"/>
  <c r="BW346"/>
  <c r="AB349"/>
  <c r="BW349"/>
  <c r="AB352"/>
  <c r="BW352"/>
  <c r="AD347"/>
  <c r="AB347" i="6"/>
  <c r="AB359" i="8" s="1"/>
  <c r="AB343" i="3"/>
  <c r="BW343"/>
  <c r="AB345" i="6"/>
  <c r="AB357" i="8" s="1"/>
  <c r="AD345" i="3"/>
  <c r="AB344" l="1"/>
  <c r="BW344"/>
  <c r="AD343"/>
  <c r="AB343" i="6"/>
  <c r="AB355" i="8" s="1"/>
  <c r="AB348" i="3"/>
  <c r="BW348"/>
  <c r="AB351"/>
  <c r="BW351"/>
  <c r="AF345"/>
  <c r="AB349" i="6"/>
  <c r="AB361" i="8" s="1"/>
  <c r="AD349" i="3"/>
  <c r="AF347"/>
  <c r="AB350"/>
  <c r="BW350"/>
  <c r="AD352"/>
  <c r="AB352" i="6"/>
  <c r="AB364" i="8" s="1"/>
  <c r="AD346" i="3"/>
  <c r="AB346" i="6"/>
  <c r="AB358" i="8" s="1"/>
  <c r="AD351" i="3" l="1"/>
  <c r="AB351" i="6"/>
  <c r="AB363" i="8" s="1"/>
  <c r="AF352" i="3"/>
  <c r="AF343"/>
  <c r="AD348"/>
  <c r="AB348" i="6"/>
  <c r="AB360" i="8" s="1"/>
  <c r="AF346" i="3"/>
  <c r="AD350"/>
  <c r="AB350" i="6"/>
  <c r="AB362" i="8" s="1"/>
  <c r="AF349" i="3"/>
  <c r="AB344" i="6"/>
  <c r="AB356" i="8" s="1"/>
  <c r="AD344" i="3"/>
  <c r="AF350" l="1"/>
  <c r="AF348"/>
  <c r="BW340"/>
  <c r="AB340"/>
  <c r="AF344"/>
  <c r="AB339"/>
  <c r="BW339"/>
  <c r="AF351"/>
  <c r="AD339" l="1"/>
  <c r="AB339" i="6"/>
  <c r="AB351" i="8" s="1"/>
  <c r="AD340" i="3"/>
  <c r="AB340" i="6"/>
  <c r="AB352" i="8" s="1"/>
  <c r="AF340" i="3" l="1"/>
  <c r="AE352"/>
  <c r="AF339"/>
  <c r="AE351"/>
  <c r="AG351" l="1"/>
  <c r="AB338"/>
  <c r="BW338"/>
  <c r="AG352"/>
  <c r="AD338" l="1"/>
  <c r="AB338" i="6"/>
  <c r="AB350" i="8" s="1"/>
  <c r="AF338" i="3" l="1"/>
  <c r="AE350"/>
  <c r="AB209"/>
  <c r="AB257" l="1"/>
  <c r="BW257"/>
  <c r="AB281"/>
  <c r="BW281"/>
  <c r="AD209"/>
  <c r="AB209" i="6"/>
  <c r="AB317" i="3"/>
  <c r="BW317"/>
  <c r="AB305"/>
  <c r="BW305"/>
  <c r="AB329"/>
  <c r="BW329"/>
  <c r="AB293"/>
  <c r="BW293"/>
  <c r="AG350"/>
  <c r="AB238"/>
  <c r="AB233"/>
  <c r="AB225"/>
  <c r="AB229"/>
  <c r="AB212"/>
  <c r="AB241"/>
  <c r="AB220"/>
  <c r="AB213"/>
  <c r="AB234"/>
  <c r="AB242"/>
  <c r="AB223"/>
  <c r="AB227"/>
  <c r="AB221"/>
  <c r="AB216"/>
  <c r="AB237"/>
  <c r="AB230"/>
  <c r="AB217"/>
  <c r="AB240"/>
  <c r="AB222"/>
  <c r="AB226"/>
  <c r="AB228"/>
  <c r="AB231"/>
  <c r="AB214"/>
  <c r="AB239"/>
  <c r="AB232"/>
  <c r="AB215"/>
  <c r="AB219"/>
  <c r="AD219" l="1"/>
  <c r="AB219" i="6"/>
  <c r="AB231" i="8" s="1"/>
  <c r="AB276" i="3"/>
  <c r="BW276"/>
  <c r="AB283"/>
  <c r="BW283"/>
  <c r="BW313"/>
  <c r="AB313"/>
  <c r="AD222"/>
  <c r="AB222" i="6"/>
  <c r="AB234" i="8" s="1"/>
  <c r="AB286" i="3"/>
  <c r="BW286"/>
  <c r="AB337"/>
  <c r="BW337"/>
  <c r="AB237" i="6"/>
  <c r="AB249" i="8" s="1"/>
  <c r="AD237" i="3"/>
  <c r="AB259"/>
  <c r="BW259"/>
  <c r="BW304"/>
  <c r="AB304"/>
  <c r="AB216" i="6"/>
  <c r="AB228" i="8" s="1"/>
  <c r="AD216" i="3"/>
  <c r="AB234" i="6"/>
  <c r="AB246" i="8" s="1"/>
  <c r="AD234" i="3"/>
  <c r="AB262"/>
  <c r="BW262"/>
  <c r="AB273"/>
  <c r="BW273"/>
  <c r="AB303"/>
  <c r="BW303"/>
  <c r="AB325"/>
  <c r="BW325"/>
  <c r="AB334"/>
  <c r="BW334"/>
  <c r="AB290"/>
  <c r="BW290"/>
  <c r="AB332"/>
  <c r="BW332"/>
  <c r="AB263"/>
  <c r="BW263"/>
  <c r="BW285"/>
  <c r="AB285"/>
  <c r="AB307"/>
  <c r="BW307"/>
  <c r="AB335"/>
  <c r="BW335"/>
  <c r="AB329" i="6"/>
  <c r="AD329" i="3"/>
  <c r="AB317" i="6"/>
  <c r="AD317" i="3"/>
  <c r="AD215"/>
  <c r="AB215" i="6"/>
  <c r="AB227" i="8" s="1"/>
  <c r="BW245" i="3"/>
  <c r="AB245"/>
  <c r="AB280"/>
  <c r="BW280"/>
  <c r="BW287"/>
  <c r="AB287"/>
  <c r="AB294"/>
  <c r="BW294"/>
  <c r="AB328"/>
  <c r="BW328"/>
  <c r="AB231" i="6"/>
  <c r="AB243" i="8" s="1"/>
  <c r="AD231" i="3"/>
  <c r="AD226"/>
  <c r="AB226" i="6"/>
  <c r="AB238" i="8" s="1"/>
  <c r="AB255" i="3"/>
  <c r="BW255"/>
  <c r="AB271"/>
  <c r="BW271"/>
  <c r="BW327"/>
  <c r="AB327"/>
  <c r="AB267"/>
  <c r="BW267"/>
  <c r="BW289"/>
  <c r="AB289"/>
  <c r="BW326"/>
  <c r="AB326"/>
  <c r="AB221" i="6"/>
  <c r="AD221" i="3"/>
  <c r="AD223"/>
  <c r="AB223" i="6"/>
  <c r="AB235" i="8" s="1"/>
  <c r="AB277" i="3"/>
  <c r="BW277"/>
  <c r="AB284"/>
  <c r="BW284"/>
  <c r="BW314"/>
  <c r="AB314"/>
  <c r="AB306"/>
  <c r="BW306"/>
  <c r="AB330"/>
  <c r="BW330"/>
  <c r="BW275"/>
  <c r="AB275"/>
  <c r="AB316"/>
  <c r="BW316"/>
  <c r="AB323"/>
  <c r="BW323"/>
  <c r="AB213" i="6"/>
  <c r="AB225" i="8" s="1"/>
  <c r="AD213" i="3"/>
  <c r="AB256"/>
  <c r="BW256"/>
  <c r="AB270"/>
  <c r="BW270"/>
  <c r="AB225" i="6"/>
  <c r="AB237" i="8" s="1"/>
  <c r="AD225" i="3"/>
  <c r="AD238"/>
  <c r="AB238" i="6"/>
  <c r="AB250" i="8" s="1"/>
  <c r="AD281" i="3"/>
  <c r="AB281" i="6"/>
  <c r="AD239" i="3"/>
  <c r="AB239" i="6"/>
  <c r="AB251" i="8" s="1"/>
  <c r="BW261" i="3"/>
  <c r="AB261"/>
  <c r="AB291"/>
  <c r="BW291"/>
  <c r="AB298"/>
  <c r="BW298"/>
  <c r="AB309"/>
  <c r="BW309"/>
  <c r="AB240" i="6"/>
  <c r="AB252" i="8" s="1"/>
  <c r="AD240" i="3"/>
  <c r="AB312"/>
  <c r="BW312"/>
  <c r="AD217"/>
  <c r="AB217" i="6"/>
  <c r="AB229" i="8" s="1"/>
  <c r="AB252" i="3"/>
  <c r="BW252"/>
  <c r="AB274"/>
  <c r="BW274"/>
  <c r="AB311"/>
  <c r="BW311"/>
  <c r="AD242"/>
  <c r="AB242" i="6"/>
  <c r="AB254" i="8" s="1"/>
  <c r="AB249" i="3"/>
  <c r="BW249"/>
  <c r="AB266"/>
  <c r="BW266"/>
  <c r="AB258"/>
  <c r="BW258"/>
  <c r="BW288"/>
  <c r="AB288"/>
  <c r="AB295"/>
  <c r="BW295"/>
  <c r="AB260"/>
  <c r="BW260"/>
  <c r="AB301"/>
  <c r="BW301"/>
  <c r="AD220"/>
  <c r="AB220" i="6"/>
  <c r="AB232" i="8" s="1"/>
  <c r="AB278" i="3"/>
  <c r="BW278"/>
  <c r="BW315"/>
  <c r="AB315"/>
  <c r="AD212"/>
  <c r="AB212" i="6"/>
  <c r="AB224" i="8" s="1"/>
  <c r="AB293" i="6"/>
  <c r="AD293" i="3"/>
  <c r="AB305" i="6"/>
  <c r="AD305" i="3"/>
  <c r="AB221" i="8"/>
  <c r="AB232" i="6"/>
  <c r="AB244" i="8" s="1"/>
  <c r="AD232" i="3"/>
  <c r="BW246"/>
  <c r="AB246"/>
  <c r="BW265"/>
  <c r="AB265"/>
  <c r="AB272"/>
  <c r="BW272"/>
  <c r="AB302"/>
  <c r="BW302"/>
  <c r="AD214"/>
  <c r="AB214" i="6"/>
  <c r="AB226" i="8" s="1"/>
  <c r="AD228" i="3"/>
  <c r="AB228" i="6"/>
  <c r="AB240" i="8" s="1"/>
  <c r="BW264" i="3"/>
  <c r="AB264"/>
  <c r="AB297"/>
  <c r="BW297"/>
  <c r="BW319"/>
  <c r="AB319"/>
  <c r="AB230" i="6"/>
  <c r="AB242" i="8" s="1"/>
  <c r="AD230" i="3"/>
  <c r="AB296"/>
  <c r="BW296"/>
  <c r="AB227" i="6"/>
  <c r="AB239" i="8" s="1"/>
  <c r="AD227" i="3"/>
  <c r="AB292"/>
  <c r="BW292"/>
  <c r="AB299"/>
  <c r="BW299"/>
  <c r="AB310"/>
  <c r="BW310"/>
  <c r="AB269"/>
  <c r="BW269"/>
  <c r="BW268"/>
  <c r="AB268"/>
  <c r="AB282"/>
  <c r="BW282"/>
  <c r="AB308"/>
  <c r="BW308"/>
  <c r="AD241"/>
  <c r="AB241" i="6"/>
  <c r="AB253" i="8" s="1"/>
  <c r="BW248" i="3"/>
  <c r="AB248"/>
  <c r="AB300"/>
  <c r="BW300"/>
  <c r="AB229" i="6"/>
  <c r="AB241" i="8" s="1"/>
  <c r="AD229" i="3"/>
  <c r="AD233"/>
  <c r="AB233" i="6"/>
  <c r="AB253" i="3"/>
  <c r="BW253"/>
  <c r="AF209"/>
  <c r="AG209" s="1"/>
  <c r="AE209"/>
  <c r="AB257" i="6"/>
  <c r="AD257" i="3"/>
  <c r="AS30"/>
  <c r="AS29"/>
  <c r="AB210"/>
  <c r="AB235"/>
  <c r="AS32"/>
  <c r="AB244"/>
  <c r="AS28"/>
  <c r="AS31"/>
  <c r="AK28" l="1"/>
  <c r="AT32"/>
  <c r="AK32"/>
  <c r="AB235" i="6"/>
  <c r="AB247" i="8" s="1"/>
  <c r="AD235" i="3"/>
  <c r="BW322"/>
  <c r="AB322"/>
  <c r="AB331"/>
  <c r="BW331"/>
  <c r="AB250"/>
  <c r="BW250"/>
  <c r="AT29"/>
  <c r="AT30"/>
  <c r="AB269" i="8"/>
  <c r="AD253" i="3"/>
  <c r="AB253" i="6"/>
  <c r="AB265" i="8" s="1"/>
  <c r="AF229" i="3"/>
  <c r="AE229"/>
  <c r="AB248" i="6"/>
  <c r="AB260" i="8" s="1"/>
  <c r="AD248" i="3"/>
  <c r="AD268"/>
  <c r="AB268" i="6"/>
  <c r="AB280" i="8" s="1"/>
  <c r="AD319" i="3"/>
  <c r="AB319" i="6"/>
  <c r="AB331" i="8" s="1"/>
  <c r="AB264" i="6"/>
  <c r="AB276" i="8" s="1"/>
  <c r="AD264" i="3"/>
  <c r="AD246"/>
  <c r="AB246" i="6"/>
  <c r="AB258" i="8" s="1"/>
  <c r="AB317"/>
  <c r="AF281" i="3"/>
  <c r="AB256" i="6"/>
  <c r="AB268" i="8" s="1"/>
  <c r="AD256" i="3"/>
  <c r="AD323"/>
  <c r="AB323" i="6"/>
  <c r="AB335" i="8" s="1"/>
  <c r="AD306" i="3"/>
  <c r="AB306" i="6"/>
  <c r="AB318" i="8" s="1"/>
  <c r="AB284" i="6"/>
  <c r="AB296" i="8" s="1"/>
  <c r="AD284" i="3"/>
  <c r="AF223"/>
  <c r="AD326"/>
  <c r="AB326" i="6"/>
  <c r="AB338" i="8" s="1"/>
  <c r="AD287" i="3"/>
  <c r="AB287" i="6"/>
  <c r="AB299" i="8" s="1"/>
  <c r="AB245" i="6"/>
  <c r="AD245" i="3"/>
  <c r="AE257" s="1"/>
  <c r="AE317"/>
  <c r="AF317"/>
  <c r="AF329"/>
  <c r="AE329"/>
  <c r="AF234"/>
  <c r="AE234"/>
  <c r="AB304" i="6"/>
  <c r="AB316" i="8" s="1"/>
  <c r="AD304" i="3"/>
  <c r="AF237"/>
  <c r="AE237"/>
  <c r="AB313" i="6"/>
  <c r="AB325" i="8" s="1"/>
  <c r="AD313" i="3"/>
  <c r="BW318"/>
  <c r="AB318"/>
  <c r="AS44"/>
  <c r="AT31"/>
  <c r="BW324"/>
  <c r="AB324"/>
  <c r="BW247"/>
  <c r="AB247"/>
  <c r="AD244"/>
  <c r="AB244" i="6"/>
  <c r="AB256" i="8" s="1"/>
  <c r="BW321" i="3"/>
  <c r="AB321"/>
  <c r="AD308"/>
  <c r="AB308" i="6"/>
  <c r="AB320" i="8" s="1"/>
  <c r="AD310" i="3"/>
  <c r="AB310" i="6"/>
  <c r="AB322" i="8" s="1"/>
  <c r="AD292" i="3"/>
  <c r="AB292" i="6"/>
  <c r="AB304" i="8" s="1"/>
  <c r="AB296" i="6"/>
  <c r="AB308" i="8" s="1"/>
  <c r="AD296" i="3"/>
  <c r="AE214"/>
  <c r="AF214"/>
  <c r="AG214" s="1"/>
  <c r="AB272" i="6"/>
  <c r="AB284" i="8" s="1"/>
  <c r="AD272" i="3"/>
  <c r="AK31"/>
  <c r="AF212"/>
  <c r="AG212" s="1"/>
  <c r="AE212"/>
  <c r="AB278" i="6"/>
  <c r="AB290" i="8" s="1"/>
  <c r="AD278" i="3"/>
  <c r="AD301"/>
  <c r="AB301" i="6"/>
  <c r="AB313" i="8" s="1"/>
  <c r="AB295" i="6"/>
  <c r="AB307" i="8" s="1"/>
  <c r="AD295" i="3"/>
  <c r="AD258"/>
  <c r="AB258" i="6"/>
  <c r="AB270" i="8" s="1"/>
  <c r="AB249" i="6"/>
  <c r="AB261" i="8" s="1"/>
  <c r="AD249" i="3"/>
  <c r="AB311" i="6"/>
  <c r="AB323" i="8" s="1"/>
  <c r="AD311" i="3"/>
  <c r="AD252"/>
  <c r="AB252" i="6"/>
  <c r="AB264" i="8" s="1"/>
  <c r="AB312" i="6"/>
  <c r="AB324" i="8" s="1"/>
  <c r="AD312" i="3"/>
  <c r="AB309" i="6"/>
  <c r="AB321" i="8" s="1"/>
  <c r="AD309" i="3"/>
  <c r="AB291" i="6"/>
  <c r="AB303" i="8" s="1"/>
  <c r="AD291" i="3"/>
  <c r="AE239"/>
  <c r="AF239"/>
  <c r="AF213"/>
  <c r="AG213" s="1"/>
  <c r="AE213"/>
  <c r="AD314"/>
  <c r="AB314" i="6"/>
  <c r="AB326" i="8" s="1"/>
  <c r="AB267" i="6"/>
  <c r="AB279" i="8" s="1"/>
  <c r="AD267" i="3"/>
  <c r="AD271"/>
  <c r="AB271" i="6"/>
  <c r="AB283" i="8" s="1"/>
  <c r="AF226" i="3"/>
  <c r="AG226" s="1"/>
  <c r="AE226"/>
  <c r="AB328" i="6"/>
  <c r="AB340" i="8" s="1"/>
  <c r="AD328" i="3"/>
  <c r="AB341" i="8"/>
  <c r="AB307" i="6"/>
  <c r="AB319" i="8" s="1"/>
  <c r="AD307" i="3"/>
  <c r="AD263"/>
  <c r="AB263" i="6"/>
  <c r="AB275" i="8" s="1"/>
  <c r="AD290" i="3"/>
  <c r="AB290" i="6"/>
  <c r="AB302" i="8" s="1"/>
  <c r="AD325" i="3"/>
  <c r="AB325" i="6"/>
  <c r="AB337" i="8" s="1"/>
  <c r="AD273" i="3"/>
  <c r="AB273" i="6"/>
  <c r="AB285" i="8" s="1"/>
  <c r="AB286" i="6"/>
  <c r="AB298" i="8" s="1"/>
  <c r="AD286" i="3"/>
  <c r="AB276" i="6"/>
  <c r="AB288" i="8" s="1"/>
  <c r="AD276" i="3"/>
  <c r="AB218"/>
  <c r="AB279"/>
  <c r="BW279"/>
  <c r="AB245" i="8"/>
  <c r="AE227" i="3"/>
  <c r="AF227"/>
  <c r="AF230"/>
  <c r="AB265" i="6"/>
  <c r="AB277" i="8" s="1"/>
  <c r="AD265" i="3"/>
  <c r="AF232"/>
  <c r="AE232"/>
  <c r="AQ32"/>
  <c r="AL32"/>
  <c r="AE293"/>
  <c r="AF293"/>
  <c r="AD315"/>
  <c r="AB315" i="6"/>
  <c r="AB327" i="8" s="1"/>
  <c r="AD288" i="3"/>
  <c r="AB288" i="6"/>
  <c r="AB300" i="8" s="1"/>
  <c r="AF240" i="3"/>
  <c r="AE240"/>
  <c r="AD261"/>
  <c r="AB261" i="6"/>
  <c r="AB273" i="8" s="1"/>
  <c r="AK30" i="3"/>
  <c r="AF238"/>
  <c r="AE238"/>
  <c r="AB270" i="6"/>
  <c r="AB282" i="8" s="1"/>
  <c r="AD270" i="3"/>
  <c r="AD316"/>
  <c r="AB316" i="6"/>
  <c r="AB328" i="8" s="1"/>
  <c r="AD330" i="3"/>
  <c r="AB330" i="6"/>
  <c r="AB342" i="8" s="1"/>
  <c r="AD277" i="3"/>
  <c r="AB277" i="6"/>
  <c r="AB289" i="8" s="1"/>
  <c r="AF221" i="3"/>
  <c r="AG221" s="1"/>
  <c r="AE221"/>
  <c r="AB289" i="6"/>
  <c r="AB301" i="8" s="1"/>
  <c r="AD289" i="3"/>
  <c r="AD327"/>
  <c r="AB327" i="6"/>
  <c r="AB339" i="8" s="1"/>
  <c r="AE231" i="3"/>
  <c r="AF231"/>
  <c r="AB329" i="8"/>
  <c r="AD285" i="3"/>
  <c r="AB285" i="6"/>
  <c r="AB297" i="8" s="1"/>
  <c r="AE216" i="3"/>
  <c r="AF216"/>
  <c r="AG216" s="1"/>
  <c r="AB336"/>
  <c r="BW336"/>
  <c r="AB251"/>
  <c r="BW251"/>
  <c r="AB333"/>
  <c r="BW333"/>
  <c r="AD210"/>
  <c r="AB210" i="6"/>
  <c r="AB320" i="3"/>
  <c r="BW320"/>
  <c r="AF257"/>
  <c r="AF233"/>
  <c r="AE233"/>
  <c r="AB300" i="6"/>
  <c r="AB312" i="8" s="1"/>
  <c r="AD300" i="3"/>
  <c r="AF241"/>
  <c r="AE241"/>
  <c r="AD282"/>
  <c r="AB282" i="6"/>
  <c r="AB294" i="8" s="1"/>
  <c r="AD269" i="3"/>
  <c r="AE281" s="1"/>
  <c r="AB269" i="6"/>
  <c r="AK29" i="3"/>
  <c r="AD299"/>
  <c r="AB299" i="6"/>
  <c r="AB311" i="8" s="1"/>
  <c r="AD297" i="3"/>
  <c r="AB297" i="6"/>
  <c r="AB309" i="8" s="1"/>
  <c r="AE228" i="3"/>
  <c r="AF228"/>
  <c r="AD302"/>
  <c r="AB302" i="6"/>
  <c r="AB314" i="8" s="1"/>
  <c r="AF305" i="3"/>
  <c r="AE305"/>
  <c r="AB305" i="8"/>
  <c r="AF220" i="3"/>
  <c r="AG220" s="1"/>
  <c r="AE220"/>
  <c r="AB260" i="6"/>
  <c r="AB272" i="8" s="1"/>
  <c r="AD260" i="3"/>
  <c r="AB266" i="6"/>
  <c r="AB278" i="8" s="1"/>
  <c r="AD266" i="3"/>
  <c r="AE242"/>
  <c r="AF242"/>
  <c r="AB274" i="6"/>
  <c r="AB286" i="8" s="1"/>
  <c r="AD274" i="3"/>
  <c r="AE217"/>
  <c r="AF217"/>
  <c r="AG217" s="1"/>
  <c r="AD298"/>
  <c r="AB298" i="6"/>
  <c r="AB310" i="8" s="1"/>
  <c r="AB293"/>
  <c r="AE225" i="3"/>
  <c r="AF225"/>
  <c r="AG225" s="1"/>
  <c r="AD275"/>
  <c r="AB275" i="6"/>
  <c r="AB287" i="8" s="1"/>
  <c r="AB233"/>
  <c r="AB255" i="6"/>
  <c r="AB267" i="8" s="1"/>
  <c r="AD255" i="3"/>
  <c r="AD294"/>
  <c r="AB294" i="6"/>
  <c r="AB306" i="8" s="1"/>
  <c r="AD280" i="3"/>
  <c r="AB280" i="6"/>
  <c r="AB292" i="8" s="1"/>
  <c r="AE215" i="3"/>
  <c r="AF215"/>
  <c r="AG215" s="1"/>
  <c r="AB335" i="6"/>
  <c r="AB347" i="8" s="1"/>
  <c r="AD335" i="3"/>
  <c r="AD332"/>
  <c r="AB332" i="6"/>
  <c r="AB344" i="8" s="1"/>
  <c r="AD334" i="3"/>
  <c r="AB334" i="6"/>
  <c r="AB346" i="8" s="1"/>
  <c r="AB303" i="6"/>
  <c r="AB315" i="8" s="1"/>
  <c r="AD303" i="3"/>
  <c r="AD262"/>
  <c r="AB262" i="6"/>
  <c r="AB274" i="8" s="1"/>
  <c r="AD259" i="3"/>
  <c r="AB259" i="6"/>
  <c r="AB271" i="8" s="1"/>
  <c r="AD337" i="3"/>
  <c r="AB337" i="6"/>
  <c r="AB349" i="8" s="1"/>
  <c r="AF222" i="3"/>
  <c r="AE222"/>
  <c r="AB283" i="6"/>
  <c r="AB295" i="8" s="1"/>
  <c r="AD283" i="3"/>
  <c r="AF219"/>
  <c r="AG219" s="1"/>
  <c r="AE219"/>
  <c r="AS25"/>
  <c r="AS27"/>
  <c r="AS34"/>
  <c r="AS33"/>
  <c r="AT33" s="1"/>
  <c r="AS26"/>
  <c r="AT26" s="1"/>
  <c r="AS24"/>
  <c r="AT24" s="1"/>
  <c r="AQ28" l="1"/>
  <c r="AT25"/>
  <c r="AG238"/>
  <c r="AG293"/>
  <c r="AG228"/>
  <c r="AG229"/>
  <c r="AG305"/>
  <c r="AT34"/>
  <c r="AB243"/>
  <c r="BW254"/>
  <c r="AB254"/>
  <c r="AF259"/>
  <c r="AF332"/>
  <c r="AE344"/>
  <c r="AE275"/>
  <c r="AF275"/>
  <c r="AP29" i="8"/>
  <c r="AE302" i="3"/>
  <c r="AF302"/>
  <c r="AE297"/>
  <c r="AF297"/>
  <c r="AB281" i="8"/>
  <c r="AE327" i="3"/>
  <c r="AF327"/>
  <c r="AE339"/>
  <c r="AF330"/>
  <c r="AF325"/>
  <c r="AE325"/>
  <c r="AF263"/>
  <c r="AF291"/>
  <c r="AF312"/>
  <c r="AE312"/>
  <c r="AF311"/>
  <c r="AE311"/>
  <c r="AP32" i="8"/>
  <c r="AF310" i="3"/>
  <c r="AE310"/>
  <c r="AD321"/>
  <c r="AB321" i="6"/>
  <c r="AB333" i="8" s="1"/>
  <c r="AE244" i="3"/>
  <c r="AF244"/>
  <c r="AG244" s="1"/>
  <c r="AB318" i="6"/>
  <c r="AD318" i="3"/>
  <c r="AE330" s="1"/>
  <c r="AK33"/>
  <c r="AG317"/>
  <c r="AB257" i="8"/>
  <c r="AE284" i="3"/>
  <c r="AF284"/>
  <c r="AF268"/>
  <c r="AE268"/>
  <c r="AB250" i="6"/>
  <c r="AB262" i="8" s="1"/>
  <c r="AD250" i="3"/>
  <c r="AB236"/>
  <c r="AF283"/>
  <c r="AE283"/>
  <c r="AF335"/>
  <c r="AE335"/>
  <c r="AE347"/>
  <c r="AE294"/>
  <c r="AF294"/>
  <c r="AE274"/>
  <c r="AF274"/>
  <c r="AF266"/>
  <c r="AE269"/>
  <c r="AF269"/>
  <c r="AG269" s="1"/>
  <c r="AG241"/>
  <c r="AG233"/>
  <c r="AD333"/>
  <c r="AB333" i="6"/>
  <c r="AB345" i="8" s="1"/>
  <c r="AD336" i="3"/>
  <c r="AB336" i="6"/>
  <c r="AB348" i="8" s="1"/>
  <c r="AG231" i="3"/>
  <c r="AE289"/>
  <c r="AF289"/>
  <c r="AE261"/>
  <c r="AF261"/>
  <c r="AE288"/>
  <c r="AF288"/>
  <c r="AG232"/>
  <c r="AD279"/>
  <c r="AE291" s="1"/>
  <c r="AB279" i="6"/>
  <c r="AB291" i="8" s="1"/>
  <c r="AF276" i="3"/>
  <c r="AE276"/>
  <c r="AF307"/>
  <c r="AE307"/>
  <c r="AF328"/>
  <c r="AE328"/>
  <c r="AE340"/>
  <c r="AE258"/>
  <c r="AF258"/>
  <c r="AE301"/>
  <c r="AF301"/>
  <c r="AP33" i="8"/>
  <c r="AD247" i="3"/>
  <c r="AB247" i="6"/>
  <c r="AB259" i="8" s="1"/>
  <c r="AG237" i="3"/>
  <c r="AG234"/>
  <c r="AF326"/>
  <c r="AE326"/>
  <c r="AE338"/>
  <c r="AP31" i="8"/>
  <c r="AF323" i="3"/>
  <c r="AE323"/>
  <c r="AF248"/>
  <c r="AF235"/>
  <c r="AG235" s="1"/>
  <c r="AE235"/>
  <c r="AE337"/>
  <c r="AF337"/>
  <c r="AE349"/>
  <c r="AF262"/>
  <c r="AF334"/>
  <c r="AE346"/>
  <c r="AF255"/>
  <c r="AF298"/>
  <c r="AE298"/>
  <c r="AF299"/>
  <c r="AE299"/>
  <c r="AE300"/>
  <c r="AF300"/>
  <c r="AB222" i="8"/>
  <c r="AF285" i="3"/>
  <c r="AE285"/>
  <c r="AF277"/>
  <c r="AE277"/>
  <c r="AE316"/>
  <c r="AF316"/>
  <c r="AF265"/>
  <c r="AE265"/>
  <c r="AG227"/>
  <c r="AE273"/>
  <c r="AF273"/>
  <c r="AE290"/>
  <c r="AF290"/>
  <c r="AE271"/>
  <c r="AF271"/>
  <c r="AG239"/>
  <c r="AF309"/>
  <c r="AE309"/>
  <c r="AE249"/>
  <c r="AF249"/>
  <c r="AG249" s="1"/>
  <c r="AF295"/>
  <c r="AE295"/>
  <c r="AF278"/>
  <c r="AE278"/>
  <c r="AL31"/>
  <c r="AQ31"/>
  <c r="AE292"/>
  <c r="AF292"/>
  <c r="AF308"/>
  <c r="AE308"/>
  <c r="AF313"/>
  <c r="AE313"/>
  <c r="AE304"/>
  <c r="AF304"/>
  <c r="AE287"/>
  <c r="AF287"/>
  <c r="AE256"/>
  <c r="AF256"/>
  <c r="AE246"/>
  <c r="AF246"/>
  <c r="AG246" s="1"/>
  <c r="AF319"/>
  <c r="AE319"/>
  <c r="AE253"/>
  <c r="AF253"/>
  <c r="AG253" s="1"/>
  <c r="AD331"/>
  <c r="AB331" i="6"/>
  <c r="AT27" i="3"/>
  <c r="AB211"/>
  <c r="AB224"/>
  <c r="AE303"/>
  <c r="AF303"/>
  <c r="AK34"/>
  <c r="AE280"/>
  <c r="AF280"/>
  <c r="AP30" i="6"/>
  <c r="AG242" i="3"/>
  <c r="AF260"/>
  <c r="AE260"/>
  <c r="AP31" i="6"/>
  <c r="AL29" i="3"/>
  <c r="AQ29"/>
  <c r="AE282"/>
  <c r="AF282"/>
  <c r="AD320"/>
  <c r="AB320" i="6"/>
  <c r="AB332" i="8" s="1"/>
  <c r="AE210" i="3"/>
  <c r="AF210"/>
  <c r="AG210" s="1"/>
  <c r="AB251" i="6"/>
  <c r="AB263" i="8" s="1"/>
  <c r="AD251" i="3"/>
  <c r="AE263" s="1"/>
  <c r="AE270"/>
  <c r="AF270"/>
  <c r="AL30"/>
  <c r="AQ30"/>
  <c r="AG240"/>
  <c r="AE315"/>
  <c r="AF315"/>
  <c r="AD218"/>
  <c r="AB218" i="6"/>
  <c r="AB230" i="8" s="1"/>
  <c r="AE286" i="3"/>
  <c r="AF286"/>
  <c r="AE267"/>
  <c r="AF267"/>
  <c r="AF314"/>
  <c r="AE314"/>
  <c r="AE252"/>
  <c r="AF252"/>
  <c r="AG252" s="1"/>
  <c r="AE272"/>
  <c r="AF272"/>
  <c r="AE296"/>
  <c r="AF296"/>
  <c r="AD324"/>
  <c r="AB324" i="6"/>
  <c r="AB336" i="8" s="1"/>
  <c r="AG329" i="3"/>
  <c r="AF245"/>
  <c r="AG245" s="1"/>
  <c r="AE245"/>
  <c r="AE306"/>
  <c r="AF306"/>
  <c r="AP32" i="6"/>
  <c r="AE264" i="3"/>
  <c r="AF264"/>
  <c r="AP28" i="6"/>
  <c r="AB322"/>
  <c r="AB334" i="8" s="1"/>
  <c r="AD322" i="3"/>
  <c r="AT28"/>
  <c r="AR29" l="1"/>
  <c r="AR32"/>
  <c r="AG323"/>
  <c r="AG270"/>
  <c r="AG300"/>
  <c r="AG286"/>
  <c r="AG295"/>
  <c r="AG301"/>
  <c r="AG292"/>
  <c r="AP29" i="6"/>
  <c r="AG306" i="3"/>
  <c r="AG290"/>
  <c r="AG285"/>
  <c r="AP30" i="8"/>
  <c r="AW30" s="1"/>
  <c r="AG268" i="3"/>
  <c r="AG260"/>
  <c r="AG308"/>
  <c r="AG309"/>
  <c r="AG289"/>
  <c r="AG257"/>
  <c r="AG281"/>
  <c r="AG261"/>
  <c r="AG294"/>
  <c r="AG311"/>
  <c r="AG275"/>
  <c r="AG264"/>
  <c r="AG316"/>
  <c r="AG298"/>
  <c r="AF320"/>
  <c r="AG320" s="1"/>
  <c r="AE320"/>
  <c r="AD224"/>
  <c r="AB224" i="6"/>
  <c r="AK25" i="3"/>
  <c r="AG307"/>
  <c r="AD236"/>
  <c r="AB236" i="6"/>
  <c r="AK26" i="3"/>
  <c r="AB330" i="8"/>
  <c r="AP34" s="1"/>
  <c r="AP33" i="6"/>
  <c r="AG312" i="3"/>
  <c r="AE332"/>
  <c r="AG272"/>
  <c r="AE218"/>
  <c r="AF218"/>
  <c r="AE230"/>
  <c r="AL34"/>
  <c r="AQ34"/>
  <c r="AB343" i="8"/>
  <c r="AP35" s="1"/>
  <c r="AP34" i="6"/>
  <c r="AG287" i="3"/>
  <c r="AG346"/>
  <c r="AG335"/>
  <c r="AG347"/>
  <c r="AE250"/>
  <c r="AF250"/>
  <c r="AG250" s="1"/>
  <c r="AG284"/>
  <c r="AG302"/>
  <c r="AF322"/>
  <c r="AG322" s="1"/>
  <c r="AE322"/>
  <c r="AE324"/>
  <c r="AF324"/>
  <c r="AG324" s="1"/>
  <c r="AG314"/>
  <c r="AR30"/>
  <c r="AG282"/>
  <c r="AW31" i="6"/>
  <c r="AQ31"/>
  <c r="AW30"/>
  <c r="AN43"/>
  <c r="AG303" i="3"/>
  <c r="AD211"/>
  <c r="AB211" i="6"/>
  <c r="AK24" i="3"/>
  <c r="AF331"/>
  <c r="AE331"/>
  <c r="AE343"/>
  <c r="AG256"/>
  <c r="AG313"/>
  <c r="AG278"/>
  <c r="AG271"/>
  <c r="AG273"/>
  <c r="AE334"/>
  <c r="AG337"/>
  <c r="AG349"/>
  <c r="AG326"/>
  <c r="AG338"/>
  <c r="AF247"/>
  <c r="AG247" s="1"/>
  <c r="AE247"/>
  <c r="AG258"/>
  <c r="AG328"/>
  <c r="AG340"/>
  <c r="AG276"/>
  <c r="AG288"/>
  <c r="AE336"/>
  <c r="AF336"/>
  <c r="AE348"/>
  <c r="AL33"/>
  <c r="AQ33"/>
  <c r="AG310"/>
  <c r="AG325"/>
  <c r="AE259"/>
  <c r="AW32" i="6"/>
  <c r="AQ32"/>
  <c r="AG296" i="3"/>
  <c r="AG267"/>
  <c r="AG315"/>
  <c r="AE251"/>
  <c r="AF251"/>
  <c r="AG251" s="1"/>
  <c r="AG280"/>
  <c r="AG319"/>
  <c r="AG304"/>
  <c r="AR31"/>
  <c r="AG265"/>
  <c r="AG277"/>
  <c r="AG299"/>
  <c r="AE262"/>
  <c r="AW31" i="8"/>
  <c r="AW33"/>
  <c r="AQ33"/>
  <c r="AG274" i="3"/>
  <c r="AG283"/>
  <c r="AF318"/>
  <c r="AG318" s="1"/>
  <c r="AE318"/>
  <c r="AW32" i="8"/>
  <c r="AQ32"/>
  <c r="AG327" i="3"/>
  <c r="AG339"/>
  <c r="AG297"/>
  <c r="AW29" i="8"/>
  <c r="AG344" i="3"/>
  <c r="AG222"/>
  <c r="AD243"/>
  <c r="AB243" i="6"/>
  <c r="AB255" i="8" s="1"/>
  <c r="AW28" i="6"/>
  <c r="AF279" i="3"/>
  <c r="AG279" s="1"/>
  <c r="AE279"/>
  <c r="AF333"/>
  <c r="AE333"/>
  <c r="AE345"/>
  <c r="AF321"/>
  <c r="AG321" s="1"/>
  <c r="AE321"/>
  <c r="AB254" i="6"/>
  <c r="AB266" i="8" s="1"/>
  <c r="AP28" s="1"/>
  <c r="AQ29" s="1"/>
  <c r="AD254" i="3"/>
  <c r="AK27"/>
  <c r="AR33" l="1"/>
  <c r="AW29" i="6"/>
  <c r="AX30" s="1"/>
  <c r="AQ29"/>
  <c r="AQ30"/>
  <c r="AX32" i="8"/>
  <c r="AP27" i="6"/>
  <c r="AG263" i="3"/>
  <c r="AQ31" i="8"/>
  <c r="AQ30"/>
  <c r="AX32" i="6"/>
  <c r="AG330" i="3"/>
  <c r="AX33" i="8"/>
  <c r="AX30"/>
  <c r="AX31" i="6"/>
  <c r="AG259" i="3"/>
  <c r="AG291"/>
  <c r="AF211"/>
  <c r="AE211"/>
  <c r="AE223"/>
  <c r="AW34" i="6"/>
  <c r="AQ34"/>
  <c r="AB248" i="8"/>
  <c r="AP27" s="1"/>
  <c r="AQ28" s="1"/>
  <c r="AP26" i="6"/>
  <c r="AL25" i="3"/>
  <c r="AQ25"/>
  <c r="AQ27"/>
  <c r="AL27"/>
  <c r="AL28"/>
  <c r="AG333"/>
  <c r="AG345"/>
  <c r="AG331"/>
  <c r="AG343"/>
  <c r="AW35" i="8"/>
  <c r="AQ35"/>
  <c r="AG218" i="3"/>
  <c r="AG230"/>
  <c r="AW33" i="6"/>
  <c r="AX33" s="1"/>
  <c r="AQ33"/>
  <c r="AF236" i="3"/>
  <c r="AE236"/>
  <c r="AE248"/>
  <c r="AB236" i="8"/>
  <c r="AP26" s="1"/>
  <c r="AP25" i="6"/>
  <c r="AW28" i="8"/>
  <c r="AX29" s="1"/>
  <c r="AF254" i="3"/>
  <c r="AE254"/>
  <c r="AE266"/>
  <c r="AG332"/>
  <c r="AX31" i="8"/>
  <c r="AQ24" i="3"/>
  <c r="AL24"/>
  <c r="AG334"/>
  <c r="AR34"/>
  <c r="AQ34" i="8"/>
  <c r="AW34"/>
  <c r="AX34" s="1"/>
  <c r="AF224" i="3"/>
  <c r="AG224" s="1"/>
  <c r="AE224"/>
  <c r="AE243"/>
  <c r="AF243"/>
  <c r="AE255"/>
  <c r="AG336"/>
  <c r="AG348"/>
  <c r="AB223" i="8"/>
  <c r="AP25" s="1"/>
  <c r="AP24" i="6"/>
  <c r="AQ26" i="3"/>
  <c r="AL26"/>
  <c r="AG262"/>
  <c r="AX29" i="6" l="1"/>
  <c r="AR24" i="3"/>
  <c r="AQ28" i="6"/>
  <c r="AW27"/>
  <c r="AX28" s="1"/>
  <c r="AQ27"/>
  <c r="AR26" i="3"/>
  <c r="AX34" i="6"/>
  <c r="AX35" i="8"/>
  <c r="AW24" i="6"/>
  <c r="AX24" s="1"/>
  <c r="AQ24"/>
  <c r="AG254" i="3"/>
  <c r="AG266"/>
  <c r="AW26" i="8"/>
  <c r="AQ26"/>
  <c r="AG211" i="3"/>
  <c r="AG223"/>
  <c r="AQ25" i="8"/>
  <c r="AW25"/>
  <c r="AX25" s="1"/>
  <c r="AW26" i="6"/>
  <c r="AQ26"/>
  <c r="AB342" i="3"/>
  <c r="BW342"/>
  <c r="AG243"/>
  <c r="AG255"/>
  <c r="AR27"/>
  <c r="AR28"/>
  <c r="AQ27" i="8"/>
  <c r="AW27"/>
  <c r="AW25" i="6"/>
  <c r="AQ25"/>
  <c r="AG236" i="3"/>
  <c r="AG248"/>
  <c r="AR25"/>
  <c r="AX27" i="6" l="1"/>
  <c r="AX25"/>
  <c r="AD342" i="3"/>
  <c r="AB342" i="6"/>
  <c r="AB354" i="8" s="1"/>
  <c r="AX27"/>
  <c r="AX28"/>
  <c r="AX26" i="6"/>
  <c r="AX26" i="8"/>
  <c r="AE342" i="3" l="1"/>
  <c r="AF342"/>
  <c r="AG342" s="1"/>
  <c r="AB341" l="1"/>
  <c r="BW341"/>
  <c r="AS35"/>
  <c r="AT35" s="1"/>
  <c r="AK35" l="1"/>
  <c r="AB341" i="6"/>
  <c r="AD341" i="3"/>
  <c r="AE341" l="1"/>
  <c r="AF341"/>
  <c r="AG341" s="1"/>
  <c r="AB353" i="8"/>
  <c r="AP36" s="1"/>
  <c r="AP35" i="6"/>
  <c r="AL35" i="3"/>
  <c r="AQ35"/>
  <c r="AR35" l="1"/>
  <c r="AQ35" i="6"/>
  <c r="AW35"/>
  <c r="AX35" s="1"/>
  <c r="AQ36" i="8"/>
  <c r="AW36"/>
  <c r="AX36" s="1"/>
  <c r="AS36" i="3"/>
  <c r="AT37" s="1"/>
  <c r="AS45" l="1"/>
  <c r="AT36"/>
  <c r="CT375" l="1"/>
  <c r="CT374" l="1"/>
  <c r="CQ375" l="1"/>
  <c r="CS375" s="1"/>
  <c r="CT373" l="1"/>
  <c r="CQ374" l="1"/>
  <c r="CS374" l="1"/>
  <c r="CT372" l="1"/>
  <c r="CT371"/>
  <c r="CQ372" l="1"/>
  <c r="CS372" s="1"/>
  <c r="CQ373"/>
  <c r="CT370"/>
  <c r="CS373" l="1"/>
  <c r="CQ371"/>
  <c r="CS371" l="1"/>
  <c r="CT369"/>
  <c r="CQ370" l="1"/>
  <c r="CS370" l="1"/>
  <c r="CT368"/>
  <c r="CQ369" l="1"/>
  <c r="CS369" l="1"/>
  <c r="CT367" l="1"/>
  <c r="CQ368" l="1"/>
  <c r="CT366"/>
  <c r="CS368" l="1"/>
  <c r="CQ367"/>
  <c r="CS367" l="1"/>
  <c r="CT365"/>
  <c r="CQ365" l="1"/>
  <c r="CQ366"/>
  <c r="CS366" l="1"/>
  <c r="CS365"/>
  <c r="J353" i="2" l="1"/>
  <c r="J359"/>
  <c r="J360"/>
  <c r="J362"/>
  <c r="J356"/>
  <c r="U365" i="3" l="1"/>
  <c r="J363" i="2"/>
  <c r="U355" i="3"/>
  <c r="U356"/>
  <c r="U363"/>
  <c r="U362"/>
  <c r="U359"/>
  <c r="J375" i="2"/>
  <c r="J369"/>
  <c r="J373"/>
  <c r="J372"/>
  <c r="J368"/>
  <c r="J366"/>
  <c r="J367"/>
  <c r="J355" l="1"/>
  <c r="BW362" i="3"/>
  <c r="BX362" s="1"/>
  <c r="AB362"/>
  <c r="U353"/>
  <c r="AB355"/>
  <c r="BW355"/>
  <c r="BX355" s="1"/>
  <c r="J358" i="2"/>
  <c r="AB363" i="3"/>
  <c r="BW363"/>
  <c r="BX363" s="1"/>
  <c r="U360"/>
  <c r="U372"/>
  <c r="AB359"/>
  <c r="BW359"/>
  <c r="BX359" s="1"/>
  <c r="BW356"/>
  <c r="BX356" s="1"/>
  <c r="AB356"/>
  <c r="J361" i="2"/>
  <c r="J374"/>
  <c r="U366" i="3"/>
  <c r="J370" i="2"/>
  <c r="J371"/>
  <c r="U364" i="3" l="1"/>
  <c r="AB355" i="6"/>
  <c r="AB367" i="8" s="1"/>
  <c r="AD355" i="3"/>
  <c r="U369"/>
  <c r="U357"/>
  <c r="U370"/>
  <c r="U367"/>
  <c r="U361"/>
  <c r="U354"/>
  <c r="J354" i="2"/>
  <c r="U371" i="3"/>
  <c r="U373"/>
  <c r="U368"/>
  <c r="U374"/>
  <c r="AB356" i="6"/>
  <c r="AB368" i="8" s="1"/>
  <c r="AD356" i="3"/>
  <c r="J357" i="2"/>
  <c r="AB359" i="6"/>
  <c r="AB371" i="8" s="1"/>
  <c r="AD359" i="3"/>
  <c r="AB360"/>
  <c r="BW360"/>
  <c r="BX360" s="1"/>
  <c r="AD363"/>
  <c r="AB363" i="6"/>
  <c r="J364" i="2"/>
  <c r="U358" i="3"/>
  <c r="AB353"/>
  <c r="BW353"/>
  <c r="BX353" s="1"/>
  <c r="AD362"/>
  <c r="AB362" i="6"/>
  <c r="U375" i="3"/>
  <c r="J365" i="2"/>
  <c r="AB375" i="8" l="1"/>
  <c r="AB374"/>
  <c r="AB354" i="3"/>
  <c r="BW354"/>
  <c r="BX354" s="1"/>
  <c r="AB364"/>
  <c r="BW364"/>
  <c r="BX364" s="1"/>
  <c r="AF362"/>
  <c r="AG362" s="1"/>
  <c r="AE362"/>
  <c r="AF363"/>
  <c r="AE363"/>
  <c r="AE359"/>
  <c r="AF359"/>
  <c r="AG359" s="1"/>
  <c r="AE356"/>
  <c r="AF356"/>
  <c r="AG356" s="1"/>
  <c r="AE355"/>
  <c r="AF355"/>
  <c r="AG355" s="1"/>
  <c r="AB358"/>
  <c r="BW358"/>
  <c r="BX358" s="1"/>
  <c r="AD360"/>
  <c r="AB360" i="6"/>
  <c r="AB372" i="8" s="1"/>
  <c r="AD353" i="3"/>
  <c r="AB353" i="6"/>
  <c r="BW361" i="3"/>
  <c r="BX361" s="1"/>
  <c r="AB361"/>
  <c r="BW357"/>
  <c r="BX357" s="1"/>
  <c r="AB357"/>
  <c r="AZ37" i="6"/>
  <c r="BX365" i="3" l="1"/>
  <c r="AG363"/>
  <c r="AB357" i="6"/>
  <c r="AB369" i="8" s="1"/>
  <c r="AD357" i="3"/>
  <c r="AD361"/>
  <c r="AB361" i="6"/>
  <c r="AB373" i="8" s="1"/>
  <c r="AB365"/>
  <c r="AD364" i="3"/>
  <c r="AB364" i="6"/>
  <c r="AD354" i="3"/>
  <c r="AB354" i="6"/>
  <c r="AK36" i="3"/>
  <c r="AF360"/>
  <c r="AG360" s="1"/>
  <c r="AE360"/>
  <c r="AT36" i="6"/>
  <c r="AU37" s="1"/>
  <c r="AB358"/>
  <c r="AB370" i="8" s="1"/>
  <c r="AD358" i="3"/>
  <c r="AF353"/>
  <c r="AG353" s="1"/>
  <c r="AE353"/>
  <c r="BA38" i="6"/>
  <c r="AZ44"/>
  <c r="BA44"/>
  <c r="AB376" i="8" l="1"/>
  <c r="AP36" i="6"/>
  <c r="AQ36" s="1"/>
  <c r="AF357" i="3"/>
  <c r="AG357" s="1"/>
  <c r="AE357"/>
  <c r="AB366" i="8"/>
  <c r="AP37" s="1"/>
  <c r="AE358" i="3"/>
  <c r="AF358"/>
  <c r="AG358" s="1"/>
  <c r="AF354"/>
  <c r="AE354"/>
  <c r="AU36" i="6"/>
  <c r="AT42"/>
  <c r="AT39"/>
  <c r="AL36" i="3"/>
  <c r="AQ36"/>
  <c r="AR36" s="1"/>
  <c r="AF364"/>
  <c r="AE364"/>
  <c r="AF361"/>
  <c r="AG361" s="1"/>
  <c r="AE361"/>
  <c r="BA37" i="6"/>
  <c r="AQ37" i="8" l="1"/>
  <c r="AW37"/>
  <c r="AX37" s="1"/>
  <c r="AW36" i="6"/>
  <c r="AG364" i="3"/>
  <c r="AG354"/>
  <c r="AX36" i="6" l="1"/>
  <c r="BP375" i="4"/>
  <c r="BT375" s="1"/>
  <c r="BP375" i="1" l="1"/>
  <c r="BJ375" i="3"/>
  <c r="BP375" i="5"/>
  <c r="BP375" i="2"/>
  <c r="BU375" i="4"/>
  <c r="BQ375" i="1" l="1"/>
  <c r="BP375" i="6"/>
  <c r="BP375" i="8" s="1"/>
  <c r="BT375" i="1"/>
  <c r="BT375" i="5"/>
  <c r="BP375" i="9"/>
  <c r="BQ375" i="2"/>
  <c r="BT375"/>
  <c r="BQ375" i="3"/>
  <c r="BR375" i="2" l="1"/>
  <c r="BS375" s="1"/>
  <c r="BV375"/>
  <c r="BU375"/>
  <c r="BR375" i="1"/>
  <c r="BS375" s="1"/>
  <c r="BV375"/>
  <c r="BU375"/>
  <c r="BT375" i="9"/>
  <c r="BU375" i="5"/>
  <c r="BW375" i="9" l="1"/>
  <c r="BU375"/>
  <c r="BP374" i="2" l="1"/>
  <c r="BP374" i="1"/>
  <c r="BP374" i="5"/>
  <c r="BJ374" i="3"/>
  <c r="BQ374" l="1"/>
  <c r="BT374" i="2"/>
  <c r="BQ374"/>
  <c r="BT374" i="5"/>
  <c r="BP374" i="9"/>
  <c r="BQ374" i="1"/>
  <c r="BT374"/>
  <c r="BP374" i="4" l="1"/>
  <c r="BR374" i="1"/>
  <c r="BS374" s="1"/>
  <c r="BU374"/>
  <c r="BV374"/>
  <c r="BT374" i="9"/>
  <c r="BU374" i="5"/>
  <c r="BU374" i="2"/>
  <c r="BR374"/>
  <c r="BS374" s="1"/>
  <c r="BV374"/>
  <c r="BU374" i="9" l="1"/>
  <c r="BW374"/>
  <c r="BT374" i="4"/>
  <c r="BP374" i="6"/>
  <c r="BP374" i="8" s="1"/>
  <c r="BP373" i="5" l="1"/>
  <c r="BT373" s="1"/>
  <c r="BU374" i="4"/>
  <c r="BP373" i="2" l="1"/>
  <c r="BU373" i="5"/>
  <c r="BP373" i="1"/>
  <c r="BJ373" i="3"/>
  <c r="BP372" i="5"/>
  <c r="BT372" s="1"/>
  <c r="BP373" i="4"/>
  <c r="BT373" s="1"/>
  <c r="BP372" i="1" l="1"/>
  <c r="BP372" i="4"/>
  <c r="BT372" s="1"/>
  <c r="BP373" i="6"/>
  <c r="BP373" i="8" s="1"/>
  <c r="BQ373" i="3"/>
  <c r="BP372" i="2"/>
  <c r="BJ372" i="3"/>
  <c r="BP373" i="9"/>
  <c r="BT373" i="1"/>
  <c r="BQ373"/>
  <c r="BQ373" i="2"/>
  <c r="BT373"/>
  <c r="BU372" i="5"/>
  <c r="BU373" i="4"/>
  <c r="BT373" i="9" l="1"/>
  <c r="BU373" i="1"/>
  <c r="BR373"/>
  <c r="BS373" s="1"/>
  <c r="BV373"/>
  <c r="BQ372" i="2"/>
  <c r="BT372"/>
  <c r="BU372" i="4"/>
  <c r="BQ372" i="3"/>
  <c r="BU373" i="2"/>
  <c r="BR373"/>
  <c r="BS373" s="1"/>
  <c r="BV373"/>
  <c r="BP372" i="9"/>
  <c r="BQ372" i="1"/>
  <c r="BT372"/>
  <c r="BP372" i="6"/>
  <c r="BP372" i="8" s="1"/>
  <c r="BP368" i="2" l="1"/>
  <c r="BP365" i="1"/>
  <c r="BP366" i="4"/>
  <c r="BT366" s="1"/>
  <c r="BP366" i="5"/>
  <c r="BP365" i="2"/>
  <c r="BJ365" i="3"/>
  <c r="BJ371"/>
  <c r="BP366" i="1"/>
  <c r="BP371" i="2"/>
  <c r="BU373" i="9"/>
  <c r="BW373"/>
  <c r="BP365" i="5"/>
  <c r="BU372" i="1"/>
  <c r="BV372"/>
  <c r="BR372"/>
  <c r="BS372" s="1"/>
  <c r="BT372" i="9"/>
  <c r="BP365" i="4"/>
  <c r="BT365" s="1"/>
  <c r="BP371" i="1"/>
  <c r="BJ366" i="3"/>
  <c r="BP366" i="2"/>
  <c r="BP371" i="4"/>
  <c r="BT371" s="1"/>
  <c r="BP371" i="5"/>
  <c r="BU372" i="2"/>
  <c r="BR372"/>
  <c r="BS372" s="1"/>
  <c r="BV372"/>
  <c r="BP369" l="1"/>
  <c r="BP369" i="5"/>
  <c r="BP369" i="4"/>
  <c r="BT369" s="1"/>
  <c r="BP367" i="5"/>
  <c r="BQ371" i="3"/>
  <c r="BP370" i="1"/>
  <c r="BJ369" i="3"/>
  <c r="BP367" i="2"/>
  <c r="BP370"/>
  <c r="BJ368" i="3"/>
  <c r="BP366" i="6"/>
  <c r="BP366" i="8" s="1"/>
  <c r="BT366" i="1"/>
  <c r="BQ366"/>
  <c r="BQ365" i="3"/>
  <c r="BT366" i="5"/>
  <c r="BP366" i="9"/>
  <c r="BP365" i="6"/>
  <c r="BP365" i="8" s="1"/>
  <c r="BQ365" i="1"/>
  <c r="BT365"/>
  <c r="BP370" i="5"/>
  <c r="BP368" i="1"/>
  <c r="BP367"/>
  <c r="BP368" i="5"/>
  <c r="BU371" i="4"/>
  <c r="BT366" i="2"/>
  <c r="BQ366"/>
  <c r="BQ371" i="1"/>
  <c r="BT371"/>
  <c r="BP371" i="6"/>
  <c r="BP371" i="8" s="1"/>
  <c r="BW372" i="9"/>
  <c r="BU372"/>
  <c r="BT365" i="5"/>
  <c r="BP365" i="9"/>
  <c r="BP370" i="4"/>
  <c r="BT370" s="1"/>
  <c r="BT371" i="2"/>
  <c r="BQ371"/>
  <c r="BU366" i="4"/>
  <c r="BQ368" i="2"/>
  <c r="BT368"/>
  <c r="BJ370" i="3"/>
  <c r="BP368" i="4"/>
  <c r="BT368" s="1"/>
  <c r="BJ367" i="3"/>
  <c r="BP367" i="4"/>
  <c r="BT367" s="1"/>
  <c r="BP369" i="1"/>
  <c r="BP371" i="9"/>
  <c r="BT371" i="5"/>
  <c r="BQ366" i="3"/>
  <c r="BU365" i="4"/>
  <c r="BT365" i="2"/>
  <c r="BQ365"/>
  <c r="BU365" l="1"/>
  <c r="BV365"/>
  <c r="BR365"/>
  <c r="BS365" s="1"/>
  <c r="BU368" i="4"/>
  <c r="BU371" i="5"/>
  <c r="BT371" i="9"/>
  <c r="BQ369" i="1"/>
  <c r="BT369"/>
  <c r="BP369" i="6"/>
  <c r="BP369" i="8" s="1"/>
  <c r="BQ367" i="3"/>
  <c r="BQ370"/>
  <c r="BV366" i="1"/>
  <c r="BR366"/>
  <c r="BS366" s="1"/>
  <c r="BU366"/>
  <c r="BU369" i="4"/>
  <c r="BT369" i="2"/>
  <c r="BQ369"/>
  <c r="BU370" i="4"/>
  <c r="BT365" i="9"/>
  <c r="BU365" i="5"/>
  <c r="BP368" i="9"/>
  <c r="BT368" i="5"/>
  <c r="BQ368" i="1"/>
  <c r="BP368" i="6"/>
  <c r="BP368" i="8" s="1"/>
  <c r="BT368" i="1"/>
  <c r="BV365"/>
  <c r="BR365"/>
  <c r="BS365" s="1"/>
  <c r="BU365"/>
  <c r="BT366" i="9"/>
  <c r="BU366" i="5"/>
  <c r="BT370" i="2"/>
  <c r="BQ370"/>
  <c r="BQ369" i="3"/>
  <c r="BU367" i="4"/>
  <c r="BU368" i="2"/>
  <c r="BV368"/>
  <c r="BR368"/>
  <c r="BS368" s="1"/>
  <c r="BU366"/>
  <c r="BR366"/>
  <c r="BS366" s="1"/>
  <c r="BV366"/>
  <c r="BT367" i="5"/>
  <c r="BP367" i="9"/>
  <c r="BT369" i="5"/>
  <c r="BP369" i="9"/>
  <c r="BR371" i="2"/>
  <c r="BS371" s="1"/>
  <c r="BU371"/>
  <c r="BV371"/>
  <c r="BU371" i="1"/>
  <c r="BV371"/>
  <c r="BR371"/>
  <c r="BS371" s="1"/>
  <c r="BP367" i="6"/>
  <c r="BP367" i="8" s="1"/>
  <c r="BQ367" i="1"/>
  <c r="BT367"/>
  <c r="BT370" i="5"/>
  <c r="BP370" i="9"/>
  <c r="BQ368" i="3"/>
  <c r="BQ367" i="2"/>
  <c r="BT367"/>
  <c r="BQ370" i="1"/>
  <c r="BT370"/>
  <c r="BP370" i="6"/>
  <c r="BP370" i="8" s="1"/>
  <c r="BT367" i="9" l="1"/>
  <c r="BV367" i="1"/>
  <c r="BU367"/>
  <c r="BR367"/>
  <c r="BS367" s="1"/>
  <c r="BU369" i="5"/>
  <c r="BT369" i="9"/>
  <c r="BV370" i="2"/>
  <c r="BU370"/>
  <c r="BR370"/>
  <c r="BS370" s="1"/>
  <c r="BU366" i="9"/>
  <c r="BW366"/>
  <c r="BV369" i="2"/>
  <c r="BU369"/>
  <c r="BR369"/>
  <c r="BS369" s="1"/>
  <c r="BR367"/>
  <c r="BS367" s="1"/>
  <c r="BU367"/>
  <c r="BV367"/>
  <c r="BU367" i="5"/>
  <c r="BR368" i="1"/>
  <c r="BS368" s="1"/>
  <c r="BU368"/>
  <c r="BV368"/>
  <c r="BU365" i="9"/>
  <c r="BW365"/>
  <c r="BT368"/>
  <c r="BU368" i="5"/>
  <c r="BR369" i="1"/>
  <c r="BS369" s="1"/>
  <c r="BV369"/>
  <c r="BU369"/>
  <c r="BR370"/>
  <c r="BS370" s="1"/>
  <c r="BU370"/>
  <c r="BV370"/>
  <c r="BT370" i="9"/>
  <c r="BU370" i="5"/>
  <c r="BU371" i="9"/>
  <c r="BW371"/>
  <c r="BU367" l="1"/>
  <c r="BW367"/>
  <c r="BW368"/>
  <c r="BU368"/>
  <c r="BW369"/>
  <c r="BU369"/>
  <c r="BU370"/>
  <c r="BW370"/>
  <c r="I376" i="3" l="1"/>
  <c r="F376" s="1"/>
  <c r="H376"/>
  <c r="E376" l="1"/>
  <c r="G376" s="1"/>
  <c r="DC376" s="1"/>
  <c r="DD376" s="1"/>
  <c r="DE376" s="1"/>
  <c r="DF376" s="1"/>
  <c r="DG376" s="1"/>
  <c r="BK376"/>
  <c r="BL376" s="1"/>
  <c r="BM376" s="1"/>
  <c r="BN376" s="1"/>
  <c r="BO376" l="1"/>
  <c r="BR376" s="1"/>
  <c r="BS376" s="1"/>
  <c r="AI376"/>
  <c r="AK376" s="1"/>
  <c r="W376"/>
  <c r="X376" s="1"/>
  <c r="Y376" s="1"/>
  <c r="Z376" s="1"/>
  <c r="BT376" l="1"/>
  <c r="BP376"/>
  <c r="AA376"/>
  <c r="Z376" i="6"/>
  <c r="AA376" l="1"/>
  <c r="Z376" i="8"/>
  <c r="Y376" i="6"/>
  <c r="BV376" i="3"/>
  <c r="BU376"/>
  <c r="I375"/>
  <c r="F375" s="1"/>
  <c r="H375"/>
  <c r="AA376" i="8" l="1"/>
  <c r="Y376"/>
  <c r="BK375" i="3"/>
  <c r="BL375" s="1"/>
  <c r="BM375" s="1"/>
  <c r="BN375" s="1"/>
  <c r="E375"/>
  <c r="G375" s="1"/>
  <c r="W375" l="1"/>
  <c r="X375" s="1"/>
  <c r="Y375" s="1"/>
  <c r="Z375" s="1"/>
  <c r="Z375" i="6" s="1"/>
  <c r="DC375" i="3"/>
  <c r="DD375" s="1"/>
  <c r="DE375" s="1"/>
  <c r="DF375" s="1"/>
  <c r="DG375" s="1"/>
  <c r="BO375"/>
  <c r="BP375" s="1"/>
  <c r="CL375" s="1"/>
  <c r="AI375"/>
  <c r="AK375" s="1"/>
  <c r="AA375" l="1"/>
  <c r="BR375"/>
  <c r="BS375" s="1"/>
  <c r="BT375"/>
  <c r="AA375" i="6"/>
  <c r="Z375" i="8"/>
  <c r="Y375" i="6"/>
  <c r="CX375" i="3"/>
  <c r="CN375"/>
  <c r="BV375" l="1"/>
  <c r="BU375"/>
  <c r="BT375" i="6"/>
  <c r="BU375" s="1"/>
  <c r="Y375" i="8"/>
  <c r="AA375"/>
  <c r="BT375" l="1"/>
  <c r="BU375" s="1"/>
  <c r="BV375" i="6"/>
  <c r="BW375" i="8" l="1"/>
  <c r="I374" i="3"/>
  <c r="F374" s="1"/>
  <c r="H374"/>
  <c r="E374" l="1"/>
  <c r="G374" s="1"/>
  <c r="BK374"/>
  <c r="BL374" s="1"/>
  <c r="BM374" s="1"/>
  <c r="BN374" s="1"/>
  <c r="W374" l="1"/>
  <c r="X374" s="1"/>
  <c r="Y374" s="1"/>
  <c r="Z374" s="1"/>
  <c r="DC374"/>
  <c r="DD374" s="1"/>
  <c r="DE374" s="1"/>
  <c r="DF374" s="1"/>
  <c r="DG374" s="1"/>
  <c r="AI374"/>
  <c r="AK374" s="1"/>
  <c r="BO374"/>
  <c r="BR374" s="1"/>
  <c r="BS374" s="1"/>
  <c r="Z374" i="6" l="1"/>
  <c r="BT374" i="3"/>
  <c r="AA374"/>
  <c r="BP374"/>
  <c r="CL374" s="1"/>
  <c r="CX374" s="1"/>
  <c r="BU374" l="1"/>
  <c r="AA374" i="6"/>
  <c r="Y374"/>
  <c r="Z374" i="8"/>
  <c r="AA374" s="1"/>
  <c r="BT374" i="6"/>
  <c r="BV374" s="1"/>
  <c r="BV374" i="3"/>
  <c r="CN374"/>
  <c r="Y374" i="8" l="1"/>
  <c r="BU374" i="6"/>
  <c r="BT374" i="8"/>
  <c r="BW374" s="1"/>
  <c r="BU374" l="1"/>
  <c r="I373" i="3"/>
  <c r="F373" s="1"/>
  <c r="H373"/>
  <c r="E373" l="1"/>
  <c r="G373" s="1"/>
  <c r="BK373"/>
  <c r="BL373" s="1"/>
  <c r="BM373" s="1"/>
  <c r="BN373" s="1"/>
  <c r="W373" l="1"/>
  <c r="X373" s="1"/>
  <c r="Y373" s="1"/>
  <c r="Z373" s="1"/>
  <c r="DC373"/>
  <c r="DD373" s="1"/>
  <c r="DE373" s="1"/>
  <c r="DF373" s="1"/>
  <c r="DG373" s="1"/>
  <c r="AI373"/>
  <c r="AK373" s="1"/>
  <c r="BO373"/>
  <c r="BP373" s="1"/>
  <c r="CL373" s="1"/>
  <c r="Z373" i="6" l="1"/>
  <c r="AA373" i="3"/>
  <c r="BR373"/>
  <c r="BS373" s="1"/>
  <c r="CN373"/>
  <c r="CX373"/>
  <c r="BT373"/>
  <c r="Y373" i="6" l="1"/>
  <c r="AA373"/>
  <c r="Z373" i="8"/>
  <c r="Y373" s="1"/>
  <c r="BT373" i="6"/>
  <c r="BU373" i="3"/>
  <c r="BV373"/>
  <c r="AA373" i="8" l="1"/>
  <c r="BV373" i="6"/>
  <c r="BU373"/>
  <c r="BT373" i="8"/>
  <c r="BW373" l="1"/>
  <c r="BU373"/>
  <c r="I372" i="3"/>
  <c r="H372"/>
  <c r="I371"/>
  <c r="H371"/>
  <c r="F372" l="1"/>
  <c r="F371"/>
  <c r="E371"/>
  <c r="BK371"/>
  <c r="BL371" s="1"/>
  <c r="E372"/>
  <c r="G372" s="1"/>
  <c r="BK372"/>
  <c r="BL372" s="1"/>
  <c r="BM372" s="1"/>
  <c r="BN372" s="1"/>
  <c r="BM371" l="1"/>
  <c r="BN371" s="1"/>
  <c r="G371"/>
  <c r="AI371" s="1"/>
  <c r="AK371" s="1"/>
  <c r="W372"/>
  <c r="X372" s="1"/>
  <c r="Y372" s="1"/>
  <c r="Z372" s="1"/>
  <c r="Z372" i="6" s="1"/>
  <c r="DC372" i="3"/>
  <c r="DD372" s="1"/>
  <c r="DE372" s="1"/>
  <c r="DF372" s="1"/>
  <c r="DG372" s="1"/>
  <c r="AI372"/>
  <c r="AK372" s="1"/>
  <c r="BO371"/>
  <c r="BT371" s="1"/>
  <c r="BO372"/>
  <c r="BP372" s="1"/>
  <c r="CL372" s="1"/>
  <c r="W371"/>
  <c r="X371" s="1"/>
  <c r="Y371" s="1"/>
  <c r="Z371" s="1"/>
  <c r="I370"/>
  <c r="H370"/>
  <c r="DC371" l="1"/>
  <c r="DD371" s="1"/>
  <c r="DE371" s="1"/>
  <c r="DF371" s="1"/>
  <c r="DG371" s="1"/>
  <c r="F370"/>
  <c r="AA372"/>
  <c r="BR372"/>
  <c r="BS372" s="1"/>
  <c r="BT372"/>
  <c r="BP371"/>
  <c r="CL371" s="1"/>
  <c r="CX371" s="1"/>
  <c r="E370"/>
  <c r="BK370"/>
  <c r="BL370" s="1"/>
  <c r="BM370" s="1"/>
  <c r="BN370" s="1"/>
  <c r="BT372" i="6"/>
  <c r="AA371" i="3"/>
  <c r="Z371" i="6"/>
  <c r="CX372" i="3"/>
  <c r="CN372"/>
  <c r="BR371"/>
  <c r="BS371" s="1"/>
  <c r="AA372" i="6"/>
  <c r="Y372"/>
  <c r="Z372" i="8"/>
  <c r="BU371" i="3"/>
  <c r="BV371"/>
  <c r="BT371" i="6"/>
  <c r="I369" i="3"/>
  <c r="H369"/>
  <c r="G370" l="1"/>
  <c r="F369"/>
  <c r="BU372"/>
  <c r="CN371"/>
  <c r="BV372"/>
  <c r="BT372" i="8"/>
  <c r="BV372" i="6"/>
  <c r="BU372"/>
  <c r="AA371"/>
  <c r="Z371" i="8"/>
  <c r="Y371" i="6"/>
  <c r="E369" i="3"/>
  <c r="BK369"/>
  <c r="BL369" s="1"/>
  <c r="BU371" i="6"/>
  <c r="BT371" i="8"/>
  <c r="BV371" i="6"/>
  <c r="AA372" i="8"/>
  <c r="Y372"/>
  <c r="BO370" i="3"/>
  <c r="BP370" s="1"/>
  <c r="CL370" s="1"/>
  <c r="AI370"/>
  <c r="AK370" s="1"/>
  <c r="DC370"/>
  <c r="DD370" s="1"/>
  <c r="DE370" s="1"/>
  <c r="DF370" s="1"/>
  <c r="DG370" s="1"/>
  <c r="W370"/>
  <c r="X370" s="1"/>
  <c r="Y370" s="1"/>
  <c r="Z370" s="1"/>
  <c r="G369" l="1"/>
  <c r="DC369" s="1"/>
  <c r="DD369" s="1"/>
  <c r="DE369" s="1"/>
  <c r="DF369" s="1"/>
  <c r="DG369" s="1"/>
  <c r="BM369"/>
  <c r="BN369" s="1"/>
  <c r="BO369" s="1"/>
  <c r="BP369" s="1"/>
  <c r="CL369" s="1"/>
  <c r="CX370"/>
  <c r="CN370"/>
  <c r="BW371" i="8"/>
  <c r="BU371"/>
  <c r="AA370" i="3"/>
  <c r="Z370" i="6"/>
  <c r="BR370" i="3"/>
  <c r="BS370" s="1"/>
  <c r="BT370"/>
  <c r="AI369"/>
  <c r="AK369" s="1"/>
  <c r="AA371" i="8"/>
  <c r="Y371"/>
  <c r="BW372"/>
  <c r="BU372"/>
  <c r="W369" i="3" l="1"/>
  <c r="X369" s="1"/>
  <c r="Y369" s="1"/>
  <c r="Z369" s="1"/>
  <c r="AA369" s="1"/>
  <c r="BR369"/>
  <c r="BS369" s="1"/>
  <c r="BT369"/>
  <c r="Z370" i="8"/>
  <c r="Y370" i="6"/>
  <c r="AA370"/>
  <c r="CN369" i="3"/>
  <c r="CX369"/>
  <c r="Z369" i="6"/>
  <c r="BV370" i="3"/>
  <c r="BT370" i="6"/>
  <c r="BU370" i="3"/>
  <c r="I368"/>
  <c r="H368"/>
  <c r="F368" l="1"/>
  <c r="BT369" i="6"/>
  <c r="BT369" i="8" s="1"/>
  <c r="BV369" i="3"/>
  <c r="BU369"/>
  <c r="BK368"/>
  <c r="BL368" s="1"/>
  <c r="BM368" s="1"/>
  <c r="BN368" s="1"/>
  <c r="E368"/>
  <c r="G368" s="1"/>
  <c r="AI368" s="1"/>
  <c r="AK368" s="1"/>
  <c r="Z369" i="8"/>
  <c r="Y369" i="6"/>
  <c r="AA369"/>
  <c r="BT370" i="8"/>
  <c r="BU370" i="6"/>
  <c r="BV370"/>
  <c r="AA370" i="8"/>
  <c r="Y370"/>
  <c r="BU369" i="6" l="1"/>
  <c r="BV369"/>
  <c r="Y369" i="8"/>
  <c r="AA369"/>
  <c r="DC368" i="3"/>
  <c r="DD368" s="1"/>
  <c r="DE368" s="1"/>
  <c r="DF368" s="1"/>
  <c r="DG368" s="1"/>
  <c r="W368"/>
  <c r="X368" s="1"/>
  <c r="Y368" s="1"/>
  <c r="Z368" s="1"/>
  <c r="BW369" i="8"/>
  <c r="BU369"/>
  <c r="BW370"/>
  <c r="BU370"/>
  <c r="BO368" i="3"/>
  <c r="BP368" s="1"/>
  <c r="CL368" s="1"/>
  <c r="BT368" l="1"/>
  <c r="BR368"/>
  <c r="BS368" s="1"/>
  <c r="AA368"/>
  <c r="Z368" i="6"/>
  <c r="CX368" i="3"/>
  <c r="CN368"/>
  <c r="BU368" l="1"/>
  <c r="BT368" i="6"/>
  <c r="BU368" s="1"/>
  <c r="BV368" i="3"/>
  <c r="Y368" i="6"/>
  <c r="Z368" i="8"/>
  <c r="AA368" i="6"/>
  <c r="I367" i="3"/>
  <c r="H367"/>
  <c r="F367" l="1"/>
  <c r="BT368" i="8"/>
  <c r="BW368" s="1"/>
  <c r="BV368" i="6"/>
  <c r="BK367" i="3"/>
  <c r="BL367" s="1"/>
  <c r="E367"/>
  <c r="G367" s="1"/>
  <c r="Y368" i="8"/>
  <c r="AA368"/>
  <c r="I366" i="3"/>
  <c r="H366"/>
  <c r="BM367" l="1"/>
  <c r="BN367" s="1"/>
  <c r="BU368" i="8"/>
  <c r="F366" i="3"/>
  <c r="BO367"/>
  <c r="BR367" s="1"/>
  <c r="BS367" s="1"/>
  <c r="E366"/>
  <c r="BK366"/>
  <c r="BL366" s="1"/>
  <c r="W367"/>
  <c r="X367" s="1"/>
  <c r="Y367" s="1"/>
  <c r="Z367" s="1"/>
  <c r="DC367"/>
  <c r="DD367" s="1"/>
  <c r="DE367" s="1"/>
  <c r="DF367" s="1"/>
  <c r="DG367" s="1"/>
  <c r="AI367"/>
  <c r="AK367" s="1"/>
  <c r="G366" l="1"/>
  <c r="AI366" s="1"/>
  <c r="AK366" s="1"/>
  <c r="BM366"/>
  <c r="BN366" s="1"/>
  <c r="BO366" s="1"/>
  <c r="BR366" s="1"/>
  <c r="BS366" s="1"/>
  <c r="BT367"/>
  <c r="BV367" s="1"/>
  <c r="BP367"/>
  <c r="CL367" s="1"/>
  <c r="CX367" s="1"/>
  <c r="Z367" i="6"/>
  <c r="AA367" i="3"/>
  <c r="BU367"/>
  <c r="BT367" i="6"/>
  <c r="W366" i="3" l="1"/>
  <c r="X366" s="1"/>
  <c r="Y366" s="1"/>
  <c r="Z366" s="1"/>
  <c r="AA366" s="1"/>
  <c r="DC366"/>
  <c r="DD366" s="1"/>
  <c r="DE366" s="1"/>
  <c r="DF366" s="1"/>
  <c r="DG366" s="1"/>
  <c r="CN367"/>
  <c r="BP366"/>
  <c r="CL366" s="1"/>
  <c r="BV367" i="6"/>
  <c r="BT367" i="8"/>
  <c r="BU367" i="6"/>
  <c r="Z366"/>
  <c r="BT366" i="3"/>
  <c r="AA367" i="6"/>
  <c r="Z367" i="8"/>
  <c r="Y367" i="6"/>
  <c r="BU367" i="8" l="1"/>
  <c r="BW367"/>
  <c r="AA366" i="6"/>
  <c r="Z366" i="8"/>
  <c r="Y366" i="6"/>
  <c r="BV366" i="3"/>
  <c r="BT366" i="6"/>
  <c r="BU366" i="3"/>
  <c r="Y367" i="8"/>
  <c r="AA367"/>
  <c r="CX366" i="3"/>
  <c r="CN366"/>
  <c r="Y366" i="8" l="1"/>
  <c r="AA366"/>
  <c r="BU366" i="6"/>
  <c r="BT366" i="8"/>
  <c r="BV366" i="6"/>
  <c r="BW366" i="8" l="1"/>
  <c r="BU366"/>
  <c r="H365" i="3" l="1"/>
  <c r="E365" l="1"/>
  <c r="BK365"/>
  <c r="BL365" s="1"/>
  <c r="I365"/>
  <c r="F365" l="1"/>
  <c r="BM365" s="1"/>
  <c r="BN365" s="1"/>
  <c r="BO365" s="1"/>
  <c r="G365" l="1"/>
  <c r="BP365"/>
  <c r="CL365" s="1"/>
  <c r="CN365" s="1"/>
  <c r="BR365"/>
  <c r="BS365" s="1"/>
  <c r="BT365"/>
  <c r="DC365"/>
  <c r="DD365" s="1"/>
  <c r="DE365" s="1"/>
  <c r="DF365" s="1"/>
  <c r="DG365" s="1"/>
  <c r="W365"/>
  <c r="X365" s="1"/>
  <c r="Y365" s="1"/>
  <c r="Z365" s="1"/>
  <c r="AI365"/>
  <c r="AK365" s="1"/>
  <c r="BV365" l="1"/>
  <c r="CX365"/>
  <c r="BT365" i="6"/>
  <c r="BU365" s="1"/>
  <c r="BU365" i="3"/>
  <c r="Z365" i="6"/>
  <c r="AA365" i="3"/>
  <c r="BT365" i="8" l="1"/>
  <c r="BW365" s="1"/>
  <c r="BV365" i="6"/>
  <c r="Y365"/>
  <c r="AA365"/>
  <c r="Z365" i="8"/>
  <c r="BU365" l="1"/>
  <c r="AA365"/>
  <c r="Y365"/>
  <c r="BD384" i="2" l="1"/>
  <c r="BH384" s="1"/>
  <c r="BD382"/>
  <c r="BH382" s="1"/>
  <c r="BD390" l="1"/>
  <c r="BH390" s="1"/>
  <c r="BD385"/>
  <c r="BH385" s="1"/>
  <c r="BD387"/>
  <c r="BH387" s="1"/>
  <c r="BD391"/>
  <c r="BH391" s="1"/>
  <c r="BD381"/>
  <c r="BH381" s="1"/>
  <c r="BD388"/>
  <c r="BH388" s="1"/>
  <c r="BA393" i="3" l="1"/>
  <c r="BE393" s="1"/>
  <c r="BA399"/>
  <c r="BE399" s="1"/>
  <c r="BA400"/>
  <c r="BE400" s="1"/>
  <c r="BD380" i="2" l="1"/>
  <c r="BH380" s="1"/>
  <c r="BD383"/>
  <c r="BH383" s="1"/>
  <c r="BD389"/>
  <c r="BH389" s="1"/>
  <c r="BD386"/>
  <c r="BH386" s="1"/>
  <c r="BA394" i="3"/>
  <c r="BE394" s="1"/>
  <c r="BA397"/>
  <c r="BE397" s="1"/>
  <c r="BA391"/>
  <c r="BE391" s="1"/>
  <c r="BA396" l="1"/>
  <c r="BE396" s="1"/>
  <c r="BA390"/>
  <c r="BE390" s="1"/>
  <c r="BH393" i="2"/>
  <c r="BH394" s="1"/>
  <c r="BA395" i="3"/>
  <c r="BE395" s="1"/>
  <c r="BA398"/>
  <c r="BE398" s="1"/>
  <c r="BA389"/>
  <c r="BE389" s="1"/>
  <c r="BA392" l="1"/>
  <c r="BE392" s="1"/>
  <c r="BE402" s="1"/>
  <c r="BE403" s="1"/>
  <c r="BP376" i="4" l="1"/>
  <c r="BT376" s="1"/>
  <c r="BP376" i="5"/>
  <c r="BP376" i="1"/>
  <c r="BP376" i="2"/>
  <c r="BT376" i="5" l="1"/>
  <c r="BP376" i="9"/>
  <c r="BU376" i="4"/>
  <c r="BT376" i="1"/>
  <c r="BQ376"/>
  <c r="BP376" i="6"/>
  <c r="BP376" i="8" s="1"/>
  <c r="BT376" i="2"/>
  <c r="BQ376"/>
  <c r="BR376" l="1"/>
  <c r="BS376" s="1"/>
  <c r="BV376"/>
  <c r="BU376"/>
  <c r="BV376" i="1"/>
  <c r="BR376"/>
  <c r="BS376" s="1"/>
  <c r="BU376"/>
  <c r="BT376" i="6"/>
  <c r="BT376" i="9"/>
  <c r="BU376" i="5"/>
  <c r="CL376" i="3" l="1"/>
  <c r="CX376" s="1"/>
  <c r="BV376" i="6"/>
  <c r="BU376"/>
  <c r="BT376" i="8"/>
  <c r="CN376" i="3"/>
  <c r="BW376" i="9"/>
  <c r="BU376"/>
  <c r="BW376" i="8" l="1"/>
  <c r="BU376"/>
  <c r="AB376" i="4" l="1"/>
  <c r="BW376"/>
  <c r="AB376" i="5"/>
  <c r="BW376"/>
  <c r="DH376" i="3" l="1"/>
  <c r="DI376" s="1"/>
  <c r="AB376" i="2"/>
  <c r="BW376"/>
  <c r="AB376" i="1"/>
  <c r="AB376" i="9" s="1"/>
  <c r="BW376" i="1"/>
  <c r="AB376" i="3" l="1"/>
  <c r="AD376" s="1"/>
  <c r="BW376"/>
  <c r="AF376" l="1"/>
  <c r="AG376" s="1"/>
  <c r="AE376"/>
  <c r="AB376" i="6"/>
  <c r="AC376" s="1"/>
  <c r="AB375" i="5" l="1"/>
  <c r="BW375"/>
  <c r="DH375" i="3" l="1"/>
  <c r="DI375" s="1"/>
  <c r="AB375" i="1"/>
  <c r="AB375" i="9" s="1"/>
  <c r="BW375" i="1"/>
  <c r="AB375" i="2"/>
  <c r="BW375"/>
  <c r="AB375" i="4"/>
  <c r="BW375"/>
  <c r="AB375" i="3" l="1"/>
  <c r="AD375" s="1"/>
  <c r="BW375"/>
  <c r="AB374" i="5"/>
  <c r="BW374"/>
  <c r="AB374" i="4"/>
  <c r="BW374"/>
  <c r="AB375" i="6" l="1"/>
  <c r="AC375" s="1"/>
  <c r="AF375" i="3"/>
  <c r="AG375" s="1"/>
  <c r="AE375"/>
  <c r="DH374"/>
  <c r="DI374" s="1"/>
  <c r="AB374" i="2"/>
  <c r="BW374"/>
  <c r="BW374" i="1"/>
  <c r="AB374"/>
  <c r="AB374" i="9" s="1"/>
  <c r="AB374" i="3" l="1"/>
  <c r="AD374" s="1"/>
  <c r="BW374"/>
  <c r="AB374" i="6" l="1"/>
  <c r="AC374" s="1"/>
  <c r="AF374" i="3"/>
  <c r="AG374" s="1"/>
  <c r="AE374"/>
  <c r="AB373" i="4"/>
  <c r="BW373"/>
  <c r="BW373" i="5"/>
  <c r="AB373"/>
  <c r="DH373" i="3" l="1"/>
  <c r="DI373" s="1"/>
  <c r="AB373" i="1"/>
  <c r="AB373" i="9" s="1"/>
  <c r="BW373" i="1"/>
  <c r="AB373" i="2"/>
  <c r="BW373"/>
  <c r="AB373" i="3" l="1"/>
  <c r="AD373" s="1"/>
  <c r="BW373"/>
  <c r="AB373" i="6" l="1"/>
  <c r="AC373" s="1"/>
  <c r="AE373" i="3"/>
  <c r="AF373"/>
  <c r="AG373" s="1"/>
  <c r="BW372" i="4"/>
  <c r="AB372"/>
  <c r="AB371"/>
  <c r="BW371"/>
  <c r="BW371" i="5"/>
  <c r="AB371"/>
  <c r="AB372"/>
  <c r="BW372"/>
  <c r="DH371" i="3" l="1"/>
  <c r="DI371" s="1"/>
  <c r="DH372"/>
  <c r="DI372" s="1"/>
  <c r="AB371" i="1"/>
  <c r="BW371"/>
  <c r="BW365" i="5"/>
  <c r="AB365"/>
  <c r="BW368" i="4"/>
  <c r="AB368"/>
  <c r="DB365" i="2"/>
  <c r="DG365" s="1"/>
  <c r="AB371"/>
  <c r="BW371"/>
  <c r="AB366" i="5"/>
  <c r="BW366"/>
  <c r="AB369"/>
  <c r="BW369"/>
  <c r="AB368"/>
  <c r="BW368"/>
  <c r="AB366" i="4"/>
  <c r="BW366"/>
  <c r="BW370"/>
  <c r="AB370"/>
  <c r="AB372" i="2"/>
  <c r="BW372"/>
  <c r="BW372" i="1"/>
  <c r="AB372"/>
  <c r="BW370" i="5"/>
  <c r="AB370"/>
  <c r="DB366" i="2"/>
  <c r="DG366" s="1"/>
  <c r="BW367" i="4"/>
  <c r="AB367"/>
  <c r="BW367" i="5"/>
  <c r="AB367"/>
  <c r="AB369" i="4"/>
  <c r="BW369"/>
  <c r="AB371" i="9" l="1"/>
  <c r="AR37" i="5"/>
  <c r="AB372" i="9"/>
  <c r="AB372" i="3"/>
  <c r="BW372"/>
  <c r="AB371"/>
  <c r="BW371"/>
  <c r="DH370"/>
  <c r="DI370" s="1"/>
  <c r="BW367" i="2"/>
  <c r="AB367"/>
  <c r="BW365" i="4"/>
  <c r="AB365"/>
  <c r="AR37" s="1"/>
  <c r="AB365" i="2"/>
  <c r="BW365"/>
  <c r="AB365" i="1"/>
  <c r="BW365"/>
  <c r="BW370" i="2"/>
  <c r="AB370"/>
  <c r="BW367" i="1"/>
  <c r="AB367"/>
  <c r="AB368" i="2"/>
  <c r="BW368"/>
  <c r="BW366"/>
  <c r="AB366"/>
  <c r="AB370" i="1"/>
  <c r="BW370"/>
  <c r="AB368"/>
  <c r="BW368"/>
  <c r="BW366"/>
  <c r="AB366"/>
  <c r="BW369"/>
  <c r="AB369"/>
  <c r="AB369" i="2"/>
  <c r="BW369"/>
  <c r="AB366" i="9" l="1"/>
  <c r="AD371" i="3"/>
  <c r="AB370" i="9"/>
  <c r="AB368"/>
  <c r="AB365"/>
  <c r="AN37" i="1"/>
  <c r="AB369" i="9"/>
  <c r="AB367"/>
  <c r="AD372" i="3"/>
  <c r="AF372" s="1"/>
  <c r="AG372" s="1"/>
  <c r="AM37" i="2"/>
  <c r="AB372" i="6"/>
  <c r="AC372" s="1"/>
  <c r="AF371" i="3"/>
  <c r="AG371" s="1"/>
  <c r="AE371"/>
  <c r="DH369"/>
  <c r="DI369" s="1"/>
  <c r="AB371" i="6"/>
  <c r="AB370" i="3"/>
  <c r="BW370"/>
  <c r="AC371" i="6" l="1"/>
  <c r="AO37" i="1"/>
  <c r="AT37"/>
  <c r="AU37" s="1"/>
  <c r="AD370" i="3"/>
  <c r="AE370" s="1"/>
  <c r="AE372"/>
  <c r="AB370" i="6"/>
  <c r="AP37" i="9"/>
  <c r="AN37" i="2"/>
  <c r="AS37"/>
  <c r="AT37" s="1"/>
  <c r="AF370" i="3"/>
  <c r="AG370" s="1"/>
  <c r="AB369"/>
  <c r="BW369"/>
  <c r="AC370" i="6" l="1"/>
  <c r="AQ37" i="9"/>
  <c r="AW37"/>
  <c r="AX37" s="1"/>
  <c r="AD369" i="3"/>
  <c r="AB369" i="6"/>
  <c r="AC369" l="1"/>
  <c r="AE369" i="3"/>
  <c r="AF369"/>
  <c r="AG369" s="1"/>
  <c r="DH368"/>
  <c r="DI368" s="1"/>
  <c r="AB368" l="1"/>
  <c r="BW368"/>
  <c r="AD368" l="1"/>
  <c r="AB368" i="6"/>
  <c r="AC368" l="1"/>
  <c r="AE368" i="3"/>
  <c r="AF368"/>
  <c r="AG368" s="1"/>
  <c r="DH367"/>
  <c r="DI367" s="1"/>
  <c r="DH366" l="1"/>
  <c r="DI366" s="1"/>
  <c r="AB367"/>
  <c r="BW367"/>
  <c r="AD367" l="1"/>
  <c r="AB367" i="6"/>
  <c r="AB366" i="3"/>
  <c r="BW366"/>
  <c r="AC367" i="6" l="1"/>
  <c r="AD366" i="3"/>
  <c r="AB366" i="6"/>
  <c r="AE367" i="3"/>
  <c r="AF367"/>
  <c r="AG367" s="1"/>
  <c r="AC366" i="6" l="1"/>
  <c r="AF366" i="3"/>
  <c r="AG366" s="1"/>
  <c r="AE366"/>
  <c r="DH365" l="1"/>
  <c r="DI365" s="1"/>
  <c r="AB365" l="1"/>
  <c r="BW365"/>
  <c r="AK37" l="1"/>
  <c r="AL37"/>
  <c r="AQ37"/>
  <c r="AR37" s="1"/>
  <c r="AD365"/>
  <c r="AB365" i="6"/>
  <c r="AC365" l="1"/>
  <c r="AP37"/>
  <c r="AU37" i="3"/>
  <c r="BH37" s="1"/>
  <c r="BH38"/>
  <c r="AS46"/>
  <c r="AF365"/>
  <c r="AG365" s="1"/>
  <c r="AE365"/>
  <c r="AQ37" i="6" l="1"/>
  <c r="AW37"/>
  <c r="AX37" s="1"/>
  <c r="AO38"/>
  <c r="AP43"/>
  <c r="CO376" i="3"/>
  <c r="CO375" l="1"/>
  <c r="CO374" l="1"/>
  <c r="CO373" l="1"/>
  <c r="CO372" l="1"/>
  <c r="CO371"/>
  <c r="CO370" l="1"/>
  <c r="CO369" l="1"/>
  <c r="CO368" l="1"/>
  <c r="CO367" l="1"/>
  <c r="CO366" l="1"/>
  <c r="CO365" l="1"/>
  <c r="CU376" l="1"/>
  <c r="CU375"/>
  <c r="CU373"/>
  <c r="CU372"/>
  <c r="CU374"/>
  <c r="CU368" l="1"/>
  <c r="CU365"/>
  <c r="CU366"/>
  <c r="CU367"/>
  <c r="CW374"/>
  <c r="CY374" s="1"/>
  <c r="CV374"/>
  <c r="CU371"/>
  <c r="CU370"/>
  <c r="CW375"/>
  <c r="CY375" s="1"/>
  <c r="CV375"/>
  <c r="CU369"/>
  <c r="CV372"/>
  <c r="CW372"/>
  <c r="CY372" s="1"/>
  <c r="CW373"/>
  <c r="CY373" s="1"/>
  <c r="CV373"/>
  <c r="CW376"/>
  <c r="CY376" s="1"/>
  <c r="CV376"/>
  <c r="CV365" l="1"/>
  <c r="CW365"/>
  <c r="CY365" s="1"/>
  <c r="CV369"/>
  <c r="CW369"/>
  <c r="CY369" s="1"/>
  <c r="CV370"/>
  <c r="CW370"/>
  <c r="CY370" s="1"/>
  <c r="CW366"/>
  <c r="CY366" s="1"/>
  <c r="CV366"/>
  <c r="CV368"/>
  <c r="CW368"/>
  <c r="CY368" s="1"/>
  <c r="CV371"/>
  <c r="CW371"/>
  <c r="CY371" s="1"/>
  <c r="CW367"/>
  <c r="CY367" s="1"/>
  <c r="CV367"/>
  <c r="AP17" i="10" l="1"/>
</calcChain>
</file>

<file path=xl/comments1.xml><?xml version="1.0" encoding="utf-8"?>
<comments xmlns="http://schemas.openxmlformats.org/spreadsheetml/2006/main">
  <authors>
    <author>ot05219</author>
  </authors>
  <commentList>
    <comment ref="AP28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w/Hurric Impacts
</t>
        </r>
      </text>
    </comment>
  </commentList>
</comments>
</file>

<file path=xl/comments2.xml><?xml version="1.0" encoding="utf-8"?>
<comments xmlns="http://schemas.openxmlformats.org/spreadsheetml/2006/main">
  <authors>
    <author>ot05219</author>
  </authors>
  <commentList>
    <comment ref="AP28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w/Hurric Impacts
</t>
        </r>
      </text>
    </comment>
  </commentList>
</comments>
</file>

<file path=xl/comments3.xml><?xml version="1.0" encoding="utf-8"?>
<comments xmlns="http://schemas.openxmlformats.org/spreadsheetml/2006/main">
  <authors>
    <author>ot05219</author>
    <author>Progress Energy</author>
  </authors>
  <commentList>
    <comment ref="AN28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with Hurricane impacts.</t>
        </r>
      </text>
    </comment>
    <comment ref="Z264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Incl Hurricane losses.</t>
        </r>
      </text>
    </comment>
    <comment ref="AC305" authorId="1">
      <text>
        <r>
          <rPr>
            <b/>
            <sz val="8"/>
            <color indexed="81"/>
            <rFont val="Tahoma"/>
            <family val="2"/>
          </rPr>
          <t>Progress Energy:</t>
        </r>
        <r>
          <rPr>
            <sz val="8"/>
            <color indexed="81"/>
            <rFont val="Tahoma"/>
            <family val="2"/>
          </rPr>
          <t xml:space="preserve">
New assumption: Read day is now Day 1…not Day 3.</t>
        </r>
      </text>
    </comment>
  </commentList>
</comments>
</file>

<file path=xl/comments4.xml><?xml version="1.0" encoding="utf-8"?>
<comments xmlns="http://schemas.openxmlformats.org/spreadsheetml/2006/main">
  <authors>
    <author>ot05219</author>
  </authors>
  <commentList>
    <comment ref="Z264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Incl Hurricane losses.</t>
        </r>
      </text>
    </comment>
  </commentList>
</comments>
</file>

<file path=xl/comments5.xml><?xml version="1.0" encoding="utf-8"?>
<comments xmlns="http://schemas.openxmlformats.org/spreadsheetml/2006/main">
  <authors>
    <author>ot05219</author>
  </authors>
  <commentList>
    <comment ref="AR28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Incl Hurric Impacts
</t>
        </r>
      </text>
    </comment>
    <comment ref="CJ28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Incl Hurric Impacts
</t>
        </r>
      </text>
    </comment>
  </commentList>
</comments>
</file>

<file path=xl/comments6.xml><?xml version="1.0" encoding="utf-8"?>
<comments xmlns="http://schemas.openxmlformats.org/spreadsheetml/2006/main">
  <authors>
    <author>ot05219</author>
  </authors>
  <commentList>
    <comment ref="AM28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with Hurricane impacts.</t>
        </r>
      </text>
    </comment>
    <comment ref="CI28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Incl Hurric Impacts
</t>
        </r>
      </text>
    </comment>
    <comment ref="I149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from EO95.xls</t>
        </r>
      </text>
    </comment>
    <comment ref="G157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Bad data point…second term is a estimated necessary correction.</t>
        </r>
      </text>
    </comment>
    <comment ref="I161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from EO96.xls</t>
        </r>
      </text>
    </comment>
    <comment ref="I173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from EO97.xls</t>
        </r>
      </text>
    </comment>
    <comment ref="I185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from MEORR98.xls</t>
        </r>
      </text>
    </comment>
    <comment ref="F186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Bad data point…second term is a estimated necessary correction.</t>
        </r>
      </text>
    </comment>
    <comment ref="Z264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Incl Hurricane Impacts.</t>
        </r>
      </text>
    </comment>
  </commentList>
</comments>
</file>

<file path=xl/comments7.xml><?xml version="1.0" encoding="utf-8"?>
<comments xmlns="http://schemas.openxmlformats.org/spreadsheetml/2006/main">
  <authors>
    <author>ot05219</author>
    <author>Progress Energy</author>
  </authors>
  <commentList>
    <comment ref="AK28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with Hurricane impacts.</t>
        </r>
      </text>
    </comment>
    <comment ref="CF28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Includes Hurric Impacts.</t>
        </r>
      </text>
    </comment>
    <comment ref="Z264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w/ Hurricane Losses applied.</t>
        </r>
      </text>
    </comment>
    <comment ref="A305" authorId="1">
      <text>
        <r>
          <rPr>
            <b/>
            <sz val="8"/>
            <color indexed="81"/>
            <rFont val="Tahoma"/>
            <family val="2"/>
          </rPr>
          <t>Progress Energy:</t>
        </r>
        <r>
          <rPr>
            <sz val="8"/>
            <color indexed="81"/>
            <rFont val="Tahoma"/>
            <family val="2"/>
          </rPr>
          <t xml:space="preserve">
New assumption: Read day is now Day 1…not Day 3.</t>
        </r>
      </text>
    </comment>
  </commentList>
</comments>
</file>

<file path=xl/comments8.xml><?xml version="1.0" encoding="utf-8"?>
<comments xmlns="http://schemas.openxmlformats.org/spreadsheetml/2006/main">
  <authors>
    <author>Progress Energy</author>
  </authors>
  <commentList>
    <comment ref="A305" authorId="0">
      <text>
        <r>
          <rPr>
            <b/>
            <sz val="8"/>
            <color indexed="81"/>
            <rFont val="Tahoma"/>
            <family val="2"/>
          </rPr>
          <t>Progress Energy:</t>
        </r>
        <r>
          <rPr>
            <sz val="8"/>
            <color indexed="81"/>
            <rFont val="Tahoma"/>
            <family val="2"/>
          </rPr>
          <t xml:space="preserve">
New assumption: Read day is now Day 1…not Day 3.</t>
        </r>
      </text>
    </comment>
  </commentList>
</comments>
</file>

<file path=xl/sharedStrings.xml><?xml version="1.0" encoding="utf-8"?>
<sst xmlns="http://schemas.openxmlformats.org/spreadsheetml/2006/main" count="4587" uniqueCount="340">
  <si>
    <t>ANNUAL PUBLIC AUTHORITY SALES</t>
  </si>
  <si>
    <t>VARIABLE</t>
  </si>
  <si>
    <t>SPA</t>
  </si>
  <si>
    <t>WNORML</t>
  </si>
  <si>
    <t>BILLED</t>
  </si>
  <si>
    <t>MWH</t>
  </si>
  <si>
    <t xml:space="preserve">NAME  </t>
  </si>
  <si>
    <t>COEFFS</t>
  </si>
  <si>
    <t>YEAR</t>
  </si>
  <si>
    <t>% CHG</t>
  </si>
  <si>
    <t>Custs</t>
  </si>
  <si>
    <t>HDD65</t>
  </si>
  <si>
    <t>TOTAL</t>
  </si>
  <si>
    <t>METER</t>
  </si>
  <si>
    <t>MRC</t>
  </si>
  <si>
    <t>BILLED,</t>
  </si>
  <si>
    <t>Calendar Month</t>
  </si>
  <si>
    <t>WN</t>
  </si>
  <si>
    <t>|</t>
  </si>
  <si>
    <t>NORMAL</t>
  </si>
  <si>
    <t>ACT</t>
  </si>
  <si>
    <t>NORM.</t>
  </si>
  <si>
    <t>HDD</t>
  </si>
  <si>
    <t>COM CDD</t>
  </si>
  <si>
    <t>READING</t>
  </si>
  <si>
    <t>W.N.</t>
  </si>
  <si>
    <t>COM.cdd</t>
  </si>
  <si>
    <t>Hdd</t>
  </si>
  <si>
    <t>Calmo</t>
  </si>
  <si>
    <t>M</t>
  </si>
  <si>
    <t>SPAMWH</t>
  </si>
  <si>
    <t>SPACUS</t>
  </si>
  <si>
    <t>SPAUPC</t>
  </si>
  <si>
    <t>DIFF</t>
  </si>
  <si>
    <t>hdd</t>
  </si>
  <si>
    <t>Adjustmt.</t>
  </si>
  <si>
    <t>SCHED</t>
  </si>
  <si>
    <t>SMWH</t>
  </si>
  <si>
    <t>SUPC</t>
  </si>
  <si>
    <t>Wnorm less</t>
  </si>
  <si>
    <t>Actual</t>
  </si>
  <si>
    <t>Weather</t>
  </si>
  <si>
    <t>%</t>
  </si>
  <si>
    <t>CUPC</t>
  </si>
  <si>
    <t>W/SEB</t>
  </si>
  <si>
    <t>CSALES</t>
  </si>
  <si>
    <t>CHG</t>
  </si>
  <si>
    <t>CCUSTS</t>
  </si>
  <si>
    <t>WNCUPC</t>
  </si>
  <si>
    <t>WNORM</t>
  </si>
  <si>
    <t>Diff from</t>
  </si>
  <si>
    <t>yr over</t>
  </si>
  <si>
    <t>billed</t>
  </si>
  <si>
    <t>CMWH</t>
  </si>
  <si>
    <t>yr growth</t>
  </si>
  <si>
    <t>actual MWh</t>
  </si>
  <si>
    <t>Com'l</t>
  </si>
  <si>
    <t>WEATHER NORMALIZATION OF WEATHER SENSITIVE SALES</t>
  </si>
  <si>
    <t>WEATHER ADJUSTMENT TO RESIDENTIAL SALES</t>
  </si>
  <si>
    <t>RESIDENTIAL USE/CUST EQN</t>
  </si>
  <si>
    <t>RUPC</t>
  </si>
  <si>
    <t>RSALES</t>
  </si>
  <si>
    <t>RCUSTS</t>
  </si>
  <si>
    <t xml:space="preserve">NAME :  </t>
  </si>
  <si>
    <t>Unbmwh.xls</t>
  </si>
  <si>
    <t>Billed</t>
  </si>
  <si>
    <t>WNRUPC</t>
  </si>
  <si>
    <t>WN MWh</t>
  </si>
  <si>
    <t>W/NORM</t>
  </si>
  <si>
    <t>RES.cdd</t>
  </si>
  <si>
    <t>RES.hdd</t>
  </si>
  <si>
    <t>less</t>
  </si>
  <si>
    <t>SSR</t>
  </si>
  <si>
    <t>RMWH</t>
  </si>
  <si>
    <t>Billed Act</t>
  </si>
  <si>
    <t>System Requirements vs Calender Month Sales (Billed &amp; Unbilled) Reconciliation</t>
  </si>
  <si>
    <t>"Unexplained"</t>
  </si>
  <si>
    <t>Tot Retail</t>
  </si>
  <si>
    <t>Sys Req</t>
  </si>
  <si>
    <t>Act Retl</t>
  </si>
  <si>
    <t>Chg in</t>
  </si>
  <si>
    <t>Act Whol</t>
  </si>
  <si>
    <t>Company</t>
  </si>
  <si>
    <t>Sys Req less</t>
  </si>
  <si>
    <t>Adjusted</t>
  </si>
  <si>
    <t>weather adj</t>
  </si>
  <si>
    <t>Sys Reqmts</t>
  </si>
  <si>
    <t>Billed MWh</t>
  </si>
  <si>
    <t>Retl unbilled</t>
  </si>
  <si>
    <t>Whol unbilled</t>
  </si>
  <si>
    <t>Use</t>
  </si>
  <si>
    <t>Losses</t>
  </si>
  <si>
    <t>Cal Mo MWh</t>
  </si>
  <si>
    <t>Sys Req-Losses</t>
  </si>
  <si>
    <t>Cal Mo Sales</t>
  </si>
  <si>
    <t>Diff</t>
  </si>
  <si>
    <t>12-Mth</t>
  </si>
  <si>
    <t>Wnorml</t>
  </si>
  <si>
    <t>WNSPAupc</t>
  </si>
  <si>
    <t>Spa</t>
  </si>
  <si>
    <t>WEATHER ADJUSTMENT TO COMMERCIAL SALES</t>
  </si>
  <si>
    <t>Res.cdd</t>
  </si>
  <si>
    <t>CDD</t>
  </si>
  <si>
    <t>Yr-over-Yr</t>
  </si>
  <si>
    <t>MWh chg</t>
  </si>
  <si>
    <t>SHLMWH</t>
  </si>
  <si>
    <t>SHLCUSTS</t>
  </si>
  <si>
    <t>IMWH</t>
  </si>
  <si>
    <t>ICUSTS</t>
  </si>
  <si>
    <t>Phos</t>
  </si>
  <si>
    <t>NonPhos</t>
  </si>
  <si>
    <t>Retail MWH</t>
  </si>
  <si>
    <t>Ret CUSTS</t>
  </si>
  <si>
    <t>Total Retail</t>
  </si>
  <si>
    <t>Total Industrial</t>
  </si>
  <si>
    <t>Total Street &amp; Highway Lighting</t>
  </si>
  <si>
    <t>ISALES</t>
  </si>
  <si>
    <t>SHLSALES</t>
  </si>
  <si>
    <t>Normalized</t>
  </si>
  <si>
    <t>RETAIL</t>
  </si>
  <si>
    <t>RetlUPC</t>
  </si>
  <si>
    <t>WEATHER ADJUSTMENT TO RETAIL SALES</t>
  </si>
  <si>
    <t>SALES</t>
  </si>
  <si>
    <t>CUSTS</t>
  </si>
  <si>
    <t>EBD Adj</t>
  </si>
  <si>
    <t>Ret'lMWH</t>
  </si>
  <si>
    <t>Adjustment</t>
  </si>
  <si>
    <t>Yr-Yr Chg</t>
  </si>
  <si>
    <t>SHLSales</t>
  </si>
  <si>
    <t>SAMPLE PERIOD:</t>
  </si>
  <si>
    <t>Cal Mo</t>
  </si>
  <si>
    <t>SPASALES</t>
  </si>
  <si>
    <t>RETLSALES</t>
  </si>
  <si>
    <t>REA</t>
  </si>
  <si>
    <t>MUNI</t>
  </si>
  <si>
    <t>Wholesale</t>
  </si>
  <si>
    <t>WHOLE</t>
  </si>
  <si>
    <t>SAME</t>
  </si>
  <si>
    <t>WholUPC</t>
  </si>
  <si>
    <t>WHOLESALE</t>
  </si>
  <si>
    <t>SYS MWH</t>
  </si>
  <si>
    <t>SYS CUSTS</t>
  </si>
  <si>
    <t>Sys MWH</t>
  </si>
  <si>
    <t>Adjmt</t>
  </si>
  <si>
    <t>Hurricane Charley impacts make up 169, 528 of diff.</t>
  </si>
  <si>
    <t>Hurricanes Frances &amp; Jeanne impacts make up 253,213 of diff.</t>
  </si>
  <si>
    <t>Lost Retail MWh</t>
  </si>
  <si>
    <t>CLASS OF BUSINESS</t>
  </si>
  <si>
    <t xml:space="preserve">   RESIDENTIAL</t>
  </si>
  <si>
    <t xml:space="preserve">   COMMERCIAL</t>
  </si>
  <si>
    <t xml:space="preserve">   INDUSTRIAL</t>
  </si>
  <si>
    <t xml:space="preserve">   ST &amp; HIGHWAY</t>
  </si>
  <si>
    <t xml:space="preserve">   PUBLIC AUTHORITY</t>
  </si>
  <si>
    <t xml:space="preserve">       TOTAL RETAIL</t>
  </si>
  <si>
    <t xml:space="preserve">       TOTAL WHOL</t>
  </si>
  <si>
    <t>Hurricane</t>
  </si>
  <si>
    <t>Impacts</t>
  </si>
  <si>
    <t>w/Hurr</t>
  </si>
  <si>
    <t>Icusts</t>
  </si>
  <si>
    <t>SHLcusts</t>
  </si>
  <si>
    <t>WEATHER ADJUSTMENT TO TOTAL SALES</t>
  </si>
  <si>
    <t>w/o SSR</t>
  </si>
  <si>
    <t>Tot CDD</t>
  </si>
  <si>
    <t>RES</t>
  </si>
  <si>
    <t>Winter</t>
  </si>
  <si>
    <t>MWh</t>
  </si>
  <si>
    <t>SSR only</t>
  </si>
  <si>
    <t>TOT MWH</t>
  </si>
  <si>
    <t>TOT</t>
  </si>
  <si>
    <t>WN-BILLED</t>
  </si>
  <si>
    <t>New 7 WS</t>
  </si>
  <si>
    <t>Tot RES</t>
  </si>
  <si>
    <t>Tot Act</t>
  </si>
  <si>
    <t>HDD62</t>
  </si>
  <si>
    <t>CDD67</t>
  </si>
  <si>
    <t>HDD55</t>
  </si>
  <si>
    <t>CDD65</t>
  </si>
  <si>
    <t>Coml</t>
  </si>
  <si>
    <t>CDD Adj</t>
  </si>
  <si>
    <t>COM MWh</t>
  </si>
  <si>
    <t>COML</t>
  </si>
  <si>
    <t>CCDD65</t>
  </si>
  <si>
    <t>MRC CMWh</t>
  </si>
  <si>
    <t>WNCMWh</t>
  </si>
  <si>
    <t>MRC MWh</t>
  </si>
  <si>
    <t>UPDATE WEATHER FROM BM to CM!!!</t>
  </si>
  <si>
    <t>Yr/Yr Chg</t>
  </si>
  <si>
    <t xml:space="preserve">Gov CDDs </t>
  </si>
  <si>
    <t>CDD70</t>
  </si>
  <si>
    <t>Billing Months of Dec-April; Calendar Months of Dec-Mar, 1/2 impact Nov &amp; Apr</t>
  </si>
  <si>
    <t>Hurric</t>
  </si>
  <si>
    <t>Wthr Adjmt</t>
  </si>
  <si>
    <t>SSALES</t>
  </si>
  <si>
    <t>Resid</t>
  </si>
  <si>
    <t>.</t>
  </si>
  <si>
    <t>SSRUPC/</t>
  </si>
  <si>
    <t>WO-SSRUPC</t>
  </si>
  <si>
    <t>W/Hurr</t>
  </si>
  <si>
    <t>SHL</t>
  </si>
  <si>
    <t>w/Hurric Impacts</t>
  </si>
  <si>
    <t>YoY Chg</t>
  </si>
  <si>
    <t>Used for:</t>
  </si>
  <si>
    <t>1984-2006</t>
  </si>
  <si>
    <t>1984-06</t>
  </si>
  <si>
    <t>SPA USE/CUST:</t>
  </si>
  <si>
    <t>COMMERCIAL SALES:</t>
  </si>
  <si>
    <t>U/C Coeffs</t>
  </si>
  <si>
    <t>MWh Coeffs</t>
  </si>
  <si>
    <t>Total</t>
  </si>
  <si>
    <t>Growth</t>
  </si>
  <si>
    <t>w/Hurric</t>
  </si>
  <si>
    <t>Coml-GS</t>
  </si>
  <si>
    <t>Coml-Ltg</t>
  </si>
  <si>
    <t>UPC</t>
  </si>
  <si>
    <t>Commercial Data by Major Rate Class</t>
  </si>
  <si>
    <t>Coml-Large</t>
  </si>
  <si>
    <t>Coml-Small</t>
  </si>
  <si>
    <t>GS-MWh</t>
  </si>
  <si>
    <t>GS-Custs</t>
  </si>
  <si>
    <t>Cust</t>
  </si>
  <si>
    <t>RCusts</t>
  </si>
  <si>
    <t>Chg</t>
  </si>
  <si>
    <t>w/o WPARK</t>
  </si>
  <si>
    <t>Tot Custs /wo WP</t>
  </si>
  <si>
    <t>Ind-GS</t>
  </si>
  <si>
    <t>Ind-Ltg</t>
  </si>
  <si>
    <t>Yrly DDs</t>
  </si>
  <si>
    <t>Yrly U/C</t>
  </si>
  <si>
    <t>Avg Custs</t>
  </si>
  <si>
    <t>Base $</t>
  </si>
  <si>
    <t>Pre Tax</t>
  </si>
  <si>
    <t>After Tax</t>
  </si>
  <si>
    <t>Yrly MWh</t>
  </si>
  <si>
    <t>R &amp; C</t>
  </si>
  <si>
    <t>Avg Price Energy</t>
  </si>
  <si>
    <t>2007</t>
  </si>
  <si>
    <t>DD Variance</t>
  </si>
  <si>
    <t>Weather Adjmt</t>
  </si>
  <si>
    <t>Base $ Per DD</t>
  </si>
  <si>
    <t>After tax (38.575%)</t>
  </si>
  <si>
    <t>Avg Month</t>
  </si>
  <si>
    <t>Year</t>
  </si>
  <si>
    <t>Mo</t>
  </si>
  <si>
    <t>WnRupc CM</t>
  </si>
  <si>
    <t>(NORMAL WEATHER  -  1984 - 2008)</t>
  </si>
  <si>
    <t>Used in FOR200905</t>
  </si>
  <si>
    <t>Retail</t>
  </si>
  <si>
    <t>Jurisdiction</t>
  </si>
  <si>
    <t>MWh Variance</t>
  </si>
  <si>
    <t>% of Total</t>
  </si>
  <si>
    <t>Tot Sys Billed Cal Mo</t>
  </si>
  <si>
    <t>20Yr Normal</t>
  </si>
  <si>
    <t>1989-2008</t>
  </si>
  <si>
    <t>Gov CDD</t>
  </si>
  <si>
    <t>Gov HDD</t>
  </si>
  <si>
    <t>REGRESSION: SPAUPC=F (ABDAYS, SHDD20, SCDD20,</t>
  </si>
  <si>
    <t>SCH_VAC, SPAC_DUM, CSS_DUM, LSP6, EGOVPC3, AR1, AR2</t>
  </si>
  <si>
    <t xml:space="preserve">REGRESSION: RU=F (ABDAYS, RHDD62, RCDD67, WtrCDD, Seasonal Dummies, RRPMA12, Ln(RFLPY2) </t>
  </si>
  <si>
    <t>1989-08</t>
  </si>
  <si>
    <t>REGRESSION: CMWH=F (ABDAYS, CHDD, CCDD, RCP6, LN(EComl3))</t>
  </si>
  <si>
    <t>Interaction WtrCDD67</t>
  </si>
  <si>
    <t>Total System</t>
  </si>
  <si>
    <t>Total Wholesale</t>
  </si>
  <si>
    <t>WEATHER ADJUSTMENT TO WHOLESALE SALES</t>
  </si>
  <si>
    <t>SysSALES</t>
  </si>
  <si>
    <t>Nonphos</t>
  </si>
  <si>
    <t>SPA &amp; SHL</t>
  </si>
  <si>
    <t>2010/11</t>
  </si>
  <si>
    <t>Billed-20Yr Normal</t>
  </si>
  <si>
    <t>Billed 20Yr Normal</t>
  </si>
  <si>
    <t>SSRUPC/NonSSRUPC</t>
  </si>
  <si>
    <t>SHL + SPA</t>
  </si>
  <si>
    <t>WEATHER ADJUSTMENT TO SHL &amp; SPA Combined</t>
  </si>
  <si>
    <t>SCUSTS</t>
  </si>
  <si>
    <t>Gov MWH</t>
  </si>
  <si>
    <t>GovSALES</t>
  </si>
  <si>
    <t>GUPC</t>
  </si>
  <si>
    <t>CDD + HDD</t>
  </si>
  <si>
    <t>LT Norm</t>
  </si>
  <si>
    <t>Used in FOR201109</t>
  </si>
  <si>
    <t>3 Hurr (2004)</t>
  </si>
  <si>
    <t>Norows</t>
  </si>
  <si>
    <t># of Yrs.</t>
  </si>
  <si>
    <t>Probability</t>
  </si>
  <si>
    <t>Used in Jun12F &amp; Sep12F</t>
  </si>
  <si>
    <t>(Outliers removed!)</t>
  </si>
  <si>
    <t>Prelim Tot</t>
  </si>
  <si>
    <t>2012</t>
  </si>
  <si>
    <t>Short Term Model for Weather Adjustment Analysis</t>
  </si>
  <si>
    <t>2010-2012</t>
  </si>
  <si>
    <t>New Coeffs</t>
  </si>
  <si>
    <t>x DD diff</t>
  </si>
  <si>
    <t>TOT Billed</t>
  </si>
  <si>
    <t>W-ADJ per Cust</t>
  </si>
  <si>
    <t>Resid MWH</t>
  </si>
  <si>
    <t xml:space="preserve">W-Adj &amp; </t>
  </si>
  <si>
    <t>EDB Adj</t>
  </si>
  <si>
    <t>Coml MWh</t>
  </si>
  <si>
    <t>W-Adj &amp;</t>
  </si>
  <si>
    <t>SHDD20</t>
  </si>
  <si>
    <t>SCDD20</t>
  </si>
  <si>
    <t>SPA MWh</t>
  </si>
  <si>
    <t>2013</t>
  </si>
  <si>
    <t>EDB &amp; WN</t>
  </si>
  <si>
    <t>Yr2000+</t>
  </si>
  <si>
    <t>Trueup File</t>
  </si>
  <si>
    <t>EDB</t>
  </si>
  <si>
    <t>System MWH</t>
  </si>
  <si>
    <t>System</t>
  </si>
  <si>
    <t>SysUPC</t>
  </si>
  <si>
    <t>Cal-to-Billed</t>
  </si>
  <si>
    <t>Ratio</t>
  </si>
  <si>
    <t>10Yr Avg</t>
  </si>
  <si>
    <t>Ratio WN</t>
  </si>
  <si>
    <t>Cal-to-EDB Wn Billed</t>
  </si>
  <si>
    <t>??</t>
  </si>
  <si>
    <t>EDB BILLED</t>
  </si>
  <si>
    <t>Industrial Data by Major Rate Class</t>
  </si>
  <si>
    <t>Ind-Large</t>
  </si>
  <si>
    <t>Ind-Small</t>
  </si>
  <si>
    <t>orig</t>
  </si>
  <si>
    <t>Col  H</t>
  </si>
  <si>
    <t>Col  J</t>
  </si>
  <si>
    <t>Below Norml wthr</t>
  </si>
  <si>
    <t>92-07</t>
  </si>
  <si>
    <t>08-12</t>
  </si>
  <si>
    <t>13-18</t>
  </si>
  <si>
    <t>15-18</t>
  </si>
  <si>
    <t>E-D-B Adj</t>
  </si>
  <si>
    <t>Res Custs</t>
  </si>
  <si>
    <t>Date</t>
  </si>
  <si>
    <t>Com Custs</t>
  </si>
  <si>
    <t>PA Custs</t>
  </si>
  <si>
    <t>Used in Sep13F</t>
  </si>
  <si>
    <t>EDB IND</t>
  </si>
  <si>
    <t>SHL Custs</t>
  </si>
  <si>
    <t>9+3</t>
  </si>
  <si>
    <t>TYSP14</t>
  </si>
  <si>
    <t>TYSP13</t>
  </si>
  <si>
    <t>HIST</t>
  </si>
</sst>
</file>

<file path=xl/styles.xml><?xml version="1.0" encoding="utf-8"?>
<styleSheet xmlns="http://schemas.openxmlformats.org/spreadsheetml/2006/main">
  <numFmts count="2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.00_)"/>
    <numFmt numFmtId="166" formatCode="0.0_)"/>
    <numFmt numFmtId="167" formatCode="0_)"/>
    <numFmt numFmtId="168" formatCode="_(* #,##0.0_);_(* \(#,##0.0\);_(* &quot;-&quot;??_);_(@_)"/>
    <numFmt numFmtId="169" formatCode="_(* #,##0_);_(* \(#,##0\);_(* &quot;-&quot;??_);_(@_)"/>
    <numFmt numFmtId="170" formatCode="0.0%"/>
    <numFmt numFmtId="171" formatCode="0.0"/>
    <numFmt numFmtId="172" formatCode="0.00000"/>
    <numFmt numFmtId="173" formatCode="0.000"/>
    <numFmt numFmtId="174" formatCode="0.00000_)"/>
    <numFmt numFmtId="175" formatCode="#,##0.0"/>
    <numFmt numFmtId="176" formatCode="#,##0.000"/>
    <numFmt numFmtId="177" formatCode="_(&quot;$&quot;* #,##0_);_(&quot;$&quot;* \(#,##0\);_(&quot;$&quot;* &quot;-&quot;??_);_(@_)"/>
    <numFmt numFmtId="178" formatCode="0.0000"/>
    <numFmt numFmtId="179" formatCode="[$-409]mmm\-yy;@"/>
    <numFmt numFmtId="180" formatCode="_(* #,##0.000_);_(* \(#,##0.000\);_(* &quot;-&quot;??_);_(@_)"/>
    <numFmt numFmtId="181" formatCode="_(* #,##0.0000_);_(* \(#,##0.0000\);_(* &quot;-&quot;??_);_(@_)"/>
    <numFmt numFmtId="182" formatCode="#,##0.0000"/>
  </numFmts>
  <fonts count="26">
    <font>
      <sz val="12"/>
      <name val="Helv"/>
    </font>
    <font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Helv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u/>
      <sz val="10"/>
      <color indexed="10"/>
      <name val="Arial"/>
      <family val="2"/>
    </font>
    <font>
      <u/>
      <sz val="10"/>
      <color indexed="12"/>
      <name val="Arial"/>
      <family val="2"/>
    </font>
    <font>
      <u/>
      <sz val="10"/>
      <color indexed="10"/>
      <name val="Arial"/>
      <family val="2"/>
    </font>
    <font>
      <sz val="10"/>
      <color indexed="8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b/>
      <u/>
      <sz val="10"/>
      <name val="Helv"/>
    </font>
    <font>
      <sz val="10"/>
      <name val="Helv"/>
    </font>
    <font>
      <u/>
      <sz val="10"/>
      <name val="HELV"/>
    </font>
    <font>
      <sz val="9"/>
      <name val="Arial"/>
      <family val="2"/>
    </font>
    <font>
      <u val="singleAccounting"/>
      <sz val="10"/>
      <name val="Arial"/>
      <family val="2"/>
    </font>
    <font>
      <b/>
      <sz val="14"/>
      <name val="Arial"/>
      <family val="2"/>
    </font>
    <font>
      <sz val="10"/>
      <color rgb="FFFF0000"/>
      <name val="Arial"/>
      <family val="2"/>
    </font>
    <font>
      <b/>
      <sz val="12"/>
      <name val="Helv"/>
    </font>
    <font>
      <u/>
      <sz val="10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164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03">
    <xf numFmtId="164" fontId="0" fillId="0" borderId="0" xfId="0"/>
    <xf numFmtId="3" fontId="5" fillId="0" borderId="1" xfId="1" applyNumberFormat="1" applyFont="1" applyBorder="1" applyAlignment="1">
      <alignment horizontal="center"/>
    </xf>
    <xf numFmtId="3" fontId="5" fillId="0" borderId="0" xfId="1" applyNumberFormat="1" applyFont="1" applyAlignment="1">
      <alignment horizontal="center"/>
    </xf>
    <xf numFmtId="164" fontId="6" fillId="0" borderId="0" xfId="0" applyFont="1"/>
    <xf numFmtId="164" fontId="7" fillId="0" borderId="0" xfId="0" applyFont="1"/>
    <xf numFmtId="164" fontId="8" fillId="0" borderId="0" xfId="0" applyFont="1"/>
    <xf numFmtId="164" fontId="5" fillId="0" borderId="0" xfId="0" applyFont="1"/>
    <xf numFmtId="164" fontId="6" fillId="0" borderId="0" xfId="0" applyFont="1" applyAlignment="1">
      <alignment horizontal="centerContinuous"/>
    </xf>
    <xf numFmtId="164" fontId="7" fillId="0" borderId="0" xfId="0" applyFont="1" applyAlignment="1">
      <alignment horizontal="centerContinuous"/>
    </xf>
    <xf numFmtId="176" fontId="5" fillId="0" borderId="0" xfId="0" applyNumberFormat="1" applyFont="1"/>
    <xf numFmtId="176" fontId="8" fillId="0" borderId="0" xfId="0" applyNumberFormat="1" applyFont="1"/>
    <xf numFmtId="176" fontId="7" fillId="0" borderId="0" xfId="0" applyNumberFormat="1" applyFont="1"/>
    <xf numFmtId="164" fontId="7" fillId="0" borderId="0" xfId="0" applyFont="1" applyAlignment="1"/>
    <xf numFmtId="164" fontId="7" fillId="0" borderId="0" xfId="0" applyFont="1" applyAlignment="1">
      <alignment horizontal="center"/>
    </xf>
    <xf numFmtId="164" fontId="7" fillId="0" borderId="0" xfId="0" quotePrefix="1" applyFont="1" applyAlignment="1">
      <alignment horizontal="left"/>
    </xf>
    <xf numFmtId="164" fontId="7" fillId="0" borderId="0" xfId="0" applyFont="1" applyAlignment="1">
      <alignment horizontal="right"/>
    </xf>
    <xf numFmtId="164" fontId="7" fillId="0" borderId="2" xfId="0" applyFont="1" applyBorder="1" applyAlignment="1">
      <alignment horizontal="right"/>
    </xf>
    <xf numFmtId="164" fontId="7" fillId="0" borderId="3" xfId="0" applyFont="1" applyBorder="1"/>
    <xf numFmtId="164" fontId="7" fillId="0" borderId="2" xfId="0" applyFont="1" applyBorder="1"/>
    <xf numFmtId="164" fontId="7" fillId="0" borderId="4" xfId="0" applyFont="1" applyBorder="1" applyAlignment="1">
      <alignment horizontal="right"/>
    </xf>
    <xf numFmtId="164" fontId="7" fillId="0" borderId="4" xfId="0" applyFont="1" applyBorder="1" applyAlignment="1">
      <alignment horizontal="center"/>
    </xf>
    <xf numFmtId="164" fontId="7" fillId="0" borderId="5" xfId="0" applyFont="1" applyBorder="1"/>
    <xf numFmtId="164" fontId="7" fillId="0" borderId="0" xfId="0" applyFont="1" applyAlignment="1">
      <alignment horizontal="left"/>
    </xf>
    <xf numFmtId="164" fontId="7" fillId="0" borderId="0" xfId="0" applyFont="1" applyBorder="1"/>
    <xf numFmtId="164" fontId="7" fillId="0" borderId="0" xfId="0" quotePrefix="1" applyFont="1" applyAlignment="1">
      <alignment horizontal="center"/>
    </xf>
    <xf numFmtId="164" fontId="5" fillId="0" borderId="6" xfId="0" applyFont="1" applyBorder="1" applyAlignment="1">
      <alignment horizontal="right"/>
    </xf>
    <xf numFmtId="164" fontId="7" fillId="0" borderId="7" xfId="0" applyFont="1" applyBorder="1"/>
    <xf numFmtId="164" fontId="7" fillId="0" borderId="6" xfId="0" applyFont="1" applyBorder="1" applyAlignment="1">
      <alignment horizontal="right"/>
    </xf>
    <xf numFmtId="164" fontId="7" fillId="0" borderId="8" xfId="0" applyFont="1" applyBorder="1"/>
    <xf numFmtId="164" fontId="7" fillId="0" borderId="0" xfId="0" applyFont="1" applyBorder="1" applyAlignment="1">
      <alignment horizontal="center"/>
    </xf>
    <xf numFmtId="164" fontId="5" fillId="0" borderId="0" xfId="0" applyFont="1" applyBorder="1" applyAlignment="1">
      <alignment horizontal="right"/>
    </xf>
    <xf numFmtId="164" fontId="9" fillId="0" borderId="0" xfId="0" applyFont="1" applyAlignment="1">
      <alignment horizontal="right"/>
    </xf>
    <xf numFmtId="164" fontId="10" fillId="0" borderId="0" xfId="0" applyFont="1" applyAlignment="1">
      <alignment horizontal="right"/>
    </xf>
    <xf numFmtId="164" fontId="9" fillId="0" borderId="7" xfId="0" applyFont="1" applyBorder="1" applyAlignment="1">
      <alignment horizontal="right"/>
    </xf>
    <xf numFmtId="164" fontId="9" fillId="0" borderId="0" xfId="0" applyFont="1" applyAlignment="1">
      <alignment horizontal="left"/>
    </xf>
    <xf numFmtId="164" fontId="10" fillId="0" borderId="0" xfId="0" applyFont="1" applyBorder="1" applyAlignment="1">
      <alignment horizontal="center"/>
    </xf>
    <xf numFmtId="164" fontId="9" fillId="0" borderId="0" xfId="0" applyFont="1" applyAlignment="1">
      <alignment horizontal="center"/>
    </xf>
    <xf numFmtId="164" fontId="11" fillId="0" borderId="0" xfId="0" applyFont="1" applyBorder="1" applyAlignment="1">
      <alignment horizontal="right"/>
    </xf>
    <xf numFmtId="164" fontId="9" fillId="0" borderId="0" xfId="0" quotePrefix="1" applyFont="1" applyAlignment="1">
      <alignment horizontal="right"/>
    </xf>
    <xf numFmtId="169" fontId="7" fillId="0" borderId="6" xfId="1" applyNumberFormat="1" applyFont="1" applyBorder="1"/>
    <xf numFmtId="169" fontId="7" fillId="0" borderId="0" xfId="1" applyNumberFormat="1" applyFont="1" applyAlignment="1">
      <alignment horizontal="center"/>
    </xf>
    <xf numFmtId="164" fontId="8" fillId="0" borderId="0" xfId="0" applyFont="1" applyProtection="1">
      <protection locked="0"/>
    </xf>
    <xf numFmtId="165" fontId="7" fillId="0" borderId="0" xfId="0" applyNumberFormat="1" applyFont="1" applyProtection="1"/>
    <xf numFmtId="165" fontId="7" fillId="0" borderId="7" xfId="0" applyNumberFormat="1" applyFont="1" applyBorder="1" applyProtection="1"/>
    <xf numFmtId="164" fontId="5" fillId="0" borderId="0" xfId="0" applyFont="1" applyProtection="1">
      <protection locked="0"/>
    </xf>
    <xf numFmtId="164" fontId="7" fillId="0" borderId="0" xfId="0" quotePrefix="1" applyFont="1" applyAlignment="1">
      <alignment horizontal="right"/>
    </xf>
    <xf numFmtId="164" fontId="5" fillId="0" borderId="0" xfId="0" applyFont="1" applyBorder="1"/>
    <xf numFmtId="165" fontId="7" fillId="0" borderId="0" xfId="0" applyNumberFormat="1" applyFont="1" applyBorder="1" applyProtection="1"/>
    <xf numFmtId="169" fontId="7" fillId="0" borderId="9" xfId="1" applyNumberFormat="1" applyFont="1" applyBorder="1"/>
    <xf numFmtId="165" fontId="7" fillId="0" borderId="8" xfId="0" applyNumberFormat="1" applyFont="1" applyBorder="1" applyProtection="1"/>
    <xf numFmtId="169" fontId="7" fillId="0" borderId="0" xfId="1" applyNumberFormat="1" applyFont="1" applyBorder="1"/>
    <xf numFmtId="164" fontId="7" fillId="0" borderId="0" xfId="0" applyFont="1" applyBorder="1" applyAlignment="1">
      <alignment horizontal="left"/>
    </xf>
    <xf numFmtId="164" fontId="8" fillId="0" borderId="0" xfId="0" applyFont="1" applyAlignment="1">
      <alignment horizontal="right"/>
    </xf>
    <xf numFmtId="164" fontId="7" fillId="0" borderId="10" xfId="0" applyFont="1" applyBorder="1" applyAlignment="1">
      <alignment horizontal="centerContinuous"/>
    </xf>
    <xf numFmtId="164" fontId="7" fillId="0" borderId="11" xfId="0" applyFont="1" applyBorder="1" applyAlignment="1">
      <alignment horizontal="centerContinuous"/>
    </xf>
    <xf numFmtId="164" fontId="7" fillId="0" borderId="12" xfId="0" applyFont="1" applyBorder="1" applyAlignment="1">
      <alignment horizontal="centerContinuous"/>
    </xf>
    <xf numFmtId="164" fontId="8" fillId="0" borderId="11" xfId="0" applyFont="1" applyBorder="1" applyAlignment="1">
      <alignment horizontal="centerContinuous"/>
    </xf>
    <xf numFmtId="164" fontId="8" fillId="0" borderId="0" xfId="0" applyFont="1" applyAlignment="1" applyProtection="1">
      <alignment horizontal="right"/>
      <protection locked="0"/>
    </xf>
    <xf numFmtId="164" fontId="5" fillId="0" borderId="0" xfId="0" applyFont="1" applyAlignment="1">
      <alignment horizontal="right"/>
    </xf>
    <xf numFmtId="164" fontId="7" fillId="0" borderId="10" xfId="0" quotePrefix="1" applyFont="1" applyBorder="1" applyAlignment="1">
      <alignment horizontal="centerContinuous"/>
    </xf>
    <xf numFmtId="176" fontId="5" fillId="0" borderId="10" xfId="0" quotePrefix="1" applyNumberFormat="1" applyFont="1" applyBorder="1" applyAlignment="1">
      <alignment horizontal="centerContinuous"/>
    </xf>
    <xf numFmtId="176" fontId="8" fillId="0" borderId="11" xfId="0" applyNumberFormat="1" applyFont="1" applyBorder="1" applyAlignment="1">
      <alignment horizontal="centerContinuous"/>
    </xf>
    <xf numFmtId="176" fontId="7" fillId="0" borderId="12" xfId="0" applyNumberFormat="1" applyFont="1" applyBorder="1" applyAlignment="1">
      <alignment horizontal="centerContinuous"/>
    </xf>
    <xf numFmtId="2" fontId="7" fillId="0" borderId="0" xfId="0" applyNumberFormat="1" applyFont="1" applyAlignment="1">
      <alignment horizontal="right"/>
    </xf>
    <xf numFmtId="2" fontId="8" fillId="0" borderId="0" xfId="0" applyNumberFormat="1" applyFont="1" applyAlignment="1">
      <alignment horizontal="right"/>
    </xf>
    <xf numFmtId="164" fontId="6" fillId="0" borderId="0" xfId="0" applyFont="1" applyAlignment="1">
      <alignment horizontal="center"/>
    </xf>
    <xf numFmtId="164" fontId="12" fillId="0" borderId="0" xfId="0" quotePrefix="1" applyFont="1" applyAlignment="1">
      <alignment horizontal="right"/>
    </xf>
    <xf numFmtId="164" fontId="12" fillId="0" borderId="0" xfId="0" applyFont="1" applyAlignment="1">
      <alignment horizontal="right"/>
    </xf>
    <xf numFmtId="164" fontId="13" fillId="0" borderId="0" xfId="0" applyFont="1" applyAlignment="1">
      <alignment horizontal="right"/>
    </xf>
    <xf numFmtId="164" fontId="9" fillId="0" borderId="0" xfId="0" applyFont="1"/>
    <xf numFmtId="176" fontId="13" fillId="0" borderId="0" xfId="0" applyNumberFormat="1" applyFont="1" applyAlignment="1">
      <alignment horizontal="right"/>
    </xf>
    <xf numFmtId="176" fontId="12" fillId="0" borderId="0" xfId="0" applyNumberFormat="1" applyFont="1" applyAlignment="1">
      <alignment horizontal="right"/>
    </xf>
    <xf numFmtId="2" fontId="9" fillId="0" borderId="0" xfId="0" quotePrefix="1" applyNumberFormat="1" applyFont="1" applyAlignment="1">
      <alignment horizontal="right"/>
    </xf>
    <xf numFmtId="167" fontId="8" fillId="0" borderId="0" xfId="0" applyNumberFormat="1" applyFont="1" applyProtection="1"/>
    <xf numFmtId="166" fontId="8" fillId="0" borderId="0" xfId="0" applyNumberFormat="1" applyFont="1" applyProtection="1">
      <protection locked="0"/>
    </xf>
    <xf numFmtId="166" fontId="7" fillId="0" borderId="0" xfId="0" applyNumberFormat="1" applyFont="1" applyProtection="1"/>
    <xf numFmtId="171" fontId="7" fillId="0" borderId="0" xfId="0" applyNumberFormat="1" applyFont="1"/>
    <xf numFmtId="166" fontId="5" fillId="0" borderId="0" xfId="0" applyNumberFormat="1" applyFont="1" applyProtection="1"/>
    <xf numFmtId="166" fontId="8" fillId="0" borderId="0" xfId="0" applyNumberFormat="1" applyFont="1" applyProtection="1"/>
    <xf numFmtId="166" fontId="7" fillId="0" borderId="0" xfId="0" applyNumberFormat="1" applyFont="1" applyProtection="1">
      <protection locked="0"/>
    </xf>
    <xf numFmtId="174" fontId="7" fillId="0" borderId="0" xfId="0" applyNumberFormat="1" applyFont="1" applyProtection="1"/>
    <xf numFmtId="165" fontId="7" fillId="0" borderId="0" xfId="0" applyNumberFormat="1" applyFont="1" applyAlignment="1" applyProtection="1">
      <alignment horizontal="center"/>
    </xf>
    <xf numFmtId="171" fontId="5" fillId="0" borderId="0" xfId="0" applyNumberFormat="1" applyFont="1"/>
    <xf numFmtId="171" fontId="8" fillId="0" borderId="0" xfId="0" applyNumberFormat="1" applyFont="1"/>
    <xf numFmtId="169" fontId="7" fillId="0" borderId="0" xfId="1" applyNumberFormat="1" applyFont="1" applyBorder="1" applyAlignment="1">
      <alignment horizontal="center"/>
    </xf>
    <xf numFmtId="164" fontId="7" fillId="0" borderId="13" xfId="0" applyFont="1" applyBorder="1"/>
    <xf numFmtId="170" fontId="7" fillId="0" borderId="0" xfId="3" applyNumberFormat="1" applyFont="1"/>
    <xf numFmtId="170" fontId="9" fillId="0" borderId="0" xfId="3" applyNumberFormat="1" applyFont="1"/>
    <xf numFmtId="165" fontId="7" fillId="0" borderId="1" xfId="0" applyNumberFormat="1" applyFont="1" applyBorder="1" applyAlignment="1" applyProtection="1">
      <alignment horizontal="center"/>
    </xf>
    <xf numFmtId="164" fontId="7" fillId="0" borderId="1" xfId="0" applyFont="1" applyBorder="1"/>
    <xf numFmtId="164" fontId="7" fillId="0" borderId="1" xfId="0" applyFont="1" applyBorder="1" applyAlignment="1">
      <alignment horizontal="center"/>
    </xf>
    <xf numFmtId="166" fontId="7" fillId="0" borderId="1" xfId="0" applyNumberFormat="1" applyFont="1" applyBorder="1" applyProtection="1"/>
    <xf numFmtId="171" fontId="7" fillId="0" borderId="1" xfId="0" applyNumberFormat="1" applyFont="1" applyBorder="1"/>
    <xf numFmtId="164" fontId="5" fillId="0" borderId="1" xfId="0" applyFont="1" applyBorder="1" applyProtection="1">
      <protection locked="0"/>
    </xf>
    <xf numFmtId="164" fontId="8" fillId="0" borderId="1" xfId="0" applyFont="1" applyBorder="1" applyProtection="1">
      <protection locked="0"/>
    </xf>
    <xf numFmtId="166" fontId="8" fillId="0" borderId="1" xfId="0" applyNumberFormat="1" applyFont="1" applyBorder="1" applyProtection="1"/>
    <xf numFmtId="164" fontId="5" fillId="0" borderId="1" xfId="0" applyFont="1" applyBorder="1"/>
    <xf numFmtId="165" fontId="14" fillId="0" borderId="0" xfId="0" applyNumberFormat="1" applyFont="1" applyAlignment="1" applyProtection="1">
      <alignment horizontal="center"/>
      <protection locked="0"/>
    </xf>
    <xf numFmtId="167" fontId="5" fillId="0" borderId="0" xfId="0" applyNumberFormat="1" applyFont="1" applyProtection="1"/>
    <xf numFmtId="164" fontId="7" fillId="0" borderId="14" xfId="0" quotePrefix="1" applyFont="1" applyBorder="1" applyAlignment="1">
      <alignment horizontal="center"/>
    </xf>
    <xf numFmtId="164" fontId="7" fillId="0" borderId="15" xfId="0" applyFont="1" applyBorder="1" applyAlignment="1">
      <alignment horizontal="center"/>
    </xf>
    <xf numFmtId="164" fontId="7" fillId="0" borderId="1" xfId="0" quotePrefix="1" applyFont="1" applyBorder="1" applyAlignment="1">
      <alignment horizontal="center"/>
    </xf>
    <xf numFmtId="164" fontId="7" fillId="0" borderId="16" xfId="0" applyFont="1" applyBorder="1" applyAlignment="1">
      <alignment horizontal="center"/>
    </xf>
    <xf numFmtId="164" fontId="8" fillId="0" borderId="1" xfId="0" applyFont="1" applyBorder="1"/>
    <xf numFmtId="167" fontId="8" fillId="0" borderId="1" xfId="0" applyNumberFormat="1" applyFont="1" applyBorder="1" applyProtection="1"/>
    <xf numFmtId="164" fontId="7" fillId="0" borderId="1" xfId="0" applyFont="1" applyBorder="1" applyAlignment="1"/>
    <xf numFmtId="165" fontId="14" fillId="0" borderId="1" xfId="0" applyNumberFormat="1" applyFont="1" applyBorder="1" applyAlignment="1" applyProtection="1">
      <alignment horizontal="center"/>
      <protection locked="0"/>
    </xf>
    <xf numFmtId="2" fontId="7" fillId="0" borderId="0" xfId="0" applyNumberFormat="1" applyFont="1" applyAlignment="1">
      <alignment horizontal="center"/>
    </xf>
    <xf numFmtId="169" fontId="7" fillId="0" borderId="0" xfId="1" applyNumberFormat="1" applyFont="1"/>
    <xf numFmtId="166" fontId="8" fillId="0" borderId="1" xfId="0" applyNumberFormat="1" applyFont="1" applyBorder="1" applyProtection="1">
      <protection locked="0"/>
    </xf>
    <xf numFmtId="2" fontId="7" fillId="0" borderId="1" xfId="0" applyNumberFormat="1" applyFont="1" applyBorder="1" applyAlignment="1">
      <alignment horizontal="center"/>
    </xf>
    <xf numFmtId="171" fontId="5" fillId="0" borderId="1" xfId="0" applyNumberFormat="1" applyFont="1" applyBorder="1"/>
    <xf numFmtId="171" fontId="8" fillId="0" borderId="1" xfId="0" applyNumberFormat="1" applyFont="1" applyBorder="1"/>
    <xf numFmtId="164" fontId="9" fillId="0" borderId="1" xfId="0" applyFont="1" applyBorder="1" applyAlignment="1">
      <alignment horizontal="center"/>
    </xf>
    <xf numFmtId="166" fontId="5" fillId="0" borderId="1" xfId="0" applyNumberFormat="1" applyFont="1" applyBorder="1" applyProtection="1"/>
    <xf numFmtId="1" fontId="7" fillId="0" borderId="15" xfId="1" applyNumberFormat="1" applyFont="1" applyBorder="1" applyAlignment="1">
      <alignment horizontal="center"/>
    </xf>
    <xf numFmtId="169" fontId="7" fillId="0" borderId="1" xfId="1" applyNumberFormat="1" applyFont="1" applyBorder="1" applyAlignment="1">
      <alignment horizontal="center"/>
    </xf>
    <xf numFmtId="169" fontId="7" fillId="0" borderId="1" xfId="1" applyNumberFormat="1" applyFont="1" applyBorder="1"/>
    <xf numFmtId="1" fontId="7" fillId="0" borderId="16" xfId="1" applyNumberFormat="1" applyFont="1" applyBorder="1" applyAlignment="1">
      <alignment horizontal="center"/>
    </xf>
    <xf numFmtId="167" fontId="7" fillId="0" borderId="0" xfId="0" applyNumberFormat="1" applyFont="1" applyProtection="1"/>
    <xf numFmtId="10" fontId="7" fillId="0" borderId="0" xfId="3" applyNumberFormat="1" applyFont="1"/>
    <xf numFmtId="10" fontId="7" fillId="0" borderId="1" xfId="3" applyNumberFormat="1" applyFont="1" applyBorder="1"/>
    <xf numFmtId="164" fontId="6" fillId="0" borderId="0" xfId="0" applyFont="1" applyAlignment="1">
      <alignment horizontal="right"/>
    </xf>
    <xf numFmtId="164" fontId="10" fillId="0" borderId="0" xfId="0" quotePrefix="1" applyFont="1" applyBorder="1" applyAlignment="1">
      <alignment horizontal="center"/>
    </xf>
    <xf numFmtId="164" fontId="11" fillId="0" borderId="0" xfId="0" quotePrefix="1" applyFont="1" applyBorder="1" applyAlignment="1">
      <alignment horizontal="right"/>
    </xf>
    <xf numFmtId="164" fontId="7" fillId="0" borderId="0" xfId="0" applyFont="1" applyBorder="1" applyAlignment="1">
      <alignment horizontal="right"/>
    </xf>
    <xf numFmtId="176" fontId="5" fillId="0" borderId="0" xfId="0" quotePrefix="1" applyNumberFormat="1" applyFont="1" applyAlignment="1">
      <alignment horizontal="right"/>
    </xf>
    <xf numFmtId="176" fontId="8" fillId="0" borderId="0" xfId="0" quotePrefix="1" applyNumberFormat="1" applyFont="1" applyAlignment="1">
      <alignment horizontal="right"/>
    </xf>
    <xf numFmtId="164" fontId="13" fillId="0" borderId="0" xfId="0" quotePrefix="1" applyFont="1" applyAlignment="1">
      <alignment horizontal="right"/>
    </xf>
    <xf numFmtId="164" fontId="9" fillId="0" borderId="0" xfId="0" quotePrefix="1" applyFont="1" applyAlignment="1">
      <alignment horizontal="center"/>
    </xf>
    <xf numFmtId="1" fontId="7" fillId="0" borderId="0" xfId="0" applyNumberFormat="1" applyFont="1"/>
    <xf numFmtId="166" fontId="7" fillId="0" borderId="0" xfId="0" applyNumberFormat="1" applyFont="1" applyAlignment="1" applyProtection="1">
      <alignment horizontal="center"/>
    </xf>
    <xf numFmtId="10" fontId="7" fillId="0" borderId="0" xfId="0" applyNumberFormat="1" applyFont="1" applyBorder="1" applyProtection="1"/>
    <xf numFmtId="166" fontId="7" fillId="0" borderId="1" xfId="0" applyNumberFormat="1" applyFont="1" applyBorder="1" applyAlignment="1" applyProtection="1">
      <alignment horizontal="center"/>
    </xf>
    <xf numFmtId="174" fontId="7" fillId="0" borderId="1" xfId="0" applyNumberFormat="1" applyFont="1" applyBorder="1" applyProtection="1"/>
    <xf numFmtId="166" fontId="5" fillId="0" borderId="0" xfId="0" applyNumberFormat="1" applyFont="1" applyProtection="1">
      <protection locked="0"/>
    </xf>
    <xf numFmtId="166" fontId="5" fillId="0" borderId="1" xfId="0" applyNumberFormat="1" applyFont="1" applyBorder="1" applyProtection="1">
      <protection locked="0"/>
    </xf>
    <xf numFmtId="3" fontId="7" fillId="0" borderId="0" xfId="0" applyNumberFormat="1" applyFont="1"/>
    <xf numFmtId="164" fontId="7" fillId="0" borderId="0" xfId="0" applyFont="1" applyBorder="1" applyAlignment="1">
      <alignment horizontal="centerContinuous"/>
    </xf>
    <xf numFmtId="3" fontId="7" fillId="0" borderId="1" xfId="0" applyNumberFormat="1" applyFont="1" applyBorder="1"/>
    <xf numFmtId="10" fontId="7" fillId="0" borderId="0" xfId="3" applyNumberFormat="1" applyFont="1" applyBorder="1"/>
    <xf numFmtId="164" fontId="8" fillId="0" borderId="0" xfId="0" applyFont="1" applyBorder="1"/>
    <xf numFmtId="164" fontId="10" fillId="0" borderId="17" xfId="0" quotePrefix="1" applyFont="1" applyBorder="1" applyAlignment="1">
      <alignment horizontal="left"/>
    </xf>
    <xf numFmtId="164" fontId="7" fillId="0" borderId="18" xfId="0" applyFont="1" applyBorder="1"/>
    <xf numFmtId="164" fontId="8" fillId="0" borderId="18" xfId="0" applyFont="1" applyBorder="1"/>
    <xf numFmtId="164" fontId="7" fillId="0" borderId="9" xfId="0" quotePrefix="1" applyFont="1" applyBorder="1" applyAlignment="1">
      <alignment horizontal="left"/>
    </xf>
    <xf numFmtId="164" fontId="8" fillId="0" borderId="0" xfId="0" applyFont="1" applyAlignment="1" applyProtection="1">
      <alignment horizontal="center"/>
      <protection locked="0"/>
    </xf>
    <xf numFmtId="164" fontId="16" fillId="0" borderId="0" xfId="0" applyFont="1" applyAlignment="1">
      <alignment horizontal="right"/>
    </xf>
    <xf numFmtId="164" fontId="8" fillId="0" borderId="0" xfId="0" applyFont="1" applyBorder="1" applyProtection="1">
      <protection locked="0"/>
    </xf>
    <xf numFmtId="164" fontId="5" fillId="0" borderId="0" xfId="0" applyFont="1" applyBorder="1" applyProtection="1">
      <protection locked="0"/>
    </xf>
    <xf numFmtId="164" fontId="12" fillId="0" borderId="0" xfId="0" quotePrefix="1" applyFont="1" applyAlignment="1" applyProtection="1">
      <alignment horizontal="right"/>
      <protection locked="0"/>
    </xf>
    <xf numFmtId="164" fontId="9" fillId="0" borderId="0" xfId="0" quotePrefix="1" applyFont="1" applyAlignment="1" applyProtection="1">
      <alignment horizontal="right"/>
      <protection locked="0"/>
    </xf>
    <xf numFmtId="164" fontId="9" fillId="0" borderId="0" xfId="0" applyFont="1" applyAlignment="1" applyProtection="1">
      <alignment horizontal="center"/>
      <protection locked="0"/>
    </xf>
    <xf numFmtId="3" fontId="8" fillId="0" borderId="0" xfId="0" applyNumberFormat="1" applyFont="1"/>
    <xf numFmtId="3" fontId="8" fillId="0" borderId="1" xfId="0" applyNumberFormat="1" applyFont="1" applyBorder="1"/>
    <xf numFmtId="167" fontId="5" fillId="0" borderId="1" xfId="0" applyNumberFormat="1" applyFont="1" applyBorder="1" applyProtection="1"/>
    <xf numFmtId="167" fontId="7" fillId="0" borderId="1" xfId="0" applyNumberFormat="1" applyFont="1" applyBorder="1" applyProtection="1"/>
    <xf numFmtId="1" fontId="7" fillId="0" borderId="0" xfId="0" applyNumberFormat="1" applyFont="1" applyBorder="1" applyAlignment="1">
      <alignment horizontal="right"/>
    </xf>
    <xf numFmtId="1" fontId="7" fillId="0" borderId="0" xfId="3" applyNumberFormat="1" applyFont="1" applyBorder="1" applyAlignment="1">
      <alignment horizontal="right"/>
    </xf>
    <xf numFmtId="3" fontId="7" fillId="0" borderId="0" xfId="0" applyNumberFormat="1" applyFont="1" applyBorder="1"/>
    <xf numFmtId="10" fontId="7" fillId="0" borderId="0" xfId="0" applyNumberFormat="1" applyFont="1" applyBorder="1"/>
    <xf numFmtId="10" fontId="7" fillId="0" borderId="0" xfId="0" applyNumberFormat="1" applyFont="1"/>
    <xf numFmtId="164" fontId="7" fillId="0" borderId="6" xfId="0" quotePrefix="1" applyFont="1" applyBorder="1" applyAlignment="1">
      <alignment horizontal="right"/>
    </xf>
    <xf numFmtId="164" fontId="11" fillId="0" borderId="6" xfId="0" quotePrefix="1" applyFont="1" applyBorder="1" applyAlignment="1">
      <alignment horizontal="right"/>
    </xf>
    <xf numFmtId="164" fontId="10" fillId="0" borderId="6" xfId="0" quotePrefix="1" applyFont="1" applyBorder="1" applyAlignment="1">
      <alignment horizontal="right"/>
    </xf>
    <xf numFmtId="17" fontId="7" fillId="2" borderId="0" xfId="0" applyNumberFormat="1" applyFont="1" applyFill="1"/>
    <xf numFmtId="17" fontId="7" fillId="2" borderId="1" xfId="0" applyNumberFormat="1" applyFont="1" applyFill="1" applyBorder="1"/>
    <xf numFmtId="164" fontId="5" fillId="0" borderId="0" xfId="0" quotePrefix="1" applyFont="1" applyAlignment="1">
      <alignment horizontal="left"/>
    </xf>
    <xf numFmtId="1" fontId="7" fillId="0" borderId="0" xfId="0" applyNumberFormat="1" applyFont="1" applyAlignment="1">
      <alignment horizontal="right"/>
    </xf>
    <xf numFmtId="1" fontId="7" fillId="0" borderId="1" xfId="0" applyNumberFormat="1" applyFont="1" applyBorder="1" applyAlignment="1">
      <alignment horizontal="right"/>
    </xf>
    <xf numFmtId="164" fontId="8" fillId="0" borderId="0" xfId="0" applyFont="1" applyAlignment="1">
      <alignment horizontal="center"/>
    </xf>
    <xf numFmtId="164" fontId="5" fillId="0" borderId="0" xfId="0" applyFont="1" applyAlignment="1">
      <alignment horizontal="center"/>
    </xf>
    <xf numFmtId="164" fontId="7" fillId="0" borderId="19" xfId="0" applyFont="1" applyBorder="1"/>
    <xf numFmtId="169" fontId="7" fillId="0" borderId="19" xfId="1" applyNumberFormat="1" applyFont="1" applyBorder="1"/>
    <xf numFmtId="169" fontId="8" fillId="0" borderId="0" xfId="1" applyNumberFormat="1" applyFont="1"/>
    <xf numFmtId="169" fontId="5" fillId="0" borderId="0" xfId="1" applyNumberFormat="1" applyFont="1"/>
    <xf numFmtId="169" fontId="5" fillId="0" borderId="1" xfId="1" applyNumberFormat="1" applyFont="1" applyBorder="1"/>
    <xf numFmtId="169" fontId="5" fillId="0" borderId="19" xfId="1" applyNumberFormat="1" applyFont="1" applyBorder="1"/>
    <xf numFmtId="169" fontId="5" fillId="0" borderId="0" xfId="1" applyNumberFormat="1" applyFont="1" applyBorder="1"/>
    <xf numFmtId="164" fontId="16" fillId="0" borderId="0" xfId="0" applyFont="1" applyAlignment="1">
      <alignment horizontal="center"/>
    </xf>
    <xf numFmtId="169" fontId="7" fillId="3" borderId="0" xfId="1" applyNumberFormat="1" applyFont="1" applyFill="1" applyAlignment="1">
      <alignment horizontal="center"/>
    </xf>
    <xf numFmtId="169" fontId="7" fillId="0" borderId="0" xfId="1" applyNumberFormat="1" applyFont="1" applyFill="1" applyBorder="1"/>
    <xf numFmtId="169" fontId="7" fillId="3" borderId="0" xfId="1" applyNumberFormat="1" applyFont="1" applyFill="1" applyBorder="1" applyAlignment="1">
      <alignment horizontal="center"/>
    </xf>
    <xf numFmtId="171" fontId="7" fillId="0" borderId="0" xfId="0" applyNumberFormat="1" applyFont="1" applyBorder="1" applyAlignment="1">
      <alignment horizontal="center"/>
    </xf>
    <xf numFmtId="164" fontId="5" fillId="0" borderId="11" xfId="0" applyFont="1" applyBorder="1" applyAlignment="1">
      <alignment horizontal="centerContinuous"/>
    </xf>
    <xf numFmtId="164" fontId="12" fillId="0" borderId="0" xfId="0" applyFont="1" applyAlignment="1">
      <alignment horizontal="center"/>
    </xf>
    <xf numFmtId="168" fontId="8" fillId="0" borderId="0" xfId="1" applyNumberFormat="1" applyFont="1" applyProtection="1"/>
    <xf numFmtId="167" fontId="8" fillId="0" borderId="0" xfId="0" applyNumberFormat="1" applyFont="1" applyBorder="1" applyAlignment="1" applyProtection="1"/>
    <xf numFmtId="176" fontId="5" fillId="0" borderId="11" xfId="0" quotePrefix="1" applyNumberFormat="1" applyFont="1" applyBorder="1" applyAlignment="1">
      <alignment horizontal="centerContinuous"/>
    </xf>
    <xf numFmtId="168" fontId="7" fillId="0" borderId="0" xfId="1" applyNumberFormat="1" applyFont="1"/>
    <xf numFmtId="1" fontId="8" fillId="0" borderId="0" xfId="0" applyNumberFormat="1" applyFont="1" applyAlignment="1">
      <alignment horizontal="center"/>
    </xf>
    <xf numFmtId="166" fontId="8" fillId="0" borderId="0" xfId="0" applyNumberFormat="1" applyFont="1" applyBorder="1" applyProtection="1"/>
    <xf numFmtId="164" fontId="7" fillId="4" borderId="0" xfId="0" quotePrefix="1" applyFont="1" applyFill="1" applyAlignment="1">
      <alignment horizontal="right"/>
    </xf>
    <xf numFmtId="164" fontId="7" fillId="3" borderId="0" xfId="0" applyFont="1" applyFill="1" applyAlignment="1">
      <alignment horizontal="right"/>
    </xf>
    <xf numFmtId="164" fontId="7" fillId="3" borderId="0" xfId="0" quotePrefix="1" applyFont="1" applyFill="1" applyAlignment="1">
      <alignment horizontal="right"/>
    </xf>
    <xf numFmtId="164" fontId="9" fillId="3" borderId="0" xfId="0" applyFont="1" applyFill="1" applyAlignment="1">
      <alignment horizontal="right"/>
    </xf>
    <xf numFmtId="1" fontId="8" fillId="0" borderId="1" xfId="0" applyNumberFormat="1" applyFont="1" applyBorder="1" applyAlignment="1">
      <alignment horizontal="center"/>
    </xf>
    <xf numFmtId="164" fontId="8" fillId="0" borderId="1" xfId="0" applyFont="1" applyBorder="1" applyAlignment="1">
      <alignment horizontal="center"/>
    </xf>
    <xf numFmtId="167" fontId="8" fillId="0" borderId="1" xfId="0" applyNumberFormat="1" applyFont="1" applyBorder="1" applyAlignment="1" applyProtection="1"/>
    <xf numFmtId="168" fontId="7" fillId="0" borderId="1" xfId="1" applyNumberFormat="1" applyFont="1" applyBorder="1"/>
    <xf numFmtId="171" fontId="7" fillId="0" borderId="0" xfId="0" applyNumberFormat="1" applyFont="1" applyAlignment="1">
      <alignment horizontal="center"/>
    </xf>
    <xf numFmtId="171" fontId="5" fillId="0" borderId="0" xfId="0" applyNumberFormat="1" applyFont="1" applyAlignment="1" applyProtection="1">
      <alignment horizontal="center"/>
      <protection locked="0"/>
    </xf>
    <xf numFmtId="164" fontId="13" fillId="0" borderId="0" xfId="0" applyFont="1" applyAlignment="1">
      <alignment horizontal="center"/>
    </xf>
    <xf numFmtId="171" fontId="5" fillId="0" borderId="0" xfId="0" applyNumberFormat="1" applyFont="1" applyAlignment="1">
      <alignment horizontal="center"/>
    </xf>
    <xf numFmtId="171" fontId="5" fillId="0" borderId="1" xfId="0" applyNumberFormat="1" applyFont="1" applyBorder="1" applyAlignment="1">
      <alignment horizontal="center"/>
    </xf>
    <xf numFmtId="164" fontId="5" fillId="0" borderId="0" xfId="0" quotePrefix="1" applyFont="1" applyAlignment="1">
      <alignment horizontal="center"/>
    </xf>
    <xf numFmtId="171" fontId="5" fillId="0" borderId="0" xfId="0" applyNumberFormat="1" applyFont="1" applyAlignment="1" applyProtection="1">
      <alignment horizontal="center"/>
    </xf>
    <xf numFmtId="171" fontId="8" fillId="0" borderId="0" xfId="0" applyNumberFormat="1" applyFont="1" applyAlignment="1" applyProtection="1">
      <alignment horizontal="center"/>
    </xf>
    <xf numFmtId="171" fontId="5" fillId="0" borderId="0" xfId="0" applyNumberFormat="1" applyFont="1" applyBorder="1" applyAlignment="1" applyProtection="1">
      <alignment horizontal="center"/>
    </xf>
    <xf numFmtId="171" fontId="8" fillId="0" borderId="0" xfId="0" applyNumberFormat="1" applyFont="1" applyBorder="1" applyAlignment="1" applyProtection="1">
      <alignment horizontal="center"/>
    </xf>
    <xf numFmtId="171" fontId="7" fillId="0" borderId="1" xfId="0" applyNumberFormat="1" applyFont="1" applyBorder="1" applyAlignment="1">
      <alignment horizontal="center"/>
    </xf>
    <xf numFmtId="171" fontId="5" fillId="0" borderId="1" xfId="0" applyNumberFormat="1" applyFont="1" applyBorder="1" applyAlignment="1" applyProtection="1">
      <alignment horizontal="center"/>
    </xf>
    <xf numFmtId="171" fontId="8" fillId="0" borderId="1" xfId="0" applyNumberFormat="1" applyFont="1" applyBorder="1" applyAlignment="1" applyProtection="1">
      <alignment horizontal="center"/>
    </xf>
    <xf numFmtId="176" fontId="5" fillId="0" borderId="0" xfId="0" applyNumberFormat="1" applyFont="1" applyAlignment="1">
      <alignment horizontal="center"/>
    </xf>
    <xf numFmtId="176" fontId="8" fillId="0" borderId="0" xfId="0" applyNumberFormat="1" applyFont="1" applyAlignment="1">
      <alignment horizontal="center"/>
    </xf>
    <xf numFmtId="176" fontId="7" fillId="0" borderId="0" xfId="0" applyNumberFormat="1" applyFont="1" applyAlignment="1">
      <alignment horizontal="center"/>
    </xf>
    <xf numFmtId="176" fontId="13" fillId="0" borderId="0" xfId="0" applyNumberFormat="1" applyFont="1" applyAlignment="1">
      <alignment horizontal="center"/>
    </xf>
    <xf numFmtId="176" fontId="12" fillId="0" borderId="0" xfId="0" applyNumberFormat="1" applyFont="1" applyAlignment="1">
      <alignment horizontal="center"/>
    </xf>
    <xf numFmtId="176" fontId="9" fillId="0" borderId="0" xfId="0" applyNumberFormat="1" applyFont="1" applyAlignment="1">
      <alignment horizontal="center"/>
    </xf>
    <xf numFmtId="175" fontId="7" fillId="0" borderId="0" xfId="0" applyNumberFormat="1" applyFont="1" applyAlignment="1">
      <alignment horizontal="center"/>
    </xf>
    <xf numFmtId="175" fontId="7" fillId="0" borderId="1" xfId="0" applyNumberFormat="1" applyFont="1" applyBorder="1" applyAlignment="1">
      <alignment horizontal="center"/>
    </xf>
    <xf numFmtId="164" fontId="6" fillId="3" borderId="0" xfId="0" applyFont="1" applyFill="1" applyAlignment="1">
      <alignment horizontal="center"/>
    </xf>
    <xf numFmtId="164" fontId="10" fillId="3" borderId="0" xfId="0" applyFont="1" applyFill="1" applyAlignment="1">
      <alignment horizontal="center"/>
    </xf>
    <xf numFmtId="173" fontId="8" fillId="0" borderId="0" xfId="0" applyNumberFormat="1" applyFont="1" applyAlignment="1">
      <alignment horizontal="center"/>
    </xf>
    <xf numFmtId="173" fontId="5" fillId="0" borderId="0" xfId="0" applyNumberFormat="1" applyFont="1" applyAlignment="1">
      <alignment horizontal="center"/>
    </xf>
    <xf numFmtId="164" fontId="7" fillId="0" borderId="1" xfId="0" applyFont="1" applyBorder="1" applyAlignment="1">
      <alignment horizontal="left"/>
    </xf>
    <xf numFmtId="164" fontId="20" fillId="0" borderId="0" xfId="0" quotePrefix="1" applyFont="1" applyAlignment="1">
      <alignment horizontal="left"/>
    </xf>
    <xf numFmtId="164" fontId="7" fillId="0" borderId="9" xfId="0" applyFont="1" applyBorder="1" applyAlignment="1">
      <alignment horizontal="center"/>
    </xf>
    <xf numFmtId="164" fontId="9" fillId="0" borderId="9" xfId="0" applyFont="1" applyBorder="1" applyAlignment="1">
      <alignment horizontal="center"/>
    </xf>
    <xf numFmtId="164" fontId="9" fillId="0" borderId="0" xfId="0" applyFont="1" applyBorder="1" applyAlignment="1">
      <alignment horizontal="center"/>
    </xf>
    <xf numFmtId="171" fontId="7" fillId="0" borderId="9" xfId="0" applyNumberFormat="1" applyFont="1" applyBorder="1" applyAlignment="1">
      <alignment horizontal="center"/>
    </xf>
    <xf numFmtId="164" fontId="7" fillId="0" borderId="8" xfId="0" applyFont="1" applyBorder="1" applyAlignment="1">
      <alignment horizontal="center"/>
    </xf>
    <xf numFmtId="164" fontId="13" fillId="0" borderId="8" xfId="0" applyFont="1" applyBorder="1" applyAlignment="1">
      <alignment horizontal="center"/>
    </xf>
    <xf numFmtId="171" fontId="5" fillId="0" borderId="8" xfId="0" applyNumberFormat="1" applyFont="1" applyBorder="1" applyAlignment="1" applyProtection="1">
      <alignment horizontal="center"/>
      <protection locked="0"/>
    </xf>
    <xf numFmtId="171" fontId="5" fillId="0" borderId="20" xfId="0" applyNumberFormat="1" applyFont="1" applyBorder="1" applyAlignment="1" applyProtection="1">
      <alignment horizontal="center"/>
      <protection locked="0"/>
    </xf>
    <xf numFmtId="164" fontId="12" fillId="0" borderId="8" xfId="0" applyFont="1" applyBorder="1" applyAlignment="1">
      <alignment horizontal="center"/>
    </xf>
    <xf numFmtId="171" fontId="8" fillId="0" borderId="8" xfId="0" applyNumberFormat="1" applyFont="1" applyBorder="1" applyAlignment="1" applyProtection="1">
      <alignment horizontal="center"/>
      <protection locked="0"/>
    </xf>
    <xf numFmtId="171" fontId="8" fillId="0" borderId="20" xfId="0" applyNumberFormat="1" applyFont="1" applyBorder="1" applyAlignment="1" applyProtection="1">
      <alignment horizontal="center"/>
      <protection locked="0"/>
    </xf>
    <xf numFmtId="164" fontId="13" fillId="0" borderId="0" xfId="0" quotePrefix="1" applyFont="1" applyAlignment="1">
      <alignment horizontal="center"/>
    </xf>
    <xf numFmtId="164" fontId="5" fillId="0" borderId="0" xfId="0" applyFont="1" applyBorder="1" applyAlignment="1">
      <alignment horizontal="centerContinuous"/>
    </xf>
    <xf numFmtId="164" fontId="12" fillId="0" borderId="0" xfId="0" quotePrefix="1" applyFont="1" applyAlignment="1">
      <alignment horizontal="center"/>
    </xf>
    <xf numFmtId="169" fontId="7" fillId="3" borderId="0" xfId="1" applyNumberFormat="1" applyFont="1" applyFill="1" applyProtection="1">
      <protection locked="0"/>
    </xf>
    <xf numFmtId="169" fontId="8" fillId="0" borderId="0" xfId="1" applyNumberFormat="1" applyFont="1" applyProtection="1"/>
    <xf numFmtId="169" fontId="7" fillId="0" borderId="0" xfId="1" applyNumberFormat="1" applyFont="1" applyAlignment="1" applyProtection="1">
      <alignment horizontal="center"/>
    </xf>
    <xf numFmtId="169" fontId="5" fillId="0" borderId="0" xfId="1" applyNumberFormat="1" applyFont="1" applyProtection="1"/>
    <xf numFmtId="164" fontId="7" fillId="0" borderId="9" xfId="0" applyFont="1" applyBorder="1"/>
    <xf numFmtId="164" fontId="17" fillId="0" borderId="9" xfId="0" applyFont="1" applyBorder="1" applyAlignment="1">
      <alignment horizontal="left"/>
    </xf>
    <xf numFmtId="164" fontId="18" fillId="0" borderId="9" xfId="0" applyFont="1" applyBorder="1"/>
    <xf numFmtId="164" fontId="18" fillId="0" borderId="9" xfId="0" applyFont="1" applyBorder="1" applyAlignment="1">
      <alignment horizontal="left"/>
    </xf>
    <xf numFmtId="164" fontId="19" fillId="0" borderId="9" xfId="0" applyFont="1" applyBorder="1" applyAlignment="1">
      <alignment horizontal="left"/>
    </xf>
    <xf numFmtId="37" fontId="18" fillId="0" borderId="9" xfId="0" applyNumberFormat="1" applyFont="1" applyBorder="1"/>
    <xf numFmtId="164" fontId="18" fillId="0" borderId="9" xfId="0" quotePrefix="1" applyFont="1" applyBorder="1" applyAlignment="1">
      <alignment horizontal="left"/>
    </xf>
    <xf numFmtId="164" fontId="7" fillId="0" borderId="21" xfId="0" applyFont="1" applyBorder="1"/>
    <xf numFmtId="164" fontId="5" fillId="0" borderId="0" xfId="0" applyFont="1" applyBorder="1" applyAlignment="1">
      <alignment horizontal="center"/>
    </xf>
    <xf numFmtId="164" fontId="11" fillId="0" borderId="0" xfId="0" applyFont="1" applyBorder="1" applyAlignment="1">
      <alignment horizontal="center"/>
    </xf>
    <xf numFmtId="164" fontId="6" fillId="0" borderId="0" xfId="0" applyFont="1" applyBorder="1" applyAlignment="1">
      <alignment horizontal="center"/>
    </xf>
    <xf numFmtId="164" fontId="16" fillId="0" borderId="0" xfId="0" applyFont="1" applyBorder="1" applyAlignment="1">
      <alignment horizontal="center"/>
    </xf>
    <xf numFmtId="176" fontId="5" fillId="0" borderId="0" xfId="0" applyNumberFormat="1" applyFont="1" applyFill="1"/>
    <xf numFmtId="164" fontId="7" fillId="0" borderId="0" xfId="0" applyFont="1" applyFill="1"/>
    <xf numFmtId="164" fontId="7" fillId="0" borderId="0" xfId="0" applyFont="1" applyFill="1" applyAlignment="1">
      <alignment horizontal="right"/>
    </xf>
    <xf numFmtId="164" fontId="7" fillId="0" borderId="0" xfId="0" quotePrefix="1" applyFont="1" applyFill="1" applyAlignment="1">
      <alignment horizontal="right"/>
    </xf>
    <xf numFmtId="164" fontId="9" fillId="0" borderId="0" xfId="0" applyFont="1" applyFill="1" applyAlignment="1">
      <alignment horizontal="right"/>
    </xf>
    <xf numFmtId="169" fontId="7" fillId="0" borderId="0" xfId="1" applyNumberFormat="1" applyFont="1" applyFill="1" applyProtection="1">
      <protection locked="0"/>
    </xf>
    <xf numFmtId="2" fontId="9" fillId="0" borderId="0" xfId="0" quotePrefix="1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2" fontId="8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164" fontId="10" fillId="0" borderId="0" xfId="0" applyFont="1" applyAlignment="1">
      <alignment horizontal="center"/>
    </xf>
    <xf numFmtId="164" fontId="7" fillId="0" borderId="9" xfId="0" applyFont="1" applyBorder="1" applyAlignment="1">
      <alignment horizontal="left"/>
    </xf>
    <xf numFmtId="3" fontId="7" fillId="0" borderId="0" xfId="0" applyNumberFormat="1" applyFont="1" applyAlignment="1">
      <alignment horizontal="center"/>
    </xf>
    <xf numFmtId="168" fontId="8" fillId="0" borderId="0" xfId="1" applyNumberFormat="1" applyFont="1"/>
    <xf numFmtId="175" fontId="5" fillId="0" borderId="0" xfId="0" applyNumberFormat="1" applyFont="1"/>
    <xf numFmtId="175" fontId="8" fillId="0" borderId="0" xfId="0" applyNumberFormat="1" applyFont="1"/>
    <xf numFmtId="168" fontId="5" fillId="0" borderId="0" xfId="1" applyNumberFormat="1" applyFont="1"/>
    <xf numFmtId="168" fontId="5" fillId="0" borderId="1" xfId="1" applyNumberFormat="1" applyFont="1" applyBorder="1"/>
    <xf numFmtId="168" fontId="8" fillId="0" borderId="1" xfId="1" applyNumberFormat="1" applyFont="1" applyBorder="1"/>
    <xf numFmtId="3" fontId="7" fillId="0" borderId="0" xfId="1" applyNumberFormat="1" applyFont="1" applyAlignment="1">
      <alignment horizontal="center"/>
    </xf>
    <xf numFmtId="3" fontId="7" fillId="0" borderId="1" xfId="1" applyNumberFormat="1" applyFont="1" applyBorder="1" applyAlignment="1">
      <alignment horizontal="center"/>
    </xf>
    <xf numFmtId="176" fontId="6" fillId="0" borderId="0" xfId="0" quotePrefix="1" applyNumberFormat="1" applyFont="1" applyAlignment="1">
      <alignment horizontal="center"/>
    </xf>
    <xf numFmtId="176" fontId="10" fillId="0" borderId="0" xfId="0" applyNumberFormat="1" applyFont="1" applyAlignment="1">
      <alignment horizontal="center"/>
    </xf>
    <xf numFmtId="164" fontId="15" fillId="0" borderId="0" xfId="0" quotePrefix="1" applyFont="1" applyAlignment="1">
      <alignment horizontal="left"/>
    </xf>
    <xf numFmtId="164" fontId="10" fillId="0" borderId="0" xfId="0" quotePrefix="1" applyFont="1" applyAlignment="1">
      <alignment horizontal="center"/>
    </xf>
    <xf numFmtId="176" fontId="7" fillId="0" borderId="0" xfId="0" applyNumberFormat="1" applyFont="1" applyBorder="1" applyAlignment="1">
      <alignment horizontal="centerContinuous"/>
    </xf>
    <xf numFmtId="2" fontId="5" fillId="0" borderId="0" xfId="0" applyNumberFormat="1" applyFont="1" applyAlignment="1">
      <alignment horizontal="center"/>
    </xf>
    <xf numFmtId="2" fontId="16" fillId="0" borderId="0" xfId="0" applyNumberFormat="1" applyFont="1" applyAlignment="1">
      <alignment horizontal="center"/>
    </xf>
    <xf numFmtId="164" fontId="11" fillId="0" borderId="0" xfId="0" applyFont="1" applyAlignment="1">
      <alignment horizontal="center"/>
    </xf>
    <xf numFmtId="164" fontId="5" fillId="4" borderId="0" xfId="0" quotePrefix="1" applyFont="1" applyFill="1" applyAlignment="1">
      <alignment horizontal="right"/>
    </xf>
    <xf numFmtId="2" fontId="5" fillId="0" borderId="0" xfId="0" applyNumberFormat="1" applyFont="1" applyAlignment="1">
      <alignment horizontal="right"/>
    </xf>
    <xf numFmtId="164" fontId="16" fillId="0" borderId="0" xfId="0" applyFont="1" applyBorder="1" applyAlignment="1">
      <alignment horizontal="right"/>
    </xf>
    <xf numFmtId="164" fontId="6" fillId="0" borderId="0" xfId="0" applyFont="1" applyBorder="1" applyAlignment="1">
      <alignment horizontal="right"/>
    </xf>
    <xf numFmtId="10" fontId="7" fillId="0" borderId="0" xfId="3" applyNumberFormat="1" applyFont="1" applyAlignment="1">
      <alignment horizontal="center"/>
    </xf>
    <xf numFmtId="165" fontId="7" fillId="0" borderId="0" xfId="0" applyNumberFormat="1" applyFont="1" applyBorder="1" applyAlignment="1" applyProtection="1">
      <alignment horizontal="center"/>
    </xf>
    <xf numFmtId="10" fontId="7" fillId="0" borderId="0" xfId="3" applyNumberFormat="1" applyFont="1" applyBorder="1" applyAlignment="1" applyProtection="1">
      <alignment horizontal="center"/>
    </xf>
    <xf numFmtId="164" fontId="11" fillId="0" borderId="0" xfId="0" quotePrefix="1" applyFont="1" applyBorder="1" applyAlignment="1">
      <alignment horizontal="center"/>
    </xf>
    <xf numFmtId="164" fontId="7" fillId="0" borderId="0" xfId="0" applyFont="1" applyAlignment="1" applyProtection="1">
      <alignment horizontal="right"/>
      <protection locked="0"/>
    </xf>
    <xf numFmtId="164" fontId="10" fillId="0" borderId="0" xfId="0" quotePrefix="1" applyFont="1" applyBorder="1" applyAlignment="1">
      <alignment horizontal="right"/>
    </xf>
    <xf numFmtId="164" fontId="9" fillId="0" borderId="0" xfId="0" applyFont="1" applyBorder="1" applyAlignment="1">
      <alignment horizontal="right"/>
    </xf>
    <xf numFmtId="164" fontId="6" fillId="0" borderId="0" xfId="0" quotePrefix="1" applyFont="1" applyAlignment="1"/>
    <xf numFmtId="169" fontId="7" fillId="0" borderId="0" xfId="1" applyNumberFormat="1" applyFont="1" applyFill="1" applyAlignment="1">
      <alignment horizontal="center"/>
    </xf>
    <xf numFmtId="1" fontId="7" fillId="0" borderId="1" xfId="0" applyNumberFormat="1" applyFont="1" applyBorder="1"/>
    <xf numFmtId="171" fontId="7" fillId="0" borderId="21" xfId="0" applyNumberFormat="1" applyFont="1" applyBorder="1" applyAlignment="1">
      <alignment horizontal="center"/>
    </xf>
    <xf numFmtId="166" fontId="7" fillId="0" borderId="1" xfId="0" applyNumberFormat="1" applyFont="1" applyBorder="1" applyProtection="1">
      <protection locked="0"/>
    </xf>
    <xf numFmtId="168" fontId="8" fillId="0" borderId="1" xfId="1" applyNumberFormat="1" applyFont="1" applyBorder="1" applyProtection="1"/>
    <xf numFmtId="173" fontId="7" fillId="0" borderId="0" xfId="0" applyNumberFormat="1" applyFont="1" applyAlignment="1">
      <alignment horizontal="center"/>
    </xf>
    <xf numFmtId="173" fontId="7" fillId="0" borderId="1" xfId="0" applyNumberFormat="1" applyFont="1" applyBorder="1" applyAlignment="1">
      <alignment horizontal="center"/>
    </xf>
    <xf numFmtId="164" fontId="7" fillId="0" borderId="1" xfId="0" quotePrefix="1" applyFont="1" applyBorder="1" applyAlignment="1">
      <alignment horizontal="left"/>
    </xf>
    <xf numFmtId="164" fontId="7" fillId="2" borderId="0" xfId="0" applyFont="1" applyFill="1"/>
    <xf numFmtId="169" fontId="7" fillId="2" borderId="0" xfId="1" applyNumberFormat="1" applyFont="1" applyFill="1" applyBorder="1" applyAlignment="1">
      <alignment horizontal="center"/>
    </xf>
    <xf numFmtId="164" fontId="10" fillId="0" borderId="0" xfId="0" quotePrefix="1" applyFont="1" applyAlignment="1">
      <alignment horizontal="right"/>
    </xf>
    <xf numFmtId="165" fontId="7" fillId="0" borderId="1" xfId="0" applyNumberFormat="1" applyFont="1" applyBorder="1" applyProtection="1"/>
    <xf numFmtId="171" fontId="5" fillId="0" borderId="1" xfId="0" applyNumberFormat="1" applyFont="1" applyBorder="1" applyAlignment="1" applyProtection="1">
      <alignment horizontal="center"/>
      <protection locked="0"/>
    </xf>
    <xf numFmtId="167" fontId="8" fillId="0" borderId="0" xfId="0" applyNumberFormat="1" applyFont="1" applyBorder="1" applyProtection="1"/>
    <xf numFmtId="166" fontId="7" fillId="0" borderId="0" xfId="0" applyNumberFormat="1" applyFont="1" applyBorder="1" applyProtection="1">
      <protection locked="0"/>
    </xf>
    <xf numFmtId="171" fontId="5" fillId="0" borderId="0" xfId="0" applyNumberFormat="1" applyFont="1" applyBorder="1" applyAlignment="1" applyProtection="1">
      <alignment horizontal="center"/>
      <protection locked="0"/>
    </xf>
    <xf numFmtId="171" fontId="8" fillId="0" borderId="0" xfId="0" applyNumberFormat="1" applyFont="1" applyBorder="1" applyAlignment="1" applyProtection="1">
      <alignment horizontal="center"/>
      <protection locked="0"/>
    </xf>
    <xf numFmtId="168" fontId="8" fillId="0" borderId="0" xfId="1" applyNumberFormat="1" applyFont="1" applyBorder="1" applyProtection="1"/>
    <xf numFmtId="166" fontId="7" fillId="0" borderId="0" xfId="0" applyNumberFormat="1" applyFont="1" applyBorder="1" applyProtection="1"/>
    <xf numFmtId="171" fontId="5" fillId="0" borderId="0" xfId="0" applyNumberFormat="1" applyFont="1" applyBorder="1" applyAlignment="1">
      <alignment horizontal="center"/>
    </xf>
    <xf numFmtId="175" fontId="7" fillId="0" borderId="0" xfId="0" applyNumberFormat="1" applyFont="1" applyBorder="1" applyAlignment="1">
      <alignment horizontal="center"/>
    </xf>
    <xf numFmtId="172" fontId="7" fillId="0" borderId="0" xfId="0" applyNumberFormat="1" applyFont="1"/>
    <xf numFmtId="172" fontId="7" fillId="0" borderId="1" xfId="0" applyNumberFormat="1" applyFont="1" applyBorder="1"/>
    <xf numFmtId="171" fontId="5" fillId="0" borderId="0" xfId="0" applyNumberFormat="1" applyFont="1" applyProtection="1"/>
    <xf numFmtId="170" fontId="7" fillId="0" borderId="0" xfId="3" applyNumberFormat="1" applyFont="1" applyBorder="1"/>
    <xf numFmtId="164" fontId="9" fillId="0" borderId="1" xfId="0" quotePrefix="1" applyFont="1" applyBorder="1" applyAlignment="1">
      <alignment horizontal="left"/>
    </xf>
    <xf numFmtId="164" fontId="6" fillId="0" borderId="0" xfId="0" quotePrefix="1" applyFont="1" applyAlignment="1">
      <alignment horizontal="center"/>
    </xf>
    <xf numFmtId="169" fontId="7" fillId="3" borderId="0" xfId="1" applyNumberFormat="1" applyFont="1" applyFill="1"/>
    <xf numFmtId="169" fontId="7" fillId="0" borderId="1" xfId="1" applyNumberFormat="1" applyFont="1" applyFill="1" applyBorder="1" applyAlignment="1">
      <alignment horizontal="center"/>
    </xf>
    <xf numFmtId="169" fontId="5" fillId="0" borderId="1" xfId="1" applyNumberFormat="1" applyFont="1" applyBorder="1" applyProtection="1"/>
    <xf numFmtId="169" fontId="8" fillId="0" borderId="1" xfId="1" applyNumberFormat="1" applyFont="1" applyBorder="1" applyProtection="1"/>
    <xf numFmtId="169" fontId="7" fillId="3" borderId="1" xfId="1" applyNumberFormat="1" applyFont="1" applyFill="1" applyBorder="1" applyProtection="1">
      <protection locked="0"/>
    </xf>
    <xf numFmtId="164" fontId="0" fillId="0" borderId="1" xfId="0" applyBorder="1"/>
    <xf numFmtId="169" fontId="7" fillId="0" borderId="1" xfId="1" applyNumberFormat="1" applyFont="1" applyBorder="1" applyAlignment="1" applyProtection="1">
      <alignment horizontal="center"/>
    </xf>
    <xf numFmtId="169" fontId="7" fillId="0" borderId="1" xfId="1" applyNumberFormat="1" applyFont="1" applyFill="1" applyBorder="1" applyProtection="1">
      <protection locked="0"/>
    </xf>
    <xf numFmtId="166" fontId="8" fillId="0" borderId="0" xfId="0" applyNumberFormat="1" applyFont="1" applyBorder="1" applyProtection="1">
      <protection locked="0"/>
    </xf>
    <xf numFmtId="166" fontId="5" fillId="0" borderId="0" xfId="0" applyNumberFormat="1" applyFont="1" applyBorder="1" applyProtection="1">
      <protection locked="0"/>
    </xf>
    <xf numFmtId="169" fontId="5" fillId="0" borderId="0" xfId="1" applyNumberFormat="1" applyFont="1" applyBorder="1" applyProtection="1"/>
    <xf numFmtId="169" fontId="8" fillId="0" borderId="0" xfId="1" applyNumberFormat="1" applyFont="1" applyBorder="1" applyProtection="1"/>
    <xf numFmtId="169" fontId="7" fillId="3" borderId="0" xfId="1" applyNumberFormat="1" applyFont="1" applyFill="1" applyBorder="1" applyProtection="1">
      <protection locked="0"/>
    </xf>
    <xf numFmtId="166" fontId="7" fillId="0" borderId="0" xfId="0" applyNumberFormat="1" applyFont="1" applyBorder="1" applyAlignment="1" applyProtection="1">
      <alignment horizontal="center"/>
    </xf>
    <xf numFmtId="164" fontId="0" fillId="0" borderId="0" xfId="0" applyBorder="1"/>
    <xf numFmtId="164" fontId="7" fillId="0" borderId="0" xfId="0" applyFont="1" applyBorder="1" applyAlignment="1"/>
    <xf numFmtId="2" fontId="7" fillId="0" borderId="0" xfId="0" applyNumberFormat="1" applyFont="1" applyBorder="1" applyAlignment="1">
      <alignment horizontal="center"/>
    </xf>
    <xf numFmtId="169" fontId="7" fillId="0" borderId="0" xfId="1" applyNumberFormat="1" applyFont="1" applyBorder="1" applyAlignment="1" applyProtection="1">
      <alignment horizontal="center"/>
    </xf>
    <xf numFmtId="169" fontId="7" fillId="0" borderId="0" xfId="1" applyNumberFormat="1" applyFont="1" applyFill="1" applyBorder="1" applyProtection="1">
      <protection locked="0"/>
    </xf>
    <xf numFmtId="171" fontId="7" fillId="0" borderId="0" xfId="0" applyNumberFormat="1" applyFont="1" applyBorder="1"/>
    <xf numFmtId="1" fontId="7" fillId="0" borderId="0" xfId="0" applyNumberFormat="1" applyFont="1" applyBorder="1"/>
    <xf numFmtId="169" fontId="7" fillId="0" borderId="0" xfId="1" applyNumberFormat="1" applyFont="1" applyFill="1"/>
    <xf numFmtId="167" fontId="7" fillId="0" borderId="0" xfId="0" applyNumberFormat="1" applyFont="1" applyAlignment="1" applyProtection="1">
      <alignment horizontal="center"/>
      <protection locked="0"/>
    </xf>
    <xf numFmtId="167" fontId="7" fillId="0" borderId="1" xfId="0" applyNumberFormat="1" applyFont="1" applyBorder="1" applyAlignment="1" applyProtection="1">
      <alignment horizontal="center"/>
      <protection locked="0"/>
    </xf>
    <xf numFmtId="166" fontId="15" fillId="0" borderId="0" xfId="0" applyNumberFormat="1" applyFont="1" applyProtection="1">
      <protection locked="0"/>
    </xf>
    <xf numFmtId="167" fontId="15" fillId="2" borderId="0" xfId="0" applyNumberFormat="1" applyFont="1" applyFill="1" applyProtection="1"/>
    <xf numFmtId="3" fontId="7" fillId="0" borderId="1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3" fontId="7" fillId="0" borderId="0" xfId="1" applyNumberFormat="1" applyFont="1" applyBorder="1" applyAlignment="1">
      <alignment horizontal="center"/>
    </xf>
    <xf numFmtId="164" fontId="1" fillId="0" borderId="0" xfId="0" applyFont="1"/>
    <xf numFmtId="164" fontId="1" fillId="0" borderId="0" xfId="0" applyFont="1" applyAlignment="1">
      <alignment horizontal="right"/>
    </xf>
    <xf numFmtId="164" fontId="1" fillId="0" borderId="0" xfId="0" applyFont="1" applyAlignment="1">
      <alignment horizontal="center"/>
    </xf>
    <xf numFmtId="164" fontId="13" fillId="0" borderId="0" xfId="0" applyFont="1" applyAlignment="1" applyProtection="1">
      <alignment horizontal="center"/>
      <protection locked="0"/>
    </xf>
    <xf numFmtId="164" fontId="7" fillId="0" borderId="0" xfId="0" applyFont="1" applyFill="1" applyAlignment="1">
      <alignment horizontal="center"/>
    </xf>
    <xf numFmtId="169" fontId="7" fillId="0" borderId="1" xfId="1" applyNumberFormat="1" applyFont="1" applyFill="1" applyBorder="1"/>
    <xf numFmtId="171" fontId="5" fillId="0" borderId="1" xfId="0" applyNumberFormat="1" applyFont="1" applyBorder="1" applyProtection="1"/>
    <xf numFmtId="164" fontId="1" fillId="0" borderId="0" xfId="0" quotePrefix="1" applyFont="1" applyAlignment="1">
      <alignment horizontal="left"/>
    </xf>
    <xf numFmtId="171" fontId="5" fillId="0" borderId="0" xfId="0" applyNumberFormat="1" applyFont="1" applyProtection="1">
      <protection locked="0"/>
    </xf>
    <xf numFmtId="171" fontId="8" fillId="0" borderId="0" xfId="0" applyNumberFormat="1" applyFont="1" applyProtection="1">
      <protection locked="0"/>
    </xf>
    <xf numFmtId="171" fontId="5" fillId="0" borderId="1" xfId="0" applyNumberFormat="1" applyFont="1" applyBorder="1" applyProtection="1">
      <protection locked="0"/>
    </xf>
    <xf numFmtId="171" fontId="8" fillId="0" borderId="1" xfId="0" applyNumberFormat="1" applyFont="1" applyBorder="1" applyProtection="1">
      <protection locked="0"/>
    </xf>
    <xf numFmtId="171" fontId="7" fillId="0" borderId="0" xfId="0" applyNumberFormat="1" applyFont="1" applyAlignment="1">
      <alignment horizontal="right"/>
    </xf>
    <xf numFmtId="171" fontId="5" fillId="0" borderId="0" xfId="0" applyNumberFormat="1" applyFont="1" applyAlignment="1" applyProtection="1">
      <alignment horizontal="right"/>
      <protection locked="0"/>
    </xf>
    <xf numFmtId="171" fontId="8" fillId="0" borderId="0" xfId="0" applyNumberFormat="1" applyFont="1" applyAlignment="1" applyProtection="1">
      <alignment horizontal="right"/>
      <protection locked="0"/>
    </xf>
    <xf numFmtId="171" fontId="7" fillId="0" borderId="1" xfId="0" applyNumberFormat="1" applyFont="1" applyBorder="1" applyAlignment="1">
      <alignment horizontal="right"/>
    </xf>
    <xf numFmtId="171" fontId="5" fillId="0" borderId="1" xfId="0" applyNumberFormat="1" applyFont="1" applyBorder="1" applyAlignment="1" applyProtection="1">
      <alignment horizontal="right"/>
      <protection locked="0"/>
    </xf>
    <xf numFmtId="171" fontId="8" fillId="0" borderId="1" xfId="0" applyNumberFormat="1" applyFont="1" applyBorder="1" applyAlignment="1" applyProtection="1">
      <alignment horizontal="right"/>
      <protection locked="0"/>
    </xf>
    <xf numFmtId="171" fontId="5" fillId="0" borderId="0" xfId="0" applyNumberFormat="1" applyFont="1" applyBorder="1" applyProtection="1">
      <protection locked="0"/>
    </xf>
    <xf numFmtId="171" fontId="8" fillId="0" borderId="0" xfId="0" applyNumberFormat="1" applyFont="1" applyBorder="1" applyProtection="1">
      <protection locked="0"/>
    </xf>
    <xf numFmtId="164" fontId="1" fillId="0" borderId="0" xfId="0" quotePrefix="1" applyFont="1" applyAlignment="1">
      <alignment horizontal="center"/>
    </xf>
    <xf numFmtId="164" fontId="6" fillId="0" borderId="0" xfId="0" quotePrefix="1" applyFont="1" applyBorder="1" applyAlignment="1">
      <alignment horizontal="center"/>
    </xf>
    <xf numFmtId="164" fontId="7" fillId="0" borderId="1" xfId="0" applyFont="1" applyFill="1" applyBorder="1" applyAlignment="1">
      <alignment horizontal="center"/>
    </xf>
    <xf numFmtId="164" fontId="7" fillId="6" borderId="0" xfId="0" applyFont="1" applyFill="1" applyAlignment="1">
      <alignment horizontal="center"/>
    </xf>
    <xf numFmtId="164" fontId="16" fillId="6" borderId="0" xfId="0" applyFont="1" applyFill="1"/>
    <xf numFmtId="169" fontId="1" fillId="0" borderId="0" xfId="1" applyNumberFormat="1" applyFont="1"/>
    <xf numFmtId="169" fontId="5" fillId="6" borderId="22" xfId="1" applyNumberFormat="1" applyFont="1" applyFill="1" applyBorder="1"/>
    <xf numFmtId="164" fontId="5" fillId="6" borderId="23" xfId="0" quotePrefix="1" applyFont="1" applyFill="1" applyBorder="1" applyAlignment="1">
      <alignment horizontal="center"/>
    </xf>
    <xf numFmtId="176" fontId="1" fillId="0" borderId="0" xfId="0" applyNumberFormat="1" applyFont="1"/>
    <xf numFmtId="177" fontId="1" fillId="0" borderId="0" xfId="2" applyNumberFormat="1" applyFont="1"/>
    <xf numFmtId="164" fontId="9" fillId="0" borderId="17" xfId="0" applyFont="1" applyBorder="1" applyAlignment="1">
      <alignment horizontal="right"/>
    </xf>
    <xf numFmtId="164" fontId="9" fillId="0" borderId="18" xfId="0" applyFont="1" applyBorder="1" applyAlignment="1">
      <alignment horizontal="right"/>
    </xf>
    <xf numFmtId="164" fontId="9" fillId="0" borderId="18" xfId="0" applyFont="1" applyBorder="1"/>
    <xf numFmtId="176" fontId="13" fillId="0" borderId="18" xfId="0" applyNumberFormat="1" applyFont="1" applyBorder="1"/>
    <xf numFmtId="176" fontId="9" fillId="0" borderId="5" xfId="0" applyNumberFormat="1" applyFont="1" applyBorder="1" applyAlignment="1">
      <alignment horizontal="right"/>
    </xf>
    <xf numFmtId="176" fontId="5" fillId="0" borderId="0" xfId="0" applyNumberFormat="1" applyFont="1" applyBorder="1"/>
    <xf numFmtId="169" fontId="1" fillId="0" borderId="8" xfId="1" applyNumberFormat="1" applyFont="1" applyBorder="1"/>
    <xf numFmtId="176" fontId="1" fillId="0" borderId="8" xfId="0" applyNumberFormat="1" applyFont="1" applyBorder="1"/>
    <xf numFmtId="176" fontId="5" fillId="0" borderId="0" xfId="0" quotePrefix="1" applyNumberFormat="1" applyFont="1" applyBorder="1" applyAlignment="1">
      <alignment horizontal="right"/>
    </xf>
    <xf numFmtId="177" fontId="1" fillId="0" borderId="8" xfId="2" applyNumberFormat="1" applyFont="1" applyBorder="1"/>
    <xf numFmtId="176" fontId="5" fillId="0" borderId="1" xfId="0" applyNumberFormat="1" applyFont="1" applyBorder="1"/>
    <xf numFmtId="176" fontId="5" fillId="0" borderId="1" xfId="0" quotePrefix="1" applyNumberFormat="1" applyFont="1" applyBorder="1" applyAlignment="1">
      <alignment horizontal="right"/>
    </xf>
    <xf numFmtId="177" fontId="1" fillId="0" borderId="20" xfId="2" applyNumberFormat="1" applyFont="1" applyBorder="1"/>
    <xf numFmtId="164" fontId="7" fillId="0" borderId="17" xfId="0" applyFont="1" applyBorder="1"/>
    <xf numFmtId="176" fontId="1" fillId="0" borderId="18" xfId="0" applyNumberFormat="1" applyFont="1" applyBorder="1" applyAlignment="1">
      <alignment horizontal="center"/>
    </xf>
    <xf numFmtId="176" fontId="5" fillId="0" borderId="18" xfId="0" applyNumberFormat="1" applyFont="1" applyBorder="1"/>
    <xf numFmtId="176" fontId="5" fillId="0" borderId="5" xfId="0" applyNumberFormat="1" applyFont="1" applyBorder="1"/>
    <xf numFmtId="164" fontId="9" fillId="0" borderId="9" xfId="0" applyFont="1" applyBorder="1" applyAlignment="1">
      <alignment horizontal="right"/>
    </xf>
    <xf numFmtId="164" fontId="9" fillId="0" borderId="0" xfId="0" applyFont="1" applyBorder="1"/>
    <xf numFmtId="176" fontId="13" fillId="0" borderId="0" xfId="0" applyNumberFormat="1" applyFont="1" applyBorder="1"/>
    <xf numFmtId="176" fontId="9" fillId="0" borderId="8" xfId="0" applyNumberFormat="1" applyFont="1" applyBorder="1" applyAlignment="1">
      <alignment horizontal="right"/>
    </xf>
    <xf numFmtId="169" fontId="1" fillId="0" borderId="20" xfId="1" applyNumberFormat="1" applyFont="1" applyBorder="1"/>
    <xf numFmtId="17" fontId="7" fillId="2" borderId="0" xfId="0" applyNumberFormat="1" applyFont="1" applyFill="1" applyBorder="1"/>
    <xf numFmtId="3" fontId="5" fillId="0" borderId="0" xfId="1" applyNumberFormat="1" applyFont="1" applyBorder="1" applyAlignment="1">
      <alignment horizontal="center"/>
    </xf>
    <xf numFmtId="169" fontId="8" fillId="0" borderId="18" xfId="1" applyNumberFormat="1" applyFont="1" applyBorder="1" applyProtection="1"/>
    <xf numFmtId="166" fontId="7" fillId="0" borderId="18" xfId="0" applyNumberFormat="1" applyFont="1" applyBorder="1" applyAlignment="1" applyProtection="1">
      <alignment horizontal="center"/>
    </xf>
    <xf numFmtId="164" fontId="0" fillId="0" borderId="18" xfId="0" applyBorder="1"/>
    <xf numFmtId="169" fontId="5" fillId="0" borderId="18" xfId="1" applyNumberFormat="1" applyFont="1" applyBorder="1"/>
    <xf numFmtId="164" fontId="7" fillId="0" borderId="18" xfId="0" applyFont="1" applyBorder="1" applyAlignment="1"/>
    <xf numFmtId="2" fontId="7" fillId="0" borderId="18" xfId="0" applyNumberFormat="1" applyFont="1" applyBorder="1" applyAlignment="1">
      <alignment horizontal="center"/>
    </xf>
    <xf numFmtId="169" fontId="7" fillId="0" borderId="18" xfId="1" applyNumberFormat="1" applyFont="1" applyBorder="1" applyAlignment="1" applyProtection="1">
      <alignment horizontal="center"/>
    </xf>
    <xf numFmtId="3" fontId="7" fillId="0" borderId="18" xfId="0" applyNumberFormat="1" applyFont="1" applyBorder="1" applyAlignment="1">
      <alignment horizontal="center"/>
    </xf>
    <xf numFmtId="3" fontId="7" fillId="0" borderId="18" xfId="1" applyNumberFormat="1" applyFont="1" applyBorder="1" applyAlignment="1">
      <alignment horizontal="center"/>
    </xf>
    <xf numFmtId="164" fontId="6" fillId="0" borderId="0" xfId="0" quotePrefix="1" applyFont="1" applyAlignment="1">
      <alignment horizontal="left"/>
    </xf>
    <xf numFmtId="178" fontId="1" fillId="5" borderId="0" xfId="0" applyNumberFormat="1" applyFont="1" applyFill="1"/>
    <xf numFmtId="178" fontId="1" fillId="5" borderId="1" xfId="0" applyNumberFormat="1" applyFont="1" applyFill="1" applyBorder="1"/>
    <xf numFmtId="169" fontId="1" fillId="6" borderId="0" xfId="1" applyNumberFormat="1" applyFont="1" applyFill="1"/>
    <xf numFmtId="169" fontId="21" fillId="0" borderId="0" xfId="1" applyNumberFormat="1" applyFont="1"/>
    <xf numFmtId="178" fontId="1" fillId="0" borderId="0" xfId="0" applyNumberFormat="1" applyFont="1" applyFill="1"/>
    <xf numFmtId="171" fontId="7" fillId="0" borderId="0" xfId="0" applyNumberFormat="1" applyFont="1" applyBorder="1" applyAlignment="1">
      <alignment horizontal="right"/>
    </xf>
    <xf numFmtId="164" fontId="1" fillId="0" borderId="9" xfId="0" quotePrefix="1" applyFont="1" applyBorder="1" applyAlignment="1">
      <alignment horizontal="left"/>
    </xf>
    <xf numFmtId="171" fontId="7" fillId="7" borderId="8" xfId="0" applyNumberFormat="1" applyFont="1" applyFill="1" applyBorder="1" applyAlignment="1" applyProtection="1">
      <alignment horizontal="center"/>
      <protection locked="0"/>
    </xf>
    <xf numFmtId="171" fontId="7" fillId="7" borderId="20" xfId="0" applyNumberFormat="1" applyFont="1" applyFill="1" applyBorder="1" applyAlignment="1" applyProtection="1">
      <alignment horizontal="center"/>
      <protection locked="0"/>
    </xf>
    <xf numFmtId="171" fontId="7" fillId="7" borderId="0" xfId="0" applyNumberFormat="1" applyFont="1" applyFill="1" applyBorder="1" applyAlignment="1" applyProtection="1">
      <alignment horizontal="center"/>
      <protection locked="0"/>
    </xf>
    <xf numFmtId="164" fontId="22" fillId="0" borderId="0" xfId="0" quotePrefix="1" applyFont="1" applyAlignment="1">
      <alignment horizontal="left"/>
    </xf>
    <xf numFmtId="171" fontId="8" fillId="0" borderId="8" xfId="0" applyNumberFormat="1" applyFont="1" applyBorder="1" applyAlignment="1">
      <alignment horizontal="center"/>
    </xf>
    <xf numFmtId="171" fontId="8" fillId="0" borderId="20" xfId="0" applyNumberFormat="1" applyFont="1" applyBorder="1" applyAlignment="1">
      <alignment horizontal="center"/>
    </xf>
    <xf numFmtId="164" fontId="7" fillId="0" borderId="17" xfId="0" applyFont="1" applyBorder="1" applyAlignment="1">
      <alignment horizontal="center"/>
    </xf>
    <xf numFmtId="178" fontId="1" fillId="0" borderId="1" xfId="0" applyNumberFormat="1" applyFont="1" applyFill="1" applyBorder="1"/>
    <xf numFmtId="164" fontId="6" fillId="6" borderId="0" xfId="0" applyFont="1" applyFill="1" applyAlignment="1">
      <alignment horizontal="left"/>
    </xf>
    <xf numFmtId="169" fontId="1" fillId="0" borderId="0" xfId="1" applyNumberFormat="1" applyFont="1" applyFill="1"/>
    <xf numFmtId="169" fontId="1" fillId="0" borderId="1" xfId="1" applyNumberFormat="1" applyFont="1" applyFill="1" applyBorder="1"/>
    <xf numFmtId="164" fontId="1" fillId="0" borderId="0" xfId="0" applyFont="1" applyFill="1" applyAlignment="1">
      <alignment horizontal="center"/>
    </xf>
    <xf numFmtId="164" fontId="1" fillId="0" borderId="1" xfId="0" applyFont="1" applyFill="1" applyBorder="1" applyAlignment="1">
      <alignment horizontal="center"/>
    </xf>
    <xf numFmtId="176" fontId="7" fillId="0" borderId="1" xfId="0" applyNumberFormat="1" applyFont="1" applyBorder="1"/>
    <xf numFmtId="164" fontId="6" fillId="3" borderId="0" xfId="0" quotePrefix="1" applyFont="1" applyFill="1" applyAlignment="1">
      <alignment horizontal="center"/>
    </xf>
    <xf numFmtId="164" fontId="23" fillId="0" borderId="1" xfId="0" applyFont="1" applyBorder="1" applyAlignment="1">
      <alignment horizontal="center"/>
    </xf>
    <xf numFmtId="164" fontId="7" fillId="0" borderId="18" xfId="0" applyFont="1" applyBorder="1" applyAlignment="1">
      <alignment horizontal="center"/>
    </xf>
    <xf numFmtId="178" fontId="1" fillId="6" borderId="0" xfId="0" applyNumberFormat="1" applyFont="1" applyFill="1"/>
    <xf numFmtId="178" fontId="1" fillId="6" borderId="1" xfId="0" applyNumberFormat="1" applyFont="1" applyFill="1" applyBorder="1"/>
    <xf numFmtId="178" fontId="7" fillId="0" borderId="0" xfId="0" applyNumberFormat="1" applyFont="1"/>
    <xf numFmtId="164" fontId="22" fillId="0" borderId="0" xfId="0" applyFont="1" applyAlignment="1">
      <alignment horizontal="left"/>
    </xf>
    <xf numFmtId="164" fontId="23" fillId="0" borderId="0" xfId="0" applyFont="1"/>
    <xf numFmtId="179" fontId="7" fillId="0" borderId="0" xfId="0" applyNumberFormat="1" applyFont="1"/>
    <xf numFmtId="164" fontId="7" fillId="0" borderId="11" xfId="0" applyFont="1" applyBorder="1" applyAlignment="1">
      <alignment horizontal="center"/>
    </xf>
    <xf numFmtId="164" fontId="12" fillId="0" borderId="0" xfId="0" applyFont="1" applyBorder="1" applyAlignment="1">
      <alignment horizontal="center"/>
    </xf>
    <xf numFmtId="164" fontId="1" fillId="0" borderId="0" xfId="0" applyFont="1" applyBorder="1" applyAlignment="1">
      <alignment horizontal="center"/>
    </xf>
    <xf numFmtId="164" fontId="13" fillId="0" borderId="0" xfId="0" applyFont="1" applyBorder="1" applyAlignment="1">
      <alignment horizontal="center"/>
    </xf>
    <xf numFmtId="164" fontId="1" fillId="0" borderId="0" xfId="0" quotePrefix="1" applyFont="1" applyBorder="1" applyAlignment="1">
      <alignment horizontal="center"/>
    </xf>
    <xf numFmtId="164" fontId="0" fillId="0" borderId="0" xfId="0" applyAlignment="1">
      <alignment horizontal="center"/>
    </xf>
    <xf numFmtId="164" fontId="1" fillId="0" borderId="15" xfId="0" quotePrefix="1" applyFont="1" applyBorder="1" applyAlignment="1">
      <alignment horizontal="center"/>
    </xf>
    <xf numFmtId="164" fontId="0" fillId="0" borderId="24" xfId="0" applyBorder="1" applyAlignment="1">
      <alignment horizontal="center"/>
    </xf>
    <xf numFmtId="164" fontId="12" fillId="0" borderId="15" xfId="0" applyFont="1" applyBorder="1" applyAlignment="1">
      <alignment horizontal="center"/>
    </xf>
    <xf numFmtId="9" fontId="7" fillId="0" borderId="0" xfId="3" applyFont="1"/>
    <xf numFmtId="164" fontId="18" fillId="0" borderId="0" xfId="0" applyFont="1" applyAlignment="1">
      <alignment horizontal="center"/>
    </xf>
    <xf numFmtId="164" fontId="18" fillId="0" borderId="0" xfId="0" quotePrefix="1" applyFont="1" applyAlignment="1">
      <alignment horizontal="center"/>
    </xf>
    <xf numFmtId="9" fontId="7" fillId="0" borderId="0" xfId="3" applyNumberFormat="1" applyFont="1"/>
    <xf numFmtId="164" fontId="7" fillId="0" borderId="11" xfId="0" applyFont="1" applyBorder="1" applyAlignment="1">
      <alignment horizontal="center"/>
    </xf>
    <xf numFmtId="164" fontId="7" fillId="0" borderId="15" xfId="0" applyFont="1" applyBorder="1"/>
    <xf numFmtId="164" fontId="8" fillId="0" borderId="0" xfId="0" quotePrefix="1" applyFont="1" applyAlignment="1">
      <alignment horizontal="center"/>
    </xf>
    <xf numFmtId="170" fontId="7" fillId="0" borderId="0" xfId="3" applyNumberFormat="1" applyFont="1" applyAlignment="1">
      <alignment horizontal="center"/>
    </xf>
    <xf numFmtId="164" fontId="5" fillId="0" borderId="17" xfId="0" quotePrefix="1" applyFont="1" applyBorder="1" applyAlignment="1">
      <alignment horizontal="center"/>
    </xf>
    <xf numFmtId="164" fontId="13" fillId="0" borderId="9" xfId="0" applyFont="1" applyBorder="1" applyAlignment="1">
      <alignment horizontal="center"/>
    </xf>
    <xf numFmtId="171" fontId="5" fillId="0" borderId="9" xfId="0" applyNumberFormat="1" applyFont="1" applyBorder="1" applyAlignment="1" applyProtection="1">
      <alignment horizontal="center"/>
    </xf>
    <xf numFmtId="171" fontId="5" fillId="0" borderId="21" xfId="0" applyNumberFormat="1" applyFont="1" applyBorder="1" applyAlignment="1" applyProtection="1">
      <alignment horizontal="center"/>
    </xf>
    <xf numFmtId="164" fontId="8" fillId="0" borderId="5" xfId="0" applyFont="1" applyBorder="1" applyAlignment="1">
      <alignment horizontal="center"/>
    </xf>
    <xf numFmtId="171" fontId="8" fillId="0" borderId="8" xfId="0" applyNumberFormat="1" applyFont="1" applyBorder="1" applyAlignment="1" applyProtection="1">
      <alignment horizontal="center"/>
    </xf>
    <xf numFmtId="171" fontId="8" fillId="0" borderId="20" xfId="0" applyNumberFormat="1" applyFont="1" applyBorder="1" applyAlignment="1" applyProtection="1">
      <alignment horizontal="center"/>
    </xf>
    <xf numFmtId="169" fontId="8" fillId="0" borderId="8" xfId="1" applyNumberFormat="1" applyFont="1" applyBorder="1" applyProtection="1"/>
    <xf numFmtId="169" fontId="8" fillId="0" borderId="20" xfId="1" applyNumberFormat="1" applyFont="1" applyBorder="1" applyProtection="1"/>
    <xf numFmtId="169" fontId="5" fillId="0" borderId="9" xfId="1" applyNumberFormat="1" applyFont="1" applyBorder="1" applyProtection="1"/>
    <xf numFmtId="169" fontId="5" fillId="0" borderId="21" xfId="1" applyNumberFormat="1" applyFont="1" applyBorder="1" applyProtection="1"/>
    <xf numFmtId="10" fontId="7" fillId="0" borderId="1" xfId="3" applyNumberFormat="1" applyFont="1" applyBorder="1" applyAlignment="1">
      <alignment horizontal="center"/>
    </xf>
    <xf numFmtId="10" fontId="7" fillId="0" borderId="1" xfId="3" applyNumberFormat="1" applyFont="1" applyBorder="1" applyAlignment="1" applyProtection="1">
      <alignment horizontal="center"/>
    </xf>
    <xf numFmtId="169" fontId="7" fillId="2" borderId="1" xfId="1" applyNumberFormat="1" applyFont="1" applyFill="1" applyBorder="1" applyAlignment="1">
      <alignment horizontal="center"/>
    </xf>
    <xf numFmtId="169" fontId="7" fillId="7" borderId="0" xfId="1" applyNumberFormat="1" applyFont="1" applyFill="1" applyAlignment="1" applyProtection="1">
      <alignment horizontal="center"/>
      <protection locked="0"/>
    </xf>
    <xf numFmtId="169" fontId="7" fillId="7" borderId="1" xfId="1" applyNumberFormat="1" applyFont="1" applyFill="1" applyBorder="1" applyAlignment="1" applyProtection="1">
      <alignment horizontal="center"/>
      <protection locked="0"/>
    </xf>
    <xf numFmtId="3" fontId="7" fillId="7" borderId="0" xfId="0" applyNumberFormat="1" applyFont="1" applyFill="1" applyAlignment="1">
      <alignment horizontal="center"/>
    </xf>
    <xf numFmtId="3" fontId="7" fillId="7" borderId="0" xfId="1" applyNumberFormat="1" applyFont="1" applyFill="1" applyAlignment="1">
      <alignment horizontal="center"/>
    </xf>
    <xf numFmtId="3" fontId="7" fillId="7" borderId="1" xfId="1" applyNumberFormat="1" applyFont="1" applyFill="1" applyBorder="1" applyAlignment="1">
      <alignment horizontal="center"/>
    </xf>
    <xf numFmtId="164" fontId="5" fillId="0" borderId="1" xfId="0" applyFont="1" applyBorder="1" applyAlignment="1">
      <alignment horizontal="center"/>
    </xf>
    <xf numFmtId="164" fontId="7" fillId="6" borderId="0" xfId="0" applyFont="1" applyFill="1"/>
    <xf numFmtId="169" fontId="6" fillId="2" borderId="0" xfId="1" applyNumberFormat="1" applyFont="1" applyFill="1" applyBorder="1" applyAlignment="1">
      <alignment horizontal="center"/>
    </xf>
    <xf numFmtId="173" fontId="23" fillId="0" borderId="0" xfId="0" applyNumberFormat="1" applyFont="1" applyAlignment="1">
      <alignment horizontal="center"/>
    </xf>
    <xf numFmtId="173" fontId="23" fillId="0" borderId="1" xfId="0" applyNumberFormat="1" applyFont="1" applyBorder="1" applyAlignment="1">
      <alignment horizontal="center"/>
    </xf>
    <xf numFmtId="164" fontId="7" fillId="0" borderId="21" xfId="0" applyFont="1" applyBorder="1" applyAlignment="1">
      <alignment horizontal="center"/>
    </xf>
    <xf numFmtId="164" fontId="1" fillId="0" borderId="0" xfId="0" quotePrefix="1" applyFont="1" applyAlignment="1">
      <alignment horizontal="right"/>
    </xf>
    <xf numFmtId="164" fontId="1" fillId="6" borderId="0" xfId="0" applyFont="1" applyFill="1" applyAlignment="1">
      <alignment horizontal="center"/>
    </xf>
    <xf numFmtId="164" fontId="1" fillId="6" borderId="0" xfId="0" applyFont="1" applyFill="1" applyBorder="1" applyAlignment="1">
      <alignment horizontal="center"/>
    </xf>
    <xf numFmtId="164" fontId="9" fillId="0" borderId="0" xfId="0" quotePrefix="1" applyFont="1" applyBorder="1" applyAlignment="1">
      <alignment horizontal="right"/>
    </xf>
    <xf numFmtId="173" fontId="0" fillId="0" borderId="0" xfId="0" applyNumberFormat="1" applyAlignment="1">
      <alignment horizontal="center"/>
    </xf>
    <xf numFmtId="164" fontId="0" fillId="0" borderId="17" xfId="0" applyBorder="1"/>
    <xf numFmtId="164" fontId="9" fillId="0" borderId="8" xfId="0" quotePrefix="1" applyFont="1" applyBorder="1" applyAlignment="1">
      <alignment horizontal="left"/>
    </xf>
    <xf numFmtId="169" fontId="7" fillId="0" borderId="8" xfId="1" applyNumberFormat="1" applyFont="1" applyBorder="1"/>
    <xf numFmtId="169" fontId="21" fillId="0" borderId="8" xfId="1" applyNumberFormat="1" applyFont="1" applyBorder="1"/>
    <xf numFmtId="164" fontId="7" fillId="0" borderId="20" xfId="0" applyFont="1" applyBorder="1"/>
    <xf numFmtId="169" fontId="23" fillId="0" borderId="0" xfId="1" applyNumberFormat="1" applyFont="1" applyBorder="1"/>
    <xf numFmtId="169" fontId="23" fillId="0" borderId="1" xfId="1" applyNumberFormat="1" applyFont="1" applyBorder="1"/>
    <xf numFmtId="0" fontId="24" fillId="0" borderId="0" xfId="0" quotePrefix="1" applyNumberFormat="1" applyFont="1" applyAlignment="1">
      <alignment horizontal="left"/>
    </xf>
    <xf numFmtId="173" fontId="24" fillId="0" borderId="0" xfId="0" applyNumberFormat="1" applyFont="1"/>
    <xf numFmtId="0" fontId="24" fillId="0" borderId="0" xfId="0" applyNumberFormat="1" applyFont="1"/>
    <xf numFmtId="164" fontId="1" fillId="6" borderId="0" xfId="0" quotePrefix="1" applyFont="1" applyFill="1" applyAlignment="1">
      <alignment horizontal="right"/>
    </xf>
    <xf numFmtId="164" fontId="5" fillId="6" borderId="0" xfId="0" applyFont="1" applyFill="1"/>
    <xf numFmtId="164" fontId="1" fillId="6" borderId="0" xfId="0" applyFont="1" applyFill="1"/>
    <xf numFmtId="164" fontId="16" fillId="6" borderId="0" xfId="0" quotePrefix="1" applyFont="1" applyFill="1" applyAlignment="1">
      <alignment horizontal="center"/>
    </xf>
    <xf numFmtId="164" fontId="11" fillId="6" borderId="0" xfId="0" applyFont="1" applyFill="1" applyAlignment="1">
      <alignment horizontal="center"/>
    </xf>
    <xf numFmtId="169" fontId="5" fillId="5" borderId="0" xfId="1" applyNumberFormat="1" applyFont="1" applyFill="1"/>
    <xf numFmtId="164" fontId="6" fillId="6" borderId="0" xfId="0" applyFont="1" applyFill="1"/>
    <xf numFmtId="167" fontId="5" fillId="6" borderId="0" xfId="0" applyNumberFormat="1" applyFont="1" applyFill="1" applyProtection="1"/>
    <xf numFmtId="164" fontId="11" fillId="6" borderId="0" xfId="0" quotePrefix="1" applyFont="1" applyFill="1" applyAlignment="1">
      <alignment horizontal="center"/>
    </xf>
    <xf numFmtId="164" fontId="7" fillId="6" borderId="1" xfId="0" applyFont="1" applyFill="1" applyBorder="1"/>
    <xf numFmtId="169" fontId="7" fillId="6" borderId="0" xfId="1" applyNumberFormat="1" applyFont="1" applyFill="1"/>
    <xf numFmtId="169" fontId="23" fillId="6" borderId="0" xfId="1" applyNumberFormat="1" applyFont="1" applyFill="1"/>
    <xf numFmtId="169" fontId="1" fillId="0" borderId="1" xfId="1" applyNumberFormat="1" applyFont="1" applyBorder="1"/>
    <xf numFmtId="169" fontId="5" fillId="6" borderId="0" xfId="1" applyNumberFormat="1" applyFont="1" applyFill="1" applyBorder="1"/>
    <xf numFmtId="169" fontId="5" fillId="6" borderId="0" xfId="1" applyNumberFormat="1" applyFont="1" applyFill="1"/>
    <xf numFmtId="169" fontId="5" fillId="6" borderId="1" xfId="1" applyNumberFormat="1" applyFont="1" applyFill="1" applyBorder="1"/>
    <xf numFmtId="169" fontId="5" fillId="6" borderId="18" xfId="1" applyNumberFormat="1" applyFont="1" applyFill="1" applyBorder="1"/>
    <xf numFmtId="167" fontId="5" fillId="6" borderId="1" xfId="0" applyNumberFormat="1" applyFont="1" applyFill="1" applyBorder="1" applyProtection="1"/>
    <xf numFmtId="169" fontId="23" fillId="0" borderId="0" xfId="1" applyNumberFormat="1" applyFont="1"/>
    <xf numFmtId="164" fontId="1" fillId="0" borderId="2" xfId="0" quotePrefix="1" applyFont="1" applyBorder="1" applyAlignment="1">
      <alignment horizontal="right"/>
    </xf>
    <xf numFmtId="169" fontId="23" fillId="6" borderId="1" xfId="1" applyNumberFormat="1" applyFont="1" applyFill="1" applyBorder="1"/>
    <xf numFmtId="169" fontId="23" fillId="6" borderId="19" xfId="1" applyNumberFormat="1" applyFont="1" applyFill="1" applyBorder="1"/>
    <xf numFmtId="164" fontId="10" fillId="0" borderId="6" xfId="0" applyFont="1" applyBorder="1" applyAlignment="1">
      <alignment horizontal="right"/>
    </xf>
    <xf numFmtId="180" fontId="7" fillId="0" borderId="0" xfId="1" applyNumberFormat="1" applyFont="1"/>
    <xf numFmtId="181" fontId="7" fillId="0" borderId="0" xfId="1" applyNumberFormat="1" applyFont="1"/>
    <xf numFmtId="164" fontId="1" fillId="6" borderId="1" xfId="0" applyFont="1" applyFill="1" applyBorder="1"/>
    <xf numFmtId="164" fontId="23" fillId="6" borderId="1" xfId="0" applyFont="1" applyFill="1" applyBorder="1"/>
    <xf numFmtId="164" fontId="23" fillId="6" borderId="0" xfId="0" applyFont="1" applyFill="1"/>
    <xf numFmtId="178" fontId="7" fillId="0" borderId="1" xfId="0" applyNumberFormat="1" applyFont="1" applyBorder="1"/>
    <xf numFmtId="181" fontId="7" fillId="0" borderId="0" xfId="1" applyNumberFormat="1" applyFont="1" applyBorder="1"/>
    <xf numFmtId="181" fontId="7" fillId="0" borderId="0" xfId="1" applyNumberFormat="1" applyFont="1" applyAlignment="1">
      <alignment horizontal="right"/>
    </xf>
    <xf numFmtId="181" fontId="7" fillId="0" borderId="1" xfId="1" applyNumberFormat="1" applyFont="1" applyBorder="1"/>
    <xf numFmtId="178" fontId="23" fillId="6" borderId="0" xfId="0" applyNumberFormat="1" applyFont="1" applyFill="1"/>
    <xf numFmtId="178" fontId="7" fillId="0" borderId="0" xfId="1" applyNumberFormat="1" applyFont="1"/>
    <xf numFmtId="164" fontId="23" fillId="6" borderId="1" xfId="0" applyFont="1" applyFill="1" applyBorder="1" applyAlignment="1">
      <alignment horizontal="right"/>
    </xf>
    <xf numFmtId="164" fontId="8" fillId="6" borderId="0" xfId="0" applyFont="1" applyFill="1"/>
    <xf numFmtId="182" fontId="7" fillId="0" borderId="0" xfId="0" applyNumberFormat="1" applyFont="1"/>
    <xf numFmtId="182" fontId="7" fillId="0" borderId="1" xfId="0" applyNumberFormat="1" applyFont="1" applyBorder="1"/>
    <xf numFmtId="164" fontId="1" fillId="0" borderId="1" xfId="0" quotePrefix="1" applyFont="1" applyBorder="1" applyAlignment="1">
      <alignment horizontal="center"/>
    </xf>
    <xf numFmtId="170" fontId="7" fillId="0" borderId="1" xfId="3" applyNumberFormat="1" applyFont="1" applyBorder="1" applyAlignment="1">
      <alignment horizontal="center"/>
    </xf>
    <xf numFmtId="164" fontId="1" fillId="6" borderId="0" xfId="0" quotePrefix="1" applyFont="1" applyFill="1" applyAlignment="1">
      <alignment horizontal="center"/>
    </xf>
    <xf numFmtId="164" fontId="9" fillId="6" borderId="0" xfId="0" quotePrefix="1" applyFont="1" applyFill="1" applyBorder="1" applyAlignment="1">
      <alignment horizontal="left"/>
    </xf>
    <xf numFmtId="169" fontId="7" fillId="5" borderId="0" xfId="1" applyNumberFormat="1" applyFont="1" applyFill="1"/>
    <xf numFmtId="169" fontId="7" fillId="5" borderId="1" xfId="1" applyNumberFormat="1" applyFont="1" applyFill="1" applyBorder="1"/>
    <xf numFmtId="169" fontId="7" fillId="5" borderId="0" xfId="1" applyNumberFormat="1" applyFont="1" applyFill="1" applyBorder="1"/>
    <xf numFmtId="164" fontId="1" fillId="5" borderId="0" xfId="0" applyFont="1" applyFill="1"/>
    <xf numFmtId="164" fontId="1" fillId="5" borderId="0" xfId="0" applyFont="1" applyFill="1" applyAlignment="1">
      <alignment horizontal="center"/>
    </xf>
    <xf numFmtId="164" fontId="16" fillId="5" borderId="0" xfId="0" quotePrefix="1" applyFont="1" applyFill="1" applyAlignment="1">
      <alignment horizontal="center"/>
    </xf>
    <xf numFmtId="164" fontId="11" fillId="5" borderId="0" xfId="0" quotePrefix="1" applyFont="1" applyFill="1" applyAlignment="1">
      <alignment horizontal="center"/>
    </xf>
    <xf numFmtId="169" fontId="1" fillId="5" borderId="0" xfId="1" applyNumberFormat="1" applyFont="1" applyFill="1"/>
    <xf numFmtId="169" fontId="7" fillId="5" borderId="6" xfId="1" applyNumberFormat="1" applyFont="1" applyFill="1" applyBorder="1"/>
    <xf numFmtId="164" fontId="5" fillId="0" borderId="0" xfId="0" quotePrefix="1" applyFont="1" applyAlignment="1">
      <alignment horizontal="right"/>
    </xf>
    <xf numFmtId="169" fontId="23" fillId="0" borderId="14" xfId="1" applyNumberFormat="1" applyFont="1" applyBorder="1"/>
    <xf numFmtId="169" fontId="23" fillId="0" borderId="16" xfId="1" applyNumberFormat="1" applyFont="1" applyBorder="1"/>
    <xf numFmtId="1" fontId="23" fillId="0" borderId="24" xfId="0" applyNumberFormat="1" applyFont="1" applyBorder="1"/>
    <xf numFmtId="171" fontId="8" fillId="6" borderId="8" xfId="0" applyNumberFormat="1" applyFont="1" applyFill="1" applyBorder="1" applyAlignment="1" applyProtection="1">
      <alignment horizontal="center"/>
    </xf>
    <xf numFmtId="171" fontId="8" fillId="6" borderId="0" xfId="0" applyNumberFormat="1" applyFont="1" applyFill="1" applyAlignment="1" applyProtection="1">
      <alignment horizontal="center"/>
    </xf>
    <xf numFmtId="169" fontId="8" fillId="6" borderId="8" xfId="1" applyNumberFormat="1" applyFont="1" applyFill="1" applyBorder="1" applyProtection="1"/>
    <xf numFmtId="169" fontId="5" fillId="6" borderId="0" xfId="1" applyNumberFormat="1" applyFont="1" applyFill="1" applyProtection="1"/>
    <xf numFmtId="169" fontId="8" fillId="6" borderId="0" xfId="1" applyNumberFormat="1" applyFont="1" applyFill="1" applyProtection="1"/>
    <xf numFmtId="169" fontId="5" fillId="6" borderId="9" xfId="1" applyNumberFormat="1" applyFont="1" applyFill="1" applyBorder="1" applyProtection="1"/>
    <xf numFmtId="170" fontId="7" fillId="0" borderId="7" xfId="3" applyNumberFormat="1" applyFont="1" applyBorder="1" applyProtection="1"/>
    <xf numFmtId="169" fontId="7" fillId="0" borderId="0" xfId="1" applyNumberFormat="1" applyFont="1" applyBorder="1" applyProtection="1"/>
    <xf numFmtId="170" fontId="7" fillId="0" borderId="0" xfId="3" applyNumberFormat="1" applyFont="1" applyBorder="1" applyProtection="1"/>
    <xf numFmtId="169" fontId="7" fillId="0" borderId="0" xfId="1" applyNumberFormat="1" applyFont="1" applyAlignment="1">
      <alignment horizontal="right"/>
    </xf>
    <xf numFmtId="169" fontId="7" fillId="0" borderId="1" xfId="1" applyNumberFormat="1" applyFont="1" applyBorder="1" applyAlignment="1">
      <alignment horizontal="right"/>
    </xf>
    <xf numFmtId="169" fontId="5" fillId="0" borderId="0" xfId="1" applyNumberFormat="1" applyFont="1" applyAlignment="1">
      <alignment horizontal="right"/>
    </xf>
    <xf numFmtId="169" fontId="5" fillId="0" borderId="1" xfId="1" applyNumberFormat="1" applyFont="1" applyBorder="1" applyAlignment="1">
      <alignment horizontal="right"/>
    </xf>
    <xf numFmtId="169" fontId="16" fillId="0" borderId="0" xfId="1" applyNumberFormat="1" applyFont="1"/>
    <xf numFmtId="164" fontId="7" fillId="6" borderId="8" xfId="0" applyFont="1" applyFill="1" applyBorder="1" applyAlignment="1">
      <alignment horizontal="center"/>
    </xf>
    <xf numFmtId="164" fontId="7" fillId="6" borderId="20" xfId="0" applyFont="1" applyFill="1" applyBorder="1" applyAlignment="1">
      <alignment horizontal="center"/>
    </xf>
    <xf numFmtId="164" fontId="1" fillId="0" borderId="8" xfId="0" applyFont="1" applyBorder="1" applyAlignment="1">
      <alignment horizontal="center"/>
    </xf>
    <xf numFmtId="164" fontId="7" fillId="6" borderId="5" xfId="0" applyFont="1" applyFill="1" applyBorder="1" applyAlignment="1">
      <alignment horizontal="center"/>
    </xf>
    <xf numFmtId="179" fontId="7" fillId="6" borderId="0" xfId="0" applyNumberFormat="1" applyFont="1" applyFill="1"/>
    <xf numFmtId="169" fontId="7" fillId="6" borderId="0" xfId="1" applyNumberFormat="1" applyFont="1" applyFill="1" applyBorder="1"/>
    <xf numFmtId="164" fontId="1" fillId="7" borderId="18" xfId="0" applyFont="1" applyFill="1" applyBorder="1" applyAlignment="1">
      <alignment horizontal="center"/>
    </xf>
    <xf numFmtId="164" fontId="9" fillId="7" borderId="0" xfId="0" quotePrefix="1" applyFont="1" applyFill="1" applyBorder="1" applyAlignment="1">
      <alignment horizontal="center"/>
    </xf>
    <xf numFmtId="164" fontId="6" fillId="6" borderId="25" xfId="0" applyFont="1" applyFill="1" applyBorder="1" applyAlignment="1">
      <alignment horizontal="center"/>
    </xf>
    <xf numFmtId="164" fontId="10" fillId="6" borderId="26" xfId="0" applyFont="1" applyFill="1" applyBorder="1" applyAlignment="1">
      <alignment horizontal="center"/>
    </xf>
    <xf numFmtId="164" fontId="9" fillId="0" borderId="8" xfId="0" quotePrefix="1" applyFont="1" applyBorder="1" applyAlignment="1">
      <alignment horizontal="center"/>
    </xf>
    <xf numFmtId="164" fontId="10" fillId="6" borderId="26" xfId="0" quotePrefix="1" applyFont="1" applyFill="1" applyBorder="1" applyAlignment="1">
      <alignment horizontal="center"/>
    </xf>
    <xf numFmtId="164" fontId="8" fillId="6" borderId="1" xfId="0" applyFont="1" applyFill="1" applyBorder="1"/>
    <xf numFmtId="172" fontId="6" fillId="0" borderId="0" xfId="0" applyNumberFormat="1" applyFont="1" applyAlignment="1">
      <alignment horizontal="center"/>
    </xf>
    <xf numFmtId="164" fontId="25" fillId="6" borderId="0" xfId="0" applyFont="1" applyFill="1" applyAlignment="1">
      <alignment horizontal="center"/>
    </xf>
    <xf numFmtId="169" fontId="0" fillId="0" borderId="0" xfId="1" applyNumberFormat="1" applyFont="1"/>
    <xf numFmtId="164" fontId="0" fillId="0" borderId="0" xfId="0" quotePrefix="1" applyAlignment="1">
      <alignment horizontal="center"/>
    </xf>
    <xf numFmtId="164" fontId="6" fillId="0" borderId="0" xfId="0" applyFont="1" applyAlignment="1">
      <alignment horizontal="center"/>
    </xf>
    <xf numFmtId="164" fontId="6" fillId="0" borderId="0" xfId="0" quotePrefix="1" applyFont="1" applyAlignment="1">
      <alignment horizontal="center"/>
    </xf>
    <xf numFmtId="164" fontId="6" fillId="0" borderId="10" xfId="0" applyFont="1" applyBorder="1" applyAlignment="1">
      <alignment horizontal="center"/>
    </xf>
    <xf numFmtId="164" fontId="6" fillId="0" borderId="11" xfId="0" applyFont="1" applyBorder="1" applyAlignment="1">
      <alignment horizontal="center"/>
    </xf>
    <xf numFmtId="164" fontId="6" fillId="0" borderId="12" xfId="0" applyFont="1" applyBorder="1" applyAlignment="1">
      <alignment horizontal="center"/>
    </xf>
    <xf numFmtId="164" fontId="1" fillId="0" borderId="18" xfId="0" applyFont="1" applyBorder="1" applyAlignment="1">
      <alignment horizontal="center"/>
    </xf>
    <xf numFmtId="164" fontId="1" fillId="0" borderId="10" xfId="0" quotePrefix="1" applyFont="1" applyBorder="1" applyAlignment="1">
      <alignment horizontal="center"/>
    </xf>
    <xf numFmtId="164" fontId="7" fillId="0" borderId="11" xfId="0" applyFont="1" applyBorder="1" applyAlignment="1">
      <alignment horizontal="center"/>
    </xf>
    <xf numFmtId="164" fontId="7" fillId="0" borderId="12" xfId="0" applyFont="1" applyBorder="1" applyAlignment="1">
      <alignment horizontal="center"/>
    </xf>
    <xf numFmtId="164" fontId="1" fillId="0" borderId="10" xfId="0" applyFont="1" applyBorder="1" applyAlignment="1">
      <alignment horizontal="center"/>
    </xf>
    <xf numFmtId="164" fontId="1" fillId="0" borderId="11" xfId="0" applyFont="1" applyBorder="1" applyAlignment="1">
      <alignment horizontal="center"/>
    </xf>
    <xf numFmtId="164" fontId="1" fillId="0" borderId="12" xfId="0" applyFont="1" applyBorder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Retail Customer Growth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Actual %</c:v>
          </c:tx>
          <c:cat>
            <c:numRef>
              <c:f>'Tot Retail'!$AL$16:$AL$42</c:f>
              <c:numCache>
                <c:formatCode>General_)</c:formatCod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numCache>
            </c:numRef>
          </c:cat>
          <c:val>
            <c:numRef>
              <c:f>'Tot Retail'!$AU$16:$AU$36</c:f>
              <c:numCache>
                <c:formatCode>0.0%</c:formatCode>
                <c:ptCount val="21"/>
                <c:pt idx="0">
                  <c:v>1.9783112969830707E-2</c:v>
                </c:pt>
                <c:pt idx="1">
                  <c:v>2.7477807459941772E-2</c:v>
                </c:pt>
                <c:pt idx="2">
                  <c:v>2.4072006698297566E-2</c:v>
                </c:pt>
                <c:pt idx="3">
                  <c:v>1.8869448978324321E-2</c:v>
                </c:pt>
                <c:pt idx="4">
                  <c:v>1.924269096519482E-2</c:v>
                </c:pt>
                <c:pt idx="5">
                  <c:v>1.8025638660173149E-2</c:v>
                </c:pt>
                <c:pt idx="6">
                  <c:v>1.9109743829966552E-2</c:v>
                </c:pt>
                <c:pt idx="7">
                  <c:v>2.3068531352689936E-2</c:v>
                </c:pt>
                <c:pt idx="8">
                  <c:v>2.6480297136753927E-2</c:v>
                </c:pt>
                <c:pt idx="9">
                  <c:v>2.5526699187935487E-2</c:v>
                </c:pt>
                <c:pt idx="10">
                  <c:v>2.2357925074342422E-2</c:v>
                </c:pt>
                <c:pt idx="11">
                  <c:v>2.4219662874708225E-2</c:v>
                </c:pt>
                <c:pt idx="12">
                  <c:v>2.4557249814756821E-2</c:v>
                </c:pt>
                <c:pt idx="13">
                  <c:v>1.907762361119425E-2</c:v>
                </c:pt>
                <c:pt idx="14">
                  <c:v>2.2475287640165487E-2</c:v>
                </c:pt>
                <c:pt idx="15">
                  <c:v>1.4485840742885614E-2</c:v>
                </c:pt>
                <c:pt idx="16">
                  <c:v>2.6454184646240719E-4</c:v>
                </c:pt>
                <c:pt idx="17">
                  <c:v>-4.5898800007185825E-3</c:v>
                </c:pt>
                <c:pt idx="18">
                  <c:v>2.737756324295848E-3</c:v>
                </c:pt>
                <c:pt idx="19">
                  <c:v>5.0112019000851937E-3</c:v>
                </c:pt>
                <c:pt idx="20">
                  <c:v>8.0182314732204496E-3</c:v>
                </c:pt>
              </c:numCache>
            </c:numRef>
          </c:val>
        </c:ser>
        <c:ser>
          <c:idx val="1"/>
          <c:order val="1"/>
          <c:tx>
            <c:v>Jun'13 FOF</c:v>
          </c:tx>
          <c:val>
            <c:numRef>
              <c:f>'Tot Retail'!$BA$16:$BA$42</c:f>
              <c:numCache>
                <c:formatCode>General_)</c:formatCode>
                <c:ptCount val="27"/>
                <c:pt idx="21" formatCode="0.0%">
                  <c:v>1.0537762273736817E-2</c:v>
                </c:pt>
                <c:pt idx="22" formatCode="0.0%">
                  <c:v>9.5835220564315371E-3</c:v>
                </c:pt>
                <c:pt idx="23" formatCode="0.0%">
                  <c:v>2.042993165863316E-2</c:v>
                </c:pt>
                <c:pt idx="24" formatCode="0.0%">
                  <c:v>1.5362064571429856E-2</c:v>
                </c:pt>
                <c:pt idx="25" formatCode="0.0%">
                  <c:v>1.5568263128084903E-2</c:v>
                </c:pt>
                <c:pt idx="26" formatCode="0.0%">
                  <c:v>1.5679917609899618E-2</c:v>
                </c:pt>
              </c:numCache>
            </c:numRef>
          </c:val>
        </c:ser>
        <c:overlap val="80"/>
        <c:axId val="228978048"/>
        <c:axId val="229639296"/>
      </c:barChart>
      <c:catAx>
        <c:axId val="228978048"/>
        <c:scaling>
          <c:orientation val="minMax"/>
        </c:scaling>
        <c:axPos val="b"/>
        <c:numFmt formatCode="General_)" sourceLinked="1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229639296"/>
        <c:crosses val="autoZero"/>
        <c:auto val="1"/>
        <c:lblAlgn val="ctr"/>
        <c:lblOffset val="100"/>
      </c:catAx>
      <c:valAx>
        <c:axId val="229639296"/>
        <c:scaling>
          <c:orientation val="minMax"/>
        </c:scaling>
        <c:axPos val="l"/>
        <c:majorGridlines/>
        <c:numFmt formatCode="0.0%" sourceLinked="1"/>
        <c:tickLblPos val="nextTo"/>
        <c:crossAx val="228978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531122246082894"/>
          <c:y val="0.74622909173390362"/>
          <c:w val="0.18531438030161296"/>
          <c:h val="5.9532225138524554E-2"/>
        </c:manualLayout>
      </c:layout>
    </c:legend>
    <c:plotVisOnly val="1"/>
    <c:dispBlanksAs val="gap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Commercial Lighting Accounts
UPC - Actual Billing Month</a:t>
            </a:r>
          </a:p>
        </c:rich>
      </c:tx>
      <c:layout>
        <c:manualLayout>
          <c:xMode val="edge"/>
          <c:yMode val="edge"/>
          <c:x val="0.37307692307694346"/>
          <c:y val="3.380281690140844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9634515514413542E-2"/>
          <c:y val="0.17746503282493964"/>
          <c:w val="0.86814676749320063"/>
          <c:h val="0.67324036262158604"/>
        </c:manualLayout>
      </c:layout>
      <c:lineChart>
        <c:grouping val="standard"/>
        <c:ser>
          <c:idx val="7"/>
          <c:order val="0"/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COML!$A$149:$A$377</c:f>
              <c:numCache>
                <c:formatCode>General_)</c:formatCode>
                <c:ptCount val="229"/>
                <c:pt idx="0">
                  <c:v>1995</c:v>
                </c:pt>
                <c:pt idx="1">
                  <c:v>1995</c:v>
                </c:pt>
                <c:pt idx="2">
                  <c:v>1995</c:v>
                </c:pt>
                <c:pt idx="3">
                  <c:v>1995</c:v>
                </c:pt>
                <c:pt idx="4">
                  <c:v>1995</c:v>
                </c:pt>
                <c:pt idx="5">
                  <c:v>1995</c:v>
                </c:pt>
                <c:pt idx="6">
                  <c:v>1995</c:v>
                </c:pt>
                <c:pt idx="7">
                  <c:v>1995</c:v>
                </c:pt>
                <c:pt idx="8">
                  <c:v>1995</c:v>
                </c:pt>
                <c:pt idx="9">
                  <c:v>1995</c:v>
                </c:pt>
                <c:pt idx="10">
                  <c:v>1995</c:v>
                </c:pt>
                <c:pt idx="11">
                  <c:v>1995</c:v>
                </c:pt>
                <c:pt idx="12">
                  <c:v>1996</c:v>
                </c:pt>
                <c:pt idx="13">
                  <c:v>1996</c:v>
                </c:pt>
                <c:pt idx="14">
                  <c:v>1996</c:v>
                </c:pt>
                <c:pt idx="15">
                  <c:v>1996</c:v>
                </c:pt>
                <c:pt idx="16">
                  <c:v>1996</c:v>
                </c:pt>
                <c:pt idx="17">
                  <c:v>1996</c:v>
                </c:pt>
                <c:pt idx="18">
                  <c:v>1996</c:v>
                </c:pt>
                <c:pt idx="19">
                  <c:v>1996</c:v>
                </c:pt>
                <c:pt idx="20">
                  <c:v>1996</c:v>
                </c:pt>
                <c:pt idx="21">
                  <c:v>1996</c:v>
                </c:pt>
                <c:pt idx="22">
                  <c:v>1996</c:v>
                </c:pt>
                <c:pt idx="23">
                  <c:v>1996</c:v>
                </c:pt>
                <c:pt idx="24">
                  <c:v>1997</c:v>
                </c:pt>
                <c:pt idx="25">
                  <c:v>1997</c:v>
                </c:pt>
                <c:pt idx="26">
                  <c:v>1997</c:v>
                </c:pt>
                <c:pt idx="27">
                  <c:v>1997</c:v>
                </c:pt>
                <c:pt idx="28">
                  <c:v>1997</c:v>
                </c:pt>
                <c:pt idx="29">
                  <c:v>1997</c:v>
                </c:pt>
                <c:pt idx="30">
                  <c:v>1997</c:v>
                </c:pt>
                <c:pt idx="31">
                  <c:v>1997</c:v>
                </c:pt>
                <c:pt idx="32">
                  <c:v>1997</c:v>
                </c:pt>
                <c:pt idx="33">
                  <c:v>1997</c:v>
                </c:pt>
                <c:pt idx="34">
                  <c:v>1997</c:v>
                </c:pt>
                <c:pt idx="35">
                  <c:v>1997</c:v>
                </c:pt>
                <c:pt idx="36">
                  <c:v>1998</c:v>
                </c:pt>
                <c:pt idx="37">
                  <c:v>1998</c:v>
                </c:pt>
                <c:pt idx="38">
                  <c:v>1998</c:v>
                </c:pt>
                <c:pt idx="39">
                  <c:v>1998</c:v>
                </c:pt>
                <c:pt idx="40">
                  <c:v>1998</c:v>
                </c:pt>
                <c:pt idx="41">
                  <c:v>1998</c:v>
                </c:pt>
                <c:pt idx="42">
                  <c:v>1998</c:v>
                </c:pt>
                <c:pt idx="43">
                  <c:v>1998</c:v>
                </c:pt>
                <c:pt idx="44">
                  <c:v>1998</c:v>
                </c:pt>
                <c:pt idx="45">
                  <c:v>1998</c:v>
                </c:pt>
                <c:pt idx="46">
                  <c:v>1998</c:v>
                </c:pt>
                <c:pt idx="47">
                  <c:v>1998</c:v>
                </c:pt>
                <c:pt idx="48">
                  <c:v>1999</c:v>
                </c:pt>
                <c:pt idx="49">
                  <c:v>1999</c:v>
                </c:pt>
                <c:pt idx="50">
                  <c:v>1999</c:v>
                </c:pt>
                <c:pt idx="51">
                  <c:v>1999</c:v>
                </c:pt>
                <c:pt idx="52">
                  <c:v>1999</c:v>
                </c:pt>
                <c:pt idx="53">
                  <c:v>1999</c:v>
                </c:pt>
                <c:pt idx="54">
                  <c:v>1999</c:v>
                </c:pt>
                <c:pt idx="55">
                  <c:v>1999</c:v>
                </c:pt>
                <c:pt idx="56">
                  <c:v>1999</c:v>
                </c:pt>
                <c:pt idx="57">
                  <c:v>1999</c:v>
                </c:pt>
                <c:pt idx="58">
                  <c:v>1999</c:v>
                </c:pt>
                <c:pt idx="59">
                  <c:v>1999</c:v>
                </c:pt>
                <c:pt idx="60">
                  <c:v>2000</c:v>
                </c:pt>
                <c:pt idx="61">
                  <c:v>2000</c:v>
                </c:pt>
                <c:pt idx="62">
                  <c:v>2000</c:v>
                </c:pt>
                <c:pt idx="63">
                  <c:v>2000</c:v>
                </c:pt>
                <c:pt idx="64">
                  <c:v>2000</c:v>
                </c:pt>
                <c:pt idx="65">
                  <c:v>2000</c:v>
                </c:pt>
                <c:pt idx="66">
                  <c:v>2000</c:v>
                </c:pt>
                <c:pt idx="67">
                  <c:v>2000</c:v>
                </c:pt>
                <c:pt idx="68">
                  <c:v>2000</c:v>
                </c:pt>
                <c:pt idx="69">
                  <c:v>2000</c:v>
                </c:pt>
                <c:pt idx="70">
                  <c:v>2000</c:v>
                </c:pt>
                <c:pt idx="71">
                  <c:v>2000</c:v>
                </c:pt>
                <c:pt idx="72">
                  <c:v>2001</c:v>
                </c:pt>
                <c:pt idx="73">
                  <c:v>2001</c:v>
                </c:pt>
                <c:pt idx="74">
                  <c:v>2001</c:v>
                </c:pt>
                <c:pt idx="75">
                  <c:v>2001</c:v>
                </c:pt>
                <c:pt idx="76">
                  <c:v>2001</c:v>
                </c:pt>
                <c:pt idx="77">
                  <c:v>2001</c:v>
                </c:pt>
                <c:pt idx="78">
                  <c:v>2001</c:v>
                </c:pt>
                <c:pt idx="79">
                  <c:v>2001</c:v>
                </c:pt>
                <c:pt idx="80">
                  <c:v>2001</c:v>
                </c:pt>
                <c:pt idx="81">
                  <c:v>2001</c:v>
                </c:pt>
                <c:pt idx="82">
                  <c:v>2001</c:v>
                </c:pt>
                <c:pt idx="83">
                  <c:v>2001</c:v>
                </c:pt>
                <c:pt idx="84">
                  <c:v>2002</c:v>
                </c:pt>
                <c:pt idx="85">
                  <c:v>2002</c:v>
                </c:pt>
                <c:pt idx="86">
                  <c:v>2002</c:v>
                </c:pt>
                <c:pt idx="87">
                  <c:v>2002</c:v>
                </c:pt>
                <c:pt idx="88">
                  <c:v>2002</c:v>
                </c:pt>
                <c:pt idx="89">
                  <c:v>2002</c:v>
                </c:pt>
                <c:pt idx="90">
                  <c:v>2002</c:v>
                </c:pt>
                <c:pt idx="91">
                  <c:v>2002</c:v>
                </c:pt>
                <c:pt idx="92">
                  <c:v>2002</c:v>
                </c:pt>
                <c:pt idx="93">
                  <c:v>2002</c:v>
                </c:pt>
                <c:pt idx="94">
                  <c:v>2002</c:v>
                </c:pt>
                <c:pt idx="95">
                  <c:v>2002</c:v>
                </c:pt>
                <c:pt idx="96">
                  <c:v>2003</c:v>
                </c:pt>
                <c:pt idx="97">
                  <c:v>2003</c:v>
                </c:pt>
                <c:pt idx="98">
                  <c:v>2003</c:v>
                </c:pt>
                <c:pt idx="99">
                  <c:v>2003</c:v>
                </c:pt>
                <c:pt idx="100">
                  <c:v>2003</c:v>
                </c:pt>
                <c:pt idx="101">
                  <c:v>2003</c:v>
                </c:pt>
                <c:pt idx="102">
                  <c:v>2003</c:v>
                </c:pt>
                <c:pt idx="103">
                  <c:v>2003</c:v>
                </c:pt>
                <c:pt idx="104">
                  <c:v>2003</c:v>
                </c:pt>
                <c:pt idx="105">
                  <c:v>2003</c:v>
                </c:pt>
                <c:pt idx="106">
                  <c:v>2003</c:v>
                </c:pt>
                <c:pt idx="107">
                  <c:v>2003</c:v>
                </c:pt>
                <c:pt idx="108">
                  <c:v>2004</c:v>
                </c:pt>
                <c:pt idx="109">
                  <c:v>2004</c:v>
                </c:pt>
                <c:pt idx="110">
                  <c:v>2004</c:v>
                </c:pt>
                <c:pt idx="111">
                  <c:v>2004</c:v>
                </c:pt>
                <c:pt idx="112">
                  <c:v>2004</c:v>
                </c:pt>
                <c:pt idx="113">
                  <c:v>2004</c:v>
                </c:pt>
                <c:pt idx="114">
                  <c:v>2004</c:v>
                </c:pt>
                <c:pt idx="115">
                  <c:v>2004</c:v>
                </c:pt>
                <c:pt idx="116">
                  <c:v>2004</c:v>
                </c:pt>
                <c:pt idx="117">
                  <c:v>2004</c:v>
                </c:pt>
                <c:pt idx="118">
                  <c:v>2004</c:v>
                </c:pt>
                <c:pt idx="119">
                  <c:v>2004</c:v>
                </c:pt>
                <c:pt idx="120">
                  <c:v>2005</c:v>
                </c:pt>
                <c:pt idx="121">
                  <c:v>2005</c:v>
                </c:pt>
                <c:pt idx="122">
                  <c:v>2005</c:v>
                </c:pt>
                <c:pt idx="123">
                  <c:v>2005</c:v>
                </c:pt>
                <c:pt idx="124">
                  <c:v>2005</c:v>
                </c:pt>
                <c:pt idx="125">
                  <c:v>2005</c:v>
                </c:pt>
                <c:pt idx="126">
                  <c:v>2005</c:v>
                </c:pt>
                <c:pt idx="127">
                  <c:v>2005</c:v>
                </c:pt>
                <c:pt idx="128">
                  <c:v>2005</c:v>
                </c:pt>
                <c:pt idx="129">
                  <c:v>2005</c:v>
                </c:pt>
                <c:pt idx="130">
                  <c:v>2005</c:v>
                </c:pt>
                <c:pt idx="131">
                  <c:v>2005</c:v>
                </c:pt>
                <c:pt idx="132">
                  <c:v>2006</c:v>
                </c:pt>
                <c:pt idx="133">
                  <c:v>2006</c:v>
                </c:pt>
                <c:pt idx="134">
                  <c:v>2006</c:v>
                </c:pt>
                <c:pt idx="135">
                  <c:v>2006</c:v>
                </c:pt>
                <c:pt idx="136">
                  <c:v>2006</c:v>
                </c:pt>
                <c:pt idx="137">
                  <c:v>2006</c:v>
                </c:pt>
                <c:pt idx="138">
                  <c:v>2006</c:v>
                </c:pt>
                <c:pt idx="139">
                  <c:v>2006</c:v>
                </c:pt>
                <c:pt idx="140">
                  <c:v>2006</c:v>
                </c:pt>
                <c:pt idx="141">
                  <c:v>2006</c:v>
                </c:pt>
                <c:pt idx="142">
                  <c:v>2006</c:v>
                </c:pt>
                <c:pt idx="143">
                  <c:v>2006</c:v>
                </c:pt>
                <c:pt idx="144">
                  <c:v>2007</c:v>
                </c:pt>
                <c:pt idx="145">
                  <c:v>2007</c:v>
                </c:pt>
                <c:pt idx="146">
                  <c:v>2007</c:v>
                </c:pt>
                <c:pt idx="147">
                  <c:v>2007</c:v>
                </c:pt>
                <c:pt idx="148">
                  <c:v>2007</c:v>
                </c:pt>
                <c:pt idx="149">
                  <c:v>2007</c:v>
                </c:pt>
                <c:pt idx="150">
                  <c:v>2007</c:v>
                </c:pt>
                <c:pt idx="151">
                  <c:v>2007</c:v>
                </c:pt>
                <c:pt idx="152">
                  <c:v>2007</c:v>
                </c:pt>
                <c:pt idx="153">
                  <c:v>2007</c:v>
                </c:pt>
                <c:pt idx="154">
                  <c:v>2007</c:v>
                </c:pt>
                <c:pt idx="155">
                  <c:v>2007</c:v>
                </c:pt>
                <c:pt idx="156">
                  <c:v>2008</c:v>
                </c:pt>
                <c:pt idx="157">
                  <c:v>2008</c:v>
                </c:pt>
                <c:pt idx="158">
                  <c:v>2008</c:v>
                </c:pt>
                <c:pt idx="159">
                  <c:v>2008</c:v>
                </c:pt>
                <c:pt idx="160">
                  <c:v>2008</c:v>
                </c:pt>
                <c:pt idx="161">
                  <c:v>2008</c:v>
                </c:pt>
                <c:pt idx="162">
                  <c:v>2008</c:v>
                </c:pt>
                <c:pt idx="163">
                  <c:v>2008</c:v>
                </c:pt>
                <c:pt idx="164">
                  <c:v>2008</c:v>
                </c:pt>
                <c:pt idx="165">
                  <c:v>2008</c:v>
                </c:pt>
                <c:pt idx="166">
                  <c:v>2008</c:v>
                </c:pt>
                <c:pt idx="167">
                  <c:v>2008</c:v>
                </c:pt>
                <c:pt idx="168">
                  <c:v>2009</c:v>
                </c:pt>
                <c:pt idx="169">
                  <c:v>2009</c:v>
                </c:pt>
                <c:pt idx="170">
                  <c:v>2009</c:v>
                </c:pt>
                <c:pt idx="171">
                  <c:v>2009</c:v>
                </c:pt>
                <c:pt idx="172">
                  <c:v>2009</c:v>
                </c:pt>
                <c:pt idx="173">
                  <c:v>2009</c:v>
                </c:pt>
                <c:pt idx="174">
                  <c:v>2009</c:v>
                </c:pt>
                <c:pt idx="175">
                  <c:v>2009</c:v>
                </c:pt>
                <c:pt idx="176">
                  <c:v>2009</c:v>
                </c:pt>
                <c:pt idx="177">
                  <c:v>2009</c:v>
                </c:pt>
                <c:pt idx="178">
                  <c:v>2009</c:v>
                </c:pt>
                <c:pt idx="179">
                  <c:v>2009</c:v>
                </c:pt>
                <c:pt idx="180">
                  <c:v>2010</c:v>
                </c:pt>
                <c:pt idx="181">
                  <c:v>2010</c:v>
                </c:pt>
                <c:pt idx="182">
                  <c:v>2010</c:v>
                </c:pt>
                <c:pt idx="183">
                  <c:v>2010</c:v>
                </c:pt>
                <c:pt idx="184">
                  <c:v>2010</c:v>
                </c:pt>
                <c:pt idx="185">
                  <c:v>2010</c:v>
                </c:pt>
                <c:pt idx="186">
                  <c:v>2010</c:v>
                </c:pt>
                <c:pt idx="187">
                  <c:v>2010</c:v>
                </c:pt>
                <c:pt idx="188">
                  <c:v>2010</c:v>
                </c:pt>
                <c:pt idx="189">
                  <c:v>2010</c:v>
                </c:pt>
                <c:pt idx="190">
                  <c:v>2010</c:v>
                </c:pt>
                <c:pt idx="191">
                  <c:v>2010</c:v>
                </c:pt>
                <c:pt idx="192">
                  <c:v>2011</c:v>
                </c:pt>
                <c:pt idx="193">
                  <c:v>2011</c:v>
                </c:pt>
                <c:pt idx="194">
                  <c:v>2011</c:v>
                </c:pt>
                <c:pt idx="195">
                  <c:v>2011</c:v>
                </c:pt>
                <c:pt idx="196">
                  <c:v>2011</c:v>
                </c:pt>
                <c:pt idx="197">
                  <c:v>2011</c:v>
                </c:pt>
                <c:pt idx="198">
                  <c:v>2011</c:v>
                </c:pt>
                <c:pt idx="199">
                  <c:v>2011</c:v>
                </c:pt>
                <c:pt idx="200">
                  <c:v>2011</c:v>
                </c:pt>
                <c:pt idx="201">
                  <c:v>2011</c:v>
                </c:pt>
                <c:pt idx="202">
                  <c:v>2011</c:v>
                </c:pt>
                <c:pt idx="203">
                  <c:v>2011</c:v>
                </c:pt>
                <c:pt idx="204">
                  <c:v>2012</c:v>
                </c:pt>
                <c:pt idx="205">
                  <c:v>2012</c:v>
                </c:pt>
                <c:pt idx="206">
                  <c:v>2012</c:v>
                </c:pt>
                <c:pt idx="207">
                  <c:v>2012</c:v>
                </c:pt>
                <c:pt idx="208">
                  <c:v>2012</c:v>
                </c:pt>
                <c:pt idx="209">
                  <c:v>2012</c:v>
                </c:pt>
                <c:pt idx="210">
                  <c:v>2012</c:v>
                </c:pt>
                <c:pt idx="211">
                  <c:v>2012</c:v>
                </c:pt>
                <c:pt idx="212">
                  <c:v>2012</c:v>
                </c:pt>
                <c:pt idx="213">
                  <c:v>2012</c:v>
                </c:pt>
                <c:pt idx="214">
                  <c:v>2012</c:v>
                </c:pt>
                <c:pt idx="215">
                  <c:v>2012</c:v>
                </c:pt>
                <c:pt idx="216">
                  <c:v>2013</c:v>
                </c:pt>
                <c:pt idx="217">
                  <c:v>2013</c:v>
                </c:pt>
                <c:pt idx="218">
                  <c:v>2013</c:v>
                </c:pt>
                <c:pt idx="219">
                  <c:v>2013</c:v>
                </c:pt>
                <c:pt idx="220">
                  <c:v>2013</c:v>
                </c:pt>
                <c:pt idx="221">
                  <c:v>2013</c:v>
                </c:pt>
                <c:pt idx="222">
                  <c:v>2013</c:v>
                </c:pt>
                <c:pt idx="223">
                  <c:v>2013</c:v>
                </c:pt>
                <c:pt idx="224">
                  <c:v>2013</c:v>
                </c:pt>
                <c:pt idx="225">
                  <c:v>2013</c:v>
                </c:pt>
                <c:pt idx="226">
                  <c:v>2013</c:v>
                </c:pt>
                <c:pt idx="227">
                  <c:v>2013</c:v>
                </c:pt>
                <c:pt idx="228">
                  <c:v>2014</c:v>
                </c:pt>
              </c:numCache>
            </c:numRef>
          </c:cat>
          <c:val>
            <c:numRef>
              <c:f>COML!$AR$149:$AR$377</c:f>
              <c:numCache>
                <c:formatCode>#,##0</c:formatCode>
                <c:ptCount val="229"/>
                <c:pt idx="0">
                  <c:v>1537.313432835821</c:v>
                </c:pt>
                <c:pt idx="1">
                  <c:v>1565.2663165791448</c:v>
                </c:pt>
                <c:pt idx="2">
                  <c:v>1581.404472342095</c:v>
                </c:pt>
                <c:pt idx="3">
                  <c:v>1338.5991058122206</c:v>
                </c:pt>
                <c:pt idx="4">
                  <c:v>1470.6291275634342</c:v>
                </c:pt>
                <c:pt idx="5">
                  <c:v>1504.6375815870833</c:v>
                </c:pt>
                <c:pt idx="6">
                  <c:v>1496.5564738292012</c:v>
                </c:pt>
                <c:pt idx="7">
                  <c:v>1503.4891835310539</c:v>
                </c:pt>
                <c:pt idx="8">
                  <c:v>1232.1755027422303</c:v>
                </c:pt>
                <c:pt idx="9">
                  <c:v>1505.4945054945056</c:v>
                </c:pt>
                <c:pt idx="10">
                  <c:v>1613.6834830684174</c:v>
                </c:pt>
                <c:pt idx="11">
                  <c:v>1503.0262273032952</c:v>
                </c:pt>
                <c:pt idx="12">
                  <c:v>1554.9488054607507</c:v>
                </c:pt>
                <c:pt idx="13">
                  <c:v>1574.3519781718965</c:v>
                </c:pt>
                <c:pt idx="14">
                  <c:v>1568.8073394495411</c:v>
                </c:pt>
                <c:pt idx="15">
                  <c:v>1585.0202429149797</c:v>
                </c:pt>
                <c:pt idx="16">
                  <c:v>1568.4033613445379</c:v>
                </c:pt>
                <c:pt idx="17">
                  <c:v>1661.1820013431832</c:v>
                </c:pt>
                <c:pt idx="18">
                  <c:v>1618.5461956521738</c:v>
                </c:pt>
                <c:pt idx="19">
                  <c:v>1693.5810810810813</c:v>
                </c:pt>
                <c:pt idx="20">
                  <c:v>1578.6479250334673</c:v>
                </c:pt>
                <c:pt idx="21">
                  <c:v>1652.2765598650928</c:v>
                </c:pt>
                <c:pt idx="22">
                  <c:v>1658.289817232376</c:v>
                </c:pt>
                <c:pt idx="23">
                  <c:v>1677.688710754843</c:v>
                </c:pt>
                <c:pt idx="24">
                  <c:v>1705.2879757494106</c:v>
                </c:pt>
                <c:pt idx="25">
                  <c:v>1708.1815170586287</c:v>
                </c:pt>
                <c:pt idx="26">
                  <c:v>1713.1937520771021</c:v>
                </c:pt>
                <c:pt idx="27">
                  <c:v>1702.6410172807302</c:v>
                </c:pt>
                <c:pt idx="28">
                  <c:v>1736.1156753204075</c:v>
                </c:pt>
                <c:pt idx="29">
                  <c:v>1428.957320367369</c:v>
                </c:pt>
                <c:pt idx="30">
                  <c:v>1721.1476466795616</c:v>
                </c:pt>
                <c:pt idx="31">
                  <c:v>1705.657978385251</c:v>
                </c:pt>
                <c:pt idx="32">
                  <c:v>1726.8090532355752</c:v>
                </c:pt>
                <c:pt idx="33">
                  <c:v>1736.4242616703716</c:v>
                </c:pt>
                <c:pt idx="34">
                  <c:v>1789.1737891737891</c:v>
                </c:pt>
                <c:pt idx="35">
                  <c:v>1737.5751820196265</c:v>
                </c:pt>
                <c:pt idx="36">
                  <c:v>1743.5249526216046</c:v>
                </c:pt>
                <c:pt idx="37">
                  <c:v>1803.8473667612741</c:v>
                </c:pt>
                <c:pt idx="38">
                  <c:v>1814.6524733876017</c:v>
                </c:pt>
                <c:pt idx="39">
                  <c:v>1826.9410664172124</c:v>
                </c:pt>
                <c:pt idx="40">
                  <c:v>1820.798514391829</c:v>
                </c:pt>
                <c:pt idx="41">
                  <c:v>1806.7901234567901</c:v>
                </c:pt>
                <c:pt idx="42">
                  <c:v>1814.6206045650833</c:v>
                </c:pt>
                <c:pt idx="43">
                  <c:v>1862.6847290640394</c:v>
                </c:pt>
                <c:pt idx="44">
                  <c:v>1771.0806697108069</c:v>
                </c:pt>
                <c:pt idx="45">
                  <c:v>1867.1350030543676</c:v>
                </c:pt>
                <c:pt idx="46">
                  <c:v>1869.6444849589791</c:v>
                </c:pt>
                <c:pt idx="47">
                  <c:v>1812.986235786954</c:v>
                </c:pt>
                <c:pt idx="48">
                  <c:v>1834.5259391771021</c:v>
                </c:pt>
                <c:pt idx="49">
                  <c:v>1859.4172424151395</c:v>
                </c:pt>
                <c:pt idx="50">
                  <c:v>1850.9167418094378</c:v>
                </c:pt>
                <c:pt idx="51">
                  <c:v>1887.3618165521361</c:v>
                </c:pt>
                <c:pt idx="52">
                  <c:v>1926.6766020864382</c:v>
                </c:pt>
                <c:pt idx="53">
                  <c:v>1867.1990535344573</c:v>
                </c:pt>
                <c:pt idx="54">
                  <c:v>1931.1254396248535</c:v>
                </c:pt>
                <c:pt idx="55">
                  <c:v>1934.5359324992726</c:v>
                </c:pt>
                <c:pt idx="56">
                  <c:v>1911.5528666090465</c:v>
                </c:pt>
                <c:pt idx="57">
                  <c:v>1914.3104443162147</c:v>
                </c:pt>
                <c:pt idx="58">
                  <c:v>1991.905174906042</c:v>
                </c:pt>
                <c:pt idx="59">
                  <c:v>2007.5101097631425</c:v>
                </c:pt>
                <c:pt idx="60">
                  <c:v>1926.4493798673204</c:v>
                </c:pt>
                <c:pt idx="61">
                  <c:v>2025.2583237657866</c:v>
                </c:pt>
                <c:pt idx="62">
                  <c:v>2000.8513053348468</c:v>
                </c:pt>
                <c:pt idx="63">
                  <c:v>2032.8054298642533</c:v>
                </c:pt>
                <c:pt idx="64">
                  <c:v>2048.9589195272933</c:v>
                </c:pt>
                <c:pt idx="65">
                  <c:v>2034.4730941704038</c:v>
                </c:pt>
                <c:pt idx="66">
                  <c:v>1998.8895058300943</c:v>
                </c:pt>
                <c:pt idx="67">
                  <c:v>2060.6642876749934</c:v>
                </c:pt>
                <c:pt idx="68">
                  <c:v>2027.996738244088</c:v>
                </c:pt>
                <c:pt idx="69">
                  <c:v>2037.3398746252387</c:v>
                </c:pt>
                <c:pt idx="70">
                  <c:v>2126.4713933753078</c:v>
                </c:pt>
                <c:pt idx="71">
                  <c:v>2011.6720955483172</c:v>
                </c:pt>
                <c:pt idx="72">
                  <c:v>2092.7779280497703</c:v>
                </c:pt>
                <c:pt idx="73">
                  <c:v>2038.9261744966443</c:v>
                </c:pt>
                <c:pt idx="74">
                  <c:v>2011.2630732099758</c:v>
                </c:pt>
                <c:pt idx="75">
                  <c:v>2076.9434863358983</c:v>
                </c:pt>
                <c:pt idx="76">
                  <c:v>2080.4871591209958</c:v>
                </c:pt>
                <c:pt idx="77">
                  <c:v>2115</c:v>
                </c:pt>
                <c:pt idx="78">
                  <c:v>2048.5512920908382</c:v>
                </c:pt>
                <c:pt idx="79">
                  <c:v>2052.7546777546777</c:v>
                </c:pt>
                <c:pt idx="80">
                  <c:v>2118.6264308012487</c:v>
                </c:pt>
                <c:pt idx="81">
                  <c:v>2061.3989637305699</c:v>
                </c:pt>
                <c:pt idx="82">
                  <c:v>2117.0516480664419</c:v>
                </c:pt>
                <c:pt idx="83">
                  <c:v>2073.4492603166364</c:v>
                </c:pt>
                <c:pt idx="84">
                  <c:v>2058.9598352214211</c:v>
                </c:pt>
                <c:pt idx="85">
                  <c:v>2123.9371296057716</c:v>
                </c:pt>
                <c:pt idx="86">
                  <c:v>2082.1741370427612</c:v>
                </c:pt>
                <c:pt idx="87">
                  <c:v>2002.7659039476996</c:v>
                </c:pt>
                <c:pt idx="88">
                  <c:v>2181.9118783818603</c:v>
                </c:pt>
                <c:pt idx="89">
                  <c:v>2056.7574446424028</c:v>
                </c:pt>
                <c:pt idx="90">
                  <c:v>2182.0241691842898</c:v>
                </c:pt>
                <c:pt idx="91">
                  <c:v>2116.2209447638093</c:v>
                </c:pt>
                <c:pt idx="92">
                  <c:v>2166.0839160839164</c:v>
                </c:pt>
                <c:pt idx="93">
                  <c:v>2253.7387836490529</c:v>
                </c:pt>
                <c:pt idx="94">
                  <c:v>2159.0462143559489</c:v>
                </c:pt>
                <c:pt idx="95">
                  <c:v>2171.9324026451136</c:v>
                </c:pt>
                <c:pt idx="96">
                  <c:v>2182.9745596868884</c:v>
                </c:pt>
                <c:pt idx="97">
                  <c:v>2201.8550158652674</c:v>
                </c:pt>
                <c:pt idx="98">
                  <c:v>2170.9567751335599</c:v>
                </c:pt>
                <c:pt idx="99">
                  <c:v>2268.6241203591358</c:v>
                </c:pt>
                <c:pt idx="100">
                  <c:v>2218.8332122972647</c:v>
                </c:pt>
                <c:pt idx="101">
                  <c:v>2171.5039577836415</c:v>
                </c:pt>
                <c:pt idx="102">
                  <c:v>2214.1491395793496</c:v>
                </c:pt>
                <c:pt idx="103">
                  <c:v>2181.1680572109653</c:v>
                </c:pt>
                <c:pt idx="104">
                  <c:v>2169.1003297220914</c:v>
                </c:pt>
                <c:pt idx="105">
                  <c:v>2342.5141242937852</c:v>
                </c:pt>
                <c:pt idx="106">
                  <c:v>2229.7329236587093</c:v>
                </c:pt>
                <c:pt idx="107">
                  <c:v>2235.5157795572304</c:v>
                </c:pt>
                <c:pt idx="108">
                  <c:v>2207.2368421052633</c:v>
                </c:pt>
                <c:pt idx="109">
                  <c:v>2266.6196852243365</c:v>
                </c:pt>
                <c:pt idx="110">
                  <c:v>2245.7289960215307</c:v>
                </c:pt>
                <c:pt idx="111">
                  <c:v>2300.233644859813</c:v>
                </c:pt>
                <c:pt idx="112">
                  <c:v>2256.7379182156137</c:v>
                </c:pt>
                <c:pt idx="113">
                  <c:v>2254.5118000925499</c:v>
                </c:pt>
                <c:pt idx="114">
                  <c:v>2269.0726359068067</c:v>
                </c:pt>
                <c:pt idx="115">
                  <c:v>2251.4766015447526</c:v>
                </c:pt>
                <c:pt idx="116">
                  <c:v>2258.0427446569179</c:v>
                </c:pt>
                <c:pt idx="117">
                  <c:v>2189.6137900938252</c:v>
                </c:pt>
                <c:pt idx="118">
                  <c:v>2243.741765480896</c:v>
                </c:pt>
                <c:pt idx="119">
                  <c:v>2258.2170193606485</c:v>
                </c:pt>
                <c:pt idx="120">
                  <c:v>2235.2413019079686</c:v>
                </c:pt>
                <c:pt idx="121">
                  <c:v>2330.4073823992799</c:v>
                </c:pt>
                <c:pt idx="122">
                  <c:v>2270.10078387458</c:v>
                </c:pt>
                <c:pt idx="123">
                  <c:v>2347.922683848034</c:v>
                </c:pt>
                <c:pt idx="124">
                  <c:v>2352.954193405621</c:v>
                </c:pt>
                <c:pt idx="125">
                  <c:v>2286.9179600886919</c:v>
                </c:pt>
                <c:pt idx="126">
                  <c:v>2305.9895833333335</c:v>
                </c:pt>
                <c:pt idx="127">
                  <c:v>2321.0065645514223</c:v>
                </c:pt>
                <c:pt idx="128">
                  <c:v>2306.5630397236614</c:v>
                </c:pt>
                <c:pt idx="129">
                  <c:v>2314.9741824440621</c:v>
                </c:pt>
                <c:pt idx="130">
                  <c:v>2313.4232498394349</c:v>
                </c:pt>
                <c:pt idx="131">
                  <c:v>2251.4506769825921</c:v>
                </c:pt>
                <c:pt idx="132">
                  <c:v>2347.026101839966</c:v>
                </c:pt>
                <c:pt idx="133">
                  <c:v>2359.254498714653</c:v>
                </c:pt>
                <c:pt idx="134">
                  <c:v>2365.2822151224705</c:v>
                </c:pt>
                <c:pt idx="135">
                  <c:v>2341.0294429146365</c:v>
                </c:pt>
                <c:pt idx="136">
                  <c:v>2413.5449735449733</c:v>
                </c:pt>
                <c:pt idx="137">
                  <c:v>2406.0134566862912</c:v>
                </c:pt>
                <c:pt idx="138">
                  <c:v>2374.9738876122833</c:v>
                </c:pt>
                <c:pt idx="139">
                  <c:v>2399.7933884297522</c:v>
                </c:pt>
                <c:pt idx="140">
                  <c:v>2255.6899733442692</c:v>
                </c:pt>
                <c:pt idx="141">
                  <c:v>2439.2638036809817</c:v>
                </c:pt>
                <c:pt idx="142">
                  <c:v>2373.8720262510255</c:v>
                </c:pt>
                <c:pt idx="143">
                  <c:v>2369.4319574989786</c:v>
                </c:pt>
                <c:pt idx="144">
                  <c:v>2382.0247514708867</c:v>
                </c:pt>
                <c:pt idx="145">
                  <c:v>2351.0054844606948</c:v>
                </c:pt>
                <c:pt idx="146">
                  <c:v>2340.7302804115393</c:v>
                </c:pt>
                <c:pt idx="147">
                  <c:v>2409.0359015732151</c:v>
                </c:pt>
                <c:pt idx="148">
                  <c:v>2384.183059012445</c:v>
                </c:pt>
                <c:pt idx="149">
                  <c:v>2366.0535785685724</c:v>
                </c:pt>
                <c:pt idx="150">
                  <c:v>2378.0342220453645</c:v>
                </c:pt>
                <c:pt idx="151">
                  <c:v>2408.8836010311325</c:v>
                </c:pt>
                <c:pt idx="152">
                  <c:v>2352.4638828418761</c:v>
                </c:pt>
                <c:pt idx="153">
                  <c:v>2376.8715524034674</c:v>
                </c:pt>
                <c:pt idx="154">
                  <c:v>2417.8394449950447</c:v>
                </c:pt>
                <c:pt idx="155">
                  <c:v>2342.6779062928836</c:v>
                </c:pt>
                <c:pt idx="156">
                  <c:v>2356.3022019741838</c:v>
                </c:pt>
                <c:pt idx="157">
                  <c:v>2367.0389966686262</c:v>
                </c:pt>
                <c:pt idx="158">
                  <c:v>2399.1801678703887</c:v>
                </c:pt>
                <c:pt idx="159">
                  <c:v>2403.8461538461538</c:v>
                </c:pt>
                <c:pt idx="160">
                  <c:v>2364.7993797247532</c:v>
                </c:pt>
                <c:pt idx="161">
                  <c:v>2350.586877044449</c:v>
                </c:pt>
                <c:pt idx="162">
                  <c:v>2352.5248661055853</c:v>
                </c:pt>
                <c:pt idx="163">
                  <c:v>2357.0339306138012</c:v>
                </c:pt>
                <c:pt idx="164">
                  <c:v>2398.6345533851695</c:v>
                </c:pt>
                <c:pt idx="165">
                  <c:v>2355.0284629981024</c:v>
                </c:pt>
                <c:pt idx="166">
                  <c:v>2410.0418410041843</c:v>
                </c:pt>
                <c:pt idx="167">
                  <c:v>2369.1926884996192</c:v>
                </c:pt>
                <c:pt idx="168">
                  <c:v>2356.3022019741838</c:v>
                </c:pt>
                <c:pt idx="169">
                  <c:v>2367.4170164059519</c:v>
                </c:pt>
                <c:pt idx="170">
                  <c:v>2363.5843660629171</c:v>
                </c:pt>
                <c:pt idx="171">
                  <c:v>2365.6488549618321</c:v>
                </c:pt>
                <c:pt idx="172">
                  <c:v>2344.7883045376875</c:v>
                </c:pt>
                <c:pt idx="173">
                  <c:v>2382.2408536585367</c:v>
                </c:pt>
                <c:pt idx="174">
                  <c:v>2372.2919042189283</c:v>
                </c:pt>
                <c:pt idx="175">
                  <c:v>2345.2516080211881</c:v>
                </c:pt>
                <c:pt idx="176">
                  <c:v>2349.0494296577945</c:v>
                </c:pt>
                <c:pt idx="177">
                  <c:v>2349.0458015267177</c:v>
                </c:pt>
                <c:pt idx="178">
                  <c:v>2436.9507069163164</c:v>
                </c:pt>
                <c:pt idx="179">
                  <c:v>2351.4955229567536</c:v>
                </c:pt>
                <c:pt idx="180">
                  <c:v>2337.6425855513307</c:v>
                </c:pt>
                <c:pt idx="181">
                  <c:v>2349.7424155695476</c:v>
                </c:pt>
                <c:pt idx="182">
                  <c:v>2362.1745788667686</c:v>
                </c:pt>
                <c:pt idx="183">
                  <c:v>2362.6394767218158</c:v>
                </c:pt>
                <c:pt idx="184">
                  <c:v>2358.1288343558281</c:v>
                </c:pt>
                <c:pt idx="185">
                  <c:v>2384.7784200385358</c:v>
                </c:pt>
                <c:pt idx="186">
                  <c:v>2369.5526972547514</c:v>
                </c:pt>
                <c:pt idx="187">
                  <c:v>2368.7643898695319</c:v>
                </c:pt>
                <c:pt idx="188">
                  <c:v>2370.6697459584298</c:v>
                </c:pt>
                <c:pt idx="189">
                  <c:v>2352.3515805705474</c:v>
                </c:pt>
                <c:pt idx="190">
                  <c:v>2440.8352668213456</c:v>
                </c:pt>
                <c:pt idx="191">
                  <c:v>2362.8301523038363</c:v>
                </c:pt>
                <c:pt idx="192">
                  <c:v>2336.5900383141766</c:v>
                </c:pt>
                <c:pt idx="193">
                  <c:v>2370.7260852862082</c:v>
                </c:pt>
                <c:pt idx="194">
                  <c:v>2349.779228258783</c:v>
                </c:pt>
                <c:pt idx="195">
                  <c:v>2356.2822719449223</c:v>
                </c:pt>
                <c:pt idx="196">
                  <c:v>2352.4904214559388</c:v>
                </c:pt>
                <c:pt idx="197">
                  <c:v>2382.3305407463822</c:v>
                </c:pt>
                <c:pt idx="198">
                  <c:v>2344.7619047619046</c:v>
                </c:pt>
                <c:pt idx="199">
                  <c:v>2374.3356112376614</c:v>
                </c:pt>
                <c:pt idx="200">
                  <c:v>2328.5876993166289</c:v>
                </c:pt>
                <c:pt idx="201">
                  <c:v>2325.3606681852698</c:v>
                </c:pt>
                <c:pt idx="202">
                  <c:v>2392.2421948912015</c:v>
                </c:pt>
                <c:pt idx="203">
                  <c:v>2340.482064907952</c:v>
                </c:pt>
                <c:pt idx="204">
                  <c:v>2336.9585956878459</c:v>
                </c:pt>
                <c:pt idx="205">
                  <c:v>2309.4196003805896</c:v>
                </c:pt>
                <c:pt idx="206">
                  <c:v>2328.2051282051284</c:v>
                </c:pt>
                <c:pt idx="207">
                  <c:v>2323.3669777185296</c:v>
                </c:pt>
                <c:pt idx="208">
                  <c:v>2313.8297872340427</c:v>
                </c:pt>
                <c:pt idx="209">
                  <c:v>2372.3182077083729</c:v>
                </c:pt>
                <c:pt idx="210">
                  <c:v>2338.3742911153117</c:v>
                </c:pt>
                <c:pt idx="211">
                  <c:v>2362.7060830017058</c:v>
                </c:pt>
                <c:pt idx="212">
                  <c:v>2339.2352608777551</c:v>
                </c:pt>
                <c:pt idx="213">
                  <c:v>2340.7894736842104</c:v>
                </c:pt>
                <c:pt idx="214">
                  <c:v>2381.4821798981707</c:v>
                </c:pt>
                <c:pt idx="215">
                  <c:v>2339.9283964575088</c:v>
                </c:pt>
                <c:pt idx="216">
                  <c:v>2316.5008447531445</c:v>
                </c:pt>
                <c:pt idx="217">
                  <c:v>2299.2155397833394</c:v>
                </c:pt>
                <c:pt idx="218">
                  <c:v>2336.0301034807153</c:v>
                </c:pt>
                <c:pt idx="219">
                  <c:v>2324.9574910258834</c:v>
                </c:pt>
                <c:pt idx="220">
                  <c:v>2394.8960302457463</c:v>
                </c:pt>
                <c:pt idx="221">
                  <c:v>2348.467650397276</c:v>
                </c:pt>
                <c:pt idx="222">
                  <c:v>2361.6180620884293</c:v>
                </c:pt>
                <c:pt idx="223">
                  <c:v>2332.4538258575199</c:v>
                </c:pt>
                <c:pt idx="224">
                  <c:v>2337.9064085698178</c:v>
                </c:pt>
                <c:pt idx="225">
                  <c:v>2338.6825900354543</c:v>
                </c:pt>
                <c:pt idx="226">
                  <c:v>2406.2734785875282</c:v>
                </c:pt>
                <c:pt idx="227">
                  <c:v>2380.138914961517</c:v>
                </c:pt>
              </c:numCache>
            </c:numRef>
          </c:val>
        </c:ser>
        <c:marker val="1"/>
        <c:axId val="62780928"/>
        <c:axId val="62782848"/>
      </c:lineChart>
      <c:catAx>
        <c:axId val="62780928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782848"/>
        <c:crosses val="autoZero"/>
        <c:lblAlgn val="ctr"/>
        <c:lblOffset val="100"/>
        <c:tickLblSkip val="12"/>
        <c:tickMarkSkip val="12"/>
      </c:catAx>
      <c:valAx>
        <c:axId val="62782848"/>
        <c:scaling>
          <c:orientation val="minMax"/>
          <c:min val="100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7809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Residential Per Customer Annual Energy Consumption</a:t>
            </a:r>
          </a:p>
        </c:rich>
      </c:tx>
    </c:title>
    <c:view3D>
      <c:rotX val="0"/>
      <c:rotY val="10"/>
      <c:depthPercent val="100"/>
      <c:perspective val="10"/>
    </c:view3D>
    <c:plotArea>
      <c:layout/>
      <c:bar3DChart>
        <c:barDir val="col"/>
        <c:grouping val="clustered"/>
        <c:ser>
          <c:idx val="0"/>
          <c:order val="0"/>
          <c:tx>
            <c:v>Actual</c:v>
          </c:tx>
          <c:spPr>
            <a:solidFill>
              <a:schemeClr val="tx2">
                <a:lumMod val="75000"/>
              </a:schemeClr>
            </a:solidFill>
          </c:spPr>
          <c:val>
            <c:numRef>
              <c:f>RESID!$CD$25:$CD$34</c:f>
              <c:numCache>
                <c:formatCode>_(* #,##0_);_(* \(#,##0\);_(* "-"??_);_(@_)</c:formatCode>
                <c:ptCount val="10"/>
                <c:pt idx="0">
                  <c:v>13627.289216363111</c:v>
                </c:pt>
                <c:pt idx="1">
                  <c:v>14450.564918575659</c:v>
                </c:pt>
                <c:pt idx="2">
                  <c:v>14647.62139297282</c:v>
                </c:pt>
                <c:pt idx="3">
                  <c:v>14238.29814674095</c:v>
                </c:pt>
                <c:pt idx="4">
                  <c:v>14176.589034310371</c:v>
                </c:pt>
                <c:pt idx="5">
                  <c:v>13937.987474008953</c:v>
                </c:pt>
                <c:pt idx="6">
                  <c:v>13772.752317803684</c:v>
                </c:pt>
                <c:pt idx="7">
                  <c:v>13370.284208659383</c:v>
                </c:pt>
                <c:pt idx="8">
                  <c:v>13457.274382946247</c:v>
                </c:pt>
                <c:pt idx="9">
                  <c:v>14361.897557366137</c:v>
                </c:pt>
              </c:numCache>
            </c:numRef>
          </c:val>
        </c:ser>
        <c:ser>
          <c:idx val="1"/>
          <c:order val="1"/>
          <c:tx>
            <c:v>Weather Adjusted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RESID!$BY$25:$BY$34</c:f>
              <c:numCache>
                <c:formatCode>General_)</c:formatCode>
                <c:ptCount val="1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</c:numCache>
            </c:numRef>
          </c:cat>
          <c:val>
            <c:numRef>
              <c:f>RESID!$CH$25:$CH$34</c:f>
              <c:numCache>
                <c:formatCode>_(* #,##0_);_(* \(#,##0\);_(* "-"??_);_(@_)</c:formatCode>
                <c:ptCount val="10"/>
                <c:pt idx="0">
                  <c:v>13745.765969598453</c:v>
                </c:pt>
                <c:pt idx="1">
                  <c:v>13946.892659708108</c:v>
                </c:pt>
                <c:pt idx="2">
                  <c:v>14232.358095192332</c:v>
                </c:pt>
                <c:pt idx="3">
                  <c:v>14176.651324818986</c:v>
                </c:pt>
                <c:pt idx="4">
                  <c:v>14004.385073284982</c:v>
                </c:pt>
                <c:pt idx="5">
                  <c:v>14008.455428104066</c:v>
                </c:pt>
                <c:pt idx="6">
                  <c:v>13833.59912617571</c:v>
                </c:pt>
                <c:pt idx="7">
                  <c:v>13447.355871918047</c:v>
                </c:pt>
                <c:pt idx="8">
                  <c:v>12952.917627877127</c:v>
                </c:pt>
                <c:pt idx="9">
                  <c:v>12464.254760359527</c:v>
                </c:pt>
              </c:numCache>
            </c:numRef>
          </c:val>
        </c:ser>
        <c:shape val="box"/>
        <c:axId val="63107456"/>
        <c:axId val="63108992"/>
        <c:axId val="0"/>
      </c:bar3DChart>
      <c:catAx>
        <c:axId val="6310745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3108992"/>
        <c:crosses val="autoZero"/>
        <c:auto val="1"/>
        <c:lblAlgn val="ctr"/>
        <c:lblOffset val="100"/>
      </c:catAx>
      <c:valAx>
        <c:axId val="6310899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kilowatt hours / customer</a:t>
                </a:r>
              </a:p>
            </c:rich>
          </c:tx>
        </c:title>
        <c:numFmt formatCode="_(* #,##0_);_(* \(#,##0\);_(* &quot;-&quot;??_);_(@_)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31074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058907815094541"/>
          <c:y val="0.90331399051309069"/>
          <c:w val="0.60261757458890064"/>
          <c:h val="6.2926419911802534E-2"/>
        </c:manualLayout>
      </c:layout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PEF Annual Residential Customer Additions</a:t>
            </a:r>
          </a:p>
        </c:rich>
      </c:tx>
      <c:overlay val="1"/>
    </c:title>
    <c:view3D>
      <c:rotX val="0"/>
      <c:rotY val="10"/>
      <c:depthPercent val="100"/>
      <c:perspective val="10"/>
    </c:view3D>
    <c:plotArea>
      <c:layout>
        <c:manualLayout>
          <c:layoutTarget val="inner"/>
          <c:xMode val="edge"/>
          <c:yMode val="edge"/>
          <c:x val="0.12797313216541772"/>
          <c:y val="0.14588418547602769"/>
          <c:w val="0.85163026908788464"/>
          <c:h val="0.64754014857319087"/>
        </c:manualLayout>
      </c:layout>
      <c:bar3DChart>
        <c:barDir val="col"/>
        <c:grouping val="clustered"/>
        <c:ser>
          <c:idx val="0"/>
          <c:order val="0"/>
          <c:tx>
            <c:v>Reported</c:v>
          </c:tx>
          <c:spPr>
            <a:solidFill>
              <a:schemeClr val="tx2">
                <a:lumMod val="75000"/>
              </a:schemeClr>
            </a:solidFill>
          </c:spPr>
          <c:cat>
            <c:numRef>
              <c:f>RESID!$BY$65:$BY$74</c:f>
              <c:numCache>
                <c:formatCode>General_)</c:formatCode>
                <c:ptCount val="1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</c:numCache>
            </c:numRef>
          </c:cat>
          <c:val>
            <c:numRef>
              <c:f>RESID!$CB$65:$CB$74</c:f>
              <c:numCache>
                <c:formatCode>General_)</c:formatCode>
                <c:ptCount val="10"/>
                <c:pt idx="0">
                  <c:v>44659</c:v>
                </c:pt>
                <c:pt idx="1">
                  <c:v>30825</c:v>
                </c:pt>
                <c:pt idx="2">
                  <c:v>34733</c:v>
                </c:pt>
                <c:pt idx="3">
                  <c:v>38111</c:v>
                </c:pt>
                <c:pt idx="4">
                  <c:v>34790</c:v>
                </c:pt>
                <c:pt idx="5">
                  <c:v>36979</c:v>
                </c:pt>
                <c:pt idx="6">
                  <c:v>11972</c:v>
                </c:pt>
                <c:pt idx="7">
                  <c:v>6567</c:v>
                </c:pt>
                <c:pt idx="8">
                  <c:v>-8740</c:v>
                </c:pt>
                <c:pt idx="9">
                  <c:v>10638</c:v>
                </c:pt>
              </c:numCache>
            </c:numRef>
          </c:val>
        </c:ser>
        <c:ser>
          <c:idx val="1"/>
          <c:order val="1"/>
          <c:tx>
            <c:v>Reported w/o Winter Park in history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val>
            <c:numRef>
              <c:f>RESID!$CD$65:$CD$74</c:f>
              <c:numCache>
                <c:formatCode>General_)</c:formatCode>
                <c:ptCount val="10"/>
                <c:pt idx="0">
                  <c:v>44234</c:v>
                </c:pt>
                <c:pt idx="1">
                  <c:v>30571</c:v>
                </c:pt>
                <c:pt idx="2">
                  <c:v>34495</c:v>
                </c:pt>
                <c:pt idx="3">
                  <c:v>37382</c:v>
                </c:pt>
                <c:pt idx="4">
                  <c:v>42817</c:v>
                </c:pt>
                <c:pt idx="5">
                  <c:v>42123</c:v>
                </c:pt>
                <c:pt idx="6">
                  <c:v>11972</c:v>
                </c:pt>
                <c:pt idx="7">
                  <c:v>6567</c:v>
                </c:pt>
                <c:pt idx="8">
                  <c:v>-8740</c:v>
                </c:pt>
                <c:pt idx="9">
                  <c:v>10638</c:v>
                </c:pt>
              </c:numCache>
            </c:numRef>
          </c:val>
        </c:ser>
        <c:shape val="box"/>
        <c:axId val="64584704"/>
        <c:axId val="64594688"/>
        <c:axId val="0"/>
      </c:bar3DChart>
      <c:catAx>
        <c:axId val="64584704"/>
        <c:scaling>
          <c:orientation val="minMax"/>
        </c:scaling>
        <c:axPos val="b"/>
        <c:numFmt formatCode="General_)" sourceLinked="1"/>
        <c:tickLblPos val="low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594688"/>
        <c:crosses val="autoZero"/>
        <c:auto val="1"/>
        <c:lblAlgn val="ctr"/>
        <c:lblOffset val="100"/>
      </c:catAx>
      <c:valAx>
        <c:axId val="64594688"/>
        <c:scaling>
          <c:orientation val="minMax"/>
          <c:max val="50000"/>
        </c:scaling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Customer additions</a:t>
                </a:r>
              </a:p>
            </c:rich>
          </c:tx>
        </c:title>
        <c:numFmt formatCode="General_)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5847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4316259574696344"/>
          <c:y val="0.8981017372828396"/>
          <c:w val="0.50460188012213292"/>
          <c:h val="6.6318710161230032E-2"/>
        </c:manualLayout>
      </c:layout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Residential KWH Per Customer Growth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Wn Actual %</c:v>
          </c:tx>
          <c:cat>
            <c:numRef>
              <c:f>RESID!$AH$16:$AH$42</c:f>
              <c:numCache>
                <c:formatCode>General_)</c:formatCod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numCache>
            </c:numRef>
          </c:cat>
          <c:val>
            <c:numRef>
              <c:f>RESID!$AT$16:$AT$42</c:f>
              <c:numCache>
                <c:formatCode>0.0%</c:formatCode>
                <c:ptCount val="27"/>
                <c:pt idx="0">
                  <c:v>3.7971542025148963E-2</c:v>
                </c:pt>
                <c:pt idx="1">
                  <c:v>1.7693472543237387E-2</c:v>
                </c:pt>
                <c:pt idx="2">
                  <c:v>-4.0723627535437235E-3</c:v>
                </c:pt>
                <c:pt idx="3">
                  <c:v>3.0038531100102128E-2</c:v>
                </c:pt>
                <c:pt idx="4">
                  <c:v>-5.4202610886326941E-3</c:v>
                </c:pt>
                <c:pt idx="5">
                  <c:v>2.5099785078292802E-2</c:v>
                </c:pt>
                <c:pt idx="6">
                  <c:v>8.3114938225383739E-3</c:v>
                </c:pt>
                <c:pt idx="7">
                  <c:v>2.7476607752858762E-3</c:v>
                </c:pt>
                <c:pt idx="8">
                  <c:v>1.9843057072372217E-2</c:v>
                </c:pt>
                <c:pt idx="9">
                  <c:v>6.3631136729529469E-3</c:v>
                </c:pt>
                <c:pt idx="10">
                  <c:v>9.1746304918340904E-3</c:v>
                </c:pt>
                <c:pt idx="11">
                  <c:v>1.6912148865384502E-2</c:v>
                </c:pt>
                <c:pt idx="12">
                  <c:v>1.1376704617123146E-3</c:v>
                </c:pt>
                <c:pt idx="13">
                  <c:v>-8.906425580323285E-3</c:v>
                </c:pt>
                <c:pt idx="14">
                  <c:v>-4.8098558300940786E-3</c:v>
                </c:pt>
                <c:pt idx="15">
                  <c:v>-7.3000320410532282E-3</c:v>
                </c:pt>
                <c:pt idx="16">
                  <c:v>-3.2865618333290048E-2</c:v>
                </c:pt>
                <c:pt idx="17">
                  <c:v>-2.5121590395151494E-2</c:v>
                </c:pt>
                <c:pt idx="18">
                  <c:v>-3.8890454472835012E-2</c:v>
                </c:pt>
                <c:pt idx="19">
                  <c:v>1.1287538278533571E-2</c:v>
                </c:pt>
                <c:pt idx="20">
                  <c:v>-3.3939686547658221E-3</c:v>
                </c:pt>
                <c:pt idx="21">
                  <c:v>-2.6159002365470196E-2</c:v>
                </c:pt>
              </c:numCache>
            </c:numRef>
          </c:val>
        </c:ser>
        <c:ser>
          <c:idx val="1"/>
          <c:order val="1"/>
          <c:tx>
            <c:v>Jun'13 FOF</c:v>
          </c:tx>
          <c:val>
            <c:numRef>
              <c:f>RESID!$AU$16:$AU$42</c:f>
              <c:numCache>
                <c:formatCode>General_)</c:formatCode>
                <c:ptCount val="27"/>
                <c:pt idx="21" formatCode="0.0%">
                  <c:v>-2.6159002365470196E-2</c:v>
                </c:pt>
              </c:numCache>
            </c:numRef>
          </c:val>
        </c:ser>
        <c:overlap val="80"/>
        <c:axId val="64755200"/>
        <c:axId val="64756736"/>
      </c:barChart>
      <c:catAx>
        <c:axId val="64755200"/>
        <c:scaling>
          <c:orientation val="minMax"/>
        </c:scaling>
        <c:axPos val="b"/>
        <c:numFmt formatCode="General_)" sourceLinked="1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64756736"/>
        <c:crosses val="autoZero"/>
        <c:auto val="1"/>
        <c:lblAlgn val="ctr"/>
        <c:lblOffset val="100"/>
      </c:catAx>
      <c:valAx>
        <c:axId val="64756736"/>
        <c:scaling>
          <c:orientation val="minMax"/>
        </c:scaling>
        <c:axPos val="l"/>
        <c:majorGridlines/>
        <c:numFmt formatCode="0.0%" sourceLinked="1"/>
        <c:tickLblPos val="nextTo"/>
        <c:crossAx val="64755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531122246082894"/>
          <c:y val="0.71989164317423471"/>
          <c:w val="0.31502350024055475"/>
          <c:h val="8.5869673698195148E-2"/>
        </c:manualLayout>
      </c:layout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CDD + HDD - Difference from Normal - 12ME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0.11458699148079643"/>
          <c:y val="0.11641750385347555"/>
          <c:w val="0.8615162003082808"/>
          <c:h val="0.64548025023033262"/>
        </c:manualLayout>
      </c:layout>
      <c:lineChart>
        <c:grouping val="standard"/>
        <c:ser>
          <c:idx val="0"/>
          <c:order val="0"/>
          <c:marker>
            <c:symbol val="none"/>
          </c:marker>
          <c:cat>
            <c:numRef>
              <c:f>Sheet1!$N$17:$N$305</c:f>
              <c:numCache>
                <c:formatCode>[$-409]mmm\-yy;@</c:formatCode>
                <c:ptCount val="289"/>
                <c:pt idx="0">
                  <c:v>32509</c:v>
                </c:pt>
                <c:pt idx="1">
                  <c:v>32540</c:v>
                </c:pt>
                <c:pt idx="2">
                  <c:v>32568</c:v>
                </c:pt>
                <c:pt idx="3">
                  <c:v>32599</c:v>
                </c:pt>
                <c:pt idx="4">
                  <c:v>32629</c:v>
                </c:pt>
                <c:pt idx="5">
                  <c:v>32660</c:v>
                </c:pt>
                <c:pt idx="6">
                  <c:v>32690</c:v>
                </c:pt>
                <c:pt idx="7">
                  <c:v>32721</c:v>
                </c:pt>
                <c:pt idx="8">
                  <c:v>32752</c:v>
                </c:pt>
                <c:pt idx="9">
                  <c:v>32782</c:v>
                </c:pt>
                <c:pt idx="10">
                  <c:v>32813</c:v>
                </c:pt>
                <c:pt idx="11">
                  <c:v>32843</c:v>
                </c:pt>
                <c:pt idx="12">
                  <c:v>32874</c:v>
                </c:pt>
                <c:pt idx="13">
                  <c:v>32905</c:v>
                </c:pt>
                <c:pt idx="14">
                  <c:v>32933</c:v>
                </c:pt>
                <c:pt idx="15">
                  <c:v>32964</c:v>
                </c:pt>
                <c:pt idx="16">
                  <c:v>32994</c:v>
                </c:pt>
                <c:pt idx="17">
                  <c:v>33025</c:v>
                </c:pt>
                <c:pt idx="18">
                  <c:v>33055</c:v>
                </c:pt>
                <c:pt idx="19">
                  <c:v>33086</c:v>
                </c:pt>
                <c:pt idx="20">
                  <c:v>33117</c:v>
                </c:pt>
                <c:pt idx="21">
                  <c:v>33147</c:v>
                </c:pt>
                <c:pt idx="22">
                  <c:v>33178</c:v>
                </c:pt>
                <c:pt idx="23">
                  <c:v>33208</c:v>
                </c:pt>
                <c:pt idx="24">
                  <c:v>33239</c:v>
                </c:pt>
                <c:pt idx="25">
                  <c:v>33270</c:v>
                </c:pt>
                <c:pt idx="26">
                  <c:v>33298</c:v>
                </c:pt>
                <c:pt idx="27">
                  <c:v>33329</c:v>
                </c:pt>
                <c:pt idx="28">
                  <c:v>33359</c:v>
                </c:pt>
                <c:pt idx="29">
                  <c:v>33390</c:v>
                </c:pt>
                <c:pt idx="30">
                  <c:v>33420</c:v>
                </c:pt>
                <c:pt idx="31">
                  <c:v>33451</c:v>
                </c:pt>
                <c:pt idx="32">
                  <c:v>33482</c:v>
                </c:pt>
                <c:pt idx="33">
                  <c:v>33512</c:v>
                </c:pt>
                <c:pt idx="34">
                  <c:v>33543</c:v>
                </c:pt>
                <c:pt idx="35">
                  <c:v>33573</c:v>
                </c:pt>
                <c:pt idx="36">
                  <c:v>33604</c:v>
                </c:pt>
                <c:pt idx="37">
                  <c:v>33635</c:v>
                </c:pt>
                <c:pt idx="38">
                  <c:v>33664</c:v>
                </c:pt>
                <c:pt idx="39">
                  <c:v>33695</c:v>
                </c:pt>
                <c:pt idx="40">
                  <c:v>33725</c:v>
                </c:pt>
                <c:pt idx="41">
                  <c:v>33756</c:v>
                </c:pt>
                <c:pt idx="42">
                  <c:v>33786</c:v>
                </c:pt>
                <c:pt idx="43">
                  <c:v>33817</c:v>
                </c:pt>
                <c:pt idx="44">
                  <c:v>33848</c:v>
                </c:pt>
                <c:pt idx="45">
                  <c:v>33878</c:v>
                </c:pt>
                <c:pt idx="46">
                  <c:v>33909</c:v>
                </c:pt>
                <c:pt idx="47">
                  <c:v>33939</c:v>
                </c:pt>
                <c:pt idx="48">
                  <c:v>33970</c:v>
                </c:pt>
                <c:pt idx="49">
                  <c:v>34001</c:v>
                </c:pt>
                <c:pt idx="50">
                  <c:v>34029</c:v>
                </c:pt>
                <c:pt idx="51">
                  <c:v>34060</c:v>
                </c:pt>
                <c:pt idx="52">
                  <c:v>34090</c:v>
                </c:pt>
                <c:pt idx="53">
                  <c:v>34121</c:v>
                </c:pt>
                <c:pt idx="54">
                  <c:v>34151</c:v>
                </c:pt>
                <c:pt idx="55">
                  <c:v>34182</c:v>
                </c:pt>
                <c:pt idx="56">
                  <c:v>34213</c:v>
                </c:pt>
                <c:pt idx="57">
                  <c:v>34243</c:v>
                </c:pt>
                <c:pt idx="58">
                  <c:v>34274</c:v>
                </c:pt>
                <c:pt idx="59">
                  <c:v>34304</c:v>
                </c:pt>
                <c:pt idx="60">
                  <c:v>34335</c:v>
                </c:pt>
                <c:pt idx="61">
                  <c:v>34366</c:v>
                </c:pt>
                <c:pt idx="62">
                  <c:v>34394</c:v>
                </c:pt>
                <c:pt idx="63">
                  <c:v>34425</c:v>
                </c:pt>
                <c:pt idx="64">
                  <c:v>34455</c:v>
                </c:pt>
                <c:pt idx="65">
                  <c:v>34486</c:v>
                </c:pt>
                <c:pt idx="66">
                  <c:v>34516</c:v>
                </c:pt>
                <c:pt idx="67">
                  <c:v>34547</c:v>
                </c:pt>
                <c:pt idx="68">
                  <c:v>34578</c:v>
                </c:pt>
                <c:pt idx="69">
                  <c:v>34608</c:v>
                </c:pt>
                <c:pt idx="70">
                  <c:v>34639</c:v>
                </c:pt>
                <c:pt idx="71">
                  <c:v>34669</c:v>
                </c:pt>
                <c:pt idx="72">
                  <c:v>34700</c:v>
                </c:pt>
                <c:pt idx="73">
                  <c:v>34731</c:v>
                </c:pt>
                <c:pt idx="74">
                  <c:v>34759</c:v>
                </c:pt>
                <c:pt idx="75">
                  <c:v>34790</c:v>
                </c:pt>
                <c:pt idx="76">
                  <c:v>34820</c:v>
                </c:pt>
                <c:pt idx="77">
                  <c:v>34851</c:v>
                </c:pt>
                <c:pt idx="78">
                  <c:v>34881</c:v>
                </c:pt>
                <c:pt idx="79">
                  <c:v>34912</c:v>
                </c:pt>
                <c:pt idx="80">
                  <c:v>34943</c:v>
                </c:pt>
                <c:pt idx="81">
                  <c:v>34973</c:v>
                </c:pt>
                <c:pt idx="82">
                  <c:v>35004</c:v>
                </c:pt>
                <c:pt idx="83">
                  <c:v>35034</c:v>
                </c:pt>
                <c:pt idx="84">
                  <c:v>35065</c:v>
                </c:pt>
                <c:pt idx="85">
                  <c:v>35096</c:v>
                </c:pt>
                <c:pt idx="86">
                  <c:v>35125</c:v>
                </c:pt>
                <c:pt idx="87">
                  <c:v>35156</c:v>
                </c:pt>
                <c:pt idx="88">
                  <c:v>35186</c:v>
                </c:pt>
                <c:pt idx="89">
                  <c:v>35217</c:v>
                </c:pt>
                <c:pt idx="90">
                  <c:v>35247</c:v>
                </c:pt>
                <c:pt idx="91">
                  <c:v>35278</c:v>
                </c:pt>
                <c:pt idx="92">
                  <c:v>35309</c:v>
                </c:pt>
                <c:pt idx="93">
                  <c:v>35339</c:v>
                </c:pt>
                <c:pt idx="94">
                  <c:v>35370</c:v>
                </c:pt>
                <c:pt idx="95">
                  <c:v>35400</c:v>
                </c:pt>
                <c:pt idx="96">
                  <c:v>35431</c:v>
                </c:pt>
                <c:pt idx="97">
                  <c:v>35462</c:v>
                </c:pt>
                <c:pt idx="98">
                  <c:v>35490</c:v>
                </c:pt>
                <c:pt idx="99">
                  <c:v>35521</c:v>
                </c:pt>
                <c:pt idx="100">
                  <c:v>35551</c:v>
                </c:pt>
                <c:pt idx="101">
                  <c:v>35582</c:v>
                </c:pt>
                <c:pt idx="102">
                  <c:v>35612</c:v>
                </c:pt>
                <c:pt idx="103">
                  <c:v>35643</c:v>
                </c:pt>
                <c:pt idx="104">
                  <c:v>35674</c:v>
                </c:pt>
                <c:pt idx="105">
                  <c:v>35704</c:v>
                </c:pt>
                <c:pt idx="106">
                  <c:v>35735</c:v>
                </c:pt>
                <c:pt idx="107">
                  <c:v>35765</c:v>
                </c:pt>
                <c:pt idx="108">
                  <c:v>35796</c:v>
                </c:pt>
                <c:pt idx="109">
                  <c:v>35827</c:v>
                </c:pt>
                <c:pt idx="110">
                  <c:v>35855</c:v>
                </c:pt>
                <c:pt idx="111">
                  <c:v>35886</c:v>
                </c:pt>
                <c:pt idx="112">
                  <c:v>35916</c:v>
                </c:pt>
                <c:pt idx="113">
                  <c:v>35947</c:v>
                </c:pt>
                <c:pt idx="114">
                  <c:v>35977</c:v>
                </c:pt>
                <c:pt idx="115">
                  <c:v>36008</c:v>
                </c:pt>
                <c:pt idx="116">
                  <c:v>36039</c:v>
                </c:pt>
                <c:pt idx="117">
                  <c:v>36069</c:v>
                </c:pt>
                <c:pt idx="118">
                  <c:v>36100</c:v>
                </c:pt>
                <c:pt idx="119">
                  <c:v>36130</c:v>
                </c:pt>
                <c:pt idx="120">
                  <c:v>36161</c:v>
                </c:pt>
                <c:pt idx="121">
                  <c:v>36192</c:v>
                </c:pt>
                <c:pt idx="122">
                  <c:v>36220</c:v>
                </c:pt>
                <c:pt idx="123">
                  <c:v>36251</c:v>
                </c:pt>
                <c:pt idx="124">
                  <c:v>36281</c:v>
                </c:pt>
                <c:pt idx="125">
                  <c:v>36312</c:v>
                </c:pt>
                <c:pt idx="126">
                  <c:v>36342</c:v>
                </c:pt>
                <c:pt idx="127">
                  <c:v>36373</c:v>
                </c:pt>
                <c:pt idx="128">
                  <c:v>36404</c:v>
                </c:pt>
                <c:pt idx="129">
                  <c:v>36434</c:v>
                </c:pt>
                <c:pt idx="130">
                  <c:v>36465</c:v>
                </c:pt>
                <c:pt idx="131">
                  <c:v>36495</c:v>
                </c:pt>
                <c:pt idx="132">
                  <c:v>36526</c:v>
                </c:pt>
                <c:pt idx="133">
                  <c:v>36557</c:v>
                </c:pt>
                <c:pt idx="134">
                  <c:v>36586</c:v>
                </c:pt>
                <c:pt idx="135">
                  <c:v>36617</c:v>
                </c:pt>
                <c:pt idx="136">
                  <c:v>36647</c:v>
                </c:pt>
                <c:pt idx="137">
                  <c:v>36678</c:v>
                </c:pt>
                <c:pt idx="138">
                  <c:v>36708</c:v>
                </c:pt>
                <c:pt idx="139">
                  <c:v>36739</c:v>
                </c:pt>
                <c:pt idx="140">
                  <c:v>36770</c:v>
                </c:pt>
                <c:pt idx="141">
                  <c:v>36800</c:v>
                </c:pt>
                <c:pt idx="142">
                  <c:v>36831</c:v>
                </c:pt>
                <c:pt idx="143">
                  <c:v>36861</c:v>
                </c:pt>
                <c:pt idx="144">
                  <c:v>36892</c:v>
                </c:pt>
                <c:pt idx="145">
                  <c:v>36923</c:v>
                </c:pt>
                <c:pt idx="146">
                  <c:v>36951</c:v>
                </c:pt>
                <c:pt idx="147">
                  <c:v>36982</c:v>
                </c:pt>
                <c:pt idx="148">
                  <c:v>37012</c:v>
                </c:pt>
                <c:pt idx="149">
                  <c:v>37043</c:v>
                </c:pt>
                <c:pt idx="150">
                  <c:v>37073</c:v>
                </c:pt>
                <c:pt idx="151">
                  <c:v>37104</c:v>
                </c:pt>
                <c:pt idx="152">
                  <c:v>37135</c:v>
                </c:pt>
                <c:pt idx="153">
                  <c:v>37165</c:v>
                </c:pt>
                <c:pt idx="154">
                  <c:v>37196</c:v>
                </c:pt>
                <c:pt idx="155">
                  <c:v>37226</c:v>
                </c:pt>
                <c:pt idx="156">
                  <c:v>37257</c:v>
                </c:pt>
                <c:pt idx="157">
                  <c:v>37288</c:v>
                </c:pt>
                <c:pt idx="158">
                  <c:v>37316</c:v>
                </c:pt>
                <c:pt idx="159">
                  <c:v>37347</c:v>
                </c:pt>
                <c:pt idx="160">
                  <c:v>37377</c:v>
                </c:pt>
                <c:pt idx="161">
                  <c:v>37408</c:v>
                </c:pt>
                <c:pt idx="162">
                  <c:v>37438</c:v>
                </c:pt>
                <c:pt idx="163">
                  <c:v>37469</c:v>
                </c:pt>
                <c:pt idx="164">
                  <c:v>37500</c:v>
                </c:pt>
                <c:pt idx="165">
                  <c:v>37530</c:v>
                </c:pt>
                <c:pt idx="166">
                  <c:v>37561</c:v>
                </c:pt>
                <c:pt idx="167">
                  <c:v>37591</c:v>
                </c:pt>
                <c:pt idx="168">
                  <c:v>37622</c:v>
                </c:pt>
                <c:pt idx="169">
                  <c:v>37653</c:v>
                </c:pt>
                <c:pt idx="170">
                  <c:v>37681</c:v>
                </c:pt>
                <c:pt idx="171">
                  <c:v>37712</c:v>
                </c:pt>
                <c:pt idx="172">
                  <c:v>37742</c:v>
                </c:pt>
                <c:pt idx="173">
                  <c:v>37773</c:v>
                </c:pt>
                <c:pt idx="174">
                  <c:v>37803</c:v>
                </c:pt>
                <c:pt idx="175">
                  <c:v>37834</c:v>
                </c:pt>
                <c:pt idx="176">
                  <c:v>37865</c:v>
                </c:pt>
                <c:pt idx="177">
                  <c:v>37895</c:v>
                </c:pt>
                <c:pt idx="178">
                  <c:v>37926</c:v>
                </c:pt>
                <c:pt idx="179">
                  <c:v>37956</c:v>
                </c:pt>
                <c:pt idx="180">
                  <c:v>37987</c:v>
                </c:pt>
                <c:pt idx="181">
                  <c:v>38018</c:v>
                </c:pt>
                <c:pt idx="182">
                  <c:v>38047</c:v>
                </c:pt>
                <c:pt idx="183">
                  <c:v>38078</c:v>
                </c:pt>
                <c:pt idx="184">
                  <c:v>38108</c:v>
                </c:pt>
                <c:pt idx="185">
                  <c:v>38139</c:v>
                </c:pt>
                <c:pt idx="186">
                  <c:v>38169</c:v>
                </c:pt>
                <c:pt idx="187">
                  <c:v>38200</c:v>
                </c:pt>
                <c:pt idx="188">
                  <c:v>38231</c:v>
                </c:pt>
                <c:pt idx="189">
                  <c:v>38261</c:v>
                </c:pt>
                <c:pt idx="190">
                  <c:v>38292</c:v>
                </c:pt>
                <c:pt idx="191">
                  <c:v>38322</c:v>
                </c:pt>
                <c:pt idx="192">
                  <c:v>38353</c:v>
                </c:pt>
                <c:pt idx="193">
                  <c:v>38384</c:v>
                </c:pt>
                <c:pt idx="194">
                  <c:v>38412</c:v>
                </c:pt>
                <c:pt idx="195">
                  <c:v>38443</c:v>
                </c:pt>
                <c:pt idx="196">
                  <c:v>38473</c:v>
                </c:pt>
                <c:pt idx="197">
                  <c:v>38504</c:v>
                </c:pt>
                <c:pt idx="198">
                  <c:v>38534</c:v>
                </c:pt>
                <c:pt idx="199">
                  <c:v>38565</c:v>
                </c:pt>
                <c:pt idx="200">
                  <c:v>38596</c:v>
                </c:pt>
                <c:pt idx="201">
                  <c:v>38626</c:v>
                </c:pt>
                <c:pt idx="202">
                  <c:v>38657</c:v>
                </c:pt>
                <c:pt idx="203">
                  <c:v>38687</c:v>
                </c:pt>
                <c:pt idx="204">
                  <c:v>38718</c:v>
                </c:pt>
                <c:pt idx="205">
                  <c:v>38749</c:v>
                </c:pt>
                <c:pt idx="206">
                  <c:v>38777</c:v>
                </c:pt>
                <c:pt idx="207">
                  <c:v>38808</c:v>
                </c:pt>
                <c:pt idx="208">
                  <c:v>38838</c:v>
                </c:pt>
                <c:pt idx="209">
                  <c:v>38869</c:v>
                </c:pt>
                <c:pt idx="210">
                  <c:v>38899</c:v>
                </c:pt>
                <c:pt idx="211">
                  <c:v>38930</c:v>
                </c:pt>
                <c:pt idx="212">
                  <c:v>38961</c:v>
                </c:pt>
                <c:pt idx="213">
                  <c:v>38991</c:v>
                </c:pt>
                <c:pt idx="214">
                  <c:v>39022</c:v>
                </c:pt>
                <c:pt idx="215">
                  <c:v>39052</c:v>
                </c:pt>
                <c:pt idx="216">
                  <c:v>39083</c:v>
                </c:pt>
                <c:pt idx="217">
                  <c:v>39114</c:v>
                </c:pt>
                <c:pt idx="218">
                  <c:v>39142</c:v>
                </c:pt>
                <c:pt idx="219">
                  <c:v>39173</c:v>
                </c:pt>
                <c:pt idx="220">
                  <c:v>39203</c:v>
                </c:pt>
                <c:pt idx="221">
                  <c:v>39234</c:v>
                </c:pt>
                <c:pt idx="222">
                  <c:v>39264</c:v>
                </c:pt>
                <c:pt idx="223">
                  <c:v>39295</c:v>
                </c:pt>
                <c:pt idx="224">
                  <c:v>39326</c:v>
                </c:pt>
                <c:pt idx="225">
                  <c:v>39356</c:v>
                </c:pt>
                <c:pt idx="226">
                  <c:v>39387</c:v>
                </c:pt>
                <c:pt idx="227">
                  <c:v>39417</c:v>
                </c:pt>
                <c:pt idx="228">
                  <c:v>39448</c:v>
                </c:pt>
                <c:pt idx="229">
                  <c:v>39479</c:v>
                </c:pt>
                <c:pt idx="230">
                  <c:v>39508</c:v>
                </c:pt>
                <c:pt idx="231">
                  <c:v>39539</c:v>
                </c:pt>
                <c:pt idx="232">
                  <c:v>39569</c:v>
                </c:pt>
                <c:pt idx="233">
                  <c:v>39600</c:v>
                </c:pt>
                <c:pt idx="234">
                  <c:v>39630</c:v>
                </c:pt>
                <c:pt idx="235">
                  <c:v>39661</c:v>
                </c:pt>
                <c:pt idx="236">
                  <c:v>39692</c:v>
                </c:pt>
                <c:pt idx="237">
                  <c:v>39722</c:v>
                </c:pt>
                <c:pt idx="238">
                  <c:v>39753</c:v>
                </c:pt>
                <c:pt idx="239">
                  <c:v>39783</c:v>
                </c:pt>
                <c:pt idx="240">
                  <c:v>39814</c:v>
                </c:pt>
                <c:pt idx="241">
                  <c:v>39845</c:v>
                </c:pt>
                <c:pt idx="242">
                  <c:v>39873</c:v>
                </c:pt>
                <c:pt idx="243">
                  <c:v>39904</c:v>
                </c:pt>
                <c:pt idx="244">
                  <c:v>39934</c:v>
                </c:pt>
                <c:pt idx="245">
                  <c:v>39965</c:v>
                </c:pt>
                <c:pt idx="246">
                  <c:v>39995</c:v>
                </c:pt>
                <c:pt idx="247">
                  <c:v>40026</c:v>
                </c:pt>
                <c:pt idx="248">
                  <c:v>40057</c:v>
                </c:pt>
                <c:pt idx="249">
                  <c:v>40087</c:v>
                </c:pt>
                <c:pt idx="250">
                  <c:v>40118</c:v>
                </c:pt>
                <c:pt idx="251">
                  <c:v>40148</c:v>
                </c:pt>
                <c:pt idx="252">
                  <c:v>40179</c:v>
                </c:pt>
                <c:pt idx="253">
                  <c:v>40210</c:v>
                </c:pt>
                <c:pt idx="254">
                  <c:v>40238</c:v>
                </c:pt>
                <c:pt idx="255">
                  <c:v>40269</c:v>
                </c:pt>
                <c:pt idx="256">
                  <c:v>40299</c:v>
                </c:pt>
                <c:pt idx="257">
                  <c:v>40330</c:v>
                </c:pt>
                <c:pt idx="258">
                  <c:v>40360</c:v>
                </c:pt>
                <c:pt idx="259">
                  <c:v>40391</c:v>
                </c:pt>
                <c:pt idx="260">
                  <c:v>40422</c:v>
                </c:pt>
                <c:pt idx="261">
                  <c:v>40452</c:v>
                </c:pt>
                <c:pt idx="262">
                  <c:v>40483</c:v>
                </c:pt>
                <c:pt idx="263">
                  <c:v>40513</c:v>
                </c:pt>
                <c:pt idx="264">
                  <c:v>40544</c:v>
                </c:pt>
                <c:pt idx="265">
                  <c:v>40575</c:v>
                </c:pt>
                <c:pt idx="266">
                  <c:v>40603</c:v>
                </c:pt>
                <c:pt idx="267">
                  <c:v>40634</c:v>
                </c:pt>
                <c:pt idx="268">
                  <c:v>40664</c:v>
                </c:pt>
                <c:pt idx="269">
                  <c:v>40695</c:v>
                </c:pt>
                <c:pt idx="270">
                  <c:v>40725</c:v>
                </c:pt>
                <c:pt idx="271">
                  <c:v>40756</c:v>
                </c:pt>
                <c:pt idx="272">
                  <c:v>40787</c:v>
                </c:pt>
                <c:pt idx="273">
                  <c:v>40817</c:v>
                </c:pt>
                <c:pt idx="274">
                  <c:v>40848</c:v>
                </c:pt>
                <c:pt idx="275">
                  <c:v>40878</c:v>
                </c:pt>
                <c:pt idx="276">
                  <c:v>40909</c:v>
                </c:pt>
                <c:pt idx="277">
                  <c:v>40940</c:v>
                </c:pt>
                <c:pt idx="278">
                  <c:v>40969</c:v>
                </c:pt>
                <c:pt idx="279">
                  <c:v>41000</c:v>
                </c:pt>
                <c:pt idx="280">
                  <c:v>41030</c:v>
                </c:pt>
                <c:pt idx="281">
                  <c:v>41061</c:v>
                </c:pt>
                <c:pt idx="282">
                  <c:v>41091</c:v>
                </c:pt>
                <c:pt idx="283">
                  <c:v>41122</c:v>
                </c:pt>
                <c:pt idx="284">
                  <c:v>41153</c:v>
                </c:pt>
                <c:pt idx="285">
                  <c:v>41183</c:v>
                </c:pt>
                <c:pt idx="286">
                  <c:v>41214</c:v>
                </c:pt>
                <c:pt idx="287">
                  <c:v>41244</c:v>
                </c:pt>
                <c:pt idx="288">
                  <c:v>41275</c:v>
                </c:pt>
              </c:numCache>
            </c:numRef>
          </c:cat>
          <c:val>
            <c:numRef>
              <c:f>Sheet1!$X$17:$X$305</c:f>
              <c:numCache>
                <c:formatCode>General_)</c:formatCode>
                <c:ptCount val="289"/>
                <c:pt idx="0">
                  <c:v>-29.899999999999977</c:v>
                </c:pt>
                <c:pt idx="1">
                  <c:v>-113.90000000000049</c:v>
                </c:pt>
                <c:pt idx="2">
                  <c:v>-75.999999999999943</c:v>
                </c:pt>
                <c:pt idx="3">
                  <c:v>-47.100000000000648</c:v>
                </c:pt>
                <c:pt idx="4">
                  <c:v>-7.5000000000002274</c:v>
                </c:pt>
                <c:pt idx="5">
                  <c:v>85.699999999999818</c:v>
                </c:pt>
                <c:pt idx="6">
                  <c:v>114.99999999999989</c:v>
                </c:pt>
                <c:pt idx="7">
                  <c:v>145.50000000000034</c:v>
                </c:pt>
                <c:pt idx="8">
                  <c:v>158.6000000000007</c:v>
                </c:pt>
                <c:pt idx="9">
                  <c:v>191.40000000000043</c:v>
                </c:pt>
                <c:pt idx="10">
                  <c:v>220.30000000000041</c:v>
                </c:pt>
                <c:pt idx="11">
                  <c:v>219.80000000000052</c:v>
                </c:pt>
                <c:pt idx="12">
                  <c:v>311.50000000000034</c:v>
                </c:pt>
                <c:pt idx="13">
                  <c:v>331.79999999999984</c:v>
                </c:pt>
                <c:pt idx="14">
                  <c:v>254.90000000000049</c:v>
                </c:pt>
                <c:pt idx="15">
                  <c:v>205.80000000000007</c:v>
                </c:pt>
                <c:pt idx="16">
                  <c:v>219.39999999999969</c:v>
                </c:pt>
                <c:pt idx="17">
                  <c:v>212.10000000000025</c:v>
                </c:pt>
                <c:pt idx="18">
                  <c:v>196.50000000000034</c:v>
                </c:pt>
                <c:pt idx="19">
                  <c:v>208.50000000000034</c:v>
                </c:pt>
                <c:pt idx="20">
                  <c:v>172.70000000000061</c:v>
                </c:pt>
                <c:pt idx="21">
                  <c:v>176.00000000000057</c:v>
                </c:pt>
                <c:pt idx="22">
                  <c:v>192.70000000000039</c:v>
                </c:pt>
                <c:pt idx="23">
                  <c:v>162.90000000000009</c:v>
                </c:pt>
                <c:pt idx="24">
                  <c:v>76.700000000000443</c:v>
                </c:pt>
                <c:pt idx="25">
                  <c:v>54.799999999999727</c:v>
                </c:pt>
                <c:pt idx="26">
                  <c:v>62.800000000000296</c:v>
                </c:pt>
                <c:pt idx="27">
                  <c:v>94.199999999999989</c:v>
                </c:pt>
                <c:pt idx="28">
                  <c:v>159.30000000000018</c:v>
                </c:pt>
                <c:pt idx="29">
                  <c:v>149.80000000000024</c:v>
                </c:pt>
                <c:pt idx="30">
                  <c:v>166.59999999999997</c:v>
                </c:pt>
                <c:pt idx="31">
                  <c:v>172.09999999999997</c:v>
                </c:pt>
                <c:pt idx="32">
                  <c:v>178.60000000000042</c:v>
                </c:pt>
                <c:pt idx="33">
                  <c:v>138.50000000000034</c:v>
                </c:pt>
                <c:pt idx="34">
                  <c:v>121.70000000000078</c:v>
                </c:pt>
                <c:pt idx="35">
                  <c:v>155.20000000000033</c:v>
                </c:pt>
                <c:pt idx="36">
                  <c:v>142.89999999999975</c:v>
                </c:pt>
                <c:pt idx="37">
                  <c:v>166.39999999999918</c:v>
                </c:pt>
                <c:pt idx="38">
                  <c:v>155.19999999999982</c:v>
                </c:pt>
                <c:pt idx="39">
                  <c:v>96.599999999999454</c:v>
                </c:pt>
                <c:pt idx="40">
                  <c:v>-39.000000000000739</c:v>
                </c:pt>
                <c:pt idx="41">
                  <c:v>-99.900000000000546</c:v>
                </c:pt>
                <c:pt idx="42">
                  <c:v>-99.400000000000546</c:v>
                </c:pt>
                <c:pt idx="43">
                  <c:v>-102.90000000000009</c:v>
                </c:pt>
                <c:pt idx="44">
                  <c:v>-136.49999999999909</c:v>
                </c:pt>
                <c:pt idx="45">
                  <c:v>-152.09999999999957</c:v>
                </c:pt>
                <c:pt idx="46">
                  <c:v>-180.89999999999969</c:v>
                </c:pt>
                <c:pt idx="47">
                  <c:v>-169.69999999999993</c:v>
                </c:pt>
                <c:pt idx="48">
                  <c:v>-190.69999999999982</c:v>
                </c:pt>
                <c:pt idx="49">
                  <c:v>-226.10000000000014</c:v>
                </c:pt>
                <c:pt idx="50">
                  <c:v>-217.59999999999928</c:v>
                </c:pt>
                <c:pt idx="51">
                  <c:v>-216.3</c:v>
                </c:pt>
                <c:pt idx="52">
                  <c:v>-225.90000000000055</c:v>
                </c:pt>
                <c:pt idx="53">
                  <c:v>-227.29999999999978</c:v>
                </c:pt>
                <c:pt idx="54">
                  <c:v>-238.00000000000006</c:v>
                </c:pt>
                <c:pt idx="55">
                  <c:v>-202.90000000000015</c:v>
                </c:pt>
                <c:pt idx="56">
                  <c:v>-185.59999999999997</c:v>
                </c:pt>
                <c:pt idx="57">
                  <c:v>-162.59999999999974</c:v>
                </c:pt>
                <c:pt idx="58">
                  <c:v>-122.19999999999982</c:v>
                </c:pt>
                <c:pt idx="59">
                  <c:v>-164.79999999999961</c:v>
                </c:pt>
                <c:pt idx="60">
                  <c:v>-95.499999999999659</c:v>
                </c:pt>
                <c:pt idx="61">
                  <c:v>-51.800000000000182</c:v>
                </c:pt>
                <c:pt idx="62">
                  <c:v>-63.499999999999943</c:v>
                </c:pt>
                <c:pt idx="63">
                  <c:v>8.0999999999997954</c:v>
                </c:pt>
                <c:pt idx="64">
                  <c:v>113.39999999999958</c:v>
                </c:pt>
                <c:pt idx="65">
                  <c:v>136.49999999999966</c:v>
                </c:pt>
                <c:pt idx="66">
                  <c:v>148.29999999999939</c:v>
                </c:pt>
                <c:pt idx="67">
                  <c:v>48.699999999999477</c:v>
                </c:pt>
                <c:pt idx="68">
                  <c:v>17.000000000000568</c:v>
                </c:pt>
                <c:pt idx="69">
                  <c:v>-28.699999999999477</c:v>
                </c:pt>
                <c:pt idx="70">
                  <c:v>-34.299999999999557</c:v>
                </c:pt>
                <c:pt idx="71">
                  <c:v>-23.099999999999909</c:v>
                </c:pt>
                <c:pt idx="72">
                  <c:v>-89</c:v>
                </c:pt>
                <c:pt idx="73">
                  <c:v>-60.200000000000273</c:v>
                </c:pt>
                <c:pt idx="74">
                  <c:v>-50.799999999999841</c:v>
                </c:pt>
                <c:pt idx="75">
                  <c:v>-102.40000000000049</c:v>
                </c:pt>
                <c:pt idx="76">
                  <c:v>-96.700000000001012</c:v>
                </c:pt>
                <c:pt idx="77">
                  <c:v>-41.200000000000387</c:v>
                </c:pt>
                <c:pt idx="78">
                  <c:v>-83.100000000000023</c:v>
                </c:pt>
                <c:pt idx="79">
                  <c:v>-63.100000000000023</c:v>
                </c:pt>
                <c:pt idx="80">
                  <c:v>-18.099999999999113</c:v>
                </c:pt>
                <c:pt idx="81">
                  <c:v>62.200000000000387</c:v>
                </c:pt>
                <c:pt idx="82">
                  <c:v>72.100000000000477</c:v>
                </c:pt>
                <c:pt idx="83">
                  <c:v>53.900000000000205</c:v>
                </c:pt>
                <c:pt idx="84">
                  <c:v>174.8000000000003</c:v>
                </c:pt>
                <c:pt idx="85">
                  <c:v>192.60000000000036</c:v>
                </c:pt>
                <c:pt idx="86">
                  <c:v>246.70000000000033</c:v>
                </c:pt>
                <c:pt idx="87">
                  <c:v>261.5</c:v>
                </c:pt>
                <c:pt idx="88">
                  <c:v>220.90000000000038</c:v>
                </c:pt>
                <c:pt idx="89">
                  <c:v>207</c:v>
                </c:pt>
                <c:pt idx="90">
                  <c:v>222.00000000000045</c:v>
                </c:pt>
                <c:pt idx="91">
                  <c:v>266.79999999999973</c:v>
                </c:pt>
                <c:pt idx="92">
                  <c:v>239.20000000000027</c:v>
                </c:pt>
                <c:pt idx="93">
                  <c:v>173.90000000000032</c:v>
                </c:pt>
                <c:pt idx="94">
                  <c:v>158.40000000000055</c:v>
                </c:pt>
                <c:pt idx="95">
                  <c:v>149.00000000000045</c:v>
                </c:pt>
                <c:pt idx="96">
                  <c:v>62.900000000000659</c:v>
                </c:pt>
                <c:pt idx="97">
                  <c:v>8.2999999999998408</c:v>
                </c:pt>
                <c:pt idx="98">
                  <c:v>-16.699999999999648</c:v>
                </c:pt>
                <c:pt idx="99">
                  <c:v>-15.600000000000932</c:v>
                </c:pt>
                <c:pt idx="100">
                  <c:v>-70.800000000000693</c:v>
                </c:pt>
                <c:pt idx="101">
                  <c:v>-135.80000000000092</c:v>
                </c:pt>
                <c:pt idx="102">
                  <c:v>-127.80000000000001</c:v>
                </c:pt>
                <c:pt idx="103">
                  <c:v>-160.99999999999983</c:v>
                </c:pt>
                <c:pt idx="104">
                  <c:v>-144.49999999999983</c:v>
                </c:pt>
                <c:pt idx="105">
                  <c:v>-88.299999999999329</c:v>
                </c:pt>
                <c:pt idx="106">
                  <c:v>-125.49999999999937</c:v>
                </c:pt>
                <c:pt idx="107">
                  <c:v>-120.19999999999925</c:v>
                </c:pt>
                <c:pt idx="108">
                  <c:v>-119.19999999999948</c:v>
                </c:pt>
                <c:pt idx="109">
                  <c:v>-143.10000000000002</c:v>
                </c:pt>
                <c:pt idx="110">
                  <c:v>-163.59999999999951</c:v>
                </c:pt>
                <c:pt idx="111">
                  <c:v>-152.90000000000032</c:v>
                </c:pt>
                <c:pt idx="112">
                  <c:v>-111.60000000000019</c:v>
                </c:pt>
                <c:pt idx="113">
                  <c:v>-2.3000000000001819</c:v>
                </c:pt>
                <c:pt idx="114">
                  <c:v>67.700000000000273</c:v>
                </c:pt>
                <c:pt idx="115">
                  <c:v>116.09999999999991</c:v>
                </c:pt>
                <c:pt idx="116">
                  <c:v>131.60000000000036</c:v>
                </c:pt>
                <c:pt idx="117">
                  <c:v>150.3000000000003</c:v>
                </c:pt>
                <c:pt idx="118">
                  <c:v>211.4000000000002</c:v>
                </c:pt>
                <c:pt idx="119">
                  <c:v>259.30000000000075</c:v>
                </c:pt>
                <c:pt idx="120">
                  <c:v>276.5000000000008</c:v>
                </c:pt>
                <c:pt idx="121">
                  <c:v>277.10000000000002</c:v>
                </c:pt>
                <c:pt idx="122">
                  <c:v>282.20000000000084</c:v>
                </c:pt>
                <c:pt idx="123">
                  <c:v>290.80000000000024</c:v>
                </c:pt>
                <c:pt idx="124">
                  <c:v>308.90000000000026</c:v>
                </c:pt>
                <c:pt idx="125">
                  <c:v>223.2999999999999</c:v>
                </c:pt>
                <c:pt idx="126">
                  <c:v>135.60000000000008</c:v>
                </c:pt>
                <c:pt idx="127">
                  <c:v>146.19999999999999</c:v>
                </c:pt>
                <c:pt idx="128">
                  <c:v>127.30000000000035</c:v>
                </c:pt>
                <c:pt idx="129">
                  <c:v>75.600000000000023</c:v>
                </c:pt>
                <c:pt idx="130">
                  <c:v>35.400000000000489</c:v>
                </c:pt>
                <c:pt idx="131">
                  <c:v>-21.499999999999716</c:v>
                </c:pt>
                <c:pt idx="132">
                  <c:v>-63.899999999999579</c:v>
                </c:pt>
                <c:pt idx="133">
                  <c:v>1.2000000000000455</c:v>
                </c:pt>
                <c:pt idx="134">
                  <c:v>-16.399999999999295</c:v>
                </c:pt>
                <c:pt idx="135">
                  <c:v>-37.399999999999693</c:v>
                </c:pt>
                <c:pt idx="136">
                  <c:v>-59</c:v>
                </c:pt>
                <c:pt idx="137">
                  <c:v>4.4000000000002615</c:v>
                </c:pt>
                <c:pt idx="138">
                  <c:v>46.699999999999989</c:v>
                </c:pt>
                <c:pt idx="139">
                  <c:v>-5.8000000000004661</c:v>
                </c:pt>
                <c:pt idx="140">
                  <c:v>19.700000000000443</c:v>
                </c:pt>
                <c:pt idx="141">
                  <c:v>-0.99999999999943157</c:v>
                </c:pt>
                <c:pt idx="142">
                  <c:v>-20.199999999999477</c:v>
                </c:pt>
                <c:pt idx="143">
                  <c:v>23.700000000000159</c:v>
                </c:pt>
                <c:pt idx="144">
                  <c:v>180.40000000000055</c:v>
                </c:pt>
                <c:pt idx="145">
                  <c:v>168.4000000000002</c:v>
                </c:pt>
                <c:pt idx="146">
                  <c:v>181.00000000000074</c:v>
                </c:pt>
                <c:pt idx="147">
                  <c:v>170.9000000000002</c:v>
                </c:pt>
                <c:pt idx="148">
                  <c:v>153.80000000000024</c:v>
                </c:pt>
                <c:pt idx="149">
                  <c:v>112.20000000000005</c:v>
                </c:pt>
                <c:pt idx="150">
                  <c:v>73.599999999999682</c:v>
                </c:pt>
                <c:pt idx="151">
                  <c:v>38.2999999999995</c:v>
                </c:pt>
                <c:pt idx="152">
                  <c:v>25.10000000000025</c:v>
                </c:pt>
                <c:pt idx="153">
                  <c:v>-20.599999999999568</c:v>
                </c:pt>
                <c:pt idx="154">
                  <c:v>-2.699999999999477</c:v>
                </c:pt>
                <c:pt idx="155">
                  <c:v>-25.399999999999409</c:v>
                </c:pt>
                <c:pt idx="156">
                  <c:v>-100.89999999999952</c:v>
                </c:pt>
                <c:pt idx="157">
                  <c:v>-142.90000000000015</c:v>
                </c:pt>
                <c:pt idx="158">
                  <c:v>-122.79999999999967</c:v>
                </c:pt>
                <c:pt idx="159">
                  <c:v>-72.599999999999909</c:v>
                </c:pt>
                <c:pt idx="160">
                  <c:v>39.39999999999992</c:v>
                </c:pt>
                <c:pt idx="161">
                  <c:v>26.900000000000261</c:v>
                </c:pt>
                <c:pt idx="162">
                  <c:v>-3.4000000000003752</c:v>
                </c:pt>
                <c:pt idx="163">
                  <c:v>18.599999999999625</c:v>
                </c:pt>
                <c:pt idx="164">
                  <c:v>-3.1999999999997613</c:v>
                </c:pt>
                <c:pt idx="165">
                  <c:v>121.10000000000002</c:v>
                </c:pt>
                <c:pt idx="166">
                  <c:v>191.40000000000038</c:v>
                </c:pt>
                <c:pt idx="167">
                  <c:v>203.60000000000036</c:v>
                </c:pt>
                <c:pt idx="168">
                  <c:v>201.60000000000036</c:v>
                </c:pt>
                <c:pt idx="169">
                  <c:v>271.29999999999973</c:v>
                </c:pt>
                <c:pt idx="170">
                  <c:v>253.9000000000006</c:v>
                </c:pt>
                <c:pt idx="171">
                  <c:v>228.8000000000003</c:v>
                </c:pt>
                <c:pt idx="172">
                  <c:v>186.8</c:v>
                </c:pt>
                <c:pt idx="173">
                  <c:v>216.79999999999995</c:v>
                </c:pt>
                <c:pt idx="174">
                  <c:v>255.39999999999986</c:v>
                </c:pt>
                <c:pt idx="175">
                  <c:v>236.10000000000014</c:v>
                </c:pt>
                <c:pt idx="176">
                  <c:v>235.00000000000023</c:v>
                </c:pt>
                <c:pt idx="177">
                  <c:v>152.30000000000098</c:v>
                </c:pt>
                <c:pt idx="178">
                  <c:v>126.00000000000045</c:v>
                </c:pt>
                <c:pt idx="179">
                  <c:v>142.10000000000059</c:v>
                </c:pt>
                <c:pt idx="180">
                  <c:v>102.20000000000095</c:v>
                </c:pt>
                <c:pt idx="181">
                  <c:v>43.700000000000102</c:v>
                </c:pt>
                <c:pt idx="182">
                  <c:v>40.200000000000671</c:v>
                </c:pt>
                <c:pt idx="183">
                  <c:v>-7.9999999999994316</c:v>
                </c:pt>
                <c:pt idx="184">
                  <c:v>-71.399999999999693</c:v>
                </c:pt>
                <c:pt idx="185">
                  <c:v>-67.299999999999955</c:v>
                </c:pt>
                <c:pt idx="186">
                  <c:v>-27.100000000000136</c:v>
                </c:pt>
                <c:pt idx="187">
                  <c:v>-9.2000000000005002</c:v>
                </c:pt>
                <c:pt idx="188">
                  <c:v>-4.0999999999996817</c:v>
                </c:pt>
                <c:pt idx="189">
                  <c:v>34.900000000000091</c:v>
                </c:pt>
                <c:pt idx="190">
                  <c:v>20</c:v>
                </c:pt>
                <c:pt idx="191">
                  <c:v>-5.4000000000002046</c:v>
                </c:pt>
                <c:pt idx="192">
                  <c:v>-11.100000000000023</c:v>
                </c:pt>
                <c:pt idx="193">
                  <c:v>-13.900000000000318</c:v>
                </c:pt>
                <c:pt idx="194">
                  <c:v>-24.999999999999886</c:v>
                </c:pt>
                <c:pt idx="195">
                  <c:v>-0.40000000000082991</c:v>
                </c:pt>
                <c:pt idx="196">
                  <c:v>-49.30000000000058</c:v>
                </c:pt>
                <c:pt idx="197">
                  <c:v>-110.5000000000008</c:v>
                </c:pt>
                <c:pt idx="198">
                  <c:v>-134.70000000000061</c:v>
                </c:pt>
                <c:pt idx="199">
                  <c:v>-48.600000000000705</c:v>
                </c:pt>
                <c:pt idx="200">
                  <c:v>11.699999999999932</c:v>
                </c:pt>
                <c:pt idx="201">
                  <c:v>59.000000000000341</c:v>
                </c:pt>
                <c:pt idx="202">
                  <c:v>52.500000000000227</c:v>
                </c:pt>
                <c:pt idx="203">
                  <c:v>40.300000000000409</c:v>
                </c:pt>
                <c:pt idx="204">
                  <c:v>26.400000000000432</c:v>
                </c:pt>
                <c:pt idx="205">
                  <c:v>18.100000000000023</c:v>
                </c:pt>
                <c:pt idx="206">
                  <c:v>34.800000000000466</c:v>
                </c:pt>
                <c:pt idx="207">
                  <c:v>49.699999999999818</c:v>
                </c:pt>
                <c:pt idx="208">
                  <c:v>135.50000000000006</c:v>
                </c:pt>
                <c:pt idx="209">
                  <c:v>170.69999999999976</c:v>
                </c:pt>
                <c:pt idx="210">
                  <c:v>155.09999999999985</c:v>
                </c:pt>
                <c:pt idx="211">
                  <c:v>116.49999999999994</c:v>
                </c:pt>
                <c:pt idx="212">
                  <c:v>61.200000000000216</c:v>
                </c:pt>
                <c:pt idx="213">
                  <c:v>-10.099999999999739</c:v>
                </c:pt>
                <c:pt idx="214">
                  <c:v>-30.100000000000023</c:v>
                </c:pt>
                <c:pt idx="215">
                  <c:v>-26.100000000000193</c:v>
                </c:pt>
                <c:pt idx="216">
                  <c:v>-54.699999999999989</c:v>
                </c:pt>
                <c:pt idx="217">
                  <c:v>-37.200000000000045</c:v>
                </c:pt>
                <c:pt idx="218">
                  <c:v>-29.299999999999898</c:v>
                </c:pt>
                <c:pt idx="219">
                  <c:v>-48.100000000000193</c:v>
                </c:pt>
                <c:pt idx="220">
                  <c:v>-83.100000000000364</c:v>
                </c:pt>
                <c:pt idx="221">
                  <c:v>-130.20000000000039</c:v>
                </c:pt>
                <c:pt idx="222">
                  <c:v>-116.20000000000084</c:v>
                </c:pt>
                <c:pt idx="223">
                  <c:v>-108.00000000000011</c:v>
                </c:pt>
                <c:pt idx="224">
                  <c:v>-67.299999999999841</c:v>
                </c:pt>
                <c:pt idx="225">
                  <c:v>-18.199999999999648</c:v>
                </c:pt>
                <c:pt idx="226">
                  <c:v>20.700000000000159</c:v>
                </c:pt>
                <c:pt idx="227">
                  <c:v>21.100000000000136</c:v>
                </c:pt>
                <c:pt idx="228">
                  <c:v>52.400000000000318</c:v>
                </c:pt>
                <c:pt idx="229">
                  <c:v>22.299999999999784</c:v>
                </c:pt>
                <c:pt idx="230">
                  <c:v>-1.6999999999998749</c:v>
                </c:pt>
                <c:pt idx="231">
                  <c:v>1.9999999999997726</c:v>
                </c:pt>
                <c:pt idx="232">
                  <c:v>1.6999999999995339</c:v>
                </c:pt>
                <c:pt idx="233">
                  <c:v>70.099999999999568</c:v>
                </c:pt>
                <c:pt idx="234">
                  <c:v>43.699999999999477</c:v>
                </c:pt>
                <c:pt idx="235">
                  <c:v>-0.80000000000052296</c:v>
                </c:pt>
                <c:pt idx="236">
                  <c:v>-18.999999999999432</c:v>
                </c:pt>
                <c:pt idx="237">
                  <c:v>-43.599999999999511</c:v>
                </c:pt>
                <c:pt idx="238">
                  <c:v>-75.999999999999602</c:v>
                </c:pt>
                <c:pt idx="239">
                  <c:v>-60.299999999999613</c:v>
                </c:pt>
                <c:pt idx="240">
                  <c:v>-85.999999999999545</c:v>
                </c:pt>
                <c:pt idx="241">
                  <c:v>-11.600000000000023</c:v>
                </c:pt>
                <c:pt idx="242">
                  <c:v>14.400000000000261</c:v>
                </c:pt>
                <c:pt idx="243">
                  <c:v>24.499999999999659</c:v>
                </c:pt>
                <c:pt idx="244">
                  <c:v>59.59999999999917</c:v>
                </c:pt>
                <c:pt idx="245">
                  <c:v>24.600000000000023</c:v>
                </c:pt>
                <c:pt idx="246">
                  <c:v>68.599999999999568</c:v>
                </c:pt>
                <c:pt idx="247">
                  <c:v>74.39999999999975</c:v>
                </c:pt>
                <c:pt idx="248">
                  <c:v>46.699999999999932</c:v>
                </c:pt>
                <c:pt idx="249">
                  <c:v>94.399999999999636</c:v>
                </c:pt>
                <c:pt idx="250">
                  <c:v>156.9000000000002</c:v>
                </c:pt>
                <c:pt idx="251">
                  <c:v>142.60000000000025</c:v>
                </c:pt>
                <c:pt idx="252">
                  <c:v>278.2000000000005</c:v>
                </c:pt>
                <c:pt idx="253">
                  <c:v>290.09999999999968</c:v>
                </c:pt>
                <c:pt idx="254">
                  <c:v>358.20000000000022</c:v>
                </c:pt>
                <c:pt idx="255">
                  <c:v>312.60000000000002</c:v>
                </c:pt>
                <c:pt idx="256">
                  <c:v>299.40000000000015</c:v>
                </c:pt>
                <c:pt idx="257">
                  <c:v>362.6</c:v>
                </c:pt>
                <c:pt idx="258">
                  <c:v>396.19999999999948</c:v>
                </c:pt>
                <c:pt idx="259">
                  <c:v>462.19999999999993</c:v>
                </c:pt>
                <c:pt idx="260">
                  <c:v>503.30000000000075</c:v>
                </c:pt>
                <c:pt idx="261">
                  <c:v>470.40000000000089</c:v>
                </c:pt>
                <c:pt idx="262">
                  <c:v>441.80000000000086</c:v>
                </c:pt>
                <c:pt idx="263">
                  <c:v>496.60000000000036</c:v>
                </c:pt>
                <c:pt idx="264">
                  <c:v>489.2000000000005</c:v>
                </c:pt>
                <c:pt idx="265">
                  <c:v>443.19999999999982</c:v>
                </c:pt>
                <c:pt idx="266">
                  <c:v>350.50000000000028</c:v>
                </c:pt>
                <c:pt idx="267">
                  <c:v>397.20000000000027</c:v>
                </c:pt>
                <c:pt idx="268">
                  <c:v>457.40000000000003</c:v>
                </c:pt>
                <c:pt idx="269">
                  <c:v>421.09999999999968</c:v>
                </c:pt>
                <c:pt idx="270">
                  <c:v>391.89999999999952</c:v>
                </c:pt>
                <c:pt idx="271">
                  <c:v>382.5999999999998</c:v>
                </c:pt>
                <c:pt idx="272">
                  <c:v>369.30000000000064</c:v>
                </c:pt>
                <c:pt idx="273">
                  <c:v>353.00000000000068</c:v>
                </c:pt>
                <c:pt idx="274">
                  <c:v>279.30000000000064</c:v>
                </c:pt>
                <c:pt idx="275">
                  <c:v>209.50000000000034</c:v>
                </c:pt>
                <c:pt idx="276">
                  <c:v>86.400000000000318</c:v>
                </c:pt>
                <c:pt idx="277">
                  <c:v>43.699999999999818</c:v>
                </c:pt>
                <c:pt idx="278">
                  <c:v>54.400000000000603</c:v>
                </c:pt>
                <c:pt idx="279">
                  <c:v>91.600000000000136</c:v>
                </c:pt>
                <c:pt idx="280">
                  <c:v>33.099999999999852</c:v>
                </c:pt>
                <c:pt idx="281">
                  <c:v>20.799999999999557</c:v>
                </c:pt>
                <c:pt idx="282">
                  <c:v>-35.500000000000284</c:v>
                </c:pt>
                <c:pt idx="283">
                  <c:v>-67.900000000000375</c:v>
                </c:pt>
                <c:pt idx="284">
                  <c:v>-98.300000000000068</c:v>
                </c:pt>
                <c:pt idx="285">
                  <c:v>-77.899999999999807</c:v>
                </c:pt>
                <c:pt idx="286">
                  <c:v>-25.000000000000171</c:v>
                </c:pt>
                <c:pt idx="287">
                  <c:v>-48.099999999999795</c:v>
                </c:pt>
                <c:pt idx="288">
                  <c:v>-45.399999999999807</c:v>
                </c:pt>
              </c:numCache>
            </c:numRef>
          </c:val>
        </c:ser>
        <c:marker val="1"/>
        <c:axId val="64769408"/>
        <c:axId val="65348736"/>
      </c:lineChart>
      <c:dateAx>
        <c:axId val="64769408"/>
        <c:scaling>
          <c:orientation val="minMax"/>
        </c:scaling>
        <c:axPos val="b"/>
        <c:numFmt formatCode="[$-409]mmm\-yy;@" sourceLinked="1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65348736"/>
        <c:crosses val="autoZero"/>
        <c:auto val="1"/>
        <c:lblOffset val="100"/>
        <c:baseTimeUnit val="months"/>
      </c:dateAx>
      <c:valAx>
        <c:axId val="65348736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12 mo sum  - Diff from Normal</a:t>
                </a:r>
              </a:p>
            </c:rich>
          </c:tx>
        </c:title>
        <c:numFmt formatCode="General_)" sourceLinked="1"/>
        <c:tickLblPos val="nextTo"/>
        <c:crossAx val="64769408"/>
        <c:crosses val="autoZero"/>
        <c:crossBetween val="between"/>
      </c:valAx>
    </c:plotArea>
    <c:plotVisOnly val="1"/>
    <c:dispBlanksAs val="gap"/>
  </c:chart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CDD - Difference from Normal - 12ME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0.11458699148079643"/>
          <c:y val="0.11641750385347555"/>
          <c:w val="0.8615162003082808"/>
          <c:h val="0.64548025023033262"/>
        </c:manualLayout>
      </c:layout>
      <c:lineChart>
        <c:grouping val="standard"/>
        <c:ser>
          <c:idx val="0"/>
          <c:order val="0"/>
          <c:marker>
            <c:symbol val="none"/>
          </c:marker>
          <c:cat>
            <c:numRef>
              <c:f>Sheet1!$N$17:$N$305</c:f>
              <c:numCache>
                <c:formatCode>[$-409]mmm\-yy;@</c:formatCode>
                <c:ptCount val="289"/>
                <c:pt idx="0">
                  <c:v>32509</c:v>
                </c:pt>
                <c:pt idx="1">
                  <c:v>32540</c:v>
                </c:pt>
                <c:pt idx="2">
                  <c:v>32568</c:v>
                </c:pt>
                <c:pt idx="3">
                  <c:v>32599</c:v>
                </c:pt>
                <c:pt idx="4">
                  <c:v>32629</c:v>
                </c:pt>
                <c:pt idx="5">
                  <c:v>32660</c:v>
                </c:pt>
                <c:pt idx="6">
                  <c:v>32690</c:v>
                </c:pt>
                <c:pt idx="7">
                  <c:v>32721</c:v>
                </c:pt>
                <c:pt idx="8">
                  <c:v>32752</c:v>
                </c:pt>
                <c:pt idx="9">
                  <c:v>32782</c:v>
                </c:pt>
                <c:pt idx="10">
                  <c:v>32813</c:v>
                </c:pt>
                <c:pt idx="11">
                  <c:v>32843</c:v>
                </c:pt>
                <c:pt idx="12">
                  <c:v>32874</c:v>
                </c:pt>
                <c:pt idx="13">
                  <c:v>32905</c:v>
                </c:pt>
                <c:pt idx="14">
                  <c:v>32933</c:v>
                </c:pt>
                <c:pt idx="15">
                  <c:v>32964</c:v>
                </c:pt>
                <c:pt idx="16">
                  <c:v>32994</c:v>
                </c:pt>
                <c:pt idx="17">
                  <c:v>33025</c:v>
                </c:pt>
                <c:pt idx="18">
                  <c:v>33055</c:v>
                </c:pt>
                <c:pt idx="19">
                  <c:v>33086</c:v>
                </c:pt>
                <c:pt idx="20">
                  <c:v>33117</c:v>
                </c:pt>
                <c:pt idx="21">
                  <c:v>33147</c:v>
                </c:pt>
                <c:pt idx="22">
                  <c:v>33178</c:v>
                </c:pt>
                <c:pt idx="23">
                  <c:v>33208</c:v>
                </c:pt>
                <c:pt idx="24">
                  <c:v>33239</c:v>
                </c:pt>
                <c:pt idx="25">
                  <c:v>33270</c:v>
                </c:pt>
                <c:pt idx="26">
                  <c:v>33298</c:v>
                </c:pt>
                <c:pt idx="27">
                  <c:v>33329</c:v>
                </c:pt>
                <c:pt idx="28">
                  <c:v>33359</c:v>
                </c:pt>
                <c:pt idx="29">
                  <c:v>33390</c:v>
                </c:pt>
                <c:pt idx="30">
                  <c:v>33420</c:v>
                </c:pt>
                <c:pt idx="31">
                  <c:v>33451</c:v>
                </c:pt>
                <c:pt idx="32">
                  <c:v>33482</c:v>
                </c:pt>
                <c:pt idx="33">
                  <c:v>33512</c:v>
                </c:pt>
                <c:pt idx="34">
                  <c:v>33543</c:v>
                </c:pt>
                <c:pt idx="35">
                  <c:v>33573</c:v>
                </c:pt>
                <c:pt idx="36">
                  <c:v>33604</c:v>
                </c:pt>
                <c:pt idx="37">
                  <c:v>33635</c:v>
                </c:pt>
                <c:pt idx="38">
                  <c:v>33664</c:v>
                </c:pt>
                <c:pt idx="39">
                  <c:v>33695</c:v>
                </c:pt>
                <c:pt idx="40">
                  <c:v>33725</c:v>
                </c:pt>
                <c:pt idx="41">
                  <c:v>33756</c:v>
                </c:pt>
                <c:pt idx="42">
                  <c:v>33786</c:v>
                </c:pt>
                <c:pt idx="43">
                  <c:v>33817</c:v>
                </c:pt>
                <c:pt idx="44">
                  <c:v>33848</c:v>
                </c:pt>
                <c:pt idx="45">
                  <c:v>33878</c:v>
                </c:pt>
                <c:pt idx="46">
                  <c:v>33909</c:v>
                </c:pt>
                <c:pt idx="47">
                  <c:v>33939</c:v>
                </c:pt>
                <c:pt idx="48">
                  <c:v>33970</c:v>
                </c:pt>
                <c:pt idx="49">
                  <c:v>34001</c:v>
                </c:pt>
                <c:pt idx="50">
                  <c:v>34029</c:v>
                </c:pt>
                <c:pt idx="51">
                  <c:v>34060</c:v>
                </c:pt>
                <c:pt idx="52">
                  <c:v>34090</c:v>
                </c:pt>
                <c:pt idx="53">
                  <c:v>34121</c:v>
                </c:pt>
                <c:pt idx="54">
                  <c:v>34151</c:v>
                </c:pt>
                <c:pt idx="55">
                  <c:v>34182</c:v>
                </c:pt>
                <c:pt idx="56">
                  <c:v>34213</c:v>
                </c:pt>
                <c:pt idx="57">
                  <c:v>34243</c:v>
                </c:pt>
                <c:pt idx="58">
                  <c:v>34274</c:v>
                </c:pt>
                <c:pt idx="59">
                  <c:v>34304</c:v>
                </c:pt>
                <c:pt idx="60">
                  <c:v>34335</c:v>
                </c:pt>
                <c:pt idx="61">
                  <c:v>34366</c:v>
                </c:pt>
                <c:pt idx="62">
                  <c:v>34394</c:v>
                </c:pt>
                <c:pt idx="63">
                  <c:v>34425</c:v>
                </c:pt>
                <c:pt idx="64">
                  <c:v>34455</c:v>
                </c:pt>
                <c:pt idx="65">
                  <c:v>34486</c:v>
                </c:pt>
                <c:pt idx="66">
                  <c:v>34516</c:v>
                </c:pt>
                <c:pt idx="67">
                  <c:v>34547</c:v>
                </c:pt>
                <c:pt idx="68">
                  <c:v>34578</c:v>
                </c:pt>
                <c:pt idx="69">
                  <c:v>34608</c:v>
                </c:pt>
                <c:pt idx="70">
                  <c:v>34639</c:v>
                </c:pt>
                <c:pt idx="71">
                  <c:v>34669</c:v>
                </c:pt>
                <c:pt idx="72">
                  <c:v>34700</c:v>
                </c:pt>
                <c:pt idx="73">
                  <c:v>34731</c:v>
                </c:pt>
                <c:pt idx="74">
                  <c:v>34759</c:v>
                </c:pt>
                <c:pt idx="75">
                  <c:v>34790</c:v>
                </c:pt>
                <c:pt idx="76">
                  <c:v>34820</c:v>
                </c:pt>
                <c:pt idx="77">
                  <c:v>34851</c:v>
                </c:pt>
                <c:pt idx="78">
                  <c:v>34881</c:v>
                </c:pt>
                <c:pt idx="79">
                  <c:v>34912</c:v>
                </c:pt>
                <c:pt idx="80">
                  <c:v>34943</c:v>
                </c:pt>
                <c:pt idx="81">
                  <c:v>34973</c:v>
                </c:pt>
                <c:pt idx="82">
                  <c:v>35004</c:v>
                </c:pt>
                <c:pt idx="83">
                  <c:v>35034</c:v>
                </c:pt>
                <c:pt idx="84">
                  <c:v>35065</c:v>
                </c:pt>
                <c:pt idx="85">
                  <c:v>35096</c:v>
                </c:pt>
                <c:pt idx="86">
                  <c:v>35125</c:v>
                </c:pt>
                <c:pt idx="87">
                  <c:v>35156</c:v>
                </c:pt>
                <c:pt idx="88">
                  <c:v>35186</c:v>
                </c:pt>
                <c:pt idx="89">
                  <c:v>35217</c:v>
                </c:pt>
                <c:pt idx="90">
                  <c:v>35247</c:v>
                </c:pt>
                <c:pt idx="91">
                  <c:v>35278</c:v>
                </c:pt>
                <c:pt idx="92">
                  <c:v>35309</c:v>
                </c:pt>
                <c:pt idx="93">
                  <c:v>35339</c:v>
                </c:pt>
                <c:pt idx="94">
                  <c:v>35370</c:v>
                </c:pt>
                <c:pt idx="95">
                  <c:v>35400</c:v>
                </c:pt>
                <c:pt idx="96">
                  <c:v>35431</c:v>
                </c:pt>
                <c:pt idx="97">
                  <c:v>35462</c:v>
                </c:pt>
                <c:pt idx="98">
                  <c:v>35490</c:v>
                </c:pt>
                <c:pt idx="99">
                  <c:v>35521</c:v>
                </c:pt>
                <c:pt idx="100">
                  <c:v>35551</c:v>
                </c:pt>
                <c:pt idx="101">
                  <c:v>35582</c:v>
                </c:pt>
                <c:pt idx="102">
                  <c:v>35612</c:v>
                </c:pt>
                <c:pt idx="103">
                  <c:v>35643</c:v>
                </c:pt>
                <c:pt idx="104">
                  <c:v>35674</c:v>
                </c:pt>
                <c:pt idx="105">
                  <c:v>35704</c:v>
                </c:pt>
                <c:pt idx="106">
                  <c:v>35735</c:v>
                </c:pt>
                <c:pt idx="107">
                  <c:v>35765</c:v>
                </c:pt>
                <c:pt idx="108">
                  <c:v>35796</c:v>
                </c:pt>
                <c:pt idx="109">
                  <c:v>35827</c:v>
                </c:pt>
                <c:pt idx="110">
                  <c:v>35855</c:v>
                </c:pt>
                <c:pt idx="111">
                  <c:v>35886</c:v>
                </c:pt>
                <c:pt idx="112">
                  <c:v>35916</c:v>
                </c:pt>
                <c:pt idx="113">
                  <c:v>35947</c:v>
                </c:pt>
                <c:pt idx="114">
                  <c:v>35977</c:v>
                </c:pt>
                <c:pt idx="115">
                  <c:v>36008</c:v>
                </c:pt>
                <c:pt idx="116">
                  <c:v>36039</c:v>
                </c:pt>
                <c:pt idx="117">
                  <c:v>36069</c:v>
                </c:pt>
                <c:pt idx="118">
                  <c:v>36100</c:v>
                </c:pt>
                <c:pt idx="119">
                  <c:v>36130</c:v>
                </c:pt>
                <c:pt idx="120">
                  <c:v>36161</c:v>
                </c:pt>
                <c:pt idx="121">
                  <c:v>36192</c:v>
                </c:pt>
                <c:pt idx="122">
                  <c:v>36220</c:v>
                </c:pt>
                <c:pt idx="123">
                  <c:v>36251</c:v>
                </c:pt>
                <c:pt idx="124">
                  <c:v>36281</c:v>
                </c:pt>
                <c:pt idx="125">
                  <c:v>36312</c:v>
                </c:pt>
                <c:pt idx="126">
                  <c:v>36342</c:v>
                </c:pt>
                <c:pt idx="127">
                  <c:v>36373</c:v>
                </c:pt>
                <c:pt idx="128">
                  <c:v>36404</c:v>
                </c:pt>
                <c:pt idx="129">
                  <c:v>36434</c:v>
                </c:pt>
                <c:pt idx="130">
                  <c:v>36465</c:v>
                </c:pt>
                <c:pt idx="131">
                  <c:v>36495</c:v>
                </c:pt>
                <c:pt idx="132">
                  <c:v>36526</c:v>
                </c:pt>
                <c:pt idx="133">
                  <c:v>36557</c:v>
                </c:pt>
                <c:pt idx="134">
                  <c:v>36586</c:v>
                </c:pt>
                <c:pt idx="135">
                  <c:v>36617</c:v>
                </c:pt>
                <c:pt idx="136">
                  <c:v>36647</c:v>
                </c:pt>
                <c:pt idx="137">
                  <c:v>36678</c:v>
                </c:pt>
                <c:pt idx="138">
                  <c:v>36708</c:v>
                </c:pt>
                <c:pt idx="139">
                  <c:v>36739</c:v>
                </c:pt>
                <c:pt idx="140">
                  <c:v>36770</c:v>
                </c:pt>
                <c:pt idx="141">
                  <c:v>36800</c:v>
                </c:pt>
                <c:pt idx="142">
                  <c:v>36831</c:v>
                </c:pt>
                <c:pt idx="143">
                  <c:v>36861</c:v>
                </c:pt>
                <c:pt idx="144">
                  <c:v>36892</c:v>
                </c:pt>
                <c:pt idx="145">
                  <c:v>36923</c:v>
                </c:pt>
                <c:pt idx="146">
                  <c:v>36951</c:v>
                </c:pt>
                <c:pt idx="147">
                  <c:v>36982</c:v>
                </c:pt>
                <c:pt idx="148">
                  <c:v>37012</c:v>
                </c:pt>
                <c:pt idx="149">
                  <c:v>37043</c:v>
                </c:pt>
                <c:pt idx="150">
                  <c:v>37073</c:v>
                </c:pt>
                <c:pt idx="151">
                  <c:v>37104</c:v>
                </c:pt>
                <c:pt idx="152">
                  <c:v>37135</c:v>
                </c:pt>
                <c:pt idx="153">
                  <c:v>37165</c:v>
                </c:pt>
                <c:pt idx="154">
                  <c:v>37196</c:v>
                </c:pt>
                <c:pt idx="155">
                  <c:v>37226</c:v>
                </c:pt>
                <c:pt idx="156">
                  <c:v>37257</c:v>
                </c:pt>
                <c:pt idx="157">
                  <c:v>37288</c:v>
                </c:pt>
                <c:pt idx="158">
                  <c:v>37316</c:v>
                </c:pt>
                <c:pt idx="159">
                  <c:v>37347</c:v>
                </c:pt>
                <c:pt idx="160">
                  <c:v>37377</c:v>
                </c:pt>
                <c:pt idx="161">
                  <c:v>37408</c:v>
                </c:pt>
                <c:pt idx="162">
                  <c:v>37438</c:v>
                </c:pt>
                <c:pt idx="163">
                  <c:v>37469</c:v>
                </c:pt>
                <c:pt idx="164">
                  <c:v>37500</c:v>
                </c:pt>
                <c:pt idx="165">
                  <c:v>37530</c:v>
                </c:pt>
                <c:pt idx="166">
                  <c:v>37561</c:v>
                </c:pt>
                <c:pt idx="167">
                  <c:v>37591</c:v>
                </c:pt>
                <c:pt idx="168">
                  <c:v>37622</c:v>
                </c:pt>
                <c:pt idx="169">
                  <c:v>37653</c:v>
                </c:pt>
                <c:pt idx="170">
                  <c:v>37681</c:v>
                </c:pt>
                <c:pt idx="171">
                  <c:v>37712</c:v>
                </c:pt>
                <c:pt idx="172">
                  <c:v>37742</c:v>
                </c:pt>
                <c:pt idx="173">
                  <c:v>37773</c:v>
                </c:pt>
                <c:pt idx="174">
                  <c:v>37803</c:v>
                </c:pt>
                <c:pt idx="175">
                  <c:v>37834</c:v>
                </c:pt>
                <c:pt idx="176">
                  <c:v>37865</c:v>
                </c:pt>
                <c:pt idx="177">
                  <c:v>37895</c:v>
                </c:pt>
                <c:pt idx="178">
                  <c:v>37926</c:v>
                </c:pt>
                <c:pt idx="179">
                  <c:v>37956</c:v>
                </c:pt>
                <c:pt idx="180">
                  <c:v>37987</c:v>
                </c:pt>
                <c:pt idx="181">
                  <c:v>38018</c:v>
                </c:pt>
                <c:pt idx="182">
                  <c:v>38047</c:v>
                </c:pt>
                <c:pt idx="183">
                  <c:v>38078</c:v>
                </c:pt>
                <c:pt idx="184">
                  <c:v>38108</c:v>
                </c:pt>
                <c:pt idx="185">
                  <c:v>38139</c:v>
                </c:pt>
                <c:pt idx="186">
                  <c:v>38169</c:v>
                </c:pt>
                <c:pt idx="187">
                  <c:v>38200</c:v>
                </c:pt>
                <c:pt idx="188">
                  <c:v>38231</c:v>
                </c:pt>
                <c:pt idx="189">
                  <c:v>38261</c:v>
                </c:pt>
                <c:pt idx="190">
                  <c:v>38292</c:v>
                </c:pt>
                <c:pt idx="191">
                  <c:v>38322</c:v>
                </c:pt>
                <c:pt idx="192">
                  <c:v>38353</c:v>
                </c:pt>
                <c:pt idx="193">
                  <c:v>38384</c:v>
                </c:pt>
                <c:pt idx="194">
                  <c:v>38412</c:v>
                </c:pt>
                <c:pt idx="195">
                  <c:v>38443</c:v>
                </c:pt>
                <c:pt idx="196">
                  <c:v>38473</c:v>
                </c:pt>
                <c:pt idx="197">
                  <c:v>38504</c:v>
                </c:pt>
                <c:pt idx="198">
                  <c:v>38534</c:v>
                </c:pt>
                <c:pt idx="199">
                  <c:v>38565</c:v>
                </c:pt>
                <c:pt idx="200">
                  <c:v>38596</c:v>
                </c:pt>
                <c:pt idx="201">
                  <c:v>38626</c:v>
                </c:pt>
                <c:pt idx="202">
                  <c:v>38657</c:v>
                </c:pt>
                <c:pt idx="203">
                  <c:v>38687</c:v>
                </c:pt>
                <c:pt idx="204">
                  <c:v>38718</c:v>
                </c:pt>
                <c:pt idx="205">
                  <c:v>38749</c:v>
                </c:pt>
                <c:pt idx="206">
                  <c:v>38777</c:v>
                </c:pt>
                <c:pt idx="207">
                  <c:v>38808</c:v>
                </c:pt>
                <c:pt idx="208">
                  <c:v>38838</c:v>
                </c:pt>
                <c:pt idx="209">
                  <c:v>38869</c:v>
                </c:pt>
                <c:pt idx="210">
                  <c:v>38899</c:v>
                </c:pt>
                <c:pt idx="211">
                  <c:v>38930</c:v>
                </c:pt>
                <c:pt idx="212">
                  <c:v>38961</c:v>
                </c:pt>
                <c:pt idx="213">
                  <c:v>38991</c:v>
                </c:pt>
                <c:pt idx="214">
                  <c:v>39022</c:v>
                </c:pt>
                <c:pt idx="215">
                  <c:v>39052</c:v>
                </c:pt>
                <c:pt idx="216">
                  <c:v>39083</c:v>
                </c:pt>
                <c:pt idx="217">
                  <c:v>39114</c:v>
                </c:pt>
                <c:pt idx="218">
                  <c:v>39142</c:v>
                </c:pt>
                <c:pt idx="219">
                  <c:v>39173</c:v>
                </c:pt>
                <c:pt idx="220">
                  <c:v>39203</c:v>
                </c:pt>
                <c:pt idx="221">
                  <c:v>39234</c:v>
                </c:pt>
                <c:pt idx="222">
                  <c:v>39264</c:v>
                </c:pt>
                <c:pt idx="223">
                  <c:v>39295</c:v>
                </c:pt>
                <c:pt idx="224">
                  <c:v>39326</c:v>
                </c:pt>
                <c:pt idx="225">
                  <c:v>39356</c:v>
                </c:pt>
                <c:pt idx="226">
                  <c:v>39387</c:v>
                </c:pt>
                <c:pt idx="227">
                  <c:v>39417</c:v>
                </c:pt>
                <c:pt idx="228">
                  <c:v>39448</c:v>
                </c:pt>
                <c:pt idx="229">
                  <c:v>39479</c:v>
                </c:pt>
                <c:pt idx="230">
                  <c:v>39508</c:v>
                </c:pt>
                <c:pt idx="231">
                  <c:v>39539</c:v>
                </c:pt>
                <c:pt idx="232">
                  <c:v>39569</c:v>
                </c:pt>
                <c:pt idx="233">
                  <c:v>39600</c:v>
                </c:pt>
                <c:pt idx="234">
                  <c:v>39630</c:v>
                </c:pt>
                <c:pt idx="235">
                  <c:v>39661</c:v>
                </c:pt>
                <c:pt idx="236">
                  <c:v>39692</c:v>
                </c:pt>
                <c:pt idx="237">
                  <c:v>39722</c:v>
                </c:pt>
                <c:pt idx="238">
                  <c:v>39753</c:v>
                </c:pt>
                <c:pt idx="239">
                  <c:v>39783</c:v>
                </c:pt>
                <c:pt idx="240">
                  <c:v>39814</c:v>
                </c:pt>
                <c:pt idx="241">
                  <c:v>39845</c:v>
                </c:pt>
                <c:pt idx="242">
                  <c:v>39873</c:v>
                </c:pt>
                <c:pt idx="243">
                  <c:v>39904</c:v>
                </c:pt>
                <c:pt idx="244">
                  <c:v>39934</c:v>
                </c:pt>
                <c:pt idx="245">
                  <c:v>39965</c:v>
                </c:pt>
                <c:pt idx="246">
                  <c:v>39995</c:v>
                </c:pt>
                <c:pt idx="247">
                  <c:v>40026</c:v>
                </c:pt>
                <c:pt idx="248">
                  <c:v>40057</c:v>
                </c:pt>
                <c:pt idx="249">
                  <c:v>40087</c:v>
                </c:pt>
                <c:pt idx="250">
                  <c:v>40118</c:v>
                </c:pt>
                <c:pt idx="251">
                  <c:v>40148</c:v>
                </c:pt>
                <c:pt idx="252">
                  <c:v>40179</c:v>
                </c:pt>
                <c:pt idx="253">
                  <c:v>40210</c:v>
                </c:pt>
                <c:pt idx="254">
                  <c:v>40238</c:v>
                </c:pt>
                <c:pt idx="255">
                  <c:v>40269</c:v>
                </c:pt>
                <c:pt idx="256">
                  <c:v>40299</c:v>
                </c:pt>
                <c:pt idx="257">
                  <c:v>40330</c:v>
                </c:pt>
                <c:pt idx="258">
                  <c:v>40360</c:v>
                </c:pt>
                <c:pt idx="259">
                  <c:v>40391</c:v>
                </c:pt>
                <c:pt idx="260">
                  <c:v>40422</c:v>
                </c:pt>
                <c:pt idx="261">
                  <c:v>40452</c:v>
                </c:pt>
                <c:pt idx="262">
                  <c:v>40483</c:v>
                </c:pt>
                <c:pt idx="263">
                  <c:v>40513</c:v>
                </c:pt>
                <c:pt idx="264">
                  <c:v>40544</c:v>
                </c:pt>
                <c:pt idx="265">
                  <c:v>40575</c:v>
                </c:pt>
                <c:pt idx="266">
                  <c:v>40603</c:v>
                </c:pt>
                <c:pt idx="267">
                  <c:v>40634</c:v>
                </c:pt>
                <c:pt idx="268">
                  <c:v>40664</c:v>
                </c:pt>
                <c:pt idx="269">
                  <c:v>40695</c:v>
                </c:pt>
                <c:pt idx="270">
                  <c:v>40725</c:v>
                </c:pt>
                <c:pt idx="271">
                  <c:v>40756</c:v>
                </c:pt>
                <c:pt idx="272">
                  <c:v>40787</c:v>
                </c:pt>
                <c:pt idx="273">
                  <c:v>40817</c:v>
                </c:pt>
                <c:pt idx="274">
                  <c:v>40848</c:v>
                </c:pt>
                <c:pt idx="275">
                  <c:v>40878</c:v>
                </c:pt>
                <c:pt idx="276">
                  <c:v>40909</c:v>
                </c:pt>
                <c:pt idx="277">
                  <c:v>40940</c:v>
                </c:pt>
                <c:pt idx="278">
                  <c:v>40969</c:v>
                </c:pt>
                <c:pt idx="279">
                  <c:v>41000</c:v>
                </c:pt>
                <c:pt idx="280">
                  <c:v>41030</c:v>
                </c:pt>
                <c:pt idx="281">
                  <c:v>41061</c:v>
                </c:pt>
                <c:pt idx="282">
                  <c:v>41091</c:v>
                </c:pt>
                <c:pt idx="283">
                  <c:v>41122</c:v>
                </c:pt>
                <c:pt idx="284">
                  <c:v>41153</c:v>
                </c:pt>
                <c:pt idx="285">
                  <c:v>41183</c:v>
                </c:pt>
                <c:pt idx="286">
                  <c:v>41214</c:v>
                </c:pt>
                <c:pt idx="287">
                  <c:v>41244</c:v>
                </c:pt>
                <c:pt idx="288">
                  <c:v>41275</c:v>
                </c:pt>
              </c:numCache>
            </c:numRef>
          </c:cat>
          <c:val>
            <c:numRef>
              <c:f>Sheet1!$R$17:$R$305</c:f>
              <c:numCache>
                <c:formatCode>General_)</c:formatCode>
                <c:ptCount val="289"/>
                <c:pt idx="0">
                  <c:v>-146.09999999999991</c:v>
                </c:pt>
                <c:pt idx="1">
                  <c:v>-77.900000000000546</c:v>
                </c:pt>
                <c:pt idx="2">
                  <c:v>-21.400000000000091</c:v>
                </c:pt>
                <c:pt idx="3">
                  <c:v>35.699999999999363</c:v>
                </c:pt>
                <c:pt idx="4">
                  <c:v>82.199999999999818</c:v>
                </c:pt>
                <c:pt idx="5">
                  <c:v>176.19999999999982</c:v>
                </c:pt>
                <c:pt idx="6">
                  <c:v>205.59999999999991</c:v>
                </c:pt>
                <c:pt idx="7">
                  <c:v>236.10000000000036</c:v>
                </c:pt>
                <c:pt idx="8">
                  <c:v>249.20000000000073</c:v>
                </c:pt>
                <c:pt idx="9">
                  <c:v>282.00000000000045</c:v>
                </c:pt>
                <c:pt idx="10">
                  <c:v>300.00000000000045</c:v>
                </c:pt>
                <c:pt idx="11">
                  <c:v>264.90000000000055</c:v>
                </c:pt>
                <c:pt idx="12">
                  <c:v>211.10000000000036</c:v>
                </c:pt>
                <c:pt idx="13">
                  <c:v>221.69999999999982</c:v>
                </c:pt>
                <c:pt idx="14">
                  <c:v>230.10000000000036</c:v>
                </c:pt>
                <c:pt idx="15">
                  <c:v>188.5</c:v>
                </c:pt>
                <c:pt idx="16">
                  <c:v>203.29999999999973</c:v>
                </c:pt>
                <c:pt idx="17">
                  <c:v>197.20000000000027</c:v>
                </c:pt>
                <c:pt idx="18">
                  <c:v>181.60000000000036</c:v>
                </c:pt>
                <c:pt idx="19">
                  <c:v>193.60000000000036</c:v>
                </c:pt>
                <c:pt idx="20">
                  <c:v>157.80000000000064</c:v>
                </c:pt>
                <c:pt idx="21">
                  <c:v>164.40000000000055</c:v>
                </c:pt>
                <c:pt idx="22">
                  <c:v>188.60000000000036</c:v>
                </c:pt>
                <c:pt idx="23">
                  <c:v>208.90000000000009</c:v>
                </c:pt>
                <c:pt idx="24">
                  <c:v>292.00000000000045</c:v>
                </c:pt>
                <c:pt idx="25">
                  <c:v>248.29999999999973</c:v>
                </c:pt>
                <c:pt idx="26">
                  <c:v>216.20000000000027</c:v>
                </c:pt>
                <c:pt idx="27">
                  <c:v>251</c:v>
                </c:pt>
                <c:pt idx="28">
                  <c:v>322.70000000000027</c:v>
                </c:pt>
                <c:pt idx="29">
                  <c:v>313.70000000000027</c:v>
                </c:pt>
                <c:pt idx="30">
                  <c:v>330.5</c:v>
                </c:pt>
                <c:pt idx="31">
                  <c:v>336</c:v>
                </c:pt>
                <c:pt idx="32">
                  <c:v>342.50000000000045</c:v>
                </c:pt>
                <c:pt idx="33">
                  <c:v>300.60000000000036</c:v>
                </c:pt>
                <c:pt idx="34">
                  <c:v>268.60000000000082</c:v>
                </c:pt>
                <c:pt idx="35">
                  <c:v>282.20000000000027</c:v>
                </c:pt>
                <c:pt idx="36">
                  <c:v>211.79999999999973</c:v>
                </c:pt>
                <c:pt idx="37">
                  <c:v>171.89999999999918</c:v>
                </c:pt>
                <c:pt idx="38">
                  <c:v>177.69999999999982</c:v>
                </c:pt>
                <c:pt idx="39">
                  <c:v>88.599999999999454</c:v>
                </c:pt>
                <c:pt idx="40">
                  <c:v>-68.700000000000728</c:v>
                </c:pt>
                <c:pt idx="41">
                  <c:v>-133.80000000000064</c:v>
                </c:pt>
                <c:pt idx="42">
                  <c:v>-133.30000000000064</c:v>
                </c:pt>
                <c:pt idx="43">
                  <c:v>-136.80000000000018</c:v>
                </c:pt>
                <c:pt idx="44">
                  <c:v>-170.39999999999918</c:v>
                </c:pt>
                <c:pt idx="45">
                  <c:v>-185.49999999999955</c:v>
                </c:pt>
                <c:pt idx="46">
                  <c:v>-192.39999999999964</c:v>
                </c:pt>
                <c:pt idx="47">
                  <c:v>-186.09999999999991</c:v>
                </c:pt>
                <c:pt idx="48">
                  <c:v>-143.29999999999973</c:v>
                </c:pt>
                <c:pt idx="49">
                  <c:v>-124.90000000000009</c:v>
                </c:pt>
                <c:pt idx="50">
                  <c:v>-177.19999999999936</c:v>
                </c:pt>
                <c:pt idx="51">
                  <c:v>-176.5</c:v>
                </c:pt>
                <c:pt idx="52">
                  <c:v>-185.00000000000045</c:v>
                </c:pt>
                <c:pt idx="53">
                  <c:v>-183.69999999999982</c:v>
                </c:pt>
                <c:pt idx="54">
                  <c:v>-194.40000000000009</c:v>
                </c:pt>
                <c:pt idx="55">
                  <c:v>-159.30000000000018</c:v>
                </c:pt>
                <c:pt idx="56">
                  <c:v>-142</c:v>
                </c:pt>
                <c:pt idx="57">
                  <c:v>-118.79999999999973</c:v>
                </c:pt>
                <c:pt idx="58">
                  <c:v>-93.699999999999818</c:v>
                </c:pt>
                <c:pt idx="59">
                  <c:v>-119.89999999999964</c:v>
                </c:pt>
                <c:pt idx="60">
                  <c:v>-193.29999999999973</c:v>
                </c:pt>
                <c:pt idx="61">
                  <c:v>-189.30000000000018</c:v>
                </c:pt>
                <c:pt idx="62">
                  <c:v>-133.5</c:v>
                </c:pt>
                <c:pt idx="63">
                  <c:v>-42.200000000000273</c:v>
                </c:pt>
                <c:pt idx="64">
                  <c:v>81.899999999999636</c:v>
                </c:pt>
                <c:pt idx="65">
                  <c:v>104.89999999999964</c:v>
                </c:pt>
                <c:pt idx="66">
                  <c:v>116.69999999999936</c:v>
                </c:pt>
                <c:pt idx="67">
                  <c:v>17.099999999999454</c:v>
                </c:pt>
                <c:pt idx="68">
                  <c:v>-14.599999999999454</c:v>
                </c:pt>
                <c:pt idx="69">
                  <c:v>-58.999999999999545</c:v>
                </c:pt>
                <c:pt idx="70">
                  <c:v>-39.499999999999545</c:v>
                </c:pt>
                <c:pt idx="71">
                  <c:v>14.400000000000091</c:v>
                </c:pt>
                <c:pt idx="72">
                  <c:v>31</c:v>
                </c:pt>
                <c:pt idx="73">
                  <c:v>2.2999999999997272</c:v>
                </c:pt>
                <c:pt idx="74">
                  <c:v>-14.599999999999909</c:v>
                </c:pt>
                <c:pt idx="75">
                  <c:v>-52.000000000000455</c:v>
                </c:pt>
                <c:pt idx="76">
                  <c:v>-48.000000000000909</c:v>
                </c:pt>
                <c:pt idx="77">
                  <c:v>8.8999999999996362</c:v>
                </c:pt>
                <c:pt idx="78">
                  <c:v>-33</c:v>
                </c:pt>
                <c:pt idx="79">
                  <c:v>-13</c:v>
                </c:pt>
                <c:pt idx="80">
                  <c:v>32.000000000000909</c:v>
                </c:pt>
                <c:pt idx="81">
                  <c:v>112.00000000000045</c:v>
                </c:pt>
                <c:pt idx="82">
                  <c:v>97.900000000000546</c:v>
                </c:pt>
                <c:pt idx="83">
                  <c:v>12.700000000000273</c:v>
                </c:pt>
                <c:pt idx="84">
                  <c:v>11.600000000000364</c:v>
                </c:pt>
                <c:pt idx="85">
                  <c:v>26.100000000000364</c:v>
                </c:pt>
                <c:pt idx="86">
                  <c:v>17.600000000000364</c:v>
                </c:pt>
                <c:pt idx="87">
                  <c:v>-38.599999999999909</c:v>
                </c:pt>
                <c:pt idx="88">
                  <c:v>-88.999999999999545</c:v>
                </c:pt>
                <c:pt idx="89">
                  <c:v>-103.09999999999991</c:v>
                </c:pt>
                <c:pt idx="90">
                  <c:v>-88.099999999999454</c:v>
                </c:pt>
                <c:pt idx="91">
                  <c:v>-43.300000000000182</c:v>
                </c:pt>
                <c:pt idx="92">
                  <c:v>-70.899999999999636</c:v>
                </c:pt>
                <c:pt idx="93">
                  <c:v>-137.89999999999964</c:v>
                </c:pt>
                <c:pt idx="94">
                  <c:v>-149.69999999999936</c:v>
                </c:pt>
                <c:pt idx="95">
                  <c:v>-138.09999999999945</c:v>
                </c:pt>
                <c:pt idx="96">
                  <c:v>-109.69999999999936</c:v>
                </c:pt>
                <c:pt idx="97">
                  <c:v>-91.800000000000182</c:v>
                </c:pt>
                <c:pt idx="98">
                  <c:v>-0.79999999999972715</c:v>
                </c:pt>
                <c:pt idx="99">
                  <c:v>77.999999999999091</c:v>
                </c:pt>
                <c:pt idx="100">
                  <c:v>24.199999999999363</c:v>
                </c:pt>
                <c:pt idx="101">
                  <c:v>-41.500000000000909</c:v>
                </c:pt>
                <c:pt idx="102">
                  <c:v>-33.5</c:v>
                </c:pt>
                <c:pt idx="103">
                  <c:v>-66.699999999999818</c:v>
                </c:pt>
                <c:pt idx="104">
                  <c:v>-50.199999999999818</c:v>
                </c:pt>
                <c:pt idx="105">
                  <c:v>7.3000000000006366</c:v>
                </c:pt>
                <c:pt idx="106">
                  <c:v>-36.599999999999454</c:v>
                </c:pt>
                <c:pt idx="107">
                  <c:v>-43.299999999999272</c:v>
                </c:pt>
                <c:pt idx="108">
                  <c:v>-48.099999999999454</c:v>
                </c:pt>
                <c:pt idx="109">
                  <c:v>-77.5</c:v>
                </c:pt>
                <c:pt idx="110">
                  <c:v>-177.99999999999955</c:v>
                </c:pt>
                <c:pt idx="111">
                  <c:v>-209.80000000000018</c:v>
                </c:pt>
                <c:pt idx="112">
                  <c:v>-166.90000000000009</c:v>
                </c:pt>
                <c:pt idx="113">
                  <c:v>-56.900000000000091</c:v>
                </c:pt>
                <c:pt idx="114">
                  <c:v>13.100000000000364</c:v>
                </c:pt>
                <c:pt idx="115">
                  <c:v>61.5</c:v>
                </c:pt>
                <c:pt idx="116">
                  <c:v>77.000000000000455</c:v>
                </c:pt>
                <c:pt idx="117">
                  <c:v>96.600000000000364</c:v>
                </c:pt>
                <c:pt idx="118">
                  <c:v>181.20000000000027</c:v>
                </c:pt>
                <c:pt idx="119">
                  <c:v>295.20000000000073</c:v>
                </c:pt>
                <c:pt idx="120">
                  <c:v>318.10000000000082</c:v>
                </c:pt>
                <c:pt idx="121">
                  <c:v>380.5</c:v>
                </c:pt>
                <c:pt idx="122">
                  <c:v>385.20000000000073</c:v>
                </c:pt>
                <c:pt idx="123">
                  <c:v>408.20000000000027</c:v>
                </c:pt>
                <c:pt idx="124">
                  <c:v>423.10000000000036</c:v>
                </c:pt>
                <c:pt idx="125">
                  <c:v>336.59999999999991</c:v>
                </c:pt>
                <c:pt idx="126">
                  <c:v>248.90000000000009</c:v>
                </c:pt>
                <c:pt idx="127">
                  <c:v>259.5</c:v>
                </c:pt>
                <c:pt idx="128">
                  <c:v>240.60000000000036</c:v>
                </c:pt>
                <c:pt idx="129">
                  <c:v>188.40000000000009</c:v>
                </c:pt>
                <c:pt idx="130">
                  <c:v>132.90000000000055</c:v>
                </c:pt>
                <c:pt idx="131">
                  <c:v>37.700000000000273</c:v>
                </c:pt>
                <c:pt idx="132">
                  <c:v>5.0000000000004547</c:v>
                </c:pt>
                <c:pt idx="133">
                  <c:v>-52.599999999999909</c:v>
                </c:pt>
                <c:pt idx="134">
                  <c:v>-16.199999999999363</c:v>
                </c:pt>
                <c:pt idx="135">
                  <c:v>-19.799999999999727</c:v>
                </c:pt>
                <c:pt idx="136">
                  <c:v>-40.099999999999909</c:v>
                </c:pt>
                <c:pt idx="137">
                  <c:v>24.200000000000273</c:v>
                </c:pt>
                <c:pt idx="138">
                  <c:v>66.5</c:v>
                </c:pt>
                <c:pt idx="139">
                  <c:v>13.999999999999545</c:v>
                </c:pt>
                <c:pt idx="140">
                  <c:v>39.500000000000455</c:v>
                </c:pt>
                <c:pt idx="141">
                  <c:v>12.800000000000637</c:v>
                </c:pt>
                <c:pt idx="142">
                  <c:v>-7.5999999999994543</c:v>
                </c:pt>
                <c:pt idx="143">
                  <c:v>-24.699999999999818</c:v>
                </c:pt>
                <c:pt idx="144">
                  <c:v>-39.099999999999454</c:v>
                </c:pt>
                <c:pt idx="145">
                  <c:v>-20.199999999999818</c:v>
                </c:pt>
                <c:pt idx="146">
                  <c:v>0.30000000000063665</c:v>
                </c:pt>
                <c:pt idx="147">
                  <c:v>-26.199999999999818</c:v>
                </c:pt>
                <c:pt idx="148">
                  <c:v>-44.399999999999636</c:v>
                </c:pt>
                <c:pt idx="149">
                  <c:v>-86.599999999999909</c:v>
                </c:pt>
                <c:pt idx="150">
                  <c:v>-125.20000000000027</c:v>
                </c:pt>
                <c:pt idx="151">
                  <c:v>-160.50000000000045</c:v>
                </c:pt>
                <c:pt idx="152">
                  <c:v>-173.79999999999973</c:v>
                </c:pt>
                <c:pt idx="153">
                  <c:v>-216.39999999999964</c:v>
                </c:pt>
                <c:pt idx="154">
                  <c:v>-194.99999999999955</c:v>
                </c:pt>
                <c:pt idx="155">
                  <c:v>-117.19999999999936</c:v>
                </c:pt>
                <c:pt idx="156">
                  <c:v>-89.899999999999636</c:v>
                </c:pt>
                <c:pt idx="157">
                  <c:v>-57.300000000000182</c:v>
                </c:pt>
                <c:pt idx="158">
                  <c:v>-101.29999999999973</c:v>
                </c:pt>
                <c:pt idx="159">
                  <c:v>-25.099999999999909</c:v>
                </c:pt>
                <c:pt idx="160">
                  <c:v>100</c:v>
                </c:pt>
                <c:pt idx="161">
                  <c:v>87.200000000000273</c:v>
                </c:pt>
                <c:pt idx="162">
                  <c:v>56.899999999999636</c:v>
                </c:pt>
                <c:pt idx="163">
                  <c:v>78.899999999999636</c:v>
                </c:pt>
                <c:pt idx="164">
                  <c:v>57.200000000000273</c:v>
                </c:pt>
                <c:pt idx="165">
                  <c:v>184.5</c:v>
                </c:pt>
                <c:pt idx="166">
                  <c:v>258.60000000000036</c:v>
                </c:pt>
                <c:pt idx="167">
                  <c:v>164.10000000000036</c:v>
                </c:pt>
                <c:pt idx="168">
                  <c:v>122.20000000000027</c:v>
                </c:pt>
                <c:pt idx="169">
                  <c:v>59.799999999999727</c:v>
                </c:pt>
                <c:pt idx="170">
                  <c:v>110.90000000000055</c:v>
                </c:pt>
                <c:pt idx="171">
                  <c:v>71.200000000000273</c:v>
                </c:pt>
                <c:pt idx="172">
                  <c:v>23.900000000000091</c:v>
                </c:pt>
                <c:pt idx="173">
                  <c:v>55.099999999999909</c:v>
                </c:pt>
                <c:pt idx="174">
                  <c:v>93.699999999999818</c:v>
                </c:pt>
                <c:pt idx="175">
                  <c:v>74.400000000000091</c:v>
                </c:pt>
                <c:pt idx="176">
                  <c:v>73.300000000000182</c:v>
                </c:pt>
                <c:pt idx="177">
                  <c:v>-9.5999999999989996</c:v>
                </c:pt>
                <c:pt idx="178">
                  <c:v>-24.899999999999636</c:v>
                </c:pt>
                <c:pt idx="179">
                  <c:v>14.000000000000455</c:v>
                </c:pt>
                <c:pt idx="180">
                  <c:v>30.500000000000909</c:v>
                </c:pt>
                <c:pt idx="181">
                  <c:v>42.900000000000091</c:v>
                </c:pt>
                <c:pt idx="182">
                  <c:v>-8.1999999999993634</c:v>
                </c:pt>
                <c:pt idx="183">
                  <c:v>-67.199999999999363</c:v>
                </c:pt>
                <c:pt idx="184">
                  <c:v>-138.39999999999964</c:v>
                </c:pt>
                <c:pt idx="185">
                  <c:v>-134.59999999999991</c:v>
                </c:pt>
                <c:pt idx="186">
                  <c:v>-94.400000000000091</c:v>
                </c:pt>
                <c:pt idx="187">
                  <c:v>-76.500000000000455</c:v>
                </c:pt>
                <c:pt idx="188">
                  <c:v>-71.399999999999636</c:v>
                </c:pt>
                <c:pt idx="189">
                  <c:v>-32.599999999999909</c:v>
                </c:pt>
                <c:pt idx="190">
                  <c:v>-48.099999999999909</c:v>
                </c:pt>
                <c:pt idx="191">
                  <c:v>-33.300000000000182</c:v>
                </c:pt>
                <c:pt idx="192">
                  <c:v>-18.5</c:v>
                </c:pt>
                <c:pt idx="193">
                  <c:v>-15.200000000000273</c:v>
                </c:pt>
                <c:pt idx="194">
                  <c:v>-32</c:v>
                </c:pt>
                <c:pt idx="195">
                  <c:v>-11.100000000000819</c:v>
                </c:pt>
                <c:pt idx="196">
                  <c:v>-64.400000000000546</c:v>
                </c:pt>
                <c:pt idx="197">
                  <c:v>-126.10000000000082</c:v>
                </c:pt>
                <c:pt idx="198">
                  <c:v>-150.30000000000064</c:v>
                </c:pt>
                <c:pt idx="199">
                  <c:v>-64.200000000000728</c:v>
                </c:pt>
                <c:pt idx="200">
                  <c:v>-3.9000000000000909</c:v>
                </c:pt>
                <c:pt idx="201">
                  <c:v>43.600000000000364</c:v>
                </c:pt>
                <c:pt idx="202">
                  <c:v>22.300000000000182</c:v>
                </c:pt>
                <c:pt idx="203">
                  <c:v>0.6000000000003638</c:v>
                </c:pt>
                <c:pt idx="204">
                  <c:v>-16.499999999999545</c:v>
                </c:pt>
                <c:pt idx="205">
                  <c:v>-9</c:v>
                </c:pt>
                <c:pt idx="206">
                  <c:v>20.100000000000364</c:v>
                </c:pt>
                <c:pt idx="207">
                  <c:v>42.599999999999909</c:v>
                </c:pt>
                <c:pt idx="208">
                  <c:v>142.80000000000018</c:v>
                </c:pt>
                <c:pt idx="209">
                  <c:v>177.69999999999982</c:v>
                </c:pt>
                <c:pt idx="210">
                  <c:v>162.09999999999991</c:v>
                </c:pt>
                <c:pt idx="211">
                  <c:v>123.5</c:v>
                </c:pt>
                <c:pt idx="212">
                  <c:v>68.200000000000273</c:v>
                </c:pt>
                <c:pt idx="213">
                  <c:v>-4.7999999999997272</c:v>
                </c:pt>
                <c:pt idx="214">
                  <c:v>-33.5</c:v>
                </c:pt>
                <c:pt idx="215">
                  <c:v>-35.300000000000182</c:v>
                </c:pt>
                <c:pt idx="216">
                  <c:v>30</c:v>
                </c:pt>
                <c:pt idx="217">
                  <c:v>19.599999999999909</c:v>
                </c:pt>
                <c:pt idx="218">
                  <c:v>7.4000000000000909</c:v>
                </c:pt>
                <c:pt idx="219">
                  <c:v>-6.8000000000001819</c:v>
                </c:pt>
                <c:pt idx="220">
                  <c:v>-49.700000000000273</c:v>
                </c:pt>
                <c:pt idx="221">
                  <c:v>-96.600000000000364</c:v>
                </c:pt>
                <c:pt idx="222">
                  <c:v>-82.600000000000819</c:v>
                </c:pt>
                <c:pt idx="223">
                  <c:v>-74.400000000000091</c:v>
                </c:pt>
                <c:pt idx="224">
                  <c:v>-33.699999999999818</c:v>
                </c:pt>
                <c:pt idx="225">
                  <c:v>17.600000000000364</c:v>
                </c:pt>
                <c:pt idx="226">
                  <c:v>66.300000000000182</c:v>
                </c:pt>
                <c:pt idx="227">
                  <c:v>95.400000000000091</c:v>
                </c:pt>
                <c:pt idx="228">
                  <c:v>80.700000000000273</c:v>
                </c:pt>
                <c:pt idx="229">
                  <c:v>102.79999999999973</c:v>
                </c:pt>
                <c:pt idx="230">
                  <c:v>111.90000000000009</c:v>
                </c:pt>
                <c:pt idx="231">
                  <c:v>110.29999999999973</c:v>
                </c:pt>
                <c:pt idx="232">
                  <c:v>107.49999999999955</c:v>
                </c:pt>
                <c:pt idx="233">
                  <c:v>175.99999999999955</c:v>
                </c:pt>
                <c:pt idx="234">
                  <c:v>149.59999999999945</c:v>
                </c:pt>
                <c:pt idx="235">
                  <c:v>105.09999999999945</c:v>
                </c:pt>
                <c:pt idx="236">
                  <c:v>86.900000000000546</c:v>
                </c:pt>
                <c:pt idx="237">
                  <c:v>61.400000000000546</c:v>
                </c:pt>
                <c:pt idx="238">
                  <c:v>12.500000000000455</c:v>
                </c:pt>
                <c:pt idx="239">
                  <c:v>-39.499999999999545</c:v>
                </c:pt>
                <c:pt idx="240">
                  <c:v>-55.999999999999545</c:v>
                </c:pt>
                <c:pt idx="241">
                  <c:v>-79.400000000000091</c:v>
                </c:pt>
                <c:pt idx="242">
                  <c:v>-97.199999999999818</c:v>
                </c:pt>
                <c:pt idx="243">
                  <c:v>-73.000000000000455</c:v>
                </c:pt>
                <c:pt idx="244">
                  <c:v>-31.600000000000819</c:v>
                </c:pt>
                <c:pt idx="245">
                  <c:v>-66</c:v>
                </c:pt>
                <c:pt idx="246">
                  <c:v>-22.000000000000455</c:v>
                </c:pt>
                <c:pt idx="247">
                  <c:v>-16.200000000000273</c:v>
                </c:pt>
                <c:pt idx="248">
                  <c:v>-43.900000000000091</c:v>
                </c:pt>
                <c:pt idx="249">
                  <c:v>2.3999999999996362</c:v>
                </c:pt>
                <c:pt idx="250">
                  <c:v>87.800000000000182</c:v>
                </c:pt>
                <c:pt idx="251">
                  <c:v>139.30000000000018</c:v>
                </c:pt>
                <c:pt idx="252">
                  <c:v>109.00000000000045</c:v>
                </c:pt>
                <c:pt idx="253">
                  <c:v>97.899999999999636</c:v>
                </c:pt>
                <c:pt idx="254">
                  <c:v>48.800000000000182</c:v>
                </c:pt>
                <c:pt idx="255">
                  <c:v>-33</c:v>
                </c:pt>
                <c:pt idx="256">
                  <c:v>-43.199999999999818</c:v>
                </c:pt>
                <c:pt idx="257">
                  <c:v>20.099999999999909</c:v>
                </c:pt>
                <c:pt idx="258">
                  <c:v>53.699999999999363</c:v>
                </c:pt>
                <c:pt idx="259">
                  <c:v>119.69999999999982</c:v>
                </c:pt>
                <c:pt idx="260">
                  <c:v>160.80000000000064</c:v>
                </c:pt>
                <c:pt idx="261">
                  <c:v>128.60000000000082</c:v>
                </c:pt>
                <c:pt idx="262">
                  <c:v>94.100000000000819</c:v>
                </c:pt>
                <c:pt idx="263">
                  <c:v>78.600000000000364</c:v>
                </c:pt>
                <c:pt idx="264">
                  <c:v>57.800000000000637</c:v>
                </c:pt>
                <c:pt idx="265">
                  <c:v>66.199999999999818</c:v>
                </c:pt>
                <c:pt idx="266">
                  <c:v>142.20000000000027</c:v>
                </c:pt>
                <c:pt idx="267">
                  <c:v>226.20000000000027</c:v>
                </c:pt>
                <c:pt idx="268">
                  <c:v>287.40000000000009</c:v>
                </c:pt>
                <c:pt idx="269">
                  <c:v>249.79999999999973</c:v>
                </c:pt>
                <c:pt idx="270">
                  <c:v>220.49999999999955</c:v>
                </c:pt>
                <c:pt idx="271">
                  <c:v>211.19999999999982</c:v>
                </c:pt>
                <c:pt idx="272">
                  <c:v>197.80000000000064</c:v>
                </c:pt>
                <c:pt idx="273">
                  <c:v>181.40000000000055</c:v>
                </c:pt>
                <c:pt idx="274">
                  <c:v>107.90000000000055</c:v>
                </c:pt>
                <c:pt idx="275">
                  <c:v>119.20000000000027</c:v>
                </c:pt>
                <c:pt idx="276">
                  <c:v>163.20000000000027</c:v>
                </c:pt>
                <c:pt idx="277">
                  <c:v>194.19999999999982</c:v>
                </c:pt>
                <c:pt idx="278">
                  <c:v>222.40000000000055</c:v>
                </c:pt>
                <c:pt idx="279">
                  <c:v>276.30000000000018</c:v>
                </c:pt>
                <c:pt idx="280">
                  <c:v>215.09999999999991</c:v>
                </c:pt>
                <c:pt idx="281">
                  <c:v>203.99999999999955</c:v>
                </c:pt>
                <c:pt idx="282">
                  <c:v>147.79999999999973</c:v>
                </c:pt>
                <c:pt idx="283">
                  <c:v>115.39999999999964</c:v>
                </c:pt>
                <c:pt idx="284">
                  <c:v>85.099999999999909</c:v>
                </c:pt>
                <c:pt idx="285">
                  <c:v>107.30000000000018</c:v>
                </c:pt>
                <c:pt idx="286">
                  <c:v>160.19999999999982</c:v>
                </c:pt>
                <c:pt idx="287">
                  <c:v>124.80000000000018</c:v>
                </c:pt>
                <c:pt idx="288">
                  <c:v>141.30000000000018</c:v>
                </c:pt>
              </c:numCache>
            </c:numRef>
          </c:val>
        </c:ser>
        <c:marker val="1"/>
        <c:axId val="65385216"/>
        <c:axId val="65386752"/>
      </c:lineChart>
      <c:dateAx>
        <c:axId val="65385216"/>
        <c:scaling>
          <c:orientation val="minMax"/>
        </c:scaling>
        <c:axPos val="b"/>
        <c:numFmt formatCode="[$-409]mmm\-yy;@" sourceLinked="1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65386752"/>
        <c:crosses val="autoZero"/>
        <c:auto val="1"/>
        <c:lblOffset val="100"/>
        <c:baseTimeUnit val="months"/>
      </c:dateAx>
      <c:valAx>
        <c:axId val="6538675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12 mo sum  - Diff from Normal</a:t>
                </a:r>
              </a:p>
            </c:rich>
          </c:tx>
        </c:title>
        <c:numFmt formatCode="General_)" sourceLinked="1"/>
        <c:tickLblPos val="nextTo"/>
        <c:crossAx val="65385216"/>
        <c:crosses val="autoZero"/>
        <c:crossBetween val="between"/>
      </c:valAx>
    </c:plotArea>
    <c:plotVisOnly val="1"/>
    <c:dispBlanksAs val="gap"/>
  </c:chart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HDD - Difference from Normal - 12ME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0.11458699148079643"/>
          <c:y val="0.11641750385347555"/>
          <c:w val="0.8615162003082808"/>
          <c:h val="0.64548025023033262"/>
        </c:manualLayout>
      </c:layout>
      <c:lineChart>
        <c:grouping val="standard"/>
        <c:ser>
          <c:idx val="0"/>
          <c:order val="0"/>
          <c:marker>
            <c:symbol val="none"/>
          </c:marker>
          <c:cat>
            <c:numRef>
              <c:f>Sheet1!$N$17:$N$305</c:f>
              <c:numCache>
                <c:formatCode>[$-409]mmm\-yy;@</c:formatCode>
                <c:ptCount val="289"/>
                <c:pt idx="0">
                  <c:v>32509</c:v>
                </c:pt>
                <c:pt idx="1">
                  <c:v>32540</c:v>
                </c:pt>
                <c:pt idx="2">
                  <c:v>32568</c:v>
                </c:pt>
                <c:pt idx="3">
                  <c:v>32599</c:v>
                </c:pt>
                <c:pt idx="4">
                  <c:v>32629</c:v>
                </c:pt>
                <c:pt idx="5">
                  <c:v>32660</c:v>
                </c:pt>
                <c:pt idx="6">
                  <c:v>32690</c:v>
                </c:pt>
                <c:pt idx="7">
                  <c:v>32721</c:v>
                </c:pt>
                <c:pt idx="8">
                  <c:v>32752</c:v>
                </c:pt>
                <c:pt idx="9">
                  <c:v>32782</c:v>
                </c:pt>
                <c:pt idx="10">
                  <c:v>32813</c:v>
                </c:pt>
                <c:pt idx="11">
                  <c:v>32843</c:v>
                </c:pt>
                <c:pt idx="12">
                  <c:v>32874</c:v>
                </c:pt>
                <c:pt idx="13">
                  <c:v>32905</c:v>
                </c:pt>
                <c:pt idx="14">
                  <c:v>32933</c:v>
                </c:pt>
                <c:pt idx="15">
                  <c:v>32964</c:v>
                </c:pt>
                <c:pt idx="16">
                  <c:v>32994</c:v>
                </c:pt>
                <c:pt idx="17">
                  <c:v>33025</c:v>
                </c:pt>
                <c:pt idx="18">
                  <c:v>33055</c:v>
                </c:pt>
                <c:pt idx="19">
                  <c:v>33086</c:v>
                </c:pt>
                <c:pt idx="20">
                  <c:v>33117</c:v>
                </c:pt>
                <c:pt idx="21">
                  <c:v>33147</c:v>
                </c:pt>
                <c:pt idx="22">
                  <c:v>33178</c:v>
                </c:pt>
                <c:pt idx="23">
                  <c:v>33208</c:v>
                </c:pt>
                <c:pt idx="24">
                  <c:v>33239</c:v>
                </c:pt>
                <c:pt idx="25">
                  <c:v>33270</c:v>
                </c:pt>
                <c:pt idx="26">
                  <c:v>33298</c:v>
                </c:pt>
                <c:pt idx="27">
                  <c:v>33329</c:v>
                </c:pt>
                <c:pt idx="28">
                  <c:v>33359</c:v>
                </c:pt>
                <c:pt idx="29">
                  <c:v>33390</c:v>
                </c:pt>
                <c:pt idx="30">
                  <c:v>33420</c:v>
                </c:pt>
                <c:pt idx="31">
                  <c:v>33451</c:v>
                </c:pt>
                <c:pt idx="32">
                  <c:v>33482</c:v>
                </c:pt>
                <c:pt idx="33">
                  <c:v>33512</c:v>
                </c:pt>
                <c:pt idx="34">
                  <c:v>33543</c:v>
                </c:pt>
                <c:pt idx="35">
                  <c:v>33573</c:v>
                </c:pt>
                <c:pt idx="36">
                  <c:v>33604</c:v>
                </c:pt>
                <c:pt idx="37">
                  <c:v>33635</c:v>
                </c:pt>
                <c:pt idx="38">
                  <c:v>33664</c:v>
                </c:pt>
                <c:pt idx="39">
                  <c:v>33695</c:v>
                </c:pt>
                <c:pt idx="40">
                  <c:v>33725</c:v>
                </c:pt>
                <c:pt idx="41">
                  <c:v>33756</c:v>
                </c:pt>
                <c:pt idx="42">
                  <c:v>33786</c:v>
                </c:pt>
                <c:pt idx="43">
                  <c:v>33817</c:v>
                </c:pt>
                <c:pt idx="44">
                  <c:v>33848</c:v>
                </c:pt>
                <c:pt idx="45">
                  <c:v>33878</c:v>
                </c:pt>
                <c:pt idx="46">
                  <c:v>33909</c:v>
                </c:pt>
                <c:pt idx="47">
                  <c:v>33939</c:v>
                </c:pt>
                <c:pt idx="48">
                  <c:v>33970</c:v>
                </c:pt>
                <c:pt idx="49">
                  <c:v>34001</c:v>
                </c:pt>
                <c:pt idx="50">
                  <c:v>34029</c:v>
                </c:pt>
                <c:pt idx="51">
                  <c:v>34060</c:v>
                </c:pt>
                <c:pt idx="52">
                  <c:v>34090</c:v>
                </c:pt>
                <c:pt idx="53">
                  <c:v>34121</c:v>
                </c:pt>
                <c:pt idx="54">
                  <c:v>34151</c:v>
                </c:pt>
                <c:pt idx="55">
                  <c:v>34182</c:v>
                </c:pt>
                <c:pt idx="56">
                  <c:v>34213</c:v>
                </c:pt>
                <c:pt idx="57">
                  <c:v>34243</c:v>
                </c:pt>
                <c:pt idx="58">
                  <c:v>34274</c:v>
                </c:pt>
                <c:pt idx="59">
                  <c:v>34304</c:v>
                </c:pt>
                <c:pt idx="60">
                  <c:v>34335</c:v>
                </c:pt>
                <c:pt idx="61">
                  <c:v>34366</c:v>
                </c:pt>
                <c:pt idx="62">
                  <c:v>34394</c:v>
                </c:pt>
                <c:pt idx="63">
                  <c:v>34425</c:v>
                </c:pt>
                <c:pt idx="64">
                  <c:v>34455</c:v>
                </c:pt>
                <c:pt idx="65">
                  <c:v>34486</c:v>
                </c:pt>
                <c:pt idx="66">
                  <c:v>34516</c:v>
                </c:pt>
                <c:pt idx="67">
                  <c:v>34547</c:v>
                </c:pt>
                <c:pt idx="68">
                  <c:v>34578</c:v>
                </c:pt>
                <c:pt idx="69">
                  <c:v>34608</c:v>
                </c:pt>
                <c:pt idx="70">
                  <c:v>34639</c:v>
                </c:pt>
                <c:pt idx="71">
                  <c:v>34669</c:v>
                </c:pt>
                <c:pt idx="72">
                  <c:v>34700</c:v>
                </c:pt>
                <c:pt idx="73">
                  <c:v>34731</c:v>
                </c:pt>
                <c:pt idx="74">
                  <c:v>34759</c:v>
                </c:pt>
                <c:pt idx="75">
                  <c:v>34790</c:v>
                </c:pt>
                <c:pt idx="76">
                  <c:v>34820</c:v>
                </c:pt>
                <c:pt idx="77">
                  <c:v>34851</c:v>
                </c:pt>
                <c:pt idx="78">
                  <c:v>34881</c:v>
                </c:pt>
                <c:pt idx="79">
                  <c:v>34912</c:v>
                </c:pt>
                <c:pt idx="80">
                  <c:v>34943</c:v>
                </c:pt>
                <c:pt idx="81">
                  <c:v>34973</c:v>
                </c:pt>
                <c:pt idx="82">
                  <c:v>35004</c:v>
                </c:pt>
                <c:pt idx="83">
                  <c:v>35034</c:v>
                </c:pt>
                <c:pt idx="84">
                  <c:v>35065</c:v>
                </c:pt>
                <c:pt idx="85">
                  <c:v>35096</c:v>
                </c:pt>
                <c:pt idx="86">
                  <c:v>35125</c:v>
                </c:pt>
                <c:pt idx="87">
                  <c:v>35156</c:v>
                </c:pt>
                <c:pt idx="88">
                  <c:v>35186</c:v>
                </c:pt>
                <c:pt idx="89">
                  <c:v>35217</c:v>
                </c:pt>
                <c:pt idx="90">
                  <c:v>35247</c:v>
                </c:pt>
                <c:pt idx="91">
                  <c:v>35278</c:v>
                </c:pt>
                <c:pt idx="92">
                  <c:v>35309</c:v>
                </c:pt>
                <c:pt idx="93">
                  <c:v>35339</c:v>
                </c:pt>
                <c:pt idx="94">
                  <c:v>35370</c:v>
                </c:pt>
                <c:pt idx="95">
                  <c:v>35400</c:v>
                </c:pt>
                <c:pt idx="96">
                  <c:v>35431</c:v>
                </c:pt>
                <c:pt idx="97">
                  <c:v>35462</c:v>
                </c:pt>
                <c:pt idx="98">
                  <c:v>35490</c:v>
                </c:pt>
                <c:pt idx="99">
                  <c:v>35521</c:v>
                </c:pt>
                <c:pt idx="100">
                  <c:v>35551</c:v>
                </c:pt>
                <c:pt idx="101">
                  <c:v>35582</c:v>
                </c:pt>
                <c:pt idx="102">
                  <c:v>35612</c:v>
                </c:pt>
                <c:pt idx="103">
                  <c:v>35643</c:v>
                </c:pt>
                <c:pt idx="104">
                  <c:v>35674</c:v>
                </c:pt>
                <c:pt idx="105">
                  <c:v>35704</c:v>
                </c:pt>
                <c:pt idx="106">
                  <c:v>35735</c:v>
                </c:pt>
                <c:pt idx="107">
                  <c:v>35765</c:v>
                </c:pt>
                <c:pt idx="108">
                  <c:v>35796</c:v>
                </c:pt>
                <c:pt idx="109">
                  <c:v>35827</c:v>
                </c:pt>
                <c:pt idx="110">
                  <c:v>35855</c:v>
                </c:pt>
                <c:pt idx="111">
                  <c:v>35886</c:v>
                </c:pt>
                <c:pt idx="112">
                  <c:v>35916</c:v>
                </c:pt>
                <c:pt idx="113">
                  <c:v>35947</c:v>
                </c:pt>
                <c:pt idx="114">
                  <c:v>35977</c:v>
                </c:pt>
                <c:pt idx="115">
                  <c:v>36008</c:v>
                </c:pt>
                <c:pt idx="116">
                  <c:v>36039</c:v>
                </c:pt>
                <c:pt idx="117">
                  <c:v>36069</c:v>
                </c:pt>
                <c:pt idx="118">
                  <c:v>36100</c:v>
                </c:pt>
                <c:pt idx="119">
                  <c:v>36130</c:v>
                </c:pt>
                <c:pt idx="120">
                  <c:v>36161</c:v>
                </c:pt>
                <c:pt idx="121">
                  <c:v>36192</c:v>
                </c:pt>
                <c:pt idx="122">
                  <c:v>36220</c:v>
                </c:pt>
                <c:pt idx="123">
                  <c:v>36251</c:v>
                </c:pt>
                <c:pt idx="124">
                  <c:v>36281</c:v>
                </c:pt>
                <c:pt idx="125">
                  <c:v>36312</c:v>
                </c:pt>
                <c:pt idx="126">
                  <c:v>36342</c:v>
                </c:pt>
                <c:pt idx="127">
                  <c:v>36373</c:v>
                </c:pt>
                <c:pt idx="128">
                  <c:v>36404</c:v>
                </c:pt>
                <c:pt idx="129">
                  <c:v>36434</c:v>
                </c:pt>
                <c:pt idx="130">
                  <c:v>36465</c:v>
                </c:pt>
                <c:pt idx="131">
                  <c:v>36495</c:v>
                </c:pt>
                <c:pt idx="132">
                  <c:v>36526</c:v>
                </c:pt>
                <c:pt idx="133">
                  <c:v>36557</c:v>
                </c:pt>
                <c:pt idx="134">
                  <c:v>36586</c:v>
                </c:pt>
                <c:pt idx="135">
                  <c:v>36617</c:v>
                </c:pt>
                <c:pt idx="136">
                  <c:v>36647</c:v>
                </c:pt>
                <c:pt idx="137">
                  <c:v>36678</c:v>
                </c:pt>
                <c:pt idx="138">
                  <c:v>36708</c:v>
                </c:pt>
                <c:pt idx="139">
                  <c:v>36739</c:v>
                </c:pt>
                <c:pt idx="140">
                  <c:v>36770</c:v>
                </c:pt>
                <c:pt idx="141">
                  <c:v>36800</c:v>
                </c:pt>
                <c:pt idx="142">
                  <c:v>36831</c:v>
                </c:pt>
                <c:pt idx="143">
                  <c:v>36861</c:v>
                </c:pt>
                <c:pt idx="144">
                  <c:v>36892</c:v>
                </c:pt>
                <c:pt idx="145">
                  <c:v>36923</c:v>
                </c:pt>
                <c:pt idx="146">
                  <c:v>36951</c:v>
                </c:pt>
                <c:pt idx="147">
                  <c:v>36982</c:v>
                </c:pt>
                <c:pt idx="148">
                  <c:v>37012</c:v>
                </c:pt>
                <c:pt idx="149">
                  <c:v>37043</c:v>
                </c:pt>
                <c:pt idx="150">
                  <c:v>37073</c:v>
                </c:pt>
                <c:pt idx="151">
                  <c:v>37104</c:v>
                </c:pt>
                <c:pt idx="152">
                  <c:v>37135</c:v>
                </c:pt>
                <c:pt idx="153">
                  <c:v>37165</c:v>
                </c:pt>
                <c:pt idx="154">
                  <c:v>37196</c:v>
                </c:pt>
                <c:pt idx="155">
                  <c:v>37226</c:v>
                </c:pt>
                <c:pt idx="156">
                  <c:v>37257</c:v>
                </c:pt>
                <c:pt idx="157">
                  <c:v>37288</c:v>
                </c:pt>
                <c:pt idx="158">
                  <c:v>37316</c:v>
                </c:pt>
                <c:pt idx="159">
                  <c:v>37347</c:v>
                </c:pt>
                <c:pt idx="160">
                  <c:v>37377</c:v>
                </c:pt>
                <c:pt idx="161">
                  <c:v>37408</c:v>
                </c:pt>
                <c:pt idx="162">
                  <c:v>37438</c:v>
                </c:pt>
                <c:pt idx="163">
                  <c:v>37469</c:v>
                </c:pt>
                <c:pt idx="164">
                  <c:v>37500</c:v>
                </c:pt>
                <c:pt idx="165">
                  <c:v>37530</c:v>
                </c:pt>
                <c:pt idx="166">
                  <c:v>37561</c:v>
                </c:pt>
                <c:pt idx="167">
                  <c:v>37591</c:v>
                </c:pt>
                <c:pt idx="168">
                  <c:v>37622</c:v>
                </c:pt>
                <c:pt idx="169">
                  <c:v>37653</c:v>
                </c:pt>
                <c:pt idx="170">
                  <c:v>37681</c:v>
                </c:pt>
                <c:pt idx="171">
                  <c:v>37712</c:v>
                </c:pt>
                <c:pt idx="172">
                  <c:v>37742</c:v>
                </c:pt>
                <c:pt idx="173">
                  <c:v>37773</c:v>
                </c:pt>
                <c:pt idx="174">
                  <c:v>37803</c:v>
                </c:pt>
                <c:pt idx="175">
                  <c:v>37834</c:v>
                </c:pt>
                <c:pt idx="176">
                  <c:v>37865</c:v>
                </c:pt>
                <c:pt idx="177">
                  <c:v>37895</c:v>
                </c:pt>
                <c:pt idx="178">
                  <c:v>37926</c:v>
                </c:pt>
                <c:pt idx="179">
                  <c:v>37956</c:v>
                </c:pt>
                <c:pt idx="180">
                  <c:v>37987</c:v>
                </c:pt>
                <c:pt idx="181">
                  <c:v>38018</c:v>
                </c:pt>
                <c:pt idx="182">
                  <c:v>38047</c:v>
                </c:pt>
                <c:pt idx="183">
                  <c:v>38078</c:v>
                </c:pt>
                <c:pt idx="184">
                  <c:v>38108</c:v>
                </c:pt>
                <c:pt idx="185">
                  <c:v>38139</c:v>
                </c:pt>
                <c:pt idx="186">
                  <c:v>38169</c:v>
                </c:pt>
                <c:pt idx="187">
                  <c:v>38200</c:v>
                </c:pt>
                <c:pt idx="188">
                  <c:v>38231</c:v>
                </c:pt>
                <c:pt idx="189">
                  <c:v>38261</c:v>
                </c:pt>
                <c:pt idx="190">
                  <c:v>38292</c:v>
                </c:pt>
                <c:pt idx="191">
                  <c:v>38322</c:v>
                </c:pt>
                <c:pt idx="192">
                  <c:v>38353</c:v>
                </c:pt>
                <c:pt idx="193">
                  <c:v>38384</c:v>
                </c:pt>
                <c:pt idx="194">
                  <c:v>38412</c:v>
                </c:pt>
                <c:pt idx="195">
                  <c:v>38443</c:v>
                </c:pt>
                <c:pt idx="196">
                  <c:v>38473</c:v>
                </c:pt>
                <c:pt idx="197">
                  <c:v>38504</c:v>
                </c:pt>
                <c:pt idx="198">
                  <c:v>38534</c:v>
                </c:pt>
                <c:pt idx="199">
                  <c:v>38565</c:v>
                </c:pt>
                <c:pt idx="200">
                  <c:v>38596</c:v>
                </c:pt>
                <c:pt idx="201">
                  <c:v>38626</c:v>
                </c:pt>
                <c:pt idx="202">
                  <c:v>38657</c:v>
                </c:pt>
                <c:pt idx="203">
                  <c:v>38687</c:v>
                </c:pt>
                <c:pt idx="204">
                  <c:v>38718</c:v>
                </c:pt>
                <c:pt idx="205">
                  <c:v>38749</c:v>
                </c:pt>
                <c:pt idx="206">
                  <c:v>38777</c:v>
                </c:pt>
                <c:pt idx="207">
                  <c:v>38808</c:v>
                </c:pt>
                <c:pt idx="208">
                  <c:v>38838</c:v>
                </c:pt>
                <c:pt idx="209">
                  <c:v>38869</c:v>
                </c:pt>
                <c:pt idx="210">
                  <c:v>38899</c:v>
                </c:pt>
                <c:pt idx="211">
                  <c:v>38930</c:v>
                </c:pt>
                <c:pt idx="212">
                  <c:v>38961</c:v>
                </c:pt>
                <c:pt idx="213">
                  <c:v>38991</c:v>
                </c:pt>
                <c:pt idx="214">
                  <c:v>39022</c:v>
                </c:pt>
                <c:pt idx="215">
                  <c:v>39052</c:v>
                </c:pt>
                <c:pt idx="216">
                  <c:v>39083</c:v>
                </c:pt>
                <c:pt idx="217">
                  <c:v>39114</c:v>
                </c:pt>
                <c:pt idx="218">
                  <c:v>39142</c:v>
                </c:pt>
                <c:pt idx="219">
                  <c:v>39173</c:v>
                </c:pt>
                <c:pt idx="220">
                  <c:v>39203</c:v>
                </c:pt>
                <c:pt idx="221">
                  <c:v>39234</c:v>
                </c:pt>
                <c:pt idx="222">
                  <c:v>39264</c:v>
                </c:pt>
                <c:pt idx="223">
                  <c:v>39295</c:v>
                </c:pt>
                <c:pt idx="224">
                  <c:v>39326</c:v>
                </c:pt>
                <c:pt idx="225">
                  <c:v>39356</c:v>
                </c:pt>
                <c:pt idx="226">
                  <c:v>39387</c:v>
                </c:pt>
                <c:pt idx="227">
                  <c:v>39417</c:v>
                </c:pt>
                <c:pt idx="228">
                  <c:v>39448</c:v>
                </c:pt>
                <c:pt idx="229">
                  <c:v>39479</c:v>
                </c:pt>
                <c:pt idx="230">
                  <c:v>39508</c:v>
                </c:pt>
                <c:pt idx="231">
                  <c:v>39539</c:v>
                </c:pt>
                <c:pt idx="232">
                  <c:v>39569</c:v>
                </c:pt>
                <c:pt idx="233">
                  <c:v>39600</c:v>
                </c:pt>
                <c:pt idx="234">
                  <c:v>39630</c:v>
                </c:pt>
                <c:pt idx="235">
                  <c:v>39661</c:v>
                </c:pt>
                <c:pt idx="236">
                  <c:v>39692</c:v>
                </c:pt>
                <c:pt idx="237">
                  <c:v>39722</c:v>
                </c:pt>
                <c:pt idx="238">
                  <c:v>39753</c:v>
                </c:pt>
                <c:pt idx="239">
                  <c:v>39783</c:v>
                </c:pt>
                <c:pt idx="240">
                  <c:v>39814</c:v>
                </c:pt>
                <c:pt idx="241">
                  <c:v>39845</c:v>
                </c:pt>
                <c:pt idx="242">
                  <c:v>39873</c:v>
                </c:pt>
                <c:pt idx="243">
                  <c:v>39904</c:v>
                </c:pt>
                <c:pt idx="244">
                  <c:v>39934</c:v>
                </c:pt>
                <c:pt idx="245">
                  <c:v>39965</c:v>
                </c:pt>
                <c:pt idx="246">
                  <c:v>39995</c:v>
                </c:pt>
                <c:pt idx="247">
                  <c:v>40026</c:v>
                </c:pt>
                <c:pt idx="248">
                  <c:v>40057</c:v>
                </c:pt>
                <c:pt idx="249">
                  <c:v>40087</c:v>
                </c:pt>
                <c:pt idx="250">
                  <c:v>40118</c:v>
                </c:pt>
                <c:pt idx="251">
                  <c:v>40148</c:v>
                </c:pt>
                <c:pt idx="252">
                  <c:v>40179</c:v>
                </c:pt>
                <c:pt idx="253">
                  <c:v>40210</c:v>
                </c:pt>
                <c:pt idx="254">
                  <c:v>40238</c:v>
                </c:pt>
                <c:pt idx="255">
                  <c:v>40269</c:v>
                </c:pt>
                <c:pt idx="256">
                  <c:v>40299</c:v>
                </c:pt>
                <c:pt idx="257">
                  <c:v>40330</c:v>
                </c:pt>
                <c:pt idx="258">
                  <c:v>40360</c:v>
                </c:pt>
                <c:pt idx="259">
                  <c:v>40391</c:v>
                </c:pt>
                <c:pt idx="260">
                  <c:v>40422</c:v>
                </c:pt>
                <c:pt idx="261">
                  <c:v>40452</c:v>
                </c:pt>
                <c:pt idx="262">
                  <c:v>40483</c:v>
                </c:pt>
                <c:pt idx="263">
                  <c:v>40513</c:v>
                </c:pt>
                <c:pt idx="264">
                  <c:v>40544</c:v>
                </c:pt>
                <c:pt idx="265">
                  <c:v>40575</c:v>
                </c:pt>
                <c:pt idx="266">
                  <c:v>40603</c:v>
                </c:pt>
                <c:pt idx="267">
                  <c:v>40634</c:v>
                </c:pt>
                <c:pt idx="268">
                  <c:v>40664</c:v>
                </c:pt>
                <c:pt idx="269">
                  <c:v>40695</c:v>
                </c:pt>
                <c:pt idx="270">
                  <c:v>40725</c:v>
                </c:pt>
                <c:pt idx="271">
                  <c:v>40756</c:v>
                </c:pt>
                <c:pt idx="272">
                  <c:v>40787</c:v>
                </c:pt>
                <c:pt idx="273">
                  <c:v>40817</c:v>
                </c:pt>
                <c:pt idx="274">
                  <c:v>40848</c:v>
                </c:pt>
                <c:pt idx="275">
                  <c:v>40878</c:v>
                </c:pt>
                <c:pt idx="276">
                  <c:v>40909</c:v>
                </c:pt>
                <c:pt idx="277">
                  <c:v>40940</c:v>
                </c:pt>
                <c:pt idx="278">
                  <c:v>40969</c:v>
                </c:pt>
                <c:pt idx="279">
                  <c:v>41000</c:v>
                </c:pt>
                <c:pt idx="280">
                  <c:v>41030</c:v>
                </c:pt>
                <c:pt idx="281">
                  <c:v>41061</c:v>
                </c:pt>
                <c:pt idx="282">
                  <c:v>41091</c:v>
                </c:pt>
                <c:pt idx="283">
                  <c:v>41122</c:v>
                </c:pt>
                <c:pt idx="284">
                  <c:v>41153</c:v>
                </c:pt>
                <c:pt idx="285">
                  <c:v>41183</c:v>
                </c:pt>
                <c:pt idx="286">
                  <c:v>41214</c:v>
                </c:pt>
                <c:pt idx="287">
                  <c:v>41244</c:v>
                </c:pt>
                <c:pt idx="288">
                  <c:v>41275</c:v>
                </c:pt>
              </c:numCache>
            </c:numRef>
          </c:cat>
          <c:val>
            <c:numRef>
              <c:f>Sheet1!$V$17:$V$305</c:f>
              <c:numCache>
                <c:formatCode>General_)</c:formatCode>
                <c:ptCount val="289"/>
                <c:pt idx="0">
                  <c:v>116.19999999999993</c:v>
                </c:pt>
                <c:pt idx="1">
                  <c:v>-35.999999999999943</c:v>
                </c:pt>
                <c:pt idx="2">
                  <c:v>-54.599999999999852</c:v>
                </c:pt>
                <c:pt idx="3">
                  <c:v>-82.800000000000011</c:v>
                </c:pt>
                <c:pt idx="4">
                  <c:v>-89.700000000000045</c:v>
                </c:pt>
                <c:pt idx="5">
                  <c:v>-90.5</c:v>
                </c:pt>
                <c:pt idx="6">
                  <c:v>-90.600000000000023</c:v>
                </c:pt>
                <c:pt idx="7">
                  <c:v>-90.600000000000023</c:v>
                </c:pt>
                <c:pt idx="8">
                  <c:v>-90.600000000000023</c:v>
                </c:pt>
                <c:pt idx="9">
                  <c:v>-90.600000000000023</c:v>
                </c:pt>
                <c:pt idx="10">
                  <c:v>-79.700000000000045</c:v>
                </c:pt>
                <c:pt idx="11">
                  <c:v>-45.100000000000023</c:v>
                </c:pt>
                <c:pt idx="12">
                  <c:v>100.39999999999998</c:v>
                </c:pt>
                <c:pt idx="13">
                  <c:v>110.10000000000002</c:v>
                </c:pt>
                <c:pt idx="14">
                  <c:v>24.800000000000125</c:v>
                </c:pt>
                <c:pt idx="15">
                  <c:v>17.300000000000068</c:v>
                </c:pt>
                <c:pt idx="16">
                  <c:v>16.099999999999966</c:v>
                </c:pt>
                <c:pt idx="17">
                  <c:v>14.899999999999977</c:v>
                </c:pt>
                <c:pt idx="18">
                  <c:v>14.899999999999977</c:v>
                </c:pt>
                <c:pt idx="19">
                  <c:v>14.899999999999977</c:v>
                </c:pt>
                <c:pt idx="20">
                  <c:v>14.899999999999977</c:v>
                </c:pt>
                <c:pt idx="21">
                  <c:v>11.600000000000023</c:v>
                </c:pt>
                <c:pt idx="22">
                  <c:v>4.1000000000000227</c:v>
                </c:pt>
                <c:pt idx="23">
                  <c:v>-46</c:v>
                </c:pt>
                <c:pt idx="24">
                  <c:v>-215.3</c:v>
                </c:pt>
                <c:pt idx="25">
                  <c:v>-193.5</c:v>
                </c:pt>
                <c:pt idx="26">
                  <c:v>-153.39999999999998</c:v>
                </c:pt>
                <c:pt idx="27">
                  <c:v>-156.80000000000001</c:v>
                </c:pt>
                <c:pt idx="28">
                  <c:v>-163.40000000000009</c:v>
                </c:pt>
                <c:pt idx="29">
                  <c:v>-163.90000000000003</c:v>
                </c:pt>
                <c:pt idx="30">
                  <c:v>-163.90000000000003</c:v>
                </c:pt>
                <c:pt idx="31">
                  <c:v>-163.90000000000003</c:v>
                </c:pt>
                <c:pt idx="32">
                  <c:v>-163.90000000000003</c:v>
                </c:pt>
                <c:pt idx="33">
                  <c:v>-162.10000000000002</c:v>
                </c:pt>
                <c:pt idx="34">
                  <c:v>-146.90000000000003</c:v>
                </c:pt>
                <c:pt idx="35">
                  <c:v>-126.99999999999994</c:v>
                </c:pt>
                <c:pt idx="36">
                  <c:v>-68.899999999999977</c:v>
                </c:pt>
                <c:pt idx="37">
                  <c:v>-5.5</c:v>
                </c:pt>
                <c:pt idx="38">
                  <c:v>-22.5</c:v>
                </c:pt>
                <c:pt idx="39">
                  <c:v>8</c:v>
                </c:pt>
                <c:pt idx="40">
                  <c:v>29.699999999999989</c:v>
                </c:pt>
                <c:pt idx="41">
                  <c:v>33.900000000000091</c:v>
                </c:pt>
                <c:pt idx="42">
                  <c:v>33.900000000000091</c:v>
                </c:pt>
                <c:pt idx="43">
                  <c:v>33.900000000000091</c:v>
                </c:pt>
                <c:pt idx="44">
                  <c:v>33.900000000000091</c:v>
                </c:pt>
                <c:pt idx="45">
                  <c:v>33.399999999999977</c:v>
                </c:pt>
                <c:pt idx="46">
                  <c:v>11.499999999999943</c:v>
                </c:pt>
                <c:pt idx="47">
                  <c:v>16.399999999999977</c:v>
                </c:pt>
                <c:pt idx="48">
                  <c:v>-47.400000000000091</c:v>
                </c:pt>
                <c:pt idx="49">
                  <c:v>-101.20000000000005</c:v>
                </c:pt>
                <c:pt idx="50">
                  <c:v>-40.39999999999992</c:v>
                </c:pt>
                <c:pt idx="51">
                  <c:v>-39.800000000000011</c:v>
                </c:pt>
                <c:pt idx="52">
                  <c:v>-40.900000000000091</c:v>
                </c:pt>
                <c:pt idx="53">
                  <c:v>-43.599999999999966</c:v>
                </c:pt>
                <c:pt idx="54">
                  <c:v>-43.599999999999966</c:v>
                </c:pt>
                <c:pt idx="55">
                  <c:v>-43.599999999999966</c:v>
                </c:pt>
                <c:pt idx="56">
                  <c:v>-43.599999999999966</c:v>
                </c:pt>
                <c:pt idx="57">
                  <c:v>-43.800000000000011</c:v>
                </c:pt>
                <c:pt idx="58">
                  <c:v>-28.5</c:v>
                </c:pt>
                <c:pt idx="59">
                  <c:v>-44.899999999999977</c:v>
                </c:pt>
                <c:pt idx="60">
                  <c:v>97.800000000000068</c:v>
                </c:pt>
                <c:pt idx="61">
                  <c:v>137.5</c:v>
                </c:pt>
                <c:pt idx="62">
                  <c:v>70.000000000000057</c:v>
                </c:pt>
                <c:pt idx="63">
                  <c:v>50.300000000000068</c:v>
                </c:pt>
                <c:pt idx="64">
                  <c:v>31.499999999999943</c:v>
                </c:pt>
                <c:pt idx="65">
                  <c:v>31.600000000000023</c:v>
                </c:pt>
                <c:pt idx="66">
                  <c:v>31.600000000000023</c:v>
                </c:pt>
                <c:pt idx="67">
                  <c:v>31.600000000000023</c:v>
                </c:pt>
                <c:pt idx="68">
                  <c:v>31.600000000000023</c:v>
                </c:pt>
                <c:pt idx="69">
                  <c:v>30.300000000000068</c:v>
                </c:pt>
                <c:pt idx="70">
                  <c:v>5.1999999999999886</c:v>
                </c:pt>
                <c:pt idx="71">
                  <c:v>-37.5</c:v>
                </c:pt>
                <c:pt idx="72">
                  <c:v>-120</c:v>
                </c:pt>
                <c:pt idx="73">
                  <c:v>-62.5</c:v>
                </c:pt>
                <c:pt idx="74">
                  <c:v>-36.199999999999932</c:v>
                </c:pt>
                <c:pt idx="75">
                  <c:v>-50.400000000000034</c:v>
                </c:pt>
                <c:pt idx="76">
                  <c:v>-48.700000000000102</c:v>
                </c:pt>
                <c:pt idx="77">
                  <c:v>-50.100000000000023</c:v>
                </c:pt>
                <c:pt idx="78">
                  <c:v>-50.100000000000023</c:v>
                </c:pt>
                <c:pt idx="79">
                  <c:v>-50.100000000000023</c:v>
                </c:pt>
                <c:pt idx="80">
                  <c:v>-50.100000000000023</c:v>
                </c:pt>
                <c:pt idx="81">
                  <c:v>-49.800000000000068</c:v>
                </c:pt>
                <c:pt idx="82">
                  <c:v>-25.800000000000068</c:v>
                </c:pt>
                <c:pt idx="83">
                  <c:v>41.199999999999932</c:v>
                </c:pt>
                <c:pt idx="84">
                  <c:v>163.19999999999993</c:v>
                </c:pt>
                <c:pt idx="85">
                  <c:v>166.5</c:v>
                </c:pt>
                <c:pt idx="86">
                  <c:v>229.09999999999997</c:v>
                </c:pt>
                <c:pt idx="87">
                  <c:v>300.09999999999991</c:v>
                </c:pt>
                <c:pt idx="88">
                  <c:v>309.89999999999992</c:v>
                </c:pt>
                <c:pt idx="89">
                  <c:v>310.09999999999991</c:v>
                </c:pt>
                <c:pt idx="90">
                  <c:v>310.09999999999991</c:v>
                </c:pt>
                <c:pt idx="91">
                  <c:v>310.09999999999991</c:v>
                </c:pt>
                <c:pt idx="92">
                  <c:v>310.09999999999991</c:v>
                </c:pt>
                <c:pt idx="93">
                  <c:v>311.79999999999995</c:v>
                </c:pt>
                <c:pt idx="94">
                  <c:v>308.09999999999991</c:v>
                </c:pt>
                <c:pt idx="95">
                  <c:v>287.09999999999991</c:v>
                </c:pt>
                <c:pt idx="96">
                  <c:v>172.60000000000002</c:v>
                </c:pt>
                <c:pt idx="97">
                  <c:v>100.10000000000002</c:v>
                </c:pt>
                <c:pt idx="98">
                  <c:v>-15.89999999999992</c:v>
                </c:pt>
                <c:pt idx="99">
                  <c:v>-93.600000000000023</c:v>
                </c:pt>
                <c:pt idx="100">
                  <c:v>-95.000000000000057</c:v>
                </c:pt>
                <c:pt idx="101">
                  <c:v>-94.300000000000011</c:v>
                </c:pt>
                <c:pt idx="102">
                  <c:v>-94.300000000000011</c:v>
                </c:pt>
                <c:pt idx="103">
                  <c:v>-94.300000000000011</c:v>
                </c:pt>
                <c:pt idx="104">
                  <c:v>-94.300000000000011</c:v>
                </c:pt>
                <c:pt idx="105">
                  <c:v>-95.599999999999966</c:v>
                </c:pt>
                <c:pt idx="106">
                  <c:v>-88.89999999999992</c:v>
                </c:pt>
                <c:pt idx="107">
                  <c:v>-76.899999999999977</c:v>
                </c:pt>
                <c:pt idx="108">
                  <c:v>-71.100000000000023</c:v>
                </c:pt>
                <c:pt idx="109">
                  <c:v>-65.600000000000023</c:v>
                </c:pt>
                <c:pt idx="110">
                  <c:v>14.400000000000034</c:v>
                </c:pt>
                <c:pt idx="111">
                  <c:v>56.899999999999864</c:v>
                </c:pt>
                <c:pt idx="112">
                  <c:v>55.299999999999898</c:v>
                </c:pt>
                <c:pt idx="113">
                  <c:v>54.599999999999909</c:v>
                </c:pt>
                <c:pt idx="114">
                  <c:v>54.599999999999909</c:v>
                </c:pt>
                <c:pt idx="115">
                  <c:v>54.599999999999909</c:v>
                </c:pt>
                <c:pt idx="116">
                  <c:v>54.599999999999909</c:v>
                </c:pt>
                <c:pt idx="117">
                  <c:v>53.699999999999932</c:v>
                </c:pt>
                <c:pt idx="118">
                  <c:v>30.199999999999932</c:v>
                </c:pt>
                <c:pt idx="119">
                  <c:v>-35.899999999999977</c:v>
                </c:pt>
                <c:pt idx="120">
                  <c:v>-41.600000000000023</c:v>
                </c:pt>
                <c:pt idx="121">
                  <c:v>-103.39999999999998</c:v>
                </c:pt>
                <c:pt idx="122">
                  <c:v>-102.99999999999989</c:v>
                </c:pt>
                <c:pt idx="123">
                  <c:v>-117.40000000000003</c:v>
                </c:pt>
                <c:pt idx="124">
                  <c:v>-114.2000000000001</c:v>
                </c:pt>
                <c:pt idx="125">
                  <c:v>-113.30000000000001</c:v>
                </c:pt>
                <c:pt idx="126">
                  <c:v>-113.30000000000001</c:v>
                </c:pt>
                <c:pt idx="127">
                  <c:v>-113.30000000000001</c:v>
                </c:pt>
                <c:pt idx="128">
                  <c:v>-113.30000000000001</c:v>
                </c:pt>
                <c:pt idx="129">
                  <c:v>-112.80000000000007</c:v>
                </c:pt>
                <c:pt idx="130">
                  <c:v>-97.500000000000057</c:v>
                </c:pt>
                <c:pt idx="131">
                  <c:v>-59.199999999999989</c:v>
                </c:pt>
                <c:pt idx="132">
                  <c:v>-68.900000000000034</c:v>
                </c:pt>
                <c:pt idx="133">
                  <c:v>53.799999999999955</c:v>
                </c:pt>
                <c:pt idx="134">
                  <c:v>-0.19999999999993179</c:v>
                </c:pt>
                <c:pt idx="135">
                  <c:v>-17.599999999999966</c:v>
                </c:pt>
                <c:pt idx="136">
                  <c:v>-18.900000000000091</c:v>
                </c:pt>
                <c:pt idx="137">
                  <c:v>-19.800000000000011</c:v>
                </c:pt>
                <c:pt idx="138">
                  <c:v>-19.800000000000011</c:v>
                </c:pt>
                <c:pt idx="139">
                  <c:v>-19.800000000000011</c:v>
                </c:pt>
                <c:pt idx="140">
                  <c:v>-19.800000000000011</c:v>
                </c:pt>
                <c:pt idx="141">
                  <c:v>-13.800000000000068</c:v>
                </c:pt>
                <c:pt idx="142">
                  <c:v>-12.600000000000023</c:v>
                </c:pt>
                <c:pt idx="143">
                  <c:v>48.399999999999977</c:v>
                </c:pt>
                <c:pt idx="144">
                  <c:v>219.5</c:v>
                </c:pt>
                <c:pt idx="145">
                  <c:v>188.60000000000002</c:v>
                </c:pt>
                <c:pt idx="146">
                  <c:v>180.7000000000001</c:v>
                </c:pt>
                <c:pt idx="147">
                  <c:v>197.10000000000002</c:v>
                </c:pt>
                <c:pt idx="148">
                  <c:v>198.19999999999987</c:v>
                </c:pt>
                <c:pt idx="149">
                  <c:v>198.79999999999995</c:v>
                </c:pt>
                <c:pt idx="150">
                  <c:v>198.79999999999995</c:v>
                </c:pt>
                <c:pt idx="151">
                  <c:v>198.79999999999995</c:v>
                </c:pt>
                <c:pt idx="152">
                  <c:v>198.89999999999998</c:v>
                </c:pt>
                <c:pt idx="153">
                  <c:v>195.80000000000007</c:v>
                </c:pt>
                <c:pt idx="154">
                  <c:v>192.30000000000007</c:v>
                </c:pt>
                <c:pt idx="155">
                  <c:v>91.799999999999955</c:v>
                </c:pt>
                <c:pt idx="156">
                  <c:v>-10.999999999999886</c:v>
                </c:pt>
                <c:pt idx="157">
                  <c:v>-85.599999999999966</c:v>
                </c:pt>
                <c:pt idx="158">
                  <c:v>-21.499999999999943</c:v>
                </c:pt>
                <c:pt idx="159">
                  <c:v>-47.5</c:v>
                </c:pt>
                <c:pt idx="160">
                  <c:v>-60.60000000000008</c:v>
                </c:pt>
                <c:pt idx="161">
                  <c:v>-60.300000000000011</c:v>
                </c:pt>
                <c:pt idx="162">
                  <c:v>-60.300000000000011</c:v>
                </c:pt>
                <c:pt idx="163">
                  <c:v>-60.300000000000011</c:v>
                </c:pt>
                <c:pt idx="164">
                  <c:v>-60.400000000000034</c:v>
                </c:pt>
                <c:pt idx="165">
                  <c:v>-63.399999999999977</c:v>
                </c:pt>
                <c:pt idx="166">
                  <c:v>-67.199999999999989</c:v>
                </c:pt>
                <c:pt idx="167">
                  <c:v>39.5</c:v>
                </c:pt>
                <c:pt idx="168">
                  <c:v>79.400000000000091</c:v>
                </c:pt>
                <c:pt idx="169">
                  <c:v>211.5</c:v>
                </c:pt>
                <c:pt idx="170">
                  <c:v>143.00000000000006</c:v>
                </c:pt>
                <c:pt idx="171">
                  <c:v>157.60000000000002</c:v>
                </c:pt>
                <c:pt idx="172">
                  <c:v>162.89999999999992</c:v>
                </c:pt>
                <c:pt idx="173">
                  <c:v>161.70000000000005</c:v>
                </c:pt>
                <c:pt idx="174">
                  <c:v>161.70000000000005</c:v>
                </c:pt>
                <c:pt idx="175">
                  <c:v>161.70000000000005</c:v>
                </c:pt>
                <c:pt idx="176">
                  <c:v>161.70000000000005</c:v>
                </c:pt>
                <c:pt idx="177">
                  <c:v>161.89999999999998</c:v>
                </c:pt>
                <c:pt idx="178">
                  <c:v>150.90000000000009</c:v>
                </c:pt>
                <c:pt idx="179">
                  <c:v>128.10000000000014</c:v>
                </c:pt>
                <c:pt idx="180">
                  <c:v>71.700000000000045</c:v>
                </c:pt>
                <c:pt idx="181">
                  <c:v>0.80000000000001137</c:v>
                </c:pt>
                <c:pt idx="182">
                  <c:v>48.400000000000034</c:v>
                </c:pt>
                <c:pt idx="183">
                  <c:v>59.199999999999932</c:v>
                </c:pt>
                <c:pt idx="184">
                  <c:v>66.999999999999943</c:v>
                </c:pt>
                <c:pt idx="185">
                  <c:v>67.299999999999955</c:v>
                </c:pt>
                <c:pt idx="186">
                  <c:v>67.299999999999955</c:v>
                </c:pt>
                <c:pt idx="187">
                  <c:v>67.299999999999955</c:v>
                </c:pt>
                <c:pt idx="188">
                  <c:v>67.299999999999955</c:v>
                </c:pt>
                <c:pt idx="189">
                  <c:v>67.5</c:v>
                </c:pt>
                <c:pt idx="190">
                  <c:v>68.099999999999909</c:v>
                </c:pt>
                <c:pt idx="191">
                  <c:v>27.899999999999977</c:v>
                </c:pt>
                <c:pt idx="192">
                  <c:v>7.3999999999999773</c:v>
                </c:pt>
                <c:pt idx="193">
                  <c:v>1.2999999999999545</c:v>
                </c:pt>
                <c:pt idx="194">
                  <c:v>7.0000000000001137</c:v>
                </c:pt>
                <c:pt idx="195">
                  <c:v>10.699999999999989</c:v>
                </c:pt>
                <c:pt idx="196">
                  <c:v>15.099999999999966</c:v>
                </c:pt>
                <c:pt idx="197">
                  <c:v>15.600000000000023</c:v>
                </c:pt>
                <c:pt idx="198">
                  <c:v>15.600000000000023</c:v>
                </c:pt>
                <c:pt idx="199">
                  <c:v>15.600000000000023</c:v>
                </c:pt>
                <c:pt idx="200">
                  <c:v>15.600000000000023</c:v>
                </c:pt>
                <c:pt idx="201">
                  <c:v>15.399999999999977</c:v>
                </c:pt>
                <c:pt idx="202">
                  <c:v>30.200000000000045</c:v>
                </c:pt>
                <c:pt idx="203">
                  <c:v>39.700000000000045</c:v>
                </c:pt>
                <c:pt idx="204">
                  <c:v>42.899999999999977</c:v>
                </c:pt>
                <c:pt idx="205">
                  <c:v>27.100000000000023</c:v>
                </c:pt>
                <c:pt idx="206">
                  <c:v>14.700000000000102</c:v>
                </c:pt>
                <c:pt idx="207">
                  <c:v>7.0999999999999091</c:v>
                </c:pt>
                <c:pt idx="208">
                  <c:v>-7.3000000000001251</c:v>
                </c:pt>
                <c:pt idx="209">
                  <c:v>-7.0000000000000568</c:v>
                </c:pt>
                <c:pt idx="210">
                  <c:v>-7.0000000000000568</c:v>
                </c:pt>
                <c:pt idx="211">
                  <c:v>-7.0000000000000568</c:v>
                </c:pt>
                <c:pt idx="212">
                  <c:v>-7.0000000000000568</c:v>
                </c:pt>
                <c:pt idx="213">
                  <c:v>-5.3000000000000114</c:v>
                </c:pt>
                <c:pt idx="214">
                  <c:v>3.3999999999999773</c:v>
                </c:pt>
                <c:pt idx="215">
                  <c:v>9.1999999999999886</c:v>
                </c:pt>
                <c:pt idx="216">
                  <c:v>-84.699999999999989</c:v>
                </c:pt>
                <c:pt idx="217">
                  <c:v>-56.799999999999955</c:v>
                </c:pt>
                <c:pt idx="218">
                  <c:v>-36.699999999999989</c:v>
                </c:pt>
                <c:pt idx="219">
                  <c:v>-41.300000000000011</c:v>
                </c:pt>
                <c:pt idx="220">
                  <c:v>-33.400000000000091</c:v>
                </c:pt>
                <c:pt idx="221">
                  <c:v>-33.600000000000023</c:v>
                </c:pt>
                <c:pt idx="222">
                  <c:v>-33.600000000000023</c:v>
                </c:pt>
                <c:pt idx="223">
                  <c:v>-33.600000000000023</c:v>
                </c:pt>
                <c:pt idx="224">
                  <c:v>-33.600000000000023</c:v>
                </c:pt>
                <c:pt idx="225">
                  <c:v>-35.800000000000011</c:v>
                </c:pt>
                <c:pt idx="226">
                  <c:v>-45.600000000000023</c:v>
                </c:pt>
                <c:pt idx="227">
                  <c:v>-74.299999999999955</c:v>
                </c:pt>
                <c:pt idx="228">
                  <c:v>-28.299999999999955</c:v>
                </c:pt>
                <c:pt idx="229">
                  <c:v>-80.499999999999943</c:v>
                </c:pt>
                <c:pt idx="230">
                  <c:v>-113.59999999999997</c:v>
                </c:pt>
                <c:pt idx="231">
                  <c:v>-108.29999999999995</c:v>
                </c:pt>
                <c:pt idx="232">
                  <c:v>-105.80000000000001</c:v>
                </c:pt>
                <c:pt idx="233">
                  <c:v>-105.89999999999998</c:v>
                </c:pt>
                <c:pt idx="234">
                  <c:v>-105.89999999999998</c:v>
                </c:pt>
                <c:pt idx="235">
                  <c:v>-105.89999999999998</c:v>
                </c:pt>
                <c:pt idx="236">
                  <c:v>-105.89999999999998</c:v>
                </c:pt>
                <c:pt idx="237">
                  <c:v>-105.00000000000006</c:v>
                </c:pt>
                <c:pt idx="238">
                  <c:v>-88.500000000000057</c:v>
                </c:pt>
                <c:pt idx="239">
                  <c:v>-20.800000000000068</c:v>
                </c:pt>
                <c:pt idx="240">
                  <c:v>-30</c:v>
                </c:pt>
                <c:pt idx="241">
                  <c:v>67.800000000000068</c:v>
                </c:pt>
                <c:pt idx="242">
                  <c:v>111.60000000000008</c:v>
                </c:pt>
                <c:pt idx="243">
                  <c:v>97.500000000000114</c:v>
                </c:pt>
                <c:pt idx="244">
                  <c:v>91.199999999999989</c:v>
                </c:pt>
                <c:pt idx="245">
                  <c:v>90.600000000000023</c:v>
                </c:pt>
                <c:pt idx="246">
                  <c:v>90.600000000000023</c:v>
                </c:pt>
                <c:pt idx="247">
                  <c:v>90.600000000000023</c:v>
                </c:pt>
                <c:pt idx="248">
                  <c:v>90.600000000000023</c:v>
                </c:pt>
                <c:pt idx="249">
                  <c:v>92</c:v>
                </c:pt>
                <c:pt idx="250">
                  <c:v>69.100000000000023</c:v>
                </c:pt>
                <c:pt idx="251">
                  <c:v>3.3000000000000682</c:v>
                </c:pt>
                <c:pt idx="252">
                  <c:v>169.20000000000005</c:v>
                </c:pt>
                <c:pt idx="253">
                  <c:v>192.20000000000005</c:v>
                </c:pt>
                <c:pt idx="254">
                  <c:v>309.40000000000003</c:v>
                </c:pt>
                <c:pt idx="255">
                  <c:v>345.6</c:v>
                </c:pt>
                <c:pt idx="256">
                  <c:v>342.59999999999997</c:v>
                </c:pt>
                <c:pt idx="257">
                  <c:v>342.50000000000011</c:v>
                </c:pt>
                <c:pt idx="258">
                  <c:v>342.50000000000011</c:v>
                </c:pt>
                <c:pt idx="259">
                  <c:v>342.50000000000011</c:v>
                </c:pt>
                <c:pt idx="260">
                  <c:v>342.50000000000011</c:v>
                </c:pt>
                <c:pt idx="261">
                  <c:v>341.80000000000007</c:v>
                </c:pt>
                <c:pt idx="262">
                  <c:v>347.70000000000005</c:v>
                </c:pt>
                <c:pt idx="263">
                  <c:v>418</c:v>
                </c:pt>
                <c:pt idx="264">
                  <c:v>431.39999999999986</c:v>
                </c:pt>
                <c:pt idx="265">
                  <c:v>377</c:v>
                </c:pt>
                <c:pt idx="266">
                  <c:v>208.3</c:v>
                </c:pt>
                <c:pt idx="267">
                  <c:v>171</c:v>
                </c:pt>
                <c:pt idx="268">
                  <c:v>169.99999999999994</c:v>
                </c:pt>
                <c:pt idx="269">
                  <c:v>171.29999999999995</c:v>
                </c:pt>
                <c:pt idx="270">
                  <c:v>171.39999999999998</c:v>
                </c:pt>
                <c:pt idx="271">
                  <c:v>171.39999999999998</c:v>
                </c:pt>
                <c:pt idx="272">
                  <c:v>171.5</c:v>
                </c:pt>
                <c:pt idx="273">
                  <c:v>171.60000000000014</c:v>
                </c:pt>
                <c:pt idx="274">
                  <c:v>171.40000000000009</c:v>
                </c:pt>
                <c:pt idx="275">
                  <c:v>90.300000000000068</c:v>
                </c:pt>
                <c:pt idx="276">
                  <c:v>-76.799999999999955</c:v>
                </c:pt>
                <c:pt idx="277">
                  <c:v>-150.5</c:v>
                </c:pt>
                <c:pt idx="278">
                  <c:v>-167.99999999999994</c:v>
                </c:pt>
                <c:pt idx="279">
                  <c:v>-184.70000000000005</c:v>
                </c:pt>
                <c:pt idx="280">
                  <c:v>-182.00000000000006</c:v>
                </c:pt>
                <c:pt idx="281">
                  <c:v>-183.2</c:v>
                </c:pt>
                <c:pt idx="282">
                  <c:v>-183.3</c:v>
                </c:pt>
                <c:pt idx="283">
                  <c:v>-183.3</c:v>
                </c:pt>
                <c:pt idx="284">
                  <c:v>-183.39999999999998</c:v>
                </c:pt>
                <c:pt idx="285">
                  <c:v>-185.2</c:v>
                </c:pt>
                <c:pt idx="286">
                  <c:v>-185.2</c:v>
                </c:pt>
                <c:pt idx="287">
                  <c:v>-172.89999999999998</c:v>
                </c:pt>
                <c:pt idx="288">
                  <c:v>-186.7</c:v>
                </c:pt>
              </c:numCache>
            </c:numRef>
          </c:val>
        </c:ser>
        <c:marker val="1"/>
        <c:axId val="65226624"/>
        <c:axId val="65228160"/>
      </c:lineChart>
      <c:dateAx>
        <c:axId val="65226624"/>
        <c:scaling>
          <c:orientation val="minMax"/>
        </c:scaling>
        <c:axPos val="b"/>
        <c:numFmt formatCode="[$-409]mmm\-yy;@" sourceLinked="1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65228160"/>
        <c:crosses val="autoZero"/>
        <c:auto val="1"/>
        <c:lblOffset val="100"/>
        <c:baseTimeUnit val="months"/>
      </c:dateAx>
      <c:valAx>
        <c:axId val="6522816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12 mo sum  - Diff from Normal</a:t>
                </a:r>
              </a:p>
            </c:rich>
          </c:tx>
        </c:title>
        <c:numFmt formatCode="General_)" sourceLinked="1"/>
        <c:tickLblPos val="nextTo"/>
        <c:crossAx val="65226624"/>
        <c:crosses val="autoZero"/>
        <c:crossBetween val="between"/>
      </c:valAx>
    </c:plotArea>
    <c:plotVisOnly val="1"/>
    <c:dispBlanksAs val="gap"/>
  </c:chart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/>
            </a:pPr>
            <a:r>
              <a:rPr lang="en-US"/>
              <a:t>DEF RESID</a:t>
            </a:r>
            <a:r>
              <a:rPr lang="en-US" baseline="0"/>
              <a:t> KWH PER CUSTOMER</a:t>
            </a:r>
            <a:endParaRPr lang="en-US"/>
          </a:p>
        </c:rich>
      </c:tx>
      <c:overlay val="1"/>
    </c:title>
    <c:plotArea>
      <c:layout>
        <c:manualLayout>
          <c:layoutTarget val="inner"/>
          <c:xMode val="edge"/>
          <c:yMode val="edge"/>
          <c:x val="0.1068906176706972"/>
          <c:y val="0.10648175470154991"/>
          <c:w val="0.86654132347791335"/>
          <c:h val="0.73546577820847614"/>
        </c:manualLayout>
      </c:layout>
      <c:lineChart>
        <c:grouping val="standard"/>
        <c:ser>
          <c:idx val="0"/>
          <c:order val="0"/>
          <c:tx>
            <c:v>Wn History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Sheet1!$AN$4:$AN$27</c:f>
              <c:numCache>
                <c:formatCode>General_)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Sheet1!$AO$4:$AO$27</c:f>
              <c:numCache>
                <c:formatCode>_(* #,##0_);_(* \(#,##0\);_(* "-"??_);_(@_)</c:formatCode>
                <c:ptCount val="24"/>
                <c:pt idx="0">
                  <c:v>13770.940799648242</c:v>
                </c:pt>
                <c:pt idx="1">
                  <c:v>13858.566861339908</c:v>
                </c:pt>
                <c:pt idx="2">
                  <c:v>13985.71409143908</c:v>
                </c:pt>
                <c:pt idx="3">
                  <c:v>14222.242570142203</c:v>
                </c:pt>
                <c:pt idx="4">
                  <c:v>14238.422795413562</c:v>
                </c:pt>
                <c:pt idx="5">
                  <c:v>14111.609342405032</c:v>
                </c:pt>
                <c:pt idx="6">
                  <c:v>14043.734535937456</c:v>
                </c:pt>
                <c:pt idx="7">
                  <c:v>13941.214823849066</c:v>
                </c:pt>
                <c:pt idx="8">
                  <c:v>13483.028178346038</c:v>
                </c:pt>
                <c:pt idx="9">
                  <c:v>13144.313067163343</c:v>
                </c:pt>
                <c:pt idx="10">
                  <c:v>12633.124758248136</c:v>
                </c:pt>
                <c:pt idx="11">
                  <c:v>12775.721637534351</c:v>
                </c:pt>
                <c:pt idx="12">
                  <c:v>12732.361238754545</c:v>
                </c:pt>
                <c:pt idx="13">
                  <c:v>12399.295370991944</c:v>
                </c:pt>
              </c:numCache>
            </c:numRef>
          </c:val>
        </c:ser>
        <c:ser>
          <c:idx val="1"/>
          <c:order val="1"/>
          <c:tx>
            <c:v>TYSP 2014</c:v>
          </c:tx>
          <c:marker>
            <c:symbol val="none"/>
          </c:marker>
          <c:cat>
            <c:numRef>
              <c:f>Sheet1!$AN$4:$AN$27</c:f>
              <c:numCache>
                <c:formatCode>General_)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Sheet1!$AP$4:$AP$27</c:f>
              <c:numCache>
                <c:formatCode>General_)</c:formatCode>
                <c:ptCount val="24"/>
                <c:pt idx="13" formatCode="_(* #,##0_);_(* \(#,##0\);_(* &quot;-&quot;??_);_(@_)">
                  <c:v>12353.944439190114</c:v>
                </c:pt>
                <c:pt idx="14" formatCode="_(* #,##0_);_(* \(#,##0\);_(* &quot;-&quot;??_);_(@_)">
                  <c:v>12405.077874545843</c:v>
                </c:pt>
                <c:pt idx="15" formatCode="_(* #,##0_);_(* \(#,##0\);_(* &quot;-&quot;??_);_(@_)">
                  <c:v>12387.584850182391</c:v>
                </c:pt>
                <c:pt idx="16" formatCode="_(* #,##0_);_(* \(#,##0\);_(* &quot;-&quot;??_);_(@_)">
                  <c:v>12416.42798876099</c:v>
                </c:pt>
                <c:pt idx="17" formatCode="_(* #,##0_);_(* \(#,##0\);_(* &quot;-&quot;??_);_(@_)">
                  <c:v>12428.676810001198</c:v>
                </c:pt>
                <c:pt idx="18" formatCode="_(* #,##0_);_(* \(#,##0\);_(* &quot;-&quot;??_);_(@_)">
                  <c:v>12463.444276589807</c:v>
                </c:pt>
                <c:pt idx="19" formatCode="_(* #,##0_);_(* \(#,##0\);_(* &quot;-&quot;??_);_(@_)">
                  <c:v>12453.139298707676</c:v>
                </c:pt>
                <c:pt idx="20" formatCode="_(* #,##0_);_(* \(#,##0\);_(* &quot;-&quot;??_);_(@_)">
                  <c:v>12454.542394684164</c:v>
                </c:pt>
                <c:pt idx="21" formatCode="_(* #,##0_);_(* \(#,##0\);_(* &quot;-&quot;??_);_(@_)">
                  <c:v>12453.585927909729</c:v>
                </c:pt>
                <c:pt idx="22" formatCode="_(* #,##0_);_(* \(#,##0\);_(* &quot;-&quot;??_);_(@_)">
                  <c:v>12485.797146111154</c:v>
                </c:pt>
                <c:pt idx="23" formatCode="_(* #,##0_);_(* \(#,##0\);_(* &quot;-&quot;??_);_(@_)">
                  <c:v>12520.15452689869</c:v>
                </c:pt>
              </c:numCache>
            </c:numRef>
          </c:val>
        </c:ser>
        <c:ser>
          <c:idx val="2"/>
          <c:order val="2"/>
          <c:tx>
            <c:v>TYSP 2013</c:v>
          </c:tx>
          <c:marker>
            <c:symbol val="none"/>
          </c:marker>
          <c:cat>
            <c:numRef>
              <c:f>Sheet1!$AN$4:$AN$27</c:f>
              <c:numCache>
                <c:formatCode>General_)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Sheet1!$AQ$4:$AQ$27</c:f>
              <c:numCache>
                <c:formatCode>General_)</c:formatCode>
                <c:ptCount val="24"/>
                <c:pt idx="13" formatCode="_(* #,##0_);_(* \(#,##0\);_(* &quot;-&quot;??_);_(@_)">
                  <c:v>12815.580668754978</c:v>
                </c:pt>
                <c:pt idx="14" formatCode="_(* #,##0_);_(* \(#,##0\);_(* &quot;-&quot;??_);_(@_)">
                  <c:v>12937.579130328109</c:v>
                </c:pt>
                <c:pt idx="15" formatCode="_(* #,##0_);_(* \(#,##0\);_(* &quot;-&quot;??_);_(@_)">
                  <c:v>13048.269709595321</c:v>
                </c:pt>
                <c:pt idx="16" formatCode="_(* #,##0_);_(* \(#,##0\);_(* &quot;-&quot;??_);_(@_)">
                  <c:v>13122.044677184829</c:v>
                </c:pt>
                <c:pt idx="17" formatCode="_(* #,##0_);_(* \(#,##0\);_(* &quot;-&quot;??_);_(@_)">
                  <c:v>13189.388190452888</c:v>
                </c:pt>
                <c:pt idx="18" formatCode="_(* #,##0_);_(* \(#,##0\);_(* &quot;-&quot;??_);_(@_)">
                  <c:v>13246.947184104081</c:v>
                </c:pt>
                <c:pt idx="19" formatCode="_(* #,##0_);_(* \(#,##0\);_(* &quot;-&quot;??_);_(@_)">
                  <c:v>13301.425464221813</c:v>
                </c:pt>
                <c:pt idx="20" formatCode="_(* #,##0_);_(* \(#,##0\);_(* &quot;-&quot;??_);_(@_)">
                  <c:v>13344.987732905727</c:v>
                </c:pt>
                <c:pt idx="21" formatCode="_(* #,##0_);_(* \(#,##0\);_(* &quot;-&quot;??_);_(@_)">
                  <c:v>13395.41969602782</c:v>
                </c:pt>
                <c:pt idx="22" formatCode="_(* #,##0_);_(* \(#,##0\);_(* &quot;-&quot;??_);_(@_)">
                  <c:v>13453.722823865595</c:v>
                </c:pt>
                <c:pt idx="23" formatCode="_(* #,##0_);_(* \(#,##0\);_(* &quot;-&quot;??_);_(@_)">
                  <c:v>13519.086637366747</c:v>
                </c:pt>
              </c:numCache>
            </c:numRef>
          </c:val>
        </c:ser>
        <c:marker val="1"/>
        <c:axId val="65255296"/>
        <c:axId val="65256832"/>
      </c:lineChart>
      <c:catAx>
        <c:axId val="65255296"/>
        <c:scaling>
          <c:orientation val="minMax"/>
        </c:scaling>
        <c:axPos val="b"/>
        <c:numFmt formatCode="General_)" sourceLinked="1"/>
        <c:tickLblPos val="nextTo"/>
        <c:crossAx val="65256832"/>
        <c:crosses val="autoZero"/>
        <c:auto val="1"/>
        <c:lblAlgn val="ctr"/>
        <c:lblOffset val="100"/>
        <c:tickLblSkip val="2"/>
        <c:tickMarkSkip val="2"/>
      </c:catAx>
      <c:valAx>
        <c:axId val="65256832"/>
        <c:scaling>
          <c:orientation val="minMax"/>
        </c:scaling>
        <c:axPos val="l"/>
        <c:majorGridlines/>
        <c:numFmt formatCode="_(* #,##0_);_(* \(#,##0\);_(* &quot;-&quot;??_);_(@_)" sourceLinked="1"/>
        <c:tickLblPos val="nextTo"/>
        <c:crossAx val="65255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5143314504464626"/>
          <c:y val="0.76812897705815475"/>
          <c:w val="0.5371004008382867"/>
          <c:h val="5.8167788004041467E-2"/>
        </c:manualLayout>
      </c:layout>
    </c:legend>
    <c:plotVisOnly val="1"/>
    <c:dispBlanksAs val="gap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Retail MWH Growth</a:t>
            </a:r>
          </a:p>
        </c:rich>
      </c:tx>
    </c:title>
    <c:plotArea>
      <c:layout>
        <c:manualLayout>
          <c:layoutTarget val="inner"/>
          <c:xMode val="edge"/>
          <c:yMode val="edge"/>
          <c:x val="5.9255499690716813E-2"/>
          <c:y val="0.14840348660121253"/>
          <c:w val="0.92395861419954006"/>
          <c:h val="0.66568860373934902"/>
        </c:manualLayout>
      </c:layout>
      <c:barChart>
        <c:barDir val="col"/>
        <c:grouping val="clustered"/>
        <c:ser>
          <c:idx val="0"/>
          <c:order val="0"/>
          <c:tx>
            <c:v>Wn Actual %</c:v>
          </c:tx>
          <c:cat>
            <c:numRef>
              <c:f>'Tot Retail'!$AL$16:$AL$42</c:f>
              <c:numCache>
                <c:formatCode>General_)</c:formatCod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numCache>
            </c:numRef>
          </c:cat>
          <c:val>
            <c:numRef>
              <c:f>'Tot Retail'!$AQ$16:$AQ$36</c:f>
              <c:numCache>
                <c:formatCode>0.0%</c:formatCode>
                <c:ptCount val="21"/>
                <c:pt idx="0">
                  <c:v>4.7114491008874548E-2</c:v>
                </c:pt>
                <c:pt idx="1">
                  <c:v>4.2101892643348737E-2</c:v>
                </c:pt>
                <c:pt idx="2">
                  <c:v>2.8160122227228301E-2</c:v>
                </c:pt>
                <c:pt idx="3">
                  <c:v>5.3189832567246409E-2</c:v>
                </c:pt>
                <c:pt idx="4">
                  <c:v>3.0377922595081097E-2</c:v>
                </c:pt>
                <c:pt idx="5">
                  <c:v>3.8435899905844062E-2</c:v>
                </c:pt>
                <c:pt idx="6">
                  <c:v>3.867621740491578E-2</c:v>
                </c:pt>
                <c:pt idx="7">
                  <c:v>3.1493245287860017E-2</c:v>
                </c:pt>
                <c:pt idx="8">
                  <c:v>3.8556019420638465E-2</c:v>
                </c:pt>
                <c:pt idx="9">
                  <c:v>1.352637326679873E-2</c:v>
                </c:pt>
                <c:pt idx="10">
                  <c:v>2.1852747598437805E-2</c:v>
                </c:pt>
                <c:pt idx="11">
                  <c:v>3.7609883883658268E-2</c:v>
                </c:pt>
                <c:pt idx="12">
                  <c:v>2.7372424270666773E-2</c:v>
                </c:pt>
                <c:pt idx="13">
                  <c:v>1.1040367539516538E-2</c:v>
                </c:pt>
                <c:pt idx="14">
                  <c:v>1.3668297694675813E-2</c:v>
                </c:pt>
                <c:pt idx="15">
                  <c:v>6.8178198194357442E-4</c:v>
                </c:pt>
                <c:pt idx="16">
                  <c:v>-1.6480299391391728E-2</c:v>
                </c:pt>
                <c:pt idx="17">
                  <c:v>-4.1559242783387962E-2</c:v>
                </c:pt>
                <c:pt idx="18">
                  <c:v>-2.0122072903342114E-2</c:v>
                </c:pt>
                <c:pt idx="19">
                  <c:v>9.0627394567022179E-3</c:v>
                </c:pt>
                <c:pt idx="20">
                  <c:v>-2.6457403371181742E-3</c:v>
                </c:pt>
              </c:numCache>
            </c:numRef>
          </c:val>
        </c:ser>
        <c:ser>
          <c:idx val="1"/>
          <c:order val="1"/>
          <c:tx>
            <c:v>Jun'13 FOF</c:v>
          </c:tx>
          <c:val>
            <c:numRef>
              <c:f>'Tot Retail'!$AO$16:$AO$42</c:f>
              <c:numCache>
                <c:formatCode>General_)</c:formatCode>
                <c:ptCount val="27"/>
                <c:pt idx="22" formatCode="0.0%">
                  <c:v>9.7045079763542486E-3</c:v>
                </c:pt>
                <c:pt idx="23" formatCode="0.0%">
                  <c:v>2.3813417343155896E-2</c:v>
                </c:pt>
                <c:pt idx="24" formatCode="0.0%">
                  <c:v>2.0882851854779227E-2</c:v>
                </c:pt>
                <c:pt idx="25" formatCode="0.0%">
                  <c:v>1.5573012603700365E-2</c:v>
                </c:pt>
                <c:pt idx="26" formatCode="0.0%">
                  <c:v>1.4717082888072275E-2</c:v>
                </c:pt>
              </c:numCache>
            </c:numRef>
          </c:val>
        </c:ser>
        <c:overlap val="80"/>
        <c:axId val="229672832"/>
        <c:axId val="229674368"/>
      </c:barChart>
      <c:catAx>
        <c:axId val="229672832"/>
        <c:scaling>
          <c:orientation val="minMax"/>
        </c:scaling>
        <c:axPos val="b"/>
        <c:numFmt formatCode="General_)" sourceLinked="1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229674368"/>
        <c:crosses val="autoZero"/>
        <c:auto val="1"/>
        <c:lblAlgn val="ctr"/>
        <c:lblOffset val="100"/>
      </c:catAx>
      <c:valAx>
        <c:axId val="229674368"/>
        <c:scaling>
          <c:orientation val="minMax"/>
        </c:scaling>
        <c:axPos val="l"/>
        <c:majorGridlines/>
        <c:numFmt formatCode="0.0%" sourceLinked="0"/>
        <c:tickLblPos val="nextTo"/>
        <c:crossAx val="229672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531122246082894"/>
          <c:y val="0.74622909173390362"/>
          <c:w val="0.32394152549113175"/>
          <c:h val="5.9532225138524582E-2"/>
        </c:manualLayout>
      </c:layout>
    </c:legend>
    <c:plotVisOnly val="1"/>
    <c:dispBlanksAs val="gap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All Industrial Accounts
MWh - Actual Billing Month</a:t>
            </a:r>
          </a:p>
        </c:rich>
      </c:tx>
      <c:layout>
        <c:manualLayout>
          <c:xMode val="edge"/>
          <c:yMode val="edge"/>
          <c:x val="0.38807947019870215"/>
          <c:y val="3.48101265822784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2506052455046E-2"/>
          <c:y val="0.19936739666886599"/>
          <c:w val="0.87584460906483474"/>
          <c:h val="0.63291237037735237"/>
        </c:manualLayout>
      </c:layout>
      <c:lineChart>
        <c:grouping val="standard"/>
        <c:ser>
          <c:idx val="7"/>
          <c:order val="0"/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IND!$A$197:$A$377</c:f>
              <c:numCache>
                <c:formatCode>General_)</c:formatCode>
                <c:ptCount val="181"/>
                <c:pt idx="0">
                  <c:v>1999</c:v>
                </c:pt>
                <c:pt idx="1">
                  <c:v>1999</c:v>
                </c:pt>
                <c:pt idx="2">
                  <c:v>1999</c:v>
                </c:pt>
                <c:pt idx="3">
                  <c:v>1999</c:v>
                </c:pt>
                <c:pt idx="4">
                  <c:v>1999</c:v>
                </c:pt>
                <c:pt idx="5">
                  <c:v>1999</c:v>
                </c:pt>
                <c:pt idx="6">
                  <c:v>1999</c:v>
                </c:pt>
                <c:pt idx="7">
                  <c:v>1999</c:v>
                </c:pt>
                <c:pt idx="8">
                  <c:v>1999</c:v>
                </c:pt>
                <c:pt idx="9">
                  <c:v>1999</c:v>
                </c:pt>
                <c:pt idx="10">
                  <c:v>1999</c:v>
                </c:pt>
                <c:pt idx="11">
                  <c:v>1999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  <c:pt idx="21">
                  <c:v>2000</c:v>
                </c:pt>
                <c:pt idx="22">
                  <c:v>2000</c:v>
                </c:pt>
                <c:pt idx="23">
                  <c:v>2000</c:v>
                </c:pt>
                <c:pt idx="24">
                  <c:v>2001</c:v>
                </c:pt>
                <c:pt idx="25">
                  <c:v>2001</c:v>
                </c:pt>
                <c:pt idx="26">
                  <c:v>2001</c:v>
                </c:pt>
                <c:pt idx="27">
                  <c:v>2001</c:v>
                </c:pt>
                <c:pt idx="28">
                  <c:v>2001</c:v>
                </c:pt>
                <c:pt idx="29">
                  <c:v>2001</c:v>
                </c:pt>
                <c:pt idx="30">
                  <c:v>2001</c:v>
                </c:pt>
                <c:pt idx="31">
                  <c:v>2001</c:v>
                </c:pt>
                <c:pt idx="32">
                  <c:v>2001</c:v>
                </c:pt>
                <c:pt idx="33">
                  <c:v>2001</c:v>
                </c:pt>
                <c:pt idx="34">
                  <c:v>2001</c:v>
                </c:pt>
                <c:pt idx="35">
                  <c:v>2001</c:v>
                </c:pt>
                <c:pt idx="36">
                  <c:v>2002</c:v>
                </c:pt>
                <c:pt idx="37">
                  <c:v>2002</c:v>
                </c:pt>
                <c:pt idx="38">
                  <c:v>2002</c:v>
                </c:pt>
                <c:pt idx="39">
                  <c:v>2002</c:v>
                </c:pt>
                <c:pt idx="40">
                  <c:v>2002</c:v>
                </c:pt>
                <c:pt idx="41">
                  <c:v>2002</c:v>
                </c:pt>
                <c:pt idx="42">
                  <c:v>2002</c:v>
                </c:pt>
                <c:pt idx="43">
                  <c:v>2002</c:v>
                </c:pt>
                <c:pt idx="44">
                  <c:v>2002</c:v>
                </c:pt>
                <c:pt idx="45">
                  <c:v>2002</c:v>
                </c:pt>
                <c:pt idx="46">
                  <c:v>2002</c:v>
                </c:pt>
                <c:pt idx="47">
                  <c:v>2002</c:v>
                </c:pt>
                <c:pt idx="48">
                  <c:v>2003</c:v>
                </c:pt>
                <c:pt idx="49">
                  <c:v>2003</c:v>
                </c:pt>
                <c:pt idx="50">
                  <c:v>2003</c:v>
                </c:pt>
                <c:pt idx="51">
                  <c:v>2003</c:v>
                </c:pt>
                <c:pt idx="52">
                  <c:v>2003</c:v>
                </c:pt>
                <c:pt idx="53">
                  <c:v>2003</c:v>
                </c:pt>
                <c:pt idx="54">
                  <c:v>2003</c:v>
                </c:pt>
                <c:pt idx="55">
                  <c:v>2003</c:v>
                </c:pt>
                <c:pt idx="56">
                  <c:v>2003</c:v>
                </c:pt>
                <c:pt idx="57">
                  <c:v>2003</c:v>
                </c:pt>
                <c:pt idx="58">
                  <c:v>2003</c:v>
                </c:pt>
                <c:pt idx="59">
                  <c:v>2003</c:v>
                </c:pt>
                <c:pt idx="60">
                  <c:v>2004</c:v>
                </c:pt>
                <c:pt idx="61">
                  <c:v>2004</c:v>
                </c:pt>
                <c:pt idx="62">
                  <c:v>2004</c:v>
                </c:pt>
                <c:pt idx="63">
                  <c:v>2004</c:v>
                </c:pt>
                <c:pt idx="64">
                  <c:v>2004</c:v>
                </c:pt>
                <c:pt idx="65">
                  <c:v>2004</c:v>
                </c:pt>
                <c:pt idx="66">
                  <c:v>2004</c:v>
                </c:pt>
                <c:pt idx="67">
                  <c:v>2004</c:v>
                </c:pt>
                <c:pt idx="68">
                  <c:v>2004</c:v>
                </c:pt>
                <c:pt idx="69">
                  <c:v>2004</c:v>
                </c:pt>
                <c:pt idx="70">
                  <c:v>2004</c:v>
                </c:pt>
                <c:pt idx="71">
                  <c:v>2004</c:v>
                </c:pt>
                <c:pt idx="72">
                  <c:v>2005</c:v>
                </c:pt>
                <c:pt idx="73">
                  <c:v>2005</c:v>
                </c:pt>
                <c:pt idx="74">
                  <c:v>2005</c:v>
                </c:pt>
                <c:pt idx="75">
                  <c:v>2005</c:v>
                </c:pt>
                <c:pt idx="76">
                  <c:v>2005</c:v>
                </c:pt>
                <c:pt idx="77">
                  <c:v>2005</c:v>
                </c:pt>
                <c:pt idx="78">
                  <c:v>2005</c:v>
                </c:pt>
                <c:pt idx="79">
                  <c:v>2005</c:v>
                </c:pt>
                <c:pt idx="80">
                  <c:v>2005</c:v>
                </c:pt>
                <c:pt idx="81">
                  <c:v>2005</c:v>
                </c:pt>
                <c:pt idx="82">
                  <c:v>2005</c:v>
                </c:pt>
                <c:pt idx="83">
                  <c:v>2005</c:v>
                </c:pt>
                <c:pt idx="84">
                  <c:v>2006</c:v>
                </c:pt>
                <c:pt idx="85">
                  <c:v>2006</c:v>
                </c:pt>
                <c:pt idx="86">
                  <c:v>2006</c:v>
                </c:pt>
                <c:pt idx="87">
                  <c:v>2006</c:v>
                </c:pt>
                <c:pt idx="88">
                  <c:v>2006</c:v>
                </c:pt>
                <c:pt idx="89">
                  <c:v>2006</c:v>
                </c:pt>
                <c:pt idx="90">
                  <c:v>2006</c:v>
                </c:pt>
                <c:pt idx="91">
                  <c:v>2006</c:v>
                </c:pt>
                <c:pt idx="92">
                  <c:v>2006</c:v>
                </c:pt>
                <c:pt idx="93">
                  <c:v>2006</c:v>
                </c:pt>
                <c:pt idx="94">
                  <c:v>2006</c:v>
                </c:pt>
                <c:pt idx="95">
                  <c:v>2006</c:v>
                </c:pt>
                <c:pt idx="96">
                  <c:v>2007</c:v>
                </c:pt>
                <c:pt idx="97">
                  <c:v>2007</c:v>
                </c:pt>
                <c:pt idx="98">
                  <c:v>2007</c:v>
                </c:pt>
                <c:pt idx="99">
                  <c:v>2007</c:v>
                </c:pt>
                <c:pt idx="100">
                  <c:v>2007</c:v>
                </c:pt>
                <c:pt idx="101">
                  <c:v>2007</c:v>
                </c:pt>
                <c:pt idx="102">
                  <c:v>2007</c:v>
                </c:pt>
                <c:pt idx="103">
                  <c:v>2007</c:v>
                </c:pt>
                <c:pt idx="104">
                  <c:v>2007</c:v>
                </c:pt>
                <c:pt idx="105">
                  <c:v>2007</c:v>
                </c:pt>
                <c:pt idx="106">
                  <c:v>2007</c:v>
                </c:pt>
                <c:pt idx="107">
                  <c:v>2007</c:v>
                </c:pt>
                <c:pt idx="108">
                  <c:v>2008</c:v>
                </c:pt>
                <c:pt idx="109">
                  <c:v>2008</c:v>
                </c:pt>
                <c:pt idx="110">
                  <c:v>2008</c:v>
                </c:pt>
                <c:pt idx="111">
                  <c:v>2008</c:v>
                </c:pt>
                <c:pt idx="112">
                  <c:v>2008</c:v>
                </c:pt>
                <c:pt idx="113">
                  <c:v>2008</c:v>
                </c:pt>
                <c:pt idx="114">
                  <c:v>2008</c:v>
                </c:pt>
                <c:pt idx="115">
                  <c:v>2008</c:v>
                </c:pt>
                <c:pt idx="116">
                  <c:v>2008</c:v>
                </c:pt>
                <c:pt idx="117">
                  <c:v>2008</c:v>
                </c:pt>
                <c:pt idx="118">
                  <c:v>2008</c:v>
                </c:pt>
                <c:pt idx="119">
                  <c:v>2008</c:v>
                </c:pt>
                <c:pt idx="120">
                  <c:v>2009</c:v>
                </c:pt>
                <c:pt idx="121">
                  <c:v>2009</c:v>
                </c:pt>
                <c:pt idx="122">
                  <c:v>2009</c:v>
                </c:pt>
                <c:pt idx="123">
                  <c:v>2009</c:v>
                </c:pt>
                <c:pt idx="124">
                  <c:v>2009</c:v>
                </c:pt>
                <c:pt idx="125">
                  <c:v>2009</c:v>
                </c:pt>
                <c:pt idx="126">
                  <c:v>2009</c:v>
                </c:pt>
                <c:pt idx="127">
                  <c:v>2009</c:v>
                </c:pt>
                <c:pt idx="128">
                  <c:v>2009</c:v>
                </c:pt>
                <c:pt idx="129">
                  <c:v>2009</c:v>
                </c:pt>
                <c:pt idx="130">
                  <c:v>2009</c:v>
                </c:pt>
                <c:pt idx="131">
                  <c:v>2009</c:v>
                </c:pt>
                <c:pt idx="132">
                  <c:v>2010</c:v>
                </c:pt>
                <c:pt idx="133">
                  <c:v>2010</c:v>
                </c:pt>
                <c:pt idx="134">
                  <c:v>2010</c:v>
                </c:pt>
                <c:pt idx="135">
                  <c:v>2010</c:v>
                </c:pt>
                <c:pt idx="136">
                  <c:v>2010</c:v>
                </c:pt>
                <c:pt idx="137">
                  <c:v>2010</c:v>
                </c:pt>
                <c:pt idx="138">
                  <c:v>2010</c:v>
                </c:pt>
                <c:pt idx="139">
                  <c:v>2010</c:v>
                </c:pt>
                <c:pt idx="140">
                  <c:v>2010</c:v>
                </c:pt>
                <c:pt idx="141">
                  <c:v>2010</c:v>
                </c:pt>
                <c:pt idx="142">
                  <c:v>2010</c:v>
                </c:pt>
                <c:pt idx="143">
                  <c:v>2010</c:v>
                </c:pt>
                <c:pt idx="144">
                  <c:v>2011</c:v>
                </c:pt>
                <c:pt idx="145">
                  <c:v>2011</c:v>
                </c:pt>
                <c:pt idx="146">
                  <c:v>2011</c:v>
                </c:pt>
                <c:pt idx="147">
                  <c:v>2011</c:v>
                </c:pt>
                <c:pt idx="148">
                  <c:v>2011</c:v>
                </c:pt>
                <c:pt idx="149">
                  <c:v>2011</c:v>
                </c:pt>
                <c:pt idx="150">
                  <c:v>2011</c:v>
                </c:pt>
                <c:pt idx="151">
                  <c:v>2011</c:v>
                </c:pt>
                <c:pt idx="152">
                  <c:v>2011</c:v>
                </c:pt>
                <c:pt idx="153">
                  <c:v>2011</c:v>
                </c:pt>
                <c:pt idx="154">
                  <c:v>2011</c:v>
                </c:pt>
                <c:pt idx="155">
                  <c:v>2011</c:v>
                </c:pt>
                <c:pt idx="156">
                  <c:v>2012</c:v>
                </c:pt>
                <c:pt idx="157">
                  <c:v>2012</c:v>
                </c:pt>
                <c:pt idx="158">
                  <c:v>2012</c:v>
                </c:pt>
                <c:pt idx="159">
                  <c:v>2012</c:v>
                </c:pt>
                <c:pt idx="160">
                  <c:v>2012</c:v>
                </c:pt>
                <c:pt idx="161">
                  <c:v>2012</c:v>
                </c:pt>
                <c:pt idx="162">
                  <c:v>2012</c:v>
                </c:pt>
                <c:pt idx="163">
                  <c:v>2012</c:v>
                </c:pt>
                <c:pt idx="164">
                  <c:v>2012</c:v>
                </c:pt>
                <c:pt idx="165">
                  <c:v>2012</c:v>
                </c:pt>
                <c:pt idx="166">
                  <c:v>2012</c:v>
                </c:pt>
                <c:pt idx="167">
                  <c:v>2012</c:v>
                </c:pt>
                <c:pt idx="168">
                  <c:v>2013</c:v>
                </c:pt>
                <c:pt idx="169">
                  <c:v>2013</c:v>
                </c:pt>
                <c:pt idx="170">
                  <c:v>2013</c:v>
                </c:pt>
                <c:pt idx="171">
                  <c:v>2013</c:v>
                </c:pt>
                <c:pt idx="172">
                  <c:v>2013</c:v>
                </c:pt>
                <c:pt idx="173">
                  <c:v>2013</c:v>
                </c:pt>
                <c:pt idx="174">
                  <c:v>2013</c:v>
                </c:pt>
                <c:pt idx="175">
                  <c:v>2013</c:v>
                </c:pt>
                <c:pt idx="176">
                  <c:v>2013</c:v>
                </c:pt>
                <c:pt idx="177">
                  <c:v>2013</c:v>
                </c:pt>
                <c:pt idx="178">
                  <c:v>2013</c:v>
                </c:pt>
                <c:pt idx="179">
                  <c:v>2013</c:v>
                </c:pt>
                <c:pt idx="180">
                  <c:v>2014</c:v>
                </c:pt>
              </c:numCache>
            </c:numRef>
          </c:cat>
          <c:val>
            <c:numRef>
              <c:f>IND!$C$197:$C$377</c:f>
              <c:numCache>
                <c:formatCode>General_)</c:formatCode>
                <c:ptCount val="181"/>
                <c:pt idx="0">
                  <c:v>343241</c:v>
                </c:pt>
                <c:pt idx="1">
                  <c:v>343776</c:v>
                </c:pt>
                <c:pt idx="2">
                  <c:v>340565</c:v>
                </c:pt>
                <c:pt idx="3">
                  <c:v>378037</c:v>
                </c:pt>
                <c:pt idx="4">
                  <c:v>353916</c:v>
                </c:pt>
                <c:pt idx="5">
                  <c:v>350550</c:v>
                </c:pt>
                <c:pt idx="6">
                  <c:v>376119</c:v>
                </c:pt>
                <c:pt idx="7">
                  <c:v>391617</c:v>
                </c:pt>
                <c:pt idx="8">
                  <c:v>373433</c:v>
                </c:pt>
                <c:pt idx="9">
                  <c:v>363534</c:v>
                </c:pt>
                <c:pt idx="10">
                  <c:v>376090</c:v>
                </c:pt>
                <c:pt idx="11">
                  <c:v>342831</c:v>
                </c:pt>
                <c:pt idx="12">
                  <c:v>376396</c:v>
                </c:pt>
                <c:pt idx="13">
                  <c:v>327089</c:v>
                </c:pt>
                <c:pt idx="14">
                  <c:v>361578</c:v>
                </c:pt>
                <c:pt idx="15">
                  <c:v>375713</c:v>
                </c:pt>
                <c:pt idx="16">
                  <c:v>342306</c:v>
                </c:pt>
                <c:pt idx="17">
                  <c:v>383440</c:v>
                </c:pt>
                <c:pt idx="18">
                  <c:v>372063</c:v>
                </c:pt>
                <c:pt idx="19">
                  <c:v>330599</c:v>
                </c:pt>
                <c:pt idx="20">
                  <c:v>374914</c:v>
                </c:pt>
                <c:pt idx="21">
                  <c:v>341251</c:v>
                </c:pt>
                <c:pt idx="22">
                  <c:v>346949</c:v>
                </c:pt>
                <c:pt idx="23">
                  <c:v>316419</c:v>
                </c:pt>
                <c:pt idx="24">
                  <c:v>331367</c:v>
                </c:pt>
                <c:pt idx="25">
                  <c:v>296037</c:v>
                </c:pt>
                <c:pt idx="26">
                  <c:v>351874</c:v>
                </c:pt>
                <c:pt idx="27">
                  <c:v>335141</c:v>
                </c:pt>
                <c:pt idx="28">
                  <c:v>329010</c:v>
                </c:pt>
                <c:pt idx="29">
                  <c:v>345621</c:v>
                </c:pt>
                <c:pt idx="30">
                  <c:v>304736</c:v>
                </c:pt>
                <c:pt idx="31">
                  <c:v>299781</c:v>
                </c:pt>
                <c:pt idx="32">
                  <c:v>329082</c:v>
                </c:pt>
                <c:pt idx="33">
                  <c:v>310115</c:v>
                </c:pt>
                <c:pt idx="34">
                  <c:v>328973</c:v>
                </c:pt>
                <c:pt idx="35">
                  <c:v>310603</c:v>
                </c:pt>
                <c:pt idx="36">
                  <c:v>270326</c:v>
                </c:pt>
                <c:pt idx="37">
                  <c:v>319236</c:v>
                </c:pt>
                <c:pt idx="38">
                  <c:v>292918</c:v>
                </c:pt>
                <c:pt idx="39">
                  <c:v>310258</c:v>
                </c:pt>
                <c:pt idx="40">
                  <c:v>372027</c:v>
                </c:pt>
                <c:pt idx="41">
                  <c:v>311167</c:v>
                </c:pt>
                <c:pt idx="42">
                  <c:v>344323</c:v>
                </c:pt>
                <c:pt idx="43">
                  <c:v>312198</c:v>
                </c:pt>
                <c:pt idx="44">
                  <c:v>326118</c:v>
                </c:pt>
                <c:pt idx="45">
                  <c:v>315167</c:v>
                </c:pt>
                <c:pt idx="46">
                  <c:v>322551</c:v>
                </c:pt>
                <c:pt idx="47">
                  <c:v>338771</c:v>
                </c:pt>
                <c:pt idx="48">
                  <c:v>297101</c:v>
                </c:pt>
                <c:pt idx="49">
                  <c:v>322180</c:v>
                </c:pt>
                <c:pt idx="50">
                  <c:v>296426</c:v>
                </c:pt>
                <c:pt idx="51">
                  <c:v>325234</c:v>
                </c:pt>
                <c:pt idx="52">
                  <c:v>306070</c:v>
                </c:pt>
                <c:pt idx="53">
                  <c:v>376493</c:v>
                </c:pt>
                <c:pt idx="54">
                  <c:v>336712</c:v>
                </c:pt>
                <c:pt idx="55">
                  <c:v>342691</c:v>
                </c:pt>
                <c:pt idx="56">
                  <c:v>348232</c:v>
                </c:pt>
                <c:pt idx="57">
                  <c:v>378404</c:v>
                </c:pt>
                <c:pt idx="58">
                  <c:v>376394</c:v>
                </c:pt>
                <c:pt idx="59">
                  <c:v>294624</c:v>
                </c:pt>
                <c:pt idx="60">
                  <c:v>349755</c:v>
                </c:pt>
                <c:pt idx="61">
                  <c:v>301960</c:v>
                </c:pt>
                <c:pt idx="62">
                  <c:v>370820</c:v>
                </c:pt>
                <c:pt idx="63">
                  <c:v>345799</c:v>
                </c:pt>
                <c:pt idx="64">
                  <c:v>351164</c:v>
                </c:pt>
                <c:pt idx="65">
                  <c:v>354226</c:v>
                </c:pt>
                <c:pt idx="66">
                  <c:v>335704</c:v>
                </c:pt>
                <c:pt idx="67">
                  <c:v>346763</c:v>
                </c:pt>
                <c:pt idx="68">
                  <c:v>331647</c:v>
                </c:pt>
                <c:pt idx="69">
                  <c:v>284939</c:v>
                </c:pt>
                <c:pt idx="70">
                  <c:v>345734</c:v>
                </c:pt>
                <c:pt idx="71">
                  <c:v>350115</c:v>
                </c:pt>
                <c:pt idx="72">
                  <c:v>325588</c:v>
                </c:pt>
                <c:pt idx="73">
                  <c:v>312424</c:v>
                </c:pt>
                <c:pt idx="74">
                  <c:v>302195</c:v>
                </c:pt>
                <c:pt idx="75">
                  <c:v>355234</c:v>
                </c:pt>
                <c:pt idx="76">
                  <c:v>320647</c:v>
                </c:pt>
                <c:pt idx="77">
                  <c:v>364501</c:v>
                </c:pt>
                <c:pt idx="78">
                  <c:v>352778</c:v>
                </c:pt>
                <c:pt idx="79">
                  <c:v>386739</c:v>
                </c:pt>
                <c:pt idx="80">
                  <c:v>373128</c:v>
                </c:pt>
                <c:pt idx="81">
                  <c:v>357470</c:v>
                </c:pt>
                <c:pt idx="82">
                  <c:v>357350</c:v>
                </c:pt>
                <c:pt idx="83">
                  <c:v>331817</c:v>
                </c:pt>
                <c:pt idx="84">
                  <c:v>344867</c:v>
                </c:pt>
                <c:pt idx="85">
                  <c:v>315521</c:v>
                </c:pt>
                <c:pt idx="86">
                  <c:v>345666</c:v>
                </c:pt>
                <c:pt idx="87">
                  <c:v>350580</c:v>
                </c:pt>
                <c:pt idx="88">
                  <c:v>368382</c:v>
                </c:pt>
                <c:pt idx="89">
                  <c:v>380544</c:v>
                </c:pt>
                <c:pt idx="90">
                  <c:v>332624</c:v>
                </c:pt>
                <c:pt idx="91">
                  <c:v>361976</c:v>
                </c:pt>
                <c:pt idx="92">
                  <c:v>372403</c:v>
                </c:pt>
                <c:pt idx="93">
                  <c:v>325835</c:v>
                </c:pt>
                <c:pt idx="94">
                  <c:v>332132</c:v>
                </c:pt>
                <c:pt idx="95">
                  <c:v>329493</c:v>
                </c:pt>
                <c:pt idx="96">
                  <c:v>283885</c:v>
                </c:pt>
                <c:pt idx="97">
                  <c:v>318130</c:v>
                </c:pt>
                <c:pt idx="98">
                  <c:v>292588</c:v>
                </c:pt>
                <c:pt idx="99">
                  <c:v>314270</c:v>
                </c:pt>
                <c:pt idx="100">
                  <c:v>308801</c:v>
                </c:pt>
                <c:pt idx="101">
                  <c:v>315387</c:v>
                </c:pt>
                <c:pt idx="102">
                  <c:v>332633</c:v>
                </c:pt>
                <c:pt idx="103">
                  <c:v>345601</c:v>
                </c:pt>
                <c:pt idx="104">
                  <c:v>330292</c:v>
                </c:pt>
                <c:pt idx="105">
                  <c:v>301141</c:v>
                </c:pt>
                <c:pt idx="106">
                  <c:v>328105</c:v>
                </c:pt>
                <c:pt idx="107">
                  <c:v>348570</c:v>
                </c:pt>
                <c:pt idx="108">
                  <c:v>284847</c:v>
                </c:pt>
                <c:pt idx="109">
                  <c:v>271997</c:v>
                </c:pt>
                <c:pt idx="110">
                  <c:v>308541</c:v>
                </c:pt>
                <c:pt idx="111">
                  <c:v>311450</c:v>
                </c:pt>
                <c:pt idx="112">
                  <c:v>360809</c:v>
                </c:pt>
                <c:pt idx="113">
                  <c:v>336404</c:v>
                </c:pt>
                <c:pt idx="114">
                  <c:v>329327</c:v>
                </c:pt>
                <c:pt idx="115">
                  <c:v>334687</c:v>
                </c:pt>
                <c:pt idx="116">
                  <c:v>316943</c:v>
                </c:pt>
                <c:pt idx="117">
                  <c:v>335901</c:v>
                </c:pt>
                <c:pt idx="118">
                  <c:v>381573</c:v>
                </c:pt>
                <c:pt idx="119">
                  <c:v>213817</c:v>
                </c:pt>
                <c:pt idx="120">
                  <c:v>271809</c:v>
                </c:pt>
                <c:pt idx="121">
                  <c:v>254392</c:v>
                </c:pt>
                <c:pt idx="122">
                  <c:v>264504</c:v>
                </c:pt>
                <c:pt idx="123">
                  <c:v>279133</c:v>
                </c:pt>
                <c:pt idx="124">
                  <c:v>271886</c:v>
                </c:pt>
                <c:pt idx="125">
                  <c:v>280646</c:v>
                </c:pt>
                <c:pt idx="126">
                  <c:v>292424</c:v>
                </c:pt>
                <c:pt idx="127">
                  <c:v>264843</c:v>
                </c:pt>
                <c:pt idx="128">
                  <c:v>306550</c:v>
                </c:pt>
                <c:pt idx="129">
                  <c:v>226759</c:v>
                </c:pt>
                <c:pt idx="130">
                  <c:v>324306</c:v>
                </c:pt>
                <c:pt idx="131">
                  <c:v>248136</c:v>
                </c:pt>
                <c:pt idx="132">
                  <c:v>246057</c:v>
                </c:pt>
                <c:pt idx="133">
                  <c:v>261310</c:v>
                </c:pt>
                <c:pt idx="134">
                  <c:v>260907</c:v>
                </c:pt>
                <c:pt idx="135">
                  <c:v>291812</c:v>
                </c:pt>
                <c:pt idx="136">
                  <c:v>285924</c:v>
                </c:pt>
                <c:pt idx="137">
                  <c:v>289178</c:v>
                </c:pt>
                <c:pt idx="138">
                  <c:v>288009</c:v>
                </c:pt>
                <c:pt idx="139">
                  <c:v>277073</c:v>
                </c:pt>
                <c:pt idx="140">
                  <c:v>271176</c:v>
                </c:pt>
                <c:pt idx="141">
                  <c:v>250963</c:v>
                </c:pt>
                <c:pt idx="142">
                  <c:v>260215</c:v>
                </c:pt>
                <c:pt idx="143">
                  <c:v>236720</c:v>
                </c:pt>
                <c:pt idx="144">
                  <c:v>262022</c:v>
                </c:pt>
                <c:pt idx="145">
                  <c:v>265854</c:v>
                </c:pt>
                <c:pt idx="146">
                  <c:v>244090</c:v>
                </c:pt>
                <c:pt idx="147">
                  <c:v>261361</c:v>
                </c:pt>
                <c:pt idx="148">
                  <c:v>299905</c:v>
                </c:pt>
                <c:pt idx="149">
                  <c:v>287783</c:v>
                </c:pt>
                <c:pt idx="150">
                  <c:v>266234</c:v>
                </c:pt>
                <c:pt idx="151">
                  <c:v>296266</c:v>
                </c:pt>
                <c:pt idx="152">
                  <c:v>275919</c:v>
                </c:pt>
                <c:pt idx="153">
                  <c:v>269587</c:v>
                </c:pt>
                <c:pt idx="154">
                  <c:v>268193</c:v>
                </c:pt>
                <c:pt idx="155">
                  <c:v>245524</c:v>
                </c:pt>
                <c:pt idx="156">
                  <c:v>248421</c:v>
                </c:pt>
                <c:pt idx="157">
                  <c:v>253164</c:v>
                </c:pt>
                <c:pt idx="158">
                  <c:v>255451</c:v>
                </c:pt>
                <c:pt idx="159">
                  <c:v>264787</c:v>
                </c:pt>
                <c:pt idx="160">
                  <c:v>269547</c:v>
                </c:pt>
                <c:pt idx="161">
                  <c:v>273573</c:v>
                </c:pt>
                <c:pt idx="162">
                  <c:v>273358</c:v>
                </c:pt>
                <c:pt idx="163">
                  <c:v>270778</c:v>
                </c:pt>
                <c:pt idx="164">
                  <c:v>275105</c:v>
                </c:pt>
                <c:pt idx="165">
                  <c:v>252612</c:v>
                </c:pt>
                <c:pt idx="166">
                  <c:v>264412</c:v>
                </c:pt>
                <c:pt idx="167">
                  <c:v>259044</c:v>
                </c:pt>
                <c:pt idx="168">
                  <c:v>250171</c:v>
                </c:pt>
                <c:pt idx="169">
                  <c:v>253946</c:v>
                </c:pt>
                <c:pt idx="170">
                  <c:v>250408</c:v>
                </c:pt>
                <c:pt idx="171">
                  <c:v>268166</c:v>
                </c:pt>
                <c:pt idx="172">
                  <c:v>273779</c:v>
                </c:pt>
                <c:pt idx="173">
                  <c:v>285459</c:v>
                </c:pt>
                <c:pt idx="174">
                  <c:v>273508</c:v>
                </c:pt>
                <c:pt idx="175">
                  <c:v>279816</c:v>
                </c:pt>
                <c:pt idx="176">
                  <c:v>273491</c:v>
                </c:pt>
                <c:pt idx="177">
                  <c:v>248953</c:v>
                </c:pt>
                <c:pt idx="178">
                  <c:v>288444</c:v>
                </c:pt>
                <c:pt idx="179">
                  <c:v>260213</c:v>
                </c:pt>
              </c:numCache>
            </c:numRef>
          </c:val>
        </c:ser>
        <c:marker val="1"/>
        <c:axId val="61144448"/>
        <c:axId val="237598208"/>
      </c:lineChart>
      <c:catAx>
        <c:axId val="61144448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7598208"/>
        <c:crosses val="autoZero"/>
        <c:lblAlgn val="ctr"/>
        <c:lblOffset val="100"/>
        <c:tickLblSkip val="12"/>
        <c:tickMarkSkip val="12"/>
      </c:catAx>
      <c:valAx>
        <c:axId val="237598208"/>
        <c:scaling>
          <c:orientation val="minMax"/>
          <c:min val="400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14444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-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 i="0" u="none" strike="noStrike" baseline="0"/>
              <a:t>Industrial Large Accounts - GSD, IS, CS, SS</a:t>
            </a:r>
            <a:r>
              <a:rPr lang="en-US"/>
              <a:t>
MWh - Actual Billing Month</a:t>
            </a:r>
          </a:p>
        </c:rich>
      </c:tx>
      <c:layout>
        <c:manualLayout>
          <c:xMode val="edge"/>
          <c:yMode val="edge"/>
          <c:x val="0.33877827852295223"/>
          <c:y val="3.481015924458487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2506052455046E-2"/>
          <c:y val="0.19936739666886599"/>
          <c:w val="0.87584460906483508"/>
          <c:h val="0.63291237037735237"/>
        </c:manualLayout>
      </c:layout>
      <c:lineChart>
        <c:grouping val="standard"/>
        <c:ser>
          <c:idx val="7"/>
          <c:order val="0"/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IND!$A$197:$A$377</c:f>
              <c:numCache>
                <c:formatCode>General_)</c:formatCode>
                <c:ptCount val="181"/>
                <c:pt idx="0">
                  <c:v>1999</c:v>
                </c:pt>
                <c:pt idx="1">
                  <c:v>1999</c:v>
                </c:pt>
                <c:pt idx="2">
                  <c:v>1999</c:v>
                </c:pt>
                <c:pt idx="3">
                  <c:v>1999</c:v>
                </c:pt>
                <c:pt idx="4">
                  <c:v>1999</c:v>
                </c:pt>
                <c:pt idx="5">
                  <c:v>1999</c:v>
                </c:pt>
                <c:pt idx="6">
                  <c:v>1999</c:v>
                </c:pt>
                <c:pt idx="7">
                  <c:v>1999</c:v>
                </c:pt>
                <c:pt idx="8">
                  <c:v>1999</c:v>
                </c:pt>
                <c:pt idx="9">
                  <c:v>1999</c:v>
                </c:pt>
                <c:pt idx="10">
                  <c:v>1999</c:v>
                </c:pt>
                <c:pt idx="11">
                  <c:v>1999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  <c:pt idx="21">
                  <c:v>2000</c:v>
                </c:pt>
                <c:pt idx="22">
                  <c:v>2000</c:v>
                </c:pt>
                <c:pt idx="23">
                  <c:v>2000</c:v>
                </c:pt>
                <c:pt idx="24">
                  <c:v>2001</c:v>
                </c:pt>
                <c:pt idx="25">
                  <c:v>2001</c:v>
                </c:pt>
                <c:pt idx="26">
                  <c:v>2001</c:v>
                </c:pt>
                <c:pt idx="27">
                  <c:v>2001</c:v>
                </c:pt>
                <c:pt idx="28">
                  <c:v>2001</c:v>
                </c:pt>
                <c:pt idx="29">
                  <c:v>2001</c:v>
                </c:pt>
                <c:pt idx="30">
                  <c:v>2001</c:v>
                </c:pt>
                <c:pt idx="31">
                  <c:v>2001</c:v>
                </c:pt>
                <c:pt idx="32">
                  <c:v>2001</c:v>
                </c:pt>
                <c:pt idx="33">
                  <c:v>2001</c:v>
                </c:pt>
                <c:pt idx="34">
                  <c:v>2001</c:v>
                </c:pt>
                <c:pt idx="35">
                  <c:v>2001</c:v>
                </c:pt>
                <c:pt idx="36">
                  <c:v>2002</c:v>
                </c:pt>
                <c:pt idx="37">
                  <c:v>2002</c:v>
                </c:pt>
                <c:pt idx="38">
                  <c:v>2002</c:v>
                </c:pt>
                <c:pt idx="39">
                  <c:v>2002</c:v>
                </c:pt>
                <c:pt idx="40">
                  <c:v>2002</c:v>
                </c:pt>
                <c:pt idx="41">
                  <c:v>2002</c:v>
                </c:pt>
                <c:pt idx="42">
                  <c:v>2002</c:v>
                </c:pt>
                <c:pt idx="43">
                  <c:v>2002</c:v>
                </c:pt>
                <c:pt idx="44">
                  <c:v>2002</c:v>
                </c:pt>
                <c:pt idx="45">
                  <c:v>2002</c:v>
                </c:pt>
                <c:pt idx="46">
                  <c:v>2002</c:v>
                </c:pt>
                <c:pt idx="47">
                  <c:v>2002</c:v>
                </c:pt>
                <c:pt idx="48">
                  <c:v>2003</c:v>
                </c:pt>
                <c:pt idx="49">
                  <c:v>2003</c:v>
                </c:pt>
                <c:pt idx="50">
                  <c:v>2003</c:v>
                </c:pt>
                <c:pt idx="51">
                  <c:v>2003</c:v>
                </c:pt>
                <c:pt idx="52">
                  <c:v>2003</c:v>
                </c:pt>
                <c:pt idx="53">
                  <c:v>2003</c:v>
                </c:pt>
                <c:pt idx="54">
                  <c:v>2003</c:v>
                </c:pt>
                <c:pt idx="55">
                  <c:v>2003</c:v>
                </c:pt>
                <c:pt idx="56">
                  <c:v>2003</c:v>
                </c:pt>
                <c:pt idx="57">
                  <c:v>2003</c:v>
                </c:pt>
                <c:pt idx="58">
                  <c:v>2003</c:v>
                </c:pt>
                <c:pt idx="59">
                  <c:v>2003</c:v>
                </c:pt>
                <c:pt idx="60">
                  <c:v>2004</c:v>
                </c:pt>
                <c:pt idx="61">
                  <c:v>2004</c:v>
                </c:pt>
                <c:pt idx="62">
                  <c:v>2004</c:v>
                </c:pt>
                <c:pt idx="63">
                  <c:v>2004</c:v>
                </c:pt>
                <c:pt idx="64">
                  <c:v>2004</c:v>
                </c:pt>
                <c:pt idx="65">
                  <c:v>2004</c:v>
                </c:pt>
                <c:pt idx="66">
                  <c:v>2004</c:v>
                </c:pt>
                <c:pt idx="67">
                  <c:v>2004</c:v>
                </c:pt>
                <c:pt idx="68">
                  <c:v>2004</c:v>
                </c:pt>
                <c:pt idx="69">
                  <c:v>2004</c:v>
                </c:pt>
                <c:pt idx="70">
                  <c:v>2004</c:v>
                </c:pt>
                <c:pt idx="71">
                  <c:v>2004</c:v>
                </c:pt>
                <c:pt idx="72">
                  <c:v>2005</c:v>
                </c:pt>
                <c:pt idx="73">
                  <c:v>2005</c:v>
                </c:pt>
                <c:pt idx="74">
                  <c:v>2005</c:v>
                </c:pt>
                <c:pt idx="75">
                  <c:v>2005</c:v>
                </c:pt>
                <c:pt idx="76">
                  <c:v>2005</c:v>
                </c:pt>
                <c:pt idx="77">
                  <c:v>2005</c:v>
                </c:pt>
                <c:pt idx="78">
                  <c:v>2005</c:v>
                </c:pt>
                <c:pt idx="79">
                  <c:v>2005</c:v>
                </c:pt>
                <c:pt idx="80">
                  <c:v>2005</c:v>
                </c:pt>
                <c:pt idx="81">
                  <c:v>2005</c:v>
                </c:pt>
                <c:pt idx="82">
                  <c:v>2005</c:v>
                </c:pt>
                <c:pt idx="83">
                  <c:v>2005</c:v>
                </c:pt>
                <c:pt idx="84">
                  <c:v>2006</c:v>
                </c:pt>
                <c:pt idx="85">
                  <c:v>2006</c:v>
                </c:pt>
                <c:pt idx="86">
                  <c:v>2006</c:v>
                </c:pt>
                <c:pt idx="87">
                  <c:v>2006</c:v>
                </c:pt>
                <c:pt idx="88">
                  <c:v>2006</c:v>
                </c:pt>
                <c:pt idx="89">
                  <c:v>2006</c:v>
                </c:pt>
                <c:pt idx="90">
                  <c:v>2006</c:v>
                </c:pt>
                <c:pt idx="91">
                  <c:v>2006</c:v>
                </c:pt>
                <c:pt idx="92">
                  <c:v>2006</c:v>
                </c:pt>
                <c:pt idx="93">
                  <c:v>2006</c:v>
                </c:pt>
                <c:pt idx="94">
                  <c:v>2006</c:v>
                </c:pt>
                <c:pt idx="95">
                  <c:v>2006</c:v>
                </c:pt>
                <c:pt idx="96">
                  <c:v>2007</c:v>
                </c:pt>
                <c:pt idx="97">
                  <c:v>2007</c:v>
                </c:pt>
                <c:pt idx="98">
                  <c:v>2007</c:v>
                </c:pt>
                <c:pt idx="99">
                  <c:v>2007</c:v>
                </c:pt>
                <c:pt idx="100">
                  <c:v>2007</c:v>
                </c:pt>
                <c:pt idx="101">
                  <c:v>2007</c:v>
                </c:pt>
                <c:pt idx="102">
                  <c:v>2007</c:v>
                </c:pt>
                <c:pt idx="103">
                  <c:v>2007</c:v>
                </c:pt>
                <c:pt idx="104">
                  <c:v>2007</c:v>
                </c:pt>
                <c:pt idx="105">
                  <c:v>2007</c:v>
                </c:pt>
                <c:pt idx="106">
                  <c:v>2007</c:v>
                </c:pt>
                <c:pt idx="107">
                  <c:v>2007</c:v>
                </c:pt>
                <c:pt idx="108">
                  <c:v>2008</c:v>
                </c:pt>
                <c:pt idx="109">
                  <c:v>2008</c:v>
                </c:pt>
                <c:pt idx="110">
                  <c:v>2008</c:v>
                </c:pt>
                <c:pt idx="111">
                  <c:v>2008</c:v>
                </c:pt>
                <c:pt idx="112">
                  <c:v>2008</c:v>
                </c:pt>
                <c:pt idx="113">
                  <c:v>2008</c:v>
                </c:pt>
                <c:pt idx="114">
                  <c:v>2008</c:v>
                </c:pt>
                <c:pt idx="115">
                  <c:v>2008</c:v>
                </c:pt>
                <c:pt idx="116">
                  <c:v>2008</c:v>
                </c:pt>
                <c:pt idx="117">
                  <c:v>2008</c:v>
                </c:pt>
                <c:pt idx="118">
                  <c:v>2008</c:v>
                </c:pt>
                <c:pt idx="119">
                  <c:v>2008</c:v>
                </c:pt>
                <c:pt idx="120">
                  <c:v>2009</c:v>
                </c:pt>
                <c:pt idx="121">
                  <c:v>2009</c:v>
                </c:pt>
                <c:pt idx="122">
                  <c:v>2009</c:v>
                </c:pt>
                <c:pt idx="123">
                  <c:v>2009</c:v>
                </c:pt>
                <c:pt idx="124">
                  <c:v>2009</c:v>
                </c:pt>
                <c:pt idx="125">
                  <c:v>2009</c:v>
                </c:pt>
                <c:pt idx="126">
                  <c:v>2009</c:v>
                </c:pt>
                <c:pt idx="127">
                  <c:v>2009</c:v>
                </c:pt>
                <c:pt idx="128">
                  <c:v>2009</c:v>
                </c:pt>
                <c:pt idx="129">
                  <c:v>2009</c:v>
                </c:pt>
                <c:pt idx="130">
                  <c:v>2009</c:v>
                </c:pt>
                <c:pt idx="131">
                  <c:v>2009</c:v>
                </c:pt>
                <c:pt idx="132">
                  <c:v>2010</c:v>
                </c:pt>
                <c:pt idx="133">
                  <c:v>2010</c:v>
                </c:pt>
                <c:pt idx="134">
                  <c:v>2010</c:v>
                </c:pt>
                <c:pt idx="135">
                  <c:v>2010</c:v>
                </c:pt>
                <c:pt idx="136">
                  <c:v>2010</c:v>
                </c:pt>
                <c:pt idx="137">
                  <c:v>2010</c:v>
                </c:pt>
                <c:pt idx="138">
                  <c:v>2010</c:v>
                </c:pt>
                <c:pt idx="139">
                  <c:v>2010</c:v>
                </c:pt>
                <c:pt idx="140">
                  <c:v>2010</c:v>
                </c:pt>
                <c:pt idx="141">
                  <c:v>2010</c:v>
                </c:pt>
                <c:pt idx="142">
                  <c:v>2010</c:v>
                </c:pt>
                <c:pt idx="143">
                  <c:v>2010</c:v>
                </c:pt>
                <c:pt idx="144">
                  <c:v>2011</c:v>
                </c:pt>
                <c:pt idx="145">
                  <c:v>2011</c:v>
                </c:pt>
                <c:pt idx="146">
                  <c:v>2011</c:v>
                </c:pt>
                <c:pt idx="147">
                  <c:v>2011</c:v>
                </c:pt>
                <c:pt idx="148">
                  <c:v>2011</c:v>
                </c:pt>
                <c:pt idx="149">
                  <c:v>2011</c:v>
                </c:pt>
                <c:pt idx="150">
                  <c:v>2011</c:v>
                </c:pt>
                <c:pt idx="151">
                  <c:v>2011</c:v>
                </c:pt>
                <c:pt idx="152">
                  <c:v>2011</c:v>
                </c:pt>
                <c:pt idx="153">
                  <c:v>2011</c:v>
                </c:pt>
                <c:pt idx="154">
                  <c:v>2011</c:v>
                </c:pt>
                <c:pt idx="155">
                  <c:v>2011</c:v>
                </c:pt>
                <c:pt idx="156">
                  <c:v>2012</c:v>
                </c:pt>
                <c:pt idx="157">
                  <c:v>2012</c:v>
                </c:pt>
                <c:pt idx="158">
                  <c:v>2012</c:v>
                </c:pt>
                <c:pt idx="159">
                  <c:v>2012</c:v>
                </c:pt>
                <c:pt idx="160">
                  <c:v>2012</c:v>
                </c:pt>
                <c:pt idx="161">
                  <c:v>2012</c:v>
                </c:pt>
                <c:pt idx="162">
                  <c:v>2012</c:v>
                </c:pt>
                <c:pt idx="163">
                  <c:v>2012</c:v>
                </c:pt>
                <c:pt idx="164">
                  <c:v>2012</c:v>
                </c:pt>
                <c:pt idx="165">
                  <c:v>2012</c:v>
                </c:pt>
                <c:pt idx="166">
                  <c:v>2012</c:v>
                </c:pt>
                <c:pt idx="167">
                  <c:v>2012</c:v>
                </c:pt>
                <c:pt idx="168">
                  <c:v>2013</c:v>
                </c:pt>
                <c:pt idx="169">
                  <c:v>2013</c:v>
                </c:pt>
                <c:pt idx="170">
                  <c:v>2013</c:v>
                </c:pt>
                <c:pt idx="171">
                  <c:v>2013</c:v>
                </c:pt>
                <c:pt idx="172">
                  <c:v>2013</c:v>
                </c:pt>
                <c:pt idx="173">
                  <c:v>2013</c:v>
                </c:pt>
                <c:pt idx="174">
                  <c:v>2013</c:v>
                </c:pt>
                <c:pt idx="175">
                  <c:v>2013</c:v>
                </c:pt>
                <c:pt idx="176">
                  <c:v>2013</c:v>
                </c:pt>
                <c:pt idx="177">
                  <c:v>2013</c:v>
                </c:pt>
                <c:pt idx="178">
                  <c:v>2013</c:v>
                </c:pt>
                <c:pt idx="179">
                  <c:v>2013</c:v>
                </c:pt>
                <c:pt idx="180">
                  <c:v>2014</c:v>
                </c:pt>
              </c:numCache>
            </c:numRef>
          </c:cat>
          <c:val>
            <c:numRef>
              <c:f>IND!$AJ$197:$AJ$377</c:f>
              <c:numCache>
                <c:formatCode>#,##0</c:formatCode>
                <c:ptCount val="181"/>
                <c:pt idx="0">
                  <c:v>340107.39300000004</c:v>
                </c:pt>
                <c:pt idx="1">
                  <c:v>340628.43100000004</c:v>
                </c:pt>
                <c:pt idx="2">
                  <c:v>337381.636</c:v>
                </c:pt>
                <c:pt idx="3">
                  <c:v>375633.88</c:v>
                </c:pt>
                <c:pt idx="4" formatCode="_(* #,##0_);_(* \(#,##0\);_(* &quot;-&quot;??_);_(@_)">
                  <c:v>350544.52299999999</c:v>
                </c:pt>
                <c:pt idx="5" formatCode="_(* #,##0_);_(* \(#,##0\);_(* &quot;-&quot;??_);_(@_)">
                  <c:v>347866.76800000004</c:v>
                </c:pt>
                <c:pt idx="6" formatCode="_(* #,##0_);_(* \(#,##0\);_(* &quot;-&quot;??_);_(@_)">
                  <c:v>373332.52</c:v>
                </c:pt>
                <c:pt idx="7" formatCode="_(* #,##0_);_(* \(#,##0\);_(* &quot;-&quot;??_);_(@_)">
                  <c:v>388282.33600000001</c:v>
                </c:pt>
                <c:pt idx="8" formatCode="_(* #,##0_);_(* \(#,##0\);_(* &quot;-&quot;??_);_(@_)">
                  <c:v>370029.59100000001</c:v>
                </c:pt>
                <c:pt idx="9" formatCode="_(* #,##0_);_(* \(#,##0\);_(* &quot;-&quot;??_);_(@_)">
                  <c:v>361738.19399999996</c:v>
                </c:pt>
                <c:pt idx="10" formatCode="_(* #,##0_);_(* \(#,##0\);_(* &quot;-&quot;??_);_(@_)">
                  <c:v>373207.24200000003</c:v>
                </c:pt>
                <c:pt idx="11" formatCode="_(* #,##0_);_(* \(#,##0\);_(* &quot;-&quot;??_);_(@_)">
                  <c:v>340069.32299999997</c:v>
                </c:pt>
                <c:pt idx="12" formatCode="_(* #,##0_);_(* \(#,##0\);_(* &quot;-&quot;??_);_(@_)">
                  <c:v>373872.36499999999</c:v>
                </c:pt>
                <c:pt idx="13" formatCode="_(* #,##0_);_(* \(#,##0\);_(* &quot;-&quot;??_);_(@_)">
                  <c:v>323906.87400000001</c:v>
                </c:pt>
                <c:pt idx="14" formatCode="_(* #,##0_);_(* \(#,##0\);_(* &quot;-&quot;??_);_(@_)">
                  <c:v>358866.92099999997</c:v>
                </c:pt>
                <c:pt idx="15" formatCode="_(* #,##0_);_(* \(#,##0\);_(* &quot;-&quot;??_);_(@_)">
                  <c:v>372620.97500000003</c:v>
                </c:pt>
                <c:pt idx="16" formatCode="_(* #,##0_);_(* \(#,##0\);_(* &quot;-&quot;??_);_(@_)">
                  <c:v>340489.27999999997</c:v>
                </c:pt>
                <c:pt idx="17" formatCode="_(* #,##0_);_(* \(#,##0\);_(* &quot;-&quot;??_);_(@_)">
                  <c:v>380391.22200000001</c:v>
                </c:pt>
                <c:pt idx="18" formatCode="_(* #,##0_);_(* \(#,##0\);_(* &quot;-&quot;??_);_(@_)">
                  <c:v>368520.40100000001</c:v>
                </c:pt>
                <c:pt idx="19" formatCode="_(* #,##0_);_(* \(#,##0\);_(* &quot;-&quot;??_);_(@_)">
                  <c:v>327354.77899999998</c:v>
                </c:pt>
                <c:pt idx="20" formatCode="_(* #,##0_);_(* \(#,##0\);_(* &quot;-&quot;??_);_(@_)">
                  <c:v>371939.53099999996</c:v>
                </c:pt>
                <c:pt idx="21" formatCode="_(* #,##0_);_(* \(#,##0\);_(* &quot;-&quot;??_);_(@_)">
                  <c:v>338614</c:v>
                </c:pt>
                <c:pt idx="22" formatCode="_(* #,##0_);_(* \(#,##0\);_(* &quot;-&quot;??_);_(@_)">
                  <c:v>344073.58600000001</c:v>
                </c:pt>
                <c:pt idx="23" formatCode="_(* #,##0_);_(* \(#,##0\);_(* &quot;-&quot;??_);_(@_)">
                  <c:v>313885.91599999997</c:v>
                </c:pt>
                <c:pt idx="24" formatCode="_(* #,##0_);_(* \(#,##0\);_(* &quot;-&quot;??_);_(@_)">
                  <c:v>327710.57899999997</c:v>
                </c:pt>
                <c:pt idx="25" formatCode="_(* #,##0_);_(* \(#,##0\);_(* &quot;-&quot;??_);_(@_)">
                  <c:v>293502.52</c:v>
                </c:pt>
                <c:pt idx="26" formatCode="_(* #,##0_);_(* \(#,##0\);_(* &quot;-&quot;??_);_(@_)">
                  <c:v>349323.58100000001</c:v>
                </c:pt>
                <c:pt idx="27" formatCode="_(* #,##0_);_(* \(#,##0\);_(* &quot;-&quot;??_);_(@_)">
                  <c:v>331510.38</c:v>
                </c:pt>
                <c:pt idx="28" formatCode="_(* #,##0_);_(* \(#,##0\);_(* &quot;-&quot;??_);_(@_)">
                  <c:v>325872.08799999999</c:v>
                </c:pt>
                <c:pt idx="29" formatCode="_(* #,##0_);_(* \(#,##0\);_(* &quot;-&quot;??_);_(@_)">
                  <c:v>342331.84700000001</c:v>
                </c:pt>
                <c:pt idx="30" formatCode="_(* #,##0_);_(* \(#,##0\);_(* &quot;-&quot;??_);_(@_)">
                  <c:v>300831.66799999995</c:v>
                </c:pt>
                <c:pt idx="31" formatCode="_(* #,##0_);_(* \(#,##0\);_(* &quot;-&quot;??_);_(@_)">
                  <c:v>295415.10200000001</c:v>
                </c:pt>
                <c:pt idx="32" formatCode="_(* #,##0_);_(* \(#,##0\);_(* &quot;-&quot;??_);_(@_)">
                  <c:v>325980.18100000004</c:v>
                </c:pt>
                <c:pt idx="33" formatCode="_(* #,##0_);_(* \(#,##0\);_(* &quot;-&quot;??_);_(@_)">
                  <c:v>306701.05700000003</c:v>
                </c:pt>
                <c:pt idx="34" formatCode="_(* #,##0_);_(* \(#,##0\);_(* &quot;-&quot;??_);_(@_)">
                  <c:v>325872.20399999997</c:v>
                </c:pt>
                <c:pt idx="35" formatCode="_(* #,##0_);_(* \(#,##0\);_(* &quot;-&quot;??_);_(@_)">
                  <c:v>307743.663</c:v>
                </c:pt>
                <c:pt idx="36" formatCode="_(* #,##0_);_(* \(#,##0\);_(* &quot;-&quot;??_);_(@_)">
                  <c:v>267733.87099999998</c:v>
                </c:pt>
                <c:pt idx="37" formatCode="_(* #,##0_);_(* \(#,##0\);_(* &quot;-&quot;??_);_(@_)">
                  <c:v>316104.17799999996</c:v>
                </c:pt>
                <c:pt idx="38" formatCode="_(* #,##0_);_(* \(#,##0\);_(* &quot;-&quot;??_);_(@_)">
                  <c:v>289869.08299999998</c:v>
                </c:pt>
                <c:pt idx="39" formatCode="_(* #,##0_);_(* \(#,##0\);_(* &quot;-&quot;??_);_(@_)">
                  <c:v>307164.48700000002</c:v>
                </c:pt>
                <c:pt idx="40" formatCode="_(* #,##0_);_(* \(#,##0\);_(* &quot;-&quot;??_);_(@_)">
                  <c:v>368585.48600000003</c:v>
                </c:pt>
                <c:pt idx="41" formatCode="_(* #,##0_);_(* \(#,##0\);_(* &quot;-&quot;??_);_(@_)">
                  <c:v>307249.772</c:v>
                </c:pt>
                <c:pt idx="42" formatCode="_(* #,##0_);_(* \(#,##0\);_(* &quot;-&quot;??_);_(@_)">
                  <c:v>340806.73300000001</c:v>
                </c:pt>
                <c:pt idx="43" formatCode="_(* #,##0_);_(* \(#,##0\);_(* &quot;-&quot;??_);_(@_)">
                  <c:v>308691.299</c:v>
                </c:pt>
                <c:pt idx="44" formatCode="_(* #,##0_);_(* \(#,##0\);_(* &quot;-&quot;??_);_(@_)">
                  <c:v>322216.43299999996</c:v>
                </c:pt>
                <c:pt idx="45" formatCode="_(* #,##0_);_(* \(#,##0\);_(* &quot;-&quot;??_);_(@_)">
                  <c:v>311398.63</c:v>
                </c:pt>
                <c:pt idx="46" formatCode="_(* #,##0_);_(* \(#,##0\);_(* &quot;-&quot;??_);_(@_)">
                  <c:v>318078.97200000001</c:v>
                </c:pt>
                <c:pt idx="47" formatCode="_(* #,##0_);_(* \(#,##0\);_(* &quot;-&quot;??_);_(@_)">
                  <c:v>334942.39599999995</c:v>
                </c:pt>
                <c:pt idx="48" formatCode="_(* #,##0_);_(* \(#,##0\);_(* &quot;-&quot;??_);_(@_)">
                  <c:v>293801.90899999999</c:v>
                </c:pt>
                <c:pt idx="49" formatCode="_(* #,##0_);_(* \(#,##0\);_(* &quot;-&quot;??_);_(@_)">
                  <c:v>318905.52100000001</c:v>
                </c:pt>
                <c:pt idx="50" formatCode="_(* #,##0_);_(* \(#,##0\);_(* &quot;-&quot;??_);_(@_)">
                  <c:v>292463.02600000001</c:v>
                </c:pt>
                <c:pt idx="51" formatCode="_(* #,##0_);_(* \(#,##0\);_(* &quot;-&quot;??_);_(@_)">
                  <c:v>321251.01500000001</c:v>
                </c:pt>
                <c:pt idx="52" formatCode="_(* #,##0_);_(* \(#,##0\);_(* &quot;-&quot;??_);_(@_)">
                  <c:v>300665.17200000002</c:v>
                </c:pt>
                <c:pt idx="53" formatCode="_(* #,##0_);_(* \(#,##0\);_(* &quot;-&quot;??_);_(@_)">
                  <c:v>371343.69300000003</c:v>
                </c:pt>
                <c:pt idx="54" formatCode="_(* #,##0_);_(* \(#,##0\);_(* &quot;-&quot;??_);_(@_)">
                  <c:v>332307.087</c:v>
                </c:pt>
                <c:pt idx="55" formatCode="_(* #,##0_);_(* \(#,##0\);_(* &quot;-&quot;??_);_(@_)">
                  <c:v>337923.65600000002</c:v>
                </c:pt>
                <c:pt idx="56" formatCode="_(* #,##0_);_(* \(#,##0\);_(* &quot;-&quot;??_);_(@_)">
                  <c:v>343891.55600000004</c:v>
                </c:pt>
                <c:pt idx="57" formatCode="_(* #,##0_);_(* \(#,##0\);_(* &quot;-&quot;??_);_(@_)">
                  <c:v>373780.96499999997</c:v>
                </c:pt>
                <c:pt idx="58" formatCode="_(* #,##0_);_(* \(#,##0\);_(* &quot;-&quot;??_);_(@_)">
                  <c:v>372204.95199999999</c:v>
                </c:pt>
                <c:pt idx="59" formatCode="_(* #,##0_);_(* \(#,##0\);_(* &quot;-&quot;??_);_(@_)">
                  <c:v>291108.02299999999</c:v>
                </c:pt>
                <c:pt idx="60" formatCode="_(* #,##0_);_(* \(#,##0\);_(* &quot;-&quot;??_);_(@_)">
                  <c:v>346558.41700000002</c:v>
                </c:pt>
                <c:pt idx="61" formatCode="_(* #,##0_);_(* \(#,##0\);_(* &quot;-&quot;??_);_(@_)">
                  <c:v>298672.52999999997</c:v>
                </c:pt>
                <c:pt idx="62" formatCode="_(* #,##0_);_(* \(#,##0\);_(* &quot;-&quot;??_);_(@_)">
                  <c:v>366789.48300000001</c:v>
                </c:pt>
                <c:pt idx="63" formatCode="_(* #,##0_);_(* \(#,##0\);_(* &quot;-&quot;??_);_(@_)">
                  <c:v>340016.31400000001</c:v>
                </c:pt>
                <c:pt idx="64" formatCode="_(* #,##0_);_(* \(#,##0\);_(* &quot;-&quot;??_);_(@_)">
                  <c:v>347947.83100000001</c:v>
                </c:pt>
                <c:pt idx="65" formatCode="_(* #,##0_);_(* \(#,##0\);_(* &quot;-&quot;??_);_(@_)">
                  <c:v>350213.26199999999</c:v>
                </c:pt>
                <c:pt idx="66" formatCode="_(* #,##0_);_(* \(#,##0\);_(* &quot;-&quot;??_);_(@_)">
                  <c:v>330885.54600000003</c:v>
                </c:pt>
                <c:pt idx="67" formatCode="_(* #,##0_);_(* \(#,##0\);_(* &quot;-&quot;??_);_(@_)">
                  <c:v>342784.239</c:v>
                </c:pt>
                <c:pt idx="68" formatCode="_(* #,##0_);_(* \(#,##0\);_(* &quot;-&quot;??_);_(@_)">
                  <c:v>327816.799</c:v>
                </c:pt>
                <c:pt idx="69" formatCode="_(* #,##0_);_(* \(#,##0\);_(* &quot;-&quot;??_);_(@_)">
                  <c:v>281117.02600000001</c:v>
                </c:pt>
                <c:pt idx="70" formatCode="_(* #,##0_);_(* \(#,##0\);_(* &quot;-&quot;??_);_(@_)">
                  <c:v>341848.75</c:v>
                </c:pt>
                <c:pt idx="71" formatCode="_(* #,##0_);_(* \(#,##0\);_(* &quot;-&quot;??_);_(@_)">
                  <c:v>346736.43200000003</c:v>
                </c:pt>
                <c:pt idx="72" formatCode="_(* #,##0_);_(* \(#,##0\);_(* &quot;-&quot;??_);_(@_)">
                  <c:v>322459.63400000002</c:v>
                </c:pt>
                <c:pt idx="73" formatCode="_(* #,##0_);_(* \(#,##0\);_(* &quot;-&quot;??_);_(@_)">
                  <c:v>309090.18599999999</c:v>
                </c:pt>
                <c:pt idx="74" formatCode="_(* #,##0_);_(* \(#,##0\);_(* &quot;-&quot;??_);_(@_)">
                  <c:v>298474.886</c:v>
                </c:pt>
                <c:pt idx="75" formatCode="_(* #,##0_);_(* \(#,##0\);_(* &quot;-&quot;??_);_(@_)">
                  <c:v>351955.25699999998</c:v>
                </c:pt>
                <c:pt idx="76" formatCode="_(* #,##0_);_(* \(#,##0\);_(* &quot;-&quot;??_);_(@_)">
                  <c:v>317145.53499999997</c:v>
                </c:pt>
                <c:pt idx="77" formatCode="_(* #,##0_);_(* \(#,##0\);_(* &quot;-&quot;??_);_(@_)">
                  <c:v>360863.859</c:v>
                </c:pt>
                <c:pt idx="78" formatCode="_(* #,##0_);_(* \(#,##0\);_(* &quot;-&quot;??_);_(@_)">
                  <c:v>348412.95899999997</c:v>
                </c:pt>
                <c:pt idx="79" formatCode="_(* #,##0_);_(* \(#,##0\);_(* &quot;-&quot;??_);_(@_)">
                  <c:v>382119.32900000003</c:v>
                </c:pt>
                <c:pt idx="80" formatCode="_(* #,##0_);_(* \(#,##0\);_(* &quot;-&quot;??_);_(@_)">
                  <c:v>368652.13299999997</c:v>
                </c:pt>
                <c:pt idx="81" formatCode="_(* #,##0_);_(* \(#,##0\);_(* &quot;-&quot;??_);_(@_)">
                  <c:v>352412.80900000001</c:v>
                </c:pt>
                <c:pt idx="82" formatCode="_(* #,##0_);_(* \(#,##0\);_(* &quot;-&quot;??_);_(@_)">
                  <c:v>353164.54499999998</c:v>
                </c:pt>
                <c:pt idx="83" formatCode="_(* #,##0_);_(* \(#,##0\);_(* &quot;-&quot;??_);_(@_)">
                  <c:v>328610.45</c:v>
                </c:pt>
                <c:pt idx="84" formatCode="_(* #,##0_);_(* \(#,##0\);_(* &quot;-&quot;??_);_(@_)">
                  <c:v>341552.2</c:v>
                </c:pt>
                <c:pt idx="85" formatCode="_(* #,##0_);_(* \(#,##0\);_(* &quot;-&quot;??_);_(@_)">
                  <c:v>312732.489</c:v>
                </c:pt>
                <c:pt idx="86" formatCode="_(* #,##0_);_(* \(#,##0\);_(* &quot;-&quot;??_);_(@_)">
                  <c:v>342499.64600000001</c:v>
                </c:pt>
                <c:pt idx="87" formatCode="_(* #,##0_);_(* \(#,##0\);_(* &quot;-&quot;??_);_(@_)">
                  <c:v>346007.53200000001</c:v>
                </c:pt>
                <c:pt idx="88" formatCode="_(* #,##0_);_(* \(#,##0\);_(* &quot;-&quot;??_);_(@_)">
                  <c:v>364613.61499999999</c:v>
                </c:pt>
                <c:pt idx="89" formatCode="_(* #,##0_);_(* \(#,##0\);_(* &quot;-&quot;??_);_(@_)">
                  <c:v>376910.38799999998</c:v>
                </c:pt>
                <c:pt idx="90" formatCode="_(* #,##0_);_(* \(#,##0\);_(* &quot;-&quot;??_);_(@_)">
                  <c:v>329083.29199999996</c:v>
                </c:pt>
                <c:pt idx="91" formatCode="_(* #,##0_);_(* \(#,##0\);_(* &quot;-&quot;??_);_(@_)">
                  <c:v>358188.12400000001</c:v>
                </c:pt>
                <c:pt idx="92" formatCode="_(* #,##0_);_(* \(#,##0\);_(* &quot;-&quot;??_);_(@_)">
                  <c:v>368953.48499999999</c:v>
                </c:pt>
                <c:pt idx="93" formatCode="_(* #,##0_);_(* \(#,##0\);_(* &quot;-&quot;??_);_(@_)">
                  <c:v>322416.91600000003</c:v>
                </c:pt>
                <c:pt idx="94" formatCode="_(* #,##0_);_(* \(#,##0\);_(* &quot;-&quot;??_);_(@_)">
                  <c:v>328707.913</c:v>
                </c:pt>
                <c:pt idx="95" formatCode="_(* #,##0_);_(* \(#,##0\);_(* &quot;-&quot;??_);_(@_)">
                  <c:v>326158.70900000003</c:v>
                </c:pt>
                <c:pt idx="96" formatCode="_(* #,##0_);_(* \(#,##0\);_(* &quot;-&quot;??_);_(@_)">
                  <c:v>281121.36000000004</c:v>
                </c:pt>
                <c:pt idx="97" formatCode="_(* #,##0_);_(* \(#,##0\);_(* &quot;-&quot;??_);_(@_)">
                  <c:v>314976.97100000002</c:v>
                </c:pt>
                <c:pt idx="98" formatCode="_(* #,##0_);_(* \(#,##0\);_(* &quot;-&quot;??_);_(@_)">
                  <c:v>289070.58400000003</c:v>
                </c:pt>
                <c:pt idx="99" formatCode="_(* #,##0_);_(* \(#,##0\);_(* &quot;-&quot;??_);_(@_)">
                  <c:v>311286.83400000003</c:v>
                </c:pt>
                <c:pt idx="100" formatCode="_(* #,##0_);_(* \(#,##0\);_(* &quot;-&quot;??_);_(@_)">
                  <c:v>305630.98300000001</c:v>
                </c:pt>
                <c:pt idx="101" formatCode="_(* #,##0_);_(* \(#,##0\);_(* &quot;-&quot;??_);_(@_)">
                  <c:v>312164.53099999996</c:v>
                </c:pt>
                <c:pt idx="102" formatCode="_(* #,##0_);_(* \(#,##0\);_(* &quot;-&quot;??_);_(@_)">
                  <c:v>329404.29099999997</c:v>
                </c:pt>
                <c:pt idx="103" formatCode="_(* #,##0_);_(* \(#,##0\);_(* &quot;-&quot;??_);_(@_)">
                  <c:v>341885.85499999998</c:v>
                </c:pt>
                <c:pt idx="104" formatCode="_(* #,##0_);_(* \(#,##0\);_(* &quot;-&quot;??_);_(@_)">
                  <c:v>326535.19699999999</c:v>
                </c:pt>
                <c:pt idx="105" formatCode="_(* #,##0_);_(* \(#,##0\);_(* &quot;-&quot;??_);_(@_)">
                  <c:v>297934.397</c:v>
                </c:pt>
                <c:pt idx="106" formatCode="_(* #,##0_);_(* \(#,##0\);_(* &quot;-&quot;??_);_(@_)">
                  <c:v>325039.538</c:v>
                </c:pt>
                <c:pt idx="107" formatCode="_(* #,##0_);_(* \(#,##0\);_(* &quot;-&quot;??_);_(@_)">
                  <c:v>345835.21799999999</c:v>
                </c:pt>
                <c:pt idx="108" formatCode="_(* #,##0_);_(* \(#,##0\);_(* &quot;-&quot;??_);_(@_)">
                  <c:v>282970.83599999995</c:v>
                </c:pt>
                <c:pt idx="109" formatCode="_(* #,##0_);_(* \(#,##0\);_(* &quot;-&quot;??_);_(@_)">
                  <c:v>269460.99200000003</c:v>
                </c:pt>
                <c:pt idx="110" formatCode="_(* #,##0_);_(* \(#,##0\);_(* &quot;-&quot;??_);_(@_)">
                  <c:v>306003.08199999999</c:v>
                </c:pt>
                <c:pt idx="111" formatCode="_(* #,##0_);_(* \(#,##0\);_(* &quot;-&quot;??_);_(@_)">
                  <c:v>308772.212</c:v>
                </c:pt>
                <c:pt idx="112" formatCode="_(* #,##0_);_(* \(#,##0\);_(* &quot;-&quot;??_);_(@_)">
                  <c:v>357919.12800000003</c:v>
                </c:pt>
                <c:pt idx="113" formatCode="_(* #,##0_);_(* \(#,##0\);_(* &quot;-&quot;??_);_(@_)">
                  <c:v>333654.02600000001</c:v>
                </c:pt>
                <c:pt idx="114" formatCode="_(* #,##0_);_(* \(#,##0\);_(* &quot;-&quot;??_);_(@_)">
                  <c:v>326605.32400000002</c:v>
                </c:pt>
                <c:pt idx="115" formatCode="_(* #,##0_);_(* \(#,##0\);_(* &quot;-&quot;??_);_(@_)">
                  <c:v>331743.65800000005</c:v>
                </c:pt>
                <c:pt idx="116" formatCode="_(* #,##0_);_(* \(#,##0\);_(* &quot;-&quot;??_);_(@_)">
                  <c:v>314029.37200000003</c:v>
                </c:pt>
                <c:pt idx="117" formatCode="_(* #,##0_);_(* \(#,##0\);_(* &quot;-&quot;??_);_(@_)">
                  <c:v>333401.66800000001</c:v>
                </c:pt>
                <c:pt idx="118" formatCode="_(* #,##0_);_(* \(#,##0\);_(* &quot;-&quot;??_);_(@_)">
                  <c:v>379205.14</c:v>
                </c:pt>
                <c:pt idx="119" formatCode="_(* #,##0_);_(* \(#,##0\);_(* &quot;-&quot;??_);_(@_)">
                  <c:v>211770.23499999999</c:v>
                </c:pt>
                <c:pt idx="120" formatCode="_(* #,##0_);_(* \(#,##0\);_(* &quot;-&quot;??_);_(@_)">
                  <c:v>269933</c:v>
                </c:pt>
                <c:pt idx="121" formatCode="_(* #,##0_);_(* \(#,##0\);_(* &quot;-&quot;??_);_(@_)">
                  <c:v>252294</c:v>
                </c:pt>
                <c:pt idx="122" formatCode="_(* #,##0_);_(* \(#,##0\);_(* &quot;-&quot;??_);_(@_)">
                  <c:v>262359</c:v>
                </c:pt>
                <c:pt idx="123" formatCode="_(* #,##0_);_(* \(#,##0\);_(* &quot;-&quot;??_);_(@_)">
                  <c:v>276981</c:v>
                </c:pt>
                <c:pt idx="124" formatCode="_(* #,##0_);_(* \(#,##0\);_(* &quot;-&quot;??_);_(@_)">
                  <c:v>269746</c:v>
                </c:pt>
                <c:pt idx="125" formatCode="_(* #,##0_);_(* \(#,##0\);_(* &quot;-&quot;??_);_(@_)">
                  <c:v>278256</c:v>
                </c:pt>
                <c:pt idx="126" formatCode="_(* #,##0_);_(* \(#,##0\);_(* &quot;-&quot;??_);_(@_)">
                  <c:v>290092</c:v>
                </c:pt>
                <c:pt idx="127" formatCode="_(* #,##0_);_(* \(#,##0\);_(* &quot;-&quot;??_);_(@_)">
                  <c:v>262511</c:v>
                </c:pt>
                <c:pt idx="128" formatCode="_(* #,##0_);_(* \(#,##0\);_(* &quot;-&quot;??_);_(@_)">
                  <c:v>304244</c:v>
                </c:pt>
                <c:pt idx="129" formatCode="_(* #,##0_);_(* \(#,##0\);_(* &quot;-&quot;??_);_(@_)">
                  <c:v>224464</c:v>
                </c:pt>
                <c:pt idx="130" formatCode="_(* #,##0_);_(* \(#,##0\);_(* &quot;-&quot;??_);_(@_)">
                  <c:v>322075</c:v>
                </c:pt>
                <c:pt idx="131" formatCode="_(* #,##0_);_(* \(#,##0\);_(* &quot;-&quot;??_);_(@_)">
                  <c:v>246190</c:v>
                </c:pt>
                <c:pt idx="132" formatCode="_(* #,##0_);_(* \(#,##0\);_(* &quot;-&quot;??_);_(@_)">
                  <c:v>244137</c:v>
                </c:pt>
                <c:pt idx="133" formatCode="_(* #,##0_);_(* \(#,##0\);_(* &quot;-&quot;??_);_(@_)">
                  <c:v>259349</c:v>
                </c:pt>
                <c:pt idx="134" formatCode="_(* #,##0_);_(* \(#,##0\);_(* &quot;-&quot;??_);_(@_)">
                  <c:v>258566</c:v>
                </c:pt>
                <c:pt idx="135" formatCode="_(* #,##0_);_(* \(#,##0\);_(* &quot;-&quot;??_);_(@_)">
                  <c:v>289593</c:v>
                </c:pt>
                <c:pt idx="136" formatCode="_(* #,##0_);_(* \(#,##0\);_(* &quot;-&quot;??_);_(@_)">
                  <c:v>283557</c:v>
                </c:pt>
                <c:pt idx="137" formatCode="_(* #,##0_);_(* \(#,##0\);_(* &quot;-&quot;??_);_(@_)">
                  <c:v>286721</c:v>
                </c:pt>
                <c:pt idx="138" formatCode="_(* #,##0_);_(* \(#,##0\);_(* &quot;-&quot;??_);_(@_)">
                  <c:v>285108</c:v>
                </c:pt>
                <c:pt idx="139" formatCode="_(* #,##0_);_(* \(#,##0\);_(* &quot;-&quot;??_);_(@_)">
                  <c:v>273977</c:v>
                </c:pt>
                <c:pt idx="140" formatCode="_(* #,##0_);_(* \(#,##0\);_(* &quot;-&quot;??_);_(@_)">
                  <c:v>268533</c:v>
                </c:pt>
                <c:pt idx="141" formatCode="_(* #,##0_);_(* \(#,##0\);_(* &quot;-&quot;??_);_(@_)">
                  <c:v>248079</c:v>
                </c:pt>
                <c:pt idx="142" formatCode="_(* #,##0_);_(* \(#,##0\);_(* &quot;-&quot;??_);_(@_)">
                  <c:v>256903</c:v>
                </c:pt>
                <c:pt idx="143" formatCode="_(* #,##0_);_(* \(#,##0\);_(* &quot;-&quot;??_);_(@_)">
                  <c:v>234065</c:v>
                </c:pt>
                <c:pt idx="144" formatCode="_(* #,##0_);_(* \(#,##0\);_(* &quot;-&quot;??_);_(@_)">
                  <c:v>259902</c:v>
                </c:pt>
                <c:pt idx="145" formatCode="_(* #,##0_);_(* \(#,##0\);_(* &quot;-&quot;??_);_(@_)">
                  <c:v>263577</c:v>
                </c:pt>
                <c:pt idx="146" formatCode="_(* #,##0_);_(* \(#,##0\);_(* &quot;-&quot;??_);_(@_)">
                  <c:v>241805</c:v>
                </c:pt>
                <c:pt idx="147" formatCode="_(* #,##0_);_(* \(#,##0\);_(* &quot;-&quot;??_);_(@_)">
                  <c:v>258821</c:v>
                </c:pt>
                <c:pt idx="148" formatCode="_(* #,##0_);_(* \(#,##0\);_(* &quot;-&quot;??_);_(@_)">
                  <c:v>297314</c:v>
                </c:pt>
                <c:pt idx="149" formatCode="_(* #,##0_);_(* \(#,##0\);_(* &quot;-&quot;??_);_(@_)">
                  <c:v>285090</c:v>
                </c:pt>
                <c:pt idx="150" formatCode="_(* #,##0_);_(* \(#,##0\);_(* &quot;-&quot;??_);_(@_)">
                  <c:v>263713</c:v>
                </c:pt>
                <c:pt idx="151" formatCode="_(* #,##0_);_(* \(#,##0\);_(* &quot;-&quot;??_);_(@_)">
                  <c:v>293481</c:v>
                </c:pt>
                <c:pt idx="152" formatCode="_(* #,##0_);_(* \(#,##0\);_(* &quot;-&quot;??_);_(@_)">
                  <c:v>273249</c:v>
                </c:pt>
                <c:pt idx="153" formatCode="_(* #,##0_);_(* \(#,##0\);_(* &quot;-&quot;??_);_(@_)">
                  <c:v>267046</c:v>
                </c:pt>
                <c:pt idx="154" formatCode="_(* #,##0_);_(* \(#,##0\);_(* &quot;-&quot;??_);_(@_)">
                  <c:v>265851</c:v>
                </c:pt>
                <c:pt idx="155" formatCode="_(* #,##0_);_(* \(#,##0\);_(* &quot;-&quot;??_);_(@_)">
                  <c:v>243121</c:v>
                </c:pt>
                <c:pt idx="156" formatCode="_(* #,##0_);_(* \(#,##0\);_(* &quot;-&quot;??_);_(@_)">
                  <c:v>246288</c:v>
                </c:pt>
                <c:pt idx="157" formatCode="_(* #,##0_);_(* \(#,##0\);_(* &quot;-&quot;??_);_(@_)">
                  <c:v>250905</c:v>
                </c:pt>
                <c:pt idx="158" formatCode="_(* #,##0_);_(* \(#,##0\);_(* &quot;-&quot;??_);_(@_)">
                  <c:v>252909</c:v>
                </c:pt>
                <c:pt idx="159" formatCode="_(* #,##0_);_(* \(#,##0\);_(* &quot;-&quot;??_);_(@_)">
                  <c:v>262226</c:v>
                </c:pt>
                <c:pt idx="160" formatCode="_(* #,##0_);_(* \(#,##0\);_(* &quot;-&quot;??_);_(@_)">
                  <c:v>266991</c:v>
                </c:pt>
                <c:pt idx="161" formatCode="_(* #,##0_);_(* \(#,##0\);_(* &quot;-&quot;??_);_(@_)">
                  <c:v>270944</c:v>
                </c:pt>
                <c:pt idx="162" formatCode="_(* #,##0_);_(* \(#,##0\);_(* &quot;-&quot;??_);_(@_)">
                  <c:v>270750</c:v>
                </c:pt>
                <c:pt idx="163" formatCode="_(* #,##0_);_(* \(#,##0\);_(* &quot;-&quot;??_);_(@_)">
                  <c:v>267856</c:v>
                </c:pt>
                <c:pt idx="164" formatCode="_(* #,##0_);_(* \(#,##0\);_(* &quot;-&quot;??_);_(@_)">
                  <c:v>272418</c:v>
                </c:pt>
                <c:pt idx="165" formatCode="_(* #,##0_);_(* \(#,##0\);_(* &quot;-&quot;??_);_(@_)">
                  <c:v>249814</c:v>
                </c:pt>
                <c:pt idx="166" formatCode="_(* #,##0_);_(* \(#,##0\);_(* &quot;-&quot;??_);_(@_)">
                  <c:v>261564</c:v>
                </c:pt>
                <c:pt idx="167" formatCode="_(* #,##0_);_(* \(#,##0\);_(* &quot;-&quot;??_);_(@_)">
                  <c:v>256492</c:v>
                </c:pt>
                <c:pt idx="168" formatCode="_(* #,##0_);_(* \(#,##0\);_(* &quot;-&quot;??_);_(@_)">
                  <c:v>247827</c:v>
                </c:pt>
                <c:pt idx="169" formatCode="_(* #,##0_);_(* \(#,##0\);_(* &quot;-&quot;??_);_(@_)">
                  <c:v>251536</c:v>
                </c:pt>
                <c:pt idx="170" formatCode="_(* #,##0_);_(* \(#,##0\);_(* &quot;-&quot;??_);_(@_)">
                  <c:v>248160</c:v>
                </c:pt>
                <c:pt idx="171" formatCode="_(* #,##0_);_(* \(#,##0\);_(* &quot;-&quot;??_);_(@_)">
                  <c:v>265358</c:v>
                </c:pt>
                <c:pt idx="172" formatCode="_(* #,##0_);_(* \(#,##0\);_(* &quot;-&quot;??_);_(@_)">
                  <c:v>270922</c:v>
                </c:pt>
                <c:pt idx="173" formatCode="_(* #,##0_);_(* \(#,##0\);_(* &quot;-&quot;??_);_(@_)">
                  <c:v>282534</c:v>
                </c:pt>
                <c:pt idx="174" formatCode="_(* #,##0_);_(* \(#,##0\);_(* &quot;-&quot;??_);_(@_)">
                  <c:v>270528</c:v>
                </c:pt>
                <c:pt idx="175" formatCode="_(* #,##0_);_(* \(#,##0\);_(* &quot;-&quot;??_);_(@_)">
                  <c:v>276858</c:v>
                </c:pt>
                <c:pt idx="176" formatCode="_(* #,##0_);_(* \(#,##0\);_(* &quot;-&quot;??_);_(@_)">
                  <c:v>270755</c:v>
                </c:pt>
                <c:pt idx="177" formatCode="_(* #,##0_);_(* \(#,##0\);_(* &quot;-&quot;??_);_(@_)">
                  <c:v>245912</c:v>
                </c:pt>
                <c:pt idx="178" formatCode="_(* #,##0_);_(* \(#,##0\);_(* &quot;-&quot;??_);_(@_)">
                  <c:v>283925</c:v>
                </c:pt>
                <c:pt idx="179" formatCode="_(* #,##0_);_(* \(#,##0\);_(* &quot;-&quot;??_);_(@_)">
                  <c:v>257403</c:v>
                </c:pt>
              </c:numCache>
            </c:numRef>
          </c:val>
        </c:ser>
        <c:marker val="1"/>
        <c:axId val="212857216"/>
        <c:axId val="212859136"/>
      </c:lineChart>
      <c:catAx>
        <c:axId val="212857216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859136"/>
        <c:crosses val="autoZero"/>
        <c:lblAlgn val="ctr"/>
        <c:lblOffset val="100"/>
        <c:tickLblSkip val="12"/>
        <c:tickMarkSkip val="12"/>
      </c:catAx>
      <c:valAx>
        <c:axId val="212859136"/>
        <c:scaling>
          <c:orientation val="minMax"/>
          <c:min val="400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8572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-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 i="0" u="none" strike="noStrike" baseline="0"/>
              <a:t>Industrial  Small Accounts - GS</a:t>
            </a:r>
            <a:r>
              <a:rPr lang="en-US"/>
              <a:t>
MWh - Actual Billing Month</a:t>
            </a:r>
          </a:p>
        </c:rich>
      </c:tx>
      <c:layout>
        <c:manualLayout>
          <c:xMode val="edge"/>
          <c:yMode val="edge"/>
          <c:x val="0.40568705161347746"/>
          <c:y val="3.481015924458487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2506052455046E-2"/>
          <c:y val="0.19936739666886599"/>
          <c:w val="0.87584460906483552"/>
          <c:h val="0.63291237037735237"/>
        </c:manualLayout>
      </c:layout>
      <c:lineChart>
        <c:grouping val="standard"/>
        <c:ser>
          <c:idx val="7"/>
          <c:order val="0"/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IND!$A$197:$A$377</c:f>
              <c:numCache>
                <c:formatCode>General_)</c:formatCode>
                <c:ptCount val="181"/>
                <c:pt idx="0">
                  <c:v>1999</c:v>
                </c:pt>
                <c:pt idx="1">
                  <c:v>1999</c:v>
                </c:pt>
                <c:pt idx="2">
                  <c:v>1999</c:v>
                </c:pt>
                <c:pt idx="3">
                  <c:v>1999</c:v>
                </c:pt>
                <c:pt idx="4">
                  <c:v>1999</c:v>
                </c:pt>
                <c:pt idx="5">
                  <c:v>1999</c:v>
                </c:pt>
                <c:pt idx="6">
                  <c:v>1999</c:v>
                </c:pt>
                <c:pt idx="7">
                  <c:v>1999</c:v>
                </c:pt>
                <c:pt idx="8">
                  <c:v>1999</c:v>
                </c:pt>
                <c:pt idx="9">
                  <c:v>1999</c:v>
                </c:pt>
                <c:pt idx="10">
                  <c:v>1999</c:v>
                </c:pt>
                <c:pt idx="11">
                  <c:v>1999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  <c:pt idx="21">
                  <c:v>2000</c:v>
                </c:pt>
                <c:pt idx="22">
                  <c:v>2000</c:v>
                </c:pt>
                <c:pt idx="23">
                  <c:v>2000</c:v>
                </c:pt>
                <c:pt idx="24">
                  <c:v>2001</c:v>
                </c:pt>
                <c:pt idx="25">
                  <c:v>2001</c:v>
                </c:pt>
                <c:pt idx="26">
                  <c:v>2001</c:v>
                </c:pt>
                <c:pt idx="27">
                  <c:v>2001</c:v>
                </c:pt>
                <c:pt idx="28">
                  <c:v>2001</c:v>
                </c:pt>
                <c:pt idx="29">
                  <c:v>2001</c:v>
                </c:pt>
                <c:pt idx="30">
                  <c:v>2001</c:v>
                </c:pt>
                <c:pt idx="31">
                  <c:v>2001</c:v>
                </c:pt>
                <c:pt idx="32">
                  <c:v>2001</c:v>
                </c:pt>
                <c:pt idx="33">
                  <c:v>2001</c:v>
                </c:pt>
                <c:pt idx="34">
                  <c:v>2001</c:v>
                </c:pt>
                <c:pt idx="35">
                  <c:v>2001</c:v>
                </c:pt>
                <c:pt idx="36">
                  <c:v>2002</c:v>
                </c:pt>
                <c:pt idx="37">
                  <c:v>2002</c:v>
                </c:pt>
                <c:pt idx="38">
                  <c:v>2002</c:v>
                </c:pt>
                <c:pt idx="39">
                  <c:v>2002</c:v>
                </c:pt>
                <c:pt idx="40">
                  <c:v>2002</c:v>
                </c:pt>
                <c:pt idx="41">
                  <c:v>2002</c:v>
                </c:pt>
                <c:pt idx="42">
                  <c:v>2002</c:v>
                </c:pt>
                <c:pt idx="43">
                  <c:v>2002</c:v>
                </c:pt>
                <c:pt idx="44">
                  <c:v>2002</c:v>
                </c:pt>
                <c:pt idx="45">
                  <c:v>2002</c:v>
                </c:pt>
                <c:pt idx="46">
                  <c:v>2002</c:v>
                </c:pt>
                <c:pt idx="47">
                  <c:v>2002</c:v>
                </c:pt>
                <c:pt idx="48">
                  <c:v>2003</c:v>
                </c:pt>
                <c:pt idx="49">
                  <c:v>2003</c:v>
                </c:pt>
                <c:pt idx="50">
                  <c:v>2003</c:v>
                </c:pt>
                <c:pt idx="51">
                  <c:v>2003</c:v>
                </c:pt>
                <c:pt idx="52">
                  <c:v>2003</c:v>
                </c:pt>
                <c:pt idx="53">
                  <c:v>2003</c:v>
                </c:pt>
                <c:pt idx="54">
                  <c:v>2003</c:v>
                </c:pt>
                <c:pt idx="55">
                  <c:v>2003</c:v>
                </c:pt>
                <c:pt idx="56">
                  <c:v>2003</c:v>
                </c:pt>
                <c:pt idx="57">
                  <c:v>2003</c:v>
                </c:pt>
                <c:pt idx="58">
                  <c:v>2003</c:v>
                </c:pt>
                <c:pt idx="59">
                  <c:v>2003</c:v>
                </c:pt>
                <c:pt idx="60">
                  <c:v>2004</c:v>
                </c:pt>
                <c:pt idx="61">
                  <c:v>2004</c:v>
                </c:pt>
                <c:pt idx="62">
                  <c:v>2004</c:v>
                </c:pt>
                <c:pt idx="63">
                  <c:v>2004</c:v>
                </c:pt>
                <c:pt idx="64">
                  <c:v>2004</c:v>
                </c:pt>
                <c:pt idx="65">
                  <c:v>2004</c:v>
                </c:pt>
                <c:pt idx="66">
                  <c:v>2004</c:v>
                </c:pt>
                <c:pt idx="67">
                  <c:v>2004</c:v>
                </c:pt>
                <c:pt idx="68">
                  <c:v>2004</c:v>
                </c:pt>
                <c:pt idx="69">
                  <c:v>2004</c:v>
                </c:pt>
                <c:pt idx="70">
                  <c:v>2004</c:v>
                </c:pt>
                <c:pt idx="71">
                  <c:v>2004</c:v>
                </c:pt>
                <c:pt idx="72">
                  <c:v>2005</c:v>
                </c:pt>
                <c:pt idx="73">
                  <c:v>2005</c:v>
                </c:pt>
                <c:pt idx="74">
                  <c:v>2005</c:v>
                </c:pt>
                <c:pt idx="75">
                  <c:v>2005</c:v>
                </c:pt>
                <c:pt idx="76">
                  <c:v>2005</c:v>
                </c:pt>
                <c:pt idx="77">
                  <c:v>2005</c:v>
                </c:pt>
                <c:pt idx="78">
                  <c:v>2005</c:v>
                </c:pt>
                <c:pt idx="79">
                  <c:v>2005</c:v>
                </c:pt>
                <c:pt idx="80">
                  <c:v>2005</c:v>
                </c:pt>
                <c:pt idx="81">
                  <c:v>2005</c:v>
                </c:pt>
                <c:pt idx="82">
                  <c:v>2005</c:v>
                </c:pt>
                <c:pt idx="83">
                  <c:v>2005</c:v>
                </c:pt>
                <c:pt idx="84">
                  <c:v>2006</c:v>
                </c:pt>
                <c:pt idx="85">
                  <c:v>2006</c:v>
                </c:pt>
                <c:pt idx="86">
                  <c:v>2006</c:v>
                </c:pt>
                <c:pt idx="87">
                  <c:v>2006</c:v>
                </c:pt>
                <c:pt idx="88">
                  <c:v>2006</c:v>
                </c:pt>
                <c:pt idx="89">
                  <c:v>2006</c:v>
                </c:pt>
                <c:pt idx="90">
                  <c:v>2006</c:v>
                </c:pt>
                <c:pt idx="91">
                  <c:v>2006</c:v>
                </c:pt>
                <c:pt idx="92">
                  <c:v>2006</c:v>
                </c:pt>
                <c:pt idx="93">
                  <c:v>2006</c:v>
                </c:pt>
                <c:pt idx="94">
                  <c:v>2006</c:v>
                </c:pt>
                <c:pt idx="95">
                  <c:v>2006</c:v>
                </c:pt>
                <c:pt idx="96">
                  <c:v>2007</c:v>
                </c:pt>
                <c:pt idx="97">
                  <c:v>2007</c:v>
                </c:pt>
                <c:pt idx="98">
                  <c:v>2007</c:v>
                </c:pt>
                <c:pt idx="99">
                  <c:v>2007</c:v>
                </c:pt>
                <c:pt idx="100">
                  <c:v>2007</c:v>
                </c:pt>
                <c:pt idx="101">
                  <c:v>2007</c:v>
                </c:pt>
                <c:pt idx="102">
                  <c:v>2007</c:v>
                </c:pt>
                <c:pt idx="103">
                  <c:v>2007</c:v>
                </c:pt>
                <c:pt idx="104">
                  <c:v>2007</c:v>
                </c:pt>
                <c:pt idx="105">
                  <c:v>2007</c:v>
                </c:pt>
                <c:pt idx="106">
                  <c:v>2007</c:v>
                </c:pt>
                <c:pt idx="107">
                  <c:v>2007</c:v>
                </c:pt>
                <c:pt idx="108">
                  <c:v>2008</c:v>
                </c:pt>
                <c:pt idx="109">
                  <c:v>2008</c:v>
                </c:pt>
                <c:pt idx="110">
                  <c:v>2008</c:v>
                </c:pt>
                <c:pt idx="111">
                  <c:v>2008</c:v>
                </c:pt>
                <c:pt idx="112">
                  <c:v>2008</c:v>
                </c:pt>
                <c:pt idx="113">
                  <c:v>2008</c:v>
                </c:pt>
                <c:pt idx="114">
                  <c:v>2008</c:v>
                </c:pt>
                <c:pt idx="115">
                  <c:v>2008</c:v>
                </c:pt>
                <c:pt idx="116">
                  <c:v>2008</c:v>
                </c:pt>
                <c:pt idx="117">
                  <c:v>2008</c:v>
                </c:pt>
                <c:pt idx="118">
                  <c:v>2008</c:v>
                </c:pt>
                <c:pt idx="119">
                  <c:v>2008</c:v>
                </c:pt>
                <c:pt idx="120">
                  <c:v>2009</c:v>
                </c:pt>
                <c:pt idx="121">
                  <c:v>2009</c:v>
                </c:pt>
                <c:pt idx="122">
                  <c:v>2009</c:v>
                </c:pt>
                <c:pt idx="123">
                  <c:v>2009</c:v>
                </c:pt>
                <c:pt idx="124">
                  <c:v>2009</c:v>
                </c:pt>
                <c:pt idx="125">
                  <c:v>2009</c:v>
                </c:pt>
                <c:pt idx="126">
                  <c:v>2009</c:v>
                </c:pt>
                <c:pt idx="127">
                  <c:v>2009</c:v>
                </c:pt>
                <c:pt idx="128">
                  <c:v>2009</c:v>
                </c:pt>
                <c:pt idx="129">
                  <c:v>2009</c:v>
                </c:pt>
                <c:pt idx="130">
                  <c:v>2009</c:v>
                </c:pt>
                <c:pt idx="131">
                  <c:v>2009</c:v>
                </c:pt>
                <c:pt idx="132">
                  <c:v>2010</c:v>
                </c:pt>
                <c:pt idx="133">
                  <c:v>2010</c:v>
                </c:pt>
                <c:pt idx="134">
                  <c:v>2010</c:v>
                </c:pt>
                <c:pt idx="135">
                  <c:v>2010</c:v>
                </c:pt>
                <c:pt idx="136">
                  <c:v>2010</c:v>
                </c:pt>
                <c:pt idx="137">
                  <c:v>2010</c:v>
                </c:pt>
                <c:pt idx="138">
                  <c:v>2010</c:v>
                </c:pt>
                <c:pt idx="139">
                  <c:v>2010</c:v>
                </c:pt>
                <c:pt idx="140">
                  <c:v>2010</c:v>
                </c:pt>
                <c:pt idx="141">
                  <c:v>2010</c:v>
                </c:pt>
                <c:pt idx="142">
                  <c:v>2010</c:v>
                </c:pt>
                <c:pt idx="143">
                  <c:v>2010</c:v>
                </c:pt>
                <c:pt idx="144">
                  <c:v>2011</c:v>
                </c:pt>
                <c:pt idx="145">
                  <c:v>2011</c:v>
                </c:pt>
                <c:pt idx="146">
                  <c:v>2011</c:v>
                </c:pt>
                <c:pt idx="147">
                  <c:v>2011</c:v>
                </c:pt>
                <c:pt idx="148">
                  <c:v>2011</c:v>
                </c:pt>
                <c:pt idx="149">
                  <c:v>2011</c:v>
                </c:pt>
                <c:pt idx="150">
                  <c:v>2011</c:v>
                </c:pt>
                <c:pt idx="151">
                  <c:v>2011</c:v>
                </c:pt>
                <c:pt idx="152">
                  <c:v>2011</c:v>
                </c:pt>
                <c:pt idx="153">
                  <c:v>2011</c:v>
                </c:pt>
                <c:pt idx="154">
                  <c:v>2011</c:v>
                </c:pt>
                <c:pt idx="155">
                  <c:v>2011</c:v>
                </c:pt>
                <c:pt idx="156">
                  <c:v>2012</c:v>
                </c:pt>
                <c:pt idx="157">
                  <c:v>2012</c:v>
                </c:pt>
                <c:pt idx="158">
                  <c:v>2012</c:v>
                </c:pt>
                <c:pt idx="159">
                  <c:v>2012</c:v>
                </c:pt>
                <c:pt idx="160">
                  <c:v>2012</c:v>
                </c:pt>
                <c:pt idx="161">
                  <c:v>2012</c:v>
                </c:pt>
                <c:pt idx="162">
                  <c:v>2012</c:v>
                </c:pt>
                <c:pt idx="163">
                  <c:v>2012</c:v>
                </c:pt>
                <c:pt idx="164">
                  <c:v>2012</c:v>
                </c:pt>
                <c:pt idx="165">
                  <c:v>2012</c:v>
                </c:pt>
                <c:pt idx="166">
                  <c:v>2012</c:v>
                </c:pt>
                <c:pt idx="167">
                  <c:v>2012</c:v>
                </c:pt>
                <c:pt idx="168">
                  <c:v>2013</c:v>
                </c:pt>
                <c:pt idx="169">
                  <c:v>2013</c:v>
                </c:pt>
                <c:pt idx="170">
                  <c:v>2013</c:v>
                </c:pt>
                <c:pt idx="171">
                  <c:v>2013</c:v>
                </c:pt>
                <c:pt idx="172">
                  <c:v>2013</c:v>
                </c:pt>
                <c:pt idx="173">
                  <c:v>2013</c:v>
                </c:pt>
                <c:pt idx="174">
                  <c:v>2013</c:v>
                </c:pt>
                <c:pt idx="175">
                  <c:v>2013</c:v>
                </c:pt>
                <c:pt idx="176">
                  <c:v>2013</c:v>
                </c:pt>
                <c:pt idx="177">
                  <c:v>2013</c:v>
                </c:pt>
                <c:pt idx="178">
                  <c:v>2013</c:v>
                </c:pt>
                <c:pt idx="179">
                  <c:v>2013</c:v>
                </c:pt>
                <c:pt idx="180">
                  <c:v>2014</c:v>
                </c:pt>
              </c:numCache>
            </c:numRef>
          </c:cat>
          <c:val>
            <c:numRef>
              <c:f>IND!$AK$197:$AK$377</c:f>
              <c:numCache>
                <c:formatCode>#,##0</c:formatCode>
                <c:ptCount val="181"/>
                <c:pt idx="0">
                  <c:v>2837.4749999999999</c:v>
                </c:pt>
                <c:pt idx="1">
                  <c:v>2853.143</c:v>
                </c:pt>
                <c:pt idx="2">
                  <c:v>2888.364</c:v>
                </c:pt>
                <c:pt idx="3">
                  <c:v>2117.663</c:v>
                </c:pt>
                <c:pt idx="4" formatCode="_(* #,##0_);_(* \(#,##0\);_(* &quot;-&quot;??_);_(@_)">
                  <c:v>3075.087</c:v>
                </c:pt>
                <c:pt idx="5" formatCode="_(* #,##0_);_(* \(#,##0\);_(* &quot;-&quot;??_);_(@_)">
                  <c:v>2396.2849999999999</c:v>
                </c:pt>
                <c:pt idx="6" formatCode="_(* #,##0_);_(* \(#,##0\);_(* &quot;-&quot;??_);_(@_)">
                  <c:v>2496.116</c:v>
                </c:pt>
                <c:pt idx="7" formatCode="_(* #,##0_);_(* \(#,##0\);_(* &quot;-&quot;??_);_(@_)">
                  <c:v>3006.58</c:v>
                </c:pt>
                <c:pt idx="8" formatCode="_(* #,##0_);_(* \(#,##0\);_(* &quot;-&quot;??_);_(@_)">
                  <c:v>3104.68</c:v>
                </c:pt>
                <c:pt idx="9" formatCode="_(* #,##0_);_(* \(#,##0\);_(* &quot;-&quot;??_);_(@_)">
                  <c:v>1500.2429999999999</c:v>
                </c:pt>
                <c:pt idx="10" formatCode="_(* #,##0_);_(* \(#,##0\);_(* &quot;-&quot;??_);_(@_)">
                  <c:v>2587.8449999999998</c:v>
                </c:pt>
                <c:pt idx="11" formatCode="_(* #,##0_);_(* \(#,##0\);_(* &quot;-&quot;??_);_(@_)">
                  <c:v>2465.424</c:v>
                </c:pt>
                <c:pt idx="12" formatCode="_(* #,##0_);_(* \(#,##0\);_(* &quot;-&quot;??_);_(@_)">
                  <c:v>2231.404</c:v>
                </c:pt>
                <c:pt idx="13" formatCode="_(* #,##0_);_(* \(#,##0\);_(* &quot;-&quot;??_);_(@_)">
                  <c:v>2886.375</c:v>
                </c:pt>
                <c:pt idx="14" formatCode="_(* #,##0_);_(* \(#,##0\);_(* &quot;-&quot;??_);_(@_)">
                  <c:v>2420.9380000000001</c:v>
                </c:pt>
                <c:pt idx="15" formatCode="_(* #,##0_);_(* \(#,##0\);_(* &quot;-&quot;??_);_(@_)">
                  <c:v>2797.377</c:v>
                </c:pt>
                <c:pt idx="16" formatCode="_(* #,##0_);_(* \(#,##0\);_(* &quot;-&quot;??_);_(@_)">
                  <c:v>1525.3910000000001</c:v>
                </c:pt>
                <c:pt idx="17" formatCode="_(* #,##0_);_(* \(#,##0\);_(* &quot;-&quot;??_);_(@_)">
                  <c:v>2750.2060000000001</c:v>
                </c:pt>
                <c:pt idx="18" formatCode="_(* #,##0_);_(* \(#,##0\);_(* &quot;-&quot;??_);_(@_)">
                  <c:v>3242.502</c:v>
                </c:pt>
                <c:pt idx="19" formatCode="_(* #,##0_);_(* \(#,##0\);_(* &quot;-&quot;??_);_(@_)">
                  <c:v>2938.1039999999998</c:v>
                </c:pt>
                <c:pt idx="20" formatCode="_(* #,##0_);_(* \(#,##0\);_(* &quot;-&quot;??_);_(@_)">
                  <c:v>2674.4650000000001</c:v>
                </c:pt>
                <c:pt idx="21" formatCode="_(* #,##0_);_(* \(#,##0\);_(* &quot;-&quot;??_);_(@_)">
                  <c:v>2329.0549999999998</c:v>
                </c:pt>
                <c:pt idx="22" formatCode="_(* #,##0_);_(* \(#,##0\);_(* &quot;-&quot;??_);_(@_)">
                  <c:v>2564.2579999999998</c:v>
                </c:pt>
                <c:pt idx="23" formatCode="_(* #,##0_);_(* \(#,##0\);_(* &quot;-&quot;??_);_(@_)">
                  <c:v>2225.8510000000001</c:v>
                </c:pt>
                <c:pt idx="24" formatCode="_(* #,##0_);_(* \(#,##0\);_(* &quot;-&quot;??_);_(@_)">
                  <c:v>3352.1460000000002</c:v>
                </c:pt>
                <c:pt idx="25" formatCode="_(* #,##0_);_(* \(#,##0\);_(* &quot;-&quot;??_);_(@_)">
                  <c:v>2239.5700000000002</c:v>
                </c:pt>
                <c:pt idx="26" formatCode="_(* #,##0_);_(* \(#,##0\);_(* &quot;-&quot;??_);_(@_)">
                  <c:v>2243.2869999999998</c:v>
                </c:pt>
                <c:pt idx="27" formatCode="_(* #,##0_);_(* \(#,##0\);_(* &quot;-&quot;??_);_(@_)">
                  <c:v>3316.2440000000001</c:v>
                </c:pt>
                <c:pt idx="28" formatCode="_(* #,##0_);_(* \(#,##0\);_(* &quot;-&quot;??_);_(@_)">
                  <c:v>2817.5639999999999</c:v>
                </c:pt>
                <c:pt idx="29" formatCode="_(* #,##0_);_(* \(#,##0\);_(* &quot;-&quot;??_);_(@_)">
                  <c:v>2971.9369999999999</c:v>
                </c:pt>
                <c:pt idx="30" formatCode="_(* #,##0_);_(* \(#,##0\);_(* &quot;-&quot;??_);_(@_)">
                  <c:v>3602.9760000000001</c:v>
                </c:pt>
                <c:pt idx="31" formatCode="_(* #,##0_);_(* \(#,##0\);_(* &quot;-&quot;??_);_(@_)">
                  <c:v>4045.067</c:v>
                </c:pt>
                <c:pt idx="32" formatCode="_(* #,##0_);_(* \(#,##0\);_(* &quot;-&quot;??_);_(@_)">
                  <c:v>2786.1819999999998</c:v>
                </c:pt>
                <c:pt idx="33" formatCode="_(* #,##0_);_(* \(#,##0\);_(* &quot;-&quot;??_);_(@_)">
                  <c:v>3107.7350000000001</c:v>
                </c:pt>
                <c:pt idx="34" formatCode="_(* #,##0_);_(* \(#,##0\);_(* &quot;-&quot;??_);_(@_)">
                  <c:v>2784.384</c:v>
                </c:pt>
                <c:pt idx="35" formatCode="_(* #,##0_);_(* \(#,##0\);_(* &quot;-&quot;??_);_(@_)">
                  <c:v>2545.348</c:v>
                </c:pt>
                <c:pt idx="36" formatCode="_(* #,##0_);_(* \(#,##0\);_(* &quot;-&quot;??_);_(@_)">
                  <c:v>2188.1729999999998</c:v>
                </c:pt>
                <c:pt idx="37" formatCode="_(* #,##0_);_(* \(#,##0\);_(* &quot;-&quot;??_);_(@_)">
                  <c:v>2804.1289999999999</c:v>
                </c:pt>
                <c:pt idx="38" formatCode="_(* #,##0_);_(* \(#,##0\);_(* &quot;-&quot;??_);_(@_)">
                  <c:v>2734.2240000000002</c:v>
                </c:pt>
                <c:pt idx="39" formatCode="_(* #,##0_);_(* \(#,##0\);_(* &quot;-&quot;??_);_(@_)">
                  <c:v>2785.4740000000002</c:v>
                </c:pt>
                <c:pt idx="40" formatCode="_(* #,##0_);_(* \(#,##0\);_(* &quot;-&quot;??_);_(@_)">
                  <c:v>3126.66</c:v>
                </c:pt>
                <c:pt idx="41" formatCode="_(* #,##0_);_(* \(#,##0\);_(* &quot;-&quot;??_);_(@_)">
                  <c:v>3592.0169999999998</c:v>
                </c:pt>
                <c:pt idx="42" formatCode="_(* #,##0_);_(* \(#,##0\);_(* &quot;-&quot;??_);_(@_)">
                  <c:v>3183</c:v>
                </c:pt>
                <c:pt idx="43" formatCode="_(* #,##0_);_(* \(#,##0\);_(* &quot;-&quot;??_);_(@_)">
                  <c:v>3183</c:v>
                </c:pt>
                <c:pt idx="44" formatCode="_(* #,##0_);_(* \(#,##0\);_(* &quot;-&quot;??_);_(@_)">
                  <c:v>3574.4160000000002</c:v>
                </c:pt>
                <c:pt idx="45" formatCode="_(* #,##0_);_(* \(#,##0\);_(* &quot;-&quot;??_);_(@_)">
                  <c:v>3488.181</c:v>
                </c:pt>
                <c:pt idx="46" formatCode="_(* #,##0_);_(* \(#,##0\);_(* &quot;-&quot;??_);_(@_)">
                  <c:v>4165.8379999999997</c:v>
                </c:pt>
                <c:pt idx="47" formatCode="_(* #,##0_);_(* \(#,##0\);_(* &quot;-&quot;??_);_(@_)">
                  <c:v>3513.6170000000002</c:v>
                </c:pt>
                <c:pt idx="48" formatCode="_(* #,##0_);_(* \(#,##0\);_(* &quot;-&quot;??_);_(@_)">
                  <c:v>2943.134</c:v>
                </c:pt>
                <c:pt idx="49" formatCode="_(* #,##0_);_(* \(#,##0\);_(* &quot;-&quot;??_);_(@_)">
                  <c:v>2936.8690000000001</c:v>
                </c:pt>
                <c:pt idx="50" formatCode="_(* #,##0_);_(* \(#,##0\);_(* &quot;-&quot;??_);_(@_)">
                  <c:v>3647.8310000000001</c:v>
                </c:pt>
                <c:pt idx="51" formatCode="_(* #,##0_);_(* \(#,##0\);_(* &quot;-&quot;??_);_(@_)">
                  <c:v>3666.1950000000002</c:v>
                </c:pt>
                <c:pt idx="52" formatCode="_(* #,##0_);_(* \(#,##0\);_(* &quot;-&quot;??_);_(@_)">
                  <c:v>5078.1109999999999</c:v>
                </c:pt>
                <c:pt idx="53" formatCode="_(* #,##0_);_(* \(#,##0\);_(* &quot;-&quot;??_);_(@_)">
                  <c:v>4837.7939999999999</c:v>
                </c:pt>
                <c:pt idx="54" formatCode="_(* #,##0_);_(* \(#,##0\);_(* &quot;-&quot;??_);_(@_)">
                  <c:v>4105.8320000000003</c:v>
                </c:pt>
                <c:pt idx="55" formatCode="_(* #,##0_);_(* \(#,##0\);_(* &quot;-&quot;??_);_(@_)">
                  <c:v>4422.701</c:v>
                </c:pt>
                <c:pt idx="56" formatCode="_(* #,##0_);_(* \(#,##0\);_(* &quot;-&quot;??_);_(@_)">
                  <c:v>4016.3980000000001</c:v>
                </c:pt>
                <c:pt idx="57" formatCode="_(* #,##0_);_(* \(#,##0\);_(* &quot;-&quot;??_);_(@_)">
                  <c:v>4266.3900000000003</c:v>
                </c:pt>
                <c:pt idx="58" formatCode="_(* #,##0_);_(* \(#,##0\);_(* &quot;-&quot;??_);_(@_)">
                  <c:v>3870.7939999999999</c:v>
                </c:pt>
                <c:pt idx="59" formatCode="_(* #,##0_);_(* \(#,##0\);_(* &quot;-&quot;??_);_(@_)">
                  <c:v>3175.8130000000001</c:v>
                </c:pt>
                <c:pt idx="60" formatCode="_(* #,##0_);_(* \(#,##0\);_(* &quot;-&quot;??_);_(@_)">
                  <c:v>2864.3719999999998</c:v>
                </c:pt>
                <c:pt idx="61" formatCode="_(* #,##0_);_(* \(#,##0\);_(* &quot;-&quot;??_);_(@_)">
                  <c:v>2966.3620000000001</c:v>
                </c:pt>
                <c:pt idx="62" formatCode="_(* #,##0_);_(* \(#,##0\);_(* &quot;-&quot;??_);_(@_)">
                  <c:v>3721.4369999999999</c:v>
                </c:pt>
                <c:pt idx="63" formatCode="_(* #,##0_);_(* \(#,##0\);_(* &quot;-&quot;??_);_(@_)">
                  <c:v>5415.7629999999999</c:v>
                </c:pt>
                <c:pt idx="64" formatCode="_(* #,##0_);_(* \(#,##0\);_(* &quot;-&quot;??_);_(@_)">
                  <c:v>2905.107</c:v>
                </c:pt>
                <c:pt idx="65" formatCode="_(* #,##0_);_(* \(#,##0\);_(* &quot;-&quot;??_);_(@_)">
                  <c:v>3653.808</c:v>
                </c:pt>
                <c:pt idx="66" formatCode="_(* #,##0_);_(* \(#,##0\);_(* &quot;-&quot;??_);_(@_)">
                  <c:v>4475.7950000000001</c:v>
                </c:pt>
                <c:pt idx="67" formatCode="_(* #,##0_);_(* \(#,##0\);_(* &quot;-&quot;??_);_(@_)">
                  <c:v>3644.806</c:v>
                </c:pt>
                <c:pt idx="68" formatCode="_(* #,##0_);_(* \(#,##0\);_(* &quot;-&quot;??_);_(@_)">
                  <c:v>3495.8270000000002</c:v>
                </c:pt>
                <c:pt idx="69" formatCode="_(* #,##0_);_(* \(#,##0\);_(* &quot;-&quot;??_);_(@_)">
                  <c:v>3418.9090000000001</c:v>
                </c:pt>
                <c:pt idx="70" formatCode="_(* #,##0_);_(* \(#,##0\);_(* &quot;-&quot;??_);_(@_)">
                  <c:v>3538.5880000000002</c:v>
                </c:pt>
                <c:pt idx="71" formatCode="_(* #,##0_);_(* \(#,##0\);_(* &quot;-&quot;??_);_(@_)">
                  <c:v>3018.8220000000001</c:v>
                </c:pt>
                <c:pt idx="72" formatCode="_(* #,##0_);_(* \(#,##0\);_(* &quot;-&quot;??_);_(@_)">
                  <c:v>2775.2890000000002</c:v>
                </c:pt>
                <c:pt idx="73" formatCode="_(* #,##0_);_(* \(#,##0\);_(* &quot;-&quot;??_);_(@_)">
                  <c:v>2981.2910000000002</c:v>
                </c:pt>
                <c:pt idx="74" formatCode="_(* #,##0_);_(* \(#,##0\);_(* &quot;-&quot;??_);_(@_)">
                  <c:v>3359.4070000000002</c:v>
                </c:pt>
                <c:pt idx="75" formatCode="_(* #,##0_);_(* \(#,##0\);_(* &quot;-&quot;??_);_(@_)">
                  <c:v>2925.8290000000002</c:v>
                </c:pt>
                <c:pt idx="76" formatCode="_(* #,##0_);_(* \(#,##0\);_(* &quot;-&quot;??_);_(@_)">
                  <c:v>3135.5219999999999</c:v>
                </c:pt>
                <c:pt idx="77" formatCode="_(* #,##0_);_(* \(#,##0\);_(* &quot;-&quot;??_);_(@_)">
                  <c:v>3292.395</c:v>
                </c:pt>
                <c:pt idx="78" formatCode="_(* #,##0_);_(* \(#,##0\);_(* &quot;-&quot;??_);_(@_)">
                  <c:v>4004.076</c:v>
                </c:pt>
                <c:pt idx="79" formatCode="_(* #,##0_);_(* \(#,##0\);_(* &quot;-&quot;??_);_(@_)">
                  <c:v>4260.3540000000003</c:v>
                </c:pt>
                <c:pt idx="80" formatCode="_(* #,##0_);_(* \(#,##0\);_(* &quot;-&quot;??_);_(@_)">
                  <c:v>4108.9650000000001</c:v>
                </c:pt>
                <c:pt idx="81" formatCode="_(* #,##0_);_(* \(#,##0\);_(* &quot;-&quot;??_);_(@_)">
                  <c:v>4689.4830000000002</c:v>
                </c:pt>
                <c:pt idx="82" formatCode="_(* #,##0_);_(* \(#,##0\);_(* &quot;-&quot;??_);_(@_)">
                  <c:v>3788.2930000000001</c:v>
                </c:pt>
                <c:pt idx="83" formatCode="_(* #,##0_);_(* \(#,##0\);_(* &quot;-&quot;??_);_(@_)">
                  <c:v>2886.3420000000001</c:v>
                </c:pt>
                <c:pt idx="84" formatCode="_(* #,##0_);_(* \(#,##0\);_(* &quot;-&quot;??_);_(@_)">
                  <c:v>2951.1460000000002</c:v>
                </c:pt>
                <c:pt idx="85" formatCode="_(* #,##0_);_(* \(#,##0\);_(* &quot;-&quot;??_);_(@_)">
                  <c:v>2422.12</c:v>
                </c:pt>
                <c:pt idx="86" formatCode="_(* #,##0_);_(* \(#,##0\);_(* &quot;-&quot;??_);_(@_)">
                  <c:v>2798.6860000000001</c:v>
                </c:pt>
                <c:pt idx="87" formatCode="_(* #,##0_);_(* \(#,##0\);_(* &quot;-&quot;??_);_(@_)">
                  <c:v>4199.55</c:v>
                </c:pt>
                <c:pt idx="88" formatCode="_(* #,##0_);_(* \(#,##0\);_(* &quot;-&quot;??_);_(@_)">
                  <c:v>3383.23</c:v>
                </c:pt>
                <c:pt idx="89" formatCode="_(* #,##0_);_(* \(#,##0\);_(* &quot;-&quot;??_);_(@_)">
                  <c:v>3259.748</c:v>
                </c:pt>
                <c:pt idx="90" formatCode="_(* #,##0_);_(* \(#,##0\);_(* &quot;-&quot;??_);_(@_)">
                  <c:v>3165.6930000000002</c:v>
                </c:pt>
                <c:pt idx="91" formatCode="_(* #,##0_);_(* \(#,##0\);_(* &quot;-&quot;??_);_(@_)">
                  <c:v>3410.3530000000001</c:v>
                </c:pt>
                <c:pt idx="92" formatCode="_(* #,##0_);_(* \(#,##0\);_(* &quot;-&quot;??_);_(@_)">
                  <c:v>3067.05</c:v>
                </c:pt>
                <c:pt idx="93" formatCode="_(* #,##0_);_(* \(#,##0\);_(* &quot;-&quot;??_);_(@_)">
                  <c:v>3045.5610000000001</c:v>
                </c:pt>
                <c:pt idx="94" formatCode="_(* #,##0_);_(* \(#,##0\);_(* &quot;-&quot;??_);_(@_)">
                  <c:v>3042.2869999999998</c:v>
                </c:pt>
                <c:pt idx="95" formatCode="_(* #,##0_);_(* \(#,##0\);_(* &quot;-&quot;??_);_(@_)">
                  <c:v>2957.5230000000001</c:v>
                </c:pt>
                <c:pt idx="96" formatCode="_(* #,##0_);_(* \(#,##0\);_(* &quot;-&quot;??_);_(@_)">
                  <c:v>2432.7950000000001</c:v>
                </c:pt>
                <c:pt idx="97" formatCode="_(* #,##0_);_(* \(#,##0\);_(* &quot;-&quot;??_);_(@_)">
                  <c:v>2777.26</c:v>
                </c:pt>
                <c:pt idx="98" formatCode="_(* #,##0_);_(* \(#,##0\);_(* &quot;-&quot;??_);_(@_)">
                  <c:v>3142.0329999999999</c:v>
                </c:pt>
                <c:pt idx="99" formatCode="_(* #,##0_);_(* \(#,##0\);_(* &quot;-&quot;??_);_(@_)">
                  <c:v>2615.143</c:v>
                </c:pt>
                <c:pt idx="100" formatCode="_(* #,##0_);_(* \(#,##0\);_(* &quot;-&quot;??_);_(@_)">
                  <c:v>2787.52</c:v>
                </c:pt>
                <c:pt idx="101" formatCode="_(* #,##0_);_(* \(#,##0\);_(* &quot;-&quot;??_);_(@_)">
                  <c:v>2843.4879999999998</c:v>
                </c:pt>
                <c:pt idx="102" formatCode="_(* #,##0_);_(* \(#,##0\);_(* &quot;-&quot;??_);_(@_)">
                  <c:v>2872.3290000000002</c:v>
                </c:pt>
                <c:pt idx="103" formatCode="_(* #,##0_);_(* \(#,##0\);_(* &quot;-&quot;??_);_(@_)">
                  <c:v>3323.7049999999999</c:v>
                </c:pt>
                <c:pt idx="104" formatCode="_(* #,##0_);_(* \(#,##0\);_(* &quot;-&quot;??_);_(@_)">
                  <c:v>3365.8359999999998</c:v>
                </c:pt>
                <c:pt idx="105" formatCode="_(* #,##0_);_(* \(#,##0\);_(* &quot;-&quot;??_);_(@_)">
                  <c:v>2807.982</c:v>
                </c:pt>
                <c:pt idx="106" formatCode="_(* #,##0_);_(* \(#,##0\);_(* &quot;-&quot;??_);_(@_)">
                  <c:v>2668.6869999999999</c:v>
                </c:pt>
                <c:pt idx="107" formatCode="_(* #,##0_);_(* \(#,##0\);_(* &quot;-&quot;??_);_(@_)">
                  <c:v>2350.9609999999998</c:v>
                </c:pt>
                <c:pt idx="108" formatCode="_(* #,##0_);_(* \(#,##0\);_(* &quot;-&quot;??_);_(@_)">
                  <c:v>1535.9649999999999</c:v>
                </c:pt>
                <c:pt idx="109" formatCode="_(* #,##0_);_(* \(#,##0\);_(* &quot;-&quot;??_);_(@_)">
                  <c:v>2135.8209999999999</c:v>
                </c:pt>
                <c:pt idx="110" formatCode="_(* #,##0_);_(* \(#,##0\);_(* &quot;-&quot;??_);_(@_)">
                  <c:v>2152.029</c:v>
                </c:pt>
                <c:pt idx="111" formatCode="_(* #,##0_);_(* \(#,##0\);_(* &quot;-&quot;??_);_(@_)">
                  <c:v>2292.8040000000001</c:v>
                </c:pt>
                <c:pt idx="112" formatCode="_(* #,##0_);_(* \(#,##0\);_(* &quot;-&quot;??_);_(@_)">
                  <c:v>2505.3609999999999</c:v>
                </c:pt>
                <c:pt idx="113" formatCode="_(* #,##0_);_(* \(#,##0\);_(* &quot;-&quot;??_);_(@_)">
                  <c:v>2362.2460000000001</c:v>
                </c:pt>
                <c:pt idx="114" formatCode="_(* #,##0_);_(* \(#,##0\);_(* &quot;-&quot;??_);_(@_)">
                  <c:v>2340.9690000000001</c:v>
                </c:pt>
                <c:pt idx="115" formatCode="_(* #,##0_);_(* \(#,##0\);_(* &quot;-&quot;??_);_(@_)">
                  <c:v>2555.0839999999998</c:v>
                </c:pt>
                <c:pt idx="116" formatCode="_(* #,##0_);_(* \(#,##0\);_(* &quot;-&quot;??_);_(@_)">
                  <c:v>2515.4299999999998</c:v>
                </c:pt>
                <c:pt idx="117" formatCode="_(* #,##0_);_(* \(#,##0\);_(* &quot;-&quot;??_);_(@_)">
                  <c:v>2122.6129999999998</c:v>
                </c:pt>
                <c:pt idx="118" formatCode="_(* #,##0_);_(* \(#,##0\);_(* &quot;-&quot;??_);_(@_)">
                  <c:v>1983.002</c:v>
                </c:pt>
                <c:pt idx="119" formatCode="_(* #,##0_);_(* \(#,##0\);_(* &quot;-&quot;??_);_(@_)">
                  <c:v>1687.576</c:v>
                </c:pt>
                <c:pt idx="120" formatCode="_(* #,##0_);_(* \(#,##0\);_(* &quot;-&quot;??_);_(@_)">
                  <c:v>1536</c:v>
                </c:pt>
                <c:pt idx="121" formatCode="_(* #,##0_);_(* \(#,##0\);_(* &quot;-&quot;??_);_(@_)">
                  <c:v>1763</c:v>
                </c:pt>
                <c:pt idx="122" formatCode="_(* #,##0_);_(* \(#,##0\);_(* &quot;-&quot;??_);_(@_)">
                  <c:v>1805</c:v>
                </c:pt>
                <c:pt idx="123" formatCode="_(* #,##0_);_(* \(#,##0\);_(* &quot;-&quot;??_);_(@_)">
                  <c:v>1794</c:v>
                </c:pt>
                <c:pt idx="124" formatCode="_(* #,##0_);_(* \(#,##0\);_(* &quot;-&quot;??_);_(@_)">
                  <c:v>1790</c:v>
                </c:pt>
                <c:pt idx="125" formatCode="_(* #,##0_);_(* \(#,##0\);_(* &quot;-&quot;??_);_(@_)">
                  <c:v>2039</c:v>
                </c:pt>
                <c:pt idx="126" formatCode="_(* #,##0_);_(* \(#,##0\);_(* &quot;-&quot;??_);_(@_)">
                  <c:v>1974</c:v>
                </c:pt>
                <c:pt idx="127" formatCode="_(* #,##0_);_(* \(#,##0\);_(* &quot;-&quot;??_);_(@_)">
                  <c:v>1986</c:v>
                </c:pt>
                <c:pt idx="128" formatCode="_(* #,##0_);_(* \(#,##0\);_(* &quot;-&quot;??_);_(@_)">
                  <c:v>1954</c:v>
                </c:pt>
                <c:pt idx="129" formatCode="_(* #,##0_);_(* \(#,##0\);_(* &quot;-&quot;??_);_(@_)">
                  <c:v>1946</c:v>
                </c:pt>
                <c:pt idx="130" formatCode="_(* #,##0_);_(* \(#,##0\);_(* &quot;-&quot;??_);_(@_)">
                  <c:v>1870</c:v>
                </c:pt>
                <c:pt idx="131" formatCode="_(* #,##0_);_(* \(#,##0\);_(* &quot;-&quot;??_);_(@_)">
                  <c:v>1612</c:v>
                </c:pt>
                <c:pt idx="132" formatCode="_(* #,##0_);_(* \(#,##0\);_(* &quot;-&quot;??_);_(@_)">
                  <c:v>1583</c:v>
                </c:pt>
                <c:pt idx="133" formatCode="_(* #,##0_);_(* \(#,##0\);_(* &quot;-&quot;??_);_(@_)">
                  <c:v>1601</c:v>
                </c:pt>
                <c:pt idx="134" formatCode="_(* #,##0_);_(* \(#,##0\);_(* &quot;-&quot;??_);_(@_)">
                  <c:v>2006</c:v>
                </c:pt>
                <c:pt idx="135" formatCode="_(* #,##0_);_(* \(#,##0\);_(* &quot;-&quot;??_);_(@_)">
                  <c:v>1874</c:v>
                </c:pt>
                <c:pt idx="136" formatCode="_(* #,##0_);_(* \(#,##0\);_(* &quot;-&quot;??_);_(@_)">
                  <c:v>2028</c:v>
                </c:pt>
                <c:pt idx="137" formatCode="_(* #,##0_);_(* \(#,##0\);_(* &quot;-&quot;??_);_(@_)">
                  <c:v>2112</c:v>
                </c:pt>
                <c:pt idx="138" formatCode="_(* #,##0_);_(* \(#,##0\);_(* &quot;-&quot;??_);_(@_)">
                  <c:v>2560</c:v>
                </c:pt>
                <c:pt idx="139" formatCode="_(* #,##0_);_(* \(#,##0\);_(* &quot;-&quot;??_);_(@_)">
                  <c:v>2758</c:v>
                </c:pt>
                <c:pt idx="140" formatCode="_(* #,##0_);_(* \(#,##0\);_(* &quot;-&quot;??_);_(@_)">
                  <c:v>2307</c:v>
                </c:pt>
                <c:pt idx="141" formatCode="_(* #,##0_);_(* \(#,##0\);_(* &quot;-&quot;??_);_(@_)">
                  <c:v>2554</c:v>
                </c:pt>
                <c:pt idx="142" formatCode="_(* #,##0_);_(* \(#,##0\);_(* &quot;-&quot;??_);_(@_)">
                  <c:v>2970</c:v>
                </c:pt>
                <c:pt idx="143" formatCode="_(* #,##0_);_(* \(#,##0\);_(* &quot;-&quot;??_);_(@_)">
                  <c:v>2323</c:v>
                </c:pt>
                <c:pt idx="144" formatCode="_(* #,##0_);_(* \(#,##0\);_(* &quot;-&quot;??_);_(@_)">
                  <c:v>1796</c:v>
                </c:pt>
                <c:pt idx="145" formatCode="_(* #,##0_);_(* \(#,##0\);_(* &quot;-&quot;??_);_(@_)">
                  <c:v>1948</c:v>
                </c:pt>
                <c:pt idx="146" formatCode="_(* #,##0_);_(* \(#,##0\);_(* &quot;-&quot;??_);_(@_)">
                  <c:v>1950</c:v>
                </c:pt>
                <c:pt idx="147" formatCode="_(* #,##0_);_(* \(#,##0\);_(* &quot;-&quot;??_);_(@_)">
                  <c:v>2205</c:v>
                </c:pt>
                <c:pt idx="148" formatCode="_(* #,##0_);_(* \(#,##0\);_(* &quot;-&quot;??_);_(@_)">
                  <c:v>2261</c:v>
                </c:pt>
                <c:pt idx="149" formatCode="_(* #,##0_);_(* \(#,##0\);_(* &quot;-&quot;??_);_(@_)">
                  <c:v>2372</c:v>
                </c:pt>
                <c:pt idx="150" formatCode="_(* #,##0_);_(* \(#,##0\);_(* &quot;-&quot;??_);_(@_)">
                  <c:v>2203</c:v>
                </c:pt>
                <c:pt idx="151" formatCode="_(* #,##0_);_(* \(#,##0\);_(* &quot;-&quot;??_);_(@_)">
                  <c:v>2449</c:v>
                </c:pt>
                <c:pt idx="152" formatCode="_(* #,##0_);_(* \(#,##0\);_(* &quot;-&quot;??_);_(@_)">
                  <c:v>2326</c:v>
                </c:pt>
                <c:pt idx="153" formatCode="_(* #,##0_);_(* \(#,##0\);_(* &quot;-&quot;??_);_(@_)">
                  <c:v>2205</c:v>
                </c:pt>
                <c:pt idx="154" formatCode="_(* #,##0_);_(* \(#,##0\);_(* &quot;-&quot;??_);_(@_)">
                  <c:v>2089</c:v>
                </c:pt>
                <c:pt idx="155" formatCode="_(* #,##0_);_(* \(#,##0\);_(* &quot;-&quot;??_);_(@_)">
                  <c:v>2060</c:v>
                </c:pt>
                <c:pt idx="156" formatCode="_(* #,##0_);_(* \(#,##0\);_(* &quot;-&quot;??_);_(@_)">
                  <c:v>1810</c:v>
                </c:pt>
                <c:pt idx="157" formatCode="_(* #,##0_);_(* \(#,##0\);_(* &quot;-&quot;??_);_(@_)">
                  <c:v>1923</c:v>
                </c:pt>
                <c:pt idx="158" formatCode="_(* #,##0_);_(* \(#,##0\);_(* &quot;-&quot;??_);_(@_)">
                  <c:v>2207</c:v>
                </c:pt>
                <c:pt idx="159" formatCode="_(* #,##0_);_(* \(#,##0\);_(* &quot;-&quot;??_);_(@_)">
                  <c:v>2233</c:v>
                </c:pt>
                <c:pt idx="160" formatCode="_(* #,##0_);_(* \(#,##0\);_(* &quot;-&quot;??_);_(@_)">
                  <c:v>2218</c:v>
                </c:pt>
                <c:pt idx="161" formatCode="_(* #,##0_);_(* \(#,##0\);_(* &quot;-&quot;??_);_(@_)">
                  <c:v>2304</c:v>
                </c:pt>
                <c:pt idx="162" formatCode="_(* #,##0_);_(* \(#,##0\);_(* &quot;-&quot;??_);_(@_)">
                  <c:v>2273</c:v>
                </c:pt>
                <c:pt idx="163" formatCode="_(* #,##0_);_(* \(#,##0\);_(* &quot;-&quot;??_);_(@_)">
                  <c:v>2584</c:v>
                </c:pt>
                <c:pt idx="164" formatCode="_(* #,##0_);_(* \(#,##0\);_(* &quot;-&quot;??_);_(@_)">
                  <c:v>2356</c:v>
                </c:pt>
                <c:pt idx="165" formatCode="_(* #,##0_);_(* \(#,##0\);_(* &quot;-&quot;??_);_(@_)">
                  <c:v>2460</c:v>
                </c:pt>
                <c:pt idx="166" formatCode="_(* #,##0_);_(* \(#,##0\);_(* &quot;-&quot;??_);_(@_)">
                  <c:v>2514</c:v>
                </c:pt>
                <c:pt idx="167" formatCode="_(* #,##0_);_(* \(#,##0\);_(* &quot;-&quot;??_);_(@_)">
                  <c:v>2228</c:v>
                </c:pt>
                <c:pt idx="168" formatCode="_(* #,##0_);_(* \(#,##0\);_(* &quot;-&quot;??_);_(@_)">
                  <c:v>2008</c:v>
                </c:pt>
                <c:pt idx="169" formatCode="_(* #,##0_);_(* \(#,##0\);_(* &quot;-&quot;??_);_(@_)">
                  <c:v>2083</c:v>
                </c:pt>
                <c:pt idx="170" formatCode="_(* #,##0_);_(* \(#,##0\);_(* &quot;-&quot;??_);_(@_)">
                  <c:v>1923</c:v>
                </c:pt>
                <c:pt idx="171" formatCode="_(* #,##0_);_(* \(#,##0\);_(* &quot;-&quot;??_);_(@_)">
                  <c:v>2480</c:v>
                </c:pt>
                <c:pt idx="172" formatCode="_(* #,##0_);_(* \(#,##0\);_(* &quot;-&quot;??_);_(@_)">
                  <c:v>2514</c:v>
                </c:pt>
                <c:pt idx="173" formatCode="_(* #,##0_);_(* \(#,##0\);_(* &quot;-&quot;??_);_(@_)">
                  <c:v>2600</c:v>
                </c:pt>
                <c:pt idx="174" formatCode="_(* #,##0_);_(* \(#,##0\);_(* &quot;-&quot;??_);_(@_)">
                  <c:v>2641</c:v>
                </c:pt>
                <c:pt idx="175" formatCode="_(* #,##0_);_(* \(#,##0\);_(* &quot;-&quot;??_);_(@_)">
                  <c:v>2635</c:v>
                </c:pt>
                <c:pt idx="176" formatCode="_(* #,##0_);_(* \(#,##0\);_(* &quot;-&quot;??_);_(@_)">
                  <c:v>2415</c:v>
                </c:pt>
                <c:pt idx="177" formatCode="_(* #,##0_);_(* \(#,##0\);_(* &quot;-&quot;??_);_(@_)">
                  <c:v>2716</c:v>
                </c:pt>
                <c:pt idx="178" formatCode="_(* #,##0_);_(* \(#,##0\);_(* &quot;-&quot;??_);_(@_)">
                  <c:v>4183</c:v>
                </c:pt>
                <c:pt idx="179" formatCode="_(* #,##0_);_(* \(#,##0\);_(* &quot;-&quot;??_);_(@_)">
                  <c:v>2484</c:v>
                </c:pt>
              </c:numCache>
            </c:numRef>
          </c:val>
        </c:ser>
        <c:marker val="1"/>
        <c:axId val="229999744"/>
        <c:axId val="230001664"/>
      </c:lineChart>
      <c:catAx>
        <c:axId val="229999744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0001664"/>
        <c:crosses val="autoZero"/>
        <c:lblAlgn val="ctr"/>
        <c:lblOffset val="100"/>
        <c:tickLblSkip val="12"/>
        <c:tickMarkSkip val="12"/>
      </c:catAx>
      <c:valAx>
        <c:axId val="2300016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99997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 i="0" u="none" strike="noStrike" baseline="0"/>
              <a:t>Industrial  Lighting Accounts - LS</a:t>
            </a:r>
            <a:r>
              <a:rPr lang="en-US"/>
              <a:t>
MWh - Actual Billing Month</a:t>
            </a:r>
          </a:p>
        </c:rich>
      </c:tx>
      <c:layout>
        <c:manualLayout>
          <c:xMode val="edge"/>
          <c:yMode val="edge"/>
          <c:x val="0.40568705161347746"/>
          <c:y val="3.481015924458487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2506052455046E-2"/>
          <c:y val="0.19936739666886599"/>
          <c:w val="0.87584460906483586"/>
          <c:h val="0.63291237037735237"/>
        </c:manualLayout>
      </c:layout>
      <c:lineChart>
        <c:grouping val="standard"/>
        <c:ser>
          <c:idx val="7"/>
          <c:order val="0"/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IND!$A$197:$A$377</c:f>
              <c:numCache>
                <c:formatCode>General_)</c:formatCode>
                <c:ptCount val="181"/>
                <c:pt idx="0">
                  <c:v>1999</c:v>
                </c:pt>
                <c:pt idx="1">
                  <c:v>1999</c:v>
                </c:pt>
                <c:pt idx="2">
                  <c:v>1999</c:v>
                </c:pt>
                <c:pt idx="3">
                  <c:v>1999</c:v>
                </c:pt>
                <c:pt idx="4">
                  <c:v>1999</c:v>
                </c:pt>
                <c:pt idx="5">
                  <c:v>1999</c:v>
                </c:pt>
                <c:pt idx="6">
                  <c:v>1999</c:v>
                </c:pt>
                <c:pt idx="7">
                  <c:v>1999</c:v>
                </c:pt>
                <c:pt idx="8">
                  <c:v>1999</c:v>
                </c:pt>
                <c:pt idx="9">
                  <c:v>1999</c:v>
                </c:pt>
                <c:pt idx="10">
                  <c:v>1999</c:v>
                </c:pt>
                <c:pt idx="11">
                  <c:v>1999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  <c:pt idx="21">
                  <c:v>2000</c:v>
                </c:pt>
                <c:pt idx="22">
                  <c:v>2000</c:v>
                </c:pt>
                <c:pt idx="23">
                  <c:v>2000</c:v>
                </c:pt>
                <c:pt idx="24">
                  <c:v>2001</c:v>
                </c:pt>
                <c:pt idx="25">
                  <c:v>2001</c:v>
                </c:pt>
                <c:pt idx="26">
                  <c:v>2001</c:v>
                </c:pt>
                <c:pt idx="27">
                  <c:v>2001</c:v>
                </c:pt>
                <c:pt idx="28">
                  <c:v>2001</c:v>
                </c:pt>
                <c:pt idx="29">
                  <c:v>2001</c:v>
                </c:pt>
                <c:pt idx="30">
                  <c:v>2001</c:v>
                </c:pt>
                <c:pt idx="31">
                  <c:v>2001</c:v>
                </c:pt>
                <c:pt idx="32">
                  <c:v>2001</c:v>
                </c:pt>
                <c:pt idx="33">
                  <c:v>2001</c:v>
                </c:pt>
                <c:pt idx="34">
                  <c:v>2001</c:v>
                </c:pt>
                <c:pt idx="35">
                  <c:v>2001</c:v>
                </c:pt>
                <c:pt idx="36">
                  <c:v>2002</c:v>
                </c:pt>
                <c:pt idx="37">
                  <c:v>2002</c:v>
                </c:pt>
                <c:pt idx="38">
                  <c:v>2002</c:v>
                </c:pt>
                <c:pt idx="39">
                  <c:v>2002</c:v>
                </c:pt>
                <c:pt idx="40">
                  <c:v>2002</c:v>
                </c:pt>
                <c:pt idx="41">
                  <c:v>2002</c:v>
                </c:pt>
                <c:pt idx="42">
                  <c:v>2002</c:v>
                </c:pt>
                <c:pt idx="43">
                  <c:v>2002</c:v>
                </c:pt>
                <c:pt idx="44">
                  <c:v>2002</c:v>
                </c:pt>
                <c:pt idx="45">
                  <c:v>2002</c:v>
                </c:pt>
                <c:pt idx="46">
                  <c:v>2002</c:v>
                </c:pt>
                <c:pt idx="47">
                  <c:v>2002</c:v>
                </c:pt>
                <c:pt idx="48">
                  <c:v>2003</c:v>
                </c:pt>
                <c:pt idx="49">
                  <c:v>2003</c:v>
                </c:pt>
                <c:pt idx="50">
                  <c:v>2003</c:v>
                </c:pt>
                <c:pt idx="51">
                  <c:v>2003</c:v>
                </c:pt>
                <c:pt idx="52">
                  <c:v>2003</c:v>
                </c:pt>
                <c:pt idx="53">
                  <c:v>2003</c:v>
                </c:pt>
                <c:pt idx="54">
                  <c:v>2003</c:v>
                </c:pt>
                <c:pt idx="55">
                  <c:v>2003</c:v>
                </c:pt>
                <c:pt idx="56">
                  <c:v>2003</c:v>
                </c:pt>
                <c:pt idx="57">
                  <c:v>2003</c:v>
                </c:pt>
                <c:pt idx="58">
                  <c:v>2003</c:v>
                </c:pt>
                <c:pt idx="59">
                  <c:v>2003</c:v>
                </c:pt>
                <c:pt idx="60">
                  <c:v>2004</c:v>
                </c:pt>
                <c:pt idx="61">
                  <c:v>2004</c:v>
                </c:pt>
                <c:pt idx="62">
                  <c:v>2004</c:v>
                </c:pt>
                <c:pt idx="63">
                  <c:v>2004</c:v>
                </c:pt>
                <c:pt idx="64">
                  <c:v>2004</c:v>
                </c:pt>
                <c:pt idx="65">
                  <c:v>2004</c:v>
                </c:pt>
                <c:pt idx="66">
                  <c:v>2004</c:v>
                </c:pt>
                <c:pt idx="67">
                  <c:v>2004</c:v>
                </c:pt>
                <c:pt idx="68">
                  <c:v>2004</c:v>
                </c:pt>
                <c:pt idx="69">
                  <c:v>2004</c:v>
                </c:pt>
                <c:pt idx="70">
                  <c:v>2004</c:v>
                </c:pt>
                <c:pt idx="71">
                  <c:v>2004</c:v>
                </c:pt>
                <c:pt idx="72">
                  <c:v>2005</c:v>
                </c:pt>
                <c:pt idx="73">
                  <c:v>2005</c:v>
                </c:pt>
                <c:pt idx="74">
                  <c:v>2005</c:v>
                </c:pt>
                <c:pt idx="75">
                  <c:v>2005</c:v>
                </c:pt>
                <c:pt idx="76">
                  <c:v>2005</c:v>
                </c:pt>
                <c:pt idx="77">
                  <c:v>2005</c:v>
                </c:pt>
                <c:pt idx="78">
                  <c:v>2005</c:v>
                </c:pt>
                <c:pt idx="79">
                  <c:v>2005</c:v>
                </c:pt>
                <c:pt idx="80">
                  <c:v>2005</c:v>
                </c:pt>
                <c:pt idx="81">
                  <c:v>2005</c:v>
                </c:pt>
                <c:pt idx="82">
                  <c:v>2005</c:v>
                </c:pt>
                <c:pt idx="83">
                  <c:v>2005</c:v>
                </c:pt>
                <c:pt idx="84">
                  <c:v>2006</c:v>
                </c:pt>
                <c:pt idx="85">
                  <c:v>2006</c:v>
                </c:pt>
                <c:pt idx="86">
                  <c:v>2006</c:v>
                </c:pt>
                <c:pt idx="87">
                  <c:v>2006</c:v>
                </c:pt>
                <c:pt idx="88">
                  <c:v>2006</c:v>
                </c:pt>
                <c:pt idx="89">
                  <c:v>2006</c:v>
                </c:pt>
                <c:pt idx="90">
                  <c:v>2006</c:v>
                </c:pt>
                <c:pt idx="91">
                  <c:v>2006</c:v>
                </c:pt>
                <c:pt idx="92">
                  <c:v>2006</c:v>
                </c:pt>
                <c:pt idx="93">
                  <c:v>2006</c:v>
                </c:pt>
                <c:pt idx="94">
                  <c:v>2006</c:v>
                </c:pt>
                <c:pt idx="95">
                  <c:v>2006</c:v>
                </c:pt>
                <c:pt idx="96">
                  <c:v>2007</c:v>
                </c:pt>
                <c:pt idx="97">
                  <c:v>2007</c:v>
                </c:pt>
                <c:pt idx="98">
                  <c:v>2007</c:v>
                </c:pt>
                <c:pt idx="99">
                  <c:v>2007</c:v>
                </c:pt>
                <c:pt idx="100">
                  <c:v>2007</c:v>
                </c:pt>
                <c:pt idx="101">
                  <c:v>2007</c:v>
                </c:pt>
                <c:pt idx="102">
                  <c:v>2007</c:v>
                </c:pt>
                <c:pt idx="103">
                  <c:v>2007</c:v>
                </c:pt>
                <c:pt idx="104">
                  <c:v>2007</c:v>
                </c:pt>
                <c:pt idx="105">
                  <c:v>2007</c:v>
                </c:pt>
                <c:pt idx="106">
                  <c:v>2007</c:v>
                </c:pt>
                <c:pt idx="107">
                  <c:v>2007</c:v>
                </c:pt>
                <c:pt idx="108">
                  <c:v>2008</c:v>
                </c:pt>
                <c:pt idx="109">
                  <c:v>2008</c:v>
                </c:pt>
                <c:pt idx="110">
                  <c:v>2008</c:v>
                </c:pt>
                <c:pt idx="111">
                  <c:v>2008</c:v>
                </c:pt>
                <c:pt idx="112">
                  <c:v>2008</c:v>
                </c:pt>
                <c:pt idx="113">
                  <c:v>2008</c:v>
                </c:pt>
                <c:pt idx="114">
                  <c:v>2008</c:v>
                </c:pt>
                <c:pt idx="115">
                  <c:v>2008</c:v>
                </c:pt>
                <c:pt idx="116">
                  <c:v>2008</c:v>
                </c:pt>
                <c:pt idx="117">
                  <c:v>2008</c:v>
                </c:pt>
                <c:pt idx="118">
                  <c:v>2008</c:v>
                </c:pt>
                <c:pt idx="119">
                  <c:v>2008</c:v>
                </c:pt>
                <c:pt idx="120">
                  <c:v>2009</c:v>
                </c:pt>
                <c:pt idx="121">
                  <c:v>2009</c:v>
                </c:pt>
                <c:pt idx="122">
                  <c:v>2009</c:v>
                </c:pt>
                <c:pt idx="123">
                  <c:v>2009</c:v>
                </c:pt>
                <c:pt idx="124">
                  <c:v>2009</c:v>
                </c:pt>
                <c:pt idx="125">
                  <c:v>2009</c:v>
                </c:pt>
                <c:pt idx="126">
                  <c:v>2009</c:v>
                </c:pt>
                <c:pt idx="127">
                  <c:v>2009</c:v>
                </c:pt>
                <c:pt idx="128">
                  <c:v>2009</c:v>
                </c:pt>
                <c:pt idx="129">
                  <c:v>2009</c:v>
                </c:pt>
                <c:pt idx="130">
                  <c:v>2009</c:v>
                </c:pt>
                <c:pt idx="131">
                  <c:v>2009</c:v>
                </c:pt>
                <c:pt idx="132">
                  <c:v>2010</c:v>
                </c:pt>
                <c:pt idx="133">
                  <c:v>2010</c:v>
                </c:pt>
                <c:pt idx="134">
                  <c:v>2010</c:v>
                </c:pt>
                <c:pt idx="135">
                  <c:v>2010</c:v>
                </c:pt>
                <c:pt idx="136">
                  <c:v>2010</c:v>
                </c:pt>
                <c:pt idx="137">
                  <c:v>2010</c:v>
                </c:pt>
                <c:pt idx="138">
                  <c:v>2010</c:v>
                </c:pt>
                <c:pt idx="139">
                  <c:v>2010</c:v>
                </c:pt>
                <c:pt idx="140">
                  <c:v>2010</c:v>
                </c:pt>
                <c:pt idx="141">
                  <c:v>2010</c:v>
                </c:pt>
                <c:pt idx="142">
                  <c:v>2010</c:v>
                </c:pt>
                <c:pt idx="143">
                  <c:v>2010</c:v>
                </c:pt>
                <c:pt idx="144">
                  <c:v>2011</c:v>
                </c:pt>
                <c:pt idx="145">
                  <c:v>2011</c:v>
                </c:pt>
                <c:pt idx="146">
                  <c:v>2011</c:v>
                </c:pt>
                <c:pt idx="147">
                  <c:v>2011</c:v>
                </c:pt>
                <c:pt idx="148">
                  <c:v>2011</c:v>
                </c:pt>
                <c:pt idx="149">
                  <c:v>2011</c:v>
                </c:pt>
                <c:pt idx="150">
                  <c:v>2011</c:v>
                </c:pt>
                <c:pt idx="151">
                  <c:v>2011</c:v>
                </c:pt>
                <c:pt idx="152">
                  <c:v>2011</c:v>
                </c:pt>
                <c:pt idx="153">
                  <c:v>2011</c:v>
                </c:pt>
                <c:pt idx="154">
                  <c:v>2011</c:v>
                </c:pt>
                <c:pt idx="155">
                  <c:v>2011</c:v>
                </c:pt>
                <c:pt idx="156">
                  <c:v>2012</c:v>
                </c:pt>
                <c:pt idx="157">
                  <c:v>2012</c:v>
                </c:pt>
                <c:pt idx="158">
                  <c:v>2012</c:v>
                </c:pt>
                <c:pt idx="159">
                  <c:v>2012</c:v>
                </c:pt>
                <c:pt idx="160">
                  <c:v>2012</c:v>
                </c:pt>
                <c:pt idx="161">
                  <c:v>2012</c:v>
                </c:pt>
                <c:pt idx="162">
                  <c:v>2012</c:v>
                </c:pt>
                <c:pt idx="163">
                  <c:v>2012</c:v>
                </c:pt>
                <c:pt idx="164">
                  <c:v>2012</c:v>
                </c:pt>
                <c:pt idx="165">
                  <c:v>2012</c:v>
                </c:pt>
                <c:pt idx="166">
                  <c:v>2012</c:v>
                </c:pt>
                <c:pt idx="167">
                  <c:v>2012</c:v>
                </c:pt>
                <c:pt idx="168">
                  <c:v>2013</c:v>
                </c:pt>
                <c:pt idx="169">
                  <c:v>2013</c:v>
                </c:pt>
                <c:pt idx="170">
                  <c:v>2013</c:v>
                </c:pt>
                <c:pt idx="171">
                  <c:v>2013</c:v>
                </c:pt>
                <c:pt idx="172">
                  <c:v>2013</c:v>
                </c:pt>
                <c:pt idx="173">
                  <c:v>2013</c:v>
                </c:pt>
                <c:pt idx="174">
                  <c:v>2013</c:v>
                </c:pt>
                <c:pt idx="175">
                  <c:v>2013</c:v>
                </c:pt>
                <c:pt idx="176">
                  <c:v>2013</c:v>
                </c:pt>
                <c:pt idx="177">
                  <c:v>2013</c:v>
                </c:pt>
                <c:pt idx="178">
                  <c:v>2013</c:v>
                </c:pt>
                <c:pt idx="179">
                  <c:v>2013</c:v>
                </c:pt>
                <c:pt idx="180">
                  <c:v>2014</c:v>
                </c:pt>
              </c:numCache>
            </c:numRef>
          </c:cat>
          <c:val>
            <c:numRef>
              <c:f>IND!$AL$197:$AL$377</c:f>
              <c:numCache>
                <c:formatCode>#,##0</c:formatCode>
                <c:ptCount val="181"/>
                <c:pt idx="0">
                  <c:v>296.13200000000001</c:v>
                </c:pt>
                <c:pt idx="1">
                  <c:v>294.42599999999999</c:v>
                </c:pt>
                <c:pt idx="2">
                  <c:v>295</c:v>
                </c:pt>
                <c:pt idx="3">
                  <c:v>285.45699999999999</c:v>
                </c:pt>
                <c:pt idx="4" formatCode="_(* #,##0_);_(* \(#,##0\);_(* &quot;-&quot;??_);_(@_)">
                  <c:v>296.39</c:v>
                </c:pt>
                <c:pt idx="5" formatCode="_(* #,##0_);_(* \(#,##0\);_(* &quot;-&quot;??_);_(@_)">
                  <c:v>286.947</c:v>
                </c:pt>
                <c:pt idx="6" formatCode="_(* #,##0_);_(* \(#,##0\);_(* &quot;-&quot;??_);_(@_)">
                  <c:v>290.36399999999998</c:v>
                </c:pt>
                <c:pt idx="7" formatCode="_(* #,##0_);_(* \(#,##0\);_(* &quot;-&quot;??_);_(@_)">
                  <c:v>328.084</c:v>
                </c:pt>
                <c:pt idx="8" formatCode="_(* #,##0_);_(* \(#,##0\);_(* &quot;-&quot;??_);_(@_)">
                  <c:v>298.72899999999998</c:v>
                </c:pt>
                <c:pt idx="9" formatCode="_(* #,##0_);_(* \(#,##0\);_(* &quot;-&quot;??_);_(@_)">
                  <c:v>295.56299999999999</c:v>
                </c:pt>
                <c:pt idx="10" formatCode="_(* #,##0_);_(* \(#,##0\);_(* &quot;-&quot;??_);_(@_)">
                  <c:v>294.91300000000001</c:v>
                </c:pt>
                <c:pt idx="11" formatCode="_(* #,##0_);_(* \(#,##0\);_(* &quot;-&quot;??_);_(@_)">
                  <c:v>296.25299999999999</c:v>
                </c:pt>
                <c:pt idx="12" formatCode="_(* #,##0_);_(* \(#,##0\);_(* &quot;-&quot;??_);_(@_)">
                  <c:v>292.23099999999999</c:v>
                </c:pt>
                <c:pt idx="13" formatCode="_(* #,##0_);_(* \(#,##0\);_(* &quot;-&quot;??_);_(@_)">
                  <c:v>295.75099999999998</c:v>
                </c:pt>
                <c:pt idx="14" formatCode="_(* #,##0_);_(* \(#,##0\);_(* &quot;-&quot;??_);_(@_)">
                  <c:v>290.14100000000002</c:v>
                </c:pt>
                <c:pt idx="15" formatCode="_(* #,##0_);_(* \(#,##0\);_(* &quot;-&quot;??_);_(@_)">
                  <c:v>294.64800000000002</c:v>
                </c:pt>
                <c:pt idx="16" formatCode="_(* #,##0_);_(* \(#,##0\);_(* &quot;-&quot;??_);_(@_)">
                  <c:v>291.32900000000001</c:v>
                </c:pt>
                <c:pt idx="17" formatCode="_(* #,##0_);_(* \(#,##0\);_(* &quot;-&quot;??_);_(@_)">
                  <c:v>298.572</c:v>
                </c:pt>
                <c:pt idx="18" formatCode="_(* #,##0_);_(* \(#,##0\);_(* &quot;-&quot;??_);_(@_)">
                  <c:v>300.09699999999998</c:v>
                </c:pt>
                <c:pt idx="19" formatCode="_(* #,##0_);_(* \(#,##0\);_(* &quot;-&quot;??_);_(@_)">
                  <c:v>306.11700000000002</c:v>
                </c:pt>
                <c:pt idx="20" formatCode="_(* #,##0_);_(* \(#,##0\);_(* &quot;-&quot;??_);_(@_)">
                  <c:v>300.00400000000002</c:v>
                </c:pt>
                <c:pt idx="21" formatCode="_(* #,##0_);_(* \(#,##0\);_(* &quot;-&quot;??_);_(@_)">
                  <c:v>307.94499999999999</c:v>
                </c:pt>
                <c:pt idx="22" formatCode="_(* #,##0_);_(* \(#,##0\);_(* &quot;-&quot;??_);_(@_)">
                  <c:v>311.15600000000001</c:v>
                </c:pt>
                <c:pt idx="23" formatCode="_(* #,##0_);_(* \(#,##0\);_(* &quot;-&quot;??_);_(@_)">
                  <c:v>307.233</c:v>
                </c:pt>
                <c:pt idx="24" formatCode="_(* #,##0_);_(* \(#,##0\);_(* &quot;-&quot;??_);_(@_)">
                  <c:v>304.27499999999998</c:v>
                </c:pt>
                <c:pt idx="25" formatCode="_(* #,##0_);_(* \(#,##0\);_(* &quot;-&quot;??_);_(@_)">
                  <c:v>294.91000000000003</c:v>
                </c:pt>
                <c:pt idx="26" formatCode="_(* #,##0_);_(* \(#,##0\);_(* &quot;-&quot;??_);_(@_)">
                  <c:v>307.13200000000001</c:v>
                </c:pt>
                <c:pt idx="27" formatCode="_(* #,##0_);_(* \(#,##0\);_(* &quot;-&quot;??_);_(@_)">
                  <c:v>314.37599999999998</c:v>
                </c:pt>
                <c:pt idx="28" formatCode="_(* #,##0_);_(* \(#,##0\);_(* &quot;-&quot;??_);_(@_)">
                  <c:v>320.34800000000001</c:v>
                </c:pt>
                <c:pt idx="29" formatCode="_(* #,##0_);_(* \(#,##0\);_(* &quot;-&quot;??_);_(@_)">
                  <c:v>317.21600000000001</c:v>
                </c:pt>
                <c:pt idx="30" formatCode="_(* #,##0_);_(* \(#,##0\);_(* &quot;-&quot;??_);_(@_)">
                  <c:v>301.35599999999999</c:v>
                </c:pt>
                <c:pt idx="31" formatCode="_(* #,##0_);_(* \(#,##0\);_(* &quot;-&quot;??_);_(@_)">
                  <c:v>320.83100000000002</c:v>
                </c:pt>
                <c:pt idx="32" formatCode="_(* #,##0_);_(* \(#,##0\);_(* &quot;-&quot;??_);_(@_)">
                  <c:v>315.637</c:v>
                </c:pt>
                <c:pt idx="33" formatCode="_(* #,##0_);_(* \(#,##0\);_(* &quot;-&quot;??_);_(@_)">
                  <c:v>306.20800000000003</c:v>
                </c:pt>
                <c:pt idx="34" formatCode="_(* #,##0_);_(* \(#,##0\);_(* &quot;-&quot;??_);_(@_)">
                  <c:v>316.41199999999998</c:v>
                </c:pt>
                <c:pt idx="35" formatCode="_(* #,##0_);_(* \(#,##0\);_(* &quot;-&quot;??_);_(@_)">
                  <c:v>313.98899999999998</c:v>
                </c:pt>
                <c:pt idx="36" formatCode="_(* #,##0_);_(* \(#,##0\);_(* &quot;-&quot;??_);_(@_)">
                  <c:v>403.95600000000002</c:v>
                </c:pt>
                <c:pt idx="37" formatCode="_(* #,##0_);_(* \(#,##0\);_(* &quot;-&quot;??_);_(@_)">
                  <c:v>327.69299999999998</c:v>
                </c:pt>
                <c:pt idx="38" formatCode="_(* #,##0_);_(* \(#,##0\);_(* &quot;-&quot;??_);_(@_)">
                  <c:v>314.69299999999998</c:v>
                </c:pt>
                <c:pt idx="39" formatCode="_(* #,##0_);_(* \(#,##0\);_(* &quot;-&quot;??_);_(@_)">
                  <c:v>308.03899999999999</c:v>
                </c:pt>
                <c:pt idx="40" formatCode="_(* #,##0_);_(* \(#,##0\);_(* &quot;-&quot;??_);_(@_)">
                  <c:v>314.85399999999998</c:v>
                </c:pt>
                <c:pt idx="41" formatCode="_(* #,##0_);_(* \(#,##0\);_(* &quot;-&quot;??_);_(@_)">
                  <c:v>325.21100000000001</c:v>
                </c:pt>
                <c:pt idx="42" formatCode="_(* #,##0_);_(* \(#,##0\);_(* &quot;-&quot;??_);_(@_)">
                  <c:v>333.267</c:v>
                </c:pt>
                <c:pt idx="43" formatCode="_(* #,##0_);_(* \(#,##0\);_(* &quot;-&quot;??_);_(@_)">
                  <c:v>323.70100000000002</c:v>
                </c:pt>
                <c:pt idx="44" formatCode="_(* #,##0_);_(* \(#,##0\);_(* &quot;-&quot;??_);_(@_)">
                  <c:v>327.15100000000001</c:v>
                </c:pt>
                <c:pt idx="45" formatCode="_(* #,##0_);_(* \(#,##0\);_(* &quot;-&quot;??_);_(@_)">
                  <c:v>280.18900000000002</c:v>
                </c:pt>
                <c:pt idx="46" formatCode="_(* #,##0_);_(* \(#,##0\);_(* &quot;-&quot;??_);_(@_)">
                  <c:v>306.19</c:v>
                </c:pt>
                <c:pt idx="47" formatCode="_(* #,##0_);_(* \(#,##0\);_(* &quot;-&quot;??_);_(@_)">
                  <c:v>314.98700000000002</c:v>
                </c:pt>
                <c:pt idx="48" formatCode="_(* #,##0_);_(* \(#,##0\);_(* &quot;-&quot;??_);_(@_)">
                  <c:v>355.95699999999999</c:v>
                </c:pt>
                <c:pt idx="49" formatCode="_(* #,##0_);_(* \(#,##0\);_(* &quot;-&quot;??_);_(@_)">
                  <c:v>337.61</c:v>
                </c:pt>
                <c:pt idx="50" formatCode="_(* #,##0_);_(* \(#,##0\);_(* &quot;-&quot;??_);_(@_)">
                  <c:v>315.14299999999997</c:v>
                </c:pt>
                <c:pt idx="51" formatCode="_(* #,##0_);_(* \(#,##0\);_(* &quot;-&quot;??_);_(@_)">
                  <c:v>316.79000000000002</c:v>
                </c:pt>
                <c:pt idx="52" formatCode="_(* #,##0_);_(* \(#,##0\);_(* &quot;-&quot;??_);_(@_)">
                  <c:v>326.71699999999998</c:v>
                </c:pt>
                <c:pt idx="53" formatCode="_(* #,##0_);_(* \(#,##0\);_(* &quot;-&quot;??_);_(@_)">
                  <c:v>311.51299999999998</c:v>
                </c:pt>
                <c:pt idx="54" formatCode="_(* #,##0_);_(* \(#,##0\);_(* &quot;-&quot;??_);_(@_)">
                  <c:v>299.08100000000002</c:v>
                </c:pt>
                <c:pt idx="55" formatCode="_(* #,##0_);_(* \(#,##0\);_(* &quot;-&quot;??_);_(@_)">
                  <c:v>344.64299999999997</c:v>
                </c:pt>
                <c:pt idx="56" formatCode="_(* #,##0_);_(* \(#,##0\);_(* &quot;-&quot;??_);_(@_)">
                  <c:v>324.04599999999999</c:v>
                </c:pt>
                <c:pt idx="57" formatCode="_(* #,##0_);_(* \(#,##0\);_(* &quot;-&quot;??_);_(@_)">
                  <c:v>356.64499999999998</c:v>
                </c:pt>
                <c:pt idx="58" formatCode="_(* #,##0_);_(* \(#,##0\);_(* &quot;-&quot;??_);_(@_)">
                  <c:v>318.25400000000002</c:v>
                </c:pt>
                <c:pt idx="59" formatCode="_(* #,##0_);_(* \(#,##0\);_(* &quot;-&quot;??_);_(@_)">
                  <c:v>340.16399999999999</c:v>
                </c:pt>
                <c:pt idx="60" formatCode="_(* #,##0_);_(* \(#,##0\);_(* &quot;-&quot;??_);_(@_)">
                  <c:v>332.21100000000001</c:v>
                </c:pt>
                <c:pt idx="61" formatCode="_(* #,##0_);_(* \(#,##0\);_(* &quot;-&quot;??_);_(@_)">
                  <c:v>321.108</c:v>
                </c:pt>
                <c:pt idx="62" formatCode="_(* #,##0_);_(* \(#,##0\);_(* &quot;-&quot;??_);_(@_)">
                  <c:v>309.08</c:v>
                </c:pt>
                <c:pt idx="63" formatCode="_(* #,##0_);_(* \(#,##0\);_(* &quot;-&quot;??_);_(@_)">
                  <c:v>366.923</c:v>
                </c:pt>
                <c:pt idx="64" formatCode="_(* #,##0_);_(* \(#,##0\);_(* &quot;-&quot;??_);_(@_)">
                  <c:v>311.06200000000001</c:v>
                </c:pt>
                <c:pt idx="65" formatCode="_(* #,##0_);_(* \(#,##0\);_(* &quot;-&quot;??_);_(@_)">
                  <c:v>358.93</c:v>
                </c:pt>
                <c:pt idx="66" formatCode="_(* #,##0_);_(* \(#,##0\);_(* &quot;-&quot;??_);_(@_)">
                  <c:v>342.65899999999999</c:v>
                </c:pt>
                <c:pt idx="67" formatCode="_(* #,##0_);_(* \(#,##0\);_(* &quot;-&quot;??_);_(@_)">
                  <c:v>333.95499999999998</c:v>
                </c:pt>
                <c:pt idx="68" formatCode="_(* #,##0_);_(* \(#,##0\);_(* &quot;-&quot;??_);_(@_)">
                  <c:v>334.37400000000002</c:v>
                </c:pt>
                <c:pt idx="69" formatCode="_(* #,##0_);_(* \(#,##0\);_(* &quot;-&quot;??_);_(@_)">
                  <c:v>403.065</c:v>
                </c:pt>
                <c:pt idx="70" formatCode="_(* #,##0_);_(* \(#,##0\);_(* &quot;-&quot;??_);_(@_)">
                  <c:v>346.66199999999998</c:v>
                </c:pt>
                <c:pt idx="71" formatCode="_(* #,##0_);_(* \(#,##0\);_(* &quot;-&quot;??_);_(@_)">
                  <c:v>359.74599999999998</c:v>
                </c:pt>
                <c:pt idx="72" formatCode="_(* #,##0_);_(* \(#,##0\);_(* &quot;-&quot;??_);_(@_)">
                  <c:v>353.077</c:v>
                </c:pt>
                <c:pt idx="73" formatCode="_(* #,##0_);_(* \(#,##0\);_(* &quot;-&quot;??_);_(@_)">
                  <c:v>352.52300000000002</c:v>
                </c:pt>
                <c:pt idx="74" formatCode="_(* #,##0_);_(* \(#,##0\);_(* &quot;-&quot;??_);_(@_)">
                  <c:v>360.70699999999999</c:v>
                </c:pt>
                <c:pt idx="75" formatCode="_(* #,##0_);_(* \(#,##0\);_(* &quot;-&quot;??_);_(@_)">
                  <c:v>352.91399999999999</c:v>
                </c:pt>
                <c:pt idx="76" formatCode="_(* #,##0_);_(* \(#,##0\);_(* &quot;-&quot;??_);_(@_)">
                  <c:v>365.94299999999998</c:v>
                </c:pt>
                <c:pt idx="77" formatCode="_(* #,##0_);_(* \(#,##0\);_(* &quot;-&quot;??_);_(@_)">
                  <c:v>344.74599999999998</c:v>
                </c:pt>
                <c:pt idx="78" formatCode="_(* #,##0_);_(* \(#,##0\);_(* &quot;-&quot;??_);_(@_)">
                  <c:v>360.96499999999997</c:v>
                </c:pt>
                <c:pt idx="79" formatCode="_(* #,##0_);_(* \(#,##0\);_(* &quot;-&quot;??_);_(@_)">
                  <c:v>359.31700000000001</c:v>
                </c:pt>
                <c:pt idx="80" formatCode="_(* #,##0_);_(* \(#,##0\);_(* &quot;-&quot;??_);_(@_)">
                  <c:v>366.90199999999999</c:v>
                </c:pt>
                <c:pt idx="81" formatCode="_(* #,##0_);_(* \(#,##0\);_(* &quot;-&quot;??_);_(@_)">
                  <c:v>367.70800000000003</c:v>
                </c:pt>
                <c:pt idx="82" formatCode="_(* #,##0_);_(* \(#,##0\);_(* &quot;-&quot;??_);_(@_)">
                  <c:v>397.16199999999998</c:v>
                </c:pt>
                <c:pt idx="83" formatCode="_(* #,##0_);_(* \(#,##0\);_(* &quot;-&quot;??_);_(@_)">
                  <c:v>320.20800000000003</c:v>
                </c:pt>
                <c:pt idx="84" formatCode="_(* #,##0_);_(* \(#,##0\);_(* &quot;-&quot;??_);_(@_)">
                  <c:v>363.654</c:v>
                </c:pt>
                <c:pt idx="85" formatCode="_(* #,##0_);_(* \(#,##0\);_(* &quot;-&quot;??_);_(@_)">
                  <c:v>366.39100000000002</c:v>
                </c:pt>
                <c:pt idx="86" formatCode="_(* #,##0_);_(* \(#,##0\);_(* &quot;-&quot;??_);_(@_)">
                  <c:v>367.66800000000001</c:v>
                </c:pt>
                <c:pt idx="87" formatCode="_(* #,##0_);_(* \(#,##0\);_(* &quot;-&quot;??_);_(@_)">
                  <c:v>372.91800000000001</c:v>
                </c:pt>
                <c:pt idx="88" formatCode="_(* #,##0_);_(* \(#,##0\);_(* &quot;-&quot;??_);_(@_)">
                  <c:v>385.15499999999997</c:v>
                </c:pt>
                <c:pt idx="89" formatCode="_(* #,##0_);_(* \(#,##0\);_(* &quot;-&quot;??_);_(@_)">
                  <c:v>373.86399999999998</c:v>
                </c:pt>
                <c:pt idx="90" formatCode="_(* #,##0_);_(* \(#,##0\);_(* &quot;-&quot;??_);_(@_)">
                  <c:v>375.01499999999999</c:v>
                </c:pt>
                <c:pt idx="91" formatCode="_(* #,##0_);_(* \(#,##0\);_(* &quot;-&quot;??_);_(@_)">
                  <c:v>377.52300000000002</c:v>
                </c:pt>
                <c:pt idx="92" formatCode="_(* #,##0_);_(* \(#,##0\);_(* &quot;-&quot;??_);_(@_)">
                  <c:v>382.46499999999997</c:v>
                </c:pt>
                <c:pt idx="93" formatCode="_(* #,##0_);_(* \(#,##0\);_(* &quot;-&quot;??_);_(@_)">
                  <c:v>372.52300000000002</c:v>
                </c:pt>
                <c:pt idx="94" formatCode="_(* #,##0_);_(* \(#,##0\);_(* &quot;-&quot;??_);_(@_)">
                  <c:v>381.8</c:v>
                </c:pt>
                <c:pt idx="95" formatCode="_(* #,##0_);_(* \(#,##0\);_(* &quot;-&quot;??_);_(@_)">
                  <c:v>376.76799999999997</c:v>
                </c:pt>
                <c:pt idx="96" formatCode="_(* #,##0_);_(* \(#,##0\);_(* &quot;-&quot;??_);_(@_)">
                  <c:v>330.84500000000003</c:v>
                </c:pt>
                <c:pt idx="97" formatCode="_(* #,##0_);_(* \(#,##0\);_(* &quot;-&quot;??_);_(@_)">
                  <c:v>375.76900000000001</c:v>
                </c:pt>
                <c:pt idx="98" formatCode="_(* #,##0_);_(* \(#,##0\);_(* &quot;-&quot;??_);_(@_)">
                  <c:v>375.38299999999998</c:v>
                </c:pt>
                <c:pt idx="99" formatCode="_(* #,##0_);_(* \(#,##0\);_(* &quot;-&quot;??_);_(@_)">
                  <c:v>368.02300000000002</c:v>
                </c:pt>
                <c:pt idx="100" formatCode="_(* #,##0_);_(* \(#,##0\);_(* &quot;-&quot;??_);_(@_)">
                  <c:v>382.49700000000001</c:v>
                </c:pt>
                <c:pt idx="101" formatCode="_(* #,##0_);_(* \(#,##0\);_(* &quot;-&quot;??_);_(@_)">
                  <c:v>378.98099999999999</c:v>
                </c:pt>
                <c:pt idx="102" formatCode="_(* #,##0_);_(* \(#,##0\);_(* &quot;-&quot;??_);_(@_)">
                  <c:v>356.38</c:v>
                </c:pt>
                <c:pt idx="103" formatCode="_(* #,##0_);_(* \(#,##0\);_(* &quot;-&quot;??_);_(@_)">
                  <c:v>391.44</c:v>
                </c:pt>
                <c:pt idx="104" formatCode="_(* #,##0_);_(* \(#,##0\);_(* &quot;-&quot;??_);_(@_)">
                  <c:v>390.96699999999998</c:v>
                </c:pt>
                <c:pt idx="105" formatCode="_(* #,##0_);_(* \(#,##0\);_(* &quot;-&quot;??_);_(@_)">
                  <c:v>398.62099999999998</c:v>
                </c:pt>
                <c:pt idx="106" formatCode="_(* #,##0_);_(* \(#,##0\);_(* &quot;-&quot;??_);_(@_)">
                  <c:v>396.77499999999998</c:v>
                </c:pt>
                <c:pt idx="107" formatCode="_(* #,##0_);_(* \(#,##0\);_(* &quot;-&quot;??_);_(@_)">
                  <c:v>383.82100000000003</c:v>
                </c:pt>
                <c:pt idx="108" formatCode="_(* #,##0_);_(* \(#,##0\);_(* &quot;-&quot;??_);_(@_)">
                  <c:v>340.19900000000001</c:v>
                </c:pt>
                <c:pt idx="109" formatCode="_(* #,##0_);_(* \(#,##0\);_(* &quot;-&quot;??_);_(@_)">
                  <c:v>400.18700000000001</c:v>
                </c:pt>
                <c:pt idx="110" formatCode="_(* #,##0_);_(* \(#,##0\);_(* &quot;-&quot;??_);_(@_)">
                  <c:v>385.88900000000001</c:v>
                </c:pt>
                <c:pt idx="111" formatCode="_(* #,##0_);_(* \(#,##0\);_(* &quot;-&quot;??_);_(@_)">
                  <c:v>384.98399999999998</c:v>
                </c:pt>
                <c:pt idx="112" formatCode="_(* #,##0_);_(* \(#,##0\);_(* &quot;-&quot;??_);_(@_)">
                  <c:v>384.51100000000002</c:v>
                </c:pt>
                <c:pt idx="113" formatCode="_(* #,##0_);_(* \(#,##0\);_(* &quot;-&quot;??_);_(@_)">
                  <c:v>387.72800000000001</c:v>
                </c:pt>
                <c:pt idx="114" formatCode="_(* #,##0_);_(* \(#,##0\);_(* &quot;-&quot;??_);_(@_)">
                  <c:v>380.70699999999999</c:v>
                </c:pt>
                <c:pt idx="115" formatCode="_(* #,##0_);_(* \(#,##0\);_(* &quot;-&quot;??_);_(@_)">
                  <c:v>388.25799999999998</c:v>
                </c:pt>
                <c:pt idx="116" formatCode="_(* #,##0_);_(* \(#,##0\);_(* &quot;-&quot;??_);_(@_)">
                  <c:v>398.19799999999998</c:v>
                </c:pt>
                <c:pt idx="117" formatCode="_(* #,##0_);_(* \(#,##0\);_(* &quot;-&quot;??_);_(@_)">
                  <c:v>376.71899999999999</c:v>
                </c:pt>
                <c:pt idx="118" formatCode="_(* #,##0_);_(* \(#,##0\);_(* &quot;-&quot;??_);_(@_)">
                  <c:v>384.858</c:v>
                </c:pt>
                <c:pt idx="119" formatCode="_(* #,##0_);_(* \(#,##0\);_(* &quot;-&quot;??_);_(@_)">
                  <c:v>359.18900000000002</c:v>
                </c:pt>
                <c:pt idx="120" formatCode="_(* #,##0_);_(* \(#,##0\);_(* &quot;-&quot;??_);_(@_)">
                  <c:v>340</c:v>
                </c:pt>
                <c:pt idx="121" formatCode="_(* #,##0_);_(* \(#,##0\);_(* &quot;-&quot;??_);_(@_)">
                  <c:v>335</c:v>
                </c:pt>
                <c:pt idx="122" formatCode="_(* #,##0_);_(* \(#,##0\);_(* &quot;-&quot;??_);_(@_)">
                  <c:v>340</c:v>
                </c:pt>
                <c:pt idx="123" formatCode="_(* #,##0_);_(* \(#,##0\);_(* &quot;-&quot;??_);_(@_)">
                  <c:v>358</c:v>
                </c:pt>
                <c:pt idx="124" formatCode="_(* #,##0_);_(* \(#,##0\);_(* &quot;-&quot;??_);_(@_)">
                  <c:v>350</c:v>
                </c:pt>
                <c:pt idx="125" formatCode="_(* #,##0_);_(* \(#,##0\);_(* &quot;-&quot;??_);_(@_)">
                  <c:v>351</c:v>
                </c:pt>
                <c:pt idx="126" formatCode="_(* #,##0_);_(* \(#,##0\);_(* &quot;-&quot;??_);_(@_)">
                  <c:v>358</c:v>
                </c:pt>
                <c:pt idx="127" formatCode="_(* #,##0_);_(* \(#,##0\);_(* &quot;-&quot;??_);_(@_)">
                  <c:v>346</c:v>
                </c:pt>
                <c:pt idx="128" formatCode="_(* #,##0_);_(* \(#,##0\);_(* &quot;-&quot;??_);_(@_)">
                  <c:v>352</c:v>
                </c:pt>
                <c:pt idx="129" formatCode="_(* #,##0_);_(* \(#,##0\);_(* &quot;-&quot;??_);_(@_)">
                  <c:v>349</c:v>
                </c:pt>
                <c:pt idx="130" formatCode="_(* #,##0_);_(* \(#,##0\);_(* &quot;-&quot;??_);_(@_)">
                  <c:v>361</c:v>
                </c:pt>
                <c:pt idx="131" formatCode="_(* #,##0_);_(* \(#,##0\);_(* &quot;-&quot;??_);_(@_)">
                  <c:v>334</c:v>
                </c:pt>
                <c:pt idx="132" formatCode="_(* #,##0_);_(* \(#,##0\);_(* &quot;-&quot;??_);_(@_)">
                  <c:v>337</c:v>
                </c:pt>
                <c:pt idx="133" formatCode="_(* #,##0_);_(* \(#,##0\);_(* &quot;-&quot;??_);_(@_)">
                  <c:v>360</c:v>
                </c:pt>
                <c:pt idx="134" formatCode="_(* #,##0_);_(* \(#,##0\);_(* &quot;-&quot;??_);_(@_)">
                  <c:v>335</c:v>
                </c:pt>
                <c:pt idx="135" formatCode="_(* #,##0_);_(* \(#,##0\);_(* &quot;-&quot;??_);_(@_)">
                  <c:v>345</c:v>
                </c:pt>
                <c:pt idx="136" formatCode="_(* #,##0_);_(* \(#,##0\);_(* &quot;-&quot;??_);_(@_)">
                  <c:v>339</c:v>
                </c:pt>
                <c:pt idx="137" formatCode="_(* #,##0_);_(* \(#,##0\);_(* &quot;-&quot;??_);_(@_)">
                  <c:v>345</c:v>
                </c:pt>
                <c:pt idx="138" formatCode="_(* #,##0_);_(* \(#,##0\);_(* &quot;-&quot;??_);_(@_)">
                  <c:v>341</c:v>
                </c:pt>
                <c:pt idx="139" formatCode="_(* #,##0_);_(* \(#,##0\);_(* &quot;-&quot;??_);_(@_)">
                  <c:v>338</c:v>
                </c:pt>
                <c:pt idx="140" formatCode="_(* #,##0_);_(* \(#,##0\);_(* &quot;-&quot;??_);_(@_)">
                  <c:v>336</c:v>
                </c:pt>
                <c:pt idx="141" formatCode="_(* #,##0_);_(* \(#,##0\);_(* &quot;-&quot;??_);_(@_)">
                  <c:v>330</c:v>
                </c:pt>
                <c:pt idx="142" formatCode="_(* #,##0_);_(* \(#,##0\);_(* &quot;-&quot;??_);_(@_)">
                  <c:v>342</c:v>
                </c:pt>
                <c:pt idx="143" formatCode="_(* #,##0_);_(* \(#,##0\);_(* &quot;-&quot;??_);_(@_)">
                  <c:v>332</c:v>
                </c:pt>
                <c:pt idx="144" formatCode="_(* #,##0_);_(* \(#,##0\);_(* &quot;-&quot;??_);_(@_)">
                  <c:v>324</c:v>
                </c:pt>
                <c:pt idx="145" formatCode="_(* #,##0_);_(* \(#,##0\);_(* &quot;-&quot;??_);_(@_)">
                  <c:v>329</c:v>
                </c:pt>
                <c:pt idx="146" formatCode="_(* #,##0_);_(* \(#,##0\);_(* &quot;-&quot;??_);_(@_)">
                  <c:v>335</c:v>
                </c:pt>
                <c:pt idx="147" formatCode="_(* #,##0_);_(* \(#,##0\);_(* &quot;-&quot;??_);_(@_)">
                  <c:v>335</c:v>
                </c:pt>
                <c:pt idx="148" formatCode="_(* #,##0_);_(* \(#,##0\);_(* &quot;-&quot;??_);_(@_)">
                  <c:v>330</c:v>
                </c:pt>
                <c:pt idx="149" formatCode="_(* #,##0_);_(* \(#,##0\);_(* &quot;-&quot;??_);_(@_)">
                  <c:v>321</c:v>
                </c:pt>
                <c:pt idx="150" formatCode="_(* #,##0_);_(* \(#,##0\);_(* &quot;-&quot;??_);_(@_)">
                  <c:v>318</c:v>
                </c:pt>
                <c:pt idx="151" formatCode="_(* #,##0_);_(* \(#,##0\);_(* &quot;-&quot;??_);_(@_)">
                  <c:v>336</c:v>
                </c:pt>
                <c:pt idx="152" formatCode="_(* #,##0_);_(* \(#,##0\);_(* &quot;-&quot;??_);_(@_)">
                  <c:v>344</c:v>
                </c:pt>
                <c:pt idx="153" formatCode="_(* #,##0_);_(* \(#,##0\);_(* &quot;-&quot;??_);_(@_)">
                  <c:v>336</c:v>
                </c:pt>
                <c:pt idx="154" formatCode="_(* #,##0_);_(* \(#,##0\);_(* &quot;-&quot;??_);_(@_)">
                  <c:v>253</c:v>
                </c:pt>
                <c:pt idx="155" formatCode="_(* #,##0_);_(* \(#,##0\);_(* &quot;-&quot;??_);_(@_)">
                  <c:v>343</c:v>
                </c:pt>
                <c:pt idx="156" formatCode="_(* #,##0_);_(* \(#,##0\);_(* &quot;-&quot;??_);_(@_)">
                  <c:v>323</c:v>
                </c:pt>
                <c:pt idx="157" formatCode="_(* #,##0_);_(* \(#,##0\);_(* &quot;-&quot;??_);_(@_)">
                  <c:v>336</c:v>
                </c:pt>
                <c:pt idx="158" formatCode="_(* #,##0_);_(* \(#,##0\);_(* &quot;-&quot;??_);_(@_)">
                  <c:v>335</c:v>
                </c:pt>
                <c:pt idx="159" formatCode="_(* #,##0_);_(* \(#,##0\);_(* &quot;-&quot;??_);_(@_)">
                  <c:v>328</c:v>
                </c:pt>
                <c:pt idx="160" formatCode="_(* #,##0_);_(* \(#,##0\);_(* &quot;-&quot;??_);_(@_)">
                  <c:v>338</c:v>
                </c:pt>
                <c:pt idx="161" formatCode="_(* #,##0_);_(* \(#,##0\);_(* &quot;-&quot;??_);_(@_)">
                  <c:v>325</c:v>
                </c:pt>
                <c:pt idx="162" formatCode="_(* #,##0_);_(* \(#,##0\);_(* &quot;-&quot;??_);_(@_)">
                  <c:v>335</c:v>
                </c:pt>
                <c:pt idx="163" formatCode="_(* #,##0_);_(* \(#,##0\);_(* &quot;-&quot;??_);_(@_)">
                  <c:v>338</c:v>
                </c:pt>
                <c:pt idx="164" formatCode="_(* #,##0_);_(* \(#,##0\);_(* &quot;-&quot;??_);_(@_)">
                  <c:v>331</c:v>
                </c:pt>
                <c:pt idx="165" formatCode="_(* #,##0_);_(* \(#,##0\);_(* &quot;-&quot;??_);_(@_)">
                  <c:v>338</c:v>
                </c:pt>
                <c:pt idx="166" formatCode="_(* #,##0_);_(* \(#,##0\);_(* &quot;-&quot;??_);_(@_)">
                  <c:v>334</c:v>
                </c:pt>
                <c:pt idx="167" formatCode="_(* #,##0_);_(* \(#,##0\);_(* &quot;-&quot;??_);_(@_)">
                  <c:v>324</c:v>
                </c:pt>
                <c:pt idx="168" formatCode="_(* #,##0_);_(* \(#,##0\);_(* &quot;-&quot;??_);_(@_)">
                  <c:v>336</c:v>
                </c:pt>
                <c:pt idx="169" formatCode="_(* #,##0_);_(* \(#,##0\);_(* &quot;-&quot;??_);_(@_)">
                  <c:v>327</c:v>
                </c:pt>
                <c:pt idx="170" formatCode="_(* #,##0_);_(* \(#,##0\);_(* &quot;-&quot;??_);_(@_)">
                  <c:v>325</c:v>
                </c:pt>
                <c:pt idx="171" formatCode="_(* #,##0_);_(* \(#,##0\);_(* &quot;-&quot;??_);_(@_)">
                  <c:v>328</c:v>
                </c:pt>
                <c:pt idx="172" formatCode="_(* #,##0_);_(* \(#,##0\);_(* &quot;-&quot;??_);_(@_)">
                  <c:v>343</c:v>
                </c:pt>
                <c:pt idx="173" formatCode="_(* #,##0_);_(* \(#,##0\);_(* &quot;-&quot;??_);_(@_)">
                  <c:v>325</c:v>
                </c:pt>
                <c:pt idx="174" formatCode="_(* #,##0_);_(* \(#,##0\);_(* &quot;-&quot;??_);_(@_)">
                  <c:v>339</c:v>
                </c:pt>
                <c:pt idx="175" formatCode="_(* #,##0_);_(* \(#,##0\);_(* &quot;-&quot;??_);_(@_)">
                  <c:v>323</c:v>
                </c:pt>
                <c:pt idx="176" formatCode="_(* #,##0_);_(* \(#,##0\);_(* &quot;-&quot;??_);_(@_)">
                  <c:v>321</c:v>
                </c:pt>
                <c:pt idx="177" formatCode="_(* #,##0_);_(* \(#,##0\);_(* &quot;-&quot;??_);_(@_)">
                  <c:v>325</c:v>
                </c:pt>
                <c:pt idx="178" formatCode="_(* #,##0_);_(* \(#,##0\);_(* &quot;-&quot;??_);_(@_)">
                  <c:v>336</c:v>
                </c:pt>
                <c:pt idx="179" formatCode="_(* #,##0_);_(* \(#,##0\);_(* &quot;-&quot;??_);_(@_)">
                  <c:v>326</c:v>
                </c:pt>
              </c:numCache>
            </c:numRef>
          </c:val>
        </c:ser>
        <c:marker val="1"/>
        <c:axId val="230020992"/>
        <c:axId val="230023168"/>
      </c:lineChart>
      <c:catAx>
        <c:axId val="230020992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0023168"/>
        <c:crosses val="autoZero"/>
        <c:lblAlgn val="ctr"/>
        <c:lblOffset val="100"/>
        <c:tickLblSkip val="12"/>
        <c:tickMarkSkip val="12"/>
      </c:catAx>
      <c:valAx>
        <c:axId val="2300231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00209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All Commercial Accounts
UPC - Actual Billing Month</a:t>
            </a:r>
          </a:p>
        </c:rich>
      </c:tx>
      <c:layout>
        <c:manualLayout>
          <c:xMode val="edge"/>
          <c:yMode val="edge"/>
          <c:x val="0.38807947019870193"/>
          <c:y val="3.48101265822784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2506052455046E-2"/>
          <c:y val="0.19936739666886599"/>
          <c:w val="0.8758446090648343"/>
          <c:h val="0.63291237037735237"/>
        </c:manualLayout>
      </c:layout>
      <c:lineChart>
        <c:grouping val="standard"/>
        <c:ser>
          <c:idx val="7"/>
          <c:order val="0"/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COML!$A$149:$A$377</c:f>
              <c:numCache>
                <c:formatCode>General_)</c:formatCode>
                <c:ptCount val="229"/>
                <c:pt idx="0">
                  <c:v>1995</c:v>
                </c:pt>
                <c:pt idx="1">
                  <c:v>1995</c:v>
                </c:pt>
                <c:pt idx="2">
                  <c:v>1995</c:v>
                </c:pt>
                <c:pt idx="3">
                  <c:v>1995</c:v>
                </c:pt>
                <c:pt idx="4">
                  <c:v>1995</c:v>
                </c:pt>
                <c:pt idx="5">
                  <c:v>1995</c:v>
                </c:pt>
                <c:pt idx="6">
                  <c:v>1995</c:v>
                </c:pt>
                <c:pt idx="7">
                  <c:v>1995</c:v>
                </c:pt>
                <c:pt idx="8">
                  <c:v>1995</c:v>
                </c:pt>
                <c:pt idx="9">
                  <c:v>1995</c:v>
                </c:pt>
                <c:pt idx="10">
                  <c:v>1995</c:v>
                </c:pt>
                <c:pt idx="11">
                  <c:v>1995</c:v>
                </c:pt>
                <c:pt idx="12">
                  <c:v>1996</c:v>
                </c:pt>
                <c:pt idx="13">
                  <c:v>1996</c:v>
                </c:pt>
                <c:pt idx="14">
                  <c:v>1996</c:v>
                </c:pt>
                <c:pt idx="15">
                  <c:v>1996</c:v>
                </c:pt>
                <c:pt idx="16">
                  <c:v>1996</c:v>
                </c:pt>
                <c:pt idx="17">
                  <c:v>1996</c:v>
                </c:pt>
                <c:pt idx="18">
                  <c:v>1996</c:v>
                </c:pt>
                <c:pt idx="19">
                  <c:v>1996</c:v>
                </c:pt>
                <c:pt idx="20">
                  <c:v>1996</c:v>
                </c:pt>
                <c:pt idx="21">
                  <c:v>1996</c:v>
                </c:pt>
                <c:pt idx="22">
                  <c:v>1996</c:v>
                </c:pt>
                <c:pt idx="23">
                  <c:v>1996</c:v>
                </c:pt>
                <c:pt idx="24">
                  <c:v>1997</c:v>
                </c:pt>
                <c:pt idx="25">
                  <c:v>1997</c:v>
                </c:pt>
                <c:pt idx="26">
                  <c:v>1997</c:v>
                </c:pt>
                <c:pt idx="27">
                  <c:v>1997</c:v>
                </c:pt>
                <c:pt idx="28">
                  <c:v>1997</c:v>
                </c:pt>
                <c:pt idx="29">
                  <c:v>1997</c:v>
                </c:pt>
                <c:pt idx="30">
                  <c:v>1997</c:v>
                </c:pt>
                <c:pt idx="31">
                  <c:v>1997</c:v>
                </c:pt>
                <c:pt idx="32">
                  <c:v>1997</c:v>
                </c:pt>
                <c:pt idx="33">
                  <c:v>1997</c:v>
                </c:pt>
                <c:pt idx="34">
                  <c:v>1997</c:v>
                </c:pt>
                <c:pt idx="35">
                  <c:v>1997</c:v>
                </c:pt>
                <c:pt idx="36">
                  <c:v>1998</c:v>
                </c:pt>
                <c:pt idx="37">
                  <c:v>1998</c:v>
                </c:pt>
                <c:pt idx="38">
                  <c:v>1998</c:v>
                </c:pt>
                <c:pt idx="39">
                  <c:v>1998</c:v>
                </c:pt>
                <c:pt idx="40">
                  <c:v>1998</c:v>
                </c:pt>
                <c:pt idx="41">
                  <c:v>1998</c:v>
                </c:pt>
                <c:pt idx="42">
                  <c:v>1998</c:v>
                </c:pt>
                <c:pt idx="43">
                  <c:v>1998</c:v>
                </c:pt>
                <c:pt idx="44">
                  <c:v>1998</c:v>
                </c:pt>
                <c:pt idx="45">
                  <c:v>1998</c:v>
                </c:pt>
                <c:pt idx="46">
                  <c:v>1998</c:v>
                </c:pt>
                <c:pt idx="47">
                  <c:v>1998</c:v>
                </c:pt>
                <c:pt idx="48">
                  <c:v>1999</c:v>
                </c:pt>
                <c:pt idx="49">
                  <c:v>1999</c:v>
                </c:pt>
                <c:pt idx="50">
                  <c:v>1999</c:v>
                </c:pt>
                <c:pt idx="51">
                  <c:v>1999</c:v>
                </c:pt>
                <c:pt idx="52">
                  <c:v>1999</c:v>
                </c:pt>
                <c:pt idx="53">
                  <c:v>1999</c:v>
                </c:pt>
                <c:pt idx="54">
                  <c:v>1999</c:v>
                </c:pt>
                <c:pt idx="55">
                  <c:v>1999</c:v>
                </c:pt>
                <c:pt idx="56">
                  <c:v>1999</c:v>
                </c:pt>
                <c:pt idx="57">
                  <c:v>1999</c:v>
                </c:pt>
                <c:pt idx="58">
                  <c:v>1999</c:v>
                </c:pt>
                <c:pt idx="59">
                  <c:v>1999</c:v>
                </c:pt>
                <c:pt idx="60">
                  <c:v>2000</c:v>
                </c:pt>
                <c:pt idx="61">
                  <c:v>2000</c:v>
                </c:pt>
                <c:pt idx="62">
                  <c:v>2000</c:v>
                </c:pt>
                <c:pt idx="63">
                  <c:v>2000</c:v>
                </c:pt>
                <c:pt idx="64">
                  <c:v>2000</c:v>
                </c:pt>
                <c:pt idx="65">
                  <c:v>2000</c:v>
                </c:pt>
                <c:pt idx="66">
                  <c:v>2000</c:v>
                </c:pt>
                <c:pt idx="67">
                  <c:v>2000</c:v>
                </c:pt>
                <c:pt idx="68">
                  <c:v>2000</c:v>
                </c:pt>
                <c:pt idx="69">
                  <c:v>2000</c:v>
                </c:pt>
                <c:pt idx="70">
                  <c:v>2000</c:v>
                </c:pt>
                <c:pt idx="71">
                  <c:v>2000</c:v>
                </c:pt>
                <c:pt idx="72">
                  <c:v>2001</c:v>
                </c:pt>
                <c:pt idx="73">
                  <c:v>2001</c:v>
                </c:pt>
                <c:pt idx="74">
                  <c:v>2001</c:v>
                </c:pt>
                <c:pt idx="75">
                  <c:v>2001</c:v>
                </c:pt>
                <c:pt idx="76">
                  <c:v>2001</c:v>
                </c:pt>
                <c:pt idx="77">
                  <c:v>2001</c:v>
                </c:pt>
                <c:pt idx="78">
                  <c:v>2001</c:v>
                </c:pt>
                <c:pt idx="79">
                  <c:v>2001</c:v>
                </c:pt>
                <c:pt idx="80">
                  <c:v>2001</c:v>
                </c:pt>
                <c:pt idx="81">
                  <c:v>2001</c:v>
                </c:pt>
                <c:pt idx="82">
                  <c:v>2001</c:v>
                </c:pt>
                <c:pt idx="83">
                  <c:v>2001</c:v>
                </c:pt>
                <c:pt idx="84">
                  <c:v>2002</c:v>
                </c:pt>
                <c:pt idx="85">
                  <c:v>2002</c:v>
                </c:pt>
                <c:pt idx="86">
                  <c:v>2002</c:v>
                </c:pt>
                <c:pt idx="87">
                  <c:v>2002</c:v>
                </c:pt>
                <c:pt idx="88">
                  <c:v>2002</c:v>
                </c:pt>
                <c:pt idx="89">
                  <c:v>2002</c:v>
                </c:pt>
                <c:pt idx="90">
                  <c:v>2002</c:v>
                </c:pt>
                <c:pt idx="91">
                  <c:v>2002</c:v>
                </c:pt>
                <c:pt idx="92">
                  <c:v>2002</c:v>
                </c:pt>
                <c:pt idx="93">
                  <c:v>2002</c:v>
                </c:pt>
                <c:pt idx="94">
                  <c:v>2002</c:v>
                </c:pt>
                <c:pt idx="95">
                  <c:v>2002</c:v>
                </c:pt>
                <c:pt idx="96">
                  <c:v>2003</c:v>
                </c:pt>
                <c:pt idx="97">
                  <c:v>2003</c:v>
                </c:pt>
                <c:pt idx="98">
                  <c:v>2003</c:v>
                </c:pt>
                <c:pt idx="99">
                  <c:v>2003</c:v>
                </c:pt>
                <c:pt idx="100">
                  <c:v>2003</c:v>
                </c:pt>
                <c:pt idx="101">
                  <c:v>2003</c:v>
                </c:pt>
                <c:pt idx="102">
                  <c:v>2003</c:v>
                </c:pt>
                <c:pt idx="103">
                  <c:v>2003</c:v>
                </c:pt>
                <c:pt idx="104">
                  <c:v>2003</c:v>
                </c:pt>
                <c:pt idx="105">
                  <c:v>2003</c:v>
                </c:pt>
                <c:pt idx="106">
                  <c:v>2003</c:v>
                </c:pt>
                <c:pt idx="107">
                  <c:v>2003</c:v>
                </c:pt>
                <c:pt idx="108">
                  <c:v>2004</c:v>
                </c:pt>
                <c:pt idx="109">
                  <c:v>2004</c:v>
                </c:pt>
                <c:pt idx="110">
                  <c:v>2004</c:v>
                </c:pt>
                <c:pt idx="111">
                  <c:v>2004</c:v>
                </c:pt>
                <c:pt idx="112">
                  <c:v>2004</c:v>
                </c:pt>
                <c:pt idx="113">
                  <c:v>2004</c:v>
                </c:pt>
                <c:pt idx="114">
                  <c:v>2004</c:v>
                </c:pt>
                <c:pt idx="115">
                  <c:v>2004</c:v>
                </c:pt>
                <c:pt idx="116">
                  <c:v>2004</c:v>
                </c:pt>
                <c:pt idx="117">
                  <c:v>2004</c:v>
                </c:pt>
                <c:pt idx="118">
                  <c:v>2004</c:v>
                </c:pt>
                <c:pt idx="119">
                  <c:v>2004</c:v>
                </c:pt>
                <c:pt idx="120">
                  <c:v>2005</c:v>
                </c:pt>
                <c:pt idx="121">
                  <c:v>2005</c:v>
                </c:pt>
                <c:pt idx="122">
                  <c:v>2005</c:v>
                </c:pt>
                <c:pt idx="123">
                  <c:v>2005</c:v>
                </c:pt>
                <c:pt idx="124">
                  <c:v>2005</c:v>
                </c:pt>
                <c:pt idx="125">
                  <c:v>2005</c:v>
                </c:pt>
                <c:pt idx="126">
                  <c:v>2005</c:v>
                </c:pt>
                <c:pt idx="127">
                  <c:v>2005</c:v>
                </c:pt>
                <c:pt idx="128">
                  <c:v>2005</c:v>
                </c:pt>
                <c:pt idx="129">
                  <c:v>2005</c:v>
                </c:pt>
                <c:pt idx="130">
                  <c:v>2005</c:v>
                </c:pt>
                <c:pt idx="131">
                  <c:v>2005</c:v>
                </c:pt>
                <c:pt idx="132">
                  <c:v>2006</c:v>
                </c:pt>
                <c:pt idx="133">
                  <c:v>2006</c:v>
                </c:pt>
                <c:pt idx="134">
                  <c:v>2006</c:v>
                </c:pt>
                <c:pt idx="135">
                  <c:v>2006</c:v>
                </c:pt>
                <c:pt idx="136">
                  <c:v>2006</c:v>
                </c:pt>
                <c:pt idx="137">
                  <c:v>2006</c:v>
                </c:pt>
                <c:pt idx="138">
                  <c:v>2006</c:v>
                </c:pt>
                <c:pt idx="139">
                  <c:v>2006</c:v>
                </c:pt>
                <c:pt idx="140">
                  <c:v>2006</c:v>
                </c:pt>
                <c:pt idx="141">
                  <c:v>2006</c:v>
                </c:pt>
                <c:pt idx="142">
                  <c:v>2006</c:v>
                </c:pt>
                <c:pt idx="143">
                  <c:v>2006</c:v>
                </c:pt>
                <c:pt idx="144">
                  <c:v>2007</c:v>
                </c:pt>
                <c:pt idx="145">
                  <c:v>2007</c:v>
                </c:pt>
                <c:pt idx="146">
                  <c:v>2007</c:v>
                </c:pt>
                <c:pt idx="147">
                  <c:v>2007</c:v>
                </c:pt>
                <c:pt idx="148">
                  <c:v>2007</c:v>
                </c:pt>
                <c:pt idx="149">
                  <c:v>2007</c:v>
                </c:pt>
                <c:pt idx="150">
                  <c:v>2007</c:v>
                </c:pt>
                <c:pt idx="151">
                  <c:v>2007</c:v>
                </c:pt>
                <c:pt idx="152">
                  <c:v>2007</c:v>
                </c:pt>
                <c:pt idx="153">
                  <c:v>2007</c:v>
                </c:pt>
                <c:pt idx="154">
                  <c:v>2007</c:v>
                </c:pt>
                <c:pt idx="155">
                  <c:v>2007</c:v>
                </c:pt>
                <c:pt idx="156">
                  <c:v>2008</c:v>
                </c:pt>
                <c:pt idx="157">
                  <c:v>2008</c:v>
                </c:pt>
                <c:pt idx="158">
                  <c:v>2008</c:v>
                </c:pt>
                <c:pt idx="159">
                  <c:v>2008</c:v>
                </c:pt>
                <c:pt idx="160">
                  <c:v>2008</c:v>
                </c:pt>
                <c:pt idx="161">
                  <c:v>2008</c:v>
                </c:pt>
                <c:pt idx="162">
                  <c:v>2008</c:v>
                </c:pt>
                <c:pt idx="163">
                  <c:v>2008</c:v>
                </c:pt>
                <c:pt idx="164">
                  <c:v>2008</c:v>
                </c:pt>
                <c:pt idx="165">
                  <c:v>2008</c:v>
                </c:pt>
                <c:pt idx="166">
                  <c:v>2008</c:v>
                </c:pt>
                <c:pt idx="167">
                  <c:v>2008</c:v>
                </c:pt>
                <c:pt idx="168">
                  <c:v>2009</c:v>
                </c:pt>
                <c:pt idx="169">
                  <c:v>2009</c:v>
                </c:pt>
                <c:pt idx="170">
                  <c:v>2009</c:v>
                </c:pt>
                <c:pt idx="171">
                  <c:v>2009</c:v>
                </c:pt>
                <c:pt idx="172">
                  <c:v>2009</c:v>
                </c:pt>
                <c:pt idx="173">
                  <c:v>2009</c:v>
                </c:pt>
                <c:pt idx="174">
                  <c:v>2009</c:v>
                </c:pt>
                <c:pt idx="175">
                  <c:v>2009</c:v>
                </c:pt>
                <c:pt idx="176">
                  <c:v>2009</c:v>
                </c:pt>
                <c:pt idx="177">
                  <c:v>2009</c:v>
                </c:pt>
                <c:pt idx="178">
                  <c:v>2009</c:v>
                </c:pt>
                <c:pt idx="179">
                  <c:v>2009</c:v>
                </c:pt>
                <c:pt idx="180">
                  <c:v>2010</c:v>
                </c:pt>
                <c:pt idx="181">
                  <c:v>2010</c:v>
                </c:pt>
                <c:pt idx="182">
                  <c:v>2010</c:v>
                </c:pt>
                <c:pt idx="183">
                  <c:v>2010</c:v>
                </c:pt>
                <c:pt idx="184">
                  <c:v>2010</c:v>
                </c:pt>
                <c:pt idx="185">
                  <c:v>2010</c:v>
                </c:pt>
                <c:pt idx="186">
                  <c:v>2010</c:v>
                </c:pt>
                <c:pt idx="187">
                  <c:v>2010</c:v>
                </c:pt>
                <c:pt idx="188">
                  <c:v>2010</c:v>
                </c:pt>
                <c:pt idx="189">
                  <c:v>2010</c:v>
                </c:pt>
                <c:pt idx="190">
                  <c:v>2010</c:v>
                </c:pt>
                <c:pt idx="191">
                  <c:v>2010</c:v>
                </c:pt>
                <c:pt idx="192">
                  <c:v>2011</c:v>
                </c:pt>
                <c:pt idx="193">
                  <c:v>2011</c:v>
                </c:pt>
                <c:pt idx="194">
                  <c:v>2011</c:v>
                </c:pt>
                <c:pt idx="195">
                  <c:v>2011</c:v>
                </c:pt>
                <c:pt idx="196">
                  <c:v>2011</c:v>
                </c:pt>
                <c:pt idx="197">
                  <c:v>2011</c:v>
                </c:pt>
                <c:pt idx="198">
                  <c:v>2011</c:v>
                </c:pt>
                <c:pt idx="199">
                  <c:v>2011</c:v>
                </c:pt>
                <c:pt idx="200">
                  <c:v>2011</c:v>
                </c:pt>
                <c:pt idx="201">
                  <c:v>2011</c:v>
                </c:pt>
                <c:pt idx="202">
                  <c:v>2011</c:v>
                </c:pt>
                <c:pt idx="203">
                  <c:v>2011</c:v>
                </c:pt>
                <c:pt idx="204">
                  <c:v>2012</c:v>
                </c:pt>
                <c:pt idx="205">
                  <c:v>2012</c:v>
                </c:pt>
                <c:pt idx="206">
                  <c:v>2012</c:v>
                </c:pt>
                <c:pt idx="207">
                  <c:v>2012</c:v>
                </c:pt>
                <c:pt idx="208">
                  <c:v>2012</c:v>
                </c:pt>
                <c:pt idx="209">
                  <c:v>2012</c:v>
                </c:pt>
                <c:pt idx="210">
                  <c:v>2012</c:v>
                </c:pt>
                <c:pt idx="211">
                  <c:v>2012</c:v>
                </c:pt>
                <c:pt idx="212">
                  <c:v>2012</c:v>
                </c:pt>
                <c:pt idx="213">
                  <c:v>2012</c:v>
                </c:pt>
                <c:pt idx="214">
                  <c:v>2012</c:v>
                </c:pt>
                <c:pt idx="215">
                  <c:v>2012</c:v>
                </c:pt>
                <c:pt idx="216">
                  <c:v>2013</c:v>
                </c:pt>
                <c:pt idx="217">
                  <c:v>2013</c:v>
                </c:pt>
                <c:pt idx="218">
                  <c:v>2013</c:v>
                </c:pt>
                <c:pt idx="219">
                  <c:v>2013</c:v>
                </c:pt>
                <c:pt idx="220">
                  <c:v>2013</c:v>
                </c:pt>
                <c:pt idx="221">
                  <c:v>2013</c:v>
                </c:pt>
                <c:pt idx="222">
                  <c:v>2013</c:v>
                </c:pt>
                <c:pt idx="223">
                  <c:v>2013</c:v>
                </c:pt>
                <c:pt idx="224">
                  <c:v>2013</c:v>
                </c:pt>
                <c:pt idx="225">
                  <c:v>2013</c:v>
                </c:pt>
                <c:pt idx="226">
                  <c:v>2013</c:v>
                </c:pt>
                <c:pt idx="227">
                  <c:v>2013</c:v>
                </c:pt>
                <c:pt idx="228">
                  <c:v>2014</c:v>
                </c:pt>
              </c:numCache>
            </c:numRef>
          </c:cat>
          <c:val>
            <c:numRef>
              <c:f>COML!$E$149:$E$377</c:f>
              <c:numCache>
                <c:formatCode>0.0_)</c:formatCode>
                <c:ptCount val="229"/>
                <c:pt idx="0">
                  <c:v>4827</c:v>
                </c:pt>
                <c:pt idx="1">
                  <c:v>4627.8999999999996</c:v>
                </c:pt>
                <c:pt idx="2">
                  <c:v>4935.3999999999996</c:v>
                </c:pt>
                <c:pt idx="3">
                  <c:v>5239.3</c:v>
                </c:pt>
                <c:pt idx="4">
                  <c:v>5840.1</c:v>
                </c:pt>
                <c:pt idx="5">
                  <c:v>6361.8</c:v>
                </c:pt>
                <c:pt idx="6">
                  <c:v>6332.9</c:v>
                </c:pt>
                <c:pt idx="7">
                  <c:v>6489.1</c:v>
                </c:pt>
                <c:pt idx="8">
                  <c:v>6781.6</c:v>
                </c:pt>
                <c:pt idx="9">
                  <c:v>6100.1</c:v>
                </c:pt>
                <c:pt idx="10">
                  <c:v>5670</c:v>
                </c:pt>
                <c:pt idx="11">
                  <c:v>4979</c:v>
                </c:pt>
                <c:pt idx="12">
                  <c:v>4796.5</c:v>
                </c:pt>
                <c:pt idx="13">
                  <c:v>5142.1000000000004</c:v>
                </c:pt>
                <c:pt idx="14">
                  <c:v>4803.7</c:v>
                </c:pt>
                <c:pt idx="15">
                  <c:v>5097.3</c:v>
                </c:pt>
                <c:pt idx="16">
                  <c:v>5532.2</c:v>
                </c:pt>
                <c:pt idx="17">
                  <c:v>6528</c:v>
                </c:pt>
                <c:pt idx="18">
                  <c:v>6548</c:v>
                </c:pt>
                <c:pt idx="19">
                  <c:v>6713.3</c:v>
                </c:pt>
                <c:pt idx="20">
                  <c:v>6481.4</c:v>
                </c:pt>
                <c:pt idx="21">
                  <c:v>5906.2</c:v>
                </c:pt>
                <c:pt idx="22">
                  <c:v>5625.8</c:v>
                </c:pt>
                <c:pt idx="23">
                  <c:v>5135</c:v>
                </c:pt>
                <c:pt idx="24">
                  <c:v>5168.5</c:v>
                </c:pt>
                <c:pt idx="25">
                  <c:v>4807.3</c:v>
                </c:pt>
                <c:pt idx="26">
                  <c:v>5263</c:v>
                </c:pt>
                <c:pt idx="27">
                  <c:v>5623</c:v>
                </c:pt>
                <c:pt idx="28">
                  <c:v>5374.8</c:v>
                </c:pt>
                <c:pt idx="29">
                  <c:v>6227.8</c:v>
                </c:pt>
                <c:pt idx="30">
                  <c:v>6710.4</c:v>
                </c:pt>
                <c:pt idx="31">
                  <c:v>6563.7</c:v>
                </c:pt>
                <c:pt idx="32">
                  <c:v>6762.7</c:v>
                </c:pt>
                <c:pt idx="33">
                  <c:v>6505.3</c:v>
                </c:pt>
                <c:pt idx="34">
                  <c:v>5557</c:v>
                </c:pt>
                <c:pt idx="35">
                  <c:v>5283.6</c:v>
                </c:pt>
                <c:pt idx="36">
                  <c:v>5324</c:v>
                </c:pt>
                <c:pt idx="37">
                  <c:v>4826.5</c:v>
                </c:pt>
                <c:pt idx="38">
                  <c:v>4966.1000000000004</c:v>
                </c:pt>
                <c:pt idx="39">
                  <c:v>5473</c:v>
                </c:pt>
                <c:pt idx="40">
                  <c:v>5973.2</c:v>
                </c:pt>
                <c:pt idx="41">
                  <c:v>6901.7</c:v>
                </c:pt>
                <c:pt idx="42">
                  <c:v>7041.6</c:v>
                </c:pt>
                <c:pt idx="43">
                  <c:v>7167.4</c:v>
                </c:pt>
                <c:pt idx="44">
                  <c:v>7009.2</c:v>
                </c:pt>
                <c:pt idx="45">
                  <c:v>6627.1</c:v>
                </c:pt>
                <c:pt idx="46">
                  <c:v>5999.7</c:v>
                </c:pt>
                <c:pt idx="47">
                  <c:v>5990.5</c:v>
                </c:pt>
                <c:pt idx="48">
                  <c:v>5519.3</c:v>
                </c:pt>
                <c:pt idx="49">
                  <c:v>5149.5</c:v>
                </c:pt>
                <c:pt idx="50">
                  <c:v>5098.6000000000004</c:v>
                </c:pt>
                <c:pt idx="51">
                  <c:v>5780.9</c:v>
                </c:pt>
                <c:pt idx="52">
                  <c:v>5884.3</c:v>
                </c:pt>
                <c:pt idx="53">
                  <c:v>6541.4</c:v>
                </c:pt>
                <c:pt idx="54">
                  <c:v>6920.5</c:v>
                </c:pt>
                <c:pt idx="55">
                  <c:v>7418.2</c:v>
                </c:pt>
                <c:pt idx="56">
                  <c:v>7226.8</c:v>
                </c:pt>
                <c:pt idx="57">
                  <c:v>6510.2</c:v>
                </c:pt>
                <c:pt idx="58">
                  <c:v>5753</c:v>
                </c:pt>
                <c:pt idx="59">
                  <c:v>5475</c:v>
                </c:pt>
                <c:pt idx="60">
                  <c:v>5226.7</c:v>
                </c:pt>
                <c:pt idx="61">
                  <c:v>5572.7</c:v>
                </c:pt>
                <c:pt idx="62">
                  <c:v>5432.9</c:v>
                </c:pt>
                <c:pt idx="63">
                  <c:v>5899.2</c:v>
                </c:pt>
                <c:pt idx="64">
                  <c:v>6258.8</c:v>
                </c:pt>
                <c:pt idx="65">
                  <c:v>7102.4</c:v>
                </c:pt>
                <c:pt idx="66">
                  <c:v>7477.2</c:v>
                </c:pt>
                <c:pt idx="67">
                  <c:v>7103.3</c:v>
                </c:pt>
                <c:pt idx="68">
                  <c:v>7326.2</c:v>
                </c:pt>
                <c:pt idx="69">
                  <c:v>6580.4</c:v>
                </c:pt>
                <c:pt idx="70">
                  <c:v>5691.3</c:v>
                </c:pt>
                <c:pt idx="71">
                  <c:v>5604.4</c:v>
                </c:pt>
                <c:pt idx="72">
                  <c:v>5848.9</c:v>
                </c:pt>
                <c:pt idx="73">
                  <c:v>5415.3</c:v>
                </c:pt>
                <c:pt idx="74">
                  <c:v>5538.7</c:v>
                </c:pt>
                <c:pt idx="75">
                  <c:v>5825.1</c:v>
                </c:pt>
                <c:pt idx="76">
                  <c:v>6014.1</c:v>
                </c:pt>
                <c:pt idx="77">
                  <c:v>6993.5</c:v>
                </c:pt>
                <c:pt idx="78">
                  <c:v>7061.9</c:v>
                </c:pt>
                <c:pt idx="79">
                  <c:v>7092.7</c:v>
                </c:pt>
                <c:pt idx="80">
                  <c:v>7301.8</c:v>
                </c:pt>
                <c:pt idx="81">
                  <c:v>6264.3</c:v>
                </c:pt>
                <c:pt idx="82">
                  <c:v>5891.8</c:v>
                </c:pt>
                <c:pt idx="83">
                  <c:v>5966.3</c:v>
                </c:pt>
                <c:pt idx="84">
                  <c:v>5750.6</c:v>
                </c:pt>
                <c:pt idx="85">
                  <c:v>5311.9</c:v>
                </c:pt>
                <c:pt idx="86">
                  <c:v>5405.1</c:v>
                </c:pt>
                <c:pt idx="87">
                  <c:v>6023.2</c:v>
                </c:pt>
                <c:pt idx="88">
                  <c:v>6695.5</c:v>
                </c:pt>
                <c:pt idx="89">
                  <c:v>6577.2</c:v>
                </c:pt>
                <c:pt idx="90">
                  <c:v>6970.1</c:v>
                </c:pt>
                <c:pt idx="91">
                  <c:v>6963.4</c:v>
                </c:pt>
                <c:pt idx="92">
                  <c:v>7010.7</c:v>
                </c:pt>
                <c:pt idx="93">
                  <c:v>6876.8</c:v>
                </c:pt>
                <c:pt idx="94">
                  <c:v>6393.7</c:v>
                </c:pt>
                <c:pt idx="95">
                  <c:v>5795.6</c:v>
                </c:pt>
                <c:pt idx="96">
                  <c:v>5399.4</c:v>
                </c:pt>
                <c:pt idx="97">
                  <c:v>5177.8999999999996</c:v>
                </c:pt>
                <c:pt idx="98">
                  <c:v>5560.7</c:v>
                </c:pt>
                <c:pt idx="99">
                  <c:v>5781.1</c:v>
                </c:pt>
                <c:pt idx="100">
                  <c:v>6386.6</c:v>
                </c:pt>
                <c:pt idx="101">
                  <c:v>6988.8</c:v>
                </c:pt>
                <c:pt idx="102">
                  <c:v>7090.9</c:v>
                </c:pt>
                <c:pt idx="103">
                  <c:v>7023.1</c:v>
                </c:pt>
                <c:pt idx="104">
                  <c:v>7343.5</c:v>
                </c:pt>
                <c:pt idx="105">
                  <c:v>6282.7</c:v>
                </c:pt>
                <c:pt idx="106">
                  <c:v>6125.8</c:v>
                </c:pt>
                <c:pt idx="107">
                  <c:v>5661.5</c:v>
                </c:pt>
                <c:pt idx="108">
                  <c:v>5679.1</c:v>
                </c:pt>
                <c:pt idx="109">
                  <c:v>5007</c:v>
                </c:pt>
                <c:pt idx="110">
                  <c:v>5289.4</c:v>
                </c:pt>
                <c:pt idx="111">
                  <c:v>5564.3</c:v>
                </c:pt>
                <c:pt idx="112">
                  <c:v>6006.7</c:v>
                </c:pt>
                <c:pt idx="113">
                  <c:v>7032.8</c:v>
                </c:pt>
                <c:pt idx="114">
                  <c:v>7246.2</c:v>
                </c:pt>
                <c:pt idx="115">
                  <c:v>6992</c:v>
                </c:pt>
                <c:pt idx="116">
                  <c:v>6748.6</c:v>
                </c:pt>
                <c:pt idx="117">
                  <c:v>6404.6</c:v>
                </c:pt>
                <c:pt idx="118">
                  <c:v>6058.3</c:v>
                </c:pt>
                <c:pt idx="119">
                  <c:v>5822.8</c:v>
                </c:pt>
                <c:pt idx="120">
                  <c:v>5616.8</c:v>
                </c:pt>
                <c:pt idx="121">
                  <c:v>5256.2</c:v>
                </c:pt>
                <c:pt idx="122">
                  <c:v>5251.2</c:v>
                </c:pt>
                <c:pt idx="123">
                  <c:v>5759.3</c:v>
                </c:pt>
                <c:pt idx="124">
                  <c:v>5663.3</c:v>
                </c:pt>
                <c:pt idx="125">
                  <c:v>6739.1</c:v>
                </c:pt>
                <c:pt idx="126">
                  <c:v>7186.5</c:v>
                </c:pt>
                <c:pt idx="127">
                  <c:v>7167.4</c:v>
                </c:pt>
                <c:pt idx="128">
                  <c:v>7497.2</c:v>
                </c:pt>
                <c:pt idx="129">
                  <c:v>6561.3</c:v>
                </c:pt>
                <c:pt idx="130">
                  <c:v>5970.8</c:v>
                </c:pt>
                <c:pt idx="131">
                  <c:v>5527.6</c:v>
                </c:pt>
                <c:pt idx="132">
                  <c:v>5385.6</c:v>
                </c:pt>
                <c:pt idx="133">
                  <c:v>5083.1000000000004</c:v>
                </c:pt>
                <c:pt idx="134">
                  <c:v>5254.5</c:v>
                </c:pt>
                <c:pt idx="135">
                  <c:v>5579.2</c:v>
                </c:pt>
                <c:pt idx="136">
                  <c:v>6135</c:v>
                </c:pt>
                <c:pt idx="137">
                  <c:v>6785.6</c:v>
                </c:pt>
                <c:pt idx="138">
                  <c:v>7011.6</c:v>
                </c:pt>
                <c:pt idx="139">
                  <c:v>7209.9</c:v>
                </c:pt>
                <c:pt idx="140">
                  <c:v>7145.8</c:v>
                </c:pt>
                <c:pt idx="141">
                  <c:v>6456.9</c:v>
                </c:pt>
                <c:pt idx="142">
                  <c:v>5917.8</c:v>
                </c:pt>
                <c:pt idx="143">
                  <c:v>5595.4</c:v>
                </c:pt>
                <c:pt idx="144">
                  <c:v>5755</c:v>
                </c:pt>
                <c:pt idx="145">
                  <c:v>5146.7</c:v>
                </c:pt>
                <c:pt idx="146">
                  <c:v>5345.1</c:v>
                </c:pt>
                <c:pt idx="147">
                  <c:v>5603.1</c:v>
                </c:pt>
                <c:pt idx="148">
                  <c:v>6001</c:v>
                </c:pt>
                <c:pt idx="149">
                  <c:v>6416</c:v>
                </c:pt>
                <c:pt idx="150">
                  <c:v>7123</c:v>
                </c:pt>
                <c:pt idx="151">
                  <c:v>7292.6</c:v>
                </c:pt>
                <c:pt idx="152">
                  <c:v>7540</c:v>
                </c:pt>
                <c:pt idx="153">
                  <c:v>6749.8</c:v>
                </c:pt>
                <c:pt idx="154">
                  <c:v>6038.8</c:v>
                </c:pt>
                <c:pt idx="155">
                  <c:v>5813.6</c:v>
                </c:pt>
                <c:pt idx="156">
                  <c:v>5648.6</c:v>
                </c:pt>
                <c:pt idx="157">
                  <c:v>5341</c:v>
                </c:pt>
                <c:pt idx="158">
                  <c:v>5460.4</c:v>
                </c:pt>
                <c:pt idx="159">
                  <c:v>5696.7</c:v>
                </c:pt>
                <c:pt idx="160">
                  <c:v>5974</c:v>
                </c:pt>
                <c:pt idx="161">
                  <c:v>7063</c:v>
                </c:pt>
                <c:pt idx="162">
                  <c:v>7133.3</c:v>
                </c:pt>
                <c:pt idx="163">
                  <c:v>7160.6</c:v>
                </c:pt>
                <c:pt idx="164">
                  <c:v>7350.8</c:v>
                </c:pt>
                <c:pt idx="165">
                  <c:v>6534.9</c:v>
                </c:pt>
                <c:pt idx="166">
                  <c:v>5832.7</c:v>
                </c:pt>
                <c:pt idx="167">
                  <c:v>5458.5</c:v>
                </c:pt>
                <c:pt idx="168">
                  <c:v>5466.7</c:v>
                </c:pt>
                <c:pt idx="169">
                  <c:v>5087.7</c:v>
                </c:pt>
                <c:pt idx="170">
                  <c:v>5266.3</c:v>
                </c:pt>
                <c:pt idx="171">
                  <c:v>5713.9</c:v>
                </c:pt>
                <c:pt idx="172">
                  <c:v>6081.8</c:v>
                </c:pt>
                <c:pt idx="173">
                  <c:v>6486.5</c:v>
                </c:pt>
                <c:pt idx="174">
                  <c:v>7150.3</c:v>
                </c:pt>
                <c:pt idx="175">
                  <c:v>7134.1</c:v>
                </c:pt>
                <c:pt idx="176">
                  <c:v>7065</c:v>
                </c:pt>
                <c:pt idx="177">
                  <c:v>6816.7</c:v>
                </c:pt>
                <c:pt idx="178">
                  <c:v>5866.4</c:v>
                </c:pt>
                <c:pt idx="179">
                  <c:v>5554.2</c:v>
                </c:pt>
                <c:pt idx="180">
                  <c:v>5677.2</c:v>
                </c:pt>
                <c:pt idx="181">
                  <c:v>5323.8</c:v>
                </c:pt>
                <c:pt idx="182">
                  <c:v>5179.1000000000004</c:v>
                </c:pt>
                <c:pt idx="183">
                  <c:v>5392.3</c:v>
                </c:pt>
                <c:pt idx="184">
                  <c:v>5935.3</c:v>
                </c:pt>
                <c:pt idx="185">
                  <c:v>6864.7</c:v>
                </c:pt>
                <c:pt idx="186">
                  <c:v>7202.8</c:v>
                </c:pt>
                <c:pt idx="187">
                  <c:v>7313.8</c:v>
                </c:pt>
                <c:pt idx="188">
                  <c:v>7083.7</c:v>
                </c:pt>
                <c:pt idx="189">
                  <c:v>6680.4</c:v>
                </c:pt>
                <c:pt idx="190">
                  <c:v>5533</c:v>
                </c:pt>
                <c:pt idx="191">
                  <c:v>5486.2</c:v>
                </c:pt>
                <c:pt idx="192">
                  <c:v>5722.6</c:v>
                </c:pt>
                <c:pt idx="193">
                  <c:v>5036</c:v>
                </c:pt>
                <c:pt idx="194">
                  <c:v>5332.8</c:v>
                </c:pt>
                <c:pt idx="195">
                  <c:v>5653.6</c:v>
                </c:pt>
                <c:pt idx="196">
                  <c:v>6303.2</c:v>
                </c:pt>
                <c:pt idx="197">
                  <c:v>6757.9</c:v>
                </c:pt>
                <c:pt idx="198">
                  <c:v>6925.2</c:v>
                </c:pt>
                <c:pt idx="199">
                  <c:v>7180.9</c:v>
                </c:pt>
                <c:pt idx="200">
                  <c:v>6974.9</c:v>
                </c:pt>
                <c:pt idx="201">
                  <c:v>6650.8</c:v>
                </c:pt>
                <c:pt idx="202">
                  <c:v>5384.7</c:v>
                </c:pt>
                <c:pt idx="203">
                  <c:v>5432.3</c:v>
                </c:pt>
                <c:pt idx="204">
                  <c:v>5537.4</c:v>
                </c:pt>
                <c:pt idx="205">
                  <c:v>5167.1000000000004</c:v>
                </c:pt>
                <c:pt idx="206">
                  <c:v>5320.5</c:v>
                </c:pt>
                <c:pt idx="207">
                  <c:v>5807.8</c:v>
                </c:pt>
                <c:pt idx="208">
                  <c:v>5873.2</c:v>
                </c:pt>
                <c:pt idx="209">
                  <c:v>6511.6</c:v>
                </c:pt>
                <c:pt idx="210">
                  <c:v>6734.3</c:v>
                </c:pt>
                <c:pt idx="211">
                  <c:v>6896.9</c:v>
                </c:pt>
                <c:pt idx="212">
                  <c:v>6921.9</c:v>
                </c:pt>
                <c:pt idx="213">
                  <c:v>6385.2</c:v>
                </c:pt>
                <c:pt idx="214">
                  <c:v>5417.6</c:v>
                </c:pt>
                <c:pt idx="215">
                  <c:v>5223.6000000000004</c:v>
                </c:pt>
                <c:pt idx="216">
                  <c:v>5486.5</c:v>
                </c:pt>
                <c:pt idx="217">
                  <c:v>5013.5</c:v>
                </c:pt>
                <c:pt idx="218">
                  <c:v>5170.8</c:v>
                </c:pt>
                <c:pt idx="219">
                  <c:v>5288</c:v>
                </c:pt>
                <c:pt idx="220">
                  <c:v>5795.8</c:v>
                </c:pt>
                <c:pt idx="221">
                  <c:v>6409.3</c:v>
                </c:pt>
                <c:pt idx="222">
                  <c:v>6623</c:v>
                </c:pt>
                <c:pt idx="223">
                  <c:v>6865.5</c:v>
                </c:pt>
                <c:pt idx="224">
                  <c:v>6820.6</c:v>
                </c:pt>
                <c:pt idx="225">
                  <c:v>6413.1</c:v>
                </c:pt>
                <c:pt idx="226">
                  <c:v>5490.2</c:v>
                </c:pt>
                <c:pt idx="227">
                  <c:v>5268.1</c:v>
                </c:pt>
              </c:numCache>
            </c:numRef>
          </c:val>
        </c:ser>
        <c:marker val="1"/>
        <c:axId val="230026624"/>
        <c:axId val="61698816"/>
      </c:lineChart>
      <c:catAx>
        <c:axId val="230026624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698816"/>
        <c:crosses val="autoZero"/>
        <c:lblAlgn val="ctr"/>
        <c:lblOffset val="100"/>
        <c:tickLblSkip val="12"/>
        <c:tickMarkSkip val="12"/>
      </c:catAx>
      <c:valAx>
        <c:axId val="61698816"/>
        <c:scaling>
          <c:orientation val="minMax"/>
          <c:min val="400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002662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Commercial Large Accounts - GSD, IS, CS, SS
UPC - Actual Billing Month</a:t>
            </a:r>
          </a:p>
        </c:rich>
      </c:tx>
      <c:layout>
        <c:manualLayout>
          <c:xMode val="edge"/>
          <c:yMode val="edge"/>
          <c:x val="0.30829015544041449"/>
          <c:y val="3.384615384615384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836411609503928E-2"/>
          <c:y val="0.19384644508180901"/>
          <c:w val="0.87071240105540892"/>
          <c:h val="0.64307788923961762"/>
        </c:manualLayout>
      </c:layout>
      <c:lineChart>
        <c:grouping val="standard"/>
        <c:ser>
          <c:idx val="7"/>
          <c:order val="0"/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COML!$A$149:$A$377</c:f>
              <c:numCache>
                <c:formatCode>General_)</c:formatCode>
                <c:ptCount val="229"/>
                <c:pt idx="0">
                  <c:v>1995</c:v>
                </c:pt>
                <c:pt idx="1">
                  <c:v>1995</c:v>
                </c:pt>
                <c:pt idx="2">
                  <c:v>1995</c:v>
                </c:pt>
                <c:pt idx="3">
                  <c:v>1995</c:v>
                </c:pt>
                <c:pt idx="4">
                  <c:v>1995</c:v>
                </c:pt>
                <c:pt idx="5">
                  <c:v>1995</c:v>
                </c:pt>
                <c:pt idx="6">
                  <c:v>1995</c:v>
                </c:pt>
                <c:pt idx="7">
                  <c:v>1995</c:v>
                </c:pt>
                <c:pt idx="8">
                  <c:v>1995</c:v>
                </c:pt>
                <c:pt idx="9">
                  <c:v>1995</c:v>
                </c:pt>
                <c:pt idx="10">
                  <c:v>1995</c:v>
                </c:pt>
                <c:pt idx="11">
                  <c:v>1995</c:v>
                </c:pt>
                <c:pt idx="12">
                  <c:v>1996</c:v>
                </c:pt>
                <c:pt idx="13">
                  <c:v>1996</c:v>
                </c:pt>
                <c:pt idx="14">
                  <c:v>1996</c:v>
                </c:pt>
                <c:pt idx="15">
                  <c:v>1996</c:v>
                </c:pt>
                <c:pt idx="16">
                  <c:v>1996</c:v>
                </c:pt>
                <c:pt idx="17">
                  <c:v>1996</c:v>
                </c:pt>
                <c:pt idx="18">
                  <c:v>1996</c:v>
                </c:pt>
                <c:pt idx="19">
                  <c:v>1996</c:v>
                </c:pt>
                <c:pt idx="20">
                  <c:v>1996</c:v>
                </c:pt>
                <c:pt idx="21">
                  <c:v>1996</c:v>
                </c:pt>
                <c:pt idx="22">
                  <c:v>1996</c:v>
                </c:pt>
                <c:pt idx="23">
                  <c:v>1996</c:v>
                </c:pt>
                <c:pt idx="24">
                  <c:v>1997</c:v>
                </c:pt>
                <c:pt idx="25">
                  <c:v>1997</c:v>
                </c:pt>
                <c:pt idx="26">
                  <c:v>1997</c:v>
                </c:pt>
                <c:pt idx="27">
                  <c:v>1997</c:v>
                </c:pt>
                <c:pt idx="28">
                  <c:v>1997</c:v>
                </c:pt>
                <c:pt idx="29">
                  <c:v>1997</c:v>
                </c:pt>
                <c:pt idx="30">
                  <c:v>1997</c:v>
                </c:pt>
                <c:pt idx="31">
                  <c:v>1997</c:v>
                </c:pt>
                <c:pt idx="32">
                  <c:v>1997</c:v>
                </c:pt>
                <c:pt idx="33">
                  <c:v>1997</c:v>
                </c:pt>
                <c:pt idx="34">
                  <c:v>1997</c:v>
                </c:pt>
                <c:pt idx="35">
                  <c:v>1997</c:v>
                </c:pt>
                <c:pt idx="36">
                  <c:v>1998</c:v>
                </c:pt>
                <c:pt idx="37">
                  <c:v>1998</c:v>
                </c:pt>
                <c:pt idx="38">
                  <c:v>1998</c:v>
                </c:pt>
                <c:pt idx="39">
                  <c:v>1998</c:v>
                </c:pt>
                <c:pt idx="40">
                  <c:v>1998</c:v>
                </c:pt>
                <c:pt idx="41">
                  <c:v>1998</c:v>
                </c:pt>
                <c:pt idx="42">
                  <c:v>1998</c:v>
                </c:pt>
                <c:pt idx="43">
                  <c:v>1998</c:v>
                </c:pt>
                <c:pt idx="44">
                  <c:v>1998</c:v>
                </c:pt>
                <c:pt idx="45">
                  <c:v>1998</c:v>
                </c:pt>
                <c:pt idx="46">
                  <c:v>1998</c:v>
                </c:pt>
                <c:pt idx="47">
                  <c:v>1998</c:v>
                </c:pt>
                <c:pt idx="48">
                  <c:v>1999</c:v>
                </c:pt>
                <c:pt idx="49">
                  <c:v>1999</c:v>
                </c:pt>
                <c:pt idx="50">
                  <c:v>1999</c:v>
                </c:pt>
                <c:pt idx="51">
                  <c:v>1999</c:v>
                </c:pt>
                <c:pt idx="52">
                  <c:v>1999</c:v>
                </c:pt>
                <c:pt idx="53">
                  <c:v>1999</c:v>
                </c:pt>
                <c:pt idx="54">
                  <c:v>1999</c:v>
                </c:pt>
                <c:pt idx="55">
                  <c:v>1999</c:v>
                </c:pt>
                <c:pt idx="56">
                  <c:v>1999</c:v>
                </c:pt>
                <c:pt idx="57">
                  <c:v>1999</c:v>
                </c:pt>
                <c:pt idx="58">
                  <c:v>1999</c:v>
                </c:pt>
                <c:pt idx="59">
                  <c:v>1999</c:v>
                </c:pt>
                <c:pt idx="60">
                  <c:v>2000</c:v>
                </c:pt>
                <c:pt idx="61">
                  <c:v>2000</c:v>
                </c:pt>
                <c:pt idx="62">
                  <c:v>2000</c:v>
                </c:pt>
                <c:pt idx="63">
                  <c:v>2000</c:v>
                </c:pt>
                <c:pt idx="64">
                  <c:v>2000</c:v>
                </c:pt>
                <c:pt idx="65">
                  <c:v>2000</c:v>
                </c:pt>
                <c:pt idx="66">
                  <c:v>2000</c:v>
                </c:pt>
                <c:pt idx="67">
                  <c:v>2000</c:v>
                </c:pt>
                <c:pt idx="68">
                  <c:v>2000</c:v>
                </c:pt>
                <c:pt idx="69">
                  <c:v>2000</c:v>
                </c:pt>
                <c:pt idx="70">
                  <c:v>2000</c:v>
                </c:pt>
                <c:pt idx="71">
                  <c:v>2000</c:v>
                </c:pt>
                <c:pt idx="72">
                  <c:v>2001</c:v>
                </c:pt>
                <c:pt idx="73">
                  <c:v>2001</c:v>
                </c:pt>
                <c:pt idx="74">
                  <c:v>2001</c:v>
                </c:pt>
                <c:pt idx="75">
                  <c:v>2001</c:v>
                </c:pt>
                <c:pt idx="76">
                  <c:v>2001</c:v>
                </c:pt>
                <c:pt idx="77">
                  <c:v>2001</c:v>
                </c:pt>
                <c:pt idx="78">
                  <c:v>2001</c:v>
                </c:pt>
                <c:pt idx="79">
                  <c:v>2001</c:v>
                </c:pt>
                <c:pt idx="80">
                  <c:v>2001</c:v>
                </c:pt>
                <c:pt idx="81">
                  <c:v>2001</c:v>
                </c:pt>
                <c:pt idx="82">
                  <c:v>2001</c:v>
                </c:pt>
                <c:pt idx="83">
                  <c:v>2001</c:v>
                </c:pt>
                <c:pt idx="84">
                  <c:v>2002</c:v>
                </c:pt>
                <c:pt idx="85">
                  <c:v>2002</c:v>
                </c:pt>
                <c:pt idx="86">
                  <c:v>2002</c:v>
                </c:pt>
                <c:pt idx="87">
                  <c:v>2002</c:v>
                </c:pt>
                <c:pt idx="88">
                  <c:v>2002</c:v>
                </c:pt>
                <c:pt idx="89">
                  <c:v>2002</c:v>
                </c:pt>
                <c:pt idx="90">
                  <c:v>2002</c:v>
                </c:pt>
                <c:pt idx="91">
                  <c:v>2002</c:v>
                </c:pt>
                <c:pt idx="92">
                  <c:v>2002</c:v>
                </c:pt>
                <c:pt idx="93">
                  <c:v>2002</c:v>
                </c:pt>
                <c:pt idx="94">
                  <c:v>2002</c:v>
                </c:pt>
                <c:pt idx="95">
                  <c:v>2002</c:v>
                </c:pt>
                <c:pt idx="96">
                  <c:v>2003</c:v>
                </c:pt>
                <c:pt idx="97">
                  <c:v>2003</c:v>
                </c:pt>
                <c:pt idx="98">
                  <c:v>2003</c:v>
                </c:pt>
                <c:pt idx="99">
                  <c:v>2003</c:v>
                </c:pt>
                <c:pt idx="100">
                  <c:v>2003</c:v>
                </c:pt>
                <c:pt idx="101">
                  <c:v>2003</c:v>
                </c:pt>
                <c:pt idx="102">
                  <c:v>2003</c:v>
                </c:pt>
                <c:pt idx="103">
                  <c:v>2003</c:v>
                </c:pt>
                <c:pt idx="104">
                  <c:v>2003</c:v>
                </c:pt>
                <c:pt idx="105">
                  <c:v>2003</c:v>
                </c:pt>
                <c:pt idx="106">
                  <c:v>2003</c:v>
                </c:pt>
                <c:pt idx="107">
                  <c:v>2003</c:v>
                </c:pt>
                <c:pt idx="108">
                  <c:v>2004</c:v>
                </c:pt>
                <c:pt idx="109">
                  <c:v>2004</c:v>
                </c:pt>
                <c:pt idx="110">
                  <c:v>2004</c:v>
                </c:pt>
                <c:pt idx="111">
                  <c:v>2004</c:v>
                </c:pt>
                <c:pt idx="112">
                  <c:v>2004</c:v>
                </c:pt>
                <c:pt idx="113">
                  <c:v>2004</c:v>
                </c:pt>
                <c:pt idx="114">
                  <c:v>2004</c:v>
                </c:pt>
                <c:pt idx="115">
                  <c:v>2004</c:v>
                </c:pt>
                <c:pt idx="116">
                  <c:v>2004</c:v>
                </c:pt>
                <c:pt idx="117">
                  <c:v>2004</c:v>
                </c:pt>
                <c:pt idx="118">
                  <c:v>2004</c:v>
                </c:pt>
                <c:pt idx="119">
                  <c:v>2004</c:v>
                </c:pt>
                <c:pt idx="120">
                  <c:v>2005</c:v>
                </c:pt>
                <c:pt idx="121">
                  <c:v>2005</c:v>
                </c:pt>
                <c:pt idx="122">
                  <c:v>2005</c:v>
                </c:pt>
                <c:pt idx="123">
                  <c:v>2005</c:v>
                </c:pt>
                <c:pt idx="124">
                  <c:v>2005</c:v>
                </c:pt>
                <c:pt idx="125">
                  <c:v>2005</c:v>
                </c:pt>
                <c:pt idx="126">
                  <c:v>2005</c:v>
                </c:pt>
                <c:pt idx="127">
                  <c:v>2005</c:v>
                </c:pt>
                <c:pt idx="128">
                  <c:v>2005</c:v>
                </c:pt>
                <c:pt idx="129">
                  <c:v>2005</c:v>
                </c:pt>
                <c:pt idx="130">
                  <c:v>2005</c:v>
                </c:pt>
                <c:pt idx="131">
                  <c:v>2005</c:v>
                </c:pt>
                <c:pt idx="132">
                  <c:v>2006</c:v>
                </c:pt>
                <c:pt idx="133">
                  <c:v>2006</c:v>
                </c:pt>
                <c:pt idx="134">
                  <c:v>2006</c:v>
                </c:pt>
                <c:pt idx="135">
                  <c:v>2006</c:v>
                </c:pt>
                <c:pt idx="136">
                  <c:v>2006</c:v>
                </c:pt>
                <c:pt idx="137">
                  <c:v>2006</c:v>
                </c:pt>
                <c:pt idx="138">
                  <c:v>2006</c:v>
                </c:pt>
                <c:pt idx="139">
                  <c:v>2006</c:v>
                </c:pt>
                <c:pt idx="140">
                  <c:v>2006</c:v>
                </c:pt>
                <c:pt idx="141">
                  <c:v>2006</c:v>
                </c:pt>
                <c:pt idx="142">
                  <c:v>2006</c:v>
                </c:pt>
                <c:pt idx="143">
                  <c:v>2006</c:v>
                </c:pt>
                <c:pt idx="144">
                  <c:v>2007</c:v>
                </c:pt>
                <c:pt idx="145">
                  <c:v>2007</c:v>
                </c:pt>
                <c:pt idx="146">
                  <c:v>2007</c:v>
                </c:pt>
                <c:pt idx="147">
                  <c:v>2007</c:v>
                </c:pt>
                <c:pt idx="148">
                  <c:v>2007</c:v>
                </c:pt>
                <c:pt idx="149">
                  <c:v>2007</c:v>
                </c:pt>
                <c:pt idx="150">
                  <c:v>2007</c:v>
                </c:pt>
                <c:pt idx="151">
                  <c:v>2007</c:v>
                </c:pt>
                <c:pt idx="152">
                  <c:v>2007</c:v>
                </c:pt>
                <c:pt idx="153">
                  <c:v>2007</c:v>
                </c:pt>
                <c:pt idx="154">
                  <c:v>2007</c:v>
                </c:pt>
                <c:pt idx="155">
                  <c:v>2007</c:v>
                </c:pt>
                <c:pt idx="156">
                  <c:v>2008</c:v>
                </c:pt>
                <c:pt idx="157">
                  <c:v>2008</c:v>
                </c:pt>
                <c:pt idx="158">
                  <c:v>2008</c:v>
                </c:pt>
                <c:pt idx="159">
                  <c:v>2008</c:v>
                </c:pt>
                <c:pt idx="160">
                  <c:v>2008</c:v>
                </c:pt>
                <c:pt idx="161">
                  <c:v>2008</c:v>
                </c:pt>
                <c:pt idx="162">
                  <c:v>2008</c:v>
                </c:pt>
                <c:pt idx="163">
                  <c:v>2008</c:v>
                </c:pt>
                <c:pt idx="164">
                  <c:v>2008</c:v>
                </c:pt>
                <c:pt idx="165">
                  <c:v>2008</c:v>
                </c:pt>
                <c:pt idx="166">
                  <c:v>2008</c:v>
                </c:pt>
                <c:pt idx="167">
                  <c:v>2008</c:v>
                </c:pt>
                <c:pt idx="168">
                  <c:v>2009</c:v>
                </c:pt>
                <c:pt idx="169">
                  <c:v>2009</c:v>
                </c:pt>
                <c:pt idx="170">
                  <c:v>2009</c:v>
                </c:pt>
                <c:pt idx="171">
                  <c:v>2009</c:v>
                </c:pt>
                <c:pt idx="172">
                  <c:v>2009</c:v>
                </c:pt>
                <c:pt idx="173">
                  <c:v>2009</c:v>
                </c:pt>
                <c:pt idx="174">
                  <c:v>2009</c:v>
                </c:pt>
                <c:pt idx="175">
                  <c:v>2009</c:v>
                </c:pt>
                <c:pt idx="176">
                  <c:v>2009</c:v>
                </c:pt>
                <c:pt idx="177">
                  <c:v>2009</c:v>
                </c:pt>
                <c:pt idx="178">
                  <c:v>2009</c:v>
                </c:pt>
                <c:pt idx="179">
                  <c:v>2009</c:v>
                </c:pt>
                <c:pt idx="180">
                  <c:v>2010</c:v>
                </c:pt>
                <c:pt idx="181">
                  <c:v>2010</c:v>
                </c:pt>
                <c:pt idx="182">
                  <c:v>2010</c:v>
                </c:pt>
                <c:pt idx="183">
                  <c:v>2010</c:v>
                </c:pt>
                <c:pt idx="184">
                  <c:v>2010</c:v>
                </c:pt>
                <c:pt idx="185">
                  <c:v>2010</c:v>
                </c:pt>
                <c:pt idx="186">
                  <c:v>2010</c:v>
                </c:pt>
                <c:pt idx="187">
                  <c:v>2010</c:v>
                </c:pt>
                <c:pt idx="188">
                  <c:v>2010</c:v>
                </c:pt>
                <c:pt idx="189">
                  <c:v>2010</c:v>
                </c:pt>
                <c:pt idx="190">
                  <c:v>2010</c:v>
                </c:pt>
                <c:pt idx="191">
                  <c:v>2010</c:v>
                </c:pt>
                <c:pt idx="192">
                  <c:v>2011</c:v>
                </c:pt>
                <c:pt idx="193">
                  <c:v>2011</c:v>
                </c:pt>
                <c:pt idx="194">
                  <c:v>2011</c:v>
                </c:pt>
                <c:pt idx="195">
                  <c:v>2011</c:v>
                </c:pt>
                <c:pt idx="196">
                  <c:v>2011</c:v>
                </c:pt>
                <c:pt idx="197">
                  <c:v>2011</c:v>
                </c:pt>
                <c:pt idx="198">
                  <c:v>2011</c:v>
                </c:pt>
                <c:pt idx="199">
                  <c:v>2011</c:v>
                </c:pt>
                <c:pt idx="200">
                  <c:v>2011</c:v>
                </c:pt>
                <c:pt idx="201">
                  <c:v>2011</c:v>
                </c:pt>
                <c:pt idx="202">
                  <c:v>2011</c:v>
                </c:pt>
                <c:pt idx="203">
                  <c:v>2011</c:v>
                </c:pt>
                <c:pt idx="204">
                  <c:v>2012</c:v>
                </c:pt>
                <c:pt idx="205">
                  <c:v>2012</c:v>
                </c:pt>
                <c:pt idx="206">
                  <c:v>2012</c:v>
                </c:pt>
                <c:pt idx="207">
                  <c:v>2012</c:v>
                </c:pt>
                <c:pt idx="208">
                  <c:v>2012</c:v>
                </c:pt>
                <c:pt idx="209">
                  <c:v>2012</c:v>
                </c:pt>
                <c:pt idx="210">
                  <c:v>2012</c:v>
                </c:pt>
                <c:pt idx="211">
                  <c:v>2012</c:v>
                </c:pt>
                <c:pt idx="212">
                  <c:v>2012</c:v>
                </c:pt>
                <c:pt idx="213">
                  <c:v>2012</c:v>
                </c:pt>
                <c:pt idx="214">
                  <c:v>2012</c:v>
                </c:pt>
                <c:pt idx="215">
                  <c:v>2012</c:v>
                </c:pt>
                <c:pt idx="216">
                  <c:v>2013</c:v>
                </c:pt>
                <c:pt idx="217">
                  <c:v>2013</c:v>
                </c:pt>
                <c:pt idx="218">
                  <c:v>2013</c:v>
                </c:pt>
                <c:pt idx="219">
                  <c:v>2013</c:v>
                </c:pt>
                <c:pt idx="220">
                  <c:v>2013</c:v>
                </c:pt>
                <c:pt idx="221">
                  <c:v>2013</c:v>
                </c:pt>
                <c:pt idx="222">
                  <c:v>2013</c:v>
                </c:pt>
                <c:pt idx="223">
                  <c:v>2013</c:v>
                </c:pt>
                <c:pt idx="224">
                  <c:v>2013</c:v>
                </c:pt>
                <c:pt idx="225">
                  <c:v>2013</c:v>
                </c:pt>
                <c:pt idx="226">
                  <c:v>2013</c:v>
                </c:pt>
                <c:pt idx="227">
                  <c:v>2013</c:v>
                </c:pt>
                <c:pt idx="228">
                  <c:v>2014</c:v>
                </c:pt>
              </c:numCache>
            </c:numRef>
          </c:cat>
          <c:val>
            <c:numRef>
              <c:f>COML!$AL$149:$AL$377</c:f>
              <c:numCache>
                <c:formatCode>#,##0</c:formatCode>
                <c:ptCount val="229"/>
                <c:pt idx="0">
                  <c:v>15961.470484270061</c:v>
                </c:pt>
                <c:pt idx="1">
                  <c:v>15034.428337619827</c:v>
                </c:pt>
                <c:pt idx="2">
                  <c:v>15730.672782874617</c:v>
                </c:pt>
                <c:pt idx="3">
                  <c:v>17183.690348192871</c:v>
                </c:pt>
                <c:pt idx="4">
                  <c:v>18074.869530309112</c:v>
                </c:pt>
                <c:pt idx="5">
                  <c:v>18870.561930930446</c:v>
                </c:pt>
                <c:pt idx="6">
                  <c:v>18596.905864404056</c:v>
                </c:pt>
                <c:pt idx="7">
                  <c:v>19600.991291965605</c:v>
                </c:pt>
                <c:pt idx="8">
                  <c:v>19957.02441034092</c:v>
                </c:pt>
                <c:pt idx="9">
                  <c:v>20031.720175334678</c:v>
                </c:pt>
                <c:pt idx="10">
                  <c:v>18889.447380514706</c:v>
                </c:pt>
                <c:pt idx="11">
                  <c:v>16440.214477211797</c:v>
                </c:pt>
                <c:pt idx="12">
                  <c:v>15878.261127949128</c:v>
                </c:pt>
                <c:pt idx="13">
                  <c:v>17034.977736114368</c:v>
                </c:pt>
                <c:pt idx="14">
                  <c:v>15851.868222536539</c:v>
                </c:pt>
                <c:pt idx="15">
                  <c:v>16821.756685587221</c:v>
                </c:pt>
                <c:pt idx="16">
                  <c:v>18490.566037735851</c:v>
                </c:pt>
                <c:pt idx="17">
                  <c:v>21671.752873563219</c:v>
                </c:pt>
                <c:pt idx="18">
                  <c:v>21280.257197135761</c:v>
                </c:pt>
                <c:pt idx="19">
                  <c:v>23678.721764392008</c:v>
                </c:pt>
                <c:pt idx="20">
                  <c:v>22254.014810512559</c:v>
                </c:pt>
                <c:pt idx="21">
                  <c:v>19822.321062796276</c:v>
                </c:pt>
                <c:pt idx="22">
                  <c:v>18771.407047794426</c:v>
                </c:pt>
                <c:pt idx="23">
                  <c:v>17308.155446086479</c:v>
                </c:pt>
                <c:pt idx="24">
                  <c:v>17190.001432459532</c:v>
                </c:pt>
                <c:pt idx="25">
                  <c:v>15639.77597375046</c:v>
                </c:pt>
                <c:pt idx="26">
                  <c:v>17000.645722788398</c:v>
                </c:pt>
                <c:pt idx="27">
                  <c:v>18185.904127754424</c:v>
                </c:pt>
                <c:pt idx="28">
                  <c:v>17474.099286070064</c:v>
                </c:pt>
                <c:pt idx="29">
                  <c:v>20167.46718793633</c:v>
                </c:pt>
                <c:pt idx="30">
                  <c:v>21565.989707265784</c:v>
                </c:pt>
                <c:pt idx="31">
                  <c:v>20986.861193988996</c:v>
                </c:pt>
                <c:pt idx="32">
                  <c:v>21637.707034361523</c:v>
                </c:pt>
                <c:pt idx="33">
                  <c:v>20821.113576105192</c:v>
                </c:pt>
                <c:pt idx="34">
                  <c:v>17938.025594149909</c:v>
                </c:pt>
                <c:pt idx="35">
                  <c:v>17146.588704609414</c:v>
                </c:pt>
                <c:pt idx="36">
                  <c:v>17113.828428575311</c:v>
                </c:pt>
                <c:pt idx="37">
                  <c:v>15349.954596442498</c:v>
                </c:pt>
                <c:pt idx="38">
                  <c:v>15980.841452130844</c:v>
                </c:pt>
                <c:pt idx="39">
                  <c:v>17563.783299989471</c:v>
                </c:pt>
                <c:pt idx="40">
                  <c:v>19146.865174276423</c:v>
                </c:pt>
                <c:pt idx="41">
                  <c:v>21819.141790042184</c:v>
                </c:pt>
                <c:pt idx="42">
                  <c:v>22344.688674399113</c:v>
                </c:pt>
                <c:pt idx="43">
                  <c:v>23431.559623539146</c:v>
                </c:pt>
                <c:pt idx="44">
                  <c:v>22809.397310310476</c:v>
                </c:pt>
                <c:pt idx="45">
                  <c:v>21138.403736799351</c:v>
                </c:pt>
                <c:pt idx="46">
                  <c:v>19119.593725893545</c:v>
                </c:pt>
                <c:pt idx="47">
                  <c:v>19215.421534242239</c:v>
                </c:pt>
                <c:pt idx="48">
                  <c:v>17760.92217220473</c:v>
                </c:pt>
                <c:pt idx="49">
                  <c:v>16478.116745221938</c:v>
                </c:pt>
                <c:pt idx="50">
                  <c:v>16284.24122487241</c:v>
                </c:pt>
                <c:pt idx="51">
                  <c:v>18485.887303705222</c:v>
                </c:pt>
                <c:pt idx="52">
                  <c:v>18875.732175318117</c:v>
                </c:pt>
                <c:pt idx="53">
                  <c:v>20758.633348192045</c:v>
                </c:pt>
                <c:pt idx="54">
                  <c:v>22212.961296129612</c:v>
                </c:pt>
                <c:pt idx="55">
                  <c:v>23611.948970569661</c:v>
                </c:pt>
                <c:pt idx="56">
                  <c:v>22985.397962271767</c:v>
                </c:pt>
                <c:pt idx="57">
                  <c:v>20791.619393389305</c:v>
                </c:pt>
                <c:pt idx="58">
                  <c:v>18158.563931297711</c:v>
                </c:pt>
                <c:pt idx="59">
                  <c:v>17303.315795913375</c:v>
                </c:pt>
                <c:pt idx="60">
                  <c:v>16454.739336492894</c:v>
                </c:pt>
                <c:pt idx="61">
                  <c:v>17410.421232042852</c:v>
                </c:pt>
                <c:pt idx="62">
                  <c:v>17238.348273036525</c:v>
                </c:pt>
                <c:pt idx="63">
                  <c:v>18519.149347978611</c:v>
                </c:pt>
                <c:pt idx="64">
                  <c:v>19841.247867896076</c:v>
                </c:pt>
                <c:pt idx="65">
                  <c:v>22185.736426480358</c:v>
                </c:pt>
                <c:pt idx="66">
                  <c:v>23364.621202879105</c:v>
                </c:pt>
                <c:pt idx="67">
                  <c:v>22414.252718698874</c:v>
                </c:pt>
                <c:pt idx="68">
                  <c:v>23193.949878661191</c:v>
                </c:pt>
                <c:pt idx="69">
                  <c:v>20838.612733574078</c:v>
                </c:pt>
                <c:pt idx="70">
                  <c:v>16267.397029390075</c:v>
                </c:pt>
                <c:pt idx="71">
                  <c:v>17544.429017702187</c:v>
                </c:pt>
                <c:pt idx="72">
                  <c:v>17766.617290917213</c:v>
                </c:pt>
                <c:pt idx="73">
                  <c:v>16733.176538350774</c:v>
                </c:pt>
                <c:pt idx="74">
                  <c:v>17354.105043374515</c:v>
                </c:pt>
                <c:pt idx="75">
                  <c:v>18164.557547715442</c:v>
                </c:pt>
                <c:pt idx="76">
                  <c:v>18659.780303571853</c:v>
                </c:pt>
                <c:pt idx="77">
                  <c:v>21534.714854893085</c:v>
                </c:pt>
                <c:pt idx="78">
                  <c:v>21937.747962201545</c:v>
                </c:pt>
                <c:pt idx="79">
                  <c:v>21893.281647712676</c:v>
                </c:pt>
                <c:pt idx="80">
                  <c:v>22653.316469926925</c:v>
                </c:pt>
                <c:pt idx="81">
                  <c:v>19356.15018608376</c:v>
                </c:pt>
                <c:pt idx="82">
                  <c:v>18363.28231757311</c:v>
                </c:pt>
                <c:pt idx="83">
                  <c:v>18652.495866184188</c:v>
                </c:pt>
                <c:pt idx="84">
                  <c:v>17891.500648355533</c:v>
                </c:pt>
                <c:pt idx="85">
                  <c:v>16652.284738786773</c:v>
                </c:pt>
                <c:pt idx="86">
                  <c:v>16768.089708025767</c:v>
                </c:pt>
                <c:pt idx="87">
                  <c:v>19081.278996865203</c:v>
                </c:pt>
                <c:pt idx="88">
                  <c:v>20997.09074633546</c:v>
                </c:pt>
                <c:pt idx="89">
                  <c:v>21157.374396318493</c:v>
                </c:pt>
                <c:pt idx="90">
                  <c:v>22129.960910554149</c:v>
                </c:pt>
                <c:pt idx="91">
                  <c:v>22139.535429375879</c:v>
                </c:pt>
                <c:pt idx="92">
                  <c:v>22346.936849803027</c:v>
                </c:pt>
                <c:pt idx="93">
                  <c:v>21782.294665950903</c:v>
                </c:pt>
                <c:pt idx="94">
                  <c:v>20258.962903691849</c:v>
                </c:pt>
                <c:pt idx="95">
                  <c:v>17794.838503940595</c:v>
                </c:pt>
                <c:pt idx="96">
                  <c:v>16250.681198910082</c:v>
                </c:pt>
                <c:pt idx="97">
                  <c:v>15527.435635199432</c:v>
                </c:pt>
                <c:pt idx="98">
                  <c:v>16981.966509231432</c:v>
                </c:pt>
                <c:pt idx="99">
                  <c:v>17666.330865927903</c:v>
                </c:pt>
                <c:pt idx="100">
                  <c:v>19500.110658640227</c:v>
                </c:pt>
                <c:pt idx="101">
                  <c:v>21337.54951386388</c:v>
                </c:pt>
                <c:pt idx="102">
                  <c:v>21926.04194437039</c:v>
                </c:pt>
                <c:pt idx="103">
                  <c:v>21573.447461102936</c:v>
                </c:pt>
                <c:pt idx="104">
                  <c:v>22817.187740643771</c:v>
                </c:pt>
                <c:pt idx="105">
                  <c:v>19318.707662531891</c:v>
                </c:pt>
                <c:pt idx="106">
                  <c:v>18894.813506952109</c:v>
                </c:pt>
                <c:pt idx="107">
                  <c:v>17538.936160734174</c:v>
                </c:pt>
                <c:pt idx="108">
                  <c:v>17584.014613174135</c:v>
                </c:pt>
                <c:pt idx="109">
                  <c:v>15581.667704082809</c:v>
                </c:pt>
                <c:pt idx="110">
                  <c:v>16326.583424985443</c:v>
                </c:pt>
                <c:pt idx="111">
                  <c:v>17343.524143129518</c:v>
                </c:pt>
                <c:pt idx="112">
                  <c:v>18689.255108767306</c:v>
                </c:pt>
                <c:pt idx="113">
                  <c:v>21847.910431216049</c:v>
                </c:pt>
                <c:pt idx="114">
                  <c:v>22497.425495397099</c:v>
                </c:pt>
                <c:pt idx="115">
                  <c:v>21752.300477791541</c:v>
                </c:pt>
                <c:pt idx="116">
                  <c:v>21058.51701659145</c:v>
                </c:pt>
                <c:pt idx="117">
                  <c:v>20191.034542993144</c:v>
                </c:pt>
                <c:pt idx="118">
                  <c:v>19018.85044594769</c:v>
                </c:pt>
                <c:pt idx="119">
                  <c:v>18365.962374636747</c:v>
                </c:pt>
                <c:pt idx="120">
                  <c:v>17769.256856051186</c:v>
                </c:pt>
                <c:pt idx="121">
                  <c:v>16488.875606030419</c:v>
                </c:pt>
                <c:pt idx="122">
                  <c:v>16842.320152664983</c:v>
                </c:pt>
                <c:pt idx="123">
                  <c:v>18364.511753063358</c:v>
                </c:pt>
                <c:pt idx="124">
                  <c:v>18140.436306973123</c:v>
                </c:pt>
                <c:pt idx="125">
                  <c:v>21775.243440303162</c:v>
                </c:pt>
                <c:pt idx="126">
                  <c:v>23086.233214609649</c:v>
                </c:pt>
                <c:pt idx="127">
                  <c:v>23008.919498701591</c:v>
                </c:pt>
                <c:pt idx="128">
                  <c:v>23806.677952510359</c:v>
                </c:pt>
                <c:pt idx="129">
                  <c:v>21199.954817575963</c:v>
                </c:pt>
                <c:pt idx="130">
                  <c:v>19231.620380494205</c:v>
                </c:pt>
                <c:pt idx="131">
                  <c:v>17883.65657201998</c:v>
                </c:pt>
                <c:pt idx="132">
                  <c:v>17196.82869533791</c:v>
                </c:pt>
                <c:pt idx="133">
                  <c:v>16318.409187770574</c:v>
                </c:pt>
                <c:pt idx="134">
                  <c:v>16810.308462958081</c:v>
                </c:pt>
                <c:pt idx="135">
                  <c:v>17899.850692245047</c:v>
                </c:pt>
                <c:pt idx="136">
                  <c:v>19515.181583647551</c:v>
                </c:pt>
                <c:pt idx="137">
                  <c:v>21071.55214763237</c:v>
                </c:pt>
                <c:pt idx="138">
                  <c:v>21897.508544702283</c:v>
                </c:pt>
                <c:pt idx="139">
                  <c:v>22798.031964634873</c:v>
                </c:pt>
                <c:pt idx="140">
                  <c:v>22305.47711939301</c:v>
                </c:pt>
                <c:pt idx="141">
                  <c:v>19776.784935925378</c:v>
                </c:pt>
                <c:pt idx="142">
                  <c:v>18694.187187913449</c:v>
                </c:pt>
                <c:pt idx="143">
                  <c:v>17559.789834870255</c:v>
                </c:pt>
                <c:pt idx="144">
                  <c:v>17451.810667399532</c:v>
                </c:pt>
                <c:pt idx="145">
                  <c:v>15933.509779872184</c:v>
                </c:pt>
                <c:pt idx="146">
                  <c:v>16455.556031528446</c:v>
                </c:pt>
                <c:pt idx="147">
                  <c:v>17153.191396249535</c:v>
                </c:pt>
                <c:pt idx="148">
                  <c:v>18624.545153820709</c:v>
                </c:pt>
                <c:pt idx="149">
                  <c:v>19719.201753276855</c:v>
                </c:pt>
                <c:pt idx="150">
                  <c:v>21682.602775825722</c:v>
                </c:pt>
                <c:pt idx="151">
                  <c:v>22597.449052592849</c:v>
                </c:pt>
                <c:pt idx="152">
                  <c:v>22590.513665851326</c:v>
                </c:pt>
                <c:pt idx="153">
                  <c:v>20374.380217159356</c:v>
                </c:pt>
                <c:pt idx="154">
                  <c:v>18705.543392953034</c:v>
                </c:pt>
                <c:pt idx="155">
                  <c:v>17783.422066033963</c:v>
                </c:pt>
                <c:pt idx="156">
                  <c:v>16654.368263230404</c:v>
                </c:pt>
                <c:pt idx="157">
                  <c:v>16171.163731703793</c:v>
                </c:pt>
                <c:pt idx="158">
                  <c:v>16028.596062652681</c:v>
                </c:pt>
                <c:pt idx="159">
                  <c:v>17472.679947102166</c:v>
                </c:pt>
                <c:pt idx="160">
                  <c:v>17660.297499135177</c:v>
                </c:pt>
                <c:pt idx="161">
                  <c:v>21472.147061860993</c:v>
                </c:pt>
                <c:pt idx="162">
                  <c:v>20772.171318090113</c:v>
                </c:pt>
                <c:pt idx="163">
                  <c:v>21569.085056332795</c:v>
                </c:pt>
                <c:pt idx="164">
                  <c:v>22302.780391136377</c:v>
                </c:pt>
                <c:pt idx="165">
                  <c:v>19158.169552413376</c:v>
                </c:pt>
                <c:pt idx="166">
                  <c:v>17504.383529038401</c:v>
                </c:pt>
                <c:pt idx="167">
                  <c:v>16337.782706027574</c:v>
                </c:pt>
                <c:pt idx="168">
                  <c:v>16105.837336155662</c:v>
                </c:pt>
                <c:pt idx="169">
                  <c:v>15051.937840130777</c:v>
                </c:pt>
                <c:pt idx="170">
                  <c:v>15498.648230316789</c:v>
                </c:pt>
                <c:pt idx="171">
                  <c:v>16769.938338183521</c:v>
                </c:pt>
                <c:pt idx="172">
                  <c:v>17914.109540855388</c:v>
                </c:pt>
                <c:pt idx="173">
                  <c:v>19443.376532109713</c:v>
                </c:pt>
                <c:pt idx="174">
                  <c:v>20998.701219635936</c:v>
                </c:pt>
                <c:pt idx="175">
                  <c:v>20598.343170756962</c:v>
                </c:pt>
                <c:pt idx="176">
                  <c:v>20784.784805427811</c:v>
                </c:pt>
                <c:pt idx="177">
                  <c:v>19714.147903368157</c:v>
                </c:pt>
                <c:pt idx="178">
                  <c:v>18091.984257660337</c:v>
                </c:pt>
                <c:pt idx="179">
                  <c:v>16685.484041094445</c:v>
                </c:pt>
                <c:pt idx="180">
                  <c:v>16759.208574472974</c:v>
                </c:pt>
                <c:pt idx="181">
                  <c:v>15395.411857184228</c:v>
                </c:pt>
                <c:pt idx="182">
                  <c:v>15135.673489298562</c:v>
                </c:pt>
                <c:pt idx="183">
                  <c:v>16007.343137858183</c:v>
                </c:pt>
                <c:pt idx="184">
                  <c:v>17704.766679199565</c:v>
                </c:pt>
                <c:pt idx="185">
                  <c:v>20635.547314471438</c:v>
                </c:pt>
                <c:pt idx="186">
                  <c:v>21303.763718661514</c:v>
                </c:pt>
                <c:pt idx="187">
                  <c:v>21327.366680446466</c:v>
                </c:pt>
                <c:pt idx="188">
                  <c:v>21445.757775462913</c:v>
                </c:pt>
                <c:pt idx="189">
                  <c:v>19346.739627980525</c:v>
                </c:pt>
                <c:pt idx="190">
                  <c:v>17103.45312186308</c:v>
                </c:pt>
                <c:pt idx="191">
                  <c:v>16673.217742614259</c:v>
                </c:pt>
                <c:pt idx="192">
                  <c:v>16647.165437302421</c:v>
                </c:pt>
                <c:pt idx="193">
                  <c:v>14979.514779815174</c:v>
                </c:pt>
                <c:pt idx="194">
                  <c:v>15546.999223846782</c:v>
                </c:pt>
                <c:pt idx="195">
                  <c:v>16950.444806415238</c:v>
                </c:pt>
                <c:pt idx="196">
                  <c:v>18989.187486878018</c:v>
                </c:pt>
                <c:pt idx="197">
                  <c:v>20290.379799666109</c:v>
                </c:pt>
                <c:pt idx="198">
                  <c:v>20940.422451239247</c:v>
                </c:pt>
                <c:pt idx="199">
                  <c:v>22057.032897295747</c:v>
                </c:pt>
                <c:pt idx="200">
                  <c:v>21138.536110405552</c:v>
                </c:pt>
                <c:pt idx="201">
                  <c:v>19371.304402331752</c:v>
                </c:pt>
                <c:pt idx="202">
                  <c:v>16754.0986937001</c:v>
                </c:pt>
                <c:pt idx="203">
                  <c:v>16771.28676707561</c:v>
                </c:pt>
                <c:pt idx="204">
                  <c:v>16395.705201709578</c:v>
                </c:pt>
                <c:pt idx="205">
                  <c:v>15030.703669057271</c:v>
                </c:pt>
                <c:pt idx="206">
                  <c:v>16164.761562678272</c:v>
                </c:pt>
                <c:pt idx="207">
                  <c:v>17606.946010938267</c:v>
                </c:pt>
                <c:pt idx="208">
                  <c:v>16912.817436512698</c:v>
                </c:pt>
                <c:pt idx="209">
                  <c:v>19653.419419544913</c:v>
                </c:pt>
                <c:pt idx="210">
                  <c:v>19969.966347069654</c:v>
                </c:pt>
                <c:pt idx="211">
                  <c:v>21533.062353335568</c:v>
                </c:pt>
                <c:pt idx="212">
                  <c:v>20577.663805735818</c:v>
                </c:pt>
                <c:pt idx="213">
                  <c:v>19148.614609571789</c:v>
                </c:pt>
                <c:pt idx="214">
                  <c:v>17227.665347888225</c:v>
                </c:pt>
                <c:pt idx="215">
                  <c:v>16232.380667364958</c:v>
                </c:pt>
                <c:pt idx="216">
                  <c:v>16335.767968667302</c:v>
                </c:pt>
                <c:pt idx="217">
                  <c:v>15191.14189756507</c:v>
                </c:pt>
                <c:pt idx="218">
                  <c:v>15258.920173073306</c:v>
                </c:pt>
                <c:pt idx="219">
                  <c:v>16455.080680331444</c:v>
                </c:pt>
                <c:pt idx="220">
                  <c:v>18072.948956395951</c:v>
                </c:pt>
                <c:pt idx="221">
                  <c:v>19828.78913649618</c:v>
                </c:pt>
                <c:pt idx="222">
                  <c:v>20238.911960132889</c:v>
                </c:pt>
                <c:pt idx="223">
                  <c:v>20413.62494767685</c:v>
                </c:pt>
                <c:pt idx="224">
                  <c:v>20476.608722171397</c:v>
                </c:pt>
                <c:pt idx="225">
                  <c:v>19216.936442984133</c:v>
                </c:pt>
                <c:pt idx="226">
                  <c:v>16717.49194257252</c:v>
                </c:pt>
                <c:pt idx="227">
                  <c:v>16935.707954568879</c:v>
                </c:pt>
              </c:numCache>
            </c:numRef>
          </c:val>
        </c:ser>
        <c:marker val="1"/>
        <c:axId val="61730176"/>
        <c:axId val="62719488"/>
      </c:lineChart>
      <c:catAx>
        <c:axId val="61730176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719488"/>
        <c:crosses val="autoZero"/>
        <c:lblAlgn val="ctr"/>
        <c:lblOffset val="100"/>
        <c:tickLblSkip val="12"/>
        <c:tickMarkSkip val="12"/>
      </c:catAx>
      <c:valAx>
        <c:axId val="62719488"/>
        <c:scaling>
          <c:orientation val="minMax"/>
          <c:min val="1200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7301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Commercial Small Accounts - GS
UPC - Actual Billing Month</a:t>
            </a:r>
          </a:p>
        </c:rich>
      </c:tx>
      <c:layout>
        <c:manualLayout>
          <c:xMode val="edge"/>
          <c:yMode val="edge"/>
          <c:x val="0.36175710594315247"/>
          <c:y val="3.3333333333333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4210580419009834E-2"/>
          <c:y val="0.19090965586427541"/>
          <c:w val="0.86315844929485075"/>
          <c:h val="0.64848676753896639"/>
        </c:manualLayout>
      </c:layout>
      <c:lineChart>
        <c:grouping val="standard"/>
        <c:ser>
          <c:idx val="7"/>
          <c:order val="0"/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COML!$A$149:$A$377</c:f>
              <c:numCache>
                <c:formatCode>General_)</c:formatCode>
                <c:ptCount val="229"/>
                <c:pt idx="0">
                  <c:v>1995</c:v>
                </c:pt>
                <c:pt idx="1">
                  <c:v>1995</c:v>
                </c:pt>
                <c:pt idx="2">
                  <c:v>1995</c:v>
                </c:pt>
                <c:pt idx="3">
                  <c:v>1995</c:v>
                </c:pt>
                <c:pt idx="4">
                  <c:v>1995</c:v>
                </c:pt>
                <c:pt idx="5">
                  <c:v>1995</c:v>
                </c:pt>
                <c:pt idx="6">
                  <c:v>1995</c:v>
                </c:pt>
                <c:pt idx="7">
                  <c:v>1995</c:v>
                </c:pt>
                <c:pt idx="8">
                  <c:v>1995</c:v>
                </c:pt>
                <c:pt idx="9">
                  <c:v>1995</c:v>
                </c:pt>
                <c:pt idx="10">
                  <c:v>1995</c:v>
                </c:pt>
                <c:pt idx="11">
                  <c:v>1995</c:v>
                </c:pt>
                <c:pt idx="12">
                  <c:v>1996</c:v>
                </c:pt>
                <c:pt idx="13">
                  <c:v>1996</c:v>
                </c:pt>
                <c:pt idx="14">
                  <c:v>1996</c:v>
                </c:pt>
                <c:pt idx="15">
                  <c:v>1996</c:v>
                </c:pt>
                <c:pt idx="16">
                  <c:v>1996</c:v>
                </c:pt>
                <c:pt idx="17">
                  <c:v>1996</c:v>
                </c:pt>
                <c:pt idx="18">
                  <c:v>1996</c:v>
                </c:pt>
                <c:pt idx="19">
                  <c:v>1996</c:v>
                </c:pt>
                <c:pt idx="20">
                  <c:v>1996</c:v>
                </c:pt>
                <c:pt idx="21">
                  <c:v>1996</c:v>
                </c:pt>
                <c:pt idx="22">
                  <c:v>1996</c:v>
                </c:pt>
                <c:pt idx="23">
                  <c:v>1996</c:v>
                </c:pt>
                <c:pt idx="24">
                  <c:v>1997</c:v>
                </c:pt>
                <c:pt idx="25">
                  <c:v>1997</c:v>
                </c:pt>
                <c:pt idx="26">
                  <c:v>1997</c:v>
                </c:pt>
                <c:pt idx="27">
                  <c:v>1997</c:v>
                </c:pt>
                <c:pt idx="28">
                  <c:v>1997</c:v>
                </c:pt>
                <c:pt idx="29">
                  <c:v>1997</c:v>
                </c:pt>
                <c:pt idx="30">
                  <c:v>1997</c:v>
                </c:pt>
                <c:pt idx="31">
                  <c:v>1997</c:v>
                </c:pt>
                <c:pt idx="32">
                  <c:v>1997</c:v>
                </c:pt>
                <c:pt idx="33">
                  <c:v>1997</c:v>
                </c:pt>
                <c:pt idx="34">
                  <c:v>1997</c:v>
                </c:pt>
                <c:pt idx="35">
                  <c:v>1997</c:v>
                </c:pt>
                <c:pt idx="36">
                  <c:v>1998</c:v>
                </c:pt>
                <c:pt idx="37">
                  <c:v>1998</c:v>
                </c:pt>
                <c:pt idx="38">
                  <c:v>1998</c:v>
                </c:pt>
                <c:pt idx="39">
                  <c:v>1998</c:v>
                </c:pt>
                <c:pt idx="40">
                  <c:v>1998</c:v>
                </c:pt>
                <c:pt idx="41">
                  <c:v>1998</c:v>
                </c:pt>
                <c:pt idx="42">
                  <c:v>1998</c:v>
                </c:pt>
                <c:pt idx="43">
                  <c:v>1998</c:v>
                </c:pt>
                <c:pt idx="44">
                  <c:v>1998</c:v>
                </c:pt>
                <c:pt idx="45">
                  <c:v>1998</c:v>
                </c:pt>
                <c:pt idx="46">
                  <c:v>1998</c:v>
                </c:pt>
                <c:pt idx="47">
                  <c:v>1998</c:v>
                </c:pt>
                <c:pt idx="48">
                  <c:v>1999</c:v>
                </c:pt>
                <c:pt idx="49">
                  <c:v>1999</c:v>
                </c:pt>
                <c:pt idx="50">
                  <c:v>1999</c:v>
                </c:pt>
                <c:pt idx="51">
                  <c:v>1999</c:v>
                </c:pt>
                <c:pt idx="52">
                  <c:v>1999</c:v>
                </c:pt>
                <c:pt idx="53">
                  <c:v>1999</c:v>
                </c:pt>
                <c:pt idx="54">
                  <c:v>1999</c:v>
                </c:pt>
                <c:pt idx="55">
                  <c:v>1999</c:v>
                </c:pt>
                <c:pt idx="56">
                  <c:v>1999</c:v>
                </c:pt>
                <c:pt idx="57">
                  <c:v>1999</c:v>
                </c:pt>
                <c:pt idx="58">
                  <c:v>1999</c:v>
                </c:pt>
                <c:pt idx="59">
                  <c:v>1999</c:v>
                </c:pt>
                <c:pt idx="60">
                  <c:v>2000</c:v>
                </c:pt>
                <c:pt idx="61">
                  <c:v>2000</c:v>
                </c:pt>
                <c:pt idx="62">
                  <c:v>2000</c:v>
                </c:pt>
                <c:pt idx="63">
                  <c:v>2000</c:v>
                </c:pt>
                <c:pt idx="64">
                  <c:v>2000</c:v>
                </c:pt>
                <c:pt idx="65">
                  <c:v>2000</c:v>
                </c:pt>
                <c:pt idx="66">
                  <c:v>2000</c:v>
                </c:pt>
                <c:pt idx="67">
                  <c:v>2000</c:v>
                </c:pt>
                <c:pt idx="68">
                  <c:v>2000</c:v>
                </c:pt>
                <c:pt idx="69">
                  <c:v>2000</c:v>
                </c:pt>
                <c:pt idx="70">
                  <c:v>2000</c:v>
                </c:pt>
                <c:pt idx="71">
                  <c:v>2000</c:v>
                </c:pt>
                <c:pt idx="72">
                  <c:v>2001</c:v>
                </c:pt>
                <c:pt idx="73">
                  <c:v>2001</c:v>
                </c:pt>
                <c:pt idx="74">
                  <c:v>2001</c:v>
                </c:pt>
                <c:pt idx="75">
                  <c:v>2001</c:v>
                </c:pt>
                <c:pt idx="76">
                  <c:v>2001</c:v>
                </c:pt>
                <c:pt idx="77">
                  <c:v>2001</c:v>
                </c:pt>
                <c:pt idx="78">
                  <c:v>2001</c:v>
                </c:pt>
                <c:pt idx="79">
                  <c:v>2001</c:v>
                </c:pt>
                <c:pt idx="80">
                  <c:v>2001</c:v>
                </c:pt>
                <c:pt idx="81">
                  <c:v>2001</c:v>
                </c:pt>
                <c:pt idx="82">
                  <c:v>2001</c:v>
                </c:pt>
                <c:pt idx="83">
                  <c:v>2001</c:v>
                </c:pt>
                <c:pt idx="84">
                  <c:v>2002</c:v>
                </c:pt>
                <c:pt idx="85">
                  <c:v>2002</c:v>
                </c:pt>
                <c:pt idx="86">
                  <c:v>2002</c:v>
                </c:pt>
                <c:pt idx="87">
                  <c:v>2002</c:v>
                </c:pt>
                <c:pt idx="88">
                  <c:v>2002</c:v>
                </c:pt>
                <c:pt idx="89">
                  <c:v>2002</c:v>
                </c:pt>
                <c:pt idx="90">
                  <c:v>2002</c:v>
                </c:pt>
                <c:pt idx="91">
                  <c:v>2002</c:v>
                </c:pt>
                <c:pt idx="92">
                  <c:v>2002</c:v>
                </c:pt>
                <c:pt idx="93">
                  <c:v>2002</c:v>
                </c:pt>
                <c:pt idx="94">
                  <c:v>2002</c:v>
                </c:pt>
                <c:pt idx="95">
                  <c:v>2002</c:v>
                </c:pt>
                <c:pt idx="96">
                  <c:v>2003</c:v>
                </c:pt>
                <c:pt idx="97">
                  <c:v>2003</c:v>
                </c:pt>
                <c:pt idx="98">
                  <c:v>2003</c:v>
                </c:pt>
                <c:pt idx="99">
                  <c:v>2003</c:v>
                </c:pt>
                <c:pt idx="100">
                  <c:v>2003</c:v>
                </c:pt>
                <c:pt idx="101">
                  <c:v>2003</c:v>
                </c:pt>
                <c:pt idx="102">
                  <c:v>2003</c:v>
                </c:pt>
                <c:pt idx="103">
                  <c:v>2003</c:v>
                </c:pt>
                <c:pt idx="104">
                  <c:v>2003</c:v>
                </c:pt>
                <c:pt idx="105">
                  <c:v>2003</c:v>
                </c:pt>
                <c:pt idx="106">
                  <c:v>2003</c:v>
                </c:pt>
                <c:pt idx="107">
                  <c:v>2003</c:v>
                </c:pt>
                <c:pt idx="108">
                  <c:v>2004</c:v>
                </c:pt>
                <c:pt idx="109">
                  <c:v>2004</c:v>
                </c:pt>
                <c:pt idx="110">
                  <c:v>2004</c:v>
                </c:pt>
                <c:pt idx="111">
                  <c:v>2004</c:v>
                </c:pt>
                <c:pt idx="112">
                  <c:v>2004</c:v>
                </c:pt>
                <c:pt idx="113">
                  <c:v>2004</c:v>
                </c:pt>
                <c:pt idx="114">
                  <c:v>2004</c:v>
                </c:pt>
                <c:pt idx="115">
                  <c:v>2004</c:v>
                </c:pt>
                <c:pt idx="116">
                  <c:v>2004</c:v>
                </c:pt>
                <c:pt idx="117">
                  <c:v>2004</c:v>
                </c:pt>
                <c:pt idx="118">
                  <c:v>2004</c:v>
                </c:pt>
                <c:pt idx="119">
                  <c:v>2004</c:v>
                </c:pt>
                <c:pt idx="120">
                  <c:v>2005</c:v>
                </c:pt>
                <c:pt idx="121">
                  <c:v>2005</c:v>
                </c:pt>
                <c:pt idx="122">
                  <c:v>2005</c:v>
                </c:pt>
                <c:pt idx="123">
                  <c:v>2005</c:v>
                </c:pt>
                <c:pt idx="124">
                  <c:v>2005</c:v>
                </c:pt>
                <c:pt idx="125">
                  <c:v>2005</c:v>
                </c:pt>
                <c:pt idx="126">
                  <c:v>2005</c:v>
                </c:pt>
                <c:pt idx="127">
                  <c:v>2005</c:v>
                </c:pt>
                <c:pt idx="128">
                  <c:v>2005</c:v>
                </c:pt>
                <c:pt idx="129">
                  <c:v>2005</c:v>
                </c:pt>
                <c:pt idx="130">
                  <c:v>2005</c:v>
                </c:pt>
                <c:pt idx="131">
                  <c:v>2005</c:v>
                </c:pt>
                <c:pt idx="132">
                  <c:v>2006</c:v>
                </c:pt>
                <c:pt idx="133">
                  <c:v>2006</c:v>
                </c:pt>
                <c:pt idx="134">
                  <c:v>2006</c:v>
                </c:pt>
                <c:pt idx="135">
                  <c:v>2006</c:v>
                </c:pt>
                <c:pt idx="136">
                  <c:v>2006</c:v>
                </c:pt>
                <c:pt idx="137">
                  <c:v>2006</c:v>
                </c:pt>
                <c:pt idx="138">
                  <c:v>2006</c:v>
                </c:pt>
                <c:pt idx="139">
                  <c:v>2006</c:v>
                </c:pt>
                <c:pt idx="140">
                  <c:v>2006</c:v>
                </c:pt>
                <c:pt idx="141">
                  <c:v>2006</c:v>
                </c:pt>
                <c:pt idx="142">
                  <c:v>2006</c:v>
                </c:pt>
                <c:pt idx="143">
                  <c:v>2006</c:v>
                </c:pt>
                <c:pt idx="144">
                  <c:v>2007</c:v>
                </c:pt>
                <c:pt idx="145">
                  <c:v>2007</c:v>
                </c:pt>
                <c:pt idx="146">
                  <c:v>2007</c:v>
                </c:pt>
                <c:pt idx="147">
                  <c:v>2007</c:v>
                </c:pt>
                <c:pt idx="148">
                  <c:v>2007</c:v>
                </c:pt>
                <c:pt idx="149">
                  <c:v>2007</c:v>
                </c:pt>
                <c:pt idx="150">
                  <c:v>2007</c:v>
                </c:pt>
                <c:pt idx="151">
                  <c:v>2007</c:v>
                </c:pt>
                <c:pt idx="152">
                  <c:v>2007</c:v>
                </c:pt>
                <c:pt idx="153">
                  <c:v>2007</c:v>
                </c:pt>
                <c:pt idx="154">
                  <c:v>2007</c:v>
                </c:pt>
                <c:pt idx="155">
                  <c:v>2007</c:v>
                </c:pt>
                <c:pt idx="156">
                  <c:v>2008</c:v>
                </c:pt>
                <c:pt idx="157">
                  <c:v>2008</c:v>
                </c:pt>
                <c:pt idx="158">
                  <c:v>2008</c:v>
                </c:pt>
                <c:pt idx="159">
                  <c:v>2008</c:v>
                </c:pt>
                <c:pt idx="160">
                  <c:v>2008</c:v>
                </c:pt>
                <c:pt idx="161">
                  <c:v>2008</c:v>
                </c:pt>
                <c:pt idx="162">
                  <c:v>2008</c:v>
                </c:pt>
                <c:pt idx="163">
                  <c:v>2008</c:v>
                </c:pt>
                <c:pt idx="164">
                  <c:v>2008</c:v>
                </c:pt>
                <c:pt idx="165">
                  <c:v>2008</c:v>
                </c:pt>
                <c:pt idx="166">
                  <c:v>2008</c:v>
                </c:pt>
                <c:pt idx="167">
                  <c:v>2008</c:v>
                </c:pt>
                <c:pt idx="168">
                  <c:v>2009</c:v>
                </c:pt>
                <c:pt idx="169">
                  <c:v>2009</c:v>
                </c:pt>
                <c:pt idx="170">
                  <c:v>2009</c:v>
                </c:pt>
                <c:pt idx="171">
                  <c:v>2009</c:v>
                </c:pt>
                <c:pt idx="172">
                  <c:v>2009</c:v>
                </c:pt>
                <c:pt idx="173">
                  <c:v>2009</c:v>
                </c:pt>
                <c:pt idx="174">
                  <c:v>2009</c:v>
                </c:pt>
                <c:pt idx="175">
                  <c:v>2009</c:v>
                </c:pt>
                <c:pt idx="176">
                  <c:v>2009</c:v>
                </c:pt>
                <c:pt idx="177">
                  <c:v>2009</c:v>
                </c:pt>
                <c:pt idx="178">
                  <c:v>2009</c:v>
                </c:pt>
                <c:pt idx="179">
                  <c:v>2009</c:v>
                </c:pt>
                <c:pt idx="180">
                  <c:v>2010</c:v>
                </c:pt>
                <c:pt idx="181">
                  <c:v>2010</c:v>
                </c:pt>
                <c:pt idx="182">
                  <c:v>2010</c:v>
                </c:pt>
                <c:pt idx="183">
                  <c:v>2010</c:v>
                </c:pt>
                <c:pt idx="184">
                  <c:v>2010</c:v>
                </c:pt>
                <c:pt idx="185">
                  <c:v>2010</c:v>
                </c:pt>
                <c:pt idx="186">
                  <c:v>2010</c:v>
                </c:pt>
                <c:pt idx="187">
                  <c:v>2010</c:v>
                </c:pt>
                <c:pt idx="188">
                  <c:v>2010</c:v>
                </c:pt>
                <c:pt idx="189">
                  <c:v>2010</c:v>
                </c:pt>
                <c:pt idx="190">
                  <c:v>2010</c:v>
                </c:pt>
                <c:pt idx="191">
                  <c:v>2010</c:v>
                </c:pt>
                <c:pt idx="192">
                  <c:v>2011</c:v>
                </c:pt>
                <c:pt idx="193">
                  <c:v>2011</c:v>
                </c:pt>
                <c:pt idx="194">
                  <c:v>2011</c:v>
                </c:pt>
                <c:pt idx="195">
                  <c:v>2011</c:v>
                </c:pt>
                <c:pt idx="196">
                  <c:v>2011</c:v>
                </c:pt>
                <c:pt idx="197">
                  <c:v>2011</c:v>
                </c:pt>
                <c:pt idx="198">
                  <c:v>2011</c:v>
                </c:pt>
                <c:pt idx="199">
                  <c:v>2011</c:v>
                </c:pt>
                <c:pt idx="200">
                  <c:v>2011</c:v>
                </c:pt>
                <c:pt idx="201">
                  <c:v>2011</c:v>
                </c:pt>
                <c:pt idx="202">
                  <c:v>2011</c:v>
                </c:pt>
                <c:pt idx="203">
                  <c:v>2011</c:v>
                </c:pt>
                <c:pt idx="204">
                  <c:v>2012</c:v>
                </c:pt>
                <c:pt idx="205">
                  <c:v>2012</c:v>
                </c:pt>
                <c:pt idx="206">
                  <c:v>2012</c:v>
                </c:pt>
                <c:pt idx="207">
                  <c:v>2012</c:v>
                </c:pt>
                <c:pt idx="208">
                  <c:v>2012</c:v>
                </c:pt>
                <c:pt idx="209">
                  <c:v>2012</c:v>
                </c:pt>
                <c:pt idx="210">
                  <c:v>2012</c:v>
                </c:pt>
                <c:pt idx="211">
                  <c:v>2012</c:v>
                </c:pt>
                <c:pt idx="212">
                  <c:v>2012</c:v>
                </c:pt>
                <c:pt idx="213">
                  <c:v>2012</c:v>
                </c:pt>
                <c:pt idx="214">
                  <c:v>2012</c:v>
                </c:pt>
                <c:pt idx="215">
                  <c:v>2012</c:v>
                </c:pt>
                <c:pt idx="216">
                  <c:v>2013</c:v>
                </c:pt>
                <c:pt idx="217">
                  <c:v>2013</c:v>
                </c:pt>
                <c:pt idx="218">
                  <c:v>2013</c:v>
                </c:pt>
                <c:pt idx="219">
                  <c:v>2013</c:v>
                </c:pt>
                <c:pt idx="220">
                  <c:v>2013</c:v>
                </c:pt>
                <c:pt idx="221">
                  <c:v>2013</c:v>
                </c:pt>
                <c:pt idx="222">
                  <c:v>2013</c:v>
                </c:pt>
                <c:pt idx="223">
                  <c:v>2013</c:v>
                </c:pt>
                <c:pt idx="224">
                  <c:v>2013</c:v>
                </c:pt>
                <c:pt idx="225">
                  <c:v>2013</c:v>
                </c:pt>
                <c:pt idx="226">
                  <c:v>2013</c:v>
                </c:pt>
                <c:pt idx="227">
                  <c:v>2013</c:v>
                </c:pt>
                <c:pt idx="228">
                  <c:v>2014</c:v>
                </c:pt>
              </c:numCache>
            </c:numRef>
          </c:cat>
          <c:val>
            <c:numRef>
              <c:f>COML!$AO$149:$AO$377</c:f>
              <c:numCache>
                <c:formatCode>#,##0</c:formatCode>
                <c:ptCount val="229"/>
                <c:pt idx="0">
                  <c:v>619.54093727206418</c:v>
                </c:pt>
                <c:pt idx="1">
                  <c:v>652.86442265944561</c:v>
                </c:pt>
                <c:pt idx="2">
                  <c:v>889.36395137135139</c:v>
                </c:pt>
                <c:pt idx="3">
                  <c:v>666.1950370047889</c:v>
                </c:pt>
                <c:pt idx="4">
                  <c:v>975.36505997204051</c:v>
                </c:pt>
                <c:pt idx="5">
                  <c:v>1160.1599057203266</c:v>
                </c:pt>
                <c:pt idx="6">
                  <c:v>1061.02222011205</c:v>
                </c:pt>
                <c:pt idx="7">
                  <c:v>1091.3305678530346</c:v>
                </c:pt>
                <c:pt idx="8">
                  <c:v>1160.1790779535902</c:v>
                </c:pt>
                <c:pt idx="9">
                  <c:v>1060.7911801420632</c:v>
                </c:pt>
                <c:pt idx="10">
                  <c:v>852.8590454096319</c:v>
                </c:pt>
                <c:pt idx="11">
                  <c:v>797.368685571328</c:v>
                </c:pt>
                <c:pt idx="12">
                  <c:v>788.63734106723427</c:v>
                </c:pt>
                <c:pt idx="13">
                  <c:v>825.36235047585785</c:v>
                </c:pt>
                <c:pt idx="14">
                  <c:v>810.33616016786152</c:v>
                </c:pt>
                <c:pt idx="15">
                  <c:v>830.69523393091379</c:v>
                </c:pt>
                <c:pt idx="16">
                  <c:v>891.96682068696759</c:v>
                </c:pt>
                <c:pt idx="17">
                  <c:v>1103.3584893677826</c:v>
                </c:pt>
                <c:pt idx="18">
                  <c:v>1040.544493193835</c:v>
                </c:pt>
                <c:pt idx="19">
                  <c:v>877.27049068771657</c:v>
                </c:pt>
                <c:pt idx="20">
                  <c:v>788.28814271402257</c:v>
                </c:pt>
                <c:pt idx="21">
                  <c:v>843.1177409829611</c:v>
                </c:pt>
                <c:pt idx="22">
                  <c:v>814.17070255990939</c:v>
                </c:pt>
                <c:pt idx="23">
                  <c:v>707.73411236534309</c:v>
                </c:pt>
                <c:pt idx="24">
                  <c:v>741.61033904720705</c:v>
                </c:pt>
                <c:pt idx="25">
                  <c:v>790.07978323046814</c:v>
                </c:pt>
                <c:pt idx="26">
                  <c:v>850.51122086474311</c:v>
                </c:pt>
                <c:pt idx="27">
                  <c:v>918.70262992160178</c:v>
                </c:pt>
                <c:pt idx="28">
                  <c:v>823.44208896246062</c:v>
                </c:pt>
                <c:pt idx="29">
                  <c:v>1010.3500596076731</c:v>
                </c:pt>
                <c:pt idx="30">
                  <c:v>1085.7657541043729</c:v>
                </c:pt>
                <c:pt idx="31">
                  <c:v>1069.1817820591298</c:v>
                </c:pt>
                <c:pt idx="32">
                  <c:v>1092.9570478049411</c:v>
                </c:pt>
                <c:pt idx="33">
                  <c:v>1035.9677024712503</c:v>
                </c:pt>
                <c:pt idx="34">
                  <c:v>779.06543988421379</c:v>
                </c:pt>
                <c:pt idx="35">
                  <c:v>740.8413794584842</c:v>
                </c:pt>
                <c:pt idx="36">
                  <c:v>809.12082745651151</c:v>
                </c:pt>
                <c:pt idx="37">
                  <c:v>794.97881622551279</c:v>
                </c:pt>
                <c:pt idx="38">
                  <c:v>752.98362475714691</c:v>
                </c:pt>
                <c:pt idx="39">
                  <c:v>855.9021331022816</c:v>
                </c:pt>
                <c:pt idx="40">
                  <c:v>942.18634589004955</c:v>
                </c:pt>
                <c:pt idx="41">
                  <c:v>1223.7962728729235</c:v>
                </c:pt>
                <c:pt idx="42">
                  <c:v>1258.6522865628883</c:v>
                </c:pt>
                <c:pt idx="43">
                  <c:v>954.096296221069</c:v>
                </c:pt>
                <c:pt idx="44">
                  <c:v>1005.258193566573</c:v>
                </c:pt>
                <c:pt idx="45">
                  <c:v>993.55642685632654</c:v>
                </c:pt>
                <c:pt idx="46">
                  <c:v>885.91315808441198</c:v>
                </c:pt>
                <c:pt idx="47">
                  <c:v>867.13955443463647</c:v>
                </c:pt>
                <c:pt idx="48">
                  <c:v>751.94088875013006</c:v>
                </c:pt>
                <c:pt idx="49">
                  <c:v>746.35556473260374</c:v>
                </c:pt>
                <c:pt idx="50">
                  <c:v>738.67233050141601</c:v>
                </c:pt>
                <c:pt idx="51">
                  <c:v>840.55951222011583</c:v>
                </c:pt>
                <c:pt idx="52">
                  <c:v>879.61742741903277</c:v>
                </c:pt>
                <c:pt idx="53">
                  <c:v>1011.8698725826952</c:v>
                </c:pt>
                <c:pt idx="54">
                  <c:v>985.81130369563652</c:v>
                </c:pt>
                <c:pt idx="55">
                  <c:v>1158.3511917338242</c:v>
                </c:pt>
                <c:pt idx="56">
                  <c:v>1068.4479379297038</c:v>
                </c:pt>
                <c:pt idx="57">
                  <c:v>885.0685113470322</c:v>
                </c:pt>
                <c:pt idx="58">
                  <c:v>799.64048807651352</c:v>
                </c:pt>
                <c:pt idx="59">
                  <c:v>755.07179620691727</c:v>
                </c:pt>
                <c:pt idx="60">
                  <c:v>732.94783917530242</c:v>
                </c:pt>
                <c:pt idx="61">
                  <c:v>821.89802977891418</c:v>
                </c:pt>
                <c:pt idx="62">
                  <c:v>694.35779957251407</c:v>
                </c:pt>
                <c:pt idx="63">
                  <c:v>813.82589978475255</c:v>
                </c:pt>
                <c:pt idx="64">
                  <c:v>815.98134457546689</c:v>
                </c:pt>
                <c:pt idx="65">
                  <c:v>1064.2935422332264</c:v>
                </c:pt>
                <c:pt idx="66">
                  <c:v>1109.2924280931059</c:v>
                </c:pt>
                <c:pt idx="67">
                  <c:v>933.00718849840257</c:v>
                </c:pt>
                <c:pt idx="68">
                  <c:v>1024.100768943342</c:v>
                </c:pt>
                <c:pt idx="69">
                  <c:v>825.89919367015978</c:v>
                </c:pt>
                <c:pt idx="70">
                  <c:v>802.48555260053195</c:v>
                </c:pt>
                <c:pt idx="71">
                  <c:v>764.99824340242617</c:v>
                </c:pt>
                <c:pt idx="72">
                  <c:v>968.43939333940523</c:v>
                </c:pt>
                <c:pt idx="73">
                  <c:v>788.12713581516311</c:v>
                </c:pt>
                <c:pt idx="74">
                  <c:v>752.00140849446439</c:v>
                </c:pt>
                <c:pt idx="75">
                  <c:v>772.99395779211295</c:v>
                </c:pt>
                <c:pt idx="76">
                  <c:v>876.35704468038489</c:v>
                </c:pt>
                <c:pt idx="77">
                  <c:v>1065.03621931763</c:v>
                </c:pt>
                <c:pt idx="78">
                  <c:v>1038.0939939909763</c:v>
                </c:pt>
                <c:pt idx="79">
                  <c:v>1042.3149643518336</c:v>
                </c:pt>
                <c:pt idx="80">
                  <c:v>1107.4115949939569</c:v>
                </c:pt>
                <c:pt idx="81">
                  <c:v>917.37437198378802</c:v>
                </c:pt>
                <c:pt idx="82">
                  <c:v>827.28283279336461</c:v>
                </c:pt>
                <c:pt idx="83">
                  <c:v>836.81691264459516</c:v>
                </c:pt>
                <c:pt idx="84">
                  <c:v>875.31893344759749</c:v>
                </c:pt>
                <c:pt idx="85">
                  <c:v>717.8799191165034</c:v>
                </c:pt>
                <c:pt idx="86">
                  <c:v>814.31136439040574</c:v>
                </c:pt>
                <c:pt idx="87">
                  <c:v>918.82844341960208</c:v>
                </c:pt>
                <c:pt idx="88">
                  <c:v>998.35927331390133</c:v>
                </c:pt>
                <c:pt idx="89">
                  <c:v>969.08333751442478</c:v>
                </c:pt>
                <c:pt idx="90">
                  <c:v>1002.3487524582677</c:v>
                </c:pt>
                <c:pt idx="91">
                  <c:v>1024.6481206281294</c:v>
                </c:pt>
                <c:pt idx="92">
                  <c:v>1054.3115904390447</c:v>
                </c:pt>
                <c:pt idx="93">
                  <c:v>1045.7181110268855</c:v>
                </c:pt>
                <c:pt idx="94">
                  <c:v>928.86422400201809</c:v>
                </c:pt>
                <c:pt idx="95">
                  <c:v>780.20277219963748</c:v>
                </c:pt>
                <c:pt idx="96">
                  <c:v>792.82957823341394</c:v>
                </c:pt>
                <c:pt idx="97">
                  <c:v>782.23515151515153</c:v>
                </c:pt>
                <c:pt idx="98">
                  <c:v>739.73395593399903</c:v>
                </c:pt>
                <c:pt idx="99">
                  <c:v>770.00720980533526</c:v>
                </c:pt>
                <c:pt idx="100">
                  <c:v>912.56731812213366</c:v>
                </c:pt>
                <c:pt idx="101">
                  <c:v>1062.9666596287836</c:v>
                </c:pt>
                <c:pt idx="102">
                  <c:v>972.10722319892625</c:v>
                </c:pt>
                <c:pt idx="103">
                  <c:v>991.73183292008389</c:v>
                </c:pt>
                <c:pt idx="104">
                  <c:v>1003.861542756118</c:v>
                </c:pt>
                <c:pt idx="105">
                  <c:v>917.67807077189616</c:v>
                </c:pt>
                <c:pt idx="106">
                  <c:v>864.90078622238866</c:v>
                </c:pt>
                <c:pt idx="107">
                  <c:v>789.51916664318389</c:v>
                </c:pt>
                <c:pt idx="108">
                  <c:v>783.35625859697393</c:v>
                </c:pt>
                <c:pt idx="109">
                  <c:v>718.74220593595919</c:v>
                </c:pt>
                <c:pt idx="110">
                  <c:v>747.01987961133216</c:v>
                </c:pt>
                <c:pt idx="111">
                  <c:v>764.14262783339666</c:v>
                </c:pt>
                <c:pt idx="112">
                  <c:v>855.72111897613865</c:v>
                </c:pt>
                <c:pt idx="113">
                  <c:v>1079.3388125838896</c:v>
                </c:pt>
                <c:pt idx="114">
                  <c:v>1111.4918365267963</c:v>
                </c:pt>
                <c:pt idx="115">
                  <c:v>1067.6008835039547</c:v>
                </c:pt>
                <c:pt idx="116">
                  <c:v>986.78134902670888</c:v>
                </c:pt>
                <c:pt idx="117">
                  <c:v>907.90631679149385</c:v>
                </c:pt>
                <c:pt idx="118">
                  <c:v>875.1663443283237</c:v>
                </c:pt>
                <c:pt idx="119">
                  <c:v>807.17706358547696</c:v>
                </c:pt>
                <c:pt idx="120">
                  <c:v>805.64866656843969</c:v>
                </c:pt>
                <c:pt idx="121">
                  <c:v>762.88069508947638</c:v>
                </c:pt>
                <c:pt idx="122">
                  <c:v>708.27718531078483</c:v>
                </c:pt>
                <c:pt idx="123">
                  <c:v>774.28044547295337</c:v>
                </c:pt>
                <c:pt idx="124">
                  <c:v>792.64495424779909</c:v>
                </c:pt>
                <c:pt idx="125">
                  <c:v>1011.72195743476</c:v>
                </c:pt>
                <c:pt idx="126">
                  <c:v>1082.5340604232786</c:v>
                </c:pt>
                <c:pt idx="127">
                  <c:v>1115.9793355304178</c:v>
                </c:pt>
                <c:pt idx="128">
                  <c:v>1232.4507470872886</c:v>
                </c:pt>
                <c:pt idx="129">
                  <c:v>923.92455268211268</c:v>
                </c:pt>
                <c:pt idx="130">
                  <c:v>848.73584397298725</c:v>
                </c:pt>
                <c:pt idx="131">
                  <c:v>792.45483810892063</c:v>
                </c:pt>
                <c:pt idx="132">
                  <c:v>819.47598488452456</c:v>
                </c:pt>
                <c:pt idx="133">
                  <c:v>757.60905200294167</c:v>
                </c:pt>
                <c:pt idx="134">
                  <c:v>756.10783857573017</c:v>
                </c:pt>
                <c:pt idx="135">
                  <c:v>836.16178631590265</c:v>
                </c:pt>
                <c:pt idx="136">
                  <c:v>937.10081513109139</c:v>
                </c:pt>
                <c:pt idx="137">
                  <c:v>1010.8273330006416</c:v>
                </c:pt>
                <c:pt idx="138">
                  <c:v>1065.996970569923</c:v>
                </c:pt>
                <c:pt idx="139">
                  <c:v>1117.8317449152032</c:v>
                </c:pt>
                <c:pt idx="140">
                  <c:v>1075.448267236065</c:v>
                </c:pt>
                <c:pt idx="141">
                  <c:v>983.02841860766409</c:v>
                </c:pt>
                <c:pt idx="142">
                  <c:v>857.13166689876061</c:v>
                </c:pt>
                <c:pt idx="143">
                  <c:v>815.68506436254631</c:v>
                </c:pt>
                <c:pt idx="144">
                  <c:v>785.70502611207826</c:v>
                </c:pt>
                <c:pt idx="145">
                  <c:v>760.474678134756</c:v>
                </c:pt>
                <c:pt idx="146">
                  <c:v>773.48697940295801</c:v>
                </c:pt>
                <c:pt idx="147">
                  <c:v>981.0516813360415</c:v>
                </c:pt>
                <c:pt idx="148">
                  <c:v>675.59090500584159</c:v>
                </c:pt>
                <c:pt idx="149">
                  <c:v>952.26896767559356</c:v>
                </c:pt>
                <c:pt idx="150">
                  <c:v>1077.692860656048</c:v>
                </c:pt>
                <c:pt idx="151">
                  <c:v>1108.1902809804424</c:v>
                </c:pt>
                <c:pt idx="152">
                  <c:v>1129.7885150899376</c:v>
                </c:pt>
                <c:pt idx="153">
                  <c:v>1029.0474544826207</c:v>
                </c:pt>
                <c:pt idx="154">
                  <c:v>853.48531193084273</c:v>
                </c:pt>
                <c:pt idx="155">
                  <c:v>789.60035005834311</c:v>
                </c:pt>
                <c:pt idx="156">
                  <c:v>748.6582184122251</c:v>
                </c:pt>
                <c:pt idx="157">
                  <c:v>712.01148537522829</c:v>
                </c:pt>
                <c:pt idx="158">
                  <c:v>745.01190341231154</c:v>
                </c:pt>
                <c:pt idx="159">
                  <c:v>784.47536409848942</c:v>
                </c:pt>
                <c:pt idx="160">
                  <c:v>855.56773486362761</c:v>
                </c:pt>
                <c:pt idx="161">
                  <c:v>1010.7445670254183</c:v>
                </c:pt>
                <c:pt idx="162">
                  <c:v>1028.4696812569707</c:v>
                </c:pt>
                <c:pt idx="163">
                  <c:v>999.41415546849259</c:v>
                </c:pt>
                <c:pt idx="164">
                  <c:v>1072.8867290240546</c:v>
                </c:pt>
                <c:pt idx="165">
                  <c:v>945.36851299081479</c:v>
                </c:pt>
                <c:pt idx="166">
                  <c:v>767.40634184892156</c:v>
                </c:pt>
                <c:pt idx="167">
                  <c:v>778.91725188570581</c:v>
                </c:pt>
                <c:pt idx="168">
                  <c:v>748.6582184122251</c:v>
                </c:pt>
                <c:pt idx="169">
                  <c:v>788.58998656779579</c:v>
                </c:pt>
                <c:pt idx="170">
                  <c:v>759.74306076519122</c:v>
                </c:pt>
                <c:pt idx="171">
                  <c:v>798.98473360943092</c:v>
                </c:pt>
                <c:pt idx="172">
                  <c:v>869.82376983415304</c:v>
                </c:pt>
                <c:pt idx="173">
                  <c:v>941.8542876509058</c:v>
                </c:pt>
                <c:pt idx="174">
                  <c:v>1053.320470125509</c:v>
                </c:pt>
                <c:pt idx="175">
                  <c:v>1042.6338828713767</c:v>
                </c:pt>
                <c:pt idx="176">
                  <c:v>1033.5248140126189</c:v>
                </c:pt>
                <c:pt idx="177">
                  <c:v>1007.010467684625</c:v>
                </c:pt>
                <c:pt idx="178">
                  <c:v>853.91819215173985</c:v>
                </c:pt>
                <c:pt idx="179">
                  <c:v>761.54914249258832</c:v>
                </c:pt>
                <c:pt idx="180">
                  <c:v>884.57153537052614</c:v>
                </c:pt>
                <c:pt idx="181">
                  <c:v>829.37412384013123</c:v>
                </c:pt>
                <c:pt idx="182">
                  <c:v>802.78343203986333</c:v>
                </c:pt>
                <c:pt idx="183">
                  <c:v>746.78270530506427</c:v>
                </c:pt>
                <c:pt idx="184">
                  <c:v>854.15034508487224</c:v>
                </c:pt>
                <c:pt idx="185">
                  <c:v>1019.1666055584072</c:v>
                </c:pt>
                <c:pt idx="186">
                  <c:v>1070.4346284146375</c:v>
                </c:pt>
                <c:pt idx="187">
                  <c:v>1121.5570852124376</c:v>
                </c:pt>
                <c:pt idx="188">
                  <c:v>1054.0095016715904</c:v>
                </c:pt>
                <c:pt idx="189">
                  <c:v>980.91803406174665</c:v>
                </c:pt>
                <c:pt idx="190">
                  <c:v>840.37082942516417</c:v>
                </c:pt>
                <c:pt idx="191">
                  <c:v>836.81661149346485</c:v>
                </c:pt>
                <c:pt idx="192">
                  <c:v>920.27776179240766</c:v>
                </c:pt>
                <c:pt idx="193">
                  <c:v>777.99552844406412</c:v>
                </c:pt>
                <c:pt idx="194">
                  <c:v>775.75189241968701</c:v>
                </c:pt>
                <c:pt idx="195">
                  <c:v>828.23210731923052</c:v>
                </c:pt>
                <c:pt idx="196">
                  <c:v>941.2364598550206</c:v>
                </c:pt>
                <c:pt idx="197">
                  <c:v>1039.6028742252208</c:v>
                </c:pt>
                <c:pt idx="198">
                  <c:v>1079.4502364425762</c:v>
                </c:pt>
                <c:pt idx="199">
                  <c:v>1099.2169818683178</c:v>
                </c:pt>
                <c:pt idx="200">
                  <c:v>1078.7016289087865</c:v>
                </c:pt>
                <c:pt idx="201">
                  <c:v>1006.0875176990725</c:v>
                </c:pt>
                <c:pt idx="202">
                  <c:v>799.14162366352991</c:v>
                </c:pt>
                <c:pt idx="203">
                  <c:v>783.49587805964313</c:v>
                </c:pt>
                <c:pt idx="204">
                  <c:v>781.02913006143069</c:v>
                </c:pt>
                <c:pt idx="205">
                  <c:v>780.17854585382156</c:v>
                </c:pt>
                <c:pt idx="206">
                  <c:v>806.54000399223321</c:v>
                </c:pt>
                <c:pt idx="207">
                  <c:v>895.06670576161855</c:v>
                </c:pt>
                <c:pt idx="208">
                  <c:v>933.49263241736355</c:v>
                </c:pt>
                <c:pt idx="209">
                  <c:v>1015.1091315644152</c:v>
                </c:pt>
                <c:pt idx="210">
                  <c:v>1043.1877044066771</c:v>
                </c:pt>
                <c:pt idx="211">
                  <c:v>1081.5626373815826</c:v>
                </c:pt>
                <c:pt idx="212">
                  <c:v>1067.5299009051839</c:v>
                </c:pt>
                <c:pt idx="213">
                  <c:v>1003.6888720529611</c:v>
                </c:pt>
                <c:pt idx="214">
                  <c:v>885.14585821567061</c:v>
                </c:pt>
                <c:pt idx="215">
                  <c:v>723.2764443643897</c:v>
                </c:pt>
                <c:pt idx="216">
                  <c:v>810.20410088981578</c:v>
                </c:pt>
                <c:pt idx="217">
                  <c:v>790.80290529075353</c:v>
                </c:pt>
                <c:pt idx="218">
                  <c:v>805.07208485844467</c:v>
                </c:pt>
                <c:pt idx="219">
                  <c:v>820.5395871204621</c:v>
                </c:pt>
                <c:pt idx="220">
                  <c:v>903.30525171546981</c:v>
                </c:pt>
                <c:pt idx="221">
                  <c:v>1005.0136655663224</c:v>
                </c:pt>
                <c:pt idx="222">
                  <c:v>1039.9657839272645</c:v>
                </c:pt>
                <c:pt idx="223">
                  <c:v>1032.7818226057011</c:v>
                </c:pt>
                <c:pt idx="224">
                  <c:v>997.31228707290984</c:v>
                </c:pt>
                <c:pt idx="225">
                  <c:v>929.07915560204935</c:v>
                </c:pt>
                <c:pt idx="226">
                  <c:v>775.64719590658092</c:v>
                </c:pt>
                <c:pt idx="227">
                  <c:v>725.45105059521359</c:v>
                </c:pt>
              </c:numCache>
            </c:numRef>
          </c:val>
        </c:ser>
        <c:marker val="1"/>
        <c:axId val="62755200"/>
        <c:axId val="62757120"/>
      </c:lineChart>
      <c:catAx>
        <c:axId val="62755200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757120"/>
        <c:crosses val="autoZero"/>
        <c:lblAlgn val="ctr"/>
        <c:lblOffset val="100"/>
        <c:tickLblSkip val="12"/>
        <c:tickMarkSkip val="12"/>
      </c:catAx>
      <c:valAx>
        <c:axId val="62757120"/>
        <c:scaling>
          <c:orientation val="minMax"/>
          <c:min val="50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7552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154780</xdr:colOff>
      <xdr:row>49</xdr:row>
      <xdr:rowOff>11906</xdr:rowOff>
    </xdr:from>
    <xdr:to>
      <xdr:col>50</xdr:col>
      <xdr:colOff>71436</xdr:colOff>
      <xdr:row>72</xdr:row>
      <xdr:rowOff>35719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142875</xdr:colOff>
      <xdr:row>73</xdr:row>
      <xdr:rowOff>47624</xdr:rowOff>
    </xdr:from>
    <xdr:to>
      <xdr:col>50</xdr:col>
      <xdr:colOff>59531</xdr:colOff>
      <xdr:row>96</xdr:row>
      <xdr:rowOff>71437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46</xdr:col>
      <xdr:colOff>547688</xdr:colOff>
      <xdr:row>80</xdr:row>
      <xdr:rowOff>59531</xdr:rowOff>
    </xdr:from>
    <xdr:to>
      <xdr:col>47</xdr:col>
      <xdr:colOff>83344</xdr:colOff>
      <xdr:row>82</xdr:row>
      <xdr:rowOff>0</xdr:rowOff>
    </xdr:to>
    <xdr:sp macro="" textlink="">
      <xdr:nvSpPr>
        <xdr:cNvPr id="4" name="TextBox 3"/>
        <xdr:cNvSpPr txBox="1"/>
      </xdr:nvSpPr>
      <xdr:spPr>
        <a:xfrm>
          <a:off x="15120938" y="13394531"/>
          <a:ext cx="500062" cy="27384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6+6F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41</xdr:row>
      <xdr:rowOff>0</xdr:rowOff>
    </xdr:from>
    <xdr:to>
      <xdr:col>57</xdr:col>
      <xdr:colOff>21431</xdr:colOff>
      <xdr:row>59</xdr:row>
      <xdr:rowOff>100013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37</xdr:col>
      <xdr:colOff>0</xdr:colOff>
      <xdr:row>61</xdr:row>
      <xdr:rowOff>0</xdr:rowOff>
    </xdr:from>
    <xdr:to>
      <xdr:col>57</xdr:col>
      <xdr:colOff>21431</xdr:colOff>
      <xdr:row>79</xdr:row>
      <xdr:rowOff>100013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37</xdr:col>
      <xdr:colOff>0</xdr:colOff>
      <xdr:row>81</xdr:row>
      <xdr:rowOff>0</xdr:rowOff>
    </xdr:from>
    <xdr:to>
      <xdr:col>57</xdr:col>
      <xdr:colOff>21431</xdr:colOff>
      <xdr:row>99</xdr:row>
      <xdr:rowOff>100013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37</xdr:col>
      <xdr:colOff>0</xdr:colOff>
      <xdr:row>101</xdr:row>
      <xdr:rowOff>0</xdr:rowOff>
    </xdr:from>
    <xdr:to>
      <xdr:col>57</xdr:col>
      <xdr:colOff>21431</xdr:colOff>
      <xdr:row>119</xdr:row>
      <xdr:rowOff>100013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142875</xdr:colOff>
      <xdr:row>52</xdr:row>
      <xdr:rowOff>85725</xdr:rowOff>
    </xdr:from>
    <xdr:to>
      <xdr:col>44</xdr:col>
      <xdr:colOff>485775</xdr:colOff>
      <xdr:row>71</xdr:row>
      <xdr:rowOff>19050</xdr:rowOff>
    </xdr:to>
    <xdr:graphicFrame macro="">
      <xdr:nvGraphicFramePr>
        <xdr:cNvPr id="16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35</xdr:col>
      <xdr:colOff>0</xdr:colOff>
      <xdr:row>72</xdr:row>
      <xdr:rowOff>28575</xdr:rowOff>
    </xdr:from>
    <xdr:to>
      <xdr:col>44</xdr:col>
      <xdr:colOff>504825</xdr:colOff>
      <xdr:row>91</xdr:row>
      <xdr:rowOff>47625</xdr:rowOff>
    </xdr:to>
    <xdr:graphicFrame macro="">
      <xdr:nvGraphicFramePr>
        <xdr:cNvPr id="1665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0</xdr:colOff>
      <xdr:row>92</xdr:row>
      <xdr:rowOff>0</xdr:rowOff>
    </xdr:from>
    <xdr:to>
      <xdr:col>44</xdr:col>
      <xdr:colOff>523875</xdr:colOff>
      <xdr:row>111</xdr:row>
      <xdr:rowOff>66675</xdr:rowOff>
    </xdr:to>
    <xdr:graphicFrame macro="">
      <xdr:nvGraphicFramePr>
        <xdr:cNvPr id="1666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0</xdr:colOff>
      <xdr:row>113</xdr:row>
      <xdr:rowOff>0</xdr:rowOff>
    </xdr:from>
    <xdr:to>
      <xdr:col>44</xdr:col>
      <xdr:colOff>581025</xdr:colOff>
      <xdr:row>133</xdr:row>
      <xdr:rowOff>142875</xdr:rowOff>
    </xdr:to>
    <xdr:graphicFrame macro="">
      <xdr:nvGraphicFramePr>
        <xdr:cNvPr id="1667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114</xdr:col>
      <xdr:colOff>76200</xdr:colOff>
      <xdr:row>14</xdr:row>
      <xdr:rowOff>85725</xdr:rowOff>
    </xdr:from>
    <xdr:to>
      <xdr:col>123</xdr:col>
      <xdr:colOff>685800</xdr:colOff>
      <xdr:row>39</xdr:row>
      <xdr:rowOff>57150</xdr:rowOff>
    </xdr:to>
    <xdr:graphicFrame macro="">
      <xdr:nvGraphicFramePr>
        <xdr:cNvPr id="22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114</xdr:col>
      <xdr:colOff>76200</xdr:colOff>
      <xdr:row>39</xdr:row>
      <xdr:rowOff>95250</xdr:rowOff>
    </xdr:from>
    <xdr:to>
      <xdr:col>123</xdr:col>
      <xdr:colOff>685800</xdr:colOff>
      <xdr:row>64</xdr:row>
      <xdr:rowOff>4762</xdr:rowOff>
    </xdr:to>
    <xdr:graphicFrame macro="">
      <xdr:nvGraphicFramePr>
        <xdr:cNvPr id="224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464343</xdr:colOff>
      <xdr:row>60</xdr:row>
      <xdr:rowOff>11906</xdr:rowOff>
    </xdr:from>
    <xdr:to>
      <xdr:col>46</xdr:col>
      <xdr:colOff>404811</xdr:colOff>
      <xdr:row>79</xdr:row>
      <xdr:rowOff>95250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761999</xdr:colOff>
      <xdr:row>16</xdr:row>
      <xdr:rowOff>47625</xdr:rowOff>
    </xdr:from>
    <xdr:to>
      <xdr:col>36</xdr:col>
      <xdr:colOff>726280</xdr:colOff>
      <xdr:row>39</xdr:row>
      <xdr:rowOff>23814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0</xdr:colOff>
      <xdr:row>40</xdr:row>
      <xdr:rowOff>0</xdr:rowOff>
    </xdr:from>
    <xdr:to>
      <xdr:col>36</xdr:col>
      <xdr:colOff>726281</xdr:colOff>
      <xdr:row>62</xdr:row>
      <xdr:rowOff>178595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64</xdr:row>
      <xdr:rowOff>0</xdr:rowOff>
    </xdr:from>
    <xdr:to>
      <xdr:col>36</xdr:col>
      <xdr:colOff>726281</xdr:colOff>
      <xdr:row>86</xdr:row>
      <xdr:rowOff>178595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2</xdr:row>
      <xdr:rowOff>0</xdr:rowOff>
    </xdr:from>
    <xdr:to>
      <xdr:col>52</xdr:col>
      <xdr:colOff>385763</xdr:colOff>
      <xdr:row>21</xdr:row>
      <xdr:rowOff>102395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VTABLE_2005_YTD%20Oct_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MREPORTS/2011/C011M_200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MREPORTS/2013/C011M_201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MREPORTS/2013/WNREVIMPACT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MREPORTS/2013/Trueup_EDB_UP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MREPORTS/2013/WNSysreq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MREPORTS/2012/12_EDB_Adjmt_Duk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MREPORTS/2013/13_EDB_Adjmt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SF_201309_Itron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FOR201308/Customers/CF_201309_9+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FOR201209/SF_201209_GFF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MREPORTS/msalcus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FOR201209/Customers/CF_20120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MREPORTS/2013/unbmw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MREPORTS/2013/Unbilled%20MWh%20&amp;%20Base%20Rev%20Fil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Trueup_EDB_Cu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FOR201308/Fuel/June%20FOF/msc_201306_Rem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MREPORTS/A%20BMDD_7_W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MREPORTS/A%20CMDD_7_W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MREPORTS/2013/Trueup_EDB_MWh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YTD"/>
      <sheetName val="Q1"/>
      <sheetName val="Q2"/>
      <sheetName val="Q3"/>
      <sheetName val="Q4"/>
    </sheetNames>
    <sheetDataSet>
      <sheetData sheetId="0" refreshError="1">
        <row r="1">
          <cell r="A1" t="str">
            <v>2004   VS.  2005</v>
          </cell>
        </row>
        <row r="2">
          <cell r="A2" t="str">
            <v>REVENUES - SALES - CUSTOMERS - USE PER CUSTOMER</v>
          </cell>
        </row>
        <row r="4">
          <cell r="A4" t="str">
            <v>JANUARY 2005</v>
          </cell>
        </row>
        <row r="6">
          <cell r="B6" t="str">
            <v>BASE REVENUES $</v>
          </cell>
          <cell r="G6" t="str">
            <v>BILLED &amp; UNBILLED MWH SALES</v>
          </cell>
          <cell r="L6" t="str">
            <v>NUMBER OF CUSTOMERS</v>
          </cell>
          <cell r="Q6" t="str">
            <v>KWH SALES PER CUSTOMER</v>
          </cell>
        </row>
        <row r="8">
          <cell r="A8" t="str">
            <v>CLASS OF BUSINESS</v>
          </cell>
          <cell r="B8" t="str">
            <v>Jan'05 Actual</v>
          </cell>
          <cell r="C8" t="str">
            <v>Jan'04 Actual</v>
          </cell>
          <cell r="D8" t="str">
            <v>DIFF</v>
          </cell>
          <cell r="E8" t="str">
            <v>% Diff</v>
          </cell>
          <cell r="G8" t="str">
            <v>Jan'05 Actual</v>
          </cell>
          <cell r="H8" t="str">
            <v>Jan'04 Actual</v>
          </cell>
          <cell r="I8" t="str">
            <v>DIFF</v>
          </cell>
          <cell r="J8" t="str">
            <v>% Diff</v>
          </cell>
          <cell r="L8" t="str">
            <v>Jan'05 Actual</v>
          </cell>
          <cell r="M8" t="str">
            <v>Jan'04 Actual</v>
          </cell>
          <cell r="N8" t="str">
            <v>DIFF</v>
          </cell>
          <cell r="O8" t="str">
            <v>% Diff</v>
          </cell>
          <cell r="Q8" t="str">
            <v>Jan'05 Actual</v>
          </cell>
          <cell r="R8" t="str">
            <v>Jan'04 Actual</v>
          </cell>
          <cell r="S8" t="str">
            <v>DIFF</v>
          </cell>
          <cell r="T8" t="str">
            <v>% Diff</v>
          </cell>
        </row>
        <row r="10">
          <cell r="A10" t="str">
            <v xml:space="preserve">   RESIDENTIAL</v>
          </cell>
          <cell r="B10">
            <v>68350045.99000001</v>
          </cell>
          <cell r="C10">
            <v>69135845.010000005</v>
          </cell>
          <cell r="D10">
            <v>-785799.01999999583</v>
          </cell>
          <cell r="E10">
            <v>-1.1366014545513003E-2</v>
          </cell>
          <cell r="G10">
            <v>1580976.996</v>
          </cell>
          <cell r="H10">
            <v>1600760.5209999999</v>
          </cell>
          <cell r="I10">
            <v>-19783.524999999907</v>
          </cell>
          <cell r="J10">
            <v>-1.2358828657044296E-2</v>
          </cell>
          <cell r="L10">
            <v>1366718</v>
          </cell>
          <cell r="M10">
            <v>1348442</v>
          </cell>
          <cell r="N10">
            <v>18276</v>
          </cell>
          <cell r="O10">
            <v>1.3553419427754454E-2</v>
          </cell>
          <cell r="Q10">
            <v>1157</v>
          </cell>
          <cell r="R10">
            <v>1187</v>
          </cell>
          <cell r="S10">
            <v>-30</v>
          </cell>
          <cell r="T10">
            <v>-2.5273799494524019E-2</v>
          </cell>
        </row>
        <row r="11">
          <cell r="A11" t="str">
            <v xml:space="preserve">   COMMERCIAL</v>
          </cell>
          <cell r="B11">
            <v>22230685.139999989</v>
          </cell>
          <cell r="C11">
            <v>21923063.149999999</v>
          </cell>
          <cell r="D11">
            <v>307621.98999999091</v>
          </cell>
          <cell r="E11">
            <v>1.4031889061086433E-2</v>
          </cell>
          <cell r="G11">
            <v>883396.95900000003</v>
          </cell>
          <cell r="H11">
            <v>881905.24699999997</v>
          </cell>
          <cell r="I11">
            <v>1491.7120000000577</v>
          </cell>
          <cell r="J11">
            <v>1.6914651603157083E-3</v>
          </cell>
          <cell r="L11">
            <v>157278</v>
          </cell>
          <cell r="M11">
            <v>155289</v>
          </cell>
          <cell r="N11">
            <v>1989</v>
          </cell>
          <cell r="O11">
            <v>1.2808376639684704E-2</v>
          </cell>
          <cell r="Q11">
            <v>5617</v>
          </cell>
          <cell r="R11">
            <v>5679</v>
          </cell>
          <cell r="S11">
            <v>-62</v>
          </cell>
          <cell r="T11">
            <v>-1.0917415037858813E-2</v>
          </cell>
        </row>
        <row r="12">
          <cell r="A12" t="str">
            <v xml:space="preserve">   INDUSTRIAL</v>
          </cell>
          <cell r="B12">
            <v>6509793.6399999987</v>
          </cell>
          <cell r="C12">
            <v>6320060.0699999994</v>
          </cell>
          <cell r="D12">
            <v>189733.56999999937</v>
          </cell>
          <cell r="E12">
            <v>3.0020849153099771E-2</v>
          </cell>
          <cell r="G12">
            <v>325587.50300000003</v>
          </cell>
          <cell r="H12">
            <v>349754.54800000001</v>
          </cell>
          <cell r="I12">
            <v>-24167.044999999984</v>
          </cell>
          <cell r="J12">
            <v>-6.9097157244113916E-2</v>
          </cell>
          <cell r="L12">
            <v>2695</v>
          </cell>
          <cell r="M12">
            <v>2727</v>
          </cell>
          <cell r="N12">
            <v>-32</v>
          </cell>
          <cell r="O12">
            <v>-1.1734506784011778E-2</v>
          </cell>
          <cell r="Q12">
            <v>120812</v>
          </cell>
          <cell r="R12">
            <v>128256</v>
          </cell>
          <cell r="S12">
            <v>-7444</v>
          </cell>
          <cell r="T12">
            <v>-5.8040169660678598E-2</v>
          </cell>
        </row>
        <row r="13">
          <cell r="A13" t="str">
            <v xml:space="preserve">   ST &amp; HIGHWAY</v>
          </cell>
          <cell r="B13">
            <v>25665.31</v>
          </cell>
          <cell r="C13">
            <v>36273.639999999978</v>
          </cell>
          <cell r="D13">
            <v>-10608.329999999976</v>
          </cell>
          <cell r="E13">
            <v>-0.29245286659954672</v>
          </cell>
          <cell r="G13">
            <v>1620.037</v>
          </cell>
          <cell r="H13">
            <v>2340.442</v>
          </cell>
          <cell r="I13">
            <v>-720.40499999999997</v>
          </cell>
          <cell r="J13">
            <v>-0.30780724324721564</v>
          </cell>
          <cell r="L13">
            <v>1824</v>
          </cell>
          <cell r="M13">
            <v>1886</v>
          </cell>
          <cell r="N13">
            <v>-62</v>
          </cell>
          <cell r="O13">
            <v>-3.2873806998939603E-2</v>
          </cell>
          <cell r="Q13">
            <v>888</v>
          </cell>
          <cell r="R13">
            <v>1241</v>
          </cell>
          <cell r="S13">
            <v>-353</v>
          </cell>
          <cell r="T13">
            <v>-0.28444802578565676</v>
          </cell>
        </row>
        <row r="14">
          <cell r="A14" t="str">
            <v xml:space="preserve">   PUBLIC AUTHORITY</v>
          </cell>
          <cell r="B14">
            <v>5515989.3099999996</v>
          </cell>
          <cell r="C14">
            <v>5186567.5000000009</v>
          </cell>
          <cell r="D14">
            <v>329421.80999999866</v>
          </cell>
          <cell r="E14">
            <v>6.3514416808418739E-2</v>
          </cell>
          <cell r="G14">
            <v>237708.17300000001</v>
          </cell>
          <cell r="H14">
            <v>222903.092</v>
          </cell>
          <cell r="I14">
            <v>14805.081000000006</v>
          </cell>
          <cell r="J14">
            <v>6.6419361289075329E-2</v>
          </cell>
          <cell r="L14">
            <v>20496</v>
          </cell>
          <cell r="M14">
            <v>20240</v>
          </cell>
          <cell r="N14">
            <v>256</v>
          </cell>
          <cell r="O14">
            <v>1.2648221343873445E-2</v>
          </cell>
          <cell r="Q14">
            <v>11598</v>
          </cell>
          <cell r="R14">
            <v>11013</v>
          </cell>
          <cell r="S14">
            <v>585</v>
          </cell>
          <cell r="T14">
            <v>5.3119041133206313E-2</v>
          </cell>
        </row>
        <row r="15">
          <cell r="A15" t="str">
            <v xml:space="preserve">  TOTAL RETAIL BILLED</v>
          </cell>
          <cell r="B15">
            <v>102632179.39</v>
          </cell>
          <cell r="C15">
            <v>102601809.36999999</v>
          </cell>
          <cell r="D15">
            <v>30370.01999999315</v>
          </cell>
          <cell r="E15">
            <v>2.9599887357245613E-4</v>
          </cell>
          <cell r="G15">
            <v>3029289.6680000001</v>
          </cell>
          <cell r="H15">
            <v>3057663.85</v>
          </cell>
          <cell r="I15">
            <v>-28374.181999999826</v>
          </cell>
          <cell r="J15">
            <v>-9.2796930571684699E-3</v>
          </cell>
          <cell r="L15">
            <v>1549011</v>
          </cell>
          <cell r="M15">
            <v>1528584</v>
          </cell>
          <cell r="N15">
            <v>20427</v>
          </cell>
          <cell r="O15">
            <v>1.3363348039754364E-2</v>
          </cell>
          <cell r="Q15">
            <v>1956</v>
          </cell>
          <cell r="R15">
            <v>2000</v>
          </cell>
          <cell r="S15">
            <v>-44</v>
          </cell>
          <cell r="T15">
            <v>-2.200000000000002E-2</v>
          </cell>
        </row>
        <row r="16">
          <cell r="A16" t="str">
            <v xml:space="preserve">  Provision For Refund</v>
          </cell>
          <cell r="B16">
            <v>-1228530</v>
          </cell>
          <cell r="C16">
            <v>-1600740</v>
          </cell>
          <cell r="D16">
            <v>372210</v>
          </cell>
          <cell r="E16">
            <v>-0.23252370778514941</v>
          </cell>
        </row>
        <row r="18">
          <cell r="A18" t="str">
            <v xml:space="preserve">   REA</v>
          </cell>
          <cell r="B18">
            <v>1638841.9380000003</v>
          </cell>
          <cell r="C18">
            <v>1508480.6044999997</v>
          </cell>
          <cell r="D18">
            <v>130361.33350000065</v>
          </cell>
          <cell r="E18">
            <v>8.6418965620847388E-2</v>
          </cell>
          <cell r="G18">
            <v>81993.383000000002</v>
          </cell>
          <cell r="H18">
            <v>65595.072</v>
          </cell>
          <cell r="I18">
            <v>16398.311000000002</v>
          </cell>
          <cell r="J18">
            <v>0.24999303301321185</v>
          </cell>
          <cell r="L18">
            <v>9</v>
          </cell>
          <cell r="M18">
            <v>5</v>
          </cell>
          <cell r="N18">
            <v>4</v>
          </cell>
          <cell r="O18">
            <v>0.8</v>
          </cell>
          <cell r="Q18">
            <v>9110376</v>
          </cell>
          <cell r="R18">
            <v>13119014</v>
          </cell>
          <cell r="S18">
            <v>-4008638</v>
          </cell>
          <cell r="T18">
            <v>-0.30555939646074015</v>
          </cell>
        </row>
        <row r="19">
          <cell r="A19" t="str">
            <v xml:space="preserve">   Oth Whol (w/Ref $ or Interchg MWh)</v>
          </cell>
          <cell r="B19">
            <v>6075308.9179999996</v>
          </cell>
          <cell r="C19">
            <v>4613311.824000001</v>
          </cell>
          <cell r="D19">
            <v>1461997.0939999986</v>
          </cell>
          <cell r="E19">
            <v>0.31690836209991224</v>
          </cell>
          <cell r="G19">
            <v>385239.37300000002</v>
          </cell>
          <cell r="H19">
            <v>407133.95500000002</v>
          </cell>
          <cell r="I19">
            <v>-21894.581999999995</v>
          </cell>
          <cell r="J19">
            <v>-5.3777342152658281E-2</v>
          </cell>
          <cell r="L19">
            <v>21</v>
          </cell>
          <cell r="M19">
            <v>16</v>
          </cell>
          <cell r="N19">
            <v>5</v>
          </cell>
          <cell r="O19">
            <v>0.3125</v>
          </cell>
          <cell r="Q19">
            <v>18344732</v>
          </cell>
          <cell r="R19">
            <v>25445872</v>
          </cell>
          <cell r="S19">
            <v>-7101140</v>
          </cell>
          <cell r="T19">
            <v>-0.27906844772307271</v>
          </cell>
        </row>
        <row r="21">
          <cell r="A21" t="str">
            <v xml:space="preserve"> TOTAL WHOLESALE  BILLED</v>
          </cell>
          <cell r="B21">
            <v>7714150.8559999997</v>
          </cell>
          <cell r="C21">
            <v>6121792.4285000004</v>
          </cell>
          <cell r="D21">
            <v>1592358.4274999993</v>
          </cell>
          <cell r="E21">
            <v>0.26011310349020911</v>
          </cell>
          <cell r="G21">
            <v>467232.75600000005</v>
          </cell>
          <cell r="H21">
            <v>472729.027</v>
          </cell>
          <cell r="I21">
            <v>-5496.2709999999934</v>
          </cell>
          <cell r="J21">
            <v>-1.1626683969207519E-2</v>
          </cell>
          <cell r="L21">
            <v>30</v>
          </cell>
          <cell r="M21">
            <v>21</v>
          </cell>
          <cell r="N21">
            <v>9</v>
          </cell>
          <cell r="O21">
            <v>0.4285714285714286</v>
          </cell>
          <cell r="Q21">
            <v>15574425</v>
          </cell>
          <cell r="R21">
            <v>22510906</v>
          </cell>
          <cell r="S21">
            <v>-6936481</v>
          </cell>
          <cell r="T21">
            <v>-0.30813868619948037</v>
          </cell>
        </row>
        <row r="23">
          <cell r="A23" t="str">
            <v xml:space="preserve"> TOTAL SYSTEM BILLED</v>
          </cell>
          <cell r="B23">
            <v>109117800.24600001</v>
          </cell>
          <cell r="C23">
            <v>107122861.79849999</v>
          </cell>
          <cell r="D23">
            <v>1994938.4474999923</v>
          </cell>
          <cell r="E23">
            <v>1.8622900975634238E-2</v>
          </cell>
          <cell r="G23">
            <v>3496522.4240000001</v>
          </cell>
          <cell r="H23">
            <v>3530392.8770000003</v>
          </cell>
          <cell r="I23">
            <v>-33870.452999999819</v>
          </cell>
          <cell r="J23">
            <v>-9.5939614031801401E-3</v>
          </cell>
          <cell r="L23">
            <v>1549041</v>
          </cell>
          <cell r="M23">
            <v>1528605</v>
          </cell>
          <cell r="N23">
            <v>20436</v>
          </cell>
          <cell r="O23">
            <v>1.3369052175022267E-2</v>
          </cell>
          <cell r="Q23">
            <v>2257</v>
          </cell>
          <cell r="R23">
            <v>2310</v>
          </cell>
          <cell r="S23">
            <v>-53</v>
          </cell>
          <cell r="T23">
            <v>-2.2943722943722933E-2</v>
          </cell>
        </row>
        <row r="25">
          <cell r="A25" t="str">
            <v xml:space="preserve">     Retail Unbilled (Change)</v>
          </cell>
          <cell r="B25">
            <v>-2152050</v>
          </cell>
          <cell r="C25">
            <v>-2619014</v>
          </cell>
          <cell r="D25">
            <v>466964</v>
          </cell>
          <cell r="E25" t="str">
            <v>N/A</v>
          </cell>
          <cell r="G25">
            <v>-149197</v>
          </cell>
          <cell r="H25">
            <v>-104570</v>
          </cell>
          <cell r="I25">
            <v>-44627</v>
          </cell>
          <cell r="J25" t="str">
            <v>N/A</v>
          </cell>
        </row>
        <row r="26">
          <cell r="A26" t="str">
            <v xml:space="preserve">     Wholesale Unbilled (Change)</v>
          </cell>
          <cell r="B26">
            <v>4618733</v>
          </cell>
          <cell r="C26">
            <v>3781097</v>
          </cell>
          <cell r="D26">
            <v>837636</v>
          </cell>
          <cell r="E26" t="str">
            <v>N/A</v>
          </cell>
          <cell r="G26">
            <v>6414</v>
          </cell>
          <cell r="H26">
            <v>-2180</v>
          </cell>
          <cell r="I26">
            <v>8594</v>
          </cell>
          <cell r="J26" t="str">
            <v>N/A</v>
          </cell>
        </row>
        <row r="27">
          <cell r="A27" t="str">
            <v xml:space="preserve">           Total Unbilled (Change)</v>
          </cell>
          <cell r="B27">
            <v>2466683</v>
          </cell>
          <cell r="C27">
            <v>1162083</v>
          </cell>
          <cell r="D27">
            <v>1304600</v>
          </cell>
          <cell r="E27" t="str">
            <v>N/A</v>
          </cell>
          <cell r="G27">
            <v>-142783</v>
          </cell>
          <cell r="H27">
            <v>-106750</v>
          </cell>
          <cell r="I27">
            <v>-36033</v>
          </cell>
          <cell r="J27" t="str">
            <v>N/A</v>
          </cell>
        </row>
        <row r="29">
          <cell r="A29" t="str">
            <v>TOTAL BILLED &amp; UNBILLED</v>
          </cell>
          <cell r="B29">
            <v>111584483.24600001</v>
          </cell>
          <cell r="C29">
            <v>108284944.79849999</v>
          </cell>
          <cell r="D29">
            <v>3299538.4474999923</v>
          </cell>
          <cell r="E29">
            <v>3.0470888207404068E-2</v>
          </cell>
          <cell r="G29">
            <v>3353739.4240000001</v>
          </cell>
          <cell r="H29">
            <v>3423642.8770000003</v>
          </cell>
          <cell r="I29">
            <v>-69903.452999999819</v>
          </cell>
          <cell r="J29">
            <v>-2.0417857677157536E-2</v>
          </cell>
        </row>
        <row r="32">
          <cell r="B32" t="str">
            <v>TOTAL BASE REVENUES $</v>
          </cell>
        </row>
        <row r="33">
          <cell r="B33" t="str">
            <v>BILLED &amp; ALLOCATED UNBILLED</v>
          </cell>
          <cell r="G33" t="str">
            <v>BILLED &amp; ALLOCATED UNBILLED MWH SALES</v>
          </cell>
          <cell r="L33" t="str">
            <v>NUMBER OF CUSTOMERS</v>
          </cell>
          <cell r="Q33" t="str">
            <v>KWH SALES PER CUSTOMER</v>
          </cell>
        </row>
        <row r="35">
          <cell r="A35" t="str">
            <v>CLASS OF BUSINESS</v>
          </cell>
          <cell r="B35" t="str">
            <v>Jan'05 Actual</v>
          </cell>
          <cell r="C35" t="str">
            <v>Jan'04 Actual</v>
          </cell>
          <cell r="D35" t="str">
            <v>DIFF</v>
          </cell>
          <cell r="E35" t="str">
            <v>% Diff</v>
          </cell>
          <cell r="G35" t="str">
            <v>Jan'05 Actual</v>
          </cell>
          <cell r="H35" t="str">
            <v>Jan'04 Actual</v>
          </cell>
          <cell r="I35" t="str">
            <v>DIFF</v>
          </cell>
          <cell r="J35" t="str">
            <v>% Diff</v>
          </cell>
          <cell r="L35" t="str">
            <v>Jan'05 Actual</v>
          </cell>
          <cell r="M35" t="str">
            <v>Jan'04 Actual</v>
          </cell>
          <cell r="N35" t="str">
            <v>DIFF</v>
          </cell>
          <cell r="O35" t="str">
            <v>% Diff</v>
          </cell>
          <cell r="Q35" t="str">
            <v>Jan'05 Actual</v>
          </cell>
          <cell r="R35" t="str">
            <v>Jan'04 Actual</v>
          </cell>
          <cell r="S35" t="str">
            <v>DIFF</v>
          </cell>
          <cell r="T35" t="str">
            <v>% Diff</v>
          </cell>
        </row>
        <row r="37">
          <cell r="A37" t="str">
            <v xml:space="preserve">   RESIDENTIAL</v>
          </cell>
          <cell r="B37">
            <v>69000199.79432191</v>
          </cell>
          <cell r="C37">
            <v>68481444.6092861</v>
          </cell>
          <cell r="D37">
            <v>518755.18503580987</v>
          </cell>
          <cell r="E37">
            <v>7.5751203555285418E-3</v>
          </cell>
          <cell r="G37">
            <v>1600626.2848276501</v>
          </cell>
          <cell r="H37">
            <v>1582940.1050438373</v>
          </cell>
          <cell r="I37">
            <v>17686.179783812724</v>
          </cell>
          <cell r="J37">
            <v>1.1172993676423992E-2</v>
          </cell>
          <cell r="L37">
            <v>1366718</v>
          </cell>
          <cell r="M37">
            <v>1348442</v>
          </cell>
          <cell r="N37">
            <v>18276</v>
          </cell>
          <cell r="O37">
            <v>1.3553419427754454E-2</v>
          </cell>
          <cell r="Q37">
            <v>1171</v>
          </cell>
          <cell r="R37">
            <v>1174</v>
          </cell>
          <cell r="S37">
            <v>-3</v>
          </cell>
          <cell r="T37">
            <v>-2.5553662691651935E-3</v>
          </cell>
        </row>
        <row r="38">
          <cell r="A38" t="str">
            <v xml:space="preserve">   COMMERCIAL</v>
          </cell>
          <cell r="B38">
            <v>20250558.178223286</v>
          </cell>
          <cell r="C38">
            <v>20439455.899819143</v>
          </cell>
          <cell r="D38">
            <v>-188897.72159585729</v>
          </cell>
          <cell r="E38">
            <v>-9.241817518123252E-3</v>
          </cell>
          <cell r="G38">
            <v>781304.53699332848</v>
          </cell>
          <cell r="H38">
            <v>815532.1089213416</v>
          </cell>
          <cell r="I38">
            <v>-34227.571928013116</v>
          </cell>
          <cell r="J38">
            <v>-4.1969619042080408E-2</v>
          </cell>
          <cell r="L38">
            <v>157278</v>
          </cell>
          <cell r="M38">
            <v>155289</v>
          </cell>
          <cell r="N38">
            <v>1989</v>
          </cell>
          <cell r="O38">
            <v>1.2808376639684704E-2</v>
          </cell>
          <cell r="Q38">
            <v>4968</v>
          </cell>
          <cell r="R38">
            <v>5252</v>
          </cell>
          <cell r="S38">
            <v>-284</v>
          </cell>
          <cell r="T38">
            <v>-5.4074638233054029E-2</v>
          </cell>
        </row>
        <row r="39">
          <cell r="A39" t="str">
            <v xml:space="preserve">   INDUSTRIAL</v>
          </cell>
          <cell r="B39">
            <v>6128270.496728492</v>
          </cell>
          <cell r="C39">
            <v>6307738.7824602518</v>
          </cell>
          <cell r="D39">
            <v>-179468.28573175985</v>
          </cell>
          <cell r="E39">
            <v>-2.845207956784801E-2</v>
          </cell>
          <cell r="G39">
            <v>285675.04512960196</v>
          </cell>
          <cell r="H39">
            <v>354693.84374683746</v>
          </cell>
          <cell r="I39">
            <v>-69018.798617235501</v>
          </cell>
          <cell r="J39">
            <v>-0.19458696516451979</v>
          </cell>
          <cell r="L39">
            <v>2695</v>
          </cell>
          <cell r="M39">
            <v>2727</v>
          </cell>
          <cell r="N39">
            <v>-32</v>
          </cell>
          <cell r="O39">
            <v>-1.1734506784011778E-2</v>
          </cell>
          <cell r="Q39">
            <v>106002</v>
          </cell>
          <cell r="R39">
            <v>130067</v>
          </cell>
          <cell r="S39">
            <v>-24065</v>
          </cell>
          <cell r="T39">
            <v>-0.1850200281393436</v>
          </cell>
        </row>
        <row r="40">
          <cell r="A40" t="str">
            <v xml:space="preserve">   ST &amp; HIGHWAY</v>
          </cell>
          <cell r="B40">
            <v>11840.068124851874</v>
          </cell>
          <cell r="C40">
            <v>32737.876914914414</v>
          </cell>
          <cell r="D40">
            <v>-20897.80879006254</v>
          </cell>
          <cell r="E40">
            <v>-0.63833732542815302</v>
          </cell>
          <cell r="G40">
            <v>955.74785198094128</v>
          </cell>
          <cell r="H40">
            <v>2067.0649287076585</v>
          </cell>
          <cell r="I40">
            <v>-1111.3170767267172</v>
          </cell>
          <cell r="J40">
            <v>-0.53763046399394887</v>
          </cell>
          <cell r="L40">
            <v>1824</v>
          </cell>
          <cell r="M40">
            <v>1886</v>
          </cell>
          <cell r="N40">
            <v>-62</v>
          </cell>
          <cell r="O40">
            <v>-3.2873806998939603E-2</v>
          </cell>
          <cell r="Q40">
            <v>524</v>
          </cell>
          <cell r="R40">
            <v>1096</v>
          </cell>
          <cell r="S40">
            <v>-572</v>
          </cell>
          <cell r="T40">
            <v>-0.52189781021897808</v>
          </cell>
        </row>
        <row r="41">
          <cell r="A41" t="str">
            <v xml:space="preserve">   PUBLIC AUTHORITY</v>
          </cell>
          <cell r="B41">
            <v>5089260.8526014537</v>
          </cell>
          <cell r="C41">
            <v>4721418.201519588</v>
          </cell>
          <cell r="D41">
            <v>367842.65108186565</v>
          </cell>
          <cell r="E41">
            <v>7.7909355914177469E-2</v>
          </cell>
          <cell r="G41">
            <v>211531.38519743865</v>
          </cell>
          <cell r="H41">
            <v>197860.87735927606</v>
          </cell>
          <cell r="I41">
            <v>13670.507838162594</v>
          </cell>
          <cell r="J41">
            <v>6.9091515314266383E-2</v>
          </cell>
          <cell r="L41">
            <v>20496</v>
          </cell>
          <cell r="M41">
            <v>20240</v>
          </cell>
          <cell r="N41">
            <v>256</v>
          </cell>
          <cell r="O41">
            <v>1.2648221343873445E-2</v>
          </cell>
          <cell r="Q41">
            <v>10321</v>
          </cell>
          <cell r="R41">
            <v>9776</v>
          </cell>
          <cell r="S41">
            <v>545</v>
          </cell>
          <cell r="T41">
            <v>5.5748772504091715E-2</v>
          </cell>
        </row>
        <row r="42">
          <cell r="A42" t="str">
            <v xml:space="preserve">       TOTAL RETAIL</v>
          </cell>
          <cell r="B42">
            <v>100480129.38999999</v>
          </cell>
          <cell r="C42">
            <v>99982795.370000005</v>
          </cell>
          <cell r="D42">
            <v>497334.01999999583</v>
          </cell>
          <cell r="E42">
            <v>4.9741959920157619E-3</v>
          </cell>
          <cell r="G42">
            <v>2880093</v>
          </cell>
          <cell r="H42">
            <v>2953094.0000000005</v>
          </cell>
          <cell r="I42">
            <v>-73001.000000000015</v>
          </cell>
          <cell r="J42">
            <v>-2.4720174840354048E-2</v>
          </cell>
          <cell r="L42">
            <v>1549011</v>
          </cell>
          <cell r="M42">
            <v>1528584</v>
          </cell>
          <cell r="N42">
            <v>20427</v>
          </cell>
          <cell r="O42">
            <v>1.3363348039754364E-2</v>
          </cell>
          <cell r="Q42">
            <v>1859</v>
          </cell>
          <cell r="R42">
            <v>1932</v>
          </cell>
          <cell r="S42">
            <v>-73</v>
          </cell>
          <cell r="T42">
            <v>-3.778467908902694E-2</v>
          </cell>
        </row>
        <row r="43">
          <cell r="A43" t="str">
            <v xml:space="preserve">  Provision For Refund</v>
          </cell>
          <cell r="B43">
            <v>-1228530</v>
          </cell>
          <cell r="C43">
            <v>-1600740</v>
          </cell>
          <cell r="D43">
            <v>372210</v>
          </cell>
          <cell r="E43">
            <v>-0.23252370778514941</v>
          </cell>
        </row>
        <row r="45">
          <cell r="A45" t="str">
            <v xml:space="preserve">   REA</v>
          </cell>
          <cell r="B45">
            <v>6683415.1579999998</v>
          </cell>
          <cell r="C45">
            <v>5109184.6044999994</v>
          </cell>
          <cell r="D45">
            <v>1574230.5535000004</v>
          </cell>
          <cell r="E45">
            <v>0.30811776738571361</v>
          </cell>
          <cell r="G45">
            <v>91581</v>
          </cell>
          <cell r="H45">
            <v>57928</v>
          </cell>
          <cell r="I45">
            <v>33653</v>
          </cell>
          <cell r="J45">
            <v>0.58094531142107453</v>
          </cell>
          <cell r="L45">
            <v>9</v>
          </cell>
          <cell r="M45">
            <v>5</v>
          </cell>
          <cell r="N45">
            <v>4</v>
          </cell>
          <cell r="O45">
            <v>0.8</v>
          </cell>
          <cell r="Q45">
            <v>10175667</v>
          </cell>
          <cell r="R45">
            <v>11585600</v>
          </cell>
          <cell r="S45">
            <v>-1409933</v>
          </cell>
          <cell r="T45">
            <v>-0.12169702043916586</v>
          </cell>
        </row>
        <row r="46">
          <cell r="A46" t="str">
            <v xml:space="preserve">   Oth Whol (w/Ref $ or Interchg MWh)</v>
          </cell>
          <cell r="B46">
            <v>5649468.6979999989</v>
          </cell>
          <cell r="C46">
            <v>4793704.824000001</v>
          </cell>
          <cell r="D46">
            <v>855763.87399999797</v>
          </cell>
          <cell r="E46">
            <v>0.17851826623023581</v>
          </cell>
          <cell r="G46">
            <v>382065.75599999999</v>
          </cell>
          <cell r="H46">
            <v>412621.027</v>
          </cell>
          <cell r="I46">
            <v>-30555.271000000008</v>
          </cell>
          <cell r="J46">
            <v>-7.4051657575851082E-2</v>
          </cell>
          <cell r="L46">
            <v>21</v>
          </cell>
          <cell r="M46">
            <v>16</v>
          </cell>
          <cell r="N46">
            <v>5</v>
          </cell>
          <cell r="O46">
            <v>0.3125</v>
          </cell>
          <cell r="Q46">
            <v>18193607</v>
          </cell>
          <cell r="R46">
            <v>25788814</v>
          </cell>
          <cell r="S46">
            <v>-7595207</v>
          </cell>
          <cell r="T46">
            <v>-0.29451556011842961</v>
          </cell>
        </row>
        <row r="48">
          <cell r="A48" t="str">
            <v xml:space="preserve">       TOTAL WHOLESALE </v>
          </cell>
          <cell r="B48">
            <v>12332883.855999999</v>
          </cell>
          <cell r="C48">
            <v>9902889.4285000004</v>
          </cell>
          <cell r="D48">
            <v>2429994.4274999984</v>
          </cell>
          <cell r="E48">
            <v>0.24538236491933363</v>
          </cell>
          <cell r="G48">
            <v>473646.75599999999</v>
          </cell>
          <cell r="H48">
            <v>470549.027</v>
          </cell>
          <cell r="I48">
            <v>3097.7289999999921</v>
          </cell>
          <cell r="J48">
            <v>6.5832226234738833E-3</v>
          </cell>
          <cell r="L48">
            <v>30</v>
          </cell>
          <cell r="M48">
            <v>21</v>
          </cell>
          <cell r="N48">
            <v>9</v>
          </cell>
          <cell r="O48">
            <v>0.4285714285714286</v>
          </cell>
          <cell r="Q48">
            <v>15788225</v>
          </cell>
          <cell r="R48">
            <v>22407097</v>
          </cell>
          <cell r="S48">
            <v>-6618872</v>
          </cell>
          <cell r="T48">
            <v>-0.29539176806348455</v>
          </cell>
        </row>
        <row r="50">
          <cell r="A50" t="str">
            <v xml:space="preserve"> TOTAL SYSTEM</v>
          </cell>
          <cell r="B50">
            <v>111584483.24599999</v>
          </cell>
          <cell r="C50">
            <v>108284944.7985</v>
          </cell>
          <cell r="D50">
            <v>3299538.4474999942</v>
          </cell>
          <cell r="E50">
            <v>3.0470888207403846E-2</v>
          </cell>
          <cell r="G50">
            <v>3353739.7560000001</v>
          </cell>
          <cell r="H50">
            <v>3423643.0270000007</v>
          </cell>
          <cell r="I50">
            <v>-69903.271000000022</v>
          </cell>
          <cell r="J50">
            <v>-2.0417803622842623E-2</v>
          </cell>
          <cell r="L50">
            <v>1549041</v>
          </cell>
          <cell r="M50">
            <v>1528605</v>
          </cell>
          <cell r="N50">
            <v>20436</v>
          </cell>
          <cell r="O50">
            <v>1.3369052175022267E-2</v>
          </cell>
          <cell r="Q50">
            <v>2165</v>
          </cell>
          <cell r="R50">
            <v>2240</v>
          </cell>
          <cell r="S50">
            <v>-75</v>
          </cell>
          <cell r="T50">
            <v>-3.3482142857142905E-2</v>
          </cell>
        </row>
        <row r="53">
          <cell r="B53" t="str">
            <v>WEATHER NORMALIZED</v>
          </cell>
          <cell r="G53" t="str">
            <v>WEATHER NORMALIZED</v>
          </cell>
          <cell r="L53" t="str">
            <v>NUMBER OF CUSTOMERS</v>
          </cell>
          <cell r="Q53" t="str">
            <v>WEATHER &amp; CUSTOMER NORMALIZED</v>
          </cell>
        </row>
        <row r="54">
          <cell r="B54" t="str">
            <v>BILLED &amp; UNBILLED BASE REVENUES</v>
          </cell>
          <cell r="G54" t="str">
            <v>BILLED &amp; UNBILLED MWH SALES</v>
          </cell>
          <cell r="L54" t="str">
            <v>Adjusted for Event-Driven Billing</v>
          </cell>
          <cell r="Q54" t="str">
            <v>KWH SALES PER CUSTOMER</v>
          </cell>
        </row>
        <row r="56">
          <cell r="A56" t="str">
            <v>CLASS OF BUSINESS</v>
          </cell>
          <cell r="B56" t="str">
            <v>Jan'05 Actual</v>
          </cell>
          <cell r="C56" t="str">
            <v>Jan'04 Actual</v>
          </cell>
          <cell r="D56" t="str">
            <v>DIFF</v>
          </cell>
          <cell r="E56" t="str">
            <v>% Diff</v>
          </cell>
          <cell r="G56" t="str">
            <v>Jan'05 Actual</v>
          </cell>
          <cell r="H56" t="str">
            <v>Jan'04 Actual</v>
          </cell>
          <cell r="I56" t="str">
            <v>DIFF</v>
          </cell>
          <cell r="J56" t="str">
            <v>% Diff</v>
          </cell>
          <cell r="L56" t="str">
            <v>Jan'05 Actual</v>
          </cell>
          <cell r="M56" t="str">
            <v>Jan'04 Actual</v>
          </cell>
          <cell r="N56" t="str">
            <v>DIFF</v>
          </cell>
          <cell r="O56" t="str">
            <v>% Diff</v>
          </cell>
          <cell r="Q56" t="str">
            <v>Jan'05 Actual</v>
          </cell>
          <cell r="R56" t="str">
            <v>Jan'04 Actual</v>
          </cell>
          <cell r="S56" t="str">
            <v>DIFF</v>
          </cell>
          <cell r="T56" t="str">
            <v>% Diff</v>
          </cell>
        </row>
        <row r="58">
          <cell r="A58" t="str">
            <v xml:space="preserve">   RESIDENTIAL</v>
          </cell>
          <cell r="B58">
            <v>72521045.257926494</v>
          </cell>
          <cell r="C58">
            <v>66750578.622539103</v>
          </cell>
          <cell r="D58">
            <v>5770466.6353873909</v>
          </cell>
          <cell r="E58">
            <v>8.6448188981524732E-2</v>
          </cell>
          <cell r="G58">
            <v>1697646</v>
          </cell>
          <cell r="H58">
            <v>1535428</v>
          </cell>
          <cell r="I58">
            <v>162218</v>
          </cell>
          <cell r="J58">
            <v>0.10565002071083773</v>
          </cell>
          <cell r="L58">
            <v>1383522</v>
          </cell>
          <cell r="M58">
            <v>1353786</v>
          </cell>
          <cell r="N58">
            <v>29736</v>
          </cell>
          <cell r="O58">
            <v>2.1965066856947768E-2</v>
          </cell>
          <cell r="Q58">
            <v>1227</v>
          </cell>
          <cell r="R58">
            <v>1134</v>
          </cell>
          <cell r="S58">
            <v>93</v>
          </cell>
          <cell r="T58">
            <v>8.2010582010582089E-2</v>
          </cell>
        </row>
        <row r="59">
          <cell r="A59" t="str">
            <v xml:space="preserve">   COMMERCIAL</v>
          </cell>
          <cell r="B59">
            <v>20308965.284608133</v>
          </cell>
          <cell r="C59">
            <v>20808190.363341995</v>
          </cell>
          <cell r="D59">
            <v>-499225.07873386145</v>
          </cell>
          <cell r="E59">
            <v>-2.3991758534338992E-2</v>
          </cell>
          <cell r="G59">
            <v>783821</v>
          </cell>
          <cell r="H59">
            <v>831620</v>
          </cell>
          <cell r="I59">
            <v>-47799</v>
          </cell>
          <cell r="J59">
            <v>-5.7476972655780334E-2</v>
          </cell>
          <cell r="L59">
            <v>159816</v>
          </cell>
          <cell r="M59">
            <v>156188</v>
          </cell>
          <cell r="N59">
            <v>3628</v>
          </cell>
          <cell r="O59">
            <v>2.3228417035879856E-2</v>
          </cell>
          <cell r="Q59">
            <v>4905</v>
          </cell>
          <cell r="R59">
            <v>5324</v>
          </cell>
          <cell r="S59">
            <v>-419</v>
          </cell>
          <cell r="T59">
            <v>-7.8700225394440215E-2</v>
          </cell>
        </row>
        <row r="60">
          <cell r="A60" t="str">
            <v xml:space="preserve">   INDUSTRIAL</v>
          </cell>
          <cell r="B60">
            <v>6128270.496728492</v>
          </cell>
          <cell r="C60">
            <v>6307738.7824602518</v>
          </cell>
          <cell r="D60">
            <v>-179468.28573175985</v>
          </cell>
          <cell r="E60">
            <v>-2.845207956784801E-2</v>
          </cell>
          <cell r="G60">
            <v>285675.04512960196</v>
          </cell>
          <cell r="H60">
            <v>354693.84374683746</v>
          </cell>
          <cell r="I60">
            <v>-69018.798617235501</v>
          </cell>
          <cell r="J60">
            <v>-0.19458696516451979</v>
          </cell>
          <cell r="L60">
            <v>2722</v>
          </cell>
          <cell r="M60">
            <v>2722</v>
          </cell>
          <cell r="N60">
            <v>0</v>
          </cell>
          <cell r="O60">
            <v>0</v>
          </cell>
          <cell r="Q60">
            <v>104950</v>
          </cell>
          <cell r="R60">
            <v>130306</v>
          </cell>
          <cell r="S60">
            <v>-25356</v>
          </cell>
          <cell r="T60">
            <v>-0.19458812334044484</v>
          </cell>
        </row>
        <row r="61">
          <cell r="A61" t="str">
            <v xml:space="preserve">   ST &amp; HIGHWAY</v>
          </cell>
          <cell r="B61">
            <v>11840.068124851874</v>
          </cell>
          <cell r="C61">
            <v>32737.876914914414</v>
          </cell>
          <cell r="D61">
            <v>-20897.80879006254</v>
          </cell>
          <cell r="E61">
            <v>-0.63833732542815302</v>
          </cell>
          <cell r="G61">
            <v>955.74785198094128</v>
          </cell>
          <cell r="H61">
            <v>2067.0649287076585</v>
          </cell>
          <cell r="I61">
            <v>-1111.3170767267172</v>
          </cell>
          <cell r="J61">
            <v>-0.53763046399394887</v>
          </cell>
          <cell r="L61">
            <v>1824</v>
          </cell>
          <cell r="M61">
            <v>1886</v>
          </cell>
          <cell r="N61">
            <v>-62</v>
          </cell>
          <cell r="O61">
            <v>-3.2873806998939603E-2</v>
          </cell>
          <cell r="Q61">
            <v>524</v>
          </cell>
          <cell r="R61">
            <v>1096</v>
          </cell>
          <cell r="S61">
            <v>-572</v>
          </cell>
          <cell r="T61">
            <v>-0.52189781021897808</v>
          </cell>
        </row>
        <row r="62">
          <cell r="A62" t="str">
            <v xml:space="preserve">   PUBLIC AUTHORITY</v>
          </cell>
          <cell r="B62">
            <v>5132530.7349946229</v>
          </cell>
          <cell r="C62">
            <v>4799409.8813133612</v>
          </cell>
          <cell r="D62">
            <v>333120.85368126165</v>
          </cell>
          <cell r="E62">
            <v>6.9408711053889682E-2</v>
          </cell>
          <cell r="G62">
            <v>213470</v>
          </cell>
          <cell r="H62">
            <v>201352</v>
          </cell>
          <cell r="I62">
            <v>12118</v>
          </cell>
          <cell r="J62">
            <v>6.0183161826055764E-2</v>
          </cell>
          <cell r="L62">
            <v>20779</v>
          </cell>
          <cell r="M62">
            <v>20293</v>
          </cell>
          <cell r="N62">
            <v>486</v>
          </cell>
          <cell r="O62">
            <v>2.3949145025378149E-2</v>
          </cell>
          <cell r="Q62">
            <v>10273</v>
          </cell>
          <cell r="R62">
            <v>9922</v>
          </cell>
          <cell r="S62">
            <v>351</v>
          </cell>
          <cell r="T62">
            <v>3.5375932271719313E-2</v>
          </cell>
        </row>
        <row r="63">
          <cell r="A63" t="str">
            <v xml:space="preserve">       TOTAL RETAIL</v>
          </cell>
          <cell r="B63">
            <v>104102651.84238258</v>
          </cell>
          <cell r="C63">
            <v>98698655.526569635</v>
          </cell>
          <cell r="D63">
            <v>5403996.3158129686</v>
          </cell>
          <cell r="E63">
            <v>5.4752481550857546E-2</v>
          </cell>
          <cell r="G63">
            <v>2981567.7929815827</v>
          </cell>
          <cell r="H63">
            <v>2925160.9086755449</v>
          </cell>
          <cell r="I63">
            <v>56406.884306037784</v>
          </cell>
          <cell r="J63">
            <v>1.9283344085019083E-2</v>
          </cell>
          <cell r="L63">
            <v>1568663</v>
          </cell>
          <cell r="M63">
            <v>1534875</v>
          </cell>
          <cell r="N63">
            <v>33788</v>
          </cell>
          <cell r="O63">
            <v>2.2013519016206518E-2</v>
          </cell>
          <cell r="Q63">
            <v>1901</v>
          </cell>
          <cell r="R63">
            <v>1906</v>
          </cell>
          <cell r="S63">
            <v>-5</v>
          </cell>
          <cell r="T63">
            <v>-2.6232948583421178E-3</v>
          </cell>
        </row>
        <row r="64">
          <cell r="A64" t="str">
            <v xml:space="preserve">  Provision For Refund</v>
          </cell>
          <cell r="B64">
            <v>-1228530</v>
          </cell>
          <cell r="C64">
            <v>-1600740</v>
          </cell>
          <cell r="D64">
            <v>372210</v>
          </cell>
          <cell r="E64">
            <v>-0.23252370778514941</v>
          </cell>
        </row>
        <row r="66">
          <cell r="A66" t="str">
            <v xml:space="preserve">   REA</v>
          </cell>
          <cell r="B66">
            <v>6683415.1579999998</v>
          </cell>
          <cell r="C66">
            <v>5109184.6044999994</v>
          </cell>
          <cell r="D66">
            <v>1574230.5535000004</v>
          </cell>
          <cell r="E66">
            <v>0.30811776738571361</v>
          </cell>
          <cell r="G66">
            <v>91581</v>
          </cell>
          <cell r="H66">
            <v>57928</v>
          </cell>
          <cell r="I66">
            <v>33653</v>
          </cell>
          <cell r="J66">
            <v>0.58094531142107453</v>
          </cell>
          <cell r="L66">
            <v>9</v>
          </cell>
          <cell r="M66">
            <v>5</v>
          </cell>
          <cell r="N66">
            <v>4</v>
          </cell>
          <cell r="O66">
            <v>0.8</v>
          </cell>
        </row>
        <row r="67">
          <cell r="A67" t="str">
            <v xml:space="preserve">   Oth Whol (w/Ref $ or Interchg MWh)</v>
          </cell>
          <cell r="B67">
            <v>5649468.6979999989</v>
          </cell>
          <cell r="C67">
            <v>4793704.824000001</v>
          </cell>
          <cell r="D67">
            <v>855763.87399999797</v>
          </cell>
          <cell r="E67">
            <v>0.17851826623023581</v>
          </cell>
          <cell r="G67">
            <v>382065.75599999999</v>
          </cell>
          <cell r="H67">
            <v>412621.027</v>
          </cell>
          <cell r="I67">
            <v>-30555.271000000008</v>
          </cell>
          <cell r="J67">
            <v>-7.4051657575851082E-2</v>
          </cell>
          <cell r="L67">
            <v>21</v>
          </cell>
          <cell r="M67">
            <v>16</v>
          </cell>
          <cell r="N67">
            <v>5</v>
          </cell>
          <cell r="O67">
            <v>0.3125</v>
          </cell>
        </row>
        <row r="69">
          <cell r="A69" t="str">
            <v xml:space="preserve">       TOT WHOL. (Not W/N) </v>
          </cell>
          <cell r="B69">
            <v>12332883.855999999</v>
          </cell>
          <cell r="C69">
            <v>9902889.4285000004</v>
          </cell>
          <cell r="D69">
            <v>2429994.4274999984</v>
          </cell>
          <cell r="E69">
            <v>0.24538236491933363</v>
          </cell>
          <cell r="G69">
            <v>473646.75599999999</v>
          </cell>
          <cell r="H69">
            <v>470549.027</v>
          </cell>
          <cell r="I69">
            <v>3097.7289999999921</v>
          </cell>
          <cell r="J69">
            <v>6.5832226234738833E-3</v>
          </cell>
          <cell r="L69">
            <v>30</v>
          </cell>
          <cell r="M69">
            <v>21</v>
          </cell>
          <cell r="N69">
            <v>9</v>
          </cell>
          <cell r="O69">
            <v>0.4285714285714286</v>
          </cell>
        </row>
        <row r="71">
          <cell r="A71" t="str">
            <v xml:space="preserve"> TOTAL SYSTEM</v>
          </cell>
          <cell r="B71">
            <v>115207005.69838259</v>
          </cell>
          <cell r="C71">
            <v>107000804.95506963</v>
          </cell>
          <cell r="D71">
            <v>8206200.743312967</v>
          </cell>
          <cell r="E71">
            <v>7.6692887934429965E-2</v>
          </cell>
          <cell r="G71">
            <v>3455214.5489815827</v>
          </cell>
          <cell r="H71">
            <v>3395709.9356755447</v>
          </cell>
          <cell r="I71">
            <v>59504.613306037776</v>
          </cell>
          <cell r="J71">
            <v>1.7523467679285254E-2</v>
          </cell>
          <cell r="L71">
            <v>1568693</v>
          </cell>
          <cell r="M71">
            <v>1534896</v>
          </cell>
          <cell r="N71">
            <v>33797</v>
          </cell>
          <cell r="O71">
            <v>2.2019081423106268E-2</v>
          </cell>
        </row>
        <row r="72">
          <cell r="A72" t="str">
            <v>Retail Wthr Adjmt  ---&gt;</v>
          </cell>
          <cell r="B72">
            <v>3622522.4523825943</v>
          </cell>
          <cell r="C72">
            <v>-1284139.8434303701</v>
          </cell>
          <cell r="D72">
            <v>4906662.2958129644</v>
          </cell>
          <cell r="G72">
            <v>101474.79298158269</v>
          </cell>
          <cell r="H72">
            <v>-27933.09132445557</v>
          </cell>
        </row>
        <row r="75">
          <cell r="A75" t="str">
            <v>VARIANCE ANALYSIS BY CLASS - JAN'05 VS JAN'04</v>
          </cell>
        </row>
        <row r="76">
          <cell r="B76" t="str">
            <v>Revenue</v>
          </cell>
          <cell r="G76" t="str">
            <v>Energy</v>
          </cell>
        </row>
        <row r="77">
          <cell r="A77" t="str">
            <v>CLASS OF BUSINESS</v>
          </cell>
          <cell r="B77" t="str">
            <v>WEATHER</v>
          </cell>
          <cell r="C77" t="str">
            <v>CUSTS</v>
          </cell>
          <cell r="D77" t="str">
            <v>MISC</v>
          </cell>
          <cell r="E77" t="str">
            <v>SUM</v>
          </cell>
          <cell r="G77" t="str">
            <v>WEATHER</v>
          </cell>
          <cell r="H77" t="str">
            <v>CUSTS</v>
          </cell>
          <cell r="I77" t="str">
            <v>MISC</v>
          </cell>
          <cell r="J77" t="str">
            <v>SUM</v>
          </cell>
        </row>
        <row r="79">
          <cell r="A79" t="str">
            <v xml:space="preserve">   RESIDENTIAL</v>
          </cell>
          <cell r="B79">
            <v>-7.887306862599619E-2</v>
          </cell>
          <cell r="C79">
            <v>2.1965066856947768E-2</v>
          </cell>
          <cell r="D79">
            <v>6.4483122124576964E-2</v>
          </cell>
          <cell r="E79">
            <v>8.6448188981524732E-2</v>
          </cell>
          <cell r="G79">
            <v>-9.4477027034413741E-2</v>
          </cell>
          <cell r="H79">
            <v>2.1965066856947768E-2</v>
          </cell>
          <cell r="I79">
            <v>8.3684953853889965E-2</v>
          </cell>
          <cell r="J79">
            <v>0.10565002071083773</v>
          </cell>
        </row>
        <row r="80">
          <cell r="A80" t="str">
            <v xml:space="preserve">   COMMERCIAL</v>
          </cell>
          <cell r="B80">
            <v>1.474994101621574E-2</v>
          </cell>
          <cell r="C80">
            <v>2.3228417035879856E-2</v>
          </cell>
          <cell r="D80">
            <v>-4.7220175570218847E-2</v>
          </cell>
          <cell r="E80">
            <v>-2.3991758534338992E-2</v>
          </cell>
          <cell r="G80">
            <v>1.5507353613699926E-2</v>
          </cell>
          <cell r="H80">
            <v>2.3228417035879856E-2</v>
          </cell>
          <cell r="I80">
            <v>-8.070538969166019E-2</v>
          </cell>
          <cell r="J80">
            <v>-5.7476972655780334E-2</v>
          </cell>
        </row>
        <row r="81">
          <cell r="A81" t="str">
            <v xml:space="preserve">   INDUSTRIAL</v>
          </cell>
          <cell r="B81">
            <v>0</v>
          </cell>
          <cell r="C81">
            <v>0</v>
          </cell>
          <cell r="D81">
            <v>-2.845207956784801E-2</v>
          </cell>
          <cell r="E81">
            <v>-2.845207956784801E-2</v>
          </cell>
          <cell r="G81">
            <v>0</v>
          </cell>
          <cell r="H81">
            <v>0</v>
          </cell>
          <cell r="I81">
            <v>-0.19458696516451979</v>
          </cell>
          <cell r="J81">
            <v>-0.19458696516451979</v>
          </cell>
        </row>
        <row r="82">
          <cell r="A82" t="str">
            <v xml:space="preserve">   ST &amp; HIGHWAY</v>
          </cell>
          <cell r="B82">
            <v>0</v>
          </cell>
          <cell r="C82">
            <v>-3.2873806998939603E-2</v>
          </cell>
          <cell r="D82">
            <v>-0.60546351842921342</v>
          </cell>
          <cell r="E82">
            <v>-0.63833732542815302</v>
          </cell>
          <cell r="G82">
            <v>0</v>
          </cell>
          <cell r="H82">
            <v>-3.2873806998939603E-2</v>
          </cell>
          <cell r="I82">
            <v>-0.50475665699500927</v>
          </cell>
          <cell r="J82">
            <v>-0.53763046399394887</v>
          </cell>
        </row>
        <row r="83">
          <cell r="A83" t="str">
            <v xml:space="preserve">   PUBLIC AUTHORITY</v>
          </cell>
          <cell r="B83">
            <v>8.5006448602877871E-3</v>
          </cell>
          <cell r="C83">
            <v>2.3949145025378149E-2</v>
          </cell>
          <cell r="D83">
            <v>4.5459566028511533E-2</v>
          </cell>
          <cell r="E83">
            <v>6.9408711053889682E-2</v>
          </cell>
          <cell r="G83">
            <v>8.9083534882106186E-3</v>
          </cell>
          <cell r="H83">
            <v>2.3949145025378149E-2</v>
          </cell>
          <cell r="I83">
            <v>3.6234016800677615E-2</v>
          </cell>
          <cell r="J83">
            <v>6.0183161826055764E-2</v>
          </cell>
        </row>
        <row r="85">
          <cell r="A85" t="str">
            <v xml:space="preserve">       TOTAL RETAIL</v>
          </cell>
          <cell r="B85">
            <v>-4.9778285558841784E-2</v>
          </cell>
          <cell r="C85">
            <v>2.2013519016206518E-2</v>
          </cell>
          <cell r="D85">
            <v>3.2738962534651028E-2</v>
          </cell>
          <cell r="E85">
            <v>5.4752481550857546E-2</v>
          </cell>
          <cell r="G85">
            <v>-4.4003518925373131E-2</v>
          </cell>
          <cell r="H85">
            <v>2.2013519016206518E-2</v>
          </cell>
          <cell r="I85">
            <v>-2.7301749311874346E-3</v>
          </cell>
          <cell r="J85">
            <v>1.9283344085019083E-2</v>
          </cell>
        </row>
        <row r="87">
          <cell r="A87" t="str">
            <v>VARIANCE ANALYSIS BY CLASS - JAN'05 VS JAN'04</v>
          </cell>
        </row>
        <row r="88">
          <cell r="B88" t="str">
            <v>Revenue  -- $</v>
          </cell>
          <cell r="G88" t="str">
            <v>Energy --  MWh</v>
          </cell>
        </row>
        <row r="89">
          <cell r="A89" t="str">
            <v>CLASS OF BUSINESS</v>
          </cell>
          <cell r="B89" t="str">
            <v>WEATHER</v>
          </cell>
          <cell r="C89" t="str">
            <v>CUSTS</v>
          </cell>
          <cell r="D89" t="str">
            <v>MISC</v>
          </cell>
          <cell r="E89" t="str">
            <v>SUM</v>
          </cell>
          <cell r="G89" t="str">
            <v>WEATHER</v>
          </cell>
          <cell r="H89" t="str">
            <v>CUSTS</v>
          </cell>
          <cell r="I89" t="str">
            <v>MISC</v>
          </cell>
          <cell r="J89" t="str">
            <v>SUM</v>
          </cell>
        </row>
        <row r="91">
          <cell r="A91" t="str">
            <v xml:space="preserve">   RESIDENTIAL</v>
          </cell>
          <cell r="B91">
            <v>-5251711.450351581</v>
          </cell>
          <cell r="C91">
            <v>1466180.9221840212</v>
          </cell>
          <cell r="D91">
            <v>4304285.7132033696</v>
          </cell>
          <cell r="E91">
            <v>518755.18503580987</v>
          </cell>
          <cell r="G91">
            <v>-144531.82021618728</v>
          </cell>
          <cell r="H91">
            <v>33725.778674029563</v>
          </cell>
          <cell r="I91">
            <v>128492.22132597044</v>
          </cell>
          <cell r="J91">
            <v>17686.179783812739</v>
          </cell>
        </row>
        <row r="92">
          <cell r="A92" t="str">
            <v xml:space="preserve">   COMMERCIAL</v>
          </cell>
          <cell r="B92">
            <v>310327.35713800415</v>
          </cell>
          <cell r="C92">
            <v>483341.32352168497</v>
          </cell>
          <cell r="D92">
            <v>-982566.40225554653</v>
          </cell>
          <cell r="E92">
            <v>-188897.72159585741</v>
          </cell>
          <cell r="G92">
            <v>13571.428071986884</v>
          </cell>
          <cell r="H92">
            <v>19317.216175378388</v>
          </cell>
          <cell r="I92">
            <v>-67116.216175378388</v>
          </cell>
          <cell r="J92">
            <v>-34227.571928013116</v>
          </cell>
        </row>
        <row r="93">
          <cell r="A93" t="str">
            <v xml:space="preserve">   INDUSTRIAL</v>
          </cell>
          <cell r="B93">
            <v>0</v>
          </cell>
          <cell r="C93">
            <v>0</v>
          </cell>
          <cell r="D93">
            <v>-179468.28573175985</v>
          </cell>
          <cell r="E93">
            <v>-179468.28573175985</v>
          </cell>
          <cell r="G93">
            <v>0</v>
          </cell>
          <cell r="H93">
            <v>0</v>
          </cell>
          <cell r="I93">
            <v>-69018.798617235501</v>
          </cell>
          <cell r="J93">
            <v>-69018.798617235501</v>
          </cell>
        </row>
        <row r="94">
          <cell r="A94" t="str">
            <v xml:space="preserve">   ST &amp; HIGHWAY</v>
          </cell>
          <cell r="B94">
            <v>0</v>
          </cell>
          <cell r="C94">
            <v>-1076.2186472559367</v>
          </cell>
          <cell r="D94">
            <v>-19821.590142806603</v>
          </cell>
          <cell r="E94">
            <v>-20897.80879006254</v>
          </cell>
          <cell r="G94">
            <v>0</v>
          </cell>
          <cell r="H94">
            <v>-67.952293520612415</v>
          </cell>
          <cell r="I94">
            <v>-1043.3647832061049</v>
          </cell>
          <cell r="J94">
            <v>-1111.3170767267172</v>
          </cell>
        </row>
        <row r="95">
          <cell r="A95" t="str">
            <v xml:space="preserve">   PUBLIC AUTHORITY</v>
          </cell>
          <cell r="B95">
            <v>34721.797400604002</v>
          </cell>
          <cell r="C95">
            <v>114941.76328380647</v>
          </cell>
          <cell r="D95">
            <v>218179.09039745518</v>
          </cell>
          <cell r="E95">
            <v>367842.65108186565</v>
          </cell>
          <cell r="G95">
            <v>1552.5078381625935</v>
          </cell>
          <cell r="H95">
            <v>4822.2082491499486</v>
          </cell>
          <cell r="I95">
            <v>7295.7917508500514</v>
          </cell>
          <cell r="J95">
            <v>13670.507838162594</v>
          </cell>
        </row>
        <row r="96">
          <cell r="A96" t="str">
            <v xml:space="preserve">    TOTAL RETAIL   (Pre Tax)</v>
          </cell>
          <cell r="B96">
            <v>-4906662.2958129728</v>
          </cell>
          <cell r="C96">
            <v>2063387.7903422564</v>
          </cell>
          <cell r="D96">
            <v>3340608.5254707122</v>
          </cell>
          <cell r="E96">
            <v>497334.01999999571</v>
          </cell>
          <cell r="G96">
            <v>-129407.8843060378</v>
          </cell>
          <cell r="H96">
            <v>57797.250805037285</v>
          </cell>
          <cell r="I96">
            <v>-1390.3664989994986</v>
          </cell>
          <cell r="J96">
            <v>-73001</v>
          </cell>
        </row>
        <row r="97">
          <cell r="A97" t="str">
            <v xml:space="preserve">           Provision For Refund</v>
          </cell>
          <cell r="D97">
            <v>372210</v>
          </cell>
          <cell r="E97">
            <v>372210</v>
          </cell>
        </row>
        <row r="98">
          <cell r="A98" t="str">
            <v>Variance with Prov for Refund</v>
          </cell>
          <cell r="D98">
            <v>3712818.5254707122</v>
          </cell>
          <cell r="E98">
            <v>869544.01999999571</v>
          </cell>
        </row>
        <row r="99">
          <cell r="A99" t="str">
            <v>Notes:</v>
          </cell>
          <cell r="B99" t="str">
            <v>January weather conditions were much milder than last year leading to a weather-related revenue difference of -$4.9 mill.   Customer growth of 2.2% on an adjusted basis accounted for +$2.1 mill over last year.  A favorable change in the misc. adjustment (</v>
          </cell>
        </row>
        <row r="101">
          <cell r="A101" t="str">
            <v>JANUARY 2005   VS.  JANUARY BUDGET</v>
          </cell>
        </row>
        <row r="102">
          <cell r="A102" t="str">
            <v>REVENUES - SALES - CUSTOMERS - USE PER CUSTOMER</v>
          </cell>
        </row>
        <row r="104">
          <cell r="B104" t="str">
            <v>TOTAL BASE REVENUES $</v>
          </cell>
          <cell r="G104" t="str">
            <v>REPORTED</v>
          </cell>
          <cell r="L104" t="str">
            <v>NUMBER OF CUSTOMERS</v>
          </cell>
        </row>
        <row r="105">
          <cell r="B105" t="str">
            <v>BILLED &amp; ALLOCATED UNBILLED</v>
          </cell>
          <cell r="G105" t="str">
            <v>BILLED &amp; ALLOCATED UNBILLED MWH SALES</v>
          </cell>
          <cell r="L105" t="str">
            <v>Adj. for Event-Driven Billing</v>
          </cell>
          <cell r="Q105" t="str">
            <v>KWH SALES PER CUSTOMER</v>
          </cell>
        </row>
        <row r="107">
          <cell r="A107" t="str">
            <v>CLASS OF BUSINESS</v>
          </cell>
          <cell r="B107" t="str">
            <v>Jan'05 Actual</v>
          </cell>
          <cell r="C107" t="str">
            <v>Forecast</v>
          </cell>
          <cell r="D107" t="str">
            <v>DIFF</v>
          </cell>
          <cell r="E107" t="str">
            <v>% DIFF</v>
          </cell>
          <cell r="G107" t="str">
            <v>Jan'05 Actual</v>
          </cell>
          <cell r="H107" t="str">
            <v>Forecast</v>
          </cell>
          <cell r="I107" t="str">
            <v>DIFF</v>
          </cell>
          <cell r="J107" t="str">
            <v>% DIFF</v>
          </cell>
          <cell r="L107" t="str">
            <v>Jan'05 Actual</v>
          </cell>
          <cell r="M107" t="str">
            <v>Forecast</v>
          </cell>
          <cell r="N107" t="str">
            <v>DIFF</v>
          </cell>
          <cell r="O107" t="str">
            <v>% DIFF</v>
          </cell>
          <cell r="Q107" t="str">
            <v>Jan'05 Actual</v>
          </cell>
          <cell r="R107" t="str">
            <v>Forecast</v>
          </cell>
          <cell r="S107" t="str">
            <v>DIFF</v>
          </cell>
          <cell r="T107" t="str">
            <v>% DIFF</v>
          </cell>
        </row>
        <row r="109">
          <cell r="A109" t="str">
            <v xml:space="preserve">   RESIDENTIAL</v>
          </cell>
          <cell r="B109">
            <v>69000199.79432191</v>
          </cell>
          <cell r="C109">
            <v>73005056</v>
          </cell>
          <cell r="D109">
            <v>-4004856.2056780905</v>
          </cell>
          <cell r="E109">
            <v>-5.4857244485616019E-2</v>
          </cell>
          <cell r="G109">
            <v>1600626.2848276501</v>
          </cell>
          <cell r="H109">
            <v>1689253</v>
          </cell>
          <cell r="I109">
            <v>-88626.715172349941</v>
          </cell>
          <cell r="J109">
            <v>-5.246503346292708E-2</v>
          </cell>
          <cell r="L109">
            <v>1383522</v>
          </cell>
          <cell r="M109">
            <v>1379270.7974582352</v>
          </cell>
          <cell r="N109">
            <v>4251.2025417648256</v>
          </cell>
          <cell r="O109">
            <v>3.0822102154262065E-3</v>
          </cell>
          <cell r="Q109">
            <v>1157</v>
          </cell>
          <cell r="R109">
            <v>1225</v>
          </cell>
          <cell r="S109">
            <v>-68</v>
          </cell>
          <cell r="T109">
            <v>-5.5510204081632653E-2</v>
          </cell>
        </row>
        <row r="110">
          <cell r="A110" t="str">
            <v xml:space="preserve">   COMMERCIAL</v>
          </cell>
          <cell r="B110">
            <v>20250558.178223286</v>
          </cell>
          <cell r="C110">
            <v>22502483</v>
          </cell>
          <cell r="D110">
            <v>-2251924.8217767142</v>
          </cell>
          <cell r="E110">
            <v>-0.10007450385705052</v>
          </cell>
          <cell r="G110">
            <v>781304.53699332848</v>
          </cell>
          <cell r="H110">
            <v>884627</v>
          </cell>
          <cell r="I110">
            <v>-103322.46300667152</v>
          </cell>
          <cell r="J110">
            <v>-0.11679777240200839</v>
          </cell>
          <cell r="L110">
            <v>159816</v>
          </cell>
          <cell r="M110">
            <v>159281.27294961549</v>
          </cell>
          <cell r="N110">
            <v>534.72705038450658</v>
          </cell>
          <cell r="O110">
            <v>3.357124415709789E-3</v>
          </cell>
          <cell r="Q110">
            <v>4889</v>
          </cell>
          <cell r="R110">
            <v>5554</v>
          </cell>
          <cell r="S110">
            <v>-665</v>
          </cell>
          <cell r="T110">
            <v>-0.11973352538710835</v>
          </cell>
        </row>
        <row r="111">
          <cell r="A111" t="str">
            <v xml:space="preserve">   INDUSTRIAL</v>
          </cell>
          <cell r="B111">
            <v>6128270.496728492</v>
          </cell>
          <cell r="C111">
            <v>6374085</v>
          </cell>
          <cell r="D111">
            <v>-245814.50327150803</v>
          </cell>
          <cell r="E111">
            <v>-3.8564672932900668E-2</v>
          </cell>
          <cell r="G111">
            <v>285675.04512960196</v>
          </cell>
          <cell r="H111">
            <v>339149</v>
          </cell>
          <cell r="I111">
            <v>-53473.95487039804</v>
          </cell>
          <cell r="J111">
            <v>-0.15767097903988525</v>
          </cell>
          <cell r="L111">
            <v>2722</v>
          </cell>
          <cell r="M111">
            <v>2813</v>
          </cell>
          <cell r="N111">
            <v>-91</v>
          </cell>
          <cell r="O111">
            <v>-3.2349804479203659E-2</v>
          </cell>
          <cell r="Q111">
            <v>104950</v>
          </cell>
          <cell r="R111">
            <v>120565</v>
          </cell>
          <cell r="S111">
            <v>-15615</v>
          </cell>
          <cell r="T111">
            <v>-0.12951519927010324</v>
          </cell>
        </row>
        <row r="112">
          <cell r="A112" t="str">
            <v xml:space="preserve">   ST &amp; HIGHWAY</v>
          </cell>
          <cell r="B112">
            <v>11840.068124851874</v>
          </cell>
          <cell r="C112">
            <v>34748</v>
          </cell>
          <cell r="D112">
            <v>-22907.931875148126</v>
          </cell>
          <cell r="E112">
            <v>-0.65925900411960758</v>
          </cell>
          <cell r="G112">
            <v>955.74785198094128</v>
          </cell>
          <cell r="H112">
            <v>2252</v>
          </cell>
          <cell r="I112">
            <v>-1296.2521480190587</v>
          </cell>
          <cell r="J112">
            <v>-0.57560042096761044</v>
          </cell>
          <cell r="L112">
            <v>1824</v>
          </cell>
          <cell r="M112">
            <v>1850</v>
          </cell>
          <cell r="N112">
            <v>-26</v>
          </cell>
          <cell r="O112">
            <v>-1.4054054054054022E-2</v>
          </cell>
          <cell r="Q112">
            <v>524</v>
          </cell>
          <cell r="R112">
            <v>1217</v>
          </cell>
          <cell r="S112">
            <v>-693</v>
          </cell>
          <cell r="T112">
            <v>-0.56943303204601481</v>
          </cell>
        </row>
        <row r="113">
          <cell r="A113" t="str">
            <v xml:space="preserve">   PUBLIC AUTHORITY</v>
          </cell>
          <cell r="B113">
            <v>5089260.8526014537</v>
          </cell>
          <cell r="C113">
            <v>5086709</v>
          </cell>
          <cell r="D113">
            <v>2551.8526014536619</v>
          </cell>
          <cell r="E113">
            <v>5.0167064824302443E-4</v>
          </cell>
          <cell r="G113">
            <v>211531.38519743865</v>
          </cell>
          <cell r="H113">
            <v>217929</v>
          </cell>
          <cell r="I113">
            <v>-6397.6148025613511</v>
          </cell>
          <cell r="J113">
            <v>-2.9356417927679845E-2</v>
          </cell>
          <cell r="L113">
            <v>20779</v>
          </cell>
          <cell r="M113">
            <v>20784</v>
          </cell>
          <cell r="N113">
            <v>-5</v>
          </cell>
          <cell r="O113">
            <v>-2.4056966897612053E-4</v>
          </cell>
          <cell r="Q113">
            <v>10180</v>
          </cell>
          <cell r="R113">
            <v>10485</v>
          </cell>
          <cell r="S113">
            <v>-305</v>
          </cell>
          <cell r="T113">
            <v>-2.9089175011921764E-2</v>
          </cell>
        </row>
        <row r="114">
          <cell r="A114" t="str">
            <v xml:space="preserve">  TOTAL RETAIL</v>
          </cell>
          <cell r="B114">
            <v>100480129.38999999</v>
          </cell>
          <cell r="C114">
            <v>107003081</v>
          </cell>
          <cell r="D114">
            <v>-6522951.6100000069</v>
          </cell>
          <cell r="E114">
            <v>-6.0960409261486714E-2</v>
          </cell>
          <cell r="G114">
            <v>2880093</v>
          </cell>
          <cell r="H114">
            <v>3133210</v>
          </cell>
          <cell r="I114">
            <v>-253116.99999999991</v>
          </cell>
          <cell r="J114">
            <v>-8.078520111961851E-2</v>
          </cell>
          <cell r="L114">
            <v>1568663</v>
          </cell>
          <cell r="M114">
            <v>1563999.0704078507</v>
          </cell>
          <cell r="N114">
            <v>4663.9295921493322</v>
          </cell>
          <cell r="O114">
            <v>2.9820539413321079E-3</v>
          </cell>
          <cell r="Q114">
            <v>1836</v>
          </cell>
          <cell r="R114">
            <v>2003</v>
          </cell>
          <cell r="S114">
            <v>-167</v>
          </cell>
          <cell r="T114">
            <v>-8.3374937593609588E-2</v>
          </cell>
        </row>
        <row r="115">
          <cell r="A115" t="str">
            <v xml:space="preserve">  Provision For Refund</v>
          </cell>
          <cell r="B115">
            <v>-1228530</v>
          </cell>
          <cell r="C115">
            <v>-1522498</v>
          </cell>
          <cell r="D115">
            <v>293968</v>
          </cell>
          <cell r="E115">
            <v>-0.1930826838524583</v>
          </cell>
        </row>
        <row r="117">
          <cell r="A117" t="str">
            <v xml:space="preserve">   REA</v>
          </cell>
          <cell r="B117">
            <v>6683415.1579999998</v>
          </cell>
          <cell r="C117">
            <v>7502280.9956800006</v>
          </cell>
          <cell r="D117">
            <v>-818865.83768000081</v>
          </cell>
          <cell r="E117">
            <v>-0.10914891592990505</v>
          </cell>
          <cell r="G117">
            <v>81993.383000000002</v>
          </cell>
          <cell r="H117">
            <v>113633</v>
          </cell>
          <cell r="I117">
            <v>-31639.616999999998</v>
          </cell>
          <cell r="J117">
            <v>-0.27843687133139139</v>
          </cell>
          <cell r="L117">
            <v>9</v>
          </cell>
          <cell r="M117">
            <v>5</v>
          </cell>
          <cell r="N117">
            <v>4</v>
          </cell>
          <cell r="O117">
            <v>0.8</v>
          </cell>
        </row>
        <row r="118">
          <cell r="A118" t="str">
            <v xml:space="preserve">   Oth Whol (w/Ref $ or Interchg MWh)</v>
          </cell>
          <cell r="B118">
            <v>5649468.6979999989</v>
          </cell>
          <cell r="C118">
            <v>5581815</v>
          </cell>
          <cell r="D118">
            <v>67653.697999998927</v>
          </cell>
          <cell r="E118">
            <v>1.2120376257543253E-2</v>
          </cell>
          <cell r="G118">
            <v>385239.37300000002</v>
          </cell>
          <cell r="H118">
            <v>413413</v>
          </cell>
          <cell r="I118">
            <v>-28173.626999999979</v>
          </cell>
          <cell r="J118">
            <v>-6.8148865662182811E-2</v>
          </cell>
          <cell r="L118">
            <v>21</v>
          </cell>
          <cell r="M118">
            <v>19</v>
          </cell>
          <cell r="N118">
            <v>2</v>
          </cell>
          <cell r="O118">
            <v>0.10526315789473695</v>
          </cell>
        </row>
        <row r="120">
          <cell r="A120" t="str">
            <v xml:space="preserve">      WHOLESALE (Not W/N) </v>
          </cell>
          <cell r="B120">
            <v>12332883.855999999</v>
          </cell>
          <cell r="C120">
            <v>13084095.995680001</v>
          </cell>
          <cell r="D120">
            <v>-751212.13968000188</v>
          </cell>
          <cell r="E120">
            <v>-5.7414141559954279E-2</v>
          </cell>
          <cell r="G120">
            <v>473646.75599999999</v>
          </cell>
          <cell r="H120">
            <v>527046</v>
          </cell>
          <cell r="I120">
            <v>-53399.244000000006</v>
          </cell>
          <cell r="J120">
            <v>-0.10131799501371797</v>
          </cell>
          <cell r="L120">
            <v>30</v>
          </cell>
          <cell r="M120">
            <v>24</v>
          </cell>
          <cell r="N120">
            <v>6</v>
          </cell>
          <cell r="O120">
            <v>0.25</v>
          </cell>
        </row>
        <row r="122">
          <cell r="A122" t="str">
            <v xml:space="preserve"> TOTAL SYSTEM</v>
          </cell>
          <cell r="B122">
            <v>111584483.24599999</v>
          </cell>
          <cell r="C122">
            <v>118564678.99568</v>
          </cell>
          <cell r="D122">
            <v>-6980195.7496800087</v>
          </cell>
          <cell r="E122">
            <v>-5.8872472044851909E-2</v>
          </cell>
          <cell r="G122">
            <v>3353739.7560000001</v>
          </cell>
          <cell r="H122">
            <v>3660256</v>
          </cell>
          <cell r="I122">
            <v>-306516.24399999995</v>
          </cell>
          <cell r="J122">
            <v>-8.3741750303803819E-2</v>
          </cell>
          <cell r="K122" t="str">
            <v xml:space="preserve"> </v>
          </cell>
          <cell r="L122">
            <v>1568693</v>
          </cell>
          <cell r="M122">
            <v>1564023.0704078507</v>
          </cell>
          <cell r="N122">
            <v>4669.9295921493322</v>
          </cell>
          <cell r="O122">
            <v>2.9858444421357877E-3</v>
          </cell>
        </row>
        <row r="126">
          <cell r="B126" t="str">
            <v>WEATHER NORMALIZED</v>
          </cell>
          <cell r="G126" t="str">
            <v>WEATHER NORMALIZED</v>
          </cell>
          <cell r="L126" t="str">
            <v>NUMBER OF CUSTOMERS</v>
          </cell>
          <cell r="Q126" t="str">
            <v>WEATHER &amp; CUSTOMER NORMALIZED</v>
          </cell>
        </row>
        <row r="127">
          <cell r="B127" t="str">
            <v>BILLED &amp; UNBILLED BASE REVENUES</v>
          </cell>
          <cell r="G127" t="str">
            <v>BILLED &amp; UNBILLED MWH SALES</v>
          </cell>
          <cell r="L127" t="str">
            <v>Adj. for Event-Driven Billing</v>
          </cell>
          <cell r="Q127" t="str">
            <v>KWH SALES PER CUSTOMER</v>
          </cell>
        </row>
        <row r="129">
          <cell r="A129" t="str">
            <v>CLASS OF BUSINESS</v>
          </cell>
          <cell r="B129" t="str">
            <v>Jan'05 Actual</v>
          </cell>
          <cell r="C129" t="str">
            <v>Forecast</v>
          </cell>
          <cell r="D129" t="str">
            <v>DIFF</v>
          </cell>
          <cell r="E129" t="str">
            <v>% DIFF</v>
          </cell>
          <cell r="G129" t="str">
            <v>Jan'05 Actual</v>
          </cell>
          <cell r="H129" t="str">
            <v>Forecast</v>
          </cell>
          <cell r="I129" t="str">
            <v>DIFF</v>
          </cell>
          <cell r="J129" t="str">
            <v>% DIFF</v>
          </cell>
          <cell r="L129" t="str">
            <v>Jan'05 Actual</v>
          </cell>
          <cell r="M129" t="str">
            <v>Forecast</v>
          </cell>
          <cell r="N129" t="str">
            <v>DIFF</v>
          </cell>
          <cell r="O129" t="str">
            <v>% DIFF</v>
          </cell>
          <cell r="Q129" t="str">
            <v>Jan'05 Actual</v>
          </cell>
          <cell r="R129" t="str">
            <v>Forecast</v>
          </cell>
          <cell r="S129" t="str">
            <v>DIFF</v>
          </cell>
          <cell r="T129" t="str">
            <v>% DIFF</v>
          </cell>
        </row>
        <row r="131">
          <cell r="A131" t="str">
            <v xml:space="preserve">   RESIDENTIAL</v>
          </cell>
          <cell r="B131">
            <v>72521045.257926494</v>
          </cell>
          <cell r="C131">
            <v>73005056</v>
          </cell>
          <cell r="D131">
            <v>-484010.74207350612</v>
          </cell>
          <cell r="E131">
            <v>-6.629824954500485E-3</v>
          </cell>
          <cell r="G131">
            <v>1697646</v>
          </cell>
          <cell r="H131">
            <v>1689253</v>
          </cell>
          <cell r="I131">
            <v>8393</v>
          </cell>
          <cell r="J131">
            <v>4.968468311141061E-3</v>
          </cell>
          <cell r="L131">
            <v>1383522</v>
          </cell>
          <cell r="M131">
            <v>1379270.7974582352</v>
          </cell>
          <cell r="N131">
            <v>4251.2025417648256</v>
          </cell>
          <cell r="O131">
            <v>3.0822102154262065E-3</v>
          </cell>
          <cell r="Q131">
            <v>1227</v>
          </cell>
          <cell r="R131">
            <v>1225</v>
          </cell>
          <cell r="S131">
            <v>2</v>
          </cell>
          <cell r="T131">
            <v>1.6326530612245094E-3</v>
          </cell>
        </row>
        <row r="132">
          <cell r="A132" t="str">
            <v xml:space="preserve">   COMMERCIAL</v>
          </cell>
          <cell r="B132">
            <v>20308965.284608133</v>
          </cell>
          <cell r="C132">
            <v>22502483</v>
          </cell>
          <cell r="D132">
            <v>-2193517.7153918669</v>
          </cell>
          <cell r="E132">
            <v>-9.7478918899388423E-2</v>
          </cell>
          <cell r="G132">
            <v>783821</v>
          </cell>
          <cell r="H132">
            <v>884627</v>
          </cell>
          <cell r="I132">
            <v>-100806</v>
          </cell>
          <cell r="J132">
            <v>-0.113953112441741</v>
          </cell>
          <cell r="L132">
            <v>159816</v>
          </cell>
          <cell r="M132">
            <v>159281.27294961549</v>
          </cell>
          <cell r="N132">
            <v>534.72705038450658</v>
          </cell>
          <cell r="O132">
            <v>3.357124415709789E-3</v>
          </cell>
          <cell r="Q132">
            <v>4905</v>
          </cell>
          <cell r="R132">
            <v>5554</v>
          </cell>
          <cell r="S132">
            <v>-649</v>
          </cell>
          <cell r="T132">
            <v>-0.11685271876125314</v>
          </cell>
        </row>
        <row r="133">
          <cell r="A133" t="str">
            <v xml:space="preserve">   INDUSTRIAL</v>
          </cell>
          <cell r="B133">
            <v>6128270.496728492</v>
          </cell>
          <cell r="C133">
            <v>6374085</v>
          </cell>
          <cell r="D133">
            <v>-245814.50327150803</v>
          </cell>
          <cell r="E133">
            <v>-3.8564672932900668E-2</v>
          </cell>
          <cell r="G133">
            <v>285675.04512960196</v>
          </cell>
          <cell r="H133">
            <v>339149</v>
          </cell>
          <cell r="I133">
            <v>-53473.95487039804</v>
          </cell>
          <cell r="J133">
            <v>-0.15767097903988525</v>
          </cell>
          <cell r="L133">
            <v>2722</v>
          </cell>
          <cell r="M133">
            <v>2813</v>
          </cell>
          <cell r="N133">
            <v>-91</v>
          </cell>
          <cell r="O133">
            <v>-3.2349804479203659E-2</v>
          </cell>
          <cell r="Q133">
            <v>104950</v>
          </cell>
          <cell r="R133">
            <v>120565</v>
          </cell>
          <cell r="S133">
            <v>-15615</v>
          </cell>
          <cell r="T133">
            <v>-0.12951519927010324</v>
          </cell>
        </row>
        <row r="134">
          <cell r="A134" t="str">
            <v xml:space="preserve">   ST &amp; HIGHWAY</v>
          </cell>
          <cell r="B134">
            <v>11840.068124851874</v>
          </cell>
          <cell r="C134">
            <v>34748</v>
          </cell>
          <cell r="D134">
            <v>-22907.931875148126</v>
          </cell>
          <cell r="E134">
            <v>-0.65925900411960758</v>
          </cell>
          <cell r="G134">
            <v>955.74785198094128</v>
          </cell>
          <cell r="H134">
            <v>2252</v>
          </cell>
          <cell r="I134">
            <v>-1296.2521480190587</v>
          </cell>
          <cell r="J134">
            <v>-0.57560042096761044</v>
          </cell>
          <cell r="L134">
            <v>1824</v>
          </cell>
          <cell r="M134">
            <v>1850</v>
          </cell>
          <cell r="N134">
            <v>-26</v>
          </cell>
          <cell r="O134">
            <v>-1.4054054054054022E-2</v>
          </cell>
          <cell r="Q134">
            <v>524</v>
          </cell>
          <cell r="R134">
            <v>1217</v>
          </cell>
          <cell r="S134">
            <v>-693</v>
          </cell>
          <cell r="T134">
            <v>-0.56943303204601481</v>
          </cell>
        </row>
        <row r="135">
          <cell r="A135" t="str">
            <v xml:space="preserve">   PUBLIC AUTHORITY</v>
          </cell>
          <cell r="B135">
            <v>5132530.7349946229</v>
          </cell>
          <cell r="C135">
            <v>5086709</v>
          </cell>
          <cell r="D135">
            <v>45821.734994622879</v>
          </cell>
          <cell r="E135">
            <v>9.0081298133277699E-3</v>
          </cell>
          <cell r="G135">
            <v>213470</v>
          </cell>
          <cell r="H135">
            <v>217929</v>
          </cell>
          <cell r="I135">
            <v>-4459</v>
          </cell>
          <cell r="J135">
            <v>-2.0460792276383644E-2</v>
          </cell>
          <cell r="L135">
            <v>20779</v>
          </cell>
          <cell r="M135">
            <v>20784</v>
          </cell>
          <cell r="N135">
            <v>-5</v>
          </cell>
          <cell r="O135">
            <v>-2.4056966897612053E-4</v>
          </cell>
          <cell r="Q135">
            <v>10273</v>
          </cell>
          <cell r="R135">
            <v>10485</v>
          </cell>
          <cell r="S135">
            <v>-212</v>
          </cell>
          <cell r="T135">
            <v>-2.0219360991893143E-2</v>
          </cell>
        </row>
        <row r="136">
          <cell r="A136" t="str">
            <v xml:space="preserve">  TOTAL RETAIL</v>
          </cell>
          <cell r="B136">
            <v>104102651.84238258</v>
          </cell>
          <cell r="C136">
            <v>107003081</v>
          </cell>
          <cell r="D136">
            <v>-2900429.1576174065</v>
          </cell>
          <cell r="E136">
            <v>-2.7106034055387807E-2</v>
          </cell>
          <cell r="G136">
            <v>2981567.7929815827</v>
          </cell>
          <cell r="H136">
            <v>3133210</v>
          </cell>
          <cell r="I136">
            <v>-151642.2070184171</v>
          </cell>
          <cell r="J136">
            <v>-4.8398354090028239E-2</v>
          </cell>
          <cell r="L136">
            <v>1568663</v>
          </cell>
          <cell r="M136">
            <v>1563999.0704078507</v>
          </cell>
          <cell r="N136">
            <v>4663.9295921493322</v>
          </cell>
          <cell r="O136">
            <v>2.9820539413321079E-3</v>
          </cell>
          <cell r="Q136">
            <v>1901</v>
          </cell>
          <cell r="R136">
            <v>2003</v>
          </cell>
          <cell r="S136">
            <v>-102</v>
          </cell>
          <cell r="T136">
            <v>-5.092361457813277E-2</v>
          </cell>
        </row>
        <row r="137">
          <cell r="A137" t="str">
            <v xml:space="preserve">  Provision For Refund</v>
          </cell>
          <cell r="B137">
            <v>-1228530</v>
          </cell>
          <cell r="C137">
            <v>-1522498</v>
          </cell>
          <cell r="D137">
            <v>293968</v>
          </cell>
          <cell r="E137">
            <v>-0.1930826838524583</v>
          </cell>
        </row>
        <row r="139">
          <cell r="A139" t="str">
            <v xml:space="preserve">   REA</v>
          </cell>
          <cell r="B139">
            <v>6683415.1579999998</v>
          </cell>
          <cell r="C139">
            <v>7502280.9956800006</v>
          </cell>
          <cell r="D139">
            <v>-818865.83768000081</v>
          </cell>
          <cell r="E139">
            <v>-0.10914891592990505</v>
          </cell>
          <cell r="G139">
            <v>81993.383000000002</v>
          </cell>
          <cell r="H139">
            <v>113633</v>
          </cell>
          <cell r="I139">
            <v>-31639.616999999998</v>
          </cell>
          <cell r="J139">
            <v>-0.27843687133139139</v>
          </cell>
          <cell r="L139">
            <v>9</v>
          </cell>
          <cell r="M139">
            <v>5</v>
          </cell>
          <cell r="N139">
            <v>4</v>
          </cell>
          <cell r="O139">
            <v>0.8</v>
          </cell>
        </row>
        <row r="140">
          <cell r="A140" t="str">
            <v xml:space="preserve">   Oth Whol (w/Ref $ or Interchg MWh)</v>
          </cell>
          <cell r="B140">
            <v>5649468.6979999989</v>
          </cell>
          <cell r="C140">
            <v>5581815</v>
          </cell>
          <cell r="D140">
            <v>67653.697999998927</v>
          </cell>
          <cell r="E140">
            <v>1.2120376257543253E-2</v>
          </cell>
          <cell r="G140">
            <v>385239.37300000002</v>
          </cell>
          <cell r="H140">
            <v>413413</v>
          </cell>
          <cell r="I140">
            <v>-28173.626999999979</v>
          </cell>
          <cell r="J140">
            <v>-6.8148865662182811E-2</v>
          </cell>
          <cell r="L140">
            <v>21</v>
          </cell>
          <cell r="M140">
            <v>19</v>
          </cell>
          <cell r="N140">
            <v>2</v>
          </cell>
          <cell r="O140">
            <v>0.10526315789473695</v>
          </cell>
        </row>
        <row r="142">
          <cell r="A142" t="str">
            <v xml:space="preserve">      WHOLESALE (Not W/N) </v>
          </cell>
          <cell r="B142">
            <v>12332883.855999999</v>
          </cell>
          <cell r="C142">
            <v>13084095.995680001</v>
          </cell>
          <cell r="D142">
            <v>-751212.13968000188</v>
          </cell>
          <cell r="E142">
            <v>-5.7414141559954279E-2</v>
          </cell>
          <cell r="G142">
            <v>473646.75599999999</v>
          </cell>
          <cell r="H142">
            <v>527046</v>
          </cell>
          <cell r="I142">
            <v>-53399.244000000006</v>
          </cell>
          <cell r="J142">
            <v>-0.10131799501371797</v>
          </cell>
          <cell r="L142">
            <v>30</v>
          </cell>
          <cell r="M142">
            <v>24</v>
          </cell>
          <cell r="N142">
            <v>6</v>
          </cell>
          <cell r="O142">
            <v>0.25</v>
          </cell>
        </row>
        <row r="144">
          <cell r="A144" t="str">
            <v xml:space="preserve"> TOTAL SYSTEM</v>
          </cell>
          <cell r="B144">
            <v>115207005.69838259</v>
          </cell>
          <cell r="C144">
            <v>118564678.99568</v>
          </cell>
          <cell r="D144">
            <v>-3357673.2972974083</v>
          </cell>
          <cell r="E144">
            <v>-2.8319338657508242E-2</v>
          </cell>
          <cell r="G144">
            <v>3455214.5489815827</v>
          </cell>
          <cell r="H144">
            <v>3660256</v>
          </cell>
          <cell r="I144">
            <v>-205041.45101841711</v>
          </cell>
          <cell r="J144">
            <v>-5.6018336154197157E-2</v>
          </cell>
          <cell r="L144">
            <v>1568693</v>
          </cell>
          <cell r="M144">
            <v>1564023.0704078507</v>
          </cell>
          <cell r="N144">
            <v>4669.9295921493322</v>
          </cell>
          <cell r="O144">
            <v>2.9858444421357877E-3</v>
          </cell>
        </row>
        <row r="147">
          <cell r="A147" t="str">
            <v>REVENUES - SALES - CUSTOMERS - USE PER CUSTOMER   -  PERCENT VARIANCES BY CLASS   (Work sheet)</v>
          </cell>
        </row>
        <row r="148">
          <cell r="B148" t="str">
            <v>Revenue</v>
          </cell>
          <cell r="G148" t="str">
            <v>Energy</v>
          </cell>
        </row>
        <row r="149">
          <cell r="A149" t="str">
            <v>CLASS OF BUSINESS</v>
          </cell>
          <cell r="B149" t="str">
            <v>WEATHER</v>
          </cell>
          <cell r="C149" t="str">
            <v>CUSTS</v>
          </cell>
          <cell r="D149" t="str">
            <v>MISC</v>
          </cell>
          <cell r="E149" t="str">
            <v>SUM</v>
          </cell>
          <cell r="G149" t="str">
            <v>WEATHER</v>
          </cell>
          <cell r="H149" t="str">
            <v>CUSTS</v>
          </cell>
          <cell r="I149" t="str">
            <v>MISC</v>
          </cell>
          <cell r="J149" t="str">
            <v>SUM</v>
          </cell>
        </row>
        <row r="151">
          <cell r="A151" t="str">
            <v xml:space="preserve">   RESIDENTIAL</v>
          </cell>
          <cell r="B151">
            <v>-4.8227419531115534E-2</v>
          </cell>
          <cell r="C151">
            <v>3.0822102154262065E-3</v>
          </cell>
          <cell r="D151">
            <v>-9.7120351699266916E-3</v>
          </cell>
          <cell r="E151">
            <v>-6.629824954500485E-3</v>
          </cell>
          <cell r="G151">
            <v>-5.7433501774068141E-2</v>
          </cell>
          <cell r="H151">
            <v>3.0822102154262065E-3</v>
          </cell>
          <cell r="I151">
            <v>1.8862580957148545E-3</v>
          </cell>
          <cell r="J151">
            <v>4.968468311141061E-3</v>
          </cell>
        </row>
        <row r="152">
          <cell r="A152" t="str">
            <v xml:space="preserve">   COMMERCIAL</v>
          </cell>
          <cell r="B152">
            <v>-2.5955849576621004E-3</v>
          </cell>
          <cell r="C152">
            <v>3.357124415709789E-3</v>
          </cell>
          <cell r="D152">
            <v>-0.10083604331509821</v>
          </cell>
          <cell r="E152">
            <v>-9.7478918899388423E-2</v>
          </cell>
          <cell r="G152">
            <v>-2.8446599602673928E-3</v>
          </cell>
          <cell r="H152">
            <v>3.357124415709789E-3</v>
          </cell>
          <cell r="I152">
            <v>-0.11731023685745079</v>
          </cell>
          <cell r="J152">
            <v>-0.113953112441741</v>
          </cell>
        </row>
        <row r="153">
          <cell r="A153" t="str">
            <v xml:space="preserve">   INDUSTRIAL</v>
          </cell>
          <cell r="B153">
            <v>0</v>
          </cell>
          <cell r="C153">
            <v>-3.2349804479203659E-2</v>
          </cell>
          <cell r="D153">
            <v>-6.2148684536970089E-3</v>
          </cell>
          <cell r="E153">
            <v>-3.8564672932900668E-2</v>
          </cell>
          <cell r="G153">
            <v>0</v>
          </cell>
          <cell r="H153">
            <v>-3.2349804479203659E-2</v>
          </cell>
          <cell r="I153">
            <v>-0.12532117456068159</v>
          </cell>
          <cell r="J153">
            <v>-0.15767097903988525</v>
          </cell>
        </row>
        <row r="154">
          <cell r="A154" t="str">
            <v xml:space="preserve">   ST &amp; HIGHWAY</v>
          </cell>
          <cell r="B154">
            <v>0</v>
          </cell>
          <cell r="C154">
            <v>-1.4054054054054022E-2</v>
          </cell>
          <cell r="D154">
            <v>-0.64520495006555356</v>
          </cell>
          <cell r="E154">
            <v>-0.65925900411960758</v>
          </cell>
          <cell r="G154">
            <v>0</v>
          </cell>
          <cell r="H154">
            <v>-1.4054054054054022E-2</v>
          </cell>
          <cell r="I154">
            <v>-0.56154636691355642</v>
          </cell>
          <cell r="J154">
            <v>-0.57560042096761044</v>
          </cell>
        </row>
        <row r="155">
          <cell r="A155" t="str">
            <v xml:space="preserve">   PUBLIC AUTHORITY</v>
          </cell>
          <cell r="B155">
            <v>-8.4487446430127067E-3</v>
          </cell>
          <cell r="C155">
            <v>-2.4056966897612053E-4</v>
          </cell>
          <cell r="D155">
            <v>9.2486994823038904E-3</v>
          </cell>
          <cell r="E155">
            <v>9.0081298133277699E-3</v>
          </cell>
          <cell r="G155">
            <v>-8.8956256512962018E-3</v>
          </cell>
          <cell r="H155">
            <v>-2.4056966897612053E-4</v>
          </cell>
          <cell r="I155">
            <v>-2.0220222607407523E-2</v>
          </cell>
          <cell r="J155">
            <v>-2.0460792276383644E-2</v>
          </cell>
        </row>
        <row r="157">
          <cell r="A157" t="str">
            <v xml:space="preserve">       TOTAL RETAIL</v>
          </cell>
          <cell r="B157">
            <v>-3.3854375206098908E-2</v>
          </cell>
          <cell r="C157">
            <v>2.9820539413321079E-3</v>
          </cell>
          <cell r="D157">
            <v>-3.0088087996719914E-2</v>
          </cell>
          <cell r="E157">
            <v>-2.7106034055387807E-2</v>
          </cell>
          <cell r="G157">
            <v>-3.2386847029590271E-2</v>
          </cell>
          <cell r="H157">
            <v>2.9820539413321079E-3</v>
          </cell>
          <cell r="I157">
            <v>-5.1380408031360347E-2</v>
          </cell>
          <cell r="J157">
            <v>-4.8398354090028239E-2</v>
          </cell>
        </row>
        <row r="159">
          <cell r="A159" t="str">
            <v>REVENUES - SALES - CUSTOMERS - USE PER CUSTOMER   -  DOLLAR VARIANCES BY CLASS   (Work sheet)</v>
          </cell>
        </row>
        <row r="160">
          <cell r="B160" t="str">
            <v>Revenue  -- $</v>
          </cell>
          <cell r="G160" t="str">
            <v>Energy --  MWh</v>
          </cell>
        </row>
        <row r="161">
          <cell r="A161" t="str">
            <v>CLASS OF BUSINESS</v>
          </cell>
          <cell r="B161" t="str">
            <v>WEATHER</v>
          </cell>
          <cell r="C161" t="str">
            <v>CUSTS</v>
          </cell>
          <cell r="D161" t="str">
            <v>MISC</v>
          </cell>
          <cell r="E161" t="str">
            <v>SUM</v>
          </cell>
          <cell r="G161" t="str">
            <v>WEATHER</v>
          </cell>
          <cell r="H161" t="str">
            <v>CUSTS</v>
          </cell>
          <cell r="I161" t="str">
            <v>MISC</v>
          </cell>
          <cell r="J161" t="str">
            <v>SUM</v>
          </cell>
        </row>
        <row r="163">
          <cell r="A163" t="str">
            <v xml:space="preserve">   RESIDENTIAL</v>
          </cell>
          <cell r="B163">
            <v>-3520845.4636045843</v>
          </cell>
          <cell r="C163">
            <v>225016.92938096263</v>
          </cell>
          <cell r="D163">
            <v>-709027.67145446874</v>
          </cell>
          <cell r="E163">
            <v>-4004856.2056780905</v>
          </cell>
          <cell r="G163">
            <v>-97019.715172349941</v>
          </cell>
          <cell r="H163">
            <v>5206.6328530393839</v>
          </cell>
          <cell r="I163">
            <v>3186.3671469606165</v>
          </cell>
          <cell r="J163">
            <v>-88626.715172349941</v>
          </cell>
        </row>
        <row r="164">
          <cell r="A164" t="str">
            <v xml:space="preserve">   COMMERCIAL</v>
          </cell>
          <cell r="B164">
            <v>-58407.106384847313</v>
          </cell>
          <cell r="C164">
            <v>75543.635093394463</v>
          </cell>
          <cell r="D164">
            <v>-2269061.3504852611</v>
          </cell>
          <cell r="E164">
            <v>-2251924.8217767137</v>
          </cell>
          <cell r="G164">
            <v>-2516.4630066715181</v>
          </cell>
          <cell r="H164">
            <v>2969.8029004961031</v>
          </cell>
          <cell r="I164">
            <v>-103775.8029004961</v>
          </cell>
          <cell r="J164">
            <v>-103322.46300667152</v>
          </cell>
        </row>
        <row r="165">
          <cell r="A165" t="str">
            <v xml:space="preserve">   INDUSTRIAL</v>
          </cell>
          <cell r="B165">
            <v>0</v>
          </cell>
          <cell r="C165">
            <v>-206200.40348382475</v>
          </cell>
          <cell r="D165">
            <v>-39614.099787683277</v>
          </cell>
          <cell r="E165">
            <v>-245814.50327150803</v>
          </cell>
          <cell r="G165">
            <v>0</v>
          </cell>
          <cell r="H165">
            <v>-10971.403839317441</v>
          </cell>
          <cell r="I165">
            <v>-42502.551031080598</v>
          </cell>
          <cell r="J165">
            <v>-53473.95487039804</v>
          </cell>
        </row>
        <row r="166">
          <cell r="A166" t="str">
            <v xml:space="preserve">   ST &amp; HIGHWAY</v>
          </cell>
          <cell r="B166">
            <v>0</v>
          </cell>
          <cell r="C166">
            <v>-488.35027027026916</v>
          </cell>
          <cell r="D166">
            <v>-22419.581604877858</v>
          </cell>
          <cell r="E166">
            <v>-22907.931875148126</v>
          </cell>
          <cell r="G166">
            <v>0</v>
          </cell>
          <cell r="H166">
            <v>-31.649729729729657</v>
          </cell>
          <cell r="I166">
            <v>-1264.6024182893291</v>
          </cell>
          <cell r="J166">
            <v>-1296.2521480190587</v>
          </cell>
        </row>
        <row r="167">
          <cell r="A167" t="str">
            <v xml:space="preserve">   PUBLIC AUTHORITY</v>
          </cell>
          <cell r="B167">
            <v>-43269.882393169217</v>
          </cell>
          <cell r="C167">
            <v>-1223.7079003078582</v>
          </cell>
          <cell r="D167">
            <v>47045.442894930733</v>
          </cell>
          <cell r="E167">
            <v>2551.8526014536546</v>
          </cell>
          <cell r="G167">
            <v>-1938.6148025613511</v>
          </cell>
          <cell r="H167">
            <v>-52.427107390296847</v>
          </cell>
          <cell r="I167">
            <v>-4406.5728926097036</v>
          </cell>
          <cell r="J167">
            <v>-6397.6148025613511</v>
          </cell>
        </row>
        <row r="168">
          <cell r="A168" t="str">
            <v xml:space="preserve">    TOTAL RETAIL   (Pre Tax)</v>
          </cell>
          <cell r="B168">
            <v>-3622522.4523826009</v>
          </cell>
          <cell r="C168">
            <v>92648.102819954191</v>
          </cell>
          <cell r="D168">
            <v>-2993077.26043736</v>
          </cell>
          <cell r="E168">
            <v>-6522951.6100000069</v>
          </cell>
          <cell r="G168">
            <v>-101474.79298158281</v>
          </cell>
          <cell r="H168">
            <v>-2879.0449229019814</v>
          </cell>
          <cell r="I168">
            <v>-148763.16209551509</v>
          </cell>
          <cell r="J168">
            <v>-253116.99999999988</v>
          </cell>
        </row>
        <row r="169">
          <cell r="A169" t="str">
            <v xml:space="preserve">           Provision For Refund</v>
          </cell>
          <cell r="D169">
            <v>293968</v>
          </cell>
          <cell r="E169">
            <v>293968</v>
          </cell>
        </row>
        <row r="170">
          <cell r="A170" t="str">
            <v>Variance with Prov for Refund</v>
          </cell>
          <cell r="D170">
            <v>-2699109.26043736</v>
          </cell>
          <cell r="E170">
            <v>-6228983.6100000069</v>
          </cell>
        </row>
        <row r="171">
          <cell r="A171" t="str">
            <v>Notes:</v>
          </cell>
          <cell r="B171" t="str">
            <v xml:space="preserve">Weather conditions were milder than normal (-$3.6 million) amounted to more than half of January's -$6.5 mill unfavorable retail variance (ex refund).  Customer growth was as expected (+$0.1 mill) but an unfavorable Miscellaneous variance of  -$3.0 mill. </v>
          </cell>
        </row>
        <row r="174">
          <cell r="A174" t="str">
            <v>JANUARY 2005   VS.  JANUARY BUDGET  -  BILLING MONTH BASIS</v>
          </cell>
        </row>
        <row r="176">
          <cell r="B176" t="str">
            <v>WEATHER NORMALIZED</v>
          </cell>
          <cell r="G176" t="str">
            <v>WEATHER NORMALIZED</v>
          </cell>
          <cell r="L176" t="str">
            <v>NUMBER OF CUSTOMERS</v>
          </cell>
          <cell r="Q176" t="str">
            <v>WEATHER &amp; CUSTOMER NORMALIZED</v>
          </cell>
        </row>
        <row r="177">
          <cell r="B177" t="str">
            <v>BILLED BASE REVENUES</v>
          </cell>
          <cell r="G177" t="str">
            <v>BILLED  MWH SALES</v>
          </cell>
          <cell r="L177" t="str">
            <v>Adj. for Event-Driven Billing</v>
          </cell>
          <cell r="Q177" t="str">
            <v>BILLED KWH SALES PER CUSTOMER</v>
          </cell>
        </row>
        <row r="179">
          <cell r="A179" t="str">
            <v>CLASS OF BUSINESS</v>
          </cell>
          <cell r="B179" t="str">
            <v>Jan'05 Actual</v>
          </cell>
          <cell r="C179" t="str">
            <v>Forecast</v>
          </cell>
          <cell r="D179" t="str">
            <v>DIFF</v>
          </cell>
          <cell r="E179" t="str">
            <v>% DIFF</v>
          </cell>
          <cell r="G179" t="str">
            <v>Jan'05 Actual</v>
          </cell>
          <cell r="H179" t="str">
            <v>Forecast</v>
          </cell>
          <cell r="I179" t="str">
            <v>DIFF</v>
          </cell>
          <cell r="J179" t="str">
            <v>% DIFF</v>
          </cell>
          <cell r="L179" t="str">
            <v>Jan'05 Actual</v>
          </cell>
          <cell r="M179" t="str">
            <v>Forecast</v>
          </cell>
          <cell r="N179" t="str">
            <v>DIFF</v>
          </cell>
          <cell r="O179" t="str">
            <v>% DIFF</v>
          </cell>
          <cell r="Q179" t="str">
            <v>Jan'05 Actual</v>
          </cell>
          <cell r="R179" t="str">
            <v>Forecast</v>
          </cell>
          <cell r="S179" t="str">
            <v>DIFF</v>
          </cell>
          <cell r="T179" t="str">
            <v>% DIFF</v>
          </cell>
        </row>
        <row r="181">
          <cell r="A181" t="str">
            <v xml:space="preserve">   RESIDENTIAL</v>
          </cell>
          <cell r="B181">
            <v>68472996.510000005</v>
          </cell>
          <cell r="C181">
            <v>68888929.939067394</v>
          </cell>
          <cell r="D181">
            <v>-415933.42906738818</v>
          </cell>
          <cell r="E181">
            <v>-6.0377397273448929E-3</v>
          </cell>
          <cell r="G181">
            <v>1584365</v>
          </cell>
          <cell r="H181">
            <v>1589235</v>
          </cell>
          <cell r="I181">
            <v>-4870</v>
          </cell>
          <cell r="J181">
            <v>-3.0643674472309312E-3</v>
          </cell>
          <cell r="L181">
            <v>1383522</v>
          </cell>
          <cell r="M181">
            <v>1379270.7974582352</v>
          </cell>
          <cell r="N181">
            <v>4251.2025417648256</v>
          </cell>
          <cell r="O181">
            <v>3.0822102154262065E-3</v>
          </cell>
          <cell r="Q181">
            <v>1145</v>
          </cell>
          <cell r="R181">
            <v>1152</v>
          </cell>
          <cell r="S181">
            <v>-7</v>
          </cell>
          <cell r="T181">
            <v>-6.0763888888888395E-3</v>
          </cell>
        </row>
        <row r="182">
          <cell r="A182" t="str">
            <v xml:space="preserve">   COMMERCIAL</v>
          </cell>
          <cell r="B182">
            <v>22520578.039999988</v>
          </cell>
          <cell r="C182">
            <v>23102541.266258739</v>
          </cell>
          <cell r="D182">
            <v>-581963.226258751</v>
          </cell>
          <cell r="E182">
            <v>-2.5190442018978576E-2</v>
          </cell>
          <cell r="G182">
            <v>895887</v>
          </cell>
          <cell r="H182">
            <v>910169</v>
          </cell>
          <cell r="I182">
            <v>-14282</v>
          </cell>
          <cell r="J182">
            <v>-1.5691591341827738E-2</v>
          </cell>
          <cell r="L182">
            <v>159816</v>
          </cell>
          <cell r="M182">
            <v>159281.27294961549</v>
          </cell>
          <cell r="N182">
            <v>534.72705038450658</v>
          </cell>
          <cell r="O182">
            <v>3.357124415709789E-3</v>
          </cell>
          <cell r="Q182">
            <v>5606</v>
          </cell>
          <cell r="R182">
            <v>5714</v>
          </cell>
          <cell r="S182">
            <v>-108</v>
          </cell>
          <cell r="T182">
            <v>-1.8900945047252371E-2</v>
          </cell>
        </row>
        <row r="183">
          <cell r="A183" t="str">
            <v xml:space="preserve">   INDUSTRIAL</v>
          </cell>
          <cell r="B183">
            <v>6509793.6399999987</v>
          </cell>
          <cell r="C183">
            <v>6528166.2334330156</v>
          </cell>
          <cell r="D183">
            <v>-18372.593433016911</v>
          </cell>
          <cell r="E183">
            <v>-2.8143574743737521E-3</v>
          </cell>
          <cell r="G183">
            <v>325587.50300000003</v>
          </cell>
          <cell r="H183">
            <v>347381</v>
          </cell>
          <cell r="I183">
            <v>-21793.496999999974</v>
          </cell>
          <cell r="J183">
            <v>-6.2736583175245553E-2</v>
          </cell>
          <cell r="L183">
            <v>2722</v>
          </cell>
          <cell r="M183">
            <v>2813</v>
          </cell>
          <cell r="N183">
            <v>-91</v>
          </cell>
          <cell r="O183">
            <v>-3.2349804479203659E-2</v>
          </cell>
          <cell r="Q183">
            <v>119613</v>
          </cell>
          <cell r="R183">
            <v>123491</v>
          </cell>
          <cell r="S183">
            <v>-3878</v>
          </cell>
          <cell r="T183">
            <v>-3.1403098201488344E-2</v>
          </cell>
        </row>
        <row r="184">
          <cell r="A184" t="str">
            <v xml:space="preserve">   ST &amp; HIGHWAY</v>
          </cell>
          <cell r="B184">
            <v>25665.31</v>
          </cell>
          <cell r="C184">
            <v>36105.907014872362</v>
          </cell>
          <cell r="D184">
            <v>-10440.597014872361</v>
          </cell>
          <cell r="E184">
            <v>-0.28916589771783829</v>
          </cell>
          <cell r="G184">
            <v>1620.037</v>
          </cell>
          <cell r="H184">
            <v>2340</v>
          </cell>
          <cell r="I184">
            <v>-719.96299999999997</v>
          </cell>
          <cell r="J184">
            <v>-0.30767649572649569</v>
          </cell>
          <cell r="L184">
            <v>1824</v>
          </cell>
          <cell r="M184">
            <v>1850</v>
          </cell>
          <cell r="N184">
            <v>-26</v>
          </cell>
          <cell r="O184">
            <v>-1.4054054054054022E-2</v>
          </cell>
          <cell r="Q184">
            <v>888</v>
          </cell>
          <cell r="R184">
            <v>1265</v>
          </cell>
          <cell r="S184">
            <v>-377</v>
          </cell>
          <cell r="T184">
            <v>-0.29802371541501971</v>
          </cell>
        </row>
        <row r="185">
          <cell r="A185" t="str">
            <v xml:space="preserve">   PUBLIC AUTHORITY</v>
          </cell>
          <cell r="B185">
            <v>5585806.2699999996</v>
          </cell>
          <cell r="C185">
            <v>5402883.5058557689</v>
          </cell>
          <cell r="D185">
            <v>182922.76414423063</v>
          </cell>
          <cell r="E185">
            <v>3.3856507168065875E-2</v>
          </cell>
          <cell r="G185">
            <v>240836</v>
          </cell>
          <cell r="H185">
            <v>232057</v>
          </cell>
          <cell r="I185">
            <v>8779</v>
          </cell>
          <cell r="J185">
            <v>3.7831222501368167E-2</v>
          </cell>
          <cell r="L185">
            <v>20779</v>
          </cell>
          <cell r="M185">
            <v>20784</v>
          </cell>
          <cell r="N185">
            <v>-5</v>
          </cell>
          <cell r="O185">
            <v>-2.4056966897612053E-4</v>
          </cell>
          <cell r="Q185">
            <v>11590</v>
          </cell>
          <cell r="R185">
            <v>11165</v>
          </cell>
          <cell r="S185">
            <v>425</v>
          </cell>
          <cell r="T185">
            <v>3.8065382892969124E-2</v>
          </cell>
        </row>
        <row r="186">
          <cell r="A186" t="str">
            <v xml:space="preserve">      TOTAL RETAIL</v>
          </cell>
          <cell r="B186">
            <v>103114839.77</v>
          </cell>
          <cell r="C186">
            <v>103958626.85162979</v>
          </cell>
          <cell r="D186">
            <v>-843787.08162979782</v>
          </cell>
          <cell r="E186">
            <v>-8.1165662454742993E-3</v>
          </cell>
          <cell r="G186">
            <v>3048295.54</v>
          </cell>
          <cell r="H186">
            <v>3081182</v>
          </cell>
          <cell r="I186">
            <v>-32886.459999999963</v>
          </cell>
          <cell r="J186">
            <v>-1.0673326015795181E-2</v>
          </cell>
          <cell r="L186">
            <v>1568663</v>
          </cell>
          <cell r="M186">
            <v>1563999.0704078507</v>
          </cell>
          <cell r="N186">
            <v>4663.9295921493322</v>
          </cell>
          <cell r="O186">
            <v>2.9820539413321079E-3</v>
          </cell>
          <cell r="Q186">
            <v>1943</v>
          </cell>
          <cell r="R186">
            <v>1970</v>
          </cell>
          <cell r="S186">
            <v>-27</v>
          </cell>
          <cell r="T186">
            <v>-1.370558375634523E-2</v>
          </cell>
        </row>
        <row r="187">
          <cell r="A187" t="str">
            <v xml:space="preserve">  Provision For Refund</v>
          </cell>
          <cell r="B187">
            <v>-1228530</v>
          </cell>
          <cell r="C187">
            <v>-1522498</v>
          </cell>
          <cell r="D187">
            <v>293968</v>
          </cell>
          <cell r="E187">
            <v>-0.1930826838524583</v>
          </cell>
        </row>
        <row r="189">
          <cell r="A189" t="str">
            <v xml:space="preserve">   REA</v>
          </cell>
          <cell r="B189">
            <v>1638841.9380000003</v>
          </cell>
          <cell r="C189">
            <v>2188365.01588351</v>
          </cell>
          <cell r="D189">
            <v>-549523.07788350969</v>
          </cell>
          <cell r="E189">
            <v>-0.25111125150282587</v>
          </cell>
          <cell r="G189">
            <v>81993.383000000002</v>
          </cell>
          <cell r="H189">
            <v>96821.386369031243</v>
          </cell>
          <cell r="I189">
            <v>-14828.003369031241</v>
          </cell>
          <cell r="J189">
            <v>-0.15314801744848849</v>
          </cell>
          <cell r="L189">
            <v>9</v>
          </cell>
          <cell r="M189">
            <v>5</v>
          </cell>
          <cell r="N189">
            <v>4</v>
          </cell>
          <cell r="O189">
            <v>0.8</v>
          </cell>
        </row>
        <row r="190">
          <cell r="A190" t="str">
            <v xml:space="preserve">   Oth Whol (w/Ref $ or Interchg MWh)</v>
          </cell>
          <cell r="B190">
            <v>6075308.9179999996</v>
          </cell>
          <cell r="C190">
            <v>5108096.7368185446</v>
          </cell>
          <cell r="D190">
            <v>967212.18118145503</v>
          </cell>
          <cell r="E190">
            <v>0.1893488379360373</v>
          </cell>
          <cell r="G190">
            <v>385239.37300000002</v>
          </cell>
          <cell r="H190">
            <v>276517.98008309136</v>
          </cell>
          <cell r="I190">
            <v>108721.39291690866</v>
          </cell>
          <cell r="J190">
            <v>0.39318019350582123</v>
          </cell>
          <cell r="L190">
            <v>21</v>
          </cell>
          <cell r="M190">
            <v>19</v>
          </cell>
          <cell r="N190">
            <v>2</v>
          </cell>
          <cell r="O190">
            <v>0.10526315789473695</v>
          </cell>
        </row>
        <row r="192">
          <cell r="A192" t="str">
            <v xml:space="preserve">     WHOLESALE (Not W/N)</v>
          </cell>
          <cell r="B192">
            <v>7714150.8559999997</v>
          </cell>
          <cell r="C192">
            <v>7296461.7527020546</v>
          </cell>
          <cell r="D192">
            <v>417689.10329794511</v>
          </cell>
          <cell r="E192">
            <v>5.7245431752350973E-2</v>
          </cell>
          <cell r="G192">
            <v>467232.75600000005</v>
          </cell>
          <cell r="H192">
            <v>373339.36645212257</v>
          </cell>
          <cell r="I192">
            <v>93893.389547877479</v>
          </cell>
          <cell r="J192">
            <v>0.25149608636280374</v>
          </cell>
          <cell r="L192">
            <v>30</v>
          </cell>
          <cell r="M192">
            <v>24</v>
          </cell>
          <cell r="N192">
            <v>6</v>
          </cell>
          <cell r="O192">
            <v>0.25</v>
          </cell>
        </row>
        <row r="194">
          <cell r="A194" t="str">
            <v xml:space="preserve"> TOTAL SYSTEM</v>
          </cell>
          <cell r="B194">
            <v>109600460.626</v>
          </cell>
          <cell r="C194">
            <v>109732590.60433185</v>
          </cell>
          <cell r="D194">
            <v>-132129.9783318527</v>
          </cell>
          <cell r="E194">
            <v>-1.2041088030836367E-3</v>
          </cell>
          <cell r="G194">
            <v>3515528.2960000001</v>
          </cell>
          <cell r="H194">
            <v>3454521.3664521226</v>
          </cell>
          <cell r="I194">
            <v>61006.929547877517</v>
          </cell>
          <cell r="J194">
            <v>1.766002379963072E-2</v>
          </cell>
          <cell r="L194">
            <v>1568693</v>
          </cell>
          <cell r="M194">
            <v>1564023.0704078507</v>
          </cell>
          <cell r="N194">
            <v>4669.9295921493322</v>
          </cell>
          <cell r="O194">
            <v>2.9858444421357877E-3</v>
          </cell>
        </row>
      </sheetData>
      <sheetData sheetId="1" refreshError="1">
        <row r="1">
          <cell r="A1" t="str">
            <v>2004   VS.  2005</v>
          </cell>
        </row>
        <row r="2">
          <cell r="A2" t="str">
            <v>REVENUES - SALES - CUSTOMERS - USE PER CUSTOMER</v>
          </cell>
        </row>
        <row r="4">
          <cell r="A4" t="str">
            <v>FEBRUARY 2005</v>
          </cell>
        </row>
        <row r="6">
          <cell r="B6" t="str">
            <v>BASE REVENUES $</v>
          </cell>
          <cell r="G6" t="str">
            <v>BILLED &amp; UNBILLED MWH SALES</v>
          </cell>
          <cell r="L6" t="str">
            <v>NUMBER OF CUSTOMERS</v>
          </cell>
          <cell r="Q6" t="str">
            <v>KWH SALES PER CUSTOMER</v>
          </cell>
        </row>
        <row r="8">
          <cell r="A8" t="str">
            <v>CLASS OF BUSINESS</v>
          </cell>
          <cell r="B8" t="str">
            <v>FEB'05 Actual</v>
          </cell>
          <cell r="C8" t="str">
            <v>FEB'04 Actual</v>
          </cell>
          <cell r="D8" t="str">
            <v>DIFF</v>
          </cell>
          <cell r="E8" t="str">
            <v>% DIFF</v>
          </cell>
          <cell r="G8" t="str">
            <v>FEB'05 Actual</v>
          </cell>
          <cell r="H8" t="str">
            <v>FEB'04 Actual</v>
          </cell>
          <cell r="I8" t="str">
            <v>DIFF</v>
          </cell>
          <cell r="J8" t="str">
            <v>% DIFF</v>
          </cell>
          <cell r="L8" t="str">
            <v>FEB'05 Actual</v>
          </cell>
          <cell r="M8" t="str">
            <v>FEB'04 Actual</v>
          </cell>
          <cell r="N8" t="str">
            <v>DIFF</v>
          </cell>
          <cell r="O8" t="str">
            <v>% DIFF</v>
          </cell>
          <cell r="Q8" t="str">
            <v>FEB'05 Actual</v>
          </cell>
          <cell r="R8" t="str">
            <v>FEB'04 Actual</v>
          </cell>
          <cell r="S8" t="str">
            <v>DIFF</v>
          </cell>
          <cell r="T8" t="str">
            <v>% DIFF</v>
          </cell>
        </row>
        <row r="10">
          <cell r="A10" t="str">
            <v xml:space="preserve">   RESIDENTIAL</v>
          </cell>
          <cell r="B10">
            <v>62284428.49000001</v>
          </cell>
          <cell r="C10">
            <v>60195697.279999994</v>
          </cell>
          <cell r="D10">
            <v>2088731.2100000158</v>
          </cell>
          <cell r="E10">
            <v>3.4699011796213375E-2</v>
          </cell>
          <cell r="G10">
            <v>1433653.7579999999</v>
          </cell>
          <cell r="H10">
            <v>1386066.2139999999</v>
          </cell>
          <cell r="I10">
            <v>47587.543999999994</v>
          </cell>
          <cell r="J10">
            <v>3.4332807133844456E-2</v>
          </cell>
          <cell r="L10">
            <v>1375169</v>
          </cell>
          <cell r="M10">
            <v>1316798</v>
          </cell>
          <cell r="N10">
            <v>58371</v>
          </cell>
          <cell r="O10">
            <v>4.4327983487216782E-2</v>
          </cell>
          <cell r="Q10">
            <v>1043</v>
          </cell>
          <cell r="R10">
            <v>1053</v>
          </cell>
          <cell r="S10">
            <v>-10</v>
          </cell>
          <cell r="T10">
            <v>-9.4966761633428209E-3</v>
          </cell>
        </row>
        <row r="11">
          <cell r="A11" t="str">
            <v xml:space="preserve">   COMMERCIAL</v>
          </cell>
          <cell r="B11">
            <v>21909629.299999997</v>
          </cell>
          <cell r="C11">
            <v>20295416.57</v>
          </cell>
          <cell r="D11">
            <v>1614212.7299999967</v>
          </cell>
          <cell r="E11">
            <v>7.9535826447931779E-2</v>
          </cell>
          <cell r="G11">
            <v>839111.86699999997</v>
          </cell>
          <cell r="H11">
            <v>760461.50300000003</v>
          </cell>
          <cell r="I11">
            <v>78650.363999999943</v>
          </cell>
          <cell r="J11">
            <v>0.10342451746699388</v>
          </cell>
          <cell r="L11">
            <v>159643</v>
          </cell>
          <cell r="M11">
            <v>151880</v>
          </cell>
          <cell r="N11">
            <v>7763</v>
          </cell>
          <cell r="O11">
            <v>5.1112720568870174E-2</v>
          </cell>
          <cell r="Q11">
            <v>5256</v>
          </cell>
          <cell r="R11">
            <v>5007</v>
          </cell>
          <cell r="S11">
            <v>249</v>
          </cell>
          <cell r="T11">
            <v>4.9730377471539855E-2</v>
          </cell>
        </row>
        <row r="12">
          <cell r="A12" t="str">
            <v xml:space="preserve">   INDUSTRIAL</v>
          </cell>
          <cell r="B12">
            <v>5253522.3199999994</v>
          </cell>
          <cell r="C12">
            <v>5761154.6900000032</v>
          </cell>
          <cell r="D12">
            <v>-507632.37000000384</v>
          </cell>
          <cell r="E12">
            <v>-8.8112956050482971E-2</v>
          </cell>
          <cell r="G12">
            <v>312423.88299999997</v>
          </cell>
          <cell r="H12">
            <v>301960.11099999998</v>
          </cell>
          <cell r="I12">
            <v>10463.771999999997</v>
          </cell>
          <cell r="J12">
            <v>3.4652828697628868E-2</v>
          </cell>
          <cell r="L12">
            <v>2716</v>
          </cell>
          <cell r="M12">
            <v>2642</v>
          </cell>
          <cell r="N12">
            <v>74</v>
          </cell>
          <cell r="O12">
            <v>2.8009084027251996E-2</v>
          </cell>
          <cell r="Q12">
            <v>115031</v>
          </cell>
          <cell r="R12">
            <v>114292</v>
          </cell>
          <cell r="S12">
            <v>739</v>
          </cell>
          <cell r="T12">
            <v>6.4658943758093557E-3</v>
          </cell>
        </row>
        <row r="13">
          <cell r="A13" t="str">
            <v xml:space="preserve">   ST &amp; HIGHWAY</v>
          </cell>
          <cell r="B13">
            <v>45379.98</v>
          </cell>
          <cell r="C13">
            <v>33167.480000000003</v>
          </cell>
          <cell r="D13">
            <v>12212.5</v>
          </cell>
          <cell r="E13">
            <v>0.36820705100297024</v>
          </cell>
          <cell r="G13">
            <v>2981.4659999999999</v>
          </cell>
          <cell r="H13">
            <v>2179.7249999999999</v>
          </cell>
          <cell r="I13">
            <v>801.74099999999999</v>
          </cell>
          <cell r="J13">
            <v>0.36781749991398005</v>
          </cell>
          <cell r="L13">
            <v>1826</v>
          </cell>
          <cell r="M13">
            <v>1881</v>
          </cell>
          <cell r="N13">
            <v>-55</v>
          </cell>
          <cell r="O13">
            <v>-2.9239766081871399E-2</v>
          </cell>
          <cell r="Q13">
            <v>1633</v>
          </cell>
          <cell r="R13">
            <v>1159</v>
          </cell>
          <cell r="S13">
            <v>474</v>
          </cell>
          <cell r="T13">
            <v>0.40897325280414143</v>
          </cell>
        </row>
        <row r="14">
          <cell r="A14" t="str">
            <v xml:space="preserve">   PUBLIC AUTHORITY</v>
          </cell>
          <cell r="B14">
            <v>5443533.4699999988</v>
          </cell>
          <cell r="C14">
            <v>5232850.9999999991</v>
          </cell>
          <cell r="D14">
            <v>210682.46999999974</v>
          </cell>
          <cell r="E14">
            <v>4.0261507541491159E-2</v>
          </cell>
          <cell r="G14">
            <v>229323.58499999999</v>
          </cell>
          <cell r="H14">
            <v>218718.16699999999</v>
          </cell>
          <cell r="I14">
            <v>10605.418000000005</v>
          </cell>
          <cell r="J14">
            <v>4.848896708246464E-2</v>
          </cell>
          <cell r="L14">
            <v>20727</v>
          </cell>
          <cell r="M14">
            <v>19778</v>
          </cell>
          <cell r="N14">
            <v>949</v>
          </cell>
          <cell r="O14">
            <v>4.7982606937000627E-2</v>
          </cell>
          <cell r="Q14">
            <v>11064</v>
          </cell>
          <cell r="R14">
            <v>11059</v>
          </cell>
          <cell r="S14">
            <v>5</v>
          </cell>
          <cell r="T14">
            <v>4.5212044488662784E-4</v>
          </cell>
        </row>
        <row r="15">
          <cell r="A15" t="str">
            <v xml:space="preserve">  TOTAL RETAIL BILLED</v>
          </cell>
          <cell r="B15">
            <v>94936493.560000002</v>
          </cell>
          <cell r="C15">
            <v>91518287.019999996</v>
          </cell>
          <cell r="D15">
            <v>3418206.5400000084</v>
          </cell>
          <cell r="E15">
            <v>3.7349983826216127E-2</v>
          </cell>
          <cell r="G15">
            <v>2817494.5589999999</v>
          </cell>
          <cell r="H15">
            <v>2669385.7200000002</v>
          </cell>
          <cell r="I15">
            <v>148108.83899999995</v>
          </cell>
          <cell r="J15">
            <v>5.5484240396700635E-2</v>
          </cell>
          <cell r="L15">
            <v>1560081</v>
          </cell>
          <cell r="M15">
            <v>1492979</v>
          </cell>
          <cell r="N15">
            <v>67102</v>
          </cell>
          <cell r="O15">
            <v>4.4945039414486132E-2</v>
          </cell>
          <cell r="Q15">
            <v>1806</v>
          </cell>
          <cell r="R15">
            <v>1788</v>
          </cell>
          <cell r="S15">
            <v>18</v>
          </cell>
          <cell r="T15">
            <v>1.0067114093959662E-2</v>
          </cell>
        </row>
        <row r="16">
          <cell r="A16" t="str">
            <v xml:space="preserve">  Provision For Refund</v>
          </cell>
          <cell r="B16">
            <v>-102567</v>
          </cell>
          <cell r="C16">
            <v>-1126075</v>
          </cell>
          <cell r="D16">
            <v>1023508</v>
          </cell>
          <cell r="E16">
            <v>-0.90891636880314364</v>
          </cell>
        </row>
        <row r="18">
          <cell r="A18" t="str">
            <v xml:space="preserve">   REA</v>
          </cell>
          <cell r="B18">
            <v>4292877.5855</v>
          </cell>
          <cell r="C18">
            <v>4212920.6574999988</v>
          </cell>
          <cell r="D18">
            <v>79956.928000001237</v>
          </cell>
          <cell r="E18">
            <v>1.8978977887385229E-2</v>
          </cell>
          <cell r="G18">
            <v>86560.404999999999</v>
          </cell>
          <cell r="H18">
            <v>46188.661999999997</v>
          </cell>
          <cell r="I18">
            <v>40371.743000000002</v>
          </cell>
          <cell r="J18">
            <v>0.87406175567501831</v>
          </cell>
          <cell r="L18">
            <v>6</v>
          </cell>
          <cell r="M18">
            <v>4</v>
          </cell>
          <cell r="N18">
            <v>2</v>
          </cell>
          <cell r="O18">
            <v>0.5</v>
          </cell>
          <cell r="Q18">
            <v>14426734</v>
          </cell>
          <cell r="R18">
            <v>11547166</v>
          </cell>
          <cell r="S18">
            <v>2879568</v>
          </cell>
          <cell r="T18">
            <v>0.24937443525103919</v>
          </cell>
        </row>
        <row r="19">
          <cell r="A19" t="str">
            <v xml:space="preserve">   Oth Whol (w/Ref $ or Interchg MWh)</v>
          </cell>
          <cell r="B19">
            <v>5707970.4704999998</v>
          </cell>
          <cell r="C19">
            <v>4728979.6459999997</v>
          </cell>
          <cell r="D19">
            <v>978990.8245000001</v>
          </cell>
          <cell r="E19">
            <v>0.2070194625024615</v>
          </cell>
          <cell r="G19">
            <v>325555.147</v>
          </cell>
          <cell r="H19">
            <v>353535.75699999998</v>
          </cell>
          <cell r="I19">
            <v>-27980.609999999986</v>
          </cell>
          <cell r="J19">
            <v>-7.9145063677392047E-2</v>
          </cell>
          <cell r="L19">
            <v>19</v>
          </cell>
          <cell r="M19">
            <v>17</v>
          </cell>
          <cell r="N19">
            <v>2</v>
          </cell>
          <cell r="O19">
            <v>0.11764705882352944</v>
          </cell>
          <cell r="Q19">
            <v>17134481</v>
          </cell>
          <cell r="R19">
            <v>20796221</v>
          </cell>
          <cell r="S19">
            <v>-3661740</v>
          </cell>
          <cell r="T19">
            <v>-0.17607718248425996</v>
          </cell>
        </row>
        <row r="21">
          <cell r="A21" t="str">
            <v xml:space="preserve"> TOTAL WHOLESALE  BILLED</v>
          </cell>
          <cell r="B21">
            <v>10000848.056</v>
          </cell>
          <cell r="C21">
            <v>8941900.3034999985</v>
          </cell>
          <cell r="D21">
            <v>1058947.7525000013</v>
          </cell>
          <cell r="E21">
            <v>0.11842535887875116</v>
          </cell>
          <cell r="G21">
            <v>412115.55200000003</v>
          </cell>
          <cell r="H21">
            <v>399724.41899999999</v>
          </cell>
          <cell r="I21">
            <v>12391.133000000016</v>
          </cell>
          <cell r="J21">
            <v>3.0999189469082866E-2</v>
          </cell>
          <cell r="L21">
            <v>25</v>
          </cell>
          <cell r="M21">
            <v>21</v>
          </cell>
          <cell r="N21">
            <v>4</v>
          </cell>
          <cell r="O21">
            <v>0.19047619047619047</v>
          </cell>
          <cell r="Q21">
            <v>16484622</v>
          </cell>
          <cell r="R21">
            <v>19034496</v>
          </cell>
          <cell r="S21">
            <v>-2549874</v>
          </cell>
          <cell r="T21">
            <v>-0.13396067854909322</v>
          </cell>
        </row>
        <row r="23">
          <cell r="A23" t="str">
            <v xml:space="preserve"> TOTAL SYSTEM BILLED</v>
          </cell>
          <cell r="B23">
            <v>104834774.616</v>
          </cell>
          <cell r="C23">
            <v>99334112.323499992</v>
          </cell>
          <cell r="D23">
            <v>5500662.2925000098</v>
          </cell>
          <cell r="E23">
            <v>5.5375360627234249E-2</v>
          </cell>
          <cell r="G23">
            <v>3229610.111</v>
          </cell>
          <cell r="H23">
            <v>3069110.1390000004</v>
          </cell>
          <cell r="I23">
            <v>160499.97199999995</v>
          </cell>
          <cell r="J23">
            <v>5.2295279325588195E-2</v>
          </cell>
          <cell r="L23">
            <v>1560106</v>
          </cell>
          <cell r="M23">
            <v>1493000</v>
          </cell>
          <cell r="N23">
            <v>67106</v>
          </cell>
          <cell r="O23">
            <v>4.4947086403215097E-2</v>
          </cell>
          <cell r="Q23">
            <v>2070</v>
          </cell>
          <cell r="R23">
            <v>2056</v>
          </cell>
          <cell r="S23">
            <v>14</v>
          </cell>
          <cell r="T23">
            <v>6.809338521400754E-3</v>
          </cell>
        </row>
        <row r="25">
          <cell r="A25" t="str">
            <v xml:space="preserve">     Retail Unbilled (Change)</v>
          </cell>
          <cell r="B25">
            <v>-9894516</v>
          </cell>
          <cell r="C25">
            <v>-1624479</v>
          </cell>
          <cell r="D25">
            <v>-8270037</v>
          </cell>
          <cell r="E25" t="str">
            <v>N/A</v>
          </cell>
          <cell r="G25">
            <v>-308423</v>
          </cell>
          <cell r="H25">
            <v>-67694</v>
          </cell>
          <cell r="I25">
            <v>-240729</v>
          </cell>
          <cell r="J25" t="str">
            <v>N/A</v>
          </cell>
        </row>
        <row r="26">
          <cell r="A26" t="str">
            <v xml:space="preserve">     Wholesale Unbilled (Change)</v>
          </cell>
          <cell r="B26">
            <v>351780</v>
          </cell>
          <cell r="C26">
            <v>-63695</v>
          </cell>
          <cell r="D26">
            <v>415475</v>
          </cell>
          <cell r="E26" t="str">
            <v>N/A</v>
          </cell>
          <cell r="G26">
            <v>48765.925999999999</v>
          </cell>
          <cell r="H26">
            <v>36110</v>
          </cell>
          <cell r="I26">
            <v>12655.925999999999</v>
          </cell>
          <cell r="J26" t="str">
            <v>N/A</v>
          </cell>
        </row>
        <row r="27">
          <cell r="A27" t="str">
            <v xml:space="preserve">           Total Unbilled (Change)</v>
          </cell>
          <cell r="B27">
            <v>-9542736</v>
          </cell>
          <cell r="C27">
            <v>-1688174</v>
          </cell>
          <cell r="D27">
            <v>-7854562</v>
          </cell>
          <cell r="E27" t="str">
            <v>N/A</v>
          </cell>
          <cell r="G27">
            <v>-259657.07399999999</v>
          </cell>
          <cell r="H27">
            <v>-31584</v>
          </cell>
          <cell r="I27">
            <v>-228073.07399999999</v>
          </cell>
          <cell r="J27" t="str">
            <v>N/A</v>
          </cell>
        </row>
        <row r="29">
          <cell r="A29" t="str">
            <v>TOTAL BILLED &amp; UNBILLED</v>
          </cell>
          <cell r="B29">
            <v>95292038.615999997</v>
          </cell>
          <cell r="C29">
            <v>97645938.323499992</v>
          </cell>
          <cell r="D29">
            <v>-2353899.7074999902</v>
          </cell>
          <cell r="E29">
            <v>-2.410647844564251E-2</v>
          </cell>
          <cell r="G29">
            <v>2969953.037</v>
          </cell>
          <cell r="H29">
            <v>3037526.1390000004</v>
          </cell>
          <cell r="I29">
            <v>-67573.102000000043</v>
          </cell>
          <cell r="J29">
            <v>-2.2246097287000333E-2</v>
          </cell>
        </row>
        <row r="32">
          <cell r="B32" t="str">
            <v>TOTAL BASE REVENUES $</v>
          </cell>
        </row>
        <row r="33">
          <cell r="B33" t="str">
            <v>BILLED &amp; ALLOCATED UNBILLED</v>
          </cell>
          <cell r="G33" t="str">
            <v>BILLED &amp; ALLOCATED UNBILLED MWH SALES</v>
          </cell>
          <cell r="L33" t="str">
            <v>NUMBER OF CUSTOMERS</v>
          </cell>
          <cell r="Q33" t="str">
            <v>KWH SALES PER CUSTOMER</v>
          </cell>
        </row>
        <row r="35">
          <cell r="A35" t="str">
            <v>CLASS OF BUSINESS</v>
          </cell>
          <cell r="B35" t="str">
            <v>FEB'05 Actual</v>
          </cell>
          <cell r="C35" t="str">
            <v>FEB'04 Actual</v>
          </cell>
          <cell r="D35" t="str">
            <v>DIFF</v>
          </cell>
          <cell r="E35" t="str">
            <v>% DIFF</v>
          </cell>
          <cell r="G35" t="str">
            <v>FEB'05 Actual</v>
          </cell>
          <cell r="H35" t="str">
            <v>FEB'04 Actual</v>
          </cell>
          <cell r="I35" t="str">
            <v>DIFF</v>
          </cell>
          <cell r="J35" t="str">
            <v>% DIFF</v>
          </cell>
          <cell r="L35" t="str">
            <v>FEB'05 Actual</v>
          </cell>
          <cell r="M35" t="str">
            <v>FEB'04 Actual</v>
          </cell>
          <cell r="N35" t="str">
            <v>DIFF</v>
          </cell>
          <cell r="O35" t="str">
            <v>% DIFF</v>
          </cell>
          <cell r="Q35" t="str">
            <v>FEB'05 Actual</v>
          </cell>
          <cell r="R35" t="str">
            <v>FEB'04 Actual</v>
          </cell>
          <cell r="S35" t="str">
            <v>DIFF</v>
          </cell>
          <cell r="T35" t="str">
            <v>% DIFF</v>
          </cell>
        </row>
        <row r="37">
          <cell r="A37" t="str">
            <v xml:space="preserve">   RESIDENTIAL</v>
          </cell>
          <cell r="B37">
            <v>55268292.562288627</v>
          </cell>
          <cell r="C37">
            <v>58395789.778280184</v>
          </cell>
          <cell r="D37">
            <v>-3127497.2159915566</v>
          </cell>
          <cell r="E37">
            <v>-5.3556895588983022E-2</v>
          </cell>
          <cell r="G37">
            <v>1253862.8300850776</v>
          </cell>
          <cell r="H37">
            <v>1344438.4771162095</v>
          </cell>
          <cell r="I37">
            <v>-90575.647031131899</v>
          </cell>
          <cell r="J37">
            <v>-6.7370614998623513E-2</v>
          </cell>
          <cell r="L37">
            <v>1375169</v>
          </cell>
          <cell r="M37">
            <v>1316798</v>
          </cell>
          <cell r="N37">
            <v>58371</v>
          </cell>
          <cell r="O37">
            <v>4.4327983487216782E-2</v>
          </cell>
          <cell r="Q37">
            <v>912</v>
          </cell>
          <cell r="R37">
            <v>1021</v>
          </cell>
          <cell r="S37">
            <v>-109</v>
          </cell>
          <cell r="T37">
            <v>-0.10675808031341827</v>
          </cell>
        </row>
        <row r="38">
          <cell r="A38" t="str">
            <v xml:space="preserve">   COMMERCIAL</v>
          </cell>
          <cell r="B38">
            <v>20376994.817516427</v>
          </cell>
          <cell r="C38">
            <v>20303208.047401913</v>
          </cell>
          <cell r="D38">
            <v>73786.770114514977</v>
          </cell>
          <cell r="E38">
            <v>3.6342419356707456E-3</v>
          </cell>
          <cell r="G38">
            <v>758114.68174849346</v>
          </cell>
          <cell r="H38">
            <v>735813.86065724632</v>
          </cell>
          <cell r="I38">
            <v>22300.82109124714</v>
          </cell>
          <cell r="J38">
            <v>3.0307693675853731E-2</v>
          </cell>
          <cell r="L38">
            <v>159643</v>
          </cell>
          <cell r="M38">
            <v>151880</v>
          </cell>
          <cell r="N38">
            <v>7763</v>
          </cell>
          <cell r="O38">
            <v>5.1112720568870174E-2</v>
          </cell>
          <cell r="Q38">
            <v>4749</v>
          </cell>
          <cell r="R38">
            <v>4845</v>
          </cell>
          <cell r="S38">
            <v>-96</v>
          </cell>
          <cell r="T38">
            <v>-1.981424148606814E-2</v>
          </cell>
        </row>
        <row r="39">
          <cell r="A39" t="str">
            <v xml:space="preserve">   INDUSTRIAL</v>
          </cell>
          <cell r="B39">
            <v>4277450.0085778888</v>
          </cell>
          <cell r="C39">
            <v>5720424.476767798</v>
          </cell>
          <cell r="D39">
            <v>-1442974.4681899091</v>
          </cell>
          <cell r="E39">
            <v>-0.25224954442633085</v>
          </cell>
          <cell r="G39">
            <v>284187.35830489697</v>
          </cell>
          <cell r="H39">
            <v>292384.84112243145</v>
          </cell>
          <cell r="I39">
            <v>-8197.4828175344737</v>
          </cell>
          <cell r="J39">
            <v>-2.8036620455647698E-2</v>
          </cell>
          <cell r="L39">
            <v>2716</v>
          </cell>
          <cell r="M39">
            <v>2642</v>
          </cell>
          <cell r="N39">
            <v>74</v>
          </cell>
          <cell r="O39">
            <v>2.8009084027251996E-2</v>
          </cell>
          <cell r="Q39">
            <v>104635</v>
          </cell>
          <cell r="R39">
            <v>110668</v>
          </cell>
          <cell r="S39">
            <v>-6033</v>
          </cell>
          <cell r="T39">
            <v>-5.4514403440922399E-2</v>
          </cell>
        </row>
        <row r="40">
          <cell r="A40" t="str">
            <v xml:space="preserve">   ST &amp; HIGHWAY</v>
          </cell>
          <cell r="B40">
            <v>58018.875911203257</v>
          </cell>
          <cell r="C40">
            <v>32982.421487921041</v>
          </cell>
          <cell r="D40">
            <v>25036.454423282215</v>
          </cell>
          <cell r="E40">
            <v>0.75908478801203749</v>
          </cell>
          <cell r="G40">
            <v>3570.5156987560326</v>
          </cell>
          <cell r="H40">
            <v>2202.4987164986596</v>
          </cell>
          <cell r="I40">
            <v>1368.016982257373</v>
          </cell>
          <cell r="J40">
            <v>0.62112044470660455</v>
          </cell>
          <cell r="L40">
            <v>1826</v>
          </cell>
          <cell r="M40">
            <v>1881</v>
          </cell>
          <cell r="N40">
            <v>-55</v>
          </cell>
          <cell r="O40">
            <v>-2.9239766081871399E-2</v>
          </cell>
          <cell r="Q40">
            <v>1955</v>
          </cell>
          <cell r="R40">
            <v>1171</v>
          </cell>
          <cell r="S40">
            <v>784</v>
          </cell>
          <cell r="T40">
            <v>0.6695132365499572</v>
          </cell>
        </row>
        <row r="41">
          <cell r="A41" t="str">
            <v xml:space="preserve">   PUBLIC AUTHORITY</v>
          </cell>
          <cell r="B41">
            <v>5061221.2957058605</v>
          </cell>
          <cell r="C41">
            <v>5441403.2960621752</v>
          </cell>
          <cell r="D41">
            <v>-380182.0003563147</v>
          </cell>
          <cell r="E41">
            <v>-6.9868373959975361E-2</v>
          </cell>
          <cell r="G41">
            <v>209336.61416277575</v>
          </cell>
          <cell r="H41">
            <v>226851.32238761417</v>
          </cell>
          <cell r="I41">
            <v>-17514.708224838425</v>
          </cell>
          <cell r="J41">
            <v>-7.7207873599747234E-2</v>
          </cell>
          <cell r="L41">
            <v>20727</v>
          </cell>
          <cell r="M41">
            <v>19778</v>
          </cell>
          <cell r="N41">
            <v>949</v>
          </cell>
          <cell r="O41">
            <v>4.7982606937000627E-2</v>
          </cell>
          <cell r="Q41">
            <v>10100</v>
          </cell>
          <cell r="R41">
            <v>11470</v>
          </cell>
          <cell r="S41">
            <v>-1370</v>
          </cell>
          <cell r="T41">
            <v>-0.11944202266782911</v>
          </cell>
        </row>
        <row r="42">
          <cell r="A42" t="str">
            <v xml:space="preserve">       TOTAL RETAIL</v>
          </cell>
          <cell r="B42">
            <v>85041977.560000002</v>
          </cell>
          <cell r="C42">
            <v>89893808.019999996</v>
          </cell>
          <cell r="D42">
            <v>-4851830.4599999832</v>
          </cell>
          <cell r="E42">
            <v>-5.3972910558205967E-2</v>
          </cell>
          <cell r="G42">
            <v>2509071.9999999995</v>
          </cell>
          <cell r="H42">
            <v>2601691</v>
          </cell>
          <cell r="I42">
            <v>-92619.000000000291</v>
          </cell>
          <cell r="J42">
            <v>-3.5599538915267237E-2</v>
          </cell>
          <cell r="L42">
            <v>1560081</v>
          </cell>
          <cell r="M42">
            <v>1492979</v>
          </cell>
          <cell r="N42">
            <v>67102</v>
          </cell>
          <cell r="O42">
            <v>4.4945039414486132E-2</v>
          </cell>
          <cell r="Q42">
            <v>1608</v>
          </cell>
          <cell r="R42">
            <v>1743</v>
          </cell>
          <cell r="S42">
            <v>-135</v>
          </cell>
          <cell r="T42">
            <v>-7.745266781411364E-2</v>
          </cell>
        </row>
        <row r="43">
          <cell r="A43" t="str">
            <v xml:space="preserve">  Provision For Refund</v>
          </cell>
          <cell r="B43">
            <v>-102567</v>
          </cell>
          <cell r="C43">
            <v>-1126075</v>
          </cell>
          <cell r="D43">
            <v>1023508</v>
          </cell>
          <cell r="E43">
            <v>-0.90891636880314364</v>
          </cell>
        </row>
        <row r="45">
          <cell r="A45" t="str">
            <v xml:space="preserve">   REA</v>
          </cell>
          <cell r="B45">
            <v>4550674.0055</v>
          </cell>
          <cell r="C45">
            <v>4098057.6574999988</v>
          </cell>
          <cell r="D45">
            <v>452616.34800000116</v>
          </cell>
          <cell r="E45">
            <v>0.11044655439916817</v>
          </cell>
          <cell r="G45">
            <v>158128</v>
          </cell>
          <cell r="H45">
            <v>95649</v>
          </cell>
          <cell r="I45">
            <v>62479</v>
          </cell>
          <cell r="J45">
            <v>0.65321122019048805</v>
          </cell>
          <cell r="L45">
            <v>6</v>
          </cell>
          <cell r="M45">
            <v>4</v>
          </cell>
          <cell r="N45">
            <v>2</v>
          </cell>
          <cell r="O45">
            <v>0.5</v>
          </cell>
          <cell r="Q45">
            <v>26354667</v>
          </cell>
          <cell r="R45">
            <v>23912250</v>
          </cell>
          <cell r="S45">
            <v>2442417</v>
          </cell>
          <cell r="T45">
            <v>0.10214082740018182</v>
          </cell>
        </row>
        <row r="46">
          <cell r="A46" t="str">
            <v xml:space="preserve">   Oth Whol (w/Ref $ or Interchg MWh)</v>
          </cell>
          <cell r="B46">
            <v>5801954.0504999999</v>
          </cell>
          <cell r="C46">
            <v>4780147.6459999997</v>
          </cell>
          <cell r="D46">
            <v>1021806.4045000002</v>
          </cell>
          <cell r="E46">
            <v>0.21376042753722091</v>
          </cell>
          <cell r="G46">
            <v>302753.478</v>
          </cell>
          <cell r="H46">
            <v>340185.41899999999</v>
          </cell>
          <cell r="I46">
            <v>-37431.940999999992</v>
          </cell>
          <cell r="J46">
            <v>-0.11003393711004406</v>
          </cell>
          <cell r="L46">
            <v>19</v>
          </cell>
          <cell r="M46">
            <v>17</v>
          </cell>
          <cell r="N46">
            <v>2</v>
          </cell>
          <cell r="O46">
            <v>0.11764705882352944</v>
          </cell>
          <cell r="Q46">
            <v>15934394</v>
          </cell>
          <cell r="R46">
            <v>20010907</v>
          </cell>
          <cell r="S46">
            <v>-4076513</v>
          </cell>
          <cell r="T46">
            <v>-0.20371455426783003</v>
          </cell>
        </row>
        <row r="48">
          <cell r="A48" t="str">
            <v xml:space="preserve">       TOTAL WHOLESALE </v>
          </cell>
          <cell r="B48">
            <v>10352628.056</v>
          </cell>
          <cell r="C48">
            <v>8878205.3034999985</v>
          </cell>
          <cell r="D48">
            <v>1474422.7525000013</v>
          </cell>
          <cell r="E48">
            <v>0.166072162345553</v>
          </cell>
          <cell r="G48">
            <v>460881.478</v>
          </cell>
          <cell r="H48">
            <v>435834.41899999999</v>
          </cell>
          <cell r="I48">
            <v>25047.059000000008</v>
          </cell>
          <cell r="J48">
            <v>5.7469208277467487E-2</v>
          </cell>
          <cell r="L48">
            <v>25</v>
          </cell>
          <cell r="M48">
            <v>21</v>
          </cell>
          <cell r="N48">
            <v>4</v>
          </cell>
          <cell r="O48">
            <v>0.19047619047619047</v>
          </cell>
          <cell r="Q48">
            <v>18435259</v>
          </cell>
          <cell r="R48">
            <v>20754020</v>
          </cell>
          <cell r="S48">
            <v>-2318761</v>
          </cell>
          <cell r="T48">
            <v>-0.11172587286703972</v>
          </cell>
        </row>
        <row r="50">
          <cell r="A50" t="str">
            <v xml:space="preserve"> TOTAL SYSTEM</v>
          </cell>
          <cell r="B50">
            <v>95292038.615999997</v>
          </cell>
          <cell r="C50">
            <v>97645938.323499992</v>
          </cell>
          <cell r="D50">
            <v>-2353899.7074999819</v>
          </cell>
          <cell r="E50">
            <v>-2.410647844564251E-2</v>
          </cell>
          <cell r="G50">
            <v>2969953.4779999997</v>
          </cell>
          <cell r="H50">
            <v>3037525.4189999998</v>
          </cell>
          <cell r="I50">
            <v>-67571.941000000283</v>
          </cell>
          <cell r="J50">
            <v>-2.224572034108141E-2</v>
          </cell>
          <cell r="L50">
            <v>1560106</v>
          </cell>
          <cell r="M50">
            <v>1493000</v>
          </cell>
          <cell r="N50">
            <v>67106</v>
          </cell>
          <cell r="O50">
            <v>4.4947086403215097E-2</v>
          </cell>
          <cell r="Q50">
            <v>1904</v>
          </cell>
          <cell r="R50">
            <v>2035</v>
          </cell>
          <cell r="S50">
            <v>-131</v>
          </cell>
          <cell r="T50">
            <v>-6.4373464373464362E-2</v>
          </cell>
        </row>
        <row r="53">
          <cell r="B53" t="str">
            <v>WEATHER NORMALIZED</v>
          </cell>
          <cell r="G53" t="str">
            <v>WEATHER NORMALIZED</v>
          </cell>
          <cell r="L53" t="str">
            <v>NUMBER OF CUSTOMERS</v>
          </cell>
          <cell r="Q53" t="str">
            <v>WEATHER &amp; CUSTOMER NORMALIZED</v>
          </cell>
        </row>
        <row r="54">
          <cell r="B54" t="str">
            <v>BILLED &amp; UNBILLED BASE REVENUES</v>
          </cell>
          <cell r="G54" t="str">
            <v>BILLED &amp; UNBILLED MWH SALES</v>
          </cell>
          <cell r="L54" t="str">
            <v>Adjusted for Event-Driven Billing</v>
          </cell>
          <cell r="Q54" t="str">
            <v>KWH SALES PER CUSTOMER</v>
          </cell>
        </row>
        <row r="56">
          <cell r="A56" t="str">
            <v>CLASS OF BUSINESS</v>
          </cell>
          <cell r="B56" t="str">
            <v>FEB'05 Actual</v>
          </cell>
          <cell r="C56" t="str">
            <v>FEB'04 Actual</v>
          </cell>
          <cell r="D56" t="str">
            <v>DIFF</v>
          </cell>
          <cell r="E56" t="str">
            <v>% DIFF</v>
          </cell>
          <cell r="G56" t="str">
            <v>FEB'05 Actual</v>
          </cell>
          <cell r="H56" t="str">
            <v>FEB'04 Actual</v>
          </cell>
          <cell r="I56" t="str">
            <v>DIFF</v>
          </cell>
          <cell r="J56" t="str">
            <v>% DIFF</v>
          </cell>
          <cell r="L56" t="str">
            <v>FEB'05 Actual</v>
          </cell>
          <cell r="M56" t="str">
            <v>FEB'04 Actual</v>
          </cell>
          <cell r="N56" t="str">
            <v>DIFF</v>
          </cell>
          <cell r="O56" t="str">
            <v>% DIFF</v>
          </cell>
          <cell r="Q56" t="str">
            <v>FEB'05 Actual</v>
          </cell>
          <cell r="R56" t="str">
            <v>FEB'04 Actual</v>
          </cell>
          <cell r="S56" t="str">
            <v>DIFF</v>
          </cell>
          <cell r="T56" t="str">
            <v>% DIFF</v>
          </cell>
        </row>
        <row r="58">
          <cell r="A58" t="str">
            <v xml:space="preserve">   RESIDENTIAL</v>
          </cell>
          <cell r="B58">
            <v>59908744.495047957</v>
          </cell>
          <cell r="C58">
            <v>58921062.532291047</v>
          </cell>
          <cell r="D58">
            <v>987681.96275690943</v>
          </cell>
          <cell r="E58">
            <v>1.6762799588273314E-2</v>
          </cell>
          <cell r="G58">
            <v>1383702</v>
          </cell>
          <cell r="H58">
            <v>1359115</v>
          </cell>
          <cell r="I58">
            <v>24587</v>
          </cell>
          <cell r="J58">
            <v>1.8090448563955253E-2</v>
          </cell>
          <cell r="L58">
            <v>1388413</v>
          </cell>
          <cell r="M58">
            <v>1357284</v>
          </cell>
          <cell r="N58">
            <v>31129</v>
          </cell>
          <cell r="O58">
            <v>2.2934772678378401E-2</v>
          </cell>
          <cell r="Q58">
            <v>997</v>
          </cell>
          <cell r="R58">
            <v>1001</v>
          </cell>
          <cell r="S58">
            <v>-4</v>
          </cell>
          <cell r="T58">
            <v>-3.9960039960039717E-3</v>
          </cell>
        </row>
        <row r="59">
          <cell r="A59" t="str">
            <v xml:space="preserve">   COMMERCIAL</v>
          </cell>
          <cell r="B59">
            <v>20418412.941917613</v>
          </cell>
          <cell r="C59">
            <v>20361251.961299378</v>
          </cell>
          <cell r="D59">
            <v>57160.980618234724</v>
          </cell>
          <cell r="E59">
            <v>2.8073411559799144E-3</v>
          </cell>
          <cell r="G59">
            <v>759839</v>
          </cell>
          <cell r="H59">
            <v>738183</v>
          </cell>
          <cell r="I59">
            <v>21656</v>
          </cell>
          <cell r="J59">
            <v>2.9336898844866344E-2</v>
          </cell>
          <cell r="L59">
            <v>160523</v>
          </cell>
          <cell r="M59">
            <v>156889</v>
          </cell>
          <cell r="N59">
            <v>3634</v>
          </cell>
          <cell r="O59">
            <v>2.316287311411247E-2</v>
          </cell>
          <cell r="Q59">
            <v>4734</v>
          </cell>
          <cell r="R59">
            <v>4705</v>
          </cell>
          <cell r="S59">
            <v>29</v>
          </cell>
          <cell r="T59">
            <v>6.1636556854409719E-3</v>
          </cell>
        </row>
        <row r="60">
          <cell r="A60" t="str">
            <v xml:space="preserve">   INDUSTRIAL</v>
          </cell>
          <cell r="B60">
            <v>4277450.0085778888</v>
          </cell>
          <cell r="C60">
            <v>5720424.476767798</v>
          </cell>
          <cell r="D60">
            <v>-1442974.4681899091</v>
          </cell>
          <cell r="E60">
            <v>-0.25224954442633085</v>
          </cell>
          <cell r="G60">
            <v>284187.35830489697</v>
          </cell>
          <cell r="H60">
            <v>292384.84112243145</v>
          </cell>
          <cell r="I60">
            <v>-8197.4828175344737</v>
          </cell>
          <cell r="J60">
            <v>-2.8036620455647698E-2</v>
          </cell>
          <cell r="L60">
            <v>2712</v>
          </cell>
          <cell r="M60">
            <v>2707</v>
          </cell>
          <cell r="N60">
            <v>5</v>
          </cell>
          <cell r="O60">
            <v>1.8470631695604034E-3</v>
          </cell>
          <cell r="Q60">
            <v>104789</v>
          </cell>
          <cell r="R60">
            <v>108011</v>
          </cell>
          <cell r="S60">
            <v>-3222</v>
          </cell>
          <cell r="T60">
            <v>-2.983029506253998E-2</v>
          </cell>
        </row>
        <row r="61">
          <cell r="A61" t="str">
            <v xml:space="preserve">   ST &amp; HIGHWAY</v>
          </cell>
          <cell r="B61">
            <v>58018.875911203257</v>
          </cell>
          <cell r="C61">
            <v>32982.421487921041</v>
          </cell>
          <cell r="D61">
            <v>25036.454423282215</v>
          </cell>
          <cell r="E61">
            <v>0.75908478801203749</v>
          </cell>
          <cell r="G61">
            <v>3570.5156987560326</v>
          </cell>
          <cell r="H61">
            <v>2202.4987164986596</v>
          </cell>
          <cell r="I61">
            <v>1368.016982257373</v>
          </cell>
          <cell r="J61">
            <v>0.62112044470660455</v>
          </cell>
          <cell r="L61">
            <v>1826</v>
          </cell>
          <cell r="M61">
            <v>1881</v>
          </cell>
          <cell r="N61">
            <v>-55</v>
          </cell>
          <cell r="O61">
            <v>-2.9239766081871399E-2</v>
          </cell>
          <cell r="Q61">
            <v>1955</v>
          </cell>
          <cell r="R61">
            <v>1171</v>
          </cell>
          <cell r="S61">
            <v>784</v>
          </cell>
          <cell r="T61">
            <v>0.6695132365499572</v>
          </cell>
        </row>
        <row r="62">
          <cell r="A62" t="str">
            <v xml:space="preserve">   PUBLIC AUTHORITY</v>
          </cell>
          <cell r="B62">
            <v>5111367.2927945731</v>
          </cell>
          <cell r="C62">
            <v>5458875.8811470494</v>
          </cell>
          <cell r="D62">
            <v>-347508.58835247625</v>
          </cell>
          <cell r="E62">
            <v>-6.3659367957539237E-2</v>
          </cell>
          <cell r="G62">
            <v>211536</v>
          </cell>
          <cell r="H62">
            <v>227611</v>
          </cell>
          <cell r="I62">
            <v>-16075</v>
          </cell>
          <cell r="J62">
            <v>-7.0624881925741678E-2</v>
          </cell>
          <cell r="L62">
            <v>20854</v>
          </cell>
          <cell r="M62">
            <v>20309</v>
          </cell>
          <cell r="N62">
            <v>545</v>
          </cell>
          <cell r="O62">
            <v>2.6835393175439481E-2</v>
          </cell>
          <cell r="Q62">
            <v>10144</v>
          </cell>
          <cell r="R62">
            <v>11207</v>
          </cell>
          <cell r="S62">
            <v>-1063</v>
          </cell>
          <cell r="T62">
            <v>-9.4851432140626413E-2</v>
          </cell>
        </row>
        <row r="63">
          <cell r="A63" t="str">
            <v xml:space="preserve">       TOTAL RETAIL</v>
          </cell>
          <cell r="B63">
            <v>89773993.614249229</v>
          </cell>
          <cell r="C63">
            <v>90494597.272993207</v>
          </cell>
          <cell r="D63">
            <v>-720603.65874395892</v>
          </cell>
          <cell r="E63">
            <v>-7.9629467444354285E-3</v>
          </cell>
          <cell r="G63">
            <v>2642834.8740036529</v>
          </cell>
          <cell r="H63">
            <v>2619496.3398389304</v>
          </cell>
          <cell r="I63">
            <v>23338.5341647229</v>
          </cell>
          <cell r="J63">
            <v>8.9095502100062784E-3</v>
          </cell>
          <cell r="L63">
            <v>1574328</v>
          </cell>
          <cell r="M63">
            <v>1539070</v>
          </cell>
          <cell r="N63">
            <v>35258</v>
          </cell>
          <cell r="O63">
            <v>2.2908639633025141E-2</v>
          </cell>
          <cell r="Q63">
            <v>1679</v>
          </cell>
          <cell r="R63">
            <v>1702</v>
          </cell>
          <cell r="S63">
            <v>-23</v>
          </cell>
          <cell r="T63">
            <v>-1.3513513513513487E-2</v>
          </cell>
        </row>
        <row r="64">
          <cell r="A64" t="str">
            <v xml:space="preserve">  Provision For Refund</v>
          </cell>
          <cell r="B64">
            <v>-102567</v>
          </cell>
          <cell r="C64">
            <v>-1126075</v>
          </cell>
          <cell r="D64">
            <v>1023508</v>
          </cell>
          <cell r="E64">
            <v>-0.90891636880314364</v>
          </cell>
        </row>
        <row r="66">
          <cell r="A66" t="str">
            <v xml:space="preserve">   REA</v>
          </cell>
          <cell r="B66">
            <v>4550674.0055</v>
          </cell>
          <cell r="C66">
            <v>4098057.6574999988</v>
          </cell>
          <cell r="D66">
            <v>452616.34800000116</v>
          </cell>
          <cell r="E66">
            <v>0.11044655439916817</v>
          </cell>
          <cell r="G66">
            <v>158128</v>
          </cell>
          <cell r="H66">
            <v>95649</v>
          </cell>
          <cell r="I66">
            <v>62479</v>
          </cell>
          <cell r="J66">
            <v>0.65321122019048805</v>
          </cell>
          <cell r="L66">
            <v>6</v>
          </cell>
          <cell r="M66">
            <v>4</v>
          </cell>
          <cell r="N66">
            <v>2</v>
          </cell>
          <cell r="O66">
            <v>0.5</v>
          </cell>
        </row>
        <row r="67">
          <cell r="A67" t="str">
            <v xml:space="preserve">   Oth Whol (w/Ref $ or Interchg MWh)</v>
          </cell>
          <cell r="B67">
            <v>5801954.0504999999</v>
          </cell>
          <cell r="C67">
            <v>4780147.6459999997</v>
          </cell>
          <cell r="D67">
            <v>1021806.4045000002</v>
          </cell>
          <cell r="E67">
            <v>0.21376042753722091</v>
          </cell>
          <cell r="G67">
            <v>302753.478</v>
          </cell>
          <cell r="H67">
            <v>340185.41899999999</v>
          </cell>
          <cell r="I67">
            <v>-37431.940999999992</v>
          </cell>
          <cell r="J67">
            <v>-0.11003393711004406</v>
          </cell>
          <cell r="L67">
            <v>19</v>
          </cell>
          <cell r="M67">
            <v>17</v>
          </cell>
          <cell r="N67">
            <v>2</v>
          </cell>
          <cell r="O67">
            <v>0.11764705882352944</v>
          </cell>
        </row>
        <row r="69">
          <cell r="A69" t="str">
            <v xml:space="preserve">       TOT WHOL. (Not W/N) </v>
          </cell>
          <cell r="B69">
            <v>10352628.056</v>
          </cell>
          <cell r="C69">
            <v>8878205.3034999985</v>
          </cell>
          <cell r="D69">
            <v>1474422.7525000013</v>
          </cell>
          <cell r="E69">
            <v>0.166072162345553</v>
          </cell>
          <cell r="G69">
            <v>460881.478</v>
          </cell>
          <cell r="H69">
            <v>435834.41899999999</v>
          </cell>
          <cell r="I69">
            <v>25047.059000000008</v>
          </cell>
          <cell r="J69">
            <v>5.7469208277467487E-2</v>
          </cell>
          <cell r="L69">
            <v>25</v>
          </cell>
          <cell r="M69">
            <v>21</v>
          </cell>
          <cell r="N69">
            <v>4</v>
          </cell>
          <cell r="O69">
            <v>0.19047619047619047</v>
          </cell>
        </row>
        <row r="71">
          <cell r="A71" t="str">
            <v xml:space="preserve"> TOTAL SYSTEM</v>
          </cell>
          <cell r="B71">
            <v>100024054.67024922</v>
          </cell>
          <cell r="C71">
            <v>98246727.576493204</v>
          </cell>
          <cell r="D71">
            <v>1777327.0937560424</v>
          </cell>
          <cell r="E71">
            <v>1.8090445733902172E-2</v>
          </cell>
          <cell r="G71">
            <v>3103716.3520036531</v>
          </cell>
          <cell r="H71">
            <v>3055330.7588389302</v>
          </cell>
          <cell r="I71">
            <v>48385.593164722908</v>
          </cell>
          <cell r="J71">
            <v>1.5836450120742418E-2</v>
          </cell>
          <cell r="L71">
            <v>1574353</v>
          </cell>
          <cell r="M71">
            <v>1539091</v>
          </cell>
          <cell r="N71">
            <v>35262</v>
          </cell>
          <cell r="O71">
            <v>2.2910925994629405E-2</v>
          </cell>
        </row>
        <row r="72">
          <cell r="A72" t="str">
            <v>Retail Wthr Adjmt  ---&gt;</v>
          </cell>
          <cell r="B72">
            <v>4732016.054249227</v>
          </cell>
          <cell r="C72">
            <v>600789.25299321115</v>
          </cell>
          <cell r="D72">
            <v>4131226.8012560159</v>
          </cell>
          <cell r="G72">
            <v>133762.87400365341</v>
          </cell>
          <cell r="H72">
            <v>17805.339838930406</v>
          </cell>
        </row>
        <row r="75">
          <cell r="A75" t="str">
            <v>VARIANCE ANALYSIS BY CLASS - FEB'05 VS FEB'04</v>
          </cell>
        </row>
        <row r="76">
          <cell r="B76" t="str">
            <v>Revenue</v>
          </cell>
          <cell r="G76" t="str">
            <v>Energy</v>
          </cell>
        </row>
        <row r="77">
          <cell r="A77" t="str">
            <v>CLASS OF BUSINESS</v>
          </cell>
          <cell r="B77" t="str">
            <v>WEATHER</v>
          </cell>
          <cell r="C77" t="str">
            <v>CUSTS</v>
          </cell>
          <cell r="D77" t="str">
            <v>MISC</v>
          </cell>
          <cell r="E77" t="str">
            <v>SUM</v>
          </cell>
          <cell r="G77" t="str">
            <v>WEATHER</v>
          </cell>
          <cell r="H77" t="str">
            <v>CUSTS</v>
          </cell>
          <cell r="I77" t="str">
            <v>MISC</v>
          </cell>
          <cell r="J77" t="str">
            <v>SUM</v>
          </cell>
        </row>
        <row r="79">
          <cell r="A79" t="str">
            <v xml:space="preserve">   RESIDENTIAL</v>
          </cell>
          <cell r="B79">
            <v>-7.0319695177256336E-2</v>
          </cell>
          <cell r="C79">
            <v>2.2934772678378401E-2</v>
          </cell>
          <cell r="D79">
            <v>-6.1719730901050873E-3</v>
          </cell>
          <cell r="E79">
            <v>1.6762799588273314E-2</v>
          </cell>
          <cell r="G79">
            <v>-8.5461063562578765E-2</v>
          </cell>
          <cell r="H79">
            <v>2.2934772678378401E-2</v>
          </cell>
          <cell r="I79">
            <v>-4.8443241144231486E-3</v>
          </cell>
          <cell r="J79">
            <v>1.8090448563955253E-2</v>
          </cell>
        </row>
        <row r="80">
          <cell r="A80" t="str">
            <v xml:space="preserve">   COMMERCIAL</v>
          </cell>
          <cell r="B80">
            <v>8.269007796908312E-4</v>
          </cell>
          <cell r="C80">
            <v>2.316287311411247E-2</v>
          </cell>
          <cell r="D80">
            <v>-2.0355531958132556E-2</v>
          </cell>
          <cell r="E80">
            <v>2.8073411559799144E-3</v>
          </cell>
          <cell r="G80">
            <v>9.7079483098738706E-4</v>
          </cell>
          <cell r="H80">
            <v>2.316287311411247E-2</v>
          </cell>
          <cell r="I80">
            <v>6.1740257307538737E-3</v>
          </cell>
          <cell r="J80">
            <v>2.9336898844866344E-2</v>
          </cell>
        </row>
        <row r="81">
          <cell r="A81" t="str">
            <v xml:space="preserve">   INDUSTRIAL</v>
          </cell>
          <cell r="B81">
            <v>0</v>
          </cell>
          <cell r="C81">
            <v>1.8470631695604034E-3</v>
          </cell>
          <cell r="D81">
            <v>-0.25409660759589126</v>
          </cell>
          <cell r="E81">
            <v>-0.25224954442633085</v>
          </cell>
          <cell r="G81">
            <v>0</v>
          </cell>
          <cell r="H81">
            <v>1.8470631695604034E-3</v>
          </cell>
          <cell r="I81">
            <v>-2.9883683625208102E-2</v>
          </cell>
          <cell r="J81">
            <v>-2.8036620455647698E-2</v>
          </cell>
        </row>
        <row r="82">
          <cell r="A82" t="str">
            <v xml:space="preserve">   ST &amp; HIGHWAY</v>
          </cell>
          <cell r="B82">
            <v>0</v>
          </cell>
          <cell r="C82">
            <v>-2.9239766081871399E-2</v>
          </cell>
          <cell r="D82">
            <v>0.78832455409390889</v>
          </cell>
          <cell r="E82">
            <v>0.75908478801203749</v>
          </cell>
          <cell r="G82">
            <v>0</v>
          </cell>
          <cell r="H82">
            <v>-2.9239766081871399E-2</v>
          </cell>
          <cell r="I82">
            <v>0.65036021078847595</v>
          </cell>
          <cell r="J82">
            <v>0.62112044470660455</v>
          </cell>
        </row>
        <row r="83">
          <cell r="A83" t="str">
            <v xml:space="preserve">   PUBLIC AUTHORITY</v>
          </cell>
          <cell r="B83">
            <v>-6.2090060024361238E-3</v>
          </cell>
          <cell r="C83">
            <v>2.6835393175439481E-2</v>
          </cell>
          <cell r="D83">
            <v>-9.0494761132978718E-2</v>
          </cell>
          <cell r="E83">
            <v>-6.3659367957539237E-2</v>
          </cell>
          <cell r="G83">
            <v>-6.5829916740055561E-3</v>
          </cell>
          <cell r="H83">
            <v>2.6835393175439481E-2</v>
          </cell>
          <cell r="I83">
            <v>-9.746027510118116E-2</v>
          </cell>
          <cell r="J83">
            <v>-7.0624881925741678E-2</v>
          </cell>
        </row>
        <row r="84">
          <cell r="L84" t="str">
            <v>28 days vs 29 days adjustment</v>
          </cell>
        </row>
        <row r="85">
          <cell r="A85" t="str">
            <v xml:space="preserve">       TOTAL RETAIL</v>
          </cell>
          <cell r="B85">
            <v>-4.6009963813770538E-2</v>
          </cell>
          <cell r="C85">
            <v>2.2908639633025141E-2</v>
          </cell>
          <cell r="D85">
            <v>-3.0871586377460569E-2</v>
          </cell>
          <cell r="E85">
            <v>-7.9629467444354285E-3</v>
          </cell>
          <cell r="G85">
            <v>-4.4509089125273515E-2</v>
          </cell>
          <cell r="H85">
            <v>2.2908639633025141E-2</v>
          </cell>
          <cell r="I85">
            <v>-1.3999089423018862E-2</v>
          </cell>
          <cell r="J85">
            <v>8.9095502100062784E-3</v>
          </cell>
          <cell r="L85">
            <v>3206214.0576517582</v>
          </cell>
          <cell r="M85">
            <v>92980207.671900988</v>
          </cell>
          <cell r="N85">
            <v>2.746694801469185E-2</v>
          </cell>
        </row>
        <row r="86">
          <cell r="L86" t="str">
            <v>1 day revenue</v>
          </cell>
        </row>
        <row r="87">
          <cell r="A87" t="str">
            <v>VARIANCE ANALYSIS BY CLASS - FEB'05 VS FEB'04</v>
          </cell>
        </row>
        <row r="88">
          <cell r="B88" t="str">
            <v>Revenue  -- $</v>
          </cell>
          <cell r="G88" t="str">
            <v>Energy --  MWh</v>
          </cell>
        </row>
        <row r="89">
          <cell r="A89" t="str">
            <v>CLASS OF BUSINESS</v>
          </cell>
          <cell r="B89" t="str">
            <v>WEATHER</v>
          </cell>
          <cell r="C89" t="str">
            <v>CUSTS</v>
          </cell>
          <cell r="D89" t="str">
            <v>MISC</v>
          </cell>
          <cell r="E89" t="str">
            <v>SUM</v>
          </cell>
          <cell r="G89" t="str">
            <v>WEATHER</v>
          </cell>
          <cell r="H89" t="str">
            <v>CUSTS</v>
          </cell>
          <cell r="I89" t="str">
            <v>MISC</v>
          </cell>
          <cell r="J89" t="str">
            <v>SUM</v>
          </cell>
        </row>
        <row r="91">
          <cell r="A91" t="str">
            <v xml:space="preserve">   RESIDENTIAL</v>
          </cell>
          <cell r="B91">
            <v>-4115179.1787484661</v>
          </cell>
          <cell r="C91">
            <v>1351341.175146607</v>
          </cell>
          <cell r="D91">
            <v>-363659.21238969755</v>
          </cell>
          <cell r="E91">
            <v>-3127497.2159915566</v>
          </cell>
          <cell r="G91">
            <v>-115162.6470311319</v>
          </cell>
          <cell r="H91">
            <v>31170.993568774207</v>
          </cell>
          <cell r="I91">
            <v>-6583.9935687742054</v>
          </cell>
          <cell r="J91">
            <v>-90575.647031131899</v>
          </cell>
        </row>
        <row r="92">
          <cell r="A92" t="str">
            <v xml:space="preserve">   COMMERCIAL</v>
          </cell>
          <cell r="B92">
            <v>16625.789496280253</v>
          </cell>
          <cell r="C92">
            <v>471625.09562406951</v>
          </cell>
          <cell r="D92">
            <v>-414464.11500583478</v>
          </cell>
          <cell r="E92">
            <v>73786.770114514977</v>
          </cell>
          <cell r="G92">
            <v>644.82109124714043</v>
          </cell>
          <cell r="H92">
            <v>17098.43916399491</v>
          </cell>
          <cell r="I92">
            <v>4557.5608360050928</v>
          </cell>
          <cell r="J92">
            <v>22300.821091247144</v>
          </cell>
        </row>
        <row r="93">
          <cell r="A93" t="str">
            <v xml:space="preserve">   INDUSTRIAL</v>
          </cell>
          <cell r="B93">
            <v>0</v>
          </cell>
          <cell r="C93">
            <v>10565.985365289642</v>
          </cell>
          <cell r="D93">
            <v>-1453540.4535551989</v>
          </cell>
          <cell r="E93">
            <v>-1442974.4681899091</v>
          </cell>
          <cell r="G93">
            <v>0</v>
          </cell>
          <cell r="H93">
            <v>540.05327137501388</v>
          </cell>
          <cell r="I93">
            <v>-8737.5360889094882</v>
          </cell>
          <cell r="J93">
            <v>-8197.4828175344737</v>
          </cell>
        </row>
        <row r="94">
          <cell r="A94" t="str">
            <v xml:space="preserve">   ST &amp; HIGHWAY</v>
          </cell>
          <cell r="B94">
            <v>0</v>
          </cell>
          <cell r="C94">
            <v>-964.39828912050018</v>
          </cell>
          <cell r="D94">
            <v>26000.852712402713</v>
          </cell>
          <cell r="E94">
            <v>25036.454423282212</v>
          </cell>
          <cell r="G94">
            <v>0</v>
          </cell>
          <cell r="H94">
            <v>-64.400547266042793</v>
          </cell>
          <cell r="I94">
            <v>1432.4175295234156</v>
          </cell>
          <cell r="J94">
            <v>1368.0169822573728</v>
          </cell>
        </row>
        <row r="95">
          <cell r="A95" t="str">
            <v xml:space="preserve">   PUBLIC AUTHORITY</v>
          </cell>
          <cell r="B95">
            <v>-32673.412003838457</v>
          </cell>
          <cell r="C95">
            <v>146491.08056650471</v>
          </cell>
          <cell r="D95">
            <v>-493999.66891898098</v>
          </cell>
          <cell r="E95">
            <v>-380182.0003563147</v>
          </cell>
          <cell r="G95">
            <v>-1439.7082248384249</v>
          </cell>
          <cell r="H95">
            <v>6108.0306760549593</v>
          </cell>
          <cell r="I95">
            <v>-22183.030676054957</v>
          </cell>
          <cell r="J95">
            <v>-17514.708224838425</v>
          </cell>
        </row>
        <row r="96">
          <cell r="A96" t="str">
            <v xml:space="preserve">    TOTAL RETAIL   (Pre Tax)</v>
          </cell>
          <cell r="B96">
            <v>-4131226.8012560243</v>
          </cell>
          <cell r="C96">
            <v>1979058.9384133504</v>
          </cell>
          <cell r="D96">
            <v>-2699662.5971573098</v>
          </cell>
          <cell r="E96">
            <v>-4851830.4599999832</v>
          </cell>
          <cell r="G96">
            <v>-115957.53416472318</v>
          </cell>
          <cell r="H96">
            <v>54853.116132933043</v>
          </cell>
          <cell r="I96">
            <v>-31514.581968210143</v>
          </cell>
          <cell r="J96">
            <v>-92619.000000000291</v>
          </cell>
        </row>
        <row r="97">
          <cell r="A97" t="str">
            <v xml:space="preserve">           Provision For Refund</v>
          </cell>
          <cell r="D97">
            <v>1023508</v>
          </cell>
          <cell r="E97">
            <v>1023508</v>
          </cell>
        </row>
        <row r="98">
          <cell r="A98" t="str">
            <v>Variance with Prov for Refund</v>
          </cell>
          <cell r="D98">
            <v>-1676154.5971573098</v>
          </cell>
          <cell r="E98">
            <v>-3828322.4599999832</v>
          </cell>
        </row>
        <row r="99">
          <cell r="A99" t="str">
            <v>Notes:</v>
          </cell>
          <cell r="B99" t="str">
            <v>FEBRUARY weather conditions were much milder than last year leading to a weather-related revenue difference of -$4.1 mill.   Customer growth of 2.3% on an adjusted basis accounted for +$2.0 mill over last year.  An unfavorable change in the misc. adjustme</v>
          </cell>
        </row>
        <row r="101">
          <cell r="A101" t="str">
            <v>FEBRUARY 2005   VS.  FEBRUARY BUDGET</v>
          </cell>
        </row>
        <row r="102">
          <cell r="A102" t="str">
            <v>REVENUES - SALES - CUSTOMERS - USE PER CUSTOMER</v>
          </cell>
        </row>
        <row r="104">
          <cell r="B104" t="str">
            <v>TOTAL BASE REVENUES $</v>
          </cell>
          <cell r="G104" t="str">
            <v>REPORTED</v>
          </cell>
          <cell r="L104" t="str">
            <v>NUMBER OF CUSTOMERS</v>
          </cell>
        </row>
        <row r="105">
          <cell r="B105" t="str">
            <v>BILLED &amp; ALLOCATED UNBILLED</v>
          </cell>
          <cell r="G105" t="str">
            <v>BILLED &amp; ALLOCATED UNBILLED MWH SALES</v>
          </cell>
          <cell r="L105" t="str">
            <v>Adj. for Event-Driven Billing</v>
          </cell>
          <cell r="Q105" t="str">
            <v>KWH SALES PER CUSTOMER</v>
          </cell>
        </row>
        <row r="107">
          <cell r="A107" t="str">
            <v>CLASS OF BUSINESS</v>
          </cell>
          <cell r="B107" t="str">
            <v>FEB'05 Actual</v>
          </cell>
          <cell r="C107" t="str">
            <v>FORECAST</v>
          </cell>
          <cell r="D107" t="str">
            <v>DIFF</v>
          </cell>
          <cell r="E107" t="str">
            <v>% DIFF</v>
          </cell>
          <cell r="G107" t="str">
            <v>FEB'05 Actual</v>
          </cell>
          <cell r="H107" t="str">
            <v>FORECAST</v>
          </cell>
          <cell r="I107" t="str">
            <v>DIFF</v>
          </cell>
          <cell r="J107" t="str">
            <v>% DIFF</v>
          </cell>
          <cell r="L107" t="str">
            <v>FEB'05 Actual</v>
          </cell>
          <cell r="M107" t="str">
            <v>FORECAST</v>
          </cell>
          <cell r="N107" t="str">
            <v>DIFF</v>
          </cell>
          <cell r="O107" t="str">
            <v>% DIFF</v>
          </cell>
          <cell r="Q107" t="str">
            <v>FEB'05 Actual</v>
          </cell>
          <cell r="R107" t="str">
            <v>FORECAST</v>
          </cell>
          <cell r="S107" t="str">
            <v>DIFF</v>
          </cell>
          <cell r="T107" t="str">
            <v>% DIFF</v>
          </cell>
        </row>
        <row r="109">
          <cell r="A109" t="str">
            <v xml:space="preserve">   RESIDENTIAL</v>
          </cell>
          <cell r="B109">
            <v>55268292.562288627</v>
          </cell>
          <cell r="C109">
            <v>62303881</v>
          </cell>
          <cell r="D109">
            <v>-7035588.437711373</v>
          </cell>
          <cell r="E109">
            <v>-0.1129237589181864</v>
          </cell>
          <cell r="G109">
            <v>1253862.8300850776</v>
          </cell>
          <cell r="H109">
            <v>1427348</v>
          </cell>
          <cell r="I109">
            <v>-173485.16991492244</v>
          </cell>
          <cell r="J109">
            <v>-0.12154370897280997</v>
          </cell>
          <cell r="L109">
            <v>1388413</v>
          </cell>
          <cell r="M109">
            <v>1384066.9574618973</v>
          </cell>
          <cell r="N109">
            <v>4346.0425381027162</v>
          </cell>
          <cell r="O109">
            <v>3.1400522313402845E-3</v>
          </cell>
          <cell r="Q109">
            <v>903</v>
          </cell>
          <cell r="R109">
            <v>1031</v>
          </cell>
          <cell r="S109">
            <v>-128</v>
          </cell>
          <cell r="T109">
            <v>-0.1241513094083414</v>
          </cell>
        </row>
        <row r="110">
          <cell r="A110" t="str">
            <v xml:space="preserve">   COMMERCIAL</v>
          </cell>
          <cell r="B110">
            <v>20376994.817516427</v>
          </cell>
          <cell r="C110">
            <v>21323210</v>
          </cell>
          <cell r="D110">
            <v>-946215.18248357251</v>
          </cell>
          <cell r="E110">
            <v>-4.4374893952813466E-2</v>
          </cell>
          <cell r="G110">
            <v>758114.68174849346</v>
          </cell>
          <cell r="H110">
            <v>806016</v>
          </cell>
          <cell r="I110">
            <v>-47901.318251506542</v>
          </cell>
          <cell r="J110">
            <v>-5.9429736198172933E-2</v>
          </cell>
          <cell r="L110">
            <v>160523</v>
          </cell>
          <cell r="M110">
            <v>159680.18980984879</v>
          </cell>
          <cell r="N110">
            <v>842.81019015121274</v>
          </cell>
          <cell r="O110">
            <v>5.2781136542663365E-3</v>
          </cell>
          <cell r="Q110">
            <v>4723</v>
          </cell>
          <cell r="R110">
            <v>5048</v>
          </cell>
          <cell r="S110">
            <v>-325</v>
          </cell>
          <cell r="T110">
            <v>-6.4381933438985683E-2</v>
          </cell>
        </row>
        <row r="111">
          <cell r="A111" t="str">
            <v xml:space="preserve">   INDUSTRIAL</v>
          </cell>
          <cell r="B111">
            <v>4277450.0085778888</v>
          </cell>
          <cell r="C111">
            <v>6269657</v>
          </cell>
          <cell r="D111">
            <v>-1992206.9914221112</v>
          </cell>
          <cell r="E111">
            <v>-0.31775374496916042</v>
          </cell>
          <cell r="G111">
            <v>284187.35830489697</v>
          </cell>
          <cell r="H111">
            <v>317042</v>
          </cell>
          <cell r="I111">
            <v>-32854.641695103026</v>
          </cell>
          <cell r="J111">
            <v>-0.10362867284177812</v>
          </cell>
          <cell r="L111">
            <v>2712</v>
          </cell>
          <cell r="M111">
            <v>2813</v>
          </cell>
          <cell r="N111">
            <v>-101</v>
          </cell>
          <cell r="O111">
            <v>-3.590472804834699E-2</v>
          </cell>
          <cell r="Q111">
            <v>104789</v>
          </cell>
          <cell r="R111">
            <v>112706</v>
          </cell>
          <cell r="S111">
            <v>-7917</v>
          </cell>
          <cell r="T111">
            <v>-7.0244707468990142E-2</v>
          </cell>
        </row>
        <row r="112">
          <cell r="A112" t="str">
            <v xml:space="preserve">   ST &amp; HIGHWAY</v>
          </cell>
          <cell r="B112">
            <v>58018.875911203257</v>
          </cell>
          <cell r="C112">
            <v>30984</v>
          </cell>
          <cell r="D112">
            <v>27034.875911203257</v>
          </cell>
          <cell r="E112">
            <v>0.87254311616328617</v>
          </cell>
          <cell r="G112">
            <v>3570.5156987560326</v>
          </cell>
          <cell r="H112">
            <v>2008</v>
          </cell>
          <cell r="I112">
            <v>1562.5156987560326</v>
          </cell>
          <cell r="J112">
            <v>0.77814526830479713</v>
          </cell>
          <cell r="L112">
            <v>1826</v>
          </cell>
          <cell r="M112">
            <v>1850</v>
          </cell>
          <cell r="N112">
            <v>-24</v>
          </cell>
          <cell r="O112">
            <v>-1.2972972972972951E-2</v>
          </cell>
          <cell r="Q112">
            <v>1955</v>
          </cell>
          <cell r="R112">
            <v>1085</v>
          </cell>
          <cell r="S112">
            <v>870</v>
          </cell>
          <cell r="T112">
            <v>0.80184331797235031</v>
          </cell>
        </row>
        <row r="113">
          <cell r="A113" t="str">
            <v xml:space="preserve">   PUBLIC AUTHORITY</v>
          </cell>
          <cell r="B113">
            <v>5061221.2957058605</v>
          </cell>
          <cell r="C113">
            <v>5550901</v>
          </cell>
          <cell r="D113">
            <v>-489679.70429413952</v>
          </cell>
          <cell r="E113">
            <v>-8.8216256116644742E-2</v>
          </cell>
          <cell r="G113">
            <v>209336.61416277575</v>
          </cell>
          <cell r="H113">
            <v>229857</v>
          </cell>
          <cell r="I113">
            <v>-20520.385837224254</v>
          </cell>
          <cell r="J113">
            <v>-8.9274574353725322E-2</v>
          </cell>
          <cell r="L113">
            <v>20854</v>
          </cell>
          <cell r="M113">
            <v>20833</v>
          </cell>
          <cell r="N113">
            <v>21</v>
          </cell>
          <cell r="O113">
            <v>1.0080161282579603E-3</v>
          </cell>
          <cell r="Q113">
            <v>10038</v>
          </cell>
          <cell r="R113">
            <v>11033</v>
          </cell>
          <cell r="S113">
            <v>-995</v>
          </cell>
          <cell r="T113">
            <v>-9.0183993474123092E-2</v>
          </cell>
        </row>
        <row r="114">
          <cell r="A114" t="str">
            <v xml:space="preserve">  TOTAL RETAIL</v>
          </cell>
          <cell r="B114">
            <v>85041977.560000002</v>
          </cell>
          <cell r="C114">
            <v>95478633</v>
          </cell>
          <cell r="D114">
            <v>-10436655.439999992</v>
          </cell>
          <cell r="E114">
            <v>-0.10930880671490129</v>
          </cell>
          <cell r="G114">
            <v>2509071.9999999995</v>
          </cell>
          <cell r="H114">
            <v>2782271</v>
          </cell>
          <cell r="I114">
            <v>-273199.00000000023</v>
          </cell>
          <cell r="J114">
            <v>-9.8192807242716618E-2</v>
          </cell>
          <cell r="L114">
            <v>1574328</v>
          </cell>
          <cell r="M114">
            <v>1569243.1472717461</v>
          </cell>
          <cell r="N114">
            <v>5084.8527282539289</v>
          </cell>
          <cell r="O114">
            <v>3.2403217672762885E-3</v>
          </cell>
          <cell r="Q114">
            <v>1594</v>
          </cell>
          <cell r="R114">
            <v>1773</v>
          </cell>
          <cell r="S114">
            <v>-179</v>
          </cell>
          <cell r="T114">
            <v>-0.10095882684715174</v>
          </cell>
        </row>
        <row r="115">
          <cell r="A115" t="str">
            <v xml:space="preserve">  Provision For Refund</v>
          </cell>
          <cell r="B115">
            <v>-102567</v>
          </cell>
          <cell r="C115">
            <v>-1370216</v>
          </cell>
          <cell r="D115">
            <v>1267649</v>
          </cell>
          <cell r="E115">
            <v>-0.92514537853885814</v>
          </cell>
        </row>
        <row r="117">
          <cell r="A117" t="str">
            <v xml:space="preserve">   REA</v>
          </cell>
          <cell r="B117">
            <v>4550674.0055</v>
          </cell>
          <cell r="C117">
            <v>4377275.9959500004</v>
          </cell>
          <cell r="D117">
            <v>173398.00954999961</v>
          </cell>
          <cell r="E117">
            <v>3.9613222860617636E-2</v>
          </cell>
          <cell r="G117">
            <v>86560.404999999999</v>
          </cell>
          <cell r="H117">
            <v>115481</v>
          </cell>
          <cell r="I117">
            <v>-28920.595000000001</v>
          </cell>
          <cell r="J117">
            <v>-0.25043595916211325</v>
          </cell>
          <cell r="L117">
            <v>6</v>
          </cell>
          <cell r="M117">
            <v>5</v>
          </cell>
          <cell r="N117">
            <v>1</v>
          </cell>
          <cell r="O117">
            <v>0.19999999999999996</v>
          </cell>
        </row>
        <row r="118">
          <cell r="A118" t="str">
            <v xml:space="preserve">   Oth Whol (w/Ref $ or Interchg MWh)</v>
          </cell>
          <cell r="B118">
            <v>5801954.0504999999</v>
          </cell>
          <cell r="C118">
            <v>5479615</v>
          </cell>
          <cell r="D118">
            <v>322339.0504999999</v>
          </cell>
          <cell r="E118">
            <v>5.8825127404023902E-2</v>
          </cell>
          <cell r="G118">
            <v>325555.147</v>
          </cell>
          <cell r="H118">
            <v>436700</v>
          </cell>
          <cell r="I118">
            <v>-111144.853</v>
          </cell>
          <cell r="J118">
            <v>-0.25451076940691553</v>
          </cell>
          <cell r="L118">
            <v>19</v>
          </cell>
          <cell r="M118">
            <v>19</v>
          </cell>
          <cell r="N118">
            <v>0</v>
          </cell>
          <cell r="O118">
            <v>0</v>
          </cell>
        </row>
        <row r="120">
          <cell r="A120" t="str">
            <v xml:space="preserve">      WHOLESALE (Not W/N) </v>
          </cell>
          <cell r="B120">
            <v>10352628.056</v>
          </cell>
          <cell r="C120">
            <v>9856890.9959500004</v>
          </cell>
          <cell r="D120">
            <v>495737.06004999951</v>
          </cell>
          <cell r="E120">
            <v>5.0293450567089337E-2</v>
          </cell>
          <cell r="G120">
            <v>460881.478</v>
          </cell>
          <cell r="H120">
            <v>552181</v>
          </cell>
          <cell r="I120">
            <v>-91299.521999999997</v>
          </cell>
          <cell r="J120">
            <v>-0.16534346889878504</v>
          </cell>
          <cell r="L120">
            <v>25</v>
          </cell>
          <cell r="M120">
            <v>24</v>
          </cell>
          <cell r="N120">
            <v>1</v>
          </cell>
          <cell r="O120">
            <v>4.1666666666666741E-2</v>
          </cell>
        </row>
        <row r="122">
          <cell r="A122" t="str">
            <v xml:space="preserve"> TOTAL SYSTEM</v>
          </cell>
          <cell r="B122">
            <v>95292038.615999997</v>
          </cell>
          <cell r="C122">
            <v>103965307.99595</v>
          </cell>
          <cell r="D122">
            <v>-8673269.3799499925</v>
          </cell>
          <cell r="E122">
            <v>-8.3424649502196191E-2</v>
          </cell>
          <cell r="G122">
            <v>2969953.4779999997</v>
          </cell>
          <cell r="H122">
            <v>3334452</v>
          </cell>
          <cell r="I122">
            <v>-364498.52200000035</v>
          </cell>
          <cell r="J122">
            <v>-0.10931287120042521</v>
          </cell>
          <cell r="K122" t="str">
            <v xml:space="preserve"> </v>
          </cell>
          <cell r="L122">
            <v>1574353</v>
          </cell>
          <cell r="M122">
            <v>1569267.1472717461</v>
          </cell>
          <cell r="N122">
            <v>5085.8527282539289</v>
          </cell>
          <cell r="O122">
            <v>3.2409094506922198E-3</v>
          </cell>
        </row>
        <row r="126">
          <cell r="B126" t="str">
            <v>WEATHER NORMALIZED</v>
          </cell>
          <cell r="G126" t="str">
            <v>WEATHER NORMALIZED</v>
          </cell>
          <cell r="L126" t="str">
            <v>NUMBER OF CUSTOMERS</v>
          </cell>
          <cell r="Q126" t="str">
            <v>WEATHER &amp; CUSTOMER NORMALIZED</v>
          </cell>
        </row>
        <row r="127">
          <cell r="B127" t="str">
            <v>BILLED &amp; UNBILLED BASE REVENUES</v>
          </cell>
          <cell r="G127" t="str">
            <v>BILLED &amp; UNBILLED MWH SALES</v>
          </cell>
          <cell r="L127" t="str">
            <v>Adj. for Event-Driven Billing</v>
          </cell>
          <cell r="Q127" t="str">
            <v>KWH SALES PER CUSTOMER</v>
          </cell>
        </row>
        <row r="129">
          <cell r="A129" t="str">
            <v>CLASS OF BUSINESS</v>
          </cell>
          <cell r="B129" t="str">
            <v>FEB'05 Actual</v>
          </cell>
          <cell r="C129" t="str">
            <v>FORECAST</v>
          </cell>
          <cell r="D129" t="str">
            <v>DIFF</v>
          </cell>
          <cell r="E129" t="str">
            <v>% DIFF</v>
          </cell>
          <cell r="G129" t="str">
            <v>FEB'05 Actual</v>
          </cell>
          <cell r="H129" t="str">
            <v>FORECAST</v>
          </cell>
          <cell r="I129" t="str">
            <v>DIFF</v>
          </cell>
          <cell r="J129" t="str">
            <v>% DIFF</v>
          </cell>
          <cell r="L129" t="str">
            <v>FEB'05 Actual</v>
          </cell>
          <cell r="M129" t="str">
            <v>FORECAST</v>
          </cell>
          <cell r="N129" t="str">
            <v>DIFF</v>
          </cell>
          <cell r="O129" t="str">
            <v>% DIFF</v>
          </cell>
          <cell r="Q129" t="str">
            <v>FEB'05 Actual</v>
          </cell>
          <cell r="R129" t="str">
            <v>FORECAST</v>
          </cell>
          <cell r="S129" t="str">
            <v>DIFF</v>
          </cell>
          <cell r="T129" t="str">
            <v>% DIFF</v>
          </cell>
        </row>
        <row r="131">
          <cell r="A131" t="str">
            <v xml:space="preserve">   RESIDENTIAL</v>
          </cell>
          <cell r="B131">
            <v>59908744.495047957</v>
          </cell>
          <cell r="C131">
            <v>62303881</v>
          </cell>
          <cell r="D131">
            <v>-2395136.5049520433</v>
          </cell>
          <cell r="E131">
            <v>-3.844281393886273E-2</v>
          </cell>
          <cell r="G131">
            <v>1383702</v>
          </cell>
          <cell r="H131">
            <v>1427348</v>
          </cell>
          <cell r="I131">
            <v>-43646</v>
          </cell>
          <cell r="J131">
            <v>-3.0578387330910228E-2</v>
          </cell>
          <cell r="L131">
            <v>1388413</v>
          </cell>
          <cell r="M131">
            <v>1384066.9574618973</v>
          </cell>
          <cell r="N131">
            <v>4346.0425381027162</v>
          </cell>
          <cell r="O131">
            <v>3.1400522313402845E-3</v>
          </cell>
          <cell r="Q131">
            <v>997</v>
          </cell>
          <cell r="R131">
            <v>1031</v>
          </cell>
          <cell r="S131">
            <v>-34</v>
          </cell>
          <cell r="T131">
            <v>-3.2977691561590694E-2</v>
          </cell>
        </row>
        <row r="132">
          <cell r="A132" t="str">
            <v xml:space="preserve">   COMMERCIAL</v>
          </cell>
          <cell r="B132">
            <v>20418412.941917613</v>
          </cell>
          <cell r="C132">
            <v>21323210</v>
          </cell>
          <cell r="D132">
            <v>-904797.05808238685</v>
          </cell>
          <cell r="E132">
            <v>-4.2432497643759448E-2</v>
          </cell>
          <cell r="G132">
            <v>759839</v>
          </cell>
          <cell r="H132">
            <v>806016</v>
          </cell>
          <cell r="I132">
            <v>-46177</v>
          </cell>
          <cell r="J132">
            <v>-5.7290425996506245E-2</v>
          </cell>
          <cell r="L132">
            <v>160523</v>
          </cell>
          <cell r="M132">
            <v>159680.18980984879</v>
          </cell>
          <cell r="N132">
            <v>842.81019015121274</v>
          </cell>
          <cell r="O132">
            <v>5.2781136542663365E-3</v>
          </cell>
          <cell r="Q132">
            <v>4734</v>
          </cell>
          <cell r="R132">
            <v>5048</v>
          </cell>
          <cell r="S132">
            <v>-314</v>
          </cell>
          <cell r="T132">
            <v>-6.2202852614896997E-2</v>
          </cell>
        </row>
        <row r="133">
          <cell r="A133" t="str">
            <v xml:space="preserve">   INDUSTRIAL</v>
          </cell>
          <cell r="B133">
            <v>4277450.0085778888</v>
          </cell>
          <cell r="C133">
            <v>6269657</v>
          </cell>
          <cell r="D133">
            <v>-1992206.9914221112</v>
          </cell>
          <cell r="E133">
            <v>-0.31775374496916042</v>
          </cell>
          <cell r="G133">
            <v>284187.35830489697</v>
          </cell>
          <cell r="H133">
            <v>317042</v>
          </cell>
          <cell r="I133">
            <v>-32854.641695103026</v>
          </cell>
          <cell r="J133">
            <v>-0.10362867284177812</v>
          </cell>
          <cell r="L133">
            <v>2712</v>
          </cell>
          <cell r="M133">
            <v>2813</v>
          </cell>
          <cell r="N133">
            <v>-101</v>
          </cell>
          <cell r="O133">
            <v>-3.590472804834699E-2</v>
          </cell>
          <cell r="Q133">
            <v>104789</v>
          </cell>
          <cell r="R133">
            <v>112706</v>
          </cell>
          <cell r="S133">
            <v>-7917</v>
          </cell>
          <cell r="T133">
            <v>-7.0244707468990142E-2</v>
          </cell>
        </row>
        <row r="134">
          <cell r="A134" t="str">
            <v xml:space="preserve">   ST &amp; HIGHWAY</v>
          </cell>
          <cell r="B134">
            <v>58018.875911203257</v>
          </cell>
          <cell r="C134">
            <v>30984</v>
          </cell>
          <cell r="D134">
            <v>27034.875911203257</v>
          </cell>
          <cell r="E134">
            <v>0.87254311616328617</v>
          </cell>
          <cell r="G134">
            <v>3570.5156987560326</v>
          </cell>
          <cell r="H134">
            <v>2008</v>
          </cell>
          <cell r="I134">
            <v>1562.5156987560326</v>
          </cell>
          <cell r="J134">
            <v>0.77814526830479713</v>
          </cell>
          <cell r="L134">
            <v>1826</v>
          </cell>
          <cell r="M134">
            <v>1850</v>
          </cell>
          <cell r="N134">
            <v>-24</v>
          </cell>
          <cell r="O134">
            <v>-1.2972972972972951E-2</v>
          </cell>
          <cell r="Q134">
            <v>1955</v>
          </cell>
          <cell r="R134">
            <v>1085</v>
          </cell>
          <cell r="S134">
            <v>870</v>
          </cell>
          <cell r="T134">
            <v>0.80184331797235031</v>
          </cell>
        </row>
        <row r="135">
          <cell r="A135" t="str">
            <v xml:space="preserve">   PUBLIC AUTHORITY</v>
          </cell>
          <cell r="B135">
            <v>5111367.2927945731</v>
          </cell>
          <cell r="C135">
            <v>5550901</v>
          </cell>
          <cell r="D135">
            <v>-439533.70720542688</v>
          </cell>
          <cell r="E135">
            <v>-7.918240790196529E-2</v>
          </cell>
          <cell r="G135">
            <v>211536</v>
          </cell>
          <cell r="H135">
            <v>229857</v>
          </cell>
          <cell r="I135">
            <v>-18321</v>
          </cell>
          <cell r="J135">
            <v>-7.9706078126835389E-2</v>
          </cell>
          <cell r="L135">
            <v>20854</v>
          </cell>
          <cell r="M135">
            <v>20833</v>
          </cell>
          <cell r="N135">
            <v>21</v>
          </cell>
          <cell r="O135">
            <v>1.0080161282579603E-3</v>
          </cell>
          <cell r="Q135">
            <v>10144</v>
          </cell>
          <cell r="R135">
            <v>11033</v>
          </cell>
          <cell r="S135">
            <v>-889</v>
          </cell>
          <cell r="T135">
            <v>-8.0576452460799475E-2</v>
          </cell>
        </row>
        <row r="136">
          <cell r="A136" t="str">
            <v xml:space="preserve">  TOTAL RETAIL</v>
          </cell>
          <cell r="B136">
            <v>89773993.614249229</v>
          </cell>
          <cell r="C136">
            <v>95478633</v>
          </cell>
          <cell r="D136">
            <v>-5704639.385750765</v>
          </cell>
          <cell r="E136">
            <v>-5.9747811698883102E-2</v>
          </cell>
          <cell r="G136">
            <v>2642834.8740036529</v>
          </cell>
          <cell r="H136">
            <v>2782271</v>
          </cell>
          <cell r="I136">
            <v>-139436.12599634699</v>
          </cell>
          <cell r="J136">
            <v>-5.0115939819071254E-2</v>
          </cell>
          <cell r="L136">
            <v>1574328</v>
          </cell>
          <cell r="M136">
            <v>1569243.1472717461</v>
          </cell>
          <cell r="N136">
            <v>5084.8527282539289</v>
          </cell>
          <cell r="O136">
            <v>3.2403217672762885E-3</v>
          </cell>
          <cell r="Q136">
            <v>1679</v>
          </cell>
          <cell r="R136">
            <v>1773</v>
          </cell>
          <cell r="S136">
            <v>-94</v>
          </cell>
          <cell r="T136">
            <v>-5.3017484489565669E-2</v>
          </cell>
        </row>
        <row r="137">
          <cell r="A137" t="str">
            <v xml:space="preserve">  Provision For Refund</v>
          </cell>
          <cell r="B137">
            <v>-102567</v>
          </cell>
          <cell r="C137">
            <v>-1370216</v>
          </cell>
          <cell r="D137">
            <v>1267649</v>
          </cell>
          <cell r="E137">
            <v>-0.92514537853885814</v>
          </cell>
        </row>
        <row r="139">
          <cell r="A139" t="str">
            <v xml:space="preserve">   REA</v>
          </cell>
          <cell r="B139">
            <v>4550674.0055</v>
          </cell>
          <cell r="C139">
            <v>4377275.9959500004</v>
          </cell>
          <cell r="D139">
            <v>173398.00954999961</v>
          </cell>
          <cell r="E139">
            <v>3.9613222860617636E-2</v>
          </cell>
          <cell r="G139">
            <v>86560.404999999999</v>
          </cell>
          <cell r="H139">
            <v>115481</v>
          </cell>
          <cell r="I139">
            <v>-28920.595000000001</v>
          </cell>
          <cell r="J139">
            <v>-0.25043595916211325</v>
          </cell>
          <cell r="L139">
            <v>6</v>
          </cell>
          <cell r="M139">
            <v>5</v>
          </cell>
          <cell r="N139">
            <v>1</v>
          </cell>
          <cell r="O139">
            <v>0.19999999999999996</v>
          </cell>
        </row>
        <row r="140">
          <cell r="A140" t="str">
            <v xml:space="preserve">   Oth Whol (w/Ref $ or Interchg MWh)</v>
          </cell>
          <cell r="B140">
            <v>5801954.0504999999</v>
          </cell>
          <cell r="C140">
            <v>5479615</v>
          </cell>
          <cell r="D140">
            <v>322339.0504999999</v>
          </cell>
          <cell r="E140">
            <v>5.8825127404023902E-2</v>
          </cell>
          <cell r="G140">
            <v>325555.147</v>
          </cell>
          <cell r="H140">
            <v>436700</v>
          </cell>
          <cell r="I140">
            <v>-111144.853</v>
          </cell>
          <cell r="J140">
            <v>-0.25451076940691553</v>
          </cell>
          <cell r="L140">
            <v>19</v>
          </cell>
          <cell r="M140">
            <v>19</v>
          </cell>
          <cell r="N140">
            <v>0</v>
          </cell>
          <cell r="O140">
            <v>0</v>
          </cell>
        </row>
        <row r="142">
          <cell r="A142" t="str">
            <v xml:space="preserve">      WHOLESALE (Not W/N) </v>
          </cell>
          <cell r="B142">
            <v>10352628.056</v>
          </cell>
          <cell r="C142">
            <v>9856890.9959500004</v>
          </cell>
          <cell r="D142">
            <v>495737.06004999951</v>
          </cell>
          <cell r="E142">
            <v>5.0293450567089337E-2</v>
          </cell>
          <cell r="G142">
            <v>460881.478</v>
          </cell>
          <cell r="H142">
            <v>552181</v>
          </cell>
          <cell r="I142">
            <v>-91299.521999999997</v>
          </cell>
          <cell r="J142">
            <v>-0.16534346889878504</v>
          </cell>
          <cell r="L142">
            <v>25</v>
          </cell>
          <cell r="M142">
            <v>24</v>
          </cell>
          <cell r="N142">
            <v>1</v>
          </cell>
          <cell r="O142">
            <v>4.1666666666666741E-2</v>
          </cell>
        </row>
        <row r="144">
          <cell r="A144" t="str">
            <v xml:space="preserve"> TOTAL SYSTEM</v>
          </cell>
          <cell r="B144">
            <v>100024054.67024922</v>
          </cell>
          <cell r="C144">
            <v>103965307.99595</v>
          </cell>
          <cell r="D144">
            <v>-3941253.3257007655</v>
          </cell>
          <cell r="E144">
            <v>-3.7909312266494744E-2</v>
          </cell>
          <cell r="G144">
            <v>3103716.3520036531</v>
          </cell>
          <cell r="H144">
            <v>3334452</v>
          </cell>
          <cell r="I144">
            <v>-230735.64799634699</v>
          </cell>
          <cell r="J144">
            <v>-6.9197471727392323E-2</v>
          </cell>
          <cell r="L144">
            <v>1574353</v>
          </cell>
          <cell r="M144">
            <v>1569267.1472717461</v>
          </cell>
          <cell r="N144">
            <v>5085.8527282539289</v>
          </cell>
          <cell r="O144">
            <v>3.2409094506922198E-3</v>
          </cell>
        </row>
        <row r="147">
          <cell r="A147" t="str">
            <v>REVENUES - SALES - CUSTOMERS - USE PER CUSTOMER   -  PERCENT VARIANCES BY CLASS   (Work sheet)</v>
          </cell>
        </row>
        <row r="148">
          <cell r="B148" t="str">
            <v>Revenue</v>
          </cell>
          <cell r="G148" t="str">
            <v>Energy</v>
          </cell>
        </row>
        <row r="149">
          <cell r="A149" t="str">
            <v>CLASS OF BUSINESS</v>
          </cell>
          <cell r="B149" t="str">
            <v>WEATHER</v>
          </cell>
          <cell r="C149" t="str">
            <v>CUSTS</v>
          </cell>
          <cell r="D149" t="str">
            <v>MISC</v>
          </cell>
          <cell r="E149" t="str">
            <v>SUM</v>
          </cell>
          <cell r="G149" t="str">
            <v>WEATHER</v>
          </cell>
          <cell r="H149" t="str">
            <v>CUSTS</v>
          </cell>
          <cell r="I149" t="str">
            <v>MISC</v>
          </cell>
          <cell r="J149" t="str">
            <v>SUM</v>
          </cell>
        </row>
        <row r="151">
          <cell r="A151" t="str">
            <v xml:space="preserve">   RESIDENTIAL</v>
          </cell>
          <cell r="B151">
            <v>-7.4480944979323671E-2</v>
          </cell>
          <cell r="C151">
            <v>3.1400522313402845E-3</v>
          </cell>
          <cell r="D151">
            <v>-4.1582866170203014E-2</v>
          </cell>
          <cell r="E151">
            <v>-3.844281393886273E-2</v>
          </cell>
          <cell r="G151">
            <v>-9.0965321641899743E-2</v>
          </cell>
          <cell r="H151">
            <v>3.1400522313402845E-3</v>
          </cell>
          <cell r="I151">
            <v>-3.3718439562250513E-2</v>
          </cell>
          <cell r="J151">
            <v>-3.0578387330910228E-2</v>
          </cell>
        </row>
        <row r="152">
          <cell r="A152" t="str">
            <v xml:space="preserve">   COMMERCIAL</v>
          </cell>
          <cell r="B152">
            <v>-1.9423963090540175E-3</v>
          </cell>
          <cell r="C152">
            <v>5.2781136542663365E-3</v>
          </cell>
          <cell r="D152">
            <v>-4.7710611298025785E-2</v>
          </cell>
          <cell r="E152">
            <v>-4.2432497643759448E-2</v>
          </cell>
          <cell r="G152">
            <v>-2.1393102016666887E-3</v>
          </cell>
          <cell r="H152">
            <v>5.2781136542663365E-3</v>
          </cell>
          <cell r="I152">
            <v>-6.2568539650772581E-2</v>
          </cell>
          <cell r="J152">
            <v>-5.7290425996506245E-2</v>
          </cell>
        </row>
        <row r="153">
          <cell r="A153" t="str">
            <v xml:space="preserve">   INDUSTRIAL</v>
          </cell>
          <cell r="B153">
            <v>0</v>
          </cell>
          <cell r="C153">
            <v>-3.590472804834699E-2</v>
          </cell>
          <cell r="D153">
            <v>-0.28184901692081343</v>
          </cell>
          <cell r="E153">
            <v>-0.31775374496916042</v>
          </cell>
          <cell r="G153">
            <v>0</v>
          </cell>
          <cell r="H153">
            <v>-3.590472804834699E-2</v>
          </cell>
          <cell r="I153">
            <v>-6.7723944793431134E-2</v>
          </cell>
          <cell r="J153">
            <v>-0.10362867284177812</v>
          </cell>
        </row>
        <row r="154">
          <cell r="A154" t="str">
            <v xml:space="preserve">   ST &amp; HIGHWAY</v>
          </cell>
          <cell r="B154">
            <v>0</v>
          </cell>
          <cell r="C154">
            <v>-1.2972972972972951E-2</v>
          </cell>
          <cell r="D154">
            <v>0.88551608913625912</v>
          </cell>
          <cell r="E154">
            <v>0.87254311616328617</v>
          </cell>
          <cell r="G154">
            <v>0</v>
          </cell>
          <cell r="H154">
            <v>-1.2972972972972951E-2</v>
          </cell>
          <cell r="I154">
            <v>0.79111824127777008</v>
          </cell>
          <cell r="J154">
            <v>0.77814526830479713</v>
          </cell>
        </row>
        <row r="155">
          <cell r="A155" t="str">
            <v xml:space="preserve">   PUBLIC AUTHORITY</v>
          </cell>
          <cell r="B155">
            <v>-8.9837030122821293E-3</v>
          </cell>
          <cell r="C155">
            <v>1.0080161282579603E-3</v>
          </cell>
          <cell r="D155">
            <v>-8.0190424030223251E-2</v>
          </cell>
          <cell r="E155">
            <v>-7.918240790196529E-2</v>
          </cell>
          <cell r="G155">
            <v>-9.5684962268899332E-3</v>
          </cell>
          <cell r="H155">
            <v>1.0080161282579603E-3</v>
          </cell>
          <cell r="I155">
            <v>-8.0714094255093349E-2</v>
          </cell>
          <cell r="J155">
            <v>-7.9706078126835389E-2</v>
          </cell>
        </row>
        <row r="157">
          <cell r="A157" t="str">
            <v xml:space="preserve">       TOTAL RETAIL</v>
          </cell>
          <cell r="B157">
            <v>-4.9560995016018183E-2</v>
          </cell>
          <cell r="C157">
            <v>3.2403217672762885E-3</v>
          </cell>
          <cell r="D157">
            <v>-6.2988133466159391E-2</v>
          </cell>
          <cell r="E157">
            <v>-5.9747811698883102E-2</v>
          </cell>
          <cell r="G157">
            <v>-4.8076867423645364E-2</v>
          </cell>
          <cell r="H157">
            <v>3.2403217672762885E-3</v>
          </cell>
          <cell r="I157">
            <v>-5.3356261586347542E-2</v>
          </cell>
          <cell r="J157">
            <v>-5.0115939819071254E-2</v>
          </cell>
        </row>
        <row r="159">
          <cell r="A159" t="str">
            <v>REVENUES - SALES - CUSTOMERS - USE PER CUSTOMER   -  DOLLAR VARIANCES BY CLASS   (Work sheet)</v>
          </cell>
        </row>
        <row r="160">
          <cell r="B160" t="str">
            <v>Revenue  -- $</v>
          </cell>
          <cell r="G160" t="str">
            <v>Energy --  MWh</v>
          </cell>
        </row>
        <row r="161">
          <cell r="A161" t="str">
            <v>CLASS OF BUSINESS</v>
          </cell>
          <cell r="B161" t="str">
            <v>WEATHER</v>
          </cell>
          <cell r="C161" t="str">
            <v>CUSTS</v>
          </cell>
          <cell r="D161" t="str">
            <v>MISC</v>
          </cell>
          <cell r="E161" t="str">
            <v>SUM</v>
          </cell>
          <cell r="G161" t="str">
            <v>WEATHER</v>
          </cell>
          <cell r="H161" t="str">
            <v>CUSTS</v>
          </cell>
          <cell r="I161" t="str">
            <v>MISC</v>
          </cell>
          <cell r="J161" t="str">
            <v>SUM</v>
          </cell>
        </row>
        <row r="163">
          <cell r="A163" t="str">
            <v xml:space="preserve">   RESIDENTIAL</v>
          </cell>
          <cell r="B163">
            <v>-4640451.9327593297</v>
          </cell>
          <cell r="C163">
            <v>195637.44055520941</v>
          </cell>
          <cell r="D163">
            <v>-2590773.9455072531</v>
          </cell>
          <cell r="E163">
            <v>-7035588.437711373</v>
          </cell>
          <cell r="G163">
            <v>-129839.16991492244</v>
          </cell>
          <cell r="H163">
            <v>4481.9472722990877</v>
          </cell>
          <cell r="I163">
            <v>-48127.947272299083</v>
          </cell>
          <cell r="J163">
            <v>-173485.16991492244</v>
          </cell>
        </row>
        <row r="164">
          <cell r="A164" t="str">
            <v xml:space="preserve">   COMMERCIAL</v>
          </cell>
          <cell r="B164">
            <v>-41418.124401185662</v>
          </cell>
          <cell r="C164">
            <v>112546.32585378837</v>
          </cell>
          <cell r="D164">
            <v>-1017343.3839361751</v>
          </cell>
          <cell r="E164">
            <v>-946215.1824835724</v>
          </cell>
          <cell r="G164">
            <v>-1724.3182515065419</v>
          </cell>
          <cell r="H164">
            <v>4254.2440551571372</v>
          </cell>
          <cell r="I164">
            <v>-50431.244055157142</v>
          </cell>
          <cell r="J164">
            <v>-47901.318251506549</v>
          </cell>
        </row>
        <row r="165">
          <cell r="A165" t="str">
            <v xml:space="preserve">   INDUSTRIAL</v>
          </cell>
          <cell r="B165">
            <v>0</v>
          </cell>
          <cell r="C165">
            <v>-225110.32954141501</v>
          </cell>
          <cell r="D165">
            <v>-1767096.6618806962</v>
          </cell>
          <cell r="E165">
            <v>-1992206.9914221112</v>
          </cell>
          <cell r="G165">
            <v>0</v>
          </cell>
          <cell r="H165">
            <v>-11383.306789904029</v>
          </cell>
          <cell r="I165">
            <v>-21471.334905198997</v>
          </cell>
          <cell r="J165">
            <v>-32854.641695103026</v>
          </cell>
        </row>
        <row r="166">
          <cell r="A166" t="str">
            <v xml:space="preserve">   ST &amp; HIGHWAY</v>
          </cell>
          <cell r="B166">
            <v>0</v>
          </cell>
          <cell r="C166">
            <v>-401.95459459459391</v>
          </cell>
          <cell r="D166">
            <v>27436.83050579785</v>
          </cell>
          <cell r="E166">
            <v>27034.875911203257</v>
          </cell>
          <cell r="G166">
            <v>0</v>
          </cell>
          <cell r="H166">
            <v>-26.049729729729687</v>
          </cell>
          <cell r="I166">
            <v>1588.5654284857624</v>
          </cell>
          <cell r="J166">
            <v>1562.5156987560326</v>
          </cell>
        </row>
        <row r="167">
          <cell r="A167" t="str">
            <v xml:space="preserve">   PUBLIC AUTHORITY</v>
          </cell>
          <cell r="B167">
            <v>-50145.99708871264</v>
          </cell>
          <cell r="C167">
            <v>5595.3977343632378</v>
          </cell>
          <cell r="D167">
            <v>-445129.10493979009</v>
          </cell>
          <cell r="E167">
            <v>-489679.70429413952</v>
          </cell>
          <cell r="G167">
            <v>-2199.3858372242539</v>
          </cell>
          <cell r="H167">
            <v>231.69956319298996</v>
          </cell>
          <cell r="I167">
            <v>-18552.699563192993</v>
          </cell>
          <cell r="J167">
            <v>-20520.385837224258</v>
          </cell>
        </row>
        <row r="168">
          <cell r="A168" t="str">
            <v xml:space="preserve">    TOTAL RETAIL   (Pre Tax)</v>
          </cell>
          <cell r="B168">
            <v>-4732016.054249228</v>
          </cell>
          <cell r="C168">
            <v>88266.880007351399</v>
          </cell>
          <cell r="D168">
            <v>-5792906.2657581177</v>
          </cell>
          <cell r="E168">
            <v>-10436655.439999992</v>
          </cell>
          <cell r="G168">
            <v>-133762.87400365324</v>
          </cell>
          <cell r="H168">
            <v>-2441.4656289845439</v>
          </cell>
          <cell r="I168">
            <v>-136994.66036736246</v>
          </cell>
          <cell r="J168">
            <v>-273199.00000000023</v>
          </cell>
        </row>
        <row r="169">
          <cell r="A169" t="str">
            <v xml:space="preserve">           Provision For Refund</v>
          </cell>
          <cell r="D169">
            <v>1267649</v>
          </cell>
          <cell r="E169">
            <v>1267649</v>
          </cell>
        </row>
        <row r="170">
          <cell r="A170" t="str">
            <v>Variance with Prov for Refund</v>
          </cell>
          <cell r="D170">
            <v>-4525257.2657581177</v>
          </cell>
          <cell r="E170">
            <v>-9169006.439999992</v>
          </cell>
        </row>
        <row r="171">
          <cell r="A171" t="str">
            <v>Notes:</v>
          </cell>
          <cell r="B171" t="str">
            <v>Again, weather conditions were milder than normal (-$4.7 million) amounted to more than half of FEBRUARY's -$8.4 mill unfavorable retail variance (ex refund).  Customer growth was as expected (+$0.08 mill) but an unfavorable Miscellaneous variance of  -$3</v>
          </cell>
        </row>
        <row r="174">
          <cell r="A174" t="str">
            <v>FEBRUARY 2005   VS.  FEBRUARY BUDGET  -  BILLING MONTH BASIS</v>
          </cell>
        </row>
        <row r="176">
          <cell r="B176" t="str">
            <v>WEATHER NORMALIZED</v>
          </cell>
          <cell r="G176" t="str">
            <v>WEATHER NORMALIZED</v>
          </cell>
          <cell r="L176" t="str">
            <v>NUMBER OF CUSTOMERS</v>
          </cell>
          <cell r="Q176" t="str">
            <v>WEATHER &amp; CUSTOMER NORMALIZED</v>
          </cell>
        </row>
        <row r="177">
          <cell r="B177" t="str">
            <v>BILLED BASE REVENUES</v>
          </cell>
          <cell r="G177" t="str">
            <v>BILLED  MWH SALES</v>
          </cell>
          <cell r="L177" t="str">
            <v>Adj. for Event-Driven Billing</v>
          </cell>
          <cell r="Q177" t="str">
            <v>BILLED KWH SALES PER CUSTOMER</v>
          </cell>
        </row>
        <row r="179">
          <cell r="A179" t="str">
            <v>CLASS OF BUSINESS</v>
          </cell>
          <cell r="B179" t="str">
            <v>FEB'05 Actual</v>
          </cell>
          <cell r="C179" t="str">
            <v>FORECAST</v>
          </cell>
          <cell r="D179" t="str">
            <v>DIFF</v>
          </cell>
          <cell r="E179" t="str">
            <v>% DIFF</v>
          </cell>
          <cell r="G179" t="str">
            <v>FEB'05 Actual</v>
          </cell>
          <cell r="H179" t="str">
            <v>FORECAST</v>
          </cell>
          <cell r="I179" t="str">
            <v>DIFF</v>
          </cell>
          <cell r="J179" t="str">
            <v>% DIFF</v>
          </cell>
          <cell r="L179" t="str">
            <v>FEB'05 Actual</v>
          </cell>
          <cell r="M179" t="str">
            <v>FORECAST</v>
          </cell>
          <cell r="N179" t="str">
            <v>DIFF</v>
          </cell>
          <cell r="O179" t="str">
            <v>% DIFF</v>
          </cell>
          <cell r="Q179" t="str">
            <v>FEB'05 Actual</v>
          </cell>
          <cell r="R179" t="str">
            <v>FORECAST</v>
          </cell>
          <cell r="S179" t="str">
            <v>DIFF</v>
          </cell>
          <cell r="T179" t="str">
            <v>% DIFF</v>
          </cell>
        </row>
        <row r="181">
          <cell r="A181" t="str">
            <v xml:space="preserve">   RESIDENTIAL</v>
          </cell>
          <cell r="B181">
            <v>64367498.650000006</v>
          </cell>
          <cell r="C181">
            <v>66119839.232374869</v>
          </cell>
          <cell r="D181">
            <v>-1752340.5823748633</v>
          </cell>
          <cell r="E181">
            <v>-2.6502493090104884E-2</v>
          </cell>
          <cell r="G181">
            <v>1491938</v>
          </cell>
          <cell r="H181">
            <v>1521212</v>
          </cell>
          <cell r="I181">
            <v>-29274</v>
          </cell>
          <cell r="J181">
            <v>-1.9243866075208449E-2</v>
          </cell>
          <cell r="L181">
            <v>1388413</v>
          </cell>
          <cell r="M181">
            <v>1384066.9574618973</v>
          </cell>
          <cell r="N181">
            <v>4346.0425381027162</v>
          </cell>
          <cell r="O181">
            <v>3.1400522313402845E-3</v>
          </cell>
          <cell r="Q181">
            <v>1075</v>
          </cell>
          <cell r="R181">
            <v>1099</v>
          </cell>
          <cell r="S181">
            <v>-24</v>
          </cell>
          <cell r="T181">
            <v>-2.1838034576888044E-2</v>
          </cell>
        </row>
        <row r="182">
          <cell r="A182" t="str">
            <v xml:space="preserve">   COMMERCIAL</v>
          </cell>
          <cell r="B182">
            <v>22134432.479999997</v>
          </cell>
          <cell r="C182">
            <v>22730555.86908615</v>
          </cell>
          <cell r="D182">
            <v>-596123.38908615336</v>
          </cell>
          <cell r="E182">
            <v>-2.6225640609910839E-2</v>
          </cell>
          <cell r="G182">
            <v>848471</v>
          </cell>
          <cell r="H182">
            <v>863894</v>
          </cell>
          <cell r="I182">
            <v>-15423</v>
          </cell>
          <cell r="J182">
            <v>-1.7852884728913554E-2</v>
          </cell>
          <cell r="L182">
            <v>160523</v>
          </cell>
          <cell r="M182">
            <v>159680.18980984879</v>
          </cell>
          <cell r="N182">
            <v>842.81019015121274</v>
          </cell>
          <cell r="O182">
            <v>5.2781136542663365E-3</v>
          </cell>
          <cell r="Q182">
            <v>5286</v>
          </cell>
          <cell r="R182">
            <v>5410</v>
          </cell>
          <cell r="S182">
            <v>-124</v>
          </cell>
          <cell r="T182">
            <v>-2.2920517560073961E-2</v>
          </cell>
        </row>
        <row r="183">
          <cell r="A183" t="str">
            <v xml:space="preserve">   INDUSTRIAL</v>
          </cell>
          <cell r="B183">
            <v>5253522.3199999994</v>
          </cell>
          <cell r="C183">
            <v>6637831.0100372648</v>
          </cell>
          <cell r="D183">
            <v>-1384308.6900372654</v>
          </cell>
          <cell r="E183">
            <v>-0.20854834778770515</v>
          </cell>
          <cell r="G183">
            <v>312423.88299999997</v>
          </cell>
          <cell r="H183">
            <v>335741</v>
          </cell>
          <cell r="I183">
            <v>-23317.117000000027</v>
          </cell>
          <cell r="J183">
            <v>-6.9449715703473913E-2</v>
          </cell>
          <cell r="L183">
            <v>2712</v>
          </cell>
          <cell r="M183">
            <v>2813</v>
          </cell>
          <cell r="N183">
            <v>-101</v>
          </cell>
          <cell r="O183">
            <v>-3.590472804834699E-2</v>
          </cell>
          <cell r="Q183">
            <v>115201</v>
          </cell>
          <cell r="R183">
            <v>119353</v>
          </cell>
          <cell r="S183">
            <v>-4152</v>
          </cell>
          <cell r="T183">
            <v>-3.4787562943537242E-2</v>
          </cell>
        </row>
        <row r="184">
          <cell r="A184" t="str">
            <v xml:space="preserve">   ST &amp; HIGHWAY</v>
          </cell>
          <cell r="B184">
            <v>45379.98</v>
          </cell>
          <cell r="C184">
            <v>33637.127048043483</v>
          </cell>
          <cell r="D184">
            <v>11742.85295195652</v>
          </cell>
          <cell r="E184">
            <v>0.34910392124703016</v>
          </cell>
          <cell r="G184">
            <v>2981.4659999999999</v>
          </cell>
          <cell r="H184">
            <v>2180</v>
          </cell>
          <cell r="I184">
            <v>801.46599999999989</v>
          </cell>
          <cell r="J184">
            <v>0.36764495412844034</v>
          </cell>
          <cell r="L184">
            <v>1826</v>
          </cell>
          <cell r="M184">
            <v>1850</v>
          </cell>
          <cell r="N184">
            <v>-24</v>
          </cell>
          <cell r="O184">
            <v>-1.2972972972972951E-2</v>
          </cell>
          <cell r="Q184">
            <v>1633</v>
          </cell>
          <cell r="R184">
            <v>1178</v>
          </cell>
          <cell r="S184">
            <v>455</v>
          </cell>
          <cell r="T184">
            <v>0.38624787775891334</v>
          </cell>
        </row>
        <row r="185">
          <cell r="A185" t="str">
            <v xml:space="preserve">   PUBLIC AUTHORITY</v>
          </cell>
          <cell r="B185">
            <v>5517337.0699999984</v>
          </cell>
          <cell r="C185">
            <v>5689837.9155006101</v>
          </cell>
          <cell r="D185">
            <v>-172500.8455006117</v>
          </cell>
          <cell r="E185">
            <v>-3.0317356673847273E-2</v>
          </cell>
          <cell r="G185">
            <v>232561</v>
          </cell>
          <cell r="H185">
            <v>235839</v>
          </cell>
          <cell r="I185">
            <v>-3278</v>
          </cell>
          <cell r="J185">
            <v>-1.3899312666692087E-2</v>
          </cell>
          <cell r="L185">
            <v>20854</v>
          </cell>
          <cell r="M185">
            <v>20833</v>
          </cell>
          <cell r="N185">
            <v>21</v>
          </cell>
          <cell r="O185">
            <v>1.0080161282579603E-3</v>
          </cell>
          <cell r="Q185">
            <v>11152</v>
          </cell>
          <cell r="R185">
            <v>11320</v>
          </cell>
          <cell r="S185">
            <v>-168</v>
          </cell>
          <cell r="T185">
            <v>-1.4840989399293236E-2</v>
          </cell>
        </row>
        <row r="186">
          <cell r="A186" t="str">
            <v xml:space="preserve">      TOTAL RETAIL</v>
          </cell>
          <cell r="B186">
            <v>97318170.499999985</v>
          </cell>
          <cell r="C186">
            <v>101211701.15404694</v>
          </cell>
          <cell r="D186">
            <v>-3893530.6540469374</v>
          </cell>
          <cell r="E186">
            <v>-3.8469175101808584E-2</v>
          </cell>
          <cell r="G186">
            <v>2888375.3489999999</v>
          </cell>
          <cell r="H186">
            <v>2958866</v>
          </cell>
          <cell r="I186">
            <v>-70490.651000000071</v>
          </cell>
          <cell r="J186">
            <v>-2.3823536111469701E-2</v>
          </cell>
          <cell r="L186">
            <v>1574328</v>
          </cell>
          <cell r="M186">
            <v>1569243.1472717461</v>
          </cell>
          <cell r="N186">
            <v>5084.8527282539289</v>
          </cell>
          <cell r="O186">
            <v>3.2403217672762885E-3</v>
          </cell>
          <cell r="Q186">
            <v>1835</v>
          </cell>
          <cell r="R186">
            <v>1886</v>
          </cell>
          <cell r="S186">
            <v>-51</v>
          </cell>
          <cell r="T186">
            <v>-2.7041357370095387E-2</v>
          </cell>
        </row>
        <row r="187">
          <cell r="A187" t="str">
            <v xml:space="preserve">  Provision For Refund</v>
          </cell>
          <cell r="B187">
            <v>-102567</v>
          </cell>
          <cell r="C187">
            <v>-1370216</v>
          </cell>
          <cell r="D187">
            <v>1267649</v>
          </cell>
          <cell r="E187">
            <v>-0.92514537853885814</v>
          </cell>
        </row>
        <row r="189">
          <cell r="A189" t="str">
            <v xml:space="preserve">   REA</v>
          </cell>
          <cell r="B189">
            <v>4292877.5855</v>
          </cell>
          <cell r="C189">
            <v>4400283.9082823228</v>
          </cell>
          <cell r="D189">
            <v>-107406.32278232276</v>
          </cell>
          <cell r="E189">
            <v>-2.4408952926914584E-2</v>
          </cell>
          <cell r="G189">
            <v>86560.404999999999</v>
          </cell>
          <cell r="H189">
            <v>111182.67392</v>
          </cell>
          <cell r="I189">
            <v>-24622.268920000002</v>
          </cell>
          <cell r="J189">
            <v>-0.22145778700840224</v>
          </cell>
          <cell r="L189">
            <v>6</v>
          </cell>
          <cell r="M189">
            <v>5</v>
          </cell>
          <cell r="N189">
            <v>1</v>
          </cell>
          <cell r="O189">
            <v>0.19999999999999996</v>
          </cell>
        </row>
        <row r="190">
          <cell r="A190" t="str">
            <v xml:space="preserve">   Oth Whol (w/Ref $ or Interchg MWh)</v>
          </cell>
          <cell r="B190">
            <v>5707970.4704999998</v>
          </cell>
          <cell r="C190">
            <v>5243632.3922776394</v>
          </cell>
          <cell r="D190">
            <v>464338.07822236046</v>
          </cell>
          <cell r="E190">
            <v>8.8552751887450487E-2</v>
          </cell>
          <cell r="G190">
            <v>325555.147</v>
          </cell>
          <cell r="H190">
            <v>262187.43540315225</v>
          </cell>
          <cell r="I190">
            <v>63367.711596847745</v>
          </cell>
          <cell r="J190">
            <v>0.24168859007072729</v>
          </cell>
          <cell r="L190">
            <v>19</v>
          </cell>
          <cell r="M190">
            <v>19</v>
          </cell>
          <cell r="N190">
            <v>0</v>
          </cell>
          <cell r="O190">
            <v>0</v>
          </cell>
        </row>
        <row r="192">
          <cell r="A192" t="str">
            <v xml:space="preserve">     WHOLESALE (Not W/N)</v>
          </cell>
          <cell r="B192">
            <v>10000848.056</v>
          </cell>
          <cell r="C192">
            <v>9643916.3005599622</v>
          </cell>
          <cell r="D192">
            <v>356931.7554400377</v>
          </cell>
          <cell r="E192">
            <v>3.7011079764277088E-2</v>
          </cell>
          <cell r="G192">
            <v>412115.55200000003</v>
          </cell>
          <cell r="H192">
            <v>373370.10932315222</v>
          </cell>
          <cell r="I192">
            <v>38745.442676847801</v>
          </cell>
          <cell r="J192">
            <v>0.10377221344013265</v>
          </cell>
          <cell r="L192">
            <v>25</v>
          </cell>
          <cell r="M192">
            <v>24</v>
          </cell>
          <cell r="N192">
            <v>1</v>
          </cell>
          <cell r="O192">
            <v>4.1666666666666741E-2</v>
          </cell>
        </row>
        <row r="194">
          <cell r="A194" t="str">
            <v xml:space="preserve"> TOTAL SYSTEM</v>
          </cell>
          <cell r="B194">
            <v>107216451.55599998</v>
          </cell>
          <cell r="C194">
            <v>109485401.45460691</v>
          </cell>
          <cell r="D194">
            <v>-2268949.8986068997</v>
          </cell>
          <cell r="E194">
            <v>-2.0723766533820909E-2</v>
          </cell>
          <cell r="G194">
            <v>3300490.9010000001</v>
          </cell>
          <cell r="H194">
            <v>3332236.1093231523</v>
          </cell>
          <cell r="I194">
            <v>-31745.20832315227</v>
          </cell>
          <cell r="J194">
            <v>-9.5266983736036481E-3</v>
          </cell>
          <cell r="L194">
            <v>1574353</v>
          </cell>
          <cell r="M194">
            <v>1569267.1472717461</v>
          </cell>
          <cell r="N194">
            <v>5085.8527282539289</v>
          </cell>
          <cell r="O194">
            <v>3.2409094506922198E-3</v>
          </cell>
        </row>
      </sheetData>
      <sheetData sheetId="2" refreshError="1"/>
      <sheetData sheetId="3" refreshError="1">
        <row r="1">
          <cell r="A1" t="str">
            <v>2004   VS.  2005</v>
          </cell>
        </row>
        <row r="2">
          <cell r="A2" t="str">
            <v>REVENUES - SALES - CUSTOMERS - USE PER CUSTOMER</v>
          </cell>
        </row>
        <row r="4">
          <cell r="A4" t="str">
            <v>APRIL 2005</v>
          </cell>
        </row>
        <row r="6">
          <cell r="B6" t="str">
            <v>BASE REVENUES $</v>
          </cell>
          <cell r="G6" t="str">
            <v>BILLED &amp; UNBILLED MWH SALES</v>
          </cell>
          <cell r="L6" t="str">
            <v>NUMBER OF CUSTOMERS</v>
          </cell>
          <cell r="Q6" t="str">
            <v>KWH SALES PER CUSTOMER</v>
          </cell>
        </row>
        <row r="8">
          <cell r="A8" t="str">
            <v>CLASS OF BUSINESS</v>
          </cell>
          <cell r="B8" t="str">
            <v>Apr'05 Actual</v>
          </cell>
          <cell r="C8" t="str">
            <v>Apr'04 Actual</v>
          </cell>
          <cell r="D8" t="str">
            <v>DIFF</v>
          </cell>
          <cell r="E8" t="str">
            <v>% DIFF</v>
          </cell>
          <cell r="G8" t="str">
            <v>Apr'05 Actual</v>
          </cell>
          <cell r="H8" t="str">
            <v>Apr'04 Actual</v>
          </cell>
          <cell r="I8" t="str">
            <v>DIFF</v>
          </cell>
          <cell r="J8" t="str">
            <v>% DIFF</v>
          </cell>
          <cell r="L8" t="str">
            <v>Apr'05 Actual</v>
          </cell>
          <cell r="M8" t="str">
            <v>Apr'04 Actual</v>
          </cell>
          <cell r="N8" t="str">
            <v>DIFF</v>
          </cell>
          <cell r="O8" t="str">
            <v>% DIFF</v>
          </cell>
          <cell r="Q8" t="str">
            <v>Apr'05 Actual</v>
          </cell>
          <cell r="R8" t="str">
            <v>Apr'04 Actual</v>
          </cell>
          <cell r="S8" t="str">
            <v>DIFF</v>
          </cell>
          <cell r="T8" t="str">
            <v>% DIFF</v>
          </cell>
        </row>
        <row r="10">
          <cell r="A10" t="str">
            <v xml:space="preserve">   RESIDENTIAL</v>
          </cell>
          <cell r="B10">
            <v>57240004.040000014</v>
          </cell>
          <cell r="C10">
            <v>52534761.190000013</v>
          </cell>
          <cell r="D10">
            <v>4705242.8500000015</v>
          </cell>
          <cell r="E10">
            <v>8.9564371159559952E-2</v>
          </cell>
          <cell r="G10">
            <v>1305121.6839999999</v>
          </cell>
          <cell r="H10">
            <v>1186688.6040000001</v>
          </cell>
          <cell r="I10">
            <v>118433.07999999984</v>
          </cell>
          <cell r="J10">
            <v>9.9801312324728331E-2</v>
          </cell>
          <cell r="L10">
            <v>1379332</v>
          </cell>
          <cell r="M10">
            <v>1354068</v>
          </cell>
          <cell r="N10">
            <v>25264</v>
          </cell>
          <cell r="O10">
            <v>1.8657851747474918E-2</v>
          </cell>
          <cell r="Q10">
            <v>946</v>
          </cell>
          <cell r="R10">
            <v>876</v>
          </cell>
          <cell r="S10">
            <v>70</v>
          </cell>
          <cell r="T10">
            <v>7.9908675799086781E-2</v>
          </cell>
        </row>
        <row r="11">
          <cell r="A11" t="str">
            <v xml:space="preserve">   COMMERCIAL</v>
          </cell>
          <cell r="B11">
            <v>23541028.870000001</v>
          </cell>
          <cell r="C11">
            <v>22147606.280000001</v>
          </cell>
          <cell r="D11">
            <v>1393422.5899999999</v>
          </cell>
          <cell r="E11">
            <v>6.2915268240898214E-2</v>
          </cell>
          <cell r="G11">
            <v>922018.96</v>
          </cell>
          <cell r="H11">
            <v>874499.51199999999</v>
          </cell>
          <cell r="I11">
            <v>47519.447999999975</v>
          </cell>
          <cell r="J11">
            <v>5.4339021746646843E-2</v>
          </cell>
          <cell r="L11">
            <v>160092</v>
          </cell>
          <cell r="M11">
            <v>157163</v>
          </cell>
          <cell r="N11">
            <v>2929</v>
          </cell>
          <cell r="O11">
            <v>1.8636702022740703E-2</v>
          </cell>
          <cell r="Q11">
            <v>5759</v>
          </cell>
          <cell r="R11">
            <v>5564</v>
          </cell>
          <cell r="S11">
            <v>195</v>
          </cell>
          <cell r="T11">
            <v>3.5046728971962704E-2</v>
          </cell>
        </row>
        <row r="12">
          <cell r="A12" t="str">
            <v xml:space="preserve">   INDUSTRIAL</v>
          </cell>
          <cell r="B12">
            <v>6735201.1499999985</v>
          </cell>
          <cell r="C12">
            <v>6631536.4300000006</v>
          </cell>
          <cell r="D12">
            <v>103664.71999999788</v>
          </cell>
          <cell r="E12">
            <v>1.5632081810036613E-2</v>
          </cell>
          <cell r="G12">
            <v>355234.35200000001</v>
          </cell>
          <cell r="H12">
            <v>345799.22700000001</v>
          </cell>
          <cell r="I12">
            <v>9435.125</v>
          </cell>
          <cell r="J12">
            <v>2.7284980021080374E-2</v>
          </cell>
          <cell r="L12">
            <v>2667</v>
          </cell>
          <cell r="M12">
            <v>2738</v>
          </cell>
          <cell r="N12">
            <v>-71</v>
          </cell>
          <cell r="O12">
            <v>-2.5931336742147537E-2</v>
          </cell>
          <cell r="Q12">
            <v>133196</v>
          </cell>
          <cell r="R12">
            <v>126296</v>
          </cell>
          <cell r="S12">
            <v>6900</v>
          </cell>
          <cell r="T12">
            <v>5.4633559257617037E-2</v>
          </cell>
        </row>
        <row r="13">
          <cell r="A13" t="str">
            <v xml:space="preserve">   ST &amp; HIGHWAY</v>
          </cell>
          <cell r="B13">
            <v>35504.909999999989</v>
          </cell>
          <cell r="C13">
            <v>36328.950000000004</v>
          </cell>
          <cell r="D13">
            <v>-824.04000000001543</v>
          </cell>
          <cell r="E13">
            <v>-2.2682736495274858E-2</v>
          </cell>
          <cell r="G13">
            <v>2299.701</v>
          </cell>
          <cell r="H13">
            <v>2352.7739999999999</v>
          </cell>
          <cell r="I13">
            <v>-53.072999999999865</v>
          </cell>
          <cell r="J13">
            <v>-2.2557627719449358E-2</v>
          </cell>
          <cell r="L13">
            <v>1814</v>
          </cell>
          <cell r="M13">
            <v>1868</v>
          </cell>
          <cell r="N13">
            <v>-54</v>
          </cell>
          <cell r="O13">
            <v>-2.8907922912205564E-2</v>
          </cell>
          <cell r="Q13">
            <v>1268</v>
          </cell>
          <cell r="R13">
            <v>1260</v>
          </cell>
          <cell r="S13">
            <v>8</v>
          </cell>
          <cell r="T13">
            <v>6.3492063492063266E-3</v>
          </cell>
        </row>
        <row r="14">
          <cell r="A14" t="str">
            <v xml:space="preserve">   PUBLIC AUTHORITY</v>
          </cell>
          <cell r="B14">
            <v>5704863.5400000019</v>
          </cell>
          <cell r="C14">
            <v>5417916.5000000009</v>
          </cell>
          <cell r="D14">
            <v>286947.04000000097</v>
          </cell>
          <cell r="E14">
            <v>5.2962617640932796E-2</v>
          </cell>
          <cell r="G14">
            <v>244879.71299999999</v>
          </cell>
          <cell r="H14">
            <v>235583.35699999999</v>
          </cell>
          <cell r="I14">
            <v>9296.3559999999998</v>
          </cell>
          <cell r="J14">
            <v>3.9461004879050021E-2</v>
          </cell>
          <cell r="L14">
            <v>20831</v>
          </cell>
          <cell r="M14">
            <v>20321</v>
          </cell>
          <cell r="N14">
            <v>510</v>
          </cell>
          <cell r="O14">
            <v>2.5097190098912536E-2</v>
          </cell>
          <cell r="Q14">
            <v>11756</v>
          </cell>
          <cell r="R14">
            <v>11593</v>
          </cell>
          <cell r="S14">
            <v>163</v>
          </cell>
          <cell r="T14">
            <v>1.4060208746657477E-2</v>
          </cell>
        </row>
        <row r="15">
          <cell r="A15" t="str">
            <v xml:space="preserve">  TOTAL RETAIL BILLED</v>
          </cell>
          <cell r="B15">
            <v>93256602.510000005</v>
          </cell>
          <cell r="C15">
            <v>86768149.350000024</v>
          </cell>
          <cell r="D15">
            <v>6488453.1600000001</v>
          </cell>
          <cell r="E15">
            <v>7.4779204219595163E-2</v>
          </cell>
          <cell r="G15">
            <v>2829554.4099999997</v>
          </cell>
          <cell r="H15">
            <v>2644923.4739999999</v>
          </cell>
          <cell r="I15">
            <v>184630.93599999981</v>
          </cell>
          <cell r="J15">
            <v>6.9805776165151823E-2</v>
          </cell>
          <cell r="L15">
            <v>1564736</v>
          </cell>
          <cell r="M15">
            <v>1536158</v>
          </cell>
          <cell r="N15">
            <v>28578</v>
          </cell>
          <cell r="O15">
            <v>1.8603555103055891E-2</v>
          </cell>
          <cell r="Q15">
            <v>1808</v>
          </cell>
          <cell r="R15">
            <v>1722</v>
          </cell>
          <cell r="S15">
            <v>86</v>
          </cell>
          <cell r="T15">
            <v>4.9941927990708512E-2</v>
          </cell>
        </row>
        <row r="16">
          <cell r="A16" t="str">
            <v xml:space="preserve">  Provision For Refund</v>
          </cell>
          <cell r="B16">
            <v>-549495</v>
          </cell>
          <cell r="C16">
            <v>333505</v>
          </cell>
          <cell r="D16">
            <v>-883000</v>
          </cell>
          <cell r="E16">
            <v>-2.6476364672193817</v>
          </cell>
        </row>
        <row r="18">
          <cell r="A18" t="str">
            <v xml:space="preserve">   REA</v>
          </cell>
          <cell r="B18">
            <v>3497983.8605</v>
          </cell>
          <cell r="C18">
            <v>3352814.0474999994</v>
          </cell>
          <cell r="D18">
            <v>145169.81300000055</v>
          </cell>
          <cell r="E18">
            <v>4.3297901685971807E-2</v>
          </cell>
          <cell r="G18">
            <v>125681.09299999999</v>
          </cell>
          <cell r="H18">
            <v>82419.960999999996</v>
          </cell>
          <cell r="I18">
            <v>43261.131999999998</v>
          </cell>
          <cell r="J18">
            <v>0.52488658663645804</v>
          </cell>
          <cell r="L18">
            <v>7</v>
          </cell>
          <cell r="M18">
            <v>5</v>
          </cell>
          <cell r="N18">
            <v>2</v>
          </cell>
          <cell r="O18">
            <v>0.39999999999999991</v>
          </cell>
          <cell r="Q18">
            <v>17954442</v>
          </cell>
          <cell r="R18">
            <v>16483992</v>
          </cell>
          <cell r="S18">
            <v>1470450</v>
          </cell>
          <cell r="T18">
            <v>8.9204726622046371E-2</v>
          </cell>
        </row>
        <row r="19">
          <cell r="A19" t="str">
            <v xml:space="preserve">   Oth Whol (w/Ref $ or Interchg MWh)</v>
          </cell>
          <cell r="B19">
            <v>6456448.9094999982</v>
          </cell>
          <cell r="C19">
            <v>4452392.7039999971</v>
          </cell>
          <cell r="D19">
            <v>2004056.2055000011</v>
          </cell>
          <cell r="E19">
            <v>0.45010769236495496</v>
          </cell>
          <cell r="G19">
            <v>392300.15299999999</v>
          </cell>
          <cell r="H19">
            <v>331799.636</v>
          </cell>
          <cell r="I19">
            <v>60500.516999999993</v>
          </cell>
          <cell r="J19">
            <v>0.1823405164917058</v>
          </cell>
          <cell r="L19">
            <v>17</v>
          </cell>
          <cell r="M19">
            <v>17</v>
          </cell>
          <cell r="N19">
            <v>0</v>
          </cell>
          <cell r="O19">
            <v>0</v>
          </cell>
          <cell r="Q19">
            <v>23076480</v>
          </cell>
          <cell r="R19">
            <v>19517626</v>
          </cell>
          <cell r="S19">
            <v>3558854</v>
          </cell>
          <cell r="T19">
            <v>0.18234051620827252</v>
          </cell>
        </row>
        <row r="21">
          <cell r="A21" t="str">
            <v xml:space="preserve"> TOTAL WHOLESALE  BILLED</v>
          </cell>
          <cell r="B21">
            <v>9954432.7699999977</v>
          </cell>
          <cell r="C21">
            <v>7805206.7514999965</v>
          </cell>
          <cell r="D21">
            <v>2149226.0185000016</v>
          </cell>
          <cell r="E21">
            <v>0.27535798690879854</v>
          </cell>
          <cell r="G21">
            <v>517981.24599999998</v>
          </cell>
          <cell r="H21">
            <v>414219.59700000001</v>
          </cell>
          <cell r="I21">
            <v>103761.64899999999</v>
          </cell>
          <cell r="J21">
            <v>0.25049913077869168</v>
          </cell>
          <cell r="L21">
            <v>24</v>
          </cell>
          <cell r="M21">
            <v>22</v>
          </cell>
          <cell r="N21">
            <v>2</v>
          </cell>
          <cell r="O21">
            <v>9.0909090909090828E-2</v>
          </cell>
          <cell r="Q21">
            <v>21582552</v>
          </cell>
          <cell r="R21">
            <v>18828164</v>
          </cell>
          <cell r="S21">
            <v>2754388</v>
          </cell>
          <cell r="T21">
            <v>0.14629084386560476</v>
          </cell>
        </row>
        <row r="23">
          <cell r="A23" t="str">
            <v xml:space="preserve"> TOTAL SYSTEM BILLED</v>
          </cell>
          <cell r="B23">
            <v>102661540.28</v>
          </cell>
          <cell r="C23">
            <v>94906861.101500019</v>
          </cell>
          <cell r="D23">
            <v>7754679.1785000023</v>
          </cell>
          <cell r="E23">
            <v>8.1708309478348395E-2</v>
          </cell>
          <cell r="G23">
            <v>3347535.6559999995</v>
          </cell>
          <cell r="H23">
            <v>3059143.071</v>
          </cell>
          <cell r="I23">
            <v>288392.58499999979</v>
          </cell>
          <cell r="J23">
            <v>9.4272343040735063E-2</v>
          </cell>
          <cell r="L23">
            <v>1564760</v>
          </cell>
          <cell r="M23">
            <v>1536180</v>
          </cell>
          <cell r="N23">
            <v>28580</v>
          </cell>
          <cell r="O23">
            <v>1.8604590607871563E-2</v>
          </cell>
          <cell r="Q23">
            <v>2139</v>
          </cell>
          <cell r="R23">
            <v>1991</v>
          </cell>
          <cell r="S23">
            <v>148</v>
          </cell>
          <cell r="T23">
            <v>7.4334505273731866E-2</v>
          </cell>
        </row>
        <row r="25">
          <cell r="A25" t="str">
            <v xml:space="preserve">     Retail Unbilled (Change)</v>
          </cell>
          <cell r="B25">
            <v>-3745932</v>
          </cell>
          <cell r="C25">
            <v>388590</v>
          </cell>
          <cell r="D25">
            <v>-4134522</v>
          </cell>
          <cell r="E25" t="str">
            <v>N/A</v>
          </cell>
          <cell r="G25">
            <v>-99171</v>
          </cell>
          <cell r="H25">
            <v>45511</v>
          </cell>
          <cell r="I25">
            <v>-144682</v>
          </cell>
          <cell r="J25" t="str">
            <v>N/A</v>
          </cell>
        </row>
        <row r="26">
          <cell r="A26" t="str">
            <v xml:space="preserve">     Wholesale Unbilled (Change)</v>
          </cell>
          <cell r="B26">
            <v>-2678886</v>
          </cell>
          <cell r="C26">
            <v>-2461203</v>
          </cell>
          <cell r="D26">
            <v>-217683</v>
          </cell>
          <cell r="E26" t="str">
            <v>N/A</v>
          </cell>
          <cell r="G26">
            <v>-114000</v>
          </cell>
          <cell r="H26">
            <v>-8695</v>
          </cell>
          <cell r="I26">
            <v>-105305</v>
          </cell>
          <cell r="J26" t="str">
            <v>N/A</v>
          </cell>
        </row>
        <row r="27">
          <cell r="A27" t="str">
            <v xml:space="preserve">           Total Unbilled (Change)</v>
          </cell>
          <cell r="B27">
            <v>-6424818</v>
          </cell>
          <cell r="C27">
            <v>-2072613</v>
          </cell>
          <cell r="D27">
            <v>-4352205</v>
          </cell>
          <cell r="E27" t="str">
            <v>N/A</v>
          </cell>
          <cell r="G27">
            <v>-213171</v>
          </cell>
          <cell r="H27">
            <v>36816</v>
          </cell>
          <cell r="I27">
            <v>-249987</v>
          </cell>
          <cell r="J27" t="str">
            <v>N/A</v>
          </cell>
        </row>
        <row r="29">
          <cell r="A29" t="str">
            <v>TOTAL BILLED &amp; UNBILLED</v>
          </cell>
          <cell r="B29">
            <v>96236722.280000001</v>
          </cell>
          <cell r="C29">
            <v>92834248.101500019</v>
          </cell>
          <cell r="D29">
            <v>3402474.1785000023</v>
          </cell>
          <cell r="E29">
            <v>3.6651066261450094E-2</v>
          </cell>
          <cell r="G29">
            <v>3134364.6559999995</v>
          </cell>
          <cell r="H29">
            <v>3095959.071</v>
          </cell>
          <cell r="I29">
            <v>38405.584999999788</v>
          </cell>
          <cell r="J29">
            <v>1.240506871028968E-2</v>
          </cell>
        </row>
        <row r="32">
          <cell r="B32" t="str">
            <v>TOTAL BASE REVENUES $</v>
          </cell>
        </row>
        <row r="33">
          <cell r="B33" t="str">
            <v>BILLED &amp; ALLOCATED UNBILLED</v>
          </cell>
          <cell r="G33" t="str">
            <v>BILLED &amp; ALLOCATED UNBILLED MWH SALES</v>
          </cell>
          <cell r="L33" t="str">
            <v>NUMBER OF CUSTOMERS</v>
          </cell>
          <cell r="Q33" t="str">
            <v>KWH SALES PER CUSTOMER</v>
          </cell>
        </row>
        <row r="35">
          <cell r="A35" t="str">
            <v>CLASS OF BUSINESS</v>
          </cell>
          <cell r="B35" t="str">
            <v>Apr'05 Actual</v>
          </cell>
          <cell r="C35" t="str">
            <v>Apr'04 Actual</v>
          </cell>
          <cell r="D35" t="str">
            <v>DIFF</v>
          </cell>
          <cell r="E35" t="str">
            <v>% DIFF</v>
          </cell>
          <cell r="G35" t="str">
            <v>Apr'05 Actual</v>
          </cell>
          <cell r="H35" t="str">
            <v>Apr'04 Actual</v>
          </cell>
          <cell r="I35" t="str">
            <v>DIFF</v>
          </cell>
          <cell r="J35" t="str">
            <v>% DIFF</v>
          </cell>
          <cell r="L35" t="str">
            <v>Apr'05 Actual</v>
          </cell>
          <cell r="M35" t="str">
            <v>Apr'04 Actual</v>
          </cell>
          <cell r="N35" t="str">
            <v>DIFF</v>
          </cell>
          <cell r="O35" t="str">
            <v>% DIFF</v>
          </cell>
          <cell r="Q35" t="str">
            <v>Apr'05 Actual</v>
          </cell>
          <cell r="R35" t="str">
            <v>Apr'04 Actual</v>
          </cell>
          <cell r="S35" t="str">
            <v>DIFF</v>
          </cell>
          <cell r="T35" t="str">
            <v>% DIFF</v>
          </cell>
        </row>
        <row r="37">
          <cell r="A37" t="str">
            <v xml:space="preserve">   RESIDENTIAL</v>
          </cell>
          <cell r="B37">
            <v>53803295.913180403</v>
          </cell>
          <cell r="C37">
            <v>51893599.971827202</v>
          </cell>
          <cell r="D37">
            <v>1909695.9413532019</v>
          </cell>
          <cell r="E37">
            <v>3.6800220882535983E-2</v>
          </cell>
          <cell r="G37">
            <v>1212383.5644290955</v>
          </cell>
          <cell r="H37">
            <v>1168941.9310417043</v>
          </cell>
          <cell r="I37">
            <v>43441.633387391223</v>
          </cell>
          <cell r="J37">
            <v>3.7163209081462423E-2</v>
          </cell>
          <cell r="L37">
            <v>1379332</v>
          </cell>
          <cell r="M37">
            <v>1354068</v>
          </cell>
          <cell r="N37">
            <v>25264</v>
          </cell>
          <cell r="O37">
            <v>1.8657851747474918E-2</v>
          </cell>
          <cell r="Q37">
            <v>879</v>
          </cell>
          <cell r="R37">
            <v>863</v>
          </cell>
          <cell r="S37">
            <v>16</v>
          </cell>
          <cell r="T37">
            <v>1.8539976825028948E-2</v>
          </cell>
        </row>
        <row r="38">
          <cell r="A38" t="str">
            <v xml:space="preserve">   COMMERCIAL</v>
          </cell>
          <cell r="B38">
            <v>23267283.089512505</v>
          </cell>
          <cell r="C38">
            <v>22947681.130656309</v>
          </cell>
          <cell r="D38">
            <v>319601.95885619521</v>
          </cell>
          <cell r="E38">
            <v>1.392741850631829E-2</v>
          </cell>
          <cell r="G38">
            <v>912723.68036659225</v>
          </cell>
          <cell r="H38">
            <v>922038.35369172879</v>
          </cell>
          <cell r="I38">
            <v>-9314.6733251365367</v>
          </cell>
          <cell r="J38">
            <v>-1.0102262327637113E-2</v>
          </cell>
          <cell r="L38">
            <v>160092</v>
          </cell>
          <cell r="M38">
            <v>157163</v>
          </cell>
          <cell r="N38">
            <v>2929</v>
          </cell>
          <cell r="O38">
            <v>1.8636702022740703E-2</v>
          </cell>
          <cell r="Q38">
            <v>5701</v>
          </cell>
          <cell r="R38">
            <v>5867</v>
          </cell>
          <cell r="S38">
            <v>-166</v>
          </cell>
          <cell r="T38">
            <v>-2.8293846940514733E-2</v>
          </cell>
        </row>
        <row r="39">
          <cell r="A39" t="str">
            <v xml:space="preserve">   INDUSTRIAL</v>
          </cell>
          <cell r="B39">
            <v>6883152.2608791022</v>
          </cell>
          <cell r="C39">
            <v>6655954.3975686878</v>
          </cell>
          <cell r="D39">
            <v>227197.86331041437</v>
          </cell>
          <cell r="E39">
            <v>3.4134528234359029E-2</v>
          </cell>
          <cell r="G39">
            <v>366667.79680067091</v>
          </cell>
          <cell r="H39">
            <v>345649.78845598589</v>
          </cell>
          <cell r="I39">
            <v>21018.008344685019</v>
          </cell>
          <cell r="J39">
            <v>6.0807236245022045E-2</v>
          </cell>
          <cell r="L39">
            <v>2667</v>
          </cell>
          <cell r="M39">
            <v>2738</v>
          </cell>
          <cell r="N39">
            <v>-71</v>
          </cell>
          <cell r="O39">
            <v>-2.5931336742147537E-2</v>
          </cell>
          <cell r="Q39">
            <v>137483</v>
          </cell>
          <cell r="R39">
            <v>126242</v>
          </cell>
          <cell r="S39">
            <v>11241</v>
          </cell>
          <cell r="T39">
            <v>8.9043266107951435E-2</v>
          </cell>
        </row>
        <row r="40">
          <cell r="A40" t="str">
            <v xml:space="preserve">   ST &amp; HIGHWAY</v>
          </cell>
          <cell r="B40">
            <v>33492.494532112411</v>
          </cell>
          <cell r="C40">
            <v>36202.964434870737</v>
          </cell>
          <cell r="D40">
            <v>-2710.4699027583265</v>
          </cell>
          <cell r="E40">
            <v>-7.4868728157178155E-2</v>
          </cell>
          <cell r="G40">
            <v>2147.2258077556044</v>
          </cell>
          <cell r="H40">
            <v>2347.280698970615</v>
          </cell>
          <cell r="I40">
            <v>-200.05489121501068</v>
          </cell>
          <cell r="J40">
            <v>-8.522836288933977E-2</v>
          </cell>
          <cell r="L40">
            <v>1814</v>
          </cell>
          <cell r="M40">
            <v>1868</v>
          </cell>
          <cell r="N40">
            <v>-54</v>
          </cell>
          <cell r="O40">
            <v>-2.8907922912205564E-2</v>
          </cell>
          <cell r="Q40">
            <v>1184</v>
          </cell>
          <cell r="R40">
            <v>1257</v>
          </cell>
          <cell r="S40">
            <v>-73</v>
          </cell>
          <cell r="T40">
            <v>-5.8074781225139205E-2</v>
          </cell>
        </row>
        <row r="41">
          <cell r="A41" t="str">
            <v xml:space="preserve">   PUBLIC AUTHORITY</v>
          </cell>
          <cell r="B41">
            <v>5523446.7518959073</v>
          </cell>
          <cell r="C41">
            <v>5623300.8855129424</v>
          </cell>
          <cell r="D41">
            <v>-99854.133617035113</v>
          </cell>
          <cell r="E41">
            <v>-1.7757209804349028E-2</v>
          </cell>
          <cell r="G41">
            <v>236461.73259588587</v>
          </cell>
          <cell r="H41">
            <v>251456.64611161035</v>
          </cell>
          <cell r="I41">
            <v>-14994.913515724475</v>
          </cell>
          <cell r="J41">
            <v>-5.9632202002204759E-2</v>
          </cell>
          <cell r="L41">
            <v>20831</v>
          </cell>
          <cell r="M41">
            <v>20321</v>
          </cell>
          <cell r="N41">
            <v>510</v>
          </cell>
          <cell r="O41">
            <v>2.5097190098912536E-2</v>
          </cell>
          <cell r="Q41">
            <v>11351</v>
          </cell>
          <cell r="R41">
            <v>12374</v>
          </cell>
          <cell r="S41">
            <v>-1023</v>
          </cell>
          <cell r="T41">
            <v>-8.2673347341199244E-2</v>
          </cell>
        </row>
        <row r="42">
          <cell r="A42" t="str">
            <v xml:space="preserve">       TOTAL RETAIL</v>
          </cell>
          <cell r="B42">
            <v>89510670.51000002</v>
          </cell>
          <cell r="C42">
            <v>87156739.350000024</v>
          </cell>
          <cell r="D42">
            <v>2353931.1600000178</v>
          </cell>
          <cell r="E42">
            <v>2.7008022300457846E-2</v>
          </cell>
          <cell r="G42">
            <v>2730384</v>
          </cell>
          <cell r="H42">
            <v>2690433.9999999995</v>
          </cell>
          <cell r="I42">
            <v>39950.000000000218</v>
          </cell>
          <cell r="J42">
            <v>1.4848905418233915E-2</v>
          </cell>
          <cell r="L42">
            <v>1564736</v>
          </cell>
          <cell r="M42">
            <v>1536158</v>
          </cell>
          <cell r="N42">
            <v>28578</v>
          </cell>
          <cell r="O42">
            <v>1.8603555103055891E-2</v>
          </cell>
          <cell r="Q42">
            <v>1745</v>
          </cell>
          <cell r="R42">
            <v>1751</v>
          </cell>
          <cell r="S42">
            <v>-6</v>
          </cell>
          <cell r="T42">
            <v>-3.4266133637921303E-3</v>
          </cell>
        </row>
        <row r="43">
          <cell r="A43" t="str">
            <v xml:space="preserve">  Provision For Refund</v>
          </cell>
          <cell r="B43">
            <v>-549495</v>
          </cell>
          <cell r="C43">
            <v>333505</v>
          </cell>
          <cell r="D43">
            <v>-883000</v>
          </cell>
          <cell r="E43">
            <v>-2.6476364672193817</v>
          </cell>
        </row>
        <row r="45">
          <cell r="A45" t="str">
            <v xml:space="preserve">   REA</v>
          </cell>
          <cell r="B45">
            <v>2068253.4905000003</v>
          </cell>
          <cell r="C45">
            <v>1127876.6874999995</v>
          </cell>
          <cell r="D45">
            <v>940376.80300000077</v>
          </cell>
          <cell r="E45">
            <v>0.83375852468801126</v>
          </cell>
          <cell r="G45">
            <v>106052</v>
          </cell>
          <cell r="H45">
            <v>73770</v>
          </cell>
          <cell r="I45">
            <v>32282</v>
          </cell>
          <cell r="J45">
            <v>0.43760336180018977</v>
          </cell>
          <cell r="L45">
            <v>7</v>
          </cell>
          <cell r="M45">
            <v>5</v>
          </cell>
          <cell r="N45">
            <v>2</v>
          </cell>
          <cell r="O45">
            <v>0.39999999999999991</v>
          </cell>
          <cell r="Q45">
            <v>15150286</v>
          </cell>
          <cell r="R45">
            <v>14754000</v>
          </cell>
          <cell r="S45">
            <v>396286</v>
          </cell>
          <cell r="T45">
            <v>2.6859563508201179E-2</v>
          </cell>
        </row>
        <row r="46">
          <cell r="A46" t="str">
            <v xml:space="preserve">   Oth Whol (w/Ref $ or Interchg MWh)</v>
          </cell>
          <cell r="B46">
            <v>5207293.2794999974</v>
          </cell>
          <cell r="C46">
            <v>4216127.0639999956</v>
          </cell>
          <cell r="D46">
            <v>991166.2155000018</v>
          </cell>
          <cell r="E46">
            <v>0.2350892656825303</v>
          </cell>
          <cell r="G46">
            <v>297929.24599999998</v>
          </cell>
          <cell r="H46">
            <v>331754.59700000001</v>
          </cell>
          <cell r="I46">
            <v>-33825.351000000024</v>
          </cell>
          <cell r="J46">
            <v>-0.10195895190564619</v>
          </cell>
          <cell r="L46">
            <v>17</v>
          </cell>
          <cell r="M46">
            <v>17</v>
          </cell>
          <cell r="N46">
            <v>0</v>
          </cell>
          <cell r="O46">
            <v>0</v>
          </cell>
          <cell r="Q46">
            <v>17525250</v>
          </cell>
          <cell r="R46">
            <v>19514976</v>
          </cell>
          <cell r="S46">
            <v>-1989726</v>
          </cell>
          <cell r="T46">
            <v>-0.10195892631382175</v>
          </cell>
        </row>
        <row r="48">
          <cell r="A48" t="str">
            <v xml:space="preserve">       TOTAL WHOLESALE </v>
          </cell>
          <cell r="B48">
            <v>7275546.7699999977</v>
          </cell>
          <cell r="C48">
            <v>5344003.7514999956</v>
          </cell>
          <cell r="D48">
            <v>1931543.0185000026</v>
          </cell>
          <cell r="E48">
            <v>0.36144117937002607</v>
          </cell>
          <cell r="G48">
            <v>403981.24599999998</v>
          </cell>
          <cell r="H48">
            <v>405524.59700000001</v>
          </cell>
          <cell r="I48">
            <v>-1543.3510000000242</v>
          </cell>
          <cell r="J48">
            <v>-3.8058135349062772E-3</v>
          </cell>
          <cell r="L48">
            <v>24</v>
          </cell>
          <cell r="M48">
            <v>22</v>
          </cell>
          <cell r="N48">
            <v>2</v>
          </cell>
          <cell r="O48">
            <v>9.0909090909090828E-2</v>
          </cell>
          <cell r="Q48">
            <v>16832552</v>
          </cell>
          <cell r="R48">
            <v>18432936</v>
          </cell>
          <cell r="S48">
            <v>-1600384</v>
          </cell>
          <cell r="T48">
            <v>-8.6821979960219009E-2</v>
          </cell>
        </row>
        <row r="50">
          <cell r="A50" t="str">
            <v xml:space="preserve"> TOTAL SYSTEM</v>
          </cell>
          <cell r="B50">
            <v>96236722.280000016</v>
          </cell>
          <cell r="C50">
            <v>92834248.101500019</v>
          </cell>
          <cell r="D50">
            <v>3402474.1785000209</v>
          </cell>
          <cell r="E50">
            <v>3.6651066261450316E-2</v>
          </cell>
          <cell r="G50">
            <v>3134365.2459999998</v>
          </cell>
          <cell r="H50">
            <v>3095958.5969999996</v>
          </cell>
          <cell r="I50">
            <v>38406.649000000194</v>
          </cell>
          <cell r="J50">
            <v>1.2405414283387595E-2</v>
          </cell>
          <cell r="L50">
            <v>1564760</v>
          </cell>
          <cell r="M50">
            <v>1536180</v>
          </cell>
          <cell r="N50">
            <v>28580</v>
          </cell>
          <cell r="O50">
            <v>1.8604590607871563E-2</v>
          </cell>
          <cell r="Q50">
            <v>2003</v>
          </cell>
          <cell r="R50">
            <v>2015</v>
          </cell>
          <cell r="S50">
            <v>-12</v>
          </cell>
          <cell r="T50">
            <v>-5.9553349875930417E-3</v>
          </cell>
        </row>
        <row r="53">
          <cell r="B53" t="str">
            <v>WEATHER NORMALIZED</v>
          </cell>
          <cell r="G53" t="str">
            <v>WEATHER NORMALIZED</v>
          </cell>
          <cell r="L53" t="str">
            <v>NUMBER OF CUSTOMERS</v>
          </cell>
          <cell r="Q53" t="str">
            <v>WEATHER &amp; CUSTOMER NORMALIZED</v>
          </cell>
        </row>
        <row r="54">
          <cell r="B54" t="str">
            <v>BILLED &amp; UNBILLED BASE REVENUES</v>
          </cell>
          <cell r="G54" t="str">
            <v>BILLED &amp; UNBILLED MWH SALES</v>
          </cell>
          <cell r="L54" t="str">
            <v>Adjusted for Event-Driven Billing</v>
          </cell>
          <cell r="Q54" t="str">
            <v>KWH SALES PER CUSTOMER</v>
          </cell>
        </row>
        <row r="56">
          <cell r="A56" t="str">
            <v>CLASS OF BUSINESS</v>
          </cell>
          <cell r="B56" t="str">
            <v>Apr'05 Actual</v>
          </cell>
          <cell r="C56" t="str">
            <v>Apr'04 Actual</v>
          </cell>
          <cell r="D56" t="str">
            <v>DIFF</v>
          </cell>
          <cell r="E56" t="str">
            <v>% DIFF</v>
          </cell>
          <cell r="G56" t="str">
            <v>Apr'05 Actual</v>
          </cell>
          <cell r="H56" t="str">
            <v>Apr'04 Actual</v>
          </cell>
          <cell r="I56" t="str">
            <v>DIFF</v>
          </cell>
          <cell r="J56" t="str">
            <v>% DIFF</v>
          </cell>
          <cell r="L56" t="str">
            <v>Apr'05 Actual</v>
          </cell>
          <cell r="M56" t="str">
            <v>Apr'04 Actual</v>
          </cell>
          <cell r="N56" t="str">
            <v>DIFF</v>
          </cell>
          <cell r="O56" t="str">
            <v>% DIFF</v>
          </cell>
          <cell r="Q56" t="str">
            <v>Apr'05 Actual</v>
          </cell>
          <cell r="R56" t="str">
            <v>Apr'04 Actual</v>
          </cell>
          <cell r="S56" t="str">
            <v>DIFF</v>
          </cell>
          <cell r="T56" t="str">
            <v>% DIFF</v>
          </cell>
        </row>
        <row r="58">
          <cell r="A58" t="str">
            <v xml:space="preserve">   RESIDENTIAL</v>
          </cell>
          <cell r="B58">
            <v>56900785.688034713</v>
          </cell>
          <cell r="C58">
            <v>53601909.433642551</v>
          </cell>
          <cell r="D58">
            <v>3298876.254392162</v>
          </cell>
          <cell r="E58">
            <v>6.154400634693924E-2</v>
          </cell>
          <cell r="G58">
            <v>1299908</v>
          </cell>
          <cell r="H58">
            <v>1217584</v>
          </cell>
          <cell r="I58">
            <v>82324</v>
          </cell>
          <cell r="J58">
            <v>6.7612583608194665E-2</v>
          </cell>
          <cell r="L58">
            <v>1390826</v>
          </cell>
          <cell r="M58">
            <v>1360024</v>
          </cell>
          <cell r="N58">
            <v>30802</v>
          </cell>
          <cell r="O58">
            <v>2.2648129738886968E-2</v>
          </cell>
          <cell r="Q58">
            <v>935</v>
          </cell>
          <cell r="R58">
            <v>895</v>
          </cell>
          <cell r="S58">
            <v>40</v>
          </cell>
          <cell r="T58">
            <v>4.4692737430167551E-2</v>
          </cell>
        </row>
        <row r="59">
          <cell r="A59" t="str">
            <v xml:space="preserve">   COMMERCIAL</v>
          </cell>
          <cell r="B59">
            <v>24130578.019253597</v>
          </cell>
          <cell r="C59">
            <v>23710960.868417524</v>
          </cell>
          <cell r="D59">
            <v>419617.15083607286</v>
          </cell>
          <cell r="E59">
            <v>1.7697180353200892E-2</v>
          </cell>
          <cell r="G59">
            <v>949273</v>
          </cell>
          <cell r="H59">
            <v>954713</v>
          </cell>
          <cell r="I59">
            <v>-5440</v>
          </cell>
          <cell r="J59">
            <v>-5.6980474760477406E-3</v>
          </cell>
          <cell r="L59">
            <v>160892</v>
          </cell>
          <cell r="M59">
            <v>157434</v>
          </cell>
          <cell r="N59">
            <v>3458</v>
          </cell>
          <cell r="O59">
            <v>2.1964759835867653E-2</v>
          </cell>
          <cell r="Q59">
            <v>5900</v>
          </cell>
          <cell r="R59">
            <v>6064</v>
          </cell>
          <cell r="S59">
            <v>-164</v>
          </cell>
          <cell r="T59">
            <v>-2.7044854881266511E-2</v>
          </cell>
        </row>
        <row r="60">
          <cell r="A60" t="str">
            <v xml:space="preserve">   INDUSTRIAL</v>
          </cell>
          <cell r="B60">
            <v>6883152.2608791022</v>
          </cell>
          <cell r="C60">
            <v>6655954.3975686878</v>
          </cell>
          <cell r="D60">
            <v>227197.86331041437</v>
          </cell>
          <cell r="E60">
            <v>3.4134528234359029E-2</v>
          </cell>
          <cell r="G60">
            <v>366667.79680067091</v>
          </cell>
          <cell r="H60">
            <v>345649.78845598589</v>
          </cell>
          <cell r="I60">
            <v>21018.008344685019</v>
          </cell>
          <cell r="J60">
            <v>6.0807236245022045E-2</v>
          </cell>
          <cell r="L60">
            <v>2697</v>
          </cell>
          <cell r="M60">
            <v>2753</v>
          </cell>
          <cell r="N60">
            <v>-56</v>
          </cell>
          <cell r="O60">
            <v>-2.034144569560481E-2</v>
          </cell>
          <cell r="Q60">
            <v>135954</v>
          </cell>
          <cell r="R60">
            <v>125554</v>
          </cell>
          <cell r="S60">
            <v>10400</v>
          </cell>
          <cell r="T60">
            <v>8.2832884655208217E-2</v>
          </cell>
        </row>
        <row r="61">
          <cell r="A61" t="str">
            <v xml:space="preserve">   ST &amp; HIGHWAY</v>
          </cell>
          <cell r="B61">
            <v>33492.494532112411</v>
          </cell>
          <cell r="C61">
            <v>36202.964434870737</v>
          </cell>
          <cell r="D61">
            <v>-2710.4699027583265</v>
          </cell>
          <cell r="E61">
            <v>-7.4868728157178155E-2</v>
          </cell>
          <cell r="G61">
            <v>2147.2258077556044</v>
          </cell>
          <cell r="H61">
            <v>2347.280698970615</v>
          </cell>
          <cell r="I61">
            <v>-200.05489121501068</v>
          </cell>
          <cell r="J61">
            <v>-8.522836288933977E-2</v>
          </cell>
          <cell r="L61">
            <v>1814</v>
          </cell>
          <cell r="M61">
            <v>1867</v>
          </cell>
          <cell r="N61">
            <v>-53</v>
          </cell>
          <cell r="O61">
            <v>-2.8387787895018723E-2</v>
          </cell>
          <cell r="Q61">
            <v>1184</v>
          </cell>
          <cell r="R61">
            <v>1257</v>
          </cell>
          <cell r="S61">
            <v>-73</v>
          </cell>
          <cell r="T61">
            <v>-5.8074781225139205E-2</v>
          </cell>
        </row>
        <row r="62">
          <cell r="A62" t="str">
            <v xml:space="preserve">   PUBLIC AUTHORITY</v>
          </cell>
          <cell r="B62">
            <v>5723574.044422105</v>
          </cell>
          <cell r="C62">
            <v>5799291.0064463541</v>
          </cell>
          <cell r="D62">
            <v>-75716.962024249136</v>
          </cell>
          <cell r="E62">
            <v>-1.3056244623710689E-2</v>
          </cell>
          <cell r="G62">
            <v>245392</v>
          </cell>
          <cell r="H62">
            <v>259420</v>
          </cell>
          <cell r="I62">
            <v>-14028</v>
          </cell>
          <cell r="J62">
            <v>-5.4074473826227765E-2</v>
          </cell>
          <cell r="L62">
            <v>20885</v>
          </cell>
          <cell r="M62">
            <v>20344</v>
          </cell>
          <cell r="N62">
            <v>541</v>
          </cell>
          <cell r="O62">
            <v>2.6592607156901371E-2</v>
          </cell>
          <cell r="Q62">
            <v>11750</v>
          </cell>
          <cell r="R62">
            <v>12752</v>
          </cell>
          <cell r="S62">
            <v>-1002</v>
          </cell>
          <cell r="T62">
            <v>-7.8575909661229626E-2</v>
          </cell>
        </row>
        <row r="63">
          <cell r="A63" t="str">
            <v xml:space="preserve">       TOTAL RETAIL</v>
          </cell>
          <cell r="B63">
            <v>93671582.507121623</v>
          </cell>
          <cell r="C63">
            <v>89804318.670509994</v>
          </cell>
          <cell r="D63">
            <v>3867263.8366116416</v>
          </cell>
          <cell r="E63">
            <v>4.3063227847655483E-2</v>
          </cell>
          <cell r="G63">
            <v>2863388.0226084269</v>
          </cell>
          <cell r="H63">
            <v>2779714.0691549564</v>
          </cell>
          <cell r="I63">
            <v>83673.953453470007</v>
          </cell>
          <cell r="J63">
            <v>3.0101640446388744E-2</v>
          </cell>
          <cell r="L63">
            <v>1577114</v>
          </cell>
          <cell r="M63">
            <v>1542422</v>
          </cell>
          <cell r="N63">
            <v>34692</v>
          </cell>
          <cell r="O63">
            <v>2.2491899104136293E-2</v>
          </cell>
          <cell r="Q63">
            <v>1816</v>
          </cell>
          <cell r="R63">
            <v>1802</v>
          </cell>
          <cell r="S63">
            <v>14</v>
          </cell>
          <cell r="T63">
            <v>7.769145394006749E-3</v>
          </cell>
        </row>
        <row r="64">
          <cell r="A64" t="str">
            <v xml:space="preserve">  Provision For Refund</v>
          </cell>
          <cell r="B64">
            <v>-549495</v>
          </cell>
          <cell r="C64">
            <v>333505</v>
          </cell>
          <cell r="D64">
            <v>-883000</v>
          </cell>
          <cell r="E64">
            <v>-2.6476364672193817</v>
          </cell>
        </row>
        <row r="66">
          <cell r="A66" t="str">
            <v xml:space="preserve">   REA</v>
          </cell>
          <cell r="B66">
            <v>2068253.4905000003</v>
          </cell>
          <cell r="C66">
            <v>1127876.6874999995</v>
          </cell>
          <cell r="D66">
            <v>940376.80300000077</v>
          </cell>
          <cell r="E66">
            <v>0.83375852468801126</v>
          </cell>
          <cell r="G66">
            <v>106052</v>
          </cell>
          <cell r="H66">
            <v>73770</v>
          </cell>
          <cell r="I66">
            <v>32282</v>
          </cell>
          <cell r="J66">
            <v>0.43760336180018977</v>
          </cell>
          <cell r="L66">
            <v>7</v>
          </cell>
          <cell r="M66">
            <v>5</v>
          </cell>
          <cell r="N66">
            <v>2</v>
          </cell>
          <cell r="O66">
            <v>0.39999999999999991</v>
          </cell>
        </row>
        <row r="67">
          <cell r="A67" t="str">
            <v xml:space="preserve">   Oth Whol (w/Ref $ or Interchg MWh)</v>
          </cell>
          <cell r="B67">
            <v>5207293.2794999974</v>
          </cell>
          <cell r="C67">
            <v>4216127.0639999956</v>
          </cell>
          <cell r="D67">
            <v>991166.2155000018</v>
          </cell>
          <cell r="E67">
            <v>0.2350892656825303</v>
          </cell>
          <cell r="G67">
            <v>297929.24599999998</v>
          </cell>
          <cell r="H67">
            <v>331754.59700000001</v>
          </cell>
          <cell r="I67">
            <v>-33825.351000000024</v>
          </cell>
          <cell r="J67">
            <v>-0.10195895190564619</v>
          </cell>
          <cell r="L67">
            <v>17</v>
          </cell>
          <cell r="M67">
            <v>17</v>
          </cell>
          <cell r="N67">
            <v>0</v>
          </cell>
          <cell r="O67">
            <v>0</v>
          </cell>
        </row>
        <row r="69">
          <cell r="A69" t="str">
            <v xml:space="preserve">       TOT WHOL. (Not W/N) </v>
          </cell>
          <cell r="B69">
            <v>7275546.7699999977</v>
          </cell>
          <cell r="C69">
            <v>5344003.7514999956</v>
          </cell>
          <cell r="D69">
            <v>1931543.0185000026</v>
          </cell>
          <cell r="E69">
            <v>0.36144117937002607</v>
          </cell>
          <cell r="G69">
            <v>403981.24599999998</v>
          </cell>
          <cell r="H69">
            <v>405524.59700000001</v>
          </cell>
          <cell r="I69">
            <v>-1543.3510000000242</v>
          </cell>
          <cell r="J69">
            <v>-3.8058135349062772E-3</v>
          </cell>
          <cell r="L69">
            <v>24</v>
          </cell>
          <cell r="M69">
            <v>22</v>
          </cell>
          <cell r="N69">
            <v>2</v>
          </cell>
          <cell r="O69">
            <v>9.0909090909090828E-2</v>
          </cell>
        </row>
        <row r="71">
          <cell r="A71" t="str">
            <v xml:space="preserve"> TOTAL SYSTEM</v>
          </cell>
          <cell r="B71">
            <v>100397634.27712162</v>
          </cell>
          <cell r="C71">
            <v>95481827.42200999</v>
          </cell>
          <cell r="D71">
            <v>4915806.8551116437</v>
          </cell>
          <cell r="E71">
            <v>5.148421419905147E-2</v>
          </cell>
          <cell r="G71">
            <v>3267369.2686084267</v>
          </cell>
          <cell r="H71">
            <v>3185238.6661549564</v>
          </cell>
          <cell r="I71">
            <v>82130.602453469983</v>
          </cell>
          <cell r="J71">
            <v>2.5784756202464898E-2</v>
          </cell>
          <cell r="L71">
            <v>1577138</v>
          </cell>
          <cell r="M71">
            <v>1542444</v>
          </cell>
          <cell r="N71">
            <v>34694</v>
          </cell>
          <cell r="O71">
            <v>2.249287494392016E-2</v>
          </cell>
        </row>
        <row r="72">
          <cell r="A72" t="str">
            <v>Retail Wthr Adjmt  ---&gt;</v>
          </cell>
          <cell r="B72">
            <v>4160911.9971216023</v>
          </cell>
          <cell r="C72">
            <v>2647579.3205099702</v>
          </cell>
          <cell r="D72">
            <v>1513332.6766116321</v>
          </cell>
          <cell r="G72">
            <v>133004.02260842687</v>
          </cell>
          <cell r="H72">
            <v>89280.069154956844</v>
          </cell>
        </row>
        <row r="75">
          <cell r="A75" t="str">
            <v xml:space="preserve"> April 2005  -  PERCENTAGE SHARE VARIANCE ANALYSIS BY CLASS</v>
          </cell>
        </row>
        <row r="76">
          <cell r="B76" t="str">
            <v>Revenue</v>
          </cell>
          <cell r="G76" t="str">
            <v>Energy</v>
          </cell>
        </row>
        <row r="77">
          <cell r="A77" t="str">
            <v>CLASS OF BUSINESS</v>
          </cell>
          <cell r="B77" t="str">
            <v>WEATHER</v>
          </cell>
          <cell r="C77" t="str">
            <v>CUSTS</v>
          </cell>
          <cell r="D77" t="str">
            <v>MISC</v>
          </cell>
          <cell r="E77" t="str">
            <v>SUM</v>
          </cell>
          <cell r="G77" t="str">
            <v>WEATHER</v>
          </cell>
          <cell r="H77" t="str">
            <v>CUSTS</v>
          </cell>
          <cell r="I77" t="str">
            <v>MISC</v>
          </cell>
          <cell r="J77" t="str">
            <v>SUM</v>
          </cell>
        </row>
        <row r="79">
          <cell r="A79" t="str">
            <v xml:space="preserve">   RESIDENTIAL</v>
          </cell>
          <cell r="B79">
            <v>-2.4743785464403256E-2</v>
          </cell>
          <cell r="C79">
            <v>2.2648129738886968E-2</v>
          </cell>
          <cell r="D79">
            <v>3.8895876608052271E-2</v>
          </cell>
          <cell r="E79">
            <v>6.154400634693924E-2</v>
          </cell>
          <cell r="G79">
            <v>-3.0449374526732242E-2</v>
          </cell>
          <cell r="H79">
            <v>2.2648129738886968E-2</v>
          </cell>
          <cell r="I79">
            <v>4.4964453869307697E-2</v>
          </cell>
          <cell r="J79">
            <v>6.7612583608194665E-2</v>
          </cell>
        </row>
        <row r="80">
          <cell r="A80" t="str">
            <v xml:space="preserve">   COMMERCIAL</v>
          </cell>
          <cell r="B80">
            <v>-3.7697618468826022E-3</v>
          </cell>
          <cell r="C80">
            <v>2.1964759835867653E-2</v>
          </cell>
          <cell r="D80">
            <v>-4.2675794826667612E-3</v>
          </cell>
          <cell r="E80">
            <v>1.7697180353200892E-2</v>
          </cell>
          <cell r="G80">
            <v>-4.404214851589372E-3</v>
          </cell>
          <cell r="H80">
            <v>2.1964759835867653E-2</v>
          </cell>
          <cell r="I80">
            <v>-2.7662807311915394E-2</v>
          </cell>
          <cell r="J80">
            <v>-5.6980474760477406E-3</v>
          </cell>
        </row>
        <row r="81">
          <cell r="A81" t="str">
            <v xml:space="preserve">   INDUSTRIAL</v>
          </cell>
          <cell r="B81">
            <v>0</v>
          </cell>
          <cell r="C81">
            <v>-2.034144569560481E-2</v>
          </cell>
          <cell r="D81">
            <v>5.4475973929963839E-2</v>
          </cell>
          <cell r="E81">
            <v>3.4134528234359029E-2</v>
          </cell>
          <cell r="G81">
            <v>0</v>
          </cell>
          <cell r="H81">
            <v>-2.034144569560481E-2</v>
          </cell>
          <cell r="I81">
            <v>8.1148681940626854E-2</v>
          </cell>
          <cell r="J81">
            <v>6.0807236245022045E-2</v>
          </cell>
        </row>
        <row r="82">
          <cell r="A82" t="str">
            <v xml:space="preserve">   ST &amp; HIGHWAY</v>
          </cell>
          <cell r="B82">
            <v>0</v>
          </cell>
          <cell r="C82">
            <v>-2.8387787895018723E-2</v>
          </cell>
          <cell r="D82">
            <v>-4.6480940262159431E-2</v>
          </cell>
          <cell r="E82">
            <v>-7.4868728157178155E-2</v>
          </cell>
          <cell r="G82">
            <v>0</v>
          </cell>
          <cell r="H82">
            <v>-2.8387787895018723E-2</v>
          </cell>
          <cell r="I82">
            <v>-5.6840574994321047E-2</v>
          </cell>
          <cell r="J82">
            <v>-8.522836288933977E-2</v>
          </cell>
        </row>
        <row r="83">
          <cell r="A83" t="str">
            <v xml:space="preserve">   PUBLIC AUTHORITY</v>
          </cell>
          <cell r="B83">
            <v>-4.700965180638339E-3</v>
          </cell>
          <cell r="C83">
            <v>2.6592607156901371E-2</v>
          </cell>
          <cell r="D83">
            <v>-3.964885178061206E-2</v>
          </cell>
          <cell r="E83">
            <v>-1.3056244623710689E-2</v>
          </cell>
          <cell r="G83">
            <v>-5.5577281759769948E-3</v>
          </cell>
          <cell r="H83">
            <v>2.6592607156901371E-2</v>
          </cell>
          <cell r="I83">
            <v>-8.0667080983129136E-2</v>
          </cell>
          <cell r="J83">
            <v>-5.4074473826227765E-2</v>
          </cell>
        </row>
        <row r="85">
          <cell r="A85" t="str">
            <v xml:space="preserve">       TOTAL RETAIL</v>
          </cell>
          <cell r="B85">
            <v>-1.6055205547197637E-2</v>
          </cell>
          <cell r="C85">
            <v>2.2491899104136293E-2</v>
          </cell>
          <cell r="D85">
            <v>2.057132874351919E-2</v>
          </cell>
          <cell r="E85">
            <v>4.3063227847655483E-2</v>
          </cell>
          <cell r="G85">
            <v>-1.5252735028154829E-2</v>
          </cell>
          <cell r="H85">
            <v>2.2491899104136293E-2</v>
          </cell>
          <cell r="I85">
            <v>7.6097413422524518E-3</v>
          </cell>
          <cell r="J85">
            <v>3.0101640446388744E-2</v>
          </cell>
        </row>
        <row r="87">
          <cell r="A87" t="str">
            <v xml:space="preserve"> April 2005  -  PERCENTAGE SHARE VARIANCE ANALYSIS BY CLASS</v>
          </cell>
        </row>
        <row r="88">
          <cell r="B88" t="str">
            <v>Revenue  -- $</v>
          </cell>
          <cell r="G88" t="str">
            <v>Energy --  MWh</v>
          </cell>
        </row>
        <row r="89">
          <cell r="A89" t="str">
            <v>CLASS OF BUSINESS</v>
          </cell>
          <cell r="B89" t="str">
            <v>WEATHER</v>
          </cell>
          <cell r="C89" t="str">
            <v>CUSTS</v>
          </cell>
          <cell r="D89" t="str">
            <v>MISC</v>
          </cell>
          <cell r="E89" t="str">
            <v>SUM</v>
          </cell>
          <cell r="G89" t="str">
            <v>WEATHER</v>
          </cell>
          <cell r="H89" t="str">
            <v>CUSTS</v>
          </cell>
          <cell r="I89" t="str">
            <v>MISC</v>
          </cell>
          <cell r="J89" t="str">
            <v>SUM</v>
          </cell>
        </row>
        <row r="91">
          <cell r="A91" t="str">
            <v xml:space="preserve">   RESIDENTIAL</v>
          </cell>
          <cell r="B91">
            <v>-1389180.3130389601</v>
          </cell>
          <cell r="C91">
            <v>1213982.9991052067</v>
          </cell>
          <cell r="D91">
            <v>2084893.2552869553</v>
          </cell>
          <cell r="E91">
            <v>1909695.9413532019</v>
          </cell>
          <cell r="G91">
            <v>-38882.366612608777</v>
          </cell>
          <cell r="H91">
            <v>27576.000399992921</v>
          </cell>
          <cell r="I91">
            <v>54747.999600007082</v>
          </cell>
          <cell r="J91">
            <v>43441.633387391223</v>
          </cell>
        </row>
        <row r="92">
          <cell r="A92" t="str">
            <v xml:space="preserve">   COMMERCIAL</v>
          </cell>
          <cell r="B92">
            <v>-100015.19197987765</v>
          </cell>
          <cell r="C92">
            <v>520805.56095244572</v>
          </cell>
          <cell r="D92">
            <v>-101188.41011637286</v>
          </cell>
          <cell r="E92">
            <v>319601.95885619521</v>
          </cell>
          <cell r="G92">
            <v>-3874.6733251365367</v>
          </cell>
          <cell r="H92">
            <v>20970.041757180843</v>
          </cell>
          <cell r="I92">
            <v>-26410.041757180843</v>
          </cell>
          <cell r="J92">
            <v>-9314.6733251365367</v>
          </cell>
        </row>
        <row r="93">
          <cell r="A93" t="str">
            <v xml:space="preserve">   INDUSTRIAL</v>
          </cell>
          <cell r="B93">
            <v>0</v>
          </cell>
          <cell r="C93">
            <v>-135391.73493056538</v>
          </cell>
          <cell r="D93">
            <v>362589.59824097977</v>
          </cell>
          <cell r="E93">
            <v>227197.8633104144</v>
          </cell>
          <cell r="G93">
            <v>0</v>
          </cell>
          <cell r="H93">
            <v>-7031.0164015747241</v>
          </cell>
          <cell r="I93">
            <v>28049.024746259744</v>
          </cell>
          <cell r="J93">
            <v>21018.008344685019</v>
          </cell>
        </row>
        <row r="94">
          <cell r="A94" t="str">
            <v xml:space="preserve">   ST &amp; HIGHWAY</v>
          </cell>
          <cell r="B94">
            <v>0</v>
          </cell>
          <cell r="C94">
            <v>-1027.7220755480171</v>
          </cell>
          <cell r="D94">
            <v>-1682.7478272103094</v>
          </cell>
          <cell r="E94">
            <v>-2710.4699027583265</v>
          </cell>
          <cell r="G94">
            <v>0</v>
          </cell>
          <cell r="H94">
            <v>-66.634106612449116</v>
          </cell>
          <cell r="I94">
            <v>-133.42078460256158</v>
          </cell>
          <cell r="J94">
            <v>-200.05489121501068</v>
          </cell>
        </row>
        <row r="95">
          <cell r="A95" t="str">
            <v xml:space="preserve">   PUBLIC AUTHORITY</v>
          </cell>
          <cell r="B95">
            <v>-24137.171592785977</v>
          </cell>
          <cell r="C95">
            <v>154218.26752297941</v>
          </cell>
          <cell r="D95">
            <v>-229935.22954722855</v>
          </cell>
          <cell r="E95">
            <v>-99854.133617035113</v>
          </cell>
          <cell r="G95">
            <v>-966.91351572447456</v>
          </cell>
          <cell r="H95">
            <v>6898.6541486433507</v>
          </cell>
          <cell r="I95">
            <v>-20926.654148643349</v>
          </cell>
          <cell r="J95">
            <v>-14994.913515724473</v>
          </cell>
        </row>
        <row r="96">
          <cell r="A96" t="str">
            <v xml:space="preserve">    TOTAL RETAIL   (Pre Tax)</v>
          </cell>
          <cell r="B96">
            <v>-1513332.6766116237</v>
          </cell>
          <cell r="C96">
            <v>1752587.3705745186</v>
          </cell>
          <cell r="D96">
            <v>2114676.466037123</v>
          </cell>
          <cell r="E96">
            <v>2353931.1600000178</v>
          </cell>
          <cell r="G96">
            <v>-43723.953453469789</v>
          </cell>
          <cell r="H96">
            <v>48347.045797629944</v>
          </cell>
          <cell r="I96">
            <v>35326.90765584007</v>
          </cell>
          <cell r="J96">
            <v>39950.000000000218</v>
          </cell>
        </row>
        <row r="97">
          <cell r="A97" t="str">
            <v xml:space="preserve">           Provision For Refund</v>
          </cell>
          <cell r="D97">
            <v>-883000</v>
          </cell>
          <cell r="E97">
            <v>-883000</v>
          </cell>
        </row>
        <row r="98">
          <cell r="A98" t="str">
            <v>Variance with Prov for Refund</v>
          </cell>
          <cell r="D98">
            <v>1231676.466037123</v>
          </cell>
          <cell r="E98">
            <v>1470931.1600000178</v>
          </cell>
        </row>
        <row r="99">
          <cell r="A99" t="str">
            <v>Notes:</v>
          </cell>
          <cell r="B99" t="str">
            <v>April base revenue variance from prior year is a favorable +$2.4 mill (+2.7%) pre refund.  Monthly weather conditions were milder than last year yielding an unfavorable weather-related revenue difference of +$1.5 mill.   Customer growth of 2.25% on an adj</v>
          </cell>
        </row>
        <row r="101">
          <cell r="A101" t="str">
            <v>April  2005   VS.  BUDGET</v>
          </cell>
        </row>
        <row r="102">
          <cell r="A102" t="str">
            <v>REVENUES - SALES - CUSTOMERS - USE PER CUSTOMER</v>
          </cell>
        </row>
        <row r="104">
          <cell r="B104" t="str">
            <v>TOTAL BASE REVENUES $</v>
          </cell>
          <cell r="G104" t="str">
            <v>REPORTED</v>
          </cell>
          <cell r="L104" t="str">
            <v>NUMBER OF CUSTOMERS</v>
          </cell>
        </row>
        <row r="105">
          <cell r="B105" t="str">
            <v>BILLED &amp; ALLOCATED UNBILLED</v>
          </cell>
          <cell r="G105" t="str">
            <v>BILLED &amp; ALLOCATED UNBILLED MWH SALES</v>
          </cell>
          <cell r="L105" t="str">
            <v>Adj. for Event-Driven Billing</v>
          </cell>
          <cell r="Q105" t="str">
            <v>KWH SALES PER CUSTOMER</v>
          </cell>
        </row>
        <row r="107">
          <cell r="A107" t="str">
            <v>CLASS OF BUSINESS</v>
          </cell>
          <cell r="B107" t="str">
            <v>Apr'05 Actual</v>
          </cell>
          <cell r="C107" t="str">
            <v>FORECAST</v>
          </cell>
          <cell r="D107" t="str">
            <v>DIFF</v>
          </cell>
          <cell r="E107" t="str">
            <v>% DIFF</v>
          </cell>
          <cell r="G107" t="str">
            <v>Apr'05 Actual</v>
          </cell>
          <cell r="H107" t="str">
            <v>FORECAST</v>
          </cell>
          <cell r="I107" t="str">
            <v>DIFF</v>
          </cell>
          <cell r="J107" t="str">
            <v>% DIFF</v>
          </cell>
          <cell r="L107" t="str">
            <v>Apr'05 Actual</v>
          </cell>
          <cell r="M107" t="str">
            <v>FORECAST</v>
          </cell>
          <cell r="N107" t="str">
            <v>DIFF</v>
          </cell>
          <cell r="O107" t="str">
            <v>% DIFF</v>
          </cell>
          <cell r="Q107" t="str">
            <v>Apr'05 Actual</v>
          </cell>
          <cell r="R107" t="str">
            <v>FORECAST</v>
          </cell>
          <cell r="S107" t="str">
            <v>DIFF</v>
          </cell>
          <cell r="T107" t="str">
            <v>% DIFF</v>
          </cell>
        </row>
        <row r="109">
          <cell r="A109" t="str">
            <v xml:space="preserve">   RESIDENTIAL</v>
          </cell>
          <cell r="B109">
            <v>53803295.913180403</v>
          </cell>
          <cell r="C109">
            <v>55955808</v>
          </cell>
          <cell r="D109">
            <v>-2152512.0868195966</v>
          </cell>
          <cell r="E109">
            <v>-3.8468072640816753E-2</v>
          </cell>
          <cell r="G109">
            <v>1212383.5644290955</v>
          </cell>
          <cell r="H109">
            <v>1269526</v>
          </cell>
          <cell r="I109">
            <v>-57142.435570904519</v>
          </cell>
          <cell r="J109">
            <v>-4.5010843079152818E-2</v>
          </cell>
          <cell r="L109">
            <v>1390826</v>
          </cell>
          <cell r="M109">
            <v>1384999.3334934823</v>
          </cell>
          <cell r="N109">
            <v>5826.6665065176785</v>
          </cell>
          <cell r="O109">
            <v>4.2069814516232373E-3</v>
          </cell>
          <cell r="Q109">
            <v>872</v>
          </cell>
          <cell r="R109">
            <v>917</v>
          </cell>
          <cell r="S109">
            <v>-45</v>
          </cell>
          <cell r="T109">
            <v>-4.9073064340239947E-2</v>
          </cell>
        </row>
        <row r="110">
          <cell r="A110" t="str">
            <v xml:space="preserve">   COMMERCIAL</v>
          </cell>
          <cell r="B110">
            <v>23267283.089512505</v>
          </cell>
          <cell r="C110">
            <v>24925900</v>
          </cell>
          <cell r="D110">
            <v>-1658616.9104874954</v>
          </cell>
          <cell r="E110">
            <v>-6.6541906630753322E-2</v>
          </cell>
          <cell r="G110">
            <v>912723.68036659225</v>
          </cell>
          <cell r="H110">
            <v>976359</v>
          </cell>
          <cell r="I110">
            <v>-63635.319633407751</v>
          </cell>
          <cell r="J110">
            <v>-6.5176148971236803E-2</v>
          </cell>
          <cell r="L110">
            <v>160892</v>
          </cell>
          <cell r="M110">
            <v>160991.44500620896</v>
          </cell>
          <cell r="N110">
            <v>-99.445006208959967</v>
          </cell>
          <cell r="O110">
            <v>-6.177036686957349E-4</v>
          </cell>
          <cell r="Q110">
            <v>5673</v>
          </cell>
          <cell r="R110">
            <v>6065</v>
          </cell>
          <cell r="S110">
            <v>-392</v>
          </cell>
          <cell r="T110">
            <v>-6.4633140972794711E-2</v>
          </cell>
        </row>
        <row r="111">
          <cell r="A111" t="str">
            <v xml:space="preserve">   INDUSTRIAL</v>
          </cell>
          <cell r="B111">
            <v>6883152.2608791022</v>
          </cell>
          <cell r="C111">
            <v>6876112</v>
          </cell>
          <cell r="D111">
            <v>7040.260879102163</v>
          </cell>
          <cell r="E111">
            <v>1.0238723393543037E-3</v>
          </cell>
          <cell r="G111">
            <v>366667.79680067091</v>
          </cell>
          <cell r="H111">
            <v>360136</v>
          </cell>
          <cell r="I111">
            <v>6531.7968006709125</v>
          </cell>
          <cell r="J111">
            <v>1.8137028235641228E-2</v>
          </cell>
          <cell r="L111">
            <v>2697</v>
          </cell>
          <cell r="M111">
            <v>2813</v>
          </cell>
          <cell r="N111">
            <v>-116</v>
          </cell>
          <cell r="O111">
            <v>-4.123711340206182E-2</v>
          </cell>
          <cell r="Q111">
            <v>135954</v>
          </cell>
          <cell r="R111">
            <v>128026</v>
          </cell>
          <cell r="S111">
            <v>7928</v>
          </cell>
          <cell r="T111">
            <v>6.192492150032014E-2</v>
          </cell>
        </row>
        <row r="112">
          <cell r="A112" t="str">
            <v xml:space="preserve">   ST &amp; HIGHWAY</v>
          </cell>
          <cell r="B112">
            <v>33492.494532112411</v>
          </cell>
          <cell r="C112">
            <v>35580</v>
          </cell>
          <cell r="D112">
            <v>-2087.5054678875895</v>
          </cell>
          <cell r="E112">
            <v>-5.8670755140179609E-2</v>
          </cell>
          <cell r="G112">
            <v>2147.2258077556044</v>
          </cell>
          <cell r="H112">
            <v>2306</v>
          </cell>
          <cell r="I112">
            <v>-158.77419224439564</v>
          </cell>
          <cell r="J112">
            <v>-6.885264190997209E-2</v>
          </cell>
          <cell r="L112">
            <v>1814</v>
          </cell>
          <cell r="M112">
            <v>1850</v>
          </cell>
          <cell r="N112">
            <v>-36</v>
          </cell>
          <cell r="O112">
            <v>-1.9459459459459483E-2</v>
          </cell>
          <cell r="Q112">
            <v>1184</v>
          </cell>
          <cell r="R112">
            <v>1246</v>
          </cell>
          <cell r="S112">
            <v>-62</v>
          </cell>
          <cell r="T112">
            <v>-4.9759229534510396E-2</v>
          </cell>
        </row>
        <row r="113">
          <cell r="A113" t="str">
            <v xml:space="preserve">   PUBLIC AUTHORITY</v>
          </cell>
          <cell r="B113">
            <v>5523446.7518959073</v>
          </cell>
          <cell r="C113">
            <v>5962822</v>
          </cell>
          <cell r="D113">
            <v>-439375.24810409267</v>
          </cell>
          <cell r="E113">
            <v>-7.3685789732460982E-2</v>
          </cell>
          <cell r="G113">
            <v>236461.73259588587</v>
          </cell>
          <cell r="H113">
            <v>253992</v>
          </cell>
          <cell r="I113">
            <v>-17530.267404114129</v>
          </cell>
          <cell r="J113">
            <v>-6.9018974629571517E-2</v>
          </cell>
          <cell r="L113">
            <v>20885</v>
          </cell>
          <cell r="M113">
            <v>20927</v>
          </cell>
          <cell r="N113">
            <v>-42</v>
          </cell>
          <cell r="O113">
            <v>-2.006976633057822E-3</v>
          </cell>
          <cell r="Q113">
            <v>11322</v>
          </cell>
          <cell r="R113">
            <v>12137</v>
          </cell>
          <cell r="S113">
            <v>-815</v>
          </cell>
          <cell r="T113">
            <v>-6.7150037076707636E-2</v>
          </cell>
        </row>
        <row r="114">
          <cell r="A114" t="str">
            <v xml:space="preserve">  TOTAL RETAIL</v>
          </cell>
          <cell r="B114">
            <v>89510670.51000002</v>
          </cell>
          <cell r="C114">
            <v>93756222</v>
          </cell>
          <cell r="D114">
            <v>-4245551.4899999704</v>
          </cell>
          <cell r="E114">
            <v>-4.5282877226004103E-2</v>
          </cell>
          <cell r="G114">
            <v>2730384</v>
          </cell>
          <cell r="H114">
            <v>2862319</v>
          </cell>
          <cell r="I114">
            <v>-131934.99999999988</v>
          </cell>
          <cell r="J114">
            <v>-4.6093744268196568E-2</v>
          </cell>
          <cell r="L114">
            <v>1577114</v>
          </cell>
          <cell r="M114">
            <v>1571580.7784996913</v>
          </cell>
          <cell r="N114">
            <v>5533.2215003087185</v>
          </cell>
          <cell r="O114">
            <v>3.5207999334219142E-3</v>
          </cell>
          <cell r="Q114">
            <v>1731</v>
          </cell>
          <cell r="R114">
            <v>1821</v>
          </cell>
          <cell r="S114">
            <v>-90</v>
          </cell>
          <cell r="T114">
            <v>-4.9423393739703503E-2</v>
          </cell>
        </row>
        <row r="115">
          <cell r="A115" t="str">
            <v xml:space="preserve">  Provision For Refund</v>
          </cell>
          <cell r="B115">
            <v>-549495</v>
          </cell>
          <cell r="C115">
            <v>-1346999</v>
          </cell>
          <cell r="D115">
            <v>797504</v>
          </cell>
          <cell r="E115">
            <v>-0.5920598307793844</v>
          </cell>
        </row>
        <row r="117">
          <cell r="A117" t="str">
            <v xml:space="preserve">   REA</v>
          </cell>
          <cell r="B117">
            <v>2068253.4905000003</v>
          </cell>
          <cell r="C117">
            <v>2280369.9962200001</v>
          </cell>
          <cell r="D117">
            <v>-212116.50571999978</v>
          </cell>
          <cell r="E117">
            <v>-9.3018460193569297E-2</v>
          </cell>
          <cell r="G117">
            <v>125681.09299999999</v>
          </cell>
          <cell r="H117">
            <v>126962</v>
          </cell>
          <cell r="I117">
            <v>-1280.9070000000065</v>
          </cell>
          <cell r="J117">
            <v>-1.0088900615932372E-2</v>
          </cell>
          <cell r="L117">
            <v>7</v>
          </cell>
          <cell r="M117">
            <v>5</v>
          </cell>
          <cell r="N117">
            <v>2</v>
          </cell>
          <cell r="O117">
            <v>0.39999999999999991</v>
          </cell>
        </row>
        <row r="118">
          <cell r="A118" t="str">
            <v xml:space="preserve">   Oth Whol (w/Ref $ or Interchg MWh)</v>
          </cell>
          <cell r="B118">
            <v>5207293.2794999974</v>
          </cell>
          <cell r="C118">
            <v>5322006</v>
          </cell>
          <cell r="D118">
            <v>-114712.72050000262</v>
          </cell>
          <cell r="E118">
            <v>-2.1554413974731124E-2</v>
          </cell>
          <cell r="G118">
            <v>392300.15299999999</v>
          </cell>
          <cell r="H118">
            <v>395790</v>
          </cell>
          <cell r="I118">
            <v>-3489.8470000000088</v>
          </cell>
          <cell r="J118">
            <v>-8.8174208544935517E-3</v>
          </cell>
          <cell r="L118">
            <v>17</v>
          </cell>
          <cell r="M118">
            <v>19</v>
          </cell>
          <cell r="N118">
            <v>-2</v>
          </cell>
          <cell r="O118">
            <v>-0.10526315789473684</v>
          </cell>
        </row>
        <row r="120">
          <cell r="A120" t="str">
            <v xml:space="preserve">      WHOLESALE (Not W/N) </v>
          </cell>
          <cell r="B120">
            <v>7275546.7699999977</v>
          </cell>
          <cell r="C120">
            <v>7602375.9962200001</v>
          </cell>
          <cell r="D120">
            <v>-326829.2262200024</v>
          </cell>
          <cell r="E120">
            <v>-4.2990405418319999E-2</v>
          </cell>
          <cell r="G120">
            <v>403981.24599999998</v>
          </cell>
          <cell r="H120">
            <v>522752</v>
          </cell>
          <cell r="I120">
            <v>-118770.75400000002</v>
          </cell>
          <cell r="J120">
            <v>-0.22720286866429973</v>
          </cell>
          <cell r="L120">
            <v>24</v>
          </cell>
          <cell r="M120">
            <v>24</v>
          </cell>
          <cell r="N120">
            <v>0</v>
          </cell>
          <cell r="O120">
            <v>0</v>
          </cell>
        </row>
        <row r="122">
          <cell r="A122" t="str">
            <v xml:space="preserve"> TOTAL SYSTEM</v>
          </cell>
          <cell r="B122">
            <v>96236722.280000016</v>
          </cell>
          <cell r="C122">
            <v>100011598.99621999</v>
          </cell>
          <cell r="D122">
            <v>-3774876.7162199728</v>
          </cell>
          <cell r="E122">
            <v>-3.7744389191924133E-2</v>
          </cell>
          <cell r="G122">
            <v>3134365.2459999998</v>
          </cell>
          <cell r="H122">
            <v>3385071</v>
          </cell>
          <cell r="I122">
            <v>-250705.75400000019</v>
          </cell>
          <cell r="J122">
            <v>-7.4062184810894771E-2</v>
          </cell>
          <cell r="K122" t="str">
            <v xml:space="preserve"> </v>
          </cell>
          <cell r="L122">
            <v>1577138</v>
          </cell>
          <cell r="M122">
            <v>1571604.7784996913</v>
          </cell>
          <cell r="N122">
            <v>5533.2215003087185</v>
          </cell>
          <cell r="O122">
            <v>3.5207461672335238E-3</v>
          </cell>
        </row>
        <row r="126">
          <cell r="B126" t="str">
            <v>WEATHER NORMALIZED</v>
          </cell>
          <cell r="G126" t="str">
            <v>WEATHER NORMALIZED</v>
          </cell>
          <cell r="L126" t="str">
            <v>NUMBER OF CUSTOMERS</v>
          </cell>
          <cell r="Q126" t="str">
            <v>WEATHER &amp; CUSTOMER NORMALIZED</v>
          </cell>
        </row>
        <row r="127">
          <cell r="B127" t="str">
            <v>BILLED &amp; UNBILLED BASE REVENUES</v>
          </cell>
          <cell r="G127" t="str">
            <v>BILLED &amp; UNBILLED MWH SALES</v>
          </cell>
          <cell r="L127" t="str">
            <v>Adj. for Event-Driven Billing</v>
          </cell>
          <cell r="Q127" t="str">
            <v>KWH SALES PER CUSTOMER</v>
          </cell>
        </row>
        <row r="129">
          <cell r="A129" t="str">
            <v>CLASS OF BUSINESS</v>
          </cell>
          <cell r="B129" t="str">
            <v>Apr'05 Actual</v>
          </cell>
          <cell r="C129" t="str">
            <v>FORECAST</v>
          </cell>
          <cell r="D129" t="str">
            <v>DIFF</v>
          </cell>
          <cell r="E129" t="str">
            <v>% DIFF</v>
          </cell>
          <cell r="G129" t="str">
            <v>Apr'05 Actual</v>
          </cell>
          <cell r="H129" t="str">
            <v>FORECAST</v>
          </cell>
          <cell r="I129" t="str">
            <v>DIFF</v>
          </cell>
          <cell r="J129" t="str">
            <v>% DIFF</v>
          </cell>
          <cell r="L129" t="str">
            <v>Apr'05 Actual</v>
          </cell>
          <cell r="M129" t="str">
            <v>FORECAST</v>
          </cell>
          <cell r="N129" t="str">
            <v>DIFF</v>
          </cell>
          <cell r="O129" t="str">
            <v>% DIFF</v>
          </cell>
          <cell r="Q129" t="str">
            <v>Apr'05 Actual</v>
          </cell>
          <cell r="R129" t="str">
            <v>FORECAST</v>
          </cell>
          <cell r="S129" t="str">
            <v>DIFF</v>
          </cell>
          <cell r="T129" t="str">
            <v>% DIFF</v>
          </cell>
        </row>
        <row r="131">
          <cell r="A131" t="str">
            <v xml:space="preserve">   RESIDENTIAL</v>
          </cell>
          <cell r="B131">
            <v>56900785.688034713</v>
          </cell>
          <cell r="C131">
            <v>55955808</v>
          </cell>
          <cell r="D131">
            <v>944977.68803471327</v>
          </cell>
          <cell r="E131">
            <v>1.6887928560243681E-2</v>
          </cell>
          <cell r="G131">
            <v>1299908</v>
          </cell>
          <cell r="H131">
            <v>1269526</v>
          </cell>
          <cell r="I131">
            <v>30382</v>
          </cell>
          <cell r="J131">
            <v>2.3931766659367248E-2</v>
          </cell>
          <cell r="L131">
            <v>1390826</v>
          </cell>
          <cell r="M131">
            <v>1384999.3334934823</v>
          </cell>
          <cell r="N131">
            <v>5826.6665065176785</v>
          </cell>
          <cell r="O131">
            <v>4.2069814516232373E-3</v>
          </cell>
          <cell r="Q131">
            <v>935</v>
          </cell>
          <cell r="R131">
            <v>917</v>
          </cell>
          <cell r="S131">
            <v>18</v>
          </cell>
          <cell r="T131">
            <v>1.9629225736095934E-2</v>
          </cell>
        </row>
        <row r="132">
          <cell r="A132" t="str">
            <v xml:space="preserve">   COMMERCIAL</v>
          </cell>
          <cell r="B132">
            <v>24130578.019253597</v>
          </cell>
          <cell r="C132">
            <v>24925900</v>
          </cell>
          <cell r="D132">
            <v>-795321.98074640334</v>
          </cell>
          <cell r="E132">
            <v>-3.1907452920311941E-2</v>
          </cell>
          <cell r="G132">
            <v>949273</v>
          </cell>
          <cell r="H132">
            <v>976359</v>
          </cell>
          <cell r="I132">
            <v>-27086</v>
          </cell>
          <cell r="J132">
            <v>-2.7741844956619466E-2</v>
          </cell>
          <cell r="L132">
            <v>160892</v>
          </cell>
          <cell r="M132">
            <v>160991.44500620896</v>
          </cell>
          <cell r="N132">
            <v>-99.445006208959967</v>
          </cell>
          <cell r="O132">
            <v>-6.177036686957349E-4</v>
          </cell>
          <cell r="Q132">
            <v>5900</v>
          </cell>
          <cell r="R132">
            <v>6065</v>
          </cell>
          <cell r="S132">
            <v>-165</v>
          </cell>
          <cell r="T132">
            <v>-2.7205276174773307E-2</v>
          </cell>
        </row>
        <row r="133">
          <cell r="A133" t="str">
            <v xml:space="preserve">   INDUSTRIAL</v>
          </cell>
          <cell r="B133">
            <v>6883152.2608791022</v>
          </cell>
          <cell r="C133">
            <v>6876112</v>
          </cell>
          <cell r="D133">
            <v>7040.260879102163</v>
          </cell>
          <cell r="E133">
            <v>1.0238723393543037E-3</v>
          </cell>
          <cell r="G133">
            <v>366667.79680067091</v>
          </cell>
          <cell r="H133">
            <v>360136</v>
          </cell>
          <cell r="I133">
            <v>6531.7968006709125</v>
          </cell>
          <cell r="J133">
            <v>1.8137028235641228E-2</v>
          </cell>
          <cell r="L133">
            <v>2697</v>
          </cell>
          <cell r="M133">
            <v>2813</v>
          </cell>
          <cell r="N133">
            <v>-116</v>
          </cell>
          <cell r="O133">
            <v>-4.123711340206182E-2</v>
          </cell>
          <cell r="Q133">
            <v>135954</v>
          </cell>
          <cell r="R133">
            <v>128026</v>
          </cell>
          <cell r="S133">
            <v>7928</v>
          </cell>
          <cell r="T133">
            <v>6.192492150032014E-2</v>
          </cell>
        </row>
        <row r="134">
          <cell r="A134" t="str">
            <v xml:space="preserve">   ST &amp; HIGHWAY</v>
          </cell>
          <cell r="B134">
            <v>33492.494532112411</v>
          </cell>
          <cell r="C134">
            <v>35580</v>
          </cell>
          <cell r="D134">
            <v>-2087.5054678875895</v>
          </cell>
          <cell r="E134">
            <v>-5.8670755140179609E-2</v>
          </cell>
          <cell r="G134">
            <v>2147.2258077556044</v>
          </cell>
          <cell r="H134">
            <v>2306</v>
          </cell>
          <cell r="I134">
            <v>-158.77419224439564</v>
          </cell>
          <cell r="J134">
            <v>-6.885264190997209E-2</v>
          </cell>
          <cell r="L134">
            <v>1814</v>
          </cell>
          <cell r="M134">
            <v>1850</v>
          </cell>
          <cell r="N134">
            <v>-36</v>
          </cell>
          <cell r="O134">
            <v>-1.9459459459459483E-2</v>
          </cell>
          <cell r="Q134">
            <v>1184</v>
          </cell>
          <cell r="R134">
            <v>1246</v>
          </cell>
          <cell r="S134">
            <v>-62</v>
          </cell>
          <cell r="T134">
            <v>-4.9759229534510396E-2</v>
          </cell>
        </row>
        <row r="135">
          <cell r="A135" t="str">
            <v xml:space="preserve">   PUBLIC AUTHORITY</v>
          </cell>
          <cell r="B135">
            <v>5723574.044422105</v>
          </cell>
          <cell r="C135">
            <v>5962822</v>
          </cell>
          <cell r="D135">
            <v>-239247.95557789505</v>
          </cell>
          <cell r="E135">
            <v>-4.0123276458343904E-2</v>
          </cell>
          <cell r="G135">
            <v>245392</v>
          </cell>
          <cell r="H135">
            <v>253992</v>
          </cell>
          <cell r="I135">
            <v>-8600</v>
          </cell>
          <cell r="J135">
            <v>-3.3859334152256726E-2</v>
          </cell>
          <cell r="L135">
            <v>20885</v>
          </cell>
          <cell r="M135">
            <v>20927</v>
          </cell>
          <cell r="N135">
            <v>-42</v>
          </cell>
          <cell r="O135">
            <v>-2.006976633057822E-3</v>
          </cell>
          <cell r="Q135">
            <v>11750</v>
          </cell>
          <cell r="R135">
            <v>12137</v>
          </cell>
          <cell r="S135">
            <v>-387</v>
          </cell>
          <cell r="T135">
            <v>-3.1885968525994901E-2</v>
          </cell>
        </row>
        <row r="136">
          <cell r="A136" t="str">
            <v xml:space="preserve">  TOTAL RETAIL</v>
          </cell>
          <cell r="B136">
            <v>93671582.507121623</v>
          </cell>
          <cell r="C136">
            <v>93756222</v>
          </cell>
          <cell r="D136">
            <v>-84639.49287837054</v>
          </cell>
          <cell r="E136">
            <v>-9.0276134290456778E-4</v>
          </cell>
          <cell r="G136">
            <v>2863388.0226084269</v>
          </cell>
          <cell r="H136">
            <v>2862319</v>
          </cell>
          <cell r="I136">
            <v>1069.0226084265159</v>
          </cell>
          <cell r="J136">
            <v>3.7348129556025178E-4</v>
          </cell>
          <cell r="L136">
            <v>1577114</v>
          </cell>
          <cell r="M136">
            <v>1571580.7784996913</v>
          </cell>
          <cell r="N136">
            <v>5533.2215003087185</v>
          </cell>
          <cell r="O136">
            <v>3.5207999334219142E-3</v>
          </cell>
          <cell r="Q136">
            <v>1816</v>
          </cell>
          <cell r="R136">
            <v>1821</v>
          </cell>
          <cell r="S136">
            <v>-5</v>
          </cell>
          <cell r="T136">
            <v>-2.7457440966501823E-3</v>
          </cell>
        </row>
        <row r="137">
          <cell r="A137" t="str">
            <v xml:space="preserve">  Provision For Refund</v>
          </cell>
          <cell r="B137">
            <v>-549495</v>
          </cell>
          <cell r="C137">
            <v>-1346999</v>
          </cell>
          <cell r="D137">
            <v>797504</v>
          </cell>
          <cell r="E137">
            <v>-0.5920598307793844</v>
          </cell>
        </row>
        <row r="139">
          <cell r="A139" t="str">
            <v xml:space="preserve">   REA</v>
          </cell>
          <cell r="B139">
            <v>2068253.4905000003</v>
          </cell>
          <cell r="C139">
            <v>2280369.9962200001</v>
          </cell>
          <cell r="D139">
            <v>-212116.50571999978</v>
          </cell>
          <cell r="E139">
            <v>-9.3018460193569297E-2</v>
          </cell>
          <cell r="G139">
            <v>125681.09299999999</v>
          </cell>
          <cell r="H139">
            <v>126962</v>
          </cell>
          <cell r="I139">
            <v>-1280.9070000000065</v>
          </cell>
          <cell r="J139">
            <v>-1.0088900615932372E-2</v>
          </cell>
          <cell r="L139">
            <v>7</v>
          </cell>
          <cell r="M139">
            <v>5</v>
          </cell>
          <cell r="N139">
            <v>2</v>
          </cell>
          <cell r="O139">
            <v>0.39999999999999991</v>
          </cell>
        </row>
        <row r="140">
          <cell r="A140" t="str">
            <v xml:space="preserve">   Oth Whol (w/Ref $ or Interchg MWh)</v>
          </cell>
          <cell r="B140">
            <v>5207293.2794999974</v>
          </cell>
          <cell r="C140">
            <v>5322006</v>
          </cell>
          <cell r="D140">
            <v>-114712.72050000262</v>
          </cell>
          <cell r="E140">
            <v>-2.1554413974731124E-2</v>
          </cell>
          <cell r="G140">
            <v>392300.15299999999</v>
          </cell>
          <cell r="H140">
            <v>395790</v>
          </cell>
          <cell r="I140">
            <v>-3489.8470000000088</v>
          </cell>
          <cell r="J140">
            <v>-8.8174208544935517E-3</v>
          </cell>
          <cell r="L140">
            <v>17</v>
          </cell>
          <cell r="M140">
            <v>19</v>
          </cell>
          <cell r="N140">
            <v>-2</v>
          </cell>
          <cell r="O140">
            <v>-0.10526315789473684</v>
          </cell>
        </row>
        <row r="142">
          <cell r="A142" t="str">
            <v xml:space="preserve">      WHOLESALE (Not W/N) </v>
          </cell>
          <cell r="B142">
            <v>7275546.7699999977</v>
          </cell>
          <cell r="C142">
            <v>7602375.9962200001</v>
          </cell>
          <cell r="D142">
            <v>-326829.2262200024</v>
          </cell>
          <cell r="E142">
            <v>-4.2990405418319999E-2</v>
          </cell>
          <cell r="G142">
            <v>403981.24599999998</v>
          </cell>
          <cell r="H142">
            <v>522752</v>
          </cell>
          <cell r="I142">
            <v>-118770.75400000002</v>
          </cell>
          <cell r="J142">
            <v>-0.22720286866429973</v>
          </cell>
          <cell r="L142">
            <v>24</v>
          </cell>
          <cell r="M142">
            <v>24</v>
          </cell>
          <cell r="N142">
            <v>0</v>
          </cell>
          <cell r="O142">
            <v>0</v>
          </cell>
        </row>
        <row r="144">
          <cell r="A144" t="str">
            <v xml:space="preserve"> TOTAL SYSTEM</v>
          </cell>
          <cell r="B144">
            <v>100397634.27712162</v>
          </cell>
          <cell r="C144">
            <v>100011598.99621999</v>
          </cell>
          <cell r="D144">
            <v>386035.28090162703</v>
          </cell>
          <cell r="E144">
            <v>3.859905098769767E-3</v>
          </cell>
          <cell r="G144">
            <v>3267369.2686084267</v>
          </cell>
          <cell r="H144">
            <v>3385071</v>
          </cell>
          <cell r="I144">
            <v>-117701.7313915735</v>
          </cell>
          <cell r="J144">
            <v>-3.4770830919520823E-2</v>
          </cell>
          <cell r="L144">
            <v>1577138</v>
          </cell>
          <cell r="M144">
            <v>1571604.7784996913</v>
          </cell>
          <cell r="N144">
            <v>5533.2215003087185</v>
          </cell>
          <cell r="O144">
            <v>3.5207461672335238E-3</v>
          </cell>
        </row>
        <row r="147">
          <cell r="A147" t="str">
            <v>REVENUES - SALES - CUSTOMERS - USE PER CUSTOMER   -  PERCENT VARIANCES BY CLASS   (Work sheet)</v>
          </cell>
        </row>
        <row r="148">
          <cell r="B148" t="str">
            <v>Revenue</v>
          </cell>
          <cell r="G148" t="str">
            <v>Energy</v>
          </cell>
        </row>
        <row r="149">
          <cell r="A149" t="str">
            <v>CLASS OF BUSINESS</v>
          </cell>
          <cell r="B149" t="str">
            <v>WEATHER</v>
          </cell>
          <cell r="C149" t="str">
            <v>CUSTS</v>
          </cell>
          <cell r="D149" t="str">
            <v>MISC</v>
          </cell>
          <cell r="E149" t="str">
            <v>SUM</v>
          </cell>
          <cell r="G149" t="str">
            <v>WEATHER</v>
          </cell>
          <cell r="H149" t="str">
            <v>CUSTS</v>
          </cell>
          <cell r="I149" t="str">
            <v>MISC</v>
          </cell>
          <cell r="J149" t="str">
            <v>SUM</v>
          </cell>
        </row>
        <row r="151">
          <cell r="A151" t="str">
            <v xml:space="preserve">   RESIDENTIAL</v>
          </cell>
          <cell r="B151">
            <v>-5.5356001201060434E-2</v>
          </cell>
          <cell r="C151">
            <v>4.2069814516232373E-3</v>
          </cell>
          <cell r="D151">
            <v>1.2680947108620444E-2</v>
          </cell>
          <cell r="E151">
            <v>1.6887928560243681E-2</v>
          </cell>
          <cell r="G151">
            <v>-6.8942609738520066E-2</v>
          </cell>
          <cell r="H151">
            <v>4.2069814516232373E-3</v>
          </cell>
          <cell r="I151">
            <v>1.9724785207744011E-2</v>
          </cell>
          <cell r="J151">
            <v>2.3931766659367248E-2</v>
          </cell>
        </row>
        <row r="152">
          <cell r="A152" t="str">
            <v xml:space="preserve">   COMMERCIAL</v>
          </cell>
          <cell r="B152">
            <v>-3.4634453710441382E-2</v>
          </cell>
          <cell r="C152">
            <v>-6.177036686957349E-4</v>
          </cell>
          <cell r="D152">
            <v>-3.1289749251616206E-2</v>
          </cell>
          <cell r="E152">
            <v>-3.1907452920311941E-2</v>
          </cell>
          <cell r="G152">
            <v>-3.7434304014617337E-2</v>
          </cell>
          <cell r="H152">
            <v>-6.177036686957349E-4</v>
          </cell>
          <cell r="I152">
            <v>-2.7124141287923731E-2</v>
          </cell>
          <cell r="J152">
            <v>-2.7741844956619466E-2</v>
          </cell>
        </row>
        <row r="153">
          <cell r="A153" t="str">
            <v xml:space="preserve">   INDUSTRIAL</v>
          </cell>
          <cell r="B153">
            <v>0</v>
          </cell>
          <cell r="C153">
            <v>-4.123711340206182E-2</v>
          </cell>
          <cell r="D153">
            <v>4.2260985741416124E-2</v>
          </cell>
          <cell r="E153">
            <v>1.0238723393543037E-3</v>
          </cell>
          <cell r="G153">
            <v>0</v>
          </cell>
          <cell r="H153">
            <v>-4.123711340206182E-2</v>
          </cell>
          <cell r="I153">
            <v>5.9374141637703048E-2</v>
          </cell>
          <cell r="J153">
            <v>1.8137028235641228E-2</v>
          </cell>
        </row>
        <row r="154">
          <cell r="A154" t="str">
            <v xml:space="preserve">   ST &amp; HIGHWAY</v>
          </cell>
          <cell r="B154">
            <v>0</v>
          </cell>
          <cell r="C154">
            <v>-1.9459459459459483E-2</v>
          </cell>
          <cell r="D154">
            <v>-3.9211295680720126E-2</v>
          </cell>
          <cell r="E154">
            <v>-5.8670755140179609E-2</v>
          </cell>
          <cell r="G154">
            <v>0</v>
          </cell>
          <cell r="H154">
            <v>-1.9459459459459483E-2</v>
          </cell>
          <cell r="I154">
            <v>-4.9393182450512607E-2</v>
          </cell>
          <cell r="J154">
            <v>-6.885264190997209E-2</v>
          </cell>
        </row>
        <row r="155">
          <cell r="A155" t="str">
            <v xml:space="preserve">   PUBLIC AUTHORITY</v>
          </cell>
          <cell r="B155">
            <v>-3.3363434549101179E-2</v>
          </cell>
          <cell r="C155">
            <v>-2.006976633057822E-3</v>
          </cell>
          <cell r="D155">
            <v>-3.8116299825286082E-2</v>
          </cell>
          <cell r="E155">
            <v>-4.0123276458343904E-2</v>
          </cell>
          <cell r="G155">
            <v>-3.5159640477314791E-2</v>
          </cell>
          <cell r="H155">
            <v>-2.006976633057822E-3</v>
          </cell>
          <cell r="I155">
            <v>-3.1852357519198904E-2</v>
          </cell>
          <cell r="J155">
            <v>-3.3859334152256726E-2</v>
          </cell>
        </row>
        <row r="157">
          <cell r="A157" t="str">
            <v xml:space="preserve">       TOTAL RETAIL</v>
          </cell>
          <cell r="B157">
            <v>-4.4380115883099536E-2</v>
          </cell>
          <cell r="C157">
            <v>3.5207999334219142E-3</v>
          </cell>
          <cell r="D157">
            <v>-4.423561276326482E-3</v>
          </cell>
          <cell r="E157">
            <v>-9.0276134290456778E-4</v>
          </cell>
          <cell r="G157">
            <v>-4.646722556375682E-2</v>
          </cell>
          <cell r="H157">
            <v>3.5207999334219142E-3</v>
          </cell>
          <cell r="I157">
            <v>-3.1473186378616624E-3</v>
          </cell>
          <cell r="J157">
            <v>3.7348129556025178E-4</v>
          </cell>
        </row>
        <row r="159">
          <cell r="A159" t="str">
            <v>REVENUES - SALES - CUSTOMERS - USE PER CUSTOMER   -  DOLLAR VARIANCES BY CLASS   (Work sheet)</v>
          </cell>
        </row>
        <row r="160">
          <cell r="B160" t="str">
            <v>Revenue  -- $</v>
          </cell>
          <cell r="G160" t="str">
            <v>Energy --  MWh</v>
          </cell>
        </row>
        <row r="161">
          <cell r="A161" t="str">
            <v>CLASS OF BUSINESS</v>
          </cell>
          <cell r="B161" t="str">
            <v>WEATHER</v>
          </cell>
          <cell r="C161" t="str">
            <v>CUSTS</v>
          </cell>
          <cell r="D161" t="str">
            <v>MISC</v>
          </cell>
          <cell r="E161" t="str">
            <v>SUM</v>
          </cell>
          <cell r="G161" t="str">
            <v>WEATHER</v>
          </cell>
          <cell r="H161" t="str">
            <v>CUSTS</v>
          </cell>
          <cell r="I161" t="str">
            <v>MISC</v>
          </cell>
          <cell r="J161" t="str">
            <v>SUM</v>
          </cell>
        </row>
        <row r="163">
          <cell r="A163" t="str">
            <v xml:space="preserve">   RESIDENTIAL</v>
          </cell>
          <cell r="B163">
            <v>-3097489.7748543099</v>
          </cell>
          <cell r="C163">
            <v>235405.0463665915</v>
          </cell>
          <cell r="D163">
            <v>709572.6416681218</v>
          </cell>
          <cell r="E163">
            <v>-2152512.0868195966</v>
          </cell>
          <cell r="G163">
            <v>-87524.435570904519</v>
          </cell>
          <cell r="H163">
            <v>5340.8723343534657</v>
          </cell>
          <cell r="I163">
            <v>25041.127665646534</v>
          </cell>
          <cell r="J163">
            <v>-57142.435570904519</v>
          </cell>
        </row>
        <row r="164">
          <cell r="A164" t="str">
            <v xml:space="preserve">   COMMERCIAL</v>
          </cell>
          <cell r="B164">
            <v>-863294.92974109203</v>
          </cell>
          <cell r="C164">
            <v>-15396.819875543017</v>
          </cell>
          <cell r="D164">
            <v>-779925.16087086033</v>
          </cell>
          <cell r="E164">
            <v>-1658616.9104874954</v>
          </cell>
          <cell r="G164">
            <v>-36549.319633407751</v>
          </cell>
          <cell r="H164">
            <v>-603.10053626409842</v>
          </cell>
          <cell r="I164">
            <v>-26482.899463735903</v>
          </cell>
          <cell r="J164">
            <v>-63635.319633407751</v>
          </cell>
        </row>
        <row r="165">
          <cell r="A165" t="str">
            <v xml:space="preserve">   INDUSTRIAL</v>
          </cell>
          <cell r="B165">
            <v>0</v>
          </cell>
          <cell r="C165">
            <v>-283551.01030927664</v>
          </cell>
          <cell r="D165">
            <v>290591.2711883788</v>
          </cell>
          <cell r="E165">
            <v>7040.260879102163</v>
          </cell>
          <cell r="G165">
            <v>0</v>
          </cell>
          <cell r="H165">
            <v>-14850.969072164988</v>
          </cell>
          <cell r="I165">
            <v>21382.765872835902</v>
          </cell>
          <cell r="J165">
            <v>6531.7968006709143</v>
          </cell>
        </row>
        <row r="166">
          <cell r="A166" t="str">
            <v xml:space="preserve">   ST &amp; HIGHWAY</v>
          </cell>
          <cell r="B166">
            <v>0</v>
          </cell>
          <cell r="C166">
            <v>-692.36756756756802</v>
          </cell>
          <cell r="D166">
            <v>-1395.1379003200213</v>
          </cell>
          <cell r="E166">
            <v>-2087.5054678875895</v>
          </cell>
          <cell r="G166">
            <v>0</v>
          </cell>
          <cell r="H166">
            <v>-44.873513513513572</v>
          </cell>
          <cell r="I166">
            <v>-113.90067873088206</v>
          </cell>
          <cell r="J166">
            <v>-158.77419224439564</v>
          </cell>
        </row>
        <row r="167">
          <cell r="A167" t="str">
            <v xml:space="preserve">   PUBLIC AUTHORITY</v>
          </cell>
          <cell r="B167">
            <v>-200127.29252619762</v>
          </cell>
          <cell r="C167">
            <v>-11967.244421083105</v>
          </cell>
          <cell r="D167">
            <v>-227280.71115681191</v>
          </cell>
          <cell r="E167">
            <v>-439375.24810409267</v>
          </cell>
          <cell r="G167">
            <v>-8930.267404114129</v>
          </cell>
          <cell r="H167">
            <v>-509.75600898362291</v>
          </cell>
          <cell r="I167">
            <v>-8090.2439910163766</v>
          </cell>
          <cell r="J167">
            <v>-17530.267404114129</v>
          </cell>
        </row>
        <row r="168">
          <cell r="A168" t="str">
            <v xml:space="preserve">    TOTAL RETAIL   (Pre Tax)</v>
          </cell>
          <cell r="B168">
            <v>-4160911.9971215995</v>
          </cell>
          <cell r="C168">
            <v>-76202.39580687882</v>
          </cell>
          <cell r="D168">
            <v>-8437.0970714916766</v>
          </cell>
          <cell r="E168">
            <v>-4245551.4899999704</v>
          </cell>
          <cell r="G168">
            <v>-133004.0226084264</v>
          </cell>
          <cell r="H168">
            <v>-10667.826796572757</v>
          </cell>
          <cell r="I168">
            <v>11736.849404999273</v>
          </cell>
          <cell r="J168">
            <v>-131934.99999999988</v>
          </cell>
        </row>
        <row r="169">
          <cell r="A169" t="str">
            <v xml:space="preserve">           Provision For Refund</v>
          </cell>
          <cell r="D169">
            <v>797504</v>
          </cell>
          <cell r="E169">
            <v>797504</v>
          </cell>
        </row>
        <row r="170">
          <cell r="A170" t="str">
            <v>Variance with Prov for Refund</v>
          </cell>
          <cell r="D170">
            <v>789066.90292850835</v>
          </cell>
          <cell r="E170">
            <v>-3448047.4899999704</v>
          </cell>
        </row>
        <row r="171">
          <cell r="A171" t="str">
            <v>Notes:</v>
          </cell>
          <cell r="B171" t="str">
            <v>Total base revenue variance from budget was an unfavorable -$4.2 mill (-4.53%) pre refund.  Weather conditions - which made up all of the budget unfavorability - were milder than normal (-$4.2 million) and customer growth was as slightly stronger than exp</v>
          </cell>
        </row>
        <row r="174">
          <cell r="A174" t="str">
            <v>April  2005   VS.  BUDGET  -  BILLING MONTH BASIS</v>
          </cell>
        </row>
        <row r="176">
          <cell r="B176" t="str">
            <v>WEATHER NORMALIZED</v>
          </cell>
          <cell r="G176" t="str">
            <v>WEATHER NORMALIZED</v>
          </cell>
          <cell r="L176" t="str">
            <v>NUMBER OF CUSTOMERS</v>
          </cell>
          <cell r="Q176" t="str">
            <v>WEATHER &amp; CUSTOMER NORMALIZED</v>
          </cell>
        </row>
        <row r="177">
          <cell r="B177" t="str">
            <v>BILLED BASE REVENUES</v>
          </cell>
          <cell r="G177" t="str">
            <v>BILLED  MWH SALES</v>
          </cell>
          <cell r="L177" t="str">
            <v>Adj. for Event-Driven Billing</v>
          </cell>
          <cell r="Q177" t="str">
            <v>BILLED KWH SALES PER CUSTOMER</v>
          </cell>
        </row>
        <row r="179">
          <cell r="A179" t="str">
            <v>CLASS OF BUSINESS</v>
          </cell>
          <cell r="B179" t="str">
            <v>Apr'05 Actual</v>
          </cell>
          <cell r="C179" t="str">
            <v>FORECAST</v>
          </cell>
          <cell r="D179" t="str">
            <v>DIFF</v>
          </cell>
          <cell r="E179" t="str">
            <v>% DIFF</v>
          </cell>
          <cell r="G179" t="str">
            <v>Apr'05 Actual</v>
          </cell>
          <cell r="H179" t="str">
            <v>FORECAST</v>
          </cell>
          <cell r="I179" t="str">
            <v>DIFF</v>
          </cell>
          <cell r="J179" t="str">
            <v>% DIFF</v>
          </cell>
          <cell r="L179" t="str">
            <v>Apr'05 Actual</v>
          </cell>
          <cell r="M179" t="str">
            <v>FORECAST</v>
          </cell>
          <cell r="N179" t="str">
            <v>DIFF</v>
          </cell>
          <cell r="O179" t="str">
            <v>% DIFF</v>
          </cell>
          <cell r="Q179" t="str">
            <v>Apr'05 Actual</v>
          </cell>
          <cell r="R179" t="str">
            <v>FORECAST</v>
          </cell>
          <cell r="S179" t="str">
            <v>DIFF</v>
          </cell>
          <cell r="T179" t="str">
            <v>% DIFF</v>
          </cell>
        </row>
        <row r="181">
          <cell r="A181" t="str">
            <v xml:space="preserve">   RESIDENTIAL</v>
          </cell>
          <cell r="B181">
            <v>57244852.470000014</v>
          </cell>
          <cell r="C181">
            <v>58638398.097389184</v>
          </cell>
          <cell r="D181">
            <v>-1393545.6273891702</v>
          </cell>
          <cell r="E181">
            <v>-2.3765069862152655E-2</v>
          </cell>
          <cell r="G181">
            <v>1305259</v>
          </cell>
          <cell r="H181">
            <v>1336444</v>
          </cell>
          <cell r="I181">
            <v>-31185</v>
          </cell>
          <cell r="J181">
            <v>-2.3334311052314982E-2</v>
          </cell>
          <cell r="L181">
            <v>1390826</v>
          </cell>
          <cell r="M181">
            <v>1384999.3334934823</v>
          </cell>
          <cell r="N181">
            <v>5826.6665065176785</v>
          </cell>
          <cell r="O181">
            <v>4.2069814516232373E-3</v>
          </cell>
          <cell r="Q181">
            <v>938</v>
          </cell>
          <cell r="R181">
            <v>965</v>
          </cell>
          <cell r="S181">
            <v>-27</v>
          </cell>
          <cell r="T181">
            <v>-2.797927461139893E-2</v>
          </cell>
        </row>
        <row r="182">
          <cell r="A182" t="str">
            <v xml:space="preserve">   COMMERCIAL</v>
          </cell>
          <cell r="B182">
            <v>23516416.830000002</v>
          </cell>
          <cell r="C182">
            <v>24565242.781123981</v>
          </cell>
          <cell r="D182">
            <v>-1048825.9511239789</v>
          </cell>
          <cell r="E182">
            <v>-4.2695525563048786E-2</v>
          </cell>
          <cell r="G182">
            <v>920977</v>
          </cell>
          <cell r="H182">
            <v>961173</v>
          </cell>
          <cell r="I182">
            <v>-40196</v>
          </cell>
          <cell r="J182">
            <v>-4.1819734844819823E-2</v>
          </cell>
          <cell r="L182">
            <v>160892</v>
          </cell>
          <cell r="M182">
            <v>160991.44500620896</v>
          </cell>
          <cell r="N182">
            <v>-99.445006208959967</v>
          </cell>
          <cell r="O182">
            <v>-6.177036686957349E-4</v>
          </cell>
          <cell r="Q182">
            <v>5724</v>
          </cell>
          <cell r="R182">
            <v>5970</v>
          </cell>
          <cell r="S182">
            <v>-246</v>
          </cell>
          <cell r="T182">
            <v>-4.1206030150753747E-2</v>
          </cell>
        </row>
        <row r="183">
          <cell r="A183" t="str">
            <v xml:space="preserve">   INDUSTRIAL</v>
          </cell>
          <cell r="B183">
            <v>6735201.1499999985</v>
          </cell>
          <cell r="C183">
            <v>7021874.2315265378</v>
          </cell>
          <cell r="D183">
            <v>-286673.08152653929</v>
          </cell>
          <cell r="E183">
            <v>-4.0825721463287667E-2</v>
          </cell>
          <cell r="G183">
            <v>355234.35200000001</v>
          </cell>
          <cell r="H183">
            <v>367800</v>
          </cell>
          <cell r="I183">
            <v>-12565.647999999986</v>
          </cell>
          <cell r="J183">
            <v>-3.4164350190320825E-2</v>
          </cell>
          <cell r="L183">
            <v>2697</v>
          </cell>
          <cell r="M183">
            <v>2813</v>
          </cell>
          <cell r="N183">
            <v>-116</v>
          </cell>
          <cell r="O183">
            <v>-4.123711340206182E-2</v>
          </cell>
          <cell r="Q183">
            <v>131715</v>
          </cell>
          <cell r="R183">
            <v>130750</v>
          </cell>
          <cell r="S183">
            <v>965</v>
          </cell>
          <cell r="T183">
            <v>7.3804971319311186E-3</v>
          </cell>
        </row>
        <row r="184">
          <cell r="A184" t="str">
            <v xml:space="preserve">   ST &amp; HIGHWAY</v>
          </cell>
          <cell r="B184">
            <v>35504.909999999989</v>
          </cell>
          <cell r="C184">
            <v>36306.495387177209</v>
          </cell>
          <cell r="D184">
            <v>-801.58538717721967</v>
          </cell>
          <cell r="E184">
            <v>-2.2078291463524913E-2</v>
          </cell>
          <cell r="G184">
            <v>2299.701</v>
          </cell>
          <cell r="H184">
            <v>2353</v>
          </cell>
          <cell r="I184">
            <v>-53.298999999999978</v>
          </cell>
          <cell r="J184">
            <v>-2.2651508712282165E-2</v>
          </cell>
          <cell r="L184">
            <v>1814</v>
          </cell>
          <cell r="M184">
            <v>1850</v>
          </cell>
          <cell r="N184">
            <v>-36</v>
          </cell>
          <cell r="O184">
            <v>-1.9459459459459483E-2</v>
          </cell>
          <cell r="Q184">
            <v>1268</v>
          </cell>
          <cell r="R184">
            <v>1272</v>
          </cell>
          <cell r="S184">
            <v>-4</v>
          </cell>
          <cell r="T184">
            <v>-3.1446540880503138E-3</v>
          </cell>
        </row>
        <row r="185">
          <cell r="A185" t="str">
            <v xml:space="preserve">   PUBLIC AUTHORITY</v>
          </cell>
          <cell r="B185">
            <v>5698857.660000002</v>
          </cell>
          <cell r="C185">
            <v>5954353.9476348786</v>
          </cell>
          <cell r="D185">
            <v>-255496.28763487656</v>
          </cell>
          <cell r="E185">
            <v>-4.2909153517211029E-2</v>
          </cell>
          <cell r="G185">
            <v>244612</v>
          </cell>
          <cell r="H185">
            <v>253618</v>
          </cell>
          <cell r="I185">
            <v>-9006</v>
          </cell>
          <cell r="J185">
            <v>-3.5510097863716283E-2</v>
          </cell>
          <cell r="L185">
            <v>20885</v>
          </cell>
          <cell r="M185">
            <v>20927</v>
          </cell>
          <cell r="N185">
            <v>-42</v>
          </cell>
          <cell r="O185">
            <v>-2.006976633057822E-3</v>
          </cell>
          <cell r="Q185">
            <v>11712</v>
          </cell>
          <cell r="R185">
            <v>12119</v>
          </cell>
          <cell r="S185">
            <v>-407</v>
          </cell>
          <cell r="T185">
            <v>-3.3583629012294725E-2</v>
          </cell>
        </row>
        <row r="186">
          <cell r="A186" t="str">
            <v xml:space="preserve">      TOTAL RETAIL</v>
          </cell>
          <cell r="B186">
            <v>93230833.020000011</v>
          </cell>
          <cell r="C186">
            <v>96216175.553061754</v>
          </cell>
          <cell r="D186">
            <v>-2985342.5330617423</v>
          </cell>
          <cell r="E186">
            <v>-3.1027449552028519E-2</v>
          </cell>
          <cell r="G186">
            <v>2828382.0529999998</v>
          </cell>
          <cell r="H186">
            <v>2921388</v>
          </cell>
          <cell r="I186">
            <v>-93005.94700000016</v>
          </cell>
          <cell r="J186">
            <v>-3.1836218605676536E-2</v>
          </cell>
          <cell r="L186">
            <v>1577114</v>
          </cell>
          <cell r="M186">
            <v>1571580.7784996913</v>
          </cell>
          <cell r="N186">
            <v>5533.2215003087185</v>
          </cell>
          <cell r="O186">
            <v>3.5207999334219142E-3</v>
          </cell>
          <cell r="Q186">
            <v>1793</v>
          </cell>
          <cell r="R186">
            <v>1859</v>
          </cell>
          <cell r="S186">
            <v>-66</v>
          </cell>
          <cell r="T186">
            <v>-3.5502958579881616E-2</v>
          </cell>
        </row>
        <row r="187">
          <cell r="A187" t="str">
            <v xml:space="preserve">  Provision For Refund</v>
          </cell>
          <cell r="B187">
            <v>-549495</v>
          </cell>
          <cell r="C187">
            <v>-1346999</v>
          </cell>
          <cell r="D187">
            <v>797504</v>
          </cell>
          <cell r="E187">
            <v>-0.5920598307793844</v>
          </cell>
        </row>
        <row r="189">
          <cell r="A189" t="str">
            <v xml:space="preserve">   REA</v>
          </cell>
          <cell r="B189">
            <v>3497983.8605</v>
          </cell>
          <cell r="C189">
            <v>4613134.2967117419</v>
          </cell>
          <cell r="D189">
            <v>-1115150.436211742</v>
          </cell>
          <cell r="E189">
            <v>-0.24173378975908533</v>
          </cell>
          <cell r="G189">
            <v>125681.09299999999</v>
          </cell>
          <cell r="H189">
            <v>146599.15361874999</v>
          </cell>
          <cell r="I189">
            <v>-20918.060618749994</v>
          </cell>
          <cell r="J189">
            <v>-0.14268882256407911</v>
          </cell>
          <cell r="L189">
            <v>7</v>
          </cell>
          <cell r="M189">
            <v>5</v>
          </cell>
          <cell r="N189">
            <v>2</v>
          </cell>
          <cell r="O189">
            <v>0.39999999999999991</v>
          </cell>
        </row>
        <row r="190">
          <cell r="A190" t="str">
            <v xml:space="preserve">   Oth Whol (w/Ref $ or Interchg MWh)</v>
          </cell>
          <cell r="B190">
            <v>6456448.9094999982</v>
          </cell>
          <cell r="C190">
            <v>5088200.9492077008</v>
          </cell>
          <cell r="D190">
            <v>1368247.9602922974</v>
          </cell>
          <cell r="E190">
            <v>0.26890603848995998</v>
          </cell>
          <cell r="G190">
            <v>392300.15299999999</v>
          </cell>
          <cell r="H190">
            <v>271858.58190575114</v>
          </cell>
          <cell r="I190">
            <v>120441.57109424885</v>
          </cell>
          <cell r="J190">
            <v>0.44303023377060047</v>
          </cell>
          <cell r="L190">
            <v>17</v>
          </cell>
          <cell r="M190">
            <v>19</v>
          </cell>
          <cell r="N190">
            <v>-2</v>
          </cell>
          <cell r="O190">
            <v>-0.10526315789473684</v>
          </cell>
        </row>
        <row r="192">
          <cell r="A192" t="str">
            <v xml:space="preserve">     WHOLESALE (Not W/N)</v>
          </cell>
          <cell r="B192">
            <v>9954432.7699999977</v>
          </cell>
          <cell r="C192">
            <v>9701335.2459194437</v>
          </cell>
          <cell r="D192">
            <v>253097.52408055402</v>
          </cell>
          <cell r="E192">
            <v>2.6088937003492463E-2</v>
          </cell>
          <cell r="G192">
            <v>517981.24599999998</v>
          </cell>
          <cell r="H192">
            <v>418457.73552450113</v>
          </cell>
          <cell r="I192">
            <v>99523.510475498857</v>
          </cell>
          <cell r="J192">
            <v>0.23783407982828808</v>
          </cell>
          <cell r="L192">
            <v>24</v>
          </cell>
          <cell r="M192">
            <v>24</v>
          </cell>
          <cell r="N192">
            <v>0</v>
          </cell>
          <cell r="O192">
            <v>0</v>
          </cell>
        </row>
        <row r="194">
          <cell r="A194" t="str">
            <v xml:space="preserve"> TOTAL SYSTEM</v>
          </cell>
          <cell r="B194">
            <v>102635770.79000001</v>
          </cell>
          <cell r="C194">
            <v>104570511.79898119</v>
          </cell>
          <cell r="D194">
            <v>-1934741.0089811883</v>
          </cell>
          <cell r="E194">
            <v>-1.8501783874792399E-2</v>
          </cell>
          <cell r="G194">
            <v>3346363.2989999996</v>
          </cell>
          <cell r="H194">
            <v>3339845.7355245012</v>
          </cell>
          <cell r="I194">
            <v>6517.5634754986968</v>
          </cell>
          <cell r="J194">
            <v>1.9514564418872116E-3</v>
          </cell>
          <cell r="L194">
            <v>1577138</v>
          </cell>
          <cell r="M194">
            <v>1571604.7784996913</v>
          </cell>
          <cell r="N194">
            <v>5533.2215003087185</v>
          </cell>
          <cell r="O194">
            <v>3.5207461672335238E-3</v>
          </cell>
        </row>
      </sheetData>
      <sheetData sheetId="4" refreshError="1">
        <row r="1">
          <cell r="A1" t="str">
            <v>2004   VS.  2005</v>
          </cell>
        </row>
        <row r="2">
          <cell r="A2" t="str">
            <v>REVENUES - SALES - CUSTOMERS - USE PER CUSTOMER</v>
          </cell>
        </row>
        <row r="4">
          <cell r="A4" t="str">
            <v>MAY 2005</v>
          </cell>
        </row>
        <row r="6">
          <cell r="B6" t="str">
            <v>BASE REVENUES $</v>
          </cell>
          <cell r="G6" t="str">
            <v>BILLED &amp; UNBILLED MWH SALES</v>
          </cell>
          <cell r="L6" t="str">
            <v>NUMBER OF CUSTOMERS</v>
          </cell>
          <cell r="Q6" t="str">
            <v>KWH SALES PER CUSTOMER</v>
          </cell>
        </row>
        <row r="8">
          <cell r="A8" t="str">
            <v>CLASS OF BUSINESS</v>
          </cell>
          <cell r="B8" t="str">
            <v>May'05 Actual</v>
          </cell>
          <cell r="C8" t="str">
            <v>May'04 Actual</v>
          </cell>
          <cell r="D8" t="str">
            <v>DIFF</v>
          </cell>
          <cell r="E8" t="str">
            <v>% DIFF</v>
          </cell>
          <cell r="G8" t="str">
            <v>May'05 Actual</v>
          </cell>
          <cell r="H8" t="str">
            <v>May'04 Actual</v>
          </cell>
          <cell r="I8" t="str">
            <v>DIFF</v>
          </cell>
          <cell r="J8" t="str">
            <v>% DIFF</v>
          </cell>
          <cell r="L8" t="str">
            <v>May'05 Actual</v>
          </cell>
          <cell r="M8" t="str">
            <v>May'04 Actual</v>
          </cell>
          <cell r="N8" t="str">
            <v>DIFF</v>
          </cell>
          <cell r="O8" t="str">
            <v>% DIFF</v>
          </cell>
          <cell r="Q8" t="str">
            <v>May'05 Actual</v>
          </cell>
          <cell r="R8" t="str">
            <v>May'04 Actual</v>
          </cell>
          <cell r="S8" t="str">
            <v>DIFF</v>
          </cell>
          <cell r="T8" t="str">
            <v>% DIFF</v>
          </cell>
        </row>
        <row r="10">
          <cell r="A10" t="str">
            <v xml:space="preserve">   RESIDENTIAL</v>
          </cell>
          <cell r="B10">
            <v>58338576.490000002</v>
          </cell>
          <cell r="C10">
            <v>60659851.230000012</v>
          </cell>
          <cell r="D10">
            <v>-2321274.7400000095</v>
          </cell>
          <cell r="E10">
            <v>-3.8267069452554092E-2</v>
          </cell>
          <cell r="G10">
            <v>1324268.9040000001</v>
          </cell>
          <cell r="H10">
            <v>1390026.855</v>
          </cell>
          <cell r="I10">
            <v>-65757.950999999885</v>
          </cell>
          <cell r="J10">
            <v>-4.730696443990634E-2</v>
          </cell>
          <cell r="L10">
            <v>1433410</v>
          </cell>
          <cell r="M10">
            <v>1364646</v>
          </cell>
          <cell r="N10">
            <v>68764</v>
          </cell>
          <cell r="O10">
            <v>5.0389624855090576E-2</v>
          </cell>
          <cell r="Q10">
            <v>924</v>
          </cell>
          <cell r="R10">
            <v>1019</v>
          </cell>
          <cell r="S10">
            <v>-95</v>
          </cell>
          <cell r="T10">
            <v>-9.3228655544651651E-2</v>
          </cell>
        </row>
        <row r="11">
          <cell r="A11" t="str">
            <v xml:space="preserve">   COMMERCIAL</v>
          </cell>
          <cell r="B11">
            <v>24570514.240000002</v>
          </cell>
          <cell r="C11">
            <v>24518116.970000003</v>
          </cell>
          <cell r="D11">
            <v>52397.269999999553</v>
          </cell>
          <cell r="E11">
            <v>2.1370837762177963E-3</v>
          </cell>
          <cell r="G11">
            <v>940217.82799999998</v>
          </cell>
          <cell r="H11">
            <v>953467.46</v>
          </cell>
          <cell r="I11">
            <v>-13249.631999999983</v>
          </cell>
          <cell r="J11">
            <v>-1.3896260287687201E-2</v>
          </cell>
          <cell r="L11">
            <v>166020</v>
          </cell>
          <cell r="M11">
            <v>158735</v>
          </cell>
          <cell r="N11">
            <v>7285</v>
          </cell>
          <cell r="O11">
            <v>4.5894100229942891E-2</v>
          </cell>
          <cell r="Q11">
            <v>5663</v>
          </cell>
          <cell r="R11">
            <v>6007</v>
          </cell>
          <cell r="S11">
            <v>-344</v>
          </cell>
          <cell r="T11">
            <v>-5.7266522390544417E-2</v>
          </cell>
        </row>
        <row r="12">
          <cell r="A12" t="str">
            <v xml:space="preserve">   INDUSTRIAL</v>
          </cell>
          <cell r="B12">
            <v>6264152.3199999994</v>
          </cell>
          <cell r="C12">
            <v>6536344.4400000013</v>
          </cell>
          <cell r="D12">
            <v>-272192.12000000197</v>
          </cell>
          <cell r="E12">
            <v>-4.1642866666310785E-2</v>
          </cell>
          <cell r="G12">
            <v>320647.35499999998</v>
          </cell>
          <cell r="H12">
            <v>351164.46500000003</v>
          </cell>
          <cell r="I12">
            <v>-30517.110000000044</v>
          </cell>
          <cell r="J12">
            <v>-8.6902614135516365E-2</v>
          </cell>
          <cell r="L12">
            <v>2752</v>
          </cell>
          <cell r="M12">
            <v>2734</v>
          </cell>
          <cell r="N12">
            <v>18</v>
          </cell>
          <cell r="O12">
            <v>6.5837600585223477E-3</v>
          </cell>
          <cell r="Q12">
            <v>116514</v>
          </cell>
          <cell r="R12">
            <v>128443</v>
          </cell>
          <cell r="S12">
            <v>-11929</v>
          </cell>
          <cell r="T12">
            <v>-9.2873881799708791E-2</v>
          </cell>
        </row>
        <row r="13">
          <cell r="A13" t="str">
            <v xml:space="preserve">   ST &amp; HIGHWAY</v>
          </cell>
          <cell r="B13">
            <v>35318.73000000001</v>
          </cell>
          <cell r="C13">
            <v>34320.469999999994</v>
          </cell>
          <cell r="D13">
            <v>998.26000000001659</v>
          </cell>
          <cell r="E13">
            <v>2.908643150865986E-2</v>
          </cell>
          <cell r="G13">
            <v>2287.866</v>
          </cell>
          <cell r="H13">
            <v>2215.4769999999999</v>
          </cell>
          <cell r="I13">
            <v>72.389000000000124</v>
          </cell>
          <cell r="J13">
            <v>3.2674227717101267E-2</v>
          </cell>
          <cell r="L13">
            <v>1808</v>
          </cell>
          <cell r="M13">
            <v>1860</v>
          </cell>
          <cell r="N13">
            <v>-52</v>
          </cell>
          <cell r="O13">
            <v>-2.7956989247311825E-2</v>
          </cell>
          <cell r="Q13">
            <v>1265</v>
          </cell>
          <cell r="R13">
            <v>1191</v>
          </cell>
          <cell r="S13">
            <v>74</v>
          </cell>
          <cell r="T13">
            <v>6.2132661628883312E-2</v>
          </cell>
        </row>
        <row r="14">
          <cell r="A14" t="str">
            <v xml:space="preserve">   PUBLIC AUTHORITY</v>
          </cell>
          <cell r="B14">
            <v>5834280.0800000001</v>
          </cell>
          <cell r="C14">
            <v>5864140.290000001</v>
          </cell>
          <cell r="D14">
            <v>-29860.210000000894</v>
          </cell>
          <cell r="E14">
            <v>-5.09200130340004E-3</v>
          </cell>
          <cell r="G14">
            <v>246937.37</v>
          </cell>
          <cell r="H14">
            <v>249972.02499999999</v>
          </cell>
          <cell r="I14">
            <v>-3034.6549999999988</v>
          </cell>
          <cell r="J14">
            <v>-1.2139978463590051E-2</v>
          </cell>
          <cell r="L14">
            <v>21343</v>
          </cell>
          <cell r="M14">
            <v>20604</v>
          </cell>
          <cell r="N14">
            <v>739</v>
          </cell>
          <cell r="O14">
            <v>3.5866821976315189E-2</v>
          </cell>
          <cell r="Q14">
            <v>11570</v>
          </cell>
          <cell r="R14">
            <v>12132</v>
          </cell>
          <cell r="S14">
            <v>-562</v>
          </cell>
          <cell r="T14">
            <v>-4.6323771843059691E-2</v>
          </cell>
        </row>
        <row r="15">
          <cell r="A15" t="str">
            <v xml:space="preserve">  TOTAL RETAIL BILLED</v>
          </cell>
          <cell r="B15">
            <v>95042841.859999999</v>
          </cell>
          <cell r="C15">
            <v>97612773.400000021</v>
          </cell>
          <cell r="D15">
            <v>-2569931.5400000126</v>
          </cell>
          <cell r="E15">
            <v>-2.6327820125229828E-2</v>
          </cell>
          <cell r="G15">
            <v>2834359.3229999999</v>
          </cell>
          <cell r="H15">
            <v>2946846.2819999997</v>
          </cell>
          <cell r="I15">
            <v>-112486.95899999992</v>
          </cell>
          <cell r="J15">
            <v>-3.8171980563457053E-2</v>
          </cell>
          <cell r="L15">
            <v>1625333</v>
          </cell>
          <cell r="M15">
            <v>1548579</v>
          </cell>
          <cell r="N15">
            <v>76754</v>
          </cell>
          <cell r="O15">
            <v>4.9564148809973618E-2</v>
          </cell>
          <cell r="Q15">
            <v>1744</v>
          </cell>
          <cell r="R15">
            <v>1903</v>
          </cell>
          <cell r="S15">
            <v>-159</v>
          </cell>
          <cell r="T15">
            <v>-8.3552285864424647E-2</v>
          </cell>
        </row>
        <row r="16">
          <cell r="A16" t="str">
            <v xml:space="preserve">  Provision For Refund</v>
          </cell>
          <cell r="B16">
            <v>436414</v>
          </cell>
          <cell r="C16">
            <v>-371706</v>
          </cell>
          <cell r="D16">
            <v>808120</v>
          </cell>
          <cell r="E16">
            <v>-2.174083818932167</v>
          </cell>
        </row>
        <row r="18">
          <cell r="A18" t="str">
            <v xml:space="preserve">   REA</v>
          </cell>
          <cell r="B18">
            <v>2935737.0995000005</v>
          </cell>
          <cell r="C18">
            <v>1736076.3830000004</v>
          </cell>
          <cell r="D18">
            <v>1199660.7165000001</v>
          </cell>
          <cell r="E18">
            <v>0.69101839541584265</v>
          </cell>
          <cell r="G18">
            <v>113196.15300000001</v>
          </cell>
          <cell r="H18">
            <v>84688.038</v>
          </cell>
          <cell r="I18">
            <v>28508.115000000005</v>
          </cell>
          <cell r="J18">
            <v>0.33662504969119733</v>
          </cell>
          <cell r="L18">
            <v>7</v>
          </cell>
          <cell r="M18">
            <v>5</v>
          </cell>
          <cell r="N18">
            <v>2</v>
          </cell>
          <cell r="O18">
            <v>0.39999999999999991</v>
          </cell>
          <cell r="Q18">
            <v>16170879</v>
          </cell>
          <cell r="R18">
            <v>16937608</v>
          </cell>
          <cell r="S18">
            <v>-766729</v>
          </cell>
          <cell r="T18">
            <v>-4.5267844196181684E-2</v>
          </cell>
        </row>
        <row r="19">
          <cell r="A19" t="str">
            <v xml:space="preserve">   Oth Whol (w/Ref $ or Interchg MWh)</v>
          </cell>
          <cell r="B19">
            <v>5005125.5280000009</v>
          </cell>
          <cell r="C19">
            <v>4779188.6654999983</v>
          </cell>
          <cell r="D19">
            <v>225936.86250000261</v>
          </cell>
          <cell r="E19">
            <v>4.7275150305531088E-2</v>
          </cell>
          <cell r="G19">
            <v>284758.15700000001</v>
          </cell>
          <cell r="H19">
            <v>268406.54800000001</v>
          </cell>
          <cell r="I19">
            <v>16351.608999999997</v>
          </cell>
          <cell r="J19">
            <v>6.0921051002079007E-2</v>
          </cell>
          <cell r="L19">
            <v>19</v>
          </cell>
          <cell r="M19">
            <v>16</v>
          </cell>
          <cell r="N19">
            <v>3</v>
          </cell>
          <cell r="O19">
            <v>0.1875</v>
          </cell>
          <cell r="Q19">
            <v>14987271</v>
          </cell>
          <cell r="R19">
            <v>16775409</v>
          </cell>
          <cell r="S19">
            <v>-1788138</v>
          </cell>
          <cell r="T19">
            <v>-0.10659281094130102</v>
          </cell>
        </row>
        <row r="21">
          <cell r="A21" t="str">
            <v xml:space="preserve"> TOTAL WHOLESALE  BILLED</v>
          </cell>
          <cell r="B21">
            <v>7940862.6275000013</v>
          </cell>
          <cell r="C21">
            <v>6515265.0484999986</v>
          </cell>
          <cell r="D21">
            <v>1425597.5790000027</v>
          </cell>
          <cell r="E21">
            <v>0.21880883868695666</v>
          </cell>
          <cell r="G21">
            <v>397954.31</v>
          </cell>
          <cell r="H21">
            <v>353094.58600000001</v>
          </cell>
          <cell r="I21">
            <v>44859.724000000002</v>
          </cell>
          <cell r="J21">
            <v>0.12704732889900505</v>
          </cell>
          <cell r="L21">
            <v>26</v>
          </cell>
          <cell r="M21">
            <v>21</v>
          </cell>
          <cell r="N21">
            <v>5</v>
          </cell>
          <cell r="O21">
            <v>0.23809523809523814</v>
          </cell>
          <cell r="Q21">
            <v>15305935</v>
          </cell>
          <cell r="R21">
            <v>16814028</v>
          </cell>
          <cell r="S21">
            <v>-1508093</v>
          </cell>
          <cell r="T21">
            <v>-8.9692547199279105E-2</v>
          </cell>
        </row>
        <row r="23">
          <cell r="A23" t="str">
            <v xml:space="preserve"> TOTAL SYSTEM BILLED</v>
          </cell>
          <cell r="B23">
            <v>103420118.4875</v>
          </cell>
          <cell r="C23">
            <v>103756332.44850002</v>
          </cell>
          <cell r="D23">
            <v>-336213.96100000991</v>
          </cell>
          <cell r="E23">
            <v>-3.2404187105100624E-3</v>
          </cell>
          <cell r="G23">
            <v>3232313.6329999999</v>
          </cell>
          <cell r="H23">
            <v>3299940.8679999998</v>
          </cell>
          <cell r="I23">
            <v>-67627.234999999913</v>
          </cell>
          <cell r="J23">
            <v>-2.0493468733270626E-2</v>
          </cell>
          <cell r="L23">
            <v>1625359</v>
          </cell>
          <cell r="M23">
            <v>1548600</v>
          </cell>
          <cell r="N23">
            <v>76759</v>
          </cell>
          <cell r="O23">
            <v>4.956670541133934E-2</v>
          </cell>
          <cell r="Q23">
            <v>1989</v>
          </cell>
          <cell r="R23">
            <v>2131</v>
          </cell>
          <cell r="S23">
            <v>-142</v>
          </cell>
          <cell r="T23">
            <v>-6.6635382449554248E-2</v>
          </cell>
        </row>
        <row r="25">
          <cell r="A25" t="str">
            <v xml:space="preserve">     Retail Unbilled (Change)</v>
          </cell>
          <cell r="B25">
            <v>14715543</v>
          </cell>
          <cell r="C25">
            <v>12586562</v>
          </cell>
          <cell r="D25">
            <v>2128981</v>
          </cell>
          <cell r="E25" t="str">
            <v>N/A</v>
          </cell>
          <cell r="G25">
            <v>474184</v>
          </cell>
          <cell r="H25">
            <v>390649</v>
          </cell>
          <cell r="I25">
            <v>83535</v>
          </cell>
          <cell r="J25" t="str">
            <v>N/A</v>
          </cell>
        </row>
        <row r="26">
          <cell r="A26" t="str">
            <v xml:space="preserve">     Wholesale Unbilled (Change)</v>
          </cell>
          <cell r="B26">
            <v>1634502</v>
          </cell>
          <cell r="C26">
            <v>1733572</v>
          </cell>
          <cell r="D26">
            <v>-99070</v>
          </cell>
          <cell r="E26" t="str">
            <v>N/A</v>
          </cell>
          <cell r="G26">
            <v>2577</v>
          </cell>
          <cell r="H26">
            <v>53638</v>
          </cell>
          <cell r="I26">
            <v>-51061</v>
          </cell>
          <cell r="J26" t="str">
            <v>N/A</v>
          </cell>
        </row>
        <row r="27">
          <cell r="A27" t="str">
            <v xml:space="preserve">           Total Unbilled (Change)</v>
          </cell>
          <cell r="B27">
            <v>16350045</v>
          </cell>
          <cell r="C27">
            <v>14320134</v>
          </cell>
          <cell r="D27">
            <v>2029911</v>
          </cell>
          <cell r="E27" t="str">
            <v>N/A</v>
          </cell>
          <cell r="G27">
            <v>476761</v>
          </cell>
          <cell r="H27">
            <v>444287</v>
          </cell>
          <cell r="I27">
            <v>32474</v>
          </cell>
          <cell r="J27" t="str">
            <v>N/A</v>
          </cell>
        </row>
        <row r="29">
          <cell r="A29" t="str">
            <v>TOTAL BILLED &amp; UNBILLED</v>
          </cell>
          <cell r="B29">
            <v>119770163.4875</v>
          </cell>
          <cell r="C29">
            <v>118076466.44850002</v>
          </cell>
          <cell r="D29">
            <v>1693697.0389999901</v>
          </cell>
          <cell r="E29">
            <v>1.4344069482623789E-2</v>
          </cell>
          <cell r="G29">
            <v>3709074.6329999999</v>
          </cell>
          <cell r="H29">
            <v>3744227.8679999998</v>
          </cell>
          <cell r="I29">
            <v>-35153.234999999913</v>
          </cell>
          <cell r="J29">
            <v>-9.3886473364606093E-3</v>
          </cell>
        </row>
        <row r="32">
          <cell r="B32" t="str">
            <v>TOTAL BASE REVENUES $</v>
          </cell>
        </row>
        <row r="33">
          <cell r="B33" t="str">
            <v>BILLED &amp; ALLOCATED UNBILLED</v>
          </cell>
          <cell r="G33" t="str">
            <v>BILLED &amp; ALLOCATED UNBILLED MWH SALES</v>
          </cell>
          <cell r="L33" t="str">
            <v>NUMBER OF CUSTOMERS</v>
          </cell>
          <cell r="Q33" t="str">
            <v>KWH SALES PER CUSTOMER</v>
          </cell>
        </row>
        <row r="35">
          <cell r="A35" t="str">
            <v>CLASS OF BUSINESS</v>
          </cell>
          <cell r="B35" t="str">
            <v>May'05 Actual</v>
          </cell>
          <cell r="C35" t="str">
            <v>May'04 Actual</v>
          </cell>
          <cell r="D35" t="str">
            <v>DIFF</v>
          </cell>
          <cell r="E35" t="str">
            <v>% DIFF</v>
          </cell>
          <cell r="G35" t="str">
            <v>May'05 Actual</v>
          </cell>
          <cell r="H35" t="str">
            <v>May'04 Actual</v>
          </cell>
          <cell r="I35" t="str">
            <v>DIFF</v>
          </cell>
          <cell r="J35" t="str">
            <v>% DIFF</v>
          </cell>
          <cell r="L35" t="str">
            <v>May'05 Actual</v>
          </cell>
          <cell r="M35" t="str">
            <v>May'04 Actual</v>
          </cell>
          <cell r="N35" t="str">
            <v>DIFF</v>
          </cell>
          <cell r="O35" t="str">
            <v>% DIFF</v>
          </cell>
          <cell r="Q35" t="str">
            <v>May'05 Actual</v>
          </cell>
          <cell r="R35" t="str">
            <v>May'04 Actual</v>
          </cell>
          <cell r="S35" t="str">
            <v>DIFF</v>
          </cell>
          <cell r="T35" t="str">
            <v>% DIFF</v>
          </cell>
        </row>
        <row r="37">
          <cell r="A37" t="str">
            <v xml:space="preserve">   RESIDENTIAL</v>
          </cell>
          <cell r="B37">
            <v>67975038.401903421</v>
          </cell>
          <cell r="C37">
            <v>69194468.346106574</v>
          </cell>
          <cell r="D37">
            <v>-1219429.9442031533</v>
          </cell>
          <cell r="E37">
            <v>-1.7623228754409026E-2</v>
          </cell>
          <cell r="G37">
            <v>1572975.890495365</v>
          </cell>
          <cell r="H37">
            <v>1609415.3643113971</v>
          </cell>
          <cell r="I37">
            <v>-36439.473816032056</v>
          </cell>
          <cell r="J37">
            <v>-2.2641435283938027E-2</v>
          </cell>
          <cell r="L37">
            <v>1433410</v>
          </cell>
          <cell r="M37">
            <v>1364646</v>
          </cell>
          <cell r="N37">
            <v>68764</v>
          </cell>
          <cell r="O37">
            <v>5.0389624855090576E-2</v>
          </cell>
          <cell r="Q37">
            <v>1097</v>
          </cell>
          <cell r="R37">
            <v>1179</v>
          </cell>
          <cell r="S37">
            <v>-82</v>
          </cell>
          <cell r="T37">
            <v>-6.9550466497031338E-2</v>
          </cell>
        </row>
        <row r="38">
          <cell r="A38" t="str">
            <v xml:space="preserve">   COMMERCIAL</v>
          </cell>
          <cell r="B38">
            <v>28350292.786451757</v>
          </cell>
          <cell r="C38">
            <v>27492449.007395994</v>
          </cell>
          <cell r="D38">
            <v>857843.77905576304</v>
          </cell>
          <cell r="E38">
            <v>3.1202886975437716E-2</v>
          </cell>
          <cell r="G38">
            <v>1103374.9300825363</v>
          </cell>
          <cell r="H38">
            <v>1069071.4840093874</v>
          </cell>
          <cell r="I38">
            <v>34303.446073148865</v>
          </cell>
          <cell r="J38">
            <v>3.2087139715390345E-2</v>
          </cell>
          <cell r="L38">
            <v>166020</v>
          </cell>
          <cell r="M38">
            <v>158735</v>
          </cell>
          <cell r="N38">
            <v>7285</v>
          </cell>
          <cell r="O38">
            <v>4.5894100229942891E-2</v>
          </cell>
          <cell r="Q38">
            <v>6646</v>
          </cell>
          <cell r="R38">
            <v>6735</v>
          </cell>
          <cell r="S38">
            <v>-89</v>
          </cell>
          <cell r="T38">
            <v>-1.3214550853749119E-2</v>
          </cell>
        </row>
        <row r="39">
          <cell r="A39" t="str">
            <v xml:space="preserve">   INDUSTRIAL</v>
          </cell>
          <cell r="B39">
            <v>6709665.9570798986</v>
          </cell>
          <cell r="C39">
            <v>6962071.0784510924</v>
          </cell>
          <cell r="D39">
            <v>-252405.12137119379</v>
          </cell>
          <cell r="E39">
            <v>-3.6254315494197553E-2</v>
          </cell>
          <cell r="G39">
            <v>347855.37641763501</v>
          </cell>
          <cell r="H39">
            <v>380067.97860700235</v>
          </cell>
          <cell r="I39">
            <v>-32212.602189367346</v>
          </cell>
          <cell r="J39">
            <v>-8.4754843876694519E-2</v>
          </cell>
          <cell r="L39">
            <v>2752</v>
          </cell>
          <cell r="M39">
            <v>2734</v>
          </cell>
          <cell r="N39">
            <v>18</v>
          </cell>
          <cell r="O39">
            <v>6.5837600585223477E-3</v>
          </cell>
          <cell r="Q39">
            <v>126401</v>
          </cell>
          <cell r="R39">
            <v>139015</v>
          </cell>
          <cell r="S39">
            <v>-12614</v>
          </cell>
          <cell r="T39">
            <v>-9.0738409524152019E-2</v>
          </cell>
        </row>
        <row r="40">
          <cell r="A40" t="str">
            <v xml:space="preserve">   ST &amp; HIGHWAY</v>
          </cell>
          <cell r="B40">
            <v>36066.494041197366</v>
          </cell>
          <cell r="C40">
            <v>35793.976606467084</v>
          </cell>
          <cell r="D40">
            <v>272.51743473028182</v>
          </cell>
          <cell r="E40">
            <v>7.6134998278185595E-3</v>
          </cell>
          <cell r="G40">
            <v>2340.1974624643403</v>
          </cell>
          <cell r="H40">
            <v>2299.903326613382</v>
          </cell>
          <cell r="I40">
            <v>40.294135850958355</v>
          </cell>
          <cell r="J40">
            <v>1.7519925896316568E-2</v>
          </cell>
          <cell r="L40">
            <v>1808</v>
          </cell>
          <cell r="M40">
            <v>1860</v>
          </cell>
          <cell r="N40">
            <v>-52</v>
          </cell>
          <cell r="O40">
            <v>-2.7956989247311825E-2</v>
          </cell>
          <cell r="Q40">
            <v>1294</v>
          </cell>
          <cell r="R40">
            <v>1237</v>
          </cell>
          <cell r="S40">
            <v>57</v>
          </cell>
          <cell r="T40">
            <v>4.6079223928860102E-2</v>
          </cell>
        </row>
        <row r="41">
          <cell r="A41" t="str">
            <v xml:space="preserve">   PUBLIC AUTHORITY</v>
          </cell>
          <cell r="B41">
            <v>6687321.220523715</v>
          </cell>
          <cell r="C41">
            <v>6514552.9914398845</v>
          </cell>
          <cell r="D41">
            <v>172768.22908383049</v>
          </cell>
          <cell r="E41">
            <v>2.6520350561404227E-2</v>
          </cell>
          <cell r="G41">
            <v>281997.60554199945</v>
          </cell>
          <cell r="H41">
            <v>276640.26974559983</v>
          </cell>
          <cell r="I41">
            <v>5357.3357963996241</v>
          </cell>
          <cell r="J41">
            <v>1.9365712017727077E-2</v>
          </cell>
          <cell r="L41">
            <v>21343</v>
          </cell>
          <cell r="M41">
            <v>20604</v>
          </cell>
          <cell r="N41">
            <v>739</v>
          </cell>
          <cell r="O41">
            <v>3.5866821976315189E-2</v>
          </cell>
          <cell r="Q41">
            <v>13213</v>
          </cell>
          <cell r="R41">
            <v>13427</v>
          </cell>
          <cell r="S41">
            <v>-214</v>
          </cell>
          <cell r="T41">
            <v>-1.5938035302003439E-2</v>
          </cell>
        </row>
        <row r="42">
          <cell r="A42" t="str">
            <v xml:space="preserve">       TOTAL RETAIL</v>
          </cell>
          <cell r="B42">
            <v>109758384.86</v>
          </cell>
          <cell r="C42">
            <v>110199335.40000002</v>
          </cell>
          <cell r="D42">
            <v>-440950.5400000232</v>
          </cell>
          <cell r="E42">
            <v>-4.0013901935022078E-3</v>
          </cell>
          <cell r="G42">
            <v>3308544</v>
          </cell>
          <cell r="H42">
            <v>3337495</v>
          </cell>
          <cell r="I42">
            <v>-28950.999999999956</v>
          </cell>
          <cell r="J42">
            <v>-8.6744699242995438E-3</v>
          </cell>
          <cell r="L42">
            <v>1625333</v>
          </cell>
          <cell r="M42">
            <v>1548579</v>
          </cell>
          <cell r="N42">
            <v>76754</v>
          </cell>
          <cell r="O42">
            <v>4.9564148809973618E-2</v>
          </cell>
          <cell r="Q42">
            <v>2036</v>
          </cell>
          <cell r="R42">
            <v>2155</v>
          </cell>
          <cell r="S42">
            <v>-119</v>
          </cell>
          <cell r="T42">
            <v>-5.5220417633410679E-2</v>
          </cell>
        </row>
        <row r="43">
          <cell r="A43" t="str">
            <v xml:space="preserve">  Provision For Refund</v>
          </cell>
          <cell r="B43">
            <v>436414</v>
          </cell>
          <cell r="C43">
            <v>-371706</v>
          </cell>
          <cell r="D43">
            <v>808120</v>
          </cell>
          <cell r="E43">
            <v>-2.174083818932167</v>
          </cell>
        </row>
        <row r="45">
          <cell r="A45" t="str">
            <v xml:space="preserve">   REA</v>
          </cell>
          <cell r="B45">
            <v>4063024.6195000005</v>
          </cell>
          <cell r="C45">
            <v>3475382.5830000006</v>
          </cell>
          <cell r="D45">
            <v>587642.03649999993</v>
          </cell>
          <cell r="E45">
            <v>0.16908700624054429</v>
          </cell>
          <cell r="G45">
            <v>108409</v>
          </cell>
          <cell r="H45">
            <v>123373</v>
          </cell>
          <cell r="I45">
            <v>-14964</v>
          </cell>
          <cell r="J45">
            <v>-0.12129072001167196</v>
          </cell>
          <cell r="L45">
            <v>7</v>
          </cell>
          <cell r="M45">
            <v>5</v>
          </cell>
          <cell r="N45">
            <v>2</v>
          </cell>
          <cell r="O45">
            <v>0.39999999999999991</v>
          </cell>
          <cell r="Q45">
            <v>15487000</v>
          </cell>
          <cell r="R45">
            <v>24674600</v>
          </cell>
          <cell r="S45">
            <v>-9187600</v>
          </cell>
          <cell r="T45">
            <v>-0.37235051429405142</v>
          </cell>
        </row>
        <row r="46">
          <cell r="A46" t="str">
            <v xml:space="preserve">   Oth Whol (w/Ref $ or Interchg MWh)</v>
          </cell>
          <cell r="B46">
            <v>5512340.0080000013</v>
          </cell>
          <cell r="C46">
            <v>4773454.4654999981</v>
          </cell>
          <cell r="D46">
            <v>738885.54250000324</v>
          </cell>
          <cell r="E46">
            <v>0.1547905291315288</v>
          </cell>
          <cell r="G46">
            <v>292122.31</v>
          </cell>
          <cell r="H46">
            <v>283359.58600000001</v>
          </cell>
          <cell r="I46">
            <v>8762.7239999999874</v>
          </cell>
          <cell r="J46">
            <v>3.0924395831097851E-2</v>
          </cell>
          <cell r="L46">
            <v>19</v>
          </cell>
          <cell r="M46">
            <v>16</v>
          </cell>
          <cell r="N46">
            <v>3</v>
          </cell>
          <cell r="O46">
            <v>0.1875</v>
          </cell>
          <cell r="Q46">
            <v>15374858</v>
          </cell>
          <cell r="R46">
            <v>17709974</v>
          </cell>
          <cell r="S46">
            <v>-2335116</v>
          </cell>
          <cell r="T46">
            <v>-0.13185315800011899</v>
          </cell>
        </row>
        <row r="48">
          <cell r="A48" t="str">
            <v xml:space="preserve">       TOTAL WHOLESALE </v>
          </cell>
          <cell r="B48">
            <v>9575364.6275000013</v>
          </cell>
          <cell r="C48">
            <v>8248837.0484999986</v>
          </cell>
          <cell r="D48">
            <v>1326527.5790000032</v>
          </cell>
          <cell r="E48">
            <v>0.1608138906370109</v>
          </cell>
          <cell r="G48">
            <v>400531.31</v>
          </cell>
          <cell r="H48">
            <v>406732.58600000001</v>
          </cell>
          <cell r="I48">
            <v>-6201.2760000000126</v>
          </cell>
          <cell r="J48">
            <v>-1.5246567925590315E-2</v>
          </cell>
          <cell r="L48">
            <v>26</v>
          </cell>
          <cell r="M48">
            <v>21</v>
          </cell>
          <cell r="N48">
            <v>5</v>
          </cell>
          <cell r="O48">
            <v>0.23809523809523814</v>
          </cell>
          <cell r="Q48">
            <v>15405050</v>
          </cell>
          <cell r="R48">
            <v>19368218</v>
          </cell>
          <cell r="S48">
            <v>-3963168</v>
          </cell>
          <cell r="T48">
            <v>-0.20462223215372732</v>
          </cell>
        </row>
        <row r="50">
          <cell r="A50" t="str">
            <v xml:space="preserve"> TOTAL SYSTEM</v>
          </cell>
          <cell r="B50">
            <v>119770163.4875</v>
          </cell>
          <cell r="C50">
            <v>118076466.44850002</v>
          </cell>
          <cell r="D50">
            <v>1693697.0389999798</v>
          </cell>
          <cell r="E50">
            <v>1.4344069482623789E-2</v>
          </cell>
          <cell r="G50">
            <v>3709075.31</v>
          </cell>
          <cell r="H50">
            <v>3744227.5860000001</v>
          </cell>
          <cell r="I50">
            <v>-35152.275999999969</v>
          </cell>
          <cell r="J50">
            <v>-9.388391915982286E-3</v>
          </cell>
          <cell r="L50">
            <v>1625359</v>
          </cell>
          <cell r="M50">
            <v>1548600</v>
          </cell>
          <cell r="N50">
            <v>76759</v>
          </cell>
          <cell r="O50">
            <v>4.956670541133934E-2</v>
          </cell>
          <cell r="Q50">
            <v>2282</v>
          </cell>
          <cell r="R50">
            <v>2418</v>
          </cell>
          <cell r="S50">
            <v>-136</v>
          </cell>
          <cell r="T50">
            <v>-5.6244830438378801E-2</v>
          </cell>
        </row>
        <row r="53">
          <cell r="B53" t="str">
            <v>WEATHER NORMALIZED</v>
          </cell>
          <cell r="G53" t="str">
            <v>WEATHER NORMALIZED</v>
          </cell>
          <cell r="L53" t="str">
            <v>NUMBER OF CUSTOMERS</v>
          </cell>
          <cell r="Q53" t="str">
            <v>WEATHER &amp; CUSTOMER NORMALIZED</v>
          </cell>
        </row>
        <row r="54">
          <cell r="B54" t="str">
            <v>BILLED &amp; UNBILLED BASE REVENUES</v>
          </cell>
          <cell r="G54" t="str">
            <v>BILLED &amp; UNBILLED MWH SALES</v>
          </cell>
          <cell r="L54" t="str">
            <v>Adjusted for Event-Driven Billing</v>
          </cell>
          <cell r="Q54" t="str">
            <v>KWH SALES PER CUSTOMER</v>
          </cell>
        </row>
        <row r="56">
          <cell r="A56" t="str">
            <v>CLASS OF BUSINESS</v>
          </cell>
          <cell r="B56" t="str">
            <v>May'05 Actual</v>
          </cell>
          <cell r="C56" t="str">
            <v>May'04 Actual</v>
          </cell>
          <cell r="D56" t="str">
            <v>DIFF</v>
          </cell>
          <cell r="E56" t="str">
            <v>% DIFF</v>
          </cell>
          <cell r="G56" t="str">
            <v>May'05 Actual</v>
          </cell>
          <cell r="H56" t="str">
            <v>May'04 Actual</v>
          </cell>
          <cell r="I56" t="str">
            <v>DIFF</v>
          </cell>
          <cell r="J56" t="str">
            <v>% DIFF</v>
          </cell>
          <cell r="L56" t="str">
            <v>May'05 Actual</v>
          </cell>
          <cell r="M56" t="str">
            <v>May'04 Actual</v>
          </cell>
          <cell r="N56" t="str">
            <v>DIFF</v>
          </cell>
          <cell r="O56" t="str">
            <v>% DIFF</v>
          </cell>
          <cell r="Q56" t="str">
            <v>May'05 Actual</v>
          </cell>
          <cell r="R56" t="str">
            <v>May'04 Actual</v>
          </cell>
          <cell r="S56" t="str">
            <v>DIFF</v>
          </cell>
          <cell r="T56" t="str">
            <v>% DIFF</v>
          </cell>
        </row>
        <row r="58">
          <cell r="A58" t="str">
            <v xml:space="preserve">   RESIDENTIAL</v>
          </cell>
          <cell r="B58">
            <v>69370384.050640553</v>
          </cell>
          <cell r="C58">
            <v>70380830.969186097</v>
          </cell>
          <cell r="D58">
            <v>-1010446.9185455441</v>
          </cell>
          <cell r="E58">
            <v>-1.4356848372363396E-2</v>
          </cell>
          <cell r="G58">
            <v>1611671</v>
          </cell>
          <cell r="H58">
            <v>1642517</v>
          </cell>
          <cell r="I58">
            <v>-30846</v>
          </cell>
          <cell r="J58">
            <v>-1.8779714304326789E-2</v>
          </cell>
          <cell r="L58">
            <v>1391681</v>
          </cell>
          <cell r="M58">
            <v>1360024</v>
          </cell>
          <cell r="N58">
            <v>31657</v>
          </cell>
          <cell r="O58">
            <v>2.3276795115380278E-2</v>
          </cell>
          <cell r="Q58">
            <v>1158</v>
          </cell>
          <cell r="R58">
            <v>1208</v>
          </cell>
          <cell r="S58">
            <v>-50</v>
          </cell>
          <cell r="T58">
            <v>-4.1390728476821237E-2</v>
          </cell>
        </row>
        <row r="59">
          <cell r="A59" t="str">
            <v xml:space="preserve">   COMMERCIAL</v>
          </cell>
          <cell r="B59">
            <v>28680415.407755204</v>
          </cell>
          <cell r="C59">
            <v>27701195.64473154</v>
          </cell>
          <cell r="D59">
            <v>979219.76302366331</v>
          </cell>
          <cell r="E59">
            <v>3.5349368149381721E-2</v>
          </cell>
          <cell r="G59">
            <v>1117022</v>
          </cell>
          <cell r="H59">
            <v>1077802</v>
          </cell>
          <cell r="I59">
            <v>39220</v>
          </cell>
          <cell r="J59">
            <v>3.6388872909866476E-2</v>
          </cell>
          <cell r="L59">
            <v>161632</v>
          </cell>
          <cell r="M59">
            <v>157990</v>
          </cell>
          <cell r="N59">
            <v>3642</v>
          </cell>
          <cell r="O59">
            <v>2.3052091904550931E-2</v>
          </cell>
          <cell r="Q59">
            <v>6911</v>
          </cell>
          <cell r="R59">
            <v>6822</v>
          </cell>
          <cell r="S59">
            <v>89</v>
          </cell>
          <cell r="T59">
            <v>1.3046027557900963E-2</v>
          </cell>
        </row>
        <row r="60">
          <cell r="A60" t="str">
            <v xml:space="preserve">   INDUSTRIAL</v>
          </cell>
          <cell r="B60">
            <v>6709665.9570798986</v>
          </cell>
          <cell r="C60">
            <v>6962071.0784510924</v>
          </cell>
          <cell r="D60">
            <v>-252405.12137119379</v>
          </cell>
          <cell r="E60">
            <v>-3.6254315494197553E-2</v>
          </cell>
          <cell r="G60">
            <v>347855.37641763501</v>
          </cell>
          <cell r="H60">
            <v>380067.97860700235</v>
          </cell>
          <cell r="I60">
            <v>-32212.602189367346</v>
          </cell>
          <cell r="J60">
            <v>-8.4754843876694519E-2</v>
          </cell>
          <cell r="L60">
            <v>2697</v>
          </cell>
          <cell r="M60">
            <v>2738</v>
          </cell>
          <cell r="N60">
            <v>-41</v>
          </cell>
          <cell r="O60">
            <v>-1.4974433893352845E-2</v>
          </cell>
          <cell r="Q60">
            <v>128979</v>
          </cell>
          <cell r="R60">
            <v>138812</v>
          </cell>
          <cell r="S60">
            <v>-9833</v>
          </cell>
          <cell r="T60">
            <v>-7.0836815260928443E-2</v>
          </cell>
        </row>
        <row r="61">
          <cell r="A61" t="str">
            <v xml:space="preserve">   ST &amp; HIGHWAY</v>
          </cell>
          <cell r="B61">
            <v>36066.494041197366</v>
          </cell>
          <cell r="C61">
            <v>35793.976606467084</v>
          </cell>
          <cell r="D61">
            <v>272.51743473028182</v>
          </cell>
          <cell r="E61">
            <v>7.6134998278185595E-3</v>
          </cell>
          <cell r="G61">
            <v>2340.1974624643403</v>
          </cell>
          <cell r="H61">
            <v>2299.903326613382</v>
          </cell>
          <cell r="I61">
            <v>40.294135850958355</v>
          </cell>
          <cell r="J61">
            <v>1.7519925896316568E-2</v>
          </cell>
          <cell r="L61">
            <v>1808</v>
          </cell>
          <cell r="M61">
            <v>1861</v>
          </cell>
          <cell r="N61">
            <v>-53</v>
          </cell>
          <cell r="O61">
            <v>-2.8479312197743134E-2</v>
          </cell>
          <cell r="Q61">
            <v>1294</v>
          </cell>
          <cell r="R61">
            <v>1236</v>
          </cell>
          <cell r="S61">
            <v>58</v>
          </cell>
          <cell r="T61">
            <v>4.6925566343042124E-2</v>
          </cell>
        </row>
        <row r="62">
          <cell r="A62" t="str">
            <v xml:space="preserve">   PUBLIC AUTHORITY</v>
          </cell>
          <cell r="B62">
            <v>6762521.0265540676</v>
          </cell>
          <cell r="C62">
            <v>6564401.9424918722</v>
          </cell>
          <cell r="D62">
            <v>198119.08406219538</v>
          </cell>
          <cell r="E62">
            <v>3.0180827712537717E-2</v>
          </cell>
          <cell r="G62">
            <v>285306</v>
          </cell>
          <cell r="H62">
            <v>278845</v>
          </cell>
          <cell r="I62">
            <v>6461</v>
          </cell>
          <cell r="J62">
            <v>2.3170578636877215E-2</v>
          </cell>
          <cell r="L62">
            <v>20921</v>
          </cell>
          <cell r="M62">
            <v>20502</v>
          </cell>
          <cell r="N62">
            <v>419</v>
          </cell>
          <cell r="O62">
            <v>2.0437030533606571E-2</v>
          </cell>
          <cell r="Q62">
            <v>13637</v>
          </cell>
          <cell r="R62">
            <v>13601</v>
          </cell>
          <cell r="S62">
            <v>36</v>
          </cell>
          <cell r="T62">
            <v>2.6468642011616694E-3</v>
          </cell>
        </row>
        <row r="63">
          <cell r="A63" t="str">
            <v xml:space="preserve">       TOTAL RETAIL</v>
          </cell>
          <cell r="B63">
            <v>111559052.93607092</v>
          </cell>
          <cell r="C63">
            <v>111644293.61146708</v>
          </cell>
          <cell r="D63">
            <v>-85240.67539614893</v>
          </cell>
          <cell r="E63">
            <v>-7.6350230395838548E-4</v>
          </cell>
          <cell r="G63">
            <v>3364194.5738800992</v>
          </cell>
          <cell r="H63">
            <v>3381531.8819336155</v>
          </cell>
          <cell r="I63">
            <v>-17337.308053516386</v>
          </cell>
          <cell r="J63">
            <v>-5.1270573984955048E-3</v>
          </cell>
          <cell r="L63">
            <v>1578739</v>
          </cell>
          <cell r="M63">
            <v>1543115</v>
          </cell>
          <cell r="N63">
            <v>35624</v>
          </cell>
          <cell r="O63">
            <v>2.3085771313220427E-2</v>
          </cell>
          <cell r="Q63">
            <v>2131</v>
          </cell>
          <cell r="R63">
            <v>2191</v>
          </cell>
          <cell r="S63">
            <v>-60</v>
          </cell>
          <cell r="T63">
            <v>-2.7384755819260587E-2</v>
          </cell>
        </row>
        <row r="64">
          <cell r="A64" t="str">
            <v xml:space="preserve">  Provision For Refund</v>
          </cell>
          <cell r="B64">
            <v>436414</v>
          </cell>
          <cell r="C64">
            <v>-371706</v>
          </cell>
          <cell r="D64">
            <v>808120</v>
          </cell>
          <cell r="E64">
            <v>-2.174083818932167</v>
          </cell>
        </row>
        <row r="66">
          <cell r="A66" t="str">
            <v xml:space="preserve">   REA</v>
          </cell>
          <cell r="B66">
            <v>4063024.6195000005</v>
          </cell>
          <cell r="C66">
            <v>3475382.5830000006</v>
          </cell>
          <cell r="D66">
            <v>587642.03649999993</v>
          </cell>
          <cell r="E66">
            <v>0.16908700624054429</v>
          </cell>
          <cell r="G66">
            <v>108409</v>
          </cell>
          <cell r="H66">
            <v>123373</v>
          </cell>
          <cell r="I66">
            <v>-14964</v>
          </cell>
          <cell r="J66">
            <v>-0.12129072001167196</v>
          </cell>
          <cell r="L66">
            <v>7</v>
          </cell>
          <cell r="M66">
            <v>5</v>
          </cell>
          <cell r="N66">
            <v>2</v>
          </cell>
          <cell r="O66">
            <v>0.39999999999999991</v>
          </cell>
        </row>
        <row r="67">
          <cell r="A67" t="str">
            <v xml:space="preserve">   Oth Whol (w/Ref $ or Interchg MWh)</v>
          </cell>
          <cell r="B67">
            <v>5512340.0080000013</v>
          </cell>
          <cell r="C67">
            <v>4773454.4654999981</v>
          </cell>
          <cell r="D67">
            <v>738885.54250000324</v>
          </cell>
          <cell r="E67">
            <v>0.1547905291315288</v>
          </cell>
          <cell r="G67">
            <v>292122.31</v>
          </cell>
          <cell r="H67">
            <v>283359.58600000001</v>
          </cell>
          <cell r="I67">
            <v>8762.7239999999874</v>
          </cell>
          <cell r="J67">
            <v>3.0924395831097851E-2</v>
          </cell>
          <cell r="L67">
            <v>19</v>
          </cell>
          <cell r="M67">
            <v>16</v>
          </cell>
          <cell r="N67">
            <v>3</v>
          </cell>
          <cell r="O67">
            <v>0.1875</v>
          </cell>
        </row>
        <row r="69">
          <cell r="A69" t="str">
            <v xml:space="preserve">       TOT WHOL. (Not W/N) </v>
          </cell>
          <cell r="B69">
            <v>9575364.6275000013</v>
          </cell>
          <cell r="C69">
            <v>8248837.0484999986</v>
          </cell>
          <cell r="D69">
            <v>1326527.5790000032</v>
          </cell>
          <cell r="E69">
            <v>0.1608138906370109</v>
          </cell>
          <cell r="G69">
            <v>400531.31</v>
          </cell>
          <cell r="H69">
            <v>406732.58600000001</v>
          </cell>
          <cell r="I69">
            <v>-6201.2760000000126</v>
          </cell>
          <cell r="J69">
            <v>-1.5246567925590315E-2</v>
          </cell>
          <cell r="L69">
            <v>26</v>
          </cell>
          <cell r="M69">
            <v>21</v>
          </cell>
          <cell r="N69">
            <v>5</v>
          </cell>
          <cell r="O69">
            <v>0.23809523809523814</v>
          </cell>
        </row>
        <row r="71">
          <cell r="A71" t="str">
            <v xml:space="preserve"> TOTAL SYSTEM</v>
          </cell>
          <cell r="B71">
            <v>121570831.56357092</v>
          </cell>
          <cell r="C71">
            <v>119521424.65996708</v>
          </cell>
          <cell r="D71">
            <v>2049406.9036038541</v>
          </cell>
          <cell r="E71">
            <v>1.7146774391572972E-2</v>
          </cell>
          <cell r="G71">
            <v>3764725.8838800993</v>
          </cell>
          <cell r="H71">
            <v>3788264.4679336157</v>
          </cell>
          <cell r="I71">
            <v>-23538.584053516399</v>
          </cell>
          <cell r="J71">
            <v>-6.2135535290005484E-3</v>
          </cell>
          <cell r="L71">
            <v>1578765</v>
          </cell>
          <cell r="M71">
            <v>1543136</v>
          </cell>
          <cell r="N71">
            <v>35629</v>
          </cell>
          <cell r="O71">
            <v>2.3088697302117156E-2</v>
          </cell>
        </row>
        <row r="72">
          <cell r="A72" t="str">
            <v>Retail Wthr Adjmt  ---&gt;</v>
          </cell>
          <cell r="B72">
            <v>1800668.0760709196</v>
          </cell>
          <cell r="C72">
            <v>1444958.2114670575</v>
          </cell>
          <cell r="D72">
            <v>355709.86460386217</v>
          </cell>
          <cell r="G72">
            <v>55650.573880099226</v>
          </cell>
          <cell r="H72">
            <v>44036.881933615543</v>
          </cell>
        </row>
        <row r="75">
          <cell r="A75" t="str">
            <v xml:space="preserve"> May 2005  -  PERCENTAGE SHARE VARIANCE ANALYSIS BY CLASS</v>
          </cell>
        </row>
        <row r="76">
          <cell r="B76" t="str">
            <v>Revenue</v>
          </cell>
          <cell r="G76" t="str">
            <v>Energy</v>
          </cell>
        </row>
        <row r="77">
          <cell r="A77" t="str">
            <v>CLASS OF BUSINESS</v>
          </cell>
          <cell r="B77" t="str">
            <v>WEATHER</v>
          </cell>
          <cell r="C77" t="str">
            <v>CUSTS</v>
          </cell>
          <cell r="D77" t="str">
            <v>MISC</v>
          </cell>
          <cell r="E77" t="str">
            <v>SUM</v>
          </cell>
          <cell r="G77" t="str">
            <v>WEATHER</v>
          </cell>
          <cell r="H77" t="str">
            <v>CUSTS</v>
          </cell>
          <cell r="I77" t="str">
            <v>MISC</v>
          </cell>
          <cell r="J77" t="str">
            <v>SUM</v>
          </cell>
        </row>
        <row r="79">
          <cell r="A79" t="str">
            <v xml:space="preserve">   RESIDENTIAL</v>
          </cell>
          <cell r="B79">
            <v>-3.2663803820456305E-3</v>
          </cell>
          <cell r="C79">
            <v>2.3276795115380278E-2</v>
          </cell>
          <cell r="D79">
            <v>-3.7633643487743673E-2</v>
          </cell>
          <cell r="E79">
            <v>-1.4356848372363396E-2</v>
          </cell>
          <cell r="G79">
            <v>-3.8617209796112384E-3</v>
          </cell>
          <cell r="H79">
            <v>2.3276795115380278E-2</v>
          </cell>
          <cell r="I79">
            <v>-4.2056509419707067E-2</v>
          </cell>
          <cell r="J79">
            <v>-1.8779714304326789E-2</v>
          </cell>
        </row>
        <row r="80">
          <cell r="A80" t="str">
            <v xml:space="preserve">   COMMERCIAL</v>
          </cell>
          <cell r="B80">
            <v>-4.1464811739440055E-3</v>
          </cell>
          <cell r="C80">
            <v>2.3052091904550931E-2</v>
          </cell>
          <cell r="D80">
            <v>1.229727624483079E-2</v>
          </cell>
          <cell r="E80">
            <v>3.5349368149381721E-2</v>
          </cell>
          <cell r="G80">
            <v>-4.3017331944761317E-3</v>
          </cell>
          <cell r="H80">
            <v>2.3052091904550931E-2</v>
          </cell>
          <cell r="I80">
            <v>1.3336781005315546E-2</v>
          </cell>
          <cell r="J80">
            <v>3.6388872909866476E-2</v>
          </cell>
        </row>
        <row r="81">
          <cell r="A81" t="str">
            <v xml:space="preserve">   INDUSTRIAL</v>
          </cell>
          <cell r="B81">
            <v>0</v>
          </cell>
          <cell r="C81">
            <v>-1.4974433893352845E-2</v>
          </cell>
          <cell r="D81">
            <v>-2.1279881600844708E-2</v>
          </cell>
          <cell r="E81">
            <v>-3.6254315494197553E-2</v>
          </cell>
          <cell r="G81">
            <v>0</v>
          </cell>
          <cell r="H81">
            <v>-1.4974433893352845E-2</v>
          </cell>
          <cell r="I81">
            <v>-6.9780409983341674E-2</v>
          </cell>
          <cell r="J81">
            <v>-8.4754843876694519E-2</v>
          </cell>
        </row>
        <row r="82">
          <cell r="A82" t="str">
            <v xml:space="preserve">   ST &amp; HIGHWAY</v>
          </cell>
          <cell r="B82">
            <v>0</v>
          </cell>
          <cell r="C82">
            <v>-2.8479312197743134E-2</v>
          </cell>
          <cell r="D82">
            <v>3.6092812025561694E-2</v>
          </cell>
          <cell r="E82">
            <v>7.6134998278185595E-3</v>
          </cell>
          <cell r="G82">
            <v>0</v>
          </cell>
          <cell r="H82">
            <v>-2.8479312197743134E-2</v>
          </cell>
          <cell r="I82">
            <v>4.5999238094059702E-2</v>
          </cell>
          <cell r="J82">
            <v>1.7519925896316568E-2</v>
          </cell>
        </row>
        <row r="83">
          <cell r="A83" t="str">
            <v xml:space="preserve">   PUBLIC AUTHORITY</v>
          </cell>
          <cell r="B83">
            <v>-3.6604771511334899E-3</v>
          </cell>
          <cell r="C83">
            <v>2.0437030533606571E-2</v>
          </cell>
          <cell r="D83">
            <v>9.7437971789311462E-3</v>
          </cell>
          <cell r="E83">
            <v>3.0180827712537717E-2</v>
          </cell>
          <cell r="G83">
            <v>-3.8048666191501379E-3</v>
          </cell>
          <cell r="H83">
            <v>2.0437030533606571E-2</v>
          </cell>
          <cell r="I83">
            <v>2.7335481032706443E-3</v>
          </cell>
          <cell r="J83">
            <v>2.3170578636877215E-2</v>
          </cell>
        </row>
        <row r="85">
          <cell r="A85" t="str">
            <v xml:space="preserve">       TOTAL RETAIL</v>
          </cell>
          <cell r="B85">
            <v>-3.2378878895438223E-3</v>
          </cell>
          <cell r="C85">
            <v>2.3085771313220427E-2</v>
          </cell>
          <cell r="D85">
            <v>-2.3849273617178812E-2</v>
          </cell>
          <cell r="E85">
            <v>-7.6350230395838548E-4</v>
          </cell>
          <cell r="G85">
            <v>-3.547412525804039E-3</v>
          </cell>
          <cell r="H85">
            <v>2.3085771313220427E-2</v>
          </cell>
          <cell r="I85">
            <v>-2.8212828711715932E-2</v>
          </cell>
          <cell r="J85">
            <v>-5.1270573984955048E-3</v>
          </cell>
        </row>
        <row r="87">
          <cell r="A87" t="str">
            <v xml:space="preserve"> May 2005  -  PERCENTAGE SHARE VARIANCE ANALYSIS BY CLASS</v>
          </cell>
        </row>
        <row r="88">
          <cell r="B88" t="str">
            <v>Revenue  -- $</v>
          </cell>
          <cell r="G88" t="str">
            <v>Energy --  MWh</v>
          </cell>
        </row>
        <row r="89">
          <cell r="A89" t="str">
            <v>CLASS OF BUSINESS</v>
          </cell>
          <cell r="B89" t="str">
            <v>WEATHER</v>
          </cell>
          <cell r="C89" t="str">
            <v>CUSTS</v>
          </cell>
          <cell r="D89" t="str">
            <v>MISC</v>
          </cell>
          <cell r="E89" t="str">
            <v>SUM</v>
          </cell>
          <cell r="G89" t="str">
            <v>WEATHER</v>
          </cell>
          <cell r="H89" t="str">
            <v>CUSTS</v>
          </cell>
          <cell r="I89" t="str">
            <v>MISC</v>
          </cell>
          <cell r="J89" t="str">
            <v>SUM</v>
          </cell>
        </row>
        <row r="91">
          <cell r="A91" t="str">
            <v xml:space="preserve">   RESIDENTIAL</v>
          </cell>
          <cell r="B91">
            <v>-208983.02565760911</v>
          </cell>
          <cell r="C91">
            <v>1638240.1825199584</v>
          </cell>
          <cell r="D91">
            <v>-2648687.1010655025</v>
          </cell>
          <cell r="E91">
            <v>-1219429.9442031533</v>
          </cell>
          <cell r="G91">
            <v>-5593.4738160320558</v>
          </cell>
          <cell r="H91">
            <v>38232.531682529167</v>
          </cell>
          <cell r="I91">
            <v>-69078.531682529167</v>
          </cell>
          <cell r="J91">
            <v>-36439.473816032056</v>
          </cell>
        </row>
        <row r="92">
          <cell r="A92" t="str">
            <v xml:space="preserve">   COMMERCIAL</v>
          </cell>
          <cell r="B92">
            <v>-121375.98396790028</v>
          </cell>
          <cell r="C92">
            <v>638570.50786829647</v>
          </cell>
          <cell r="D92">
            <v>340649.25515536685</v>
          </cell>
          <cell r="E92">
            <v>857843.77905576304</v>
          </cell>
          <cell r="G92">
            <v>-4916.5539268511347</v>
          </cell>
          <cell r="H92">
            <v>24845.590758908864</v>
          </cell>
          <cell r="I92">
            <v>14374.40924109114</v>
          </cell>
          <cell r="J92">
            <v>34303.446073148865</v>
          </cell>
        </row>
        <row r="93">
          <cell r="A93" t="str">
            <v xml:space="preserve">   INDUSTRIAL</v>
          </cell>
          <cell r="B93">
            <v>0</v>
          </cell>
          <cell r="C93">
            <v>-104253.07312508949</v>
          </cell>
          <cell r="D93">
            <v>-148152.0482461043</v>
          </cell>
          <cell r="E93">
            <v>-252405.12137119379</v>
          </cell>
          <cell r="G93">
            <v>0</v>
          </cell>
          <cell r="H93">
            <v>-5691.3028206307981</v>
          </cell>
          <cell r="I93">
            <v>-26521.299368736549</v>
          </cell>
          <cell r="J93">
            <v>-32212.602189367346</v>
          </cell>
        </row>
        <row r="94">
          <cell r="A94" t="str">
            <v xml:space="preserve">   ST &amp; HIGHWAY</v>
          </cell>
          <cell r="B94">
            <v>0</v>
          </cell>
          <cell r="C94">
            <v>-1019.3878345743021</v>
          </cell>
          <cell r="D94">
            <v>1291.905269304584</v>
          </cell>
          <cell r="E94">
            <v>272.51743473028182</v>
          </cell>
          <cell r="G94">
            <v>0</v>
          </cell>
          <cell r="H94">
            <v>-65.499664863250402</v>
          </cell>
          <cell r="I94">
            <v>105.79380071420877</v>
          </cell>
          <cell r="J94">
            <v>40.294135850958369</v>
          </cell>
        </row>
        <row r="95">
          <cell r="A95" t="str">
            <v xml:space="preserve">   PUBLIC AUTHORITY</v>
          </cell>
          <cell r="B95">
            <v>-25350.854978364892</v>
          </cell>
          <cell r="C95">
            <v>134156.88293357284</v>
          </cell>
          <cell r="D95">
            <v>63962.201128622524</v>
          </cell>
          <cell r="E95">
            <v>172768.22908383046</v>
          </cell>
          <cell r="G95">
            <v>-1103.6642036003759</v>
          </cell>
          <cell r="H95">
            <v>5698.7637791435</v>
          </cell>
          <cell r="I95">
            <v>762.2362208564997</v>
          </cell>
          <cell r="J95">
            <v>5357.3357963996241</v>
          </cell>
        </row>
        <row r="96">
          <cell r="A96" t="str">
            <v xml:space="preserve">    TOTAL RETAIL   (Pre Tax)</v>
          </cell>
          <cell r="B96">
            <v>-355709.86460387427</v>
          </cell>
          <cell r="C96">
            <v>2305695.1123621641</v>
          </cell>
          <cell r="D96">
            <v>-2390935.7877583127</v>
          </cell>
          <cell r="E96">
            <v>-440950.5400000232</v>
          </cell>
          <cell r="G96">
            <v>-11613.691946483566</v>
          </cell>
          <cell r="H96">
            <v>63020.083735087472</v>
          </cell>
          <cell r="I96">
            <v>-80357.391788603869</v>
          </cell>
          <cell r="J96">
            <v>-28950.999999999956</v>
          </cell>
        </row>
        <row r="97">
          <cell r="A97" t="str">
            <v xml:space="preserve">           Provision For Refund</v>
          </cell>
          <cell r="D97">
            <v>808120</v>
          </cell>
          <cell r="E97">
            <v>808120</v>
          </cell>
        </row>
        <row r="98">
          <cell r="A98" t="str">
            <v>Variance with Prov for Refund</v>
          </cell>
          <cell r="D98">
            <v>-1582815.7877583127</v>
          </cell>
          <cell r="E98">
            <v>367169.4599999768</v>
          </cell>
        </row>
        <row r="99">
          <cell r="A99" t="str">
            <v>Notes:</v>
          </cell>
          <cell r="B99" t="str">
            <v xml:space="preserve">May base revenue variance from prior year is essentially unchanged -$0.4 mill (-0.4%) pre refund.  Monthly weather conditions were milder than last year yielding an unfavorable weather-related revenue difference of $0.4 mill.   Customer growth of 2.3% on </v>
          </cell>
        </row>
        <row r="101">
          <cell r="A101" t="str">
            <v>May  2005   VS.  BUDGET</v>
          </cell>
        </row>
        <row r="102">
          <cell r="A102" t="str">
            <v>REVENUES - SALES - CUSTOMERS - USE PER CUSTOMER</v>
          </cell>
        </row>
        <row r="104">
          <cell r="B104" t="str">
            <v>TOTAL BASE REVENUES $</v>
          </cell>
          <cell r="G104" t="str">
            <v>REPORTED</v>
          </cell>
          <cell r="L104" t="str">
            <v>NUMBER OF CUSTOMERS</v>
          </cell>
        </row>
        <row r="105">
          <cell r="B105" t="str">
            <v>BILLED &amp; ALLOCATED UNBILLED</v>
          </cell>
          <cell r="G105" t="str">
            <v>BILLED &amp; ALLOCATED UNBILLED MWH SALES</v>
          </cell>
          <cell r="L105" t="str">
            <v>Adj. for Event-Driven Billing</v>
          </cell>
          <cell r="Q105" t="str">
            <v>KWH SALES PER CUSTOMER</v>
          </cell>
        </row>
        <row r="107">
          <cell r="A107" t="str">
            <v>CLASS OF BUSINESS</v>
          </cell>
          <cell r="B107" t="str">
            <v>May'05 Actual</v>
          </cell>
          <cell r="C107" t="str">
            <v>FORECAST</v>
          </cell>
          <cell r="D107" t="str">
            <v>DIFF</v>
          </cell>
          <cell r="E107" t="str">
            <v>% DIFF</v>
          </cell>
          <cell r="G107" t="str">
            <v>May'05 Actual</v>
          </cell>
          <cell r="H107" t="str">
            <v>FORECAST</v>
          </cell>
          <cell r="I107" t="str">
            <v>DIFF</v>
          </cell>
          <cell r="J107" t="str">
            <v>% DIFF</v>
          </cell>
          <cell r="L107" t="str">
            <v>May'05 Actual</v>
          </cell>
          <cell r="M107" t="str">
            <v>FORECAST</v>
          </cell>
          <cell r="N107" t="str">
            <v>DIFF</v>
          </cell>
          <cell r="O107" t="str">
            <v>% DIFF</v>
          </cell>
          <cell r="Q107" t="str">
            <v>May'05 Actual</v>
          </cell>
          <cell r="R107" t="str">
            <v>FORECAST</v>
          </cell>
          <cell r="S107" t="str">
            <v>DIFF</v>
          </cell>
          <cell r="T107" t="str">
            <v>% DIFF</v>
          </cell>
        </row>
        <row r="109">
          <cell r="A109" t="str">
            <v xml:space="preserve">   RESIDENTIAL</v>
          </cell>
          <cell r="B109">
            <v>67975038.401903421</v>
          </cell>
          <cell r="C109">
            <v>70766136</v>
          </cell>
          <cell r="D109">
            <v>-2791097.5980965793</v>
          </cell>
          <cell r="E109">
            <v>-3.9441147360321893E-2</v>
          </cell>
          <cell r="G109">
            <v>1572975.890495365</v>
          </cell>
          <cell r="H109">
            <v>1634721</v>
          </cell>
          <cell r="I109">
            <v>-61745.10950463498</v>
          </cell>
          <cell r="J109">
            <v>-3.777103830233719E-2</v>
          </cell>
          <cell r="L109">
            <v>1391681</v>
          </cell>
          <cell r="M109">
            <v>1382716.5508232601</v>
          </cell>
          <cell r="N109">
            <v>8964.4491767399013</v>
          </cell>
          <cell r="O109">
            <v>6.4832153570466566E-3</v>
          </cell>
          <cell r="Q109">
            <v>1130</v>
          </cell>
          <cell r="R109">
            <v>1182</v>
          </cell>
          <cell r="S109">
            <v>-52</v>
          </cell>
          <cell r="T109">
            <v>-4.3993231810490641E-2</v>
          </cell>
        </row>
        <row r="110">
          <cell r="A110" t="str">
            <v xml:space="preserve">   COMMERCIAL</v>
          </cell>
          <cell r="B110">
            <v>28350292.786451757</v>
          </cell>
          <cell r="C110">
            <v>28952499</v>
          </cell>
          <cell r="D110">
            <v>-602206.21354824305</v>
          </cell>
          <cell r="E110">
            <v>-2.0799800858234851E-2</v>
          </cell>
          <cell r="G110">
            <v>1103374.9300825363</v>
          </cell>
          <cell r="H110">
            <v>1158358</v>
          </cell>
          <cell r="I110">
            <v>-54983.069917463697</v>
          </cell>
          <cell r="J110">
            <v>-4.7466387694878209E-2</v>
          </cell>
          <cell r="L110">
            <v>161632</v>
          </cell>
          <cell r="M110">
            <v>161070.0335055734</v>
          </cell>
          <cell r="N110">
            <v>561.96649442659691</v>
          </cell>
          <cell r="O110">
            <v>3.488957456553532E-3</v>
          </cell>
          <cell r="Q110">
            <v>6826</v>
          </cell>
          <cell r="R110">
            <v>7192</v>
          </cell>
          <cell r="S110">
            <v>-366</v>
          </cell>
          <cell r="T110">
            <v>-5.0889877641824288E-2</v>
          </cell>
        </row>
        <row r="111">
          <cell r="A111" t="str">
            <v xml:space="preserve">   INDUSTRIAL</v>
          </cell>
          <cell r="B111">
            <v>6709665.9570798986</v>
          </cell>
          <cell r="C111">
            <v>7829526</v>
          </cell>
          <cell r="D111">
            <v>-1119860.0429201014</v>
          </cell>
          <cell r="E111">
            <v>-0.14303037539183105</v>
          </cell>
          <cell r="G111">
            <v>347855.37641763501</v>
          </cell>
          <cell r="H111">
            <v>416920</v>
          </cell>
          <cell r="I111">
            <v>-69064.623582364991</v>
          </cell>
          <cell r="J111">
            <v>-0.16565437873540489</v>
          </cell>
          <cell r="L111">
            <v>2697</v>
          </cell>
          <cell r="M111">
            <v>2813</v>
          </cell>
          <cell r="N111">
            <v>-116</v>
          </cell>
          <cell r="O111">
            <v>-4.123711340206182E-2</v>
          </cell>
          <cell r="Q111">
            <v>128979</v>
          </cell>
          <cell r="R111">
            <v>148212</v>
          </cell>
          <cell r="S111">
            <v>-19233</v>
          </cell>
          <cell r="T111">
            <v>-0.12976682050036437</v>
          </cell>
        </row>
        <row r="112">
          <cell r="A112" t="str">
            <v xml:space="preserve">   ST &amp; HIGHWAY</v>
          </cell>
          <cell r="B112">
            <v>36066.494041197366</v>
          </cell>
          <cell r="C112">
            <v>41290</v>
          </cell>
          <cell r="D112">
            <v>-5223.5059588026343</v>
          </cell>
          <cell r="E112">
            <v>-0.12650777328173002</v>
          </cell>
          <cell r="G112">
            <v>2340.1974624643403</v>
          </cell>
          <cell r="H112">
            <v>2676</v>
          </cell>
          <cell r="I112">
            <v>-335.80253753565967</v>
          </cell>
          <cell r="J112">
            <v>-0.12548674795801928</v>
          </cell>
          <cell r="L112">
            <v>1808</v>
          </cell>
          <cell r="M112">
            <v>1850</v>
          </cell>
          <cell r="N112">
            <v>-42</v>
          </cell>
          <cell r="O112">
            <v>-2.2702702702702693E-2</v>
          </cell>
          <cell r="Q112">
            <v>1294</v>
          </cell>
          <cell r="R112">
            <v>1446</v>
          </cell>
          <cell r="S112">
            <v>-152</v>
          </cell>
          <cell r="T112">
            <v>-0.10511756569847852</v>
          </cell>
        </row>
        <row r="113">
          <cell r="A113" t="str">
            <v xml:space="preserve">   PUBLIC AUTHORITY</v>
          </cell>
          <cell r="B113">
            <v>6687321.220523715</v>
          </cell>
          <cell r="C113">
            <v>7012849</v>
          </cell>
          <cell r="D113">
            <v>-325527.77947628498</v>
          </cell>
          <cell r="E113">
            <v>-4.6418763540507557E-2</v>
          </cell>
          <cell r="G113">
            <v>281997.60554199945</v>
          </cell>
          <cell r="H113">
            <v>303911</v>
          </cell>
          <cell r="I113">
            <v>-21913.394458000548</v>
          </cell>
          <cell r="J113">
            <v>-7.2104643984589378E-2</v>
          </cell>
          <cell r="L113">
            <v>20921</v>
          </cell>
          <cell r="M113">
            <v>20974</v>
          </cell>
          <cell r="N113">
            <v>-53</v>
          </cell>
          <cell r="O113">
            <v>-2.5269381138552927E-3</v>
          </cell>
          <cell r="Q113">
            <v>13479</v>
          </cell>
          <cell r="R113">
            <v>14490</v>
          </cell>
          <cell r="S113">
            <v>-1011</v>
          </cell>
          <cell r="T113">
            <v>-6.9772256728778514E-2</v>
          </cell>
        </row>
        <row r="114">
          <cell r="A114" t="str">
            <v xml:space="preserve">  TOTAL RETAIL</v>
          </cell>
          <cell r="B114">
            <v>109758384.86</v>
          </cell>
          <cell r="C114">
            <v>114602300</v>
          </cell>
          <cell r="D114">
            <v>-4843915.1400000118</v>
          </cell>
          <cell r="E114">
            <v>-4.2267172124817787E-2</v>
          </cell>
          <cell r="G114">
            <v>3308544</v>
          </cell>
          <cell r="H114">
            <v>3516586</v>
          </cell>
          <cell r="I114">
            <v>-208041.99999999988</v>
          </cell>
          <cell r="J114">
            <v>-5.9160219599350028E-2</v>
          </cell>
          <cell r="L114">
            <v>1578739</v>
          </cell>
          <cell r="M114">
            <v>1569423.5843288335</v>
          </cell>
          <cell r="N114">
            <v>9315.4156711664982</v>
          </cell>
          <cell r="O114">
            <v>5.9355649833376933E-3</v>
          </cell>
          <cell r="Q114">
            <v>2096</v>
          </cell>
          <cell r="R114">
            <v>2241</v>
          </cell>
          <cell r="S114">
            <v>-145</v>
          </cell>
          <cell r="T114">
            <v>-6.4703257474341802E-2</v>
          </cell>
        </row>
        <row r="115">
          <cell r="A115" t="str">
            <v xml:space="preserve">  Provision For Refund</v>
          </cell>
          <cell r="B115">
            <v>436414</v>
          </cell>
          <cell r="C115">
            <v>-1624691</v>
          </cell>
          <cell r="D115">
            <v>2061105</v>
          </cell>
          <cell r="E115">
            <v>-1.2686135394361142</v>
          </cell>
        </row>
        <row r="117">
          <cell r="A117" t="str">
            <v xml:space="preserve">   REA</v>
          </cell>
          <cell r="B117">
            <v>4063024.6195000005</v>
          </cell>
          <cell r="C117">
            <v>3540040.9962200001</v>
          </cell>
          <cell r="D117">
            <v>522983.62328000041</v>
          </cell>
          <cell r="E117">
            <v>0.14773377591910219</v>
          </cell>
          <cell r="G117">
            <v>113196.15300000001</v>
          </cell>
          <cell r="H117">
            <v>137784</v>
          </cell>
          <cell r="I117">
            <v>-24587.846999999994</v>
          </cell>
          <cell r="J117">
            <v>-0.17845212071067751</v>
          </cell>
          <cell r="L117">
            <v>7</v>
          </cell>
          <cell r="M117">
            <v>5</v>
          </cell>
          <cell r="N117">
            <v>2</v>
          </cell>
          <cell r="O117">
            <v>0.39999999999999991</v>
          </cell>
        </row>
        <row r="118">
          <cell r="A118" t="str">
            <v xml:space="preserve">   Oth Whol (w/Ref $ or Interchg MWh)</v>
          </cell>
          <cell r="B118">
            <v>5512340.0080000013</v>
          </cell>
          <cell r="C118">
            <v>5749344</v>
          </cell>
          <cell r="D118">
            <v>-237003.99199999869</v>
          </cell>
          <cell r="E118">
            <v>-4.1222788547701894E-2</v>
          </cell>
          <cell r="G118">
            <v>284758.15700000001</v>
          </cell>
          <cell r="H118">
            <v>351269</v>
          </cell>
          <cell r="I118">
            <v>-66510.842999999993</v>
          </cell>
          <cell r="J118">
            <v>-0.18934447104640606</v>
          </cell>
          <cell r="L118">
            <v>19</v>
          </cell>
          <cell r="M118">
            <v>19</v>
          </cell>
          <cell r="N118">
            <v>0</v>
          </cell>
          <cell r="O118">
            <v>0</v>
          </cell>
        </row>
        <row r="120">
          <cell r="A120" t="str">
            <v xml:space="preserve">      WHOLESALE (Not W/N) </v>
          </cell>
          <cell r="B120">
            <v>9575364.6275000013</v>
          </cell>
          <cell r="C120">
            <v>9289384.9962200001</v>
          </cell>
          <cell r="D120">
            <v>285979.63128000125</v>
          </cell>
          <cell r="E120">
            <v>3.0785636659086846E-2</v>
          </cell>
          <cell r="G120">
            <v>400531.31</v>
          </cell>
          <cell r="H120">
            <v>489053</v>
          </cell>
          <cell r="I120">
            <v>-88521.69</v>
          </cell>
          <cell r="J120">
            <v>-0.18100633264697286</v>
          </cell>
          <cell r="L120">
            <v>26</v>
          </cell>
          <cell r="M120">
            <v>24</v>
          </cell>
          <cell r="N120">
            <v>2</v>
          </cell>
          <cell r="O120">
            <v>8.3333333333333259E-2</v>
          </cell>
        </row>
        <row r="122">
          <cell r="A122" t="str">
            <v xml:space="preserve"> TOTAL SYSTEM</v>
          </cell>
          <cell r="B122">
            <v>119770163.4875</v>
          </cell>
          <cell r="C122">
            <v>122266993.99621999</v>
          </cell>
          <cell r="D122">
            <v>-2496830.5087200105</v>
          </cell>
          <cell r="E122">
            <v>-2.0421132695853994E-2</v>
          </cell>
          <cell r="G122">
            <v>3709075.31</v>
          </cell>
          <cell r="H122">
            <v>4005639</v>
          </cell>
          <cell r="I122">
            <v>-296563.68999999994</v>
          </cell>
          <cell r="J122">
            <v>-7.4036549474378432E-2</v>
          </cell>
          <cell r="K122" t="str">
            <v xml:space="preserve"> </v>
          </cell>
          <cell r="L122">
            <v>1578765</v>
          </cell>
          <cell r="M122">
            <v>1569447.5843288335</v>
          </cell>
          <cell r="N122">
            <v>9317.4156711664982</v>
          </cell>
          <cell r="O122">
            <v>5.9367485503831752E-3</v>
          </cell>
        </row>
        <row r="126">
          <cell r="B126" t="str">
            <v>WEATHER NORMALIZED</v>
          </cell>
          <cell r="G126" t="str">
            <v>WEATHER NORMALIZED</v>
          </cell>
          <cell r="L126" t="str">
            <v>NUMBER OF CUSTOMERS</v>
          </cell>
          <cell r="Q126" t="str">
            <v>WEATHER &amp; CUSTOMER NORMALIZED</v>
          </cell>
        </row>
        <row r="127">
          <cell r="B127" t="str">
            <v>BILLED &amp; UNBILLED BASE REVENUES</v>
          </cell>
          <cell r="G127" t="str">
            <v>BILLED &amp; UNBILLED MWH SALES</v>
          </cell>
          <cell r="L127" t="str">
            <v>Adj. for Event-Driven Billing</v>
          </cell>
          <cell r="Q127" t="str">
            <v>KWH SALES PER CUSTOMER</v>
          </cell>
        </row>
        <row r="129">
          <cell r="A129" t="str">
            <v>CLASS OF BUSINESS</v>
          </cell>
          <cell r="B129" t="str">
            <v>May'05 Actual</v>
          </cell>
          <cell r="C129" t="str">
            <v>FORECAST</v>
          </cell>
          <cell r="D129" t="str">
            <v>DIFF</v>
          </cell>
          <cell r="E129" t="str">
            <v>% DIFF</v>
          </cell>
          <cell r="G129" t="str">
            <v>May'05 Actual</v>
          </cell>
          <cell r="H129" t="str">
            <v>FORECAST</v>
          </cell>
          <cell r="I129" t="str">
            <v>DIFF</v>
          </cell>
          <cell r="J129" t="str">
            <v>% DIFF</v>
          </cell>
          <cell r="L129" t="str">
            <v>May'05 Actual</v>
          </cell>
          <cell r="M129" t="str">
            <v>FORECAST</v>
          </cell>
          <cell r="N129" t="str">
            <v>DIFF</v>
          </cell>
          <cell r="O129" t="str">
            <v>% DIFF</v>
          </cell>
          <cell r="Q129" t="str">
            <v>May'05 Actual</v>
          </cell>
          <cell r="R129" t="str">
            <v>FORECAST</v>
          </cell>
          <cell r="S129" t="str">
            <v>DIFF</v>
          </cell>
          <cell r="T129" t="str">
            <v>% DIFF</v>
          </cell>
        </row>
        <row r="131">
          <cell r="A131" t="str">
            <v xml:space="preserve">   RESIDENTIAL</v>
          </cell>
          <cell r="B131">
            <v>69370384.050640553</v>
          </cell>
          <cell r="C131">
            <v>70766136</v>
          </cell>
          <cell r="D131">
            <v>-1395751.9493594468</v>
          </cell>
          <cell r="E131">
            <v>-1.9723444407921953E-2</v>
          </cell>
          <cell r="G131">
            <v>1611671</v>
          </cell>
          <cell r="H131">
            <v>1634721</v>
          </cell>
          <cell r="I131">
            <v>-23050</v>
          </cell>
          <cell r="J131">
            <v>-1.4100265427556158E-2</v>
          </cell>
          <cell r="L131">
            <v>1391681</v>
          </cell>
          <cell r="M131">
            <v>1382716.5508232601</v>
          </cell>
          <cell r="N131">
            <v>8964.4491767399013</v>
          </cell>
          <cell r="O131">
            <v>6.4832153570466566E-3</v>
          </cell>
          <cell r="Q131">
            <v>1158</v>
          </cell>
          <cell r="R131">
            <v>1182</v>
          </cell>
          <cell r="S131">
            <v>-24</v>
          </cell>
          <cell r="T131">
            <v>-2.0304568527918732E-2</v>
          </cell>
        </row>
        <row r="132">
          <cell r="A132" t="str">
            <v xml:space="preserve">   COMMERCIAL</v>
          </cell>
          <cell r="B132">
            <v>28680415.407755204</v>
          </cell>
          <cell r="C132">
            <v>28952499</v>
          </cell>
          <cell r="D132">
            <v>-272083.59224479645</v>
          </cell>
          <cell r="E132">
            <v>-9.3975857574434274E-3</v>
          </cell>
          <cell r="G132">
            <v>1117022</v>
          </cell>
          <cell r="H132">
            <v>1158358</v>
          </cell>
          <cell r="I132">
            <v>-41336</v>
          </cell>
          <cell r="J132">
            <v>-3.5684995484988269E-2</v>
          </cell>
          <cell r="L132">
            <v>161632</v>
          </cell>
          <cell r="M132">
            <v>161070.0335055734</v>
          </cell>
          <cell r="N132">
            <v>561.96649442659691</v>
          </cell>
          <cell r="O132">
            <v>3.488957456553532E-3</v>
          </cell>
          <cell r="Q132">
            <v>6911</v>
          </cell>
          <cell r="R132">
            <v>7192</v>
          </cell>
          <cell r="S132">
            <v>-281</v>
          </cell>
          <cell r="T132">
            <v>-3.9071190211345974E-2</v>
          </cell>
        </row>
        <row r="133">
          <cell r="A133" t="str">
            <v xml:space="preserve">   INDUSTRIAL</v>
          </cell>
          <cell r="B133">
            <v>6709665.9570798986</v>
          </cell>
          <cell r="C133">
            <v>7829526</v>
          </cell>
          <cell r="D133">
            <v>-1119860.0429201014</v>
          </cell>
          <cell r="E133">
            <v>-0.14303037539183105</v>
          </cell>
          <cell r="G133">
            <v>347855.37641763501</v>
          </cell>
          <cell r="H133">
            <v>416920</v>
          </cell>
          <cell r="I133">
            <v>-69064.623582364991</v>
          </cell>
          <cell r="J133">
            <v>-0.16565437873540489</v>
          </cell>
          <cell r="L133">
            <v>2697</v>
          </cell>
          <cell r="M133">
            <v>2813</v>
          </cell>
          <cell r="N133">
            <v>-116</v>
          </cell>
          <cell r="O133">
            <v>-4.123711340206182E-2</v>
          </cell>
          <cell r="Q133">
            <v>128979</v>
          </cell>
          <cell r="R133">
            <v>148212</v>
          </cell>
          <cell r="S133">
            <v>-19233</v>
          </cell>
          <cell r="T133">
            <v>-0.12976682050036437</v>
          </cell>
        </row>
        <row r="134">
          <cell r="A134" t="str">
            <v xml:space="preserve">   ST &amp; HIGHWAY</v>
          </cell>
          <cell r="B134">
            <v>36066.494041197366</v>
          </cell>
          <cell r="C134">
            <v>41290</v>
          </cell>
          <cell r="D134">
            <v>-5223.5059588026343</v>
          </cell>
          <cell r="E134">
            <v>-0.12650777328173002</v>
          </cell>
          <cell r="G134">
            <v>2340.1974624643403</v>
          </cell>
          <cell r="H134">
            <v>2676</v>
          </cell>
          <cell r="I134">
            <v>-335.80253753565967</v>
          </cell>
          <cell r="J134">
            <v>-0.12548674795801928</v>
          </cell>
          <cell r="L134">
            <v>1808</v>
          </cell>
          <cell r="M134">
            <v>1850</v>
          </cell>
          <cell r="N134">
            <v>-42</v>
          </cell>
          <cell r="O134">
            <v>-2.2702702702702693E-2</v>
          </cell>
          <cell r="Q134">
            <v>1294</v>
          </cell>
          <cell r="R134">
            <v>1446</v>
          </cell>
          <cell r="S134">
            <v>-152</v>
          </cell>
          <cell r="T134">
            <v>-0.10511756569847852</v>
          </cell>
        </row>
        <row r="135">
          <cell r="A135" t="str">
            <v xml:space="preserve">   PUBLIC AUTHORITY</v>
          </cell>
          <cell r="B135">
            <v>6762521.0265540676</v>
          </cell>
          <cell r="C135">
            <v>7012849</v>
          </cell>
          <cell r="D135">
            <v>-250327.97344593238</v>
          </cell>
          <cell r="E135">
            <v>-3.5695617208631236E-2</v>
          </cell>
          <cell r="G135">
            <v>285306</v>
          </cell>
          <cell r="H135">
            <v>303911</v>
          </cell>
          <cell r="I135">
            <v>-18605</v>
          </cell>
          <cell r="J135">
            <v>-6.1218580439668213E-2</v>
          </cell>
          <cell r="L135">
            <v>20921</v>
          </cell>
          <cell r="M135">
            <v>20974</v>
          </cell>
          <cell r="N135">
            <v>-53</v>
          </cell>
          <cell r="O135">
            <v>-2.5269381138552927E-3</v>
          </cell>
          <cell r="Q135">
            <v>13637</v>
          </cell>
          <cell r="R135">
            <v>14490</v>
          </cell>
          <cell r="S135">
            <v>-853</v>
          </cell>
          <cell r="T135">
            <v>-5.8868184955141456E-2</v>
          </cell>
        </row>
        <row r="136">
          <cell r="A136" t="str">
            <v xml:space="preserve">  TOTAL RETAIL</v>
          </cell>
          <cell r="B136">
            <v>111559052.93607092</v>
          </cell>
          <cell r="C136">
            <v>114602300</v>
          </cell>
          <cell r="D136">
            <v>-3043247.0639290796</v>
          </cell>
          <cell r="E136">
            <v>-2.6554851551226166E-2</v>
          </cell>
          <cell r="G136">
            <v>3364194.5738800992</v>
          </cell>
          <cell r="H136">
            <v>3516586</v>
          </cell>
          <cell r="I136">
            <v>-152391.42611990066</v>
          </cell>
          <cell r="J136">
            <v>-4.3335048857016667E-2</v>
          </cell>
          <cell r="L136">
            <v>1578739</v>
          </cell>
          <cell r="M136">
            <v>1569423.5843288335</v>
          </cell>
          <cell r="N136">
            <v>9315.4156711664982</v>
          </cell>
          <cell r="O136">
            <v>5.9355649833376933E-3</v>
          </cell>
          <cell r="Q136">
            <v>2131</v>
          </cell>
          <cell r="R136">
            <v>2241</v>
          </cell>
          <cell r="S136">
            <v>-110</v>
          </cell>
          <cell r="T136">
            <v>-4.9085229808121356E-2</v>
          </cell>
        </row>
        <row r="137">
          <cell r="A137" t="str">
            <v xml:space="preserve">  Provision For Refund</v>
          </cell>
          <cell r="B137">
            <v>436414</v>
          </cell>
          <cell r="C137">
            <v>-1624691</v>
          </cell>
          <cell r="D137">
            <v>2061105</v>
          </cell>
          <cell r="E137">
            <v>-1.2686135394361142</v>
          </cell>
        </row>
        <row r="139">
          <cell r="A139" t="str">
            <v xml:space="preserve">   REA</v>
          </cell>
          <cell r="B139">
            <v>4063024.6195000005</v>
          </cell>
          <cell r="C139">
            <v>3540040.9962200001</v>
          </cell>
          <cell r="D139">
            <v>522983.62328000041</v>
          </cell>
          <cell r="E139">
            <v>0.14773377591910219</v>
          </cell>
          <cell r="G139">
            <v>113196.15300000001</v>
          </cell>
          <cell r="H139">
            <v>137784</v>
          </cell>
          <cell r="I139">
            <v>-24587.846999999994</v>
          </cell>
          <cell r="J139">
            <v>-0.17845212071067751</v>
          </cell>
          <cell r="L139">
            <v>7</v>
          </cell>
          <cell r="M139">
            <v>5</v>
          </cell>
          <cell r="N139">
            <v>2</v>
          </cell>
          <cell r="O139">
            <v>0.39999999999999991</v>
          </cell>
        </row>
        <row r="140">
          <cell r="A140" t="str">
            <v xml:space="preserve">   Oth Whol (w/Ref $ or Interchg MWh)</v>
          </cell>
          <cell r="B140">
            <v>5512340.0080000013</v>
          </cell>
          <cell r="C140">
            <v>5749344</v>
          </cell>
          <cell r="D140">
            <v>-237003.99199999869</v>
          </cell>
          <cell r="E140">
            <v>-4.1222788547701894E-2</v>
          </cell>
          <cell r="G140">
            <v>284758.15700000001</v>
          </cell>
          <cell r="H140">
            <v>351269</v>
          </cell>
          <cell r="I140">
            <v>-66510.842999999993</v>
          </cell>
          <cell r="J140">
            <v>-0.18934447104640606</v>
          </cell>
          <cell r="L140">
            <v>19</v>
          </cell>
          <cell r="M140">
            <v>19</v>
          </cell>
          <cell r="N140">
            <v>0</v>
          </cell>
          <cell r="O140">
            <v>0</v>
          </cell>
        </row>
        <row r="142">
          <cell r="A142" t="str">
            <v xml:space="preserve">      WHOLESALE (Not W/N) </v>
          </cell>
          <cell r="B142">
            <v>9575364.6275000013</v>
          </cell>
          <cell r="C142">
            <v>9289384.9962200001</v>
          </cell>
          <cell r="D142">
            <v>285979.63128000125</v>
          </cell>
          <cell r="E142">
            <v>3.0785636659086846E-2</v>
          </cell>
          <cell r="G142">
            <v>400531.31</v>
          </cell>
          <cell r="H142">
            <v>489053</v>
          </cell>
          <cell r="I142">
            <v>-88521.69</v>
          </cell>
          <cell r="J142">
            <v>-0.18100633264697286</v>
          </cell>
          <cell r="L142">
            <v>26</v>
          </cell>
          <cell r="M142">
            <v>24</v>
          </cell>
          <cell r="N142">
            <v>2</v>
          </cell>
          <cell r="O142">
            <v>8.3333333333333259E-2</v>
          </cell>
        </row>
        <row r="144">
          <cell r="A144" t="str">
            <v xml:space="preserve"> TOTAL SYSTEM</v>
          </cell>
          <cell r="B144">
            <v>121570831.56357092</v>
          </cell>
          <cell r="C144">
            <v>122266993.99621999</v>
          </cell>
          <cell r="D144">
            <v>-696162.43264907831</v>
          </cell>
          <cell r="E144">
            <v>-5.6937887314919555E-3</v>
          </cell>
          <cell r="G144">
            <v>3764725.8838800993</v>
          </cell>
          <cell r="H144">
            <v>4005639</v>
          </cell>
          <cell r="I144">
            <v>-240913.11611990066</v>
          </cell>
          <cell r="J144">
            <v>-6.0143491742491229E-2</v>
          </cell>
          <cell r="L144">
            <v>1578765</v>
          </cell>
          <cell r="M144">
            <v>1569447.5843288335</v>
          </cell>
          <cell r="N144">
            <v>9317.4156711664982</v>
          </cell>
          <cell r="O144">
            <v>5.9367485503831752E-3</v>
          </cell>
        </row>
        <row r="147">
          <cell r="A147" t="str">
            <v>REVENUES - SALES - CUSTOMERS - USE PER CUSTOMER   -  PERCENT VARIANCES BY CLASS   (Work sheet)</v>
          </cell>
        </row>
        <row r="148">
          <cell r="B148" t="str">
            <v>Revenue</v>
          </cell>
          <cell r="G148" t="str">
            <v>Energy</v>
          </cell>
        </row>
        <row r="149">
          <cell r="A149" t="str">
            <v>CLASS OF BUSINESS</v>
          </cell>
          <cell r="B149" t="str">
            <v>WEATHER</v>
          </cell>
          <cell r="C149" t="str">
            <v>CUSTS</v>
          </cell>
          <cell r="D149" t="str">
            <v>MISC</v>
          </cell>
          <cell r="E149" t="str">
            <v>SUM</v>
          </cell>
          <cell r="G149" t="str">
            <v>WEATHER</v>
          </cell>
          <cell r="H149" t="str">
            <v>CUSTS</v>
          </cell>
          <cell r="I149" t="str">
            <v>MISC</v>
          </cell>
          <cell r="J149" t="str">
            <v>SUM</v>
          </cell>
        </row>
        <row r="151">
          <cell r="A151" t="str">
            <v xml:space="preserve">   RESIDENTIAL</v>
          </cell>
          <cell r="B151">
            <v>-1.971770295239994E-2</v>
          </cell>
          <cell r="C151">
            <v>6.4832153570466566E-3</v>
          </cell>
          <cell r="D151">
            <v>-2.6206659764968609E-2</v>
          </cell>
          <cell r="E151">
            <v>-1.9723444407921953E-2</v>
          </cell>
          <cell r="G151">
            <v>-2.3670772874781032E-2</v>
          </cell>
          <cell r="H151">
            <v>6.4832153570466566E-3</v>
          </cell>
          <cell r="I151">
            <v>-2.0583480784602814E-2</v>
          </cell>
          <cell r="J151">
            <v>-1.4100265427556158E-2</v>
          </cell>
        </row>
        <row r="152">
          <cell r="A152" t="str">
            <v xml:space="preserve">   COMMERCIAL</v>
          </cell>
          <cell r="B152">
            <v>-1.1402215100791424E-2</v>
          </cell>
          <cell r="C152">
            <v>3.488957456553532E-3</v>
          </cell>
          <cell r="D152">
            <v>-1.2886543213996959E-2</v>
          </cell>
          <cell r="E152">
            <v>-9.3975857574434274E-3</v>
          </cell>
          <cell r="G152">
            <v>-1.178139220988994E-2</v>
          </cell>
          <cell r="H152">
            <v>3.488957456553532E-3</v>
          </cell>
          <cell r="I152">
            <v>-3.9173952941541801E-2</v>
          </cell>
          <cell r="J152">
            <v>-3.5684995484988269E-2</v>
          </cell>
        </row>
        <row r="153">
          <cell r="A153" t="str">
            <v xml:space="preserve">   INDUSTRIAL</v>
          </cell>
          <cell r="B153">
            <v>0</v>
          </cell>
          <cell r="C153">
            <v>-4.123711340206182E-2</v>
          </cell>
          <cell r="D153">
            <v>-0.10179326198976923</v>
          </cell>
          <cell r="E153">
            <v>-0.14303037539183105</v>
          </cell>
          <cell r="G153">
            <v>0</v>
          </cell>
          <cell r="H153">
            <v>-4.123711340206182E-2</v>
          </cell>
          <cell r="I153">
            <v>-0.12441726533334307</v>
          </cell>
          <cell r="J153">
            <v>-0.16565437873540489</v>
          </cell>
        </row>
        <row r="154">
          <cell r="A154" t="str">
            <v xml:space="preserve">   ST &amp; HIGHWAY</v>
          </cell>
          <cell r="B154">
            <v>0</v>
          </cell>
          <cell r="C154">
            <v>-2.2702702702702693E-2</v>
          </cell>
          <cell r="D154">
            <v>-0.10380507057902733</v>
          </cell>
          <cell r="E154">
            <v>-0.12650777328173002</v>
          </cell>
          <cell r="G154">
            <v>0</v>
          </cell>
          <cell r="H154">
            <v>-2.2702702702702693E-2</v>
          </cell>
          <cell r="I154">
            <v>-0.10278404525531659</v>
          </cell>
          <cell r="J154">
            <v>-0.12548674795801928</v>
          </cell>
        </row>
        <row r="155">
          <cell r="A155" t="str">
            <v xml:space="preserve">   PUBLIC AUTHORITY</v>
          </cell>
          <cell r="B155">
            <v>-1.0660380527000135E-2</v>
          </cell>
          <cell r="C155">
            <v>-2.5269381138552927E-3</v>
          </cell>
          <cell r="D155">
            <v>-3.3168679094775944E-2</v>
          </cell>
          <cell r="E155">
            <v>-3.5695617208631236E-2</v>
          </cell>
          <cell r="G155">
            <v>-1.0886063544921165E-2</v>
          </cell>
          <cell r="H155">
            <v>-2.5269381138552927E-3</v>
          </cell>
          <cell r="I155">
            <v>-5.8691642325812921E-2</v>
          </cell>
          <cell r="J155">
            <v>-6.1218580439668213E-2</v>
          </cell>
        </row>
        <row r="157">
          <cell r="A157" t="str">
            <v xml:space="preserve">       TOTAL RETAIL</v>
          </cell>
          <cell r="B157">
            <v>-1.571232057359162E-2</v>
          </cell>
          <cell r="C157">
            <v>5.9355649833376933E-3</v>
          </cell>
          <cell r="D157">
            <v>-3.249041653456386E-2</v>
          </cell>
          <cell r="E157">
            <v>-2.6554851551226166E-2</v>
          </cell>
          <cell r="G157">
            <v>-1.5825170742333361E-2</v>
          </cell>
          <cell r="H157">
            <v>5.9355649833376933E-3</v>
          </cell>
          <cell r="I157">
            <v>-4.927061384035436E-2</v>
          </cell>
          <cell r="J157">
            <v>-4.3335048857016667E-2</v>
          </cell>
        </row>
        <row r="159">
          <cell r="A159" t="str">
            <v>REVENUES - SALES - CUSTOMERS - USE PER CUSTOMER   -  DOLLAR VARIANCES BY CLASS   (Work sheet)</v>
          </cell>
        </row>
        <row r="160">
          <cell r="B160" t="str">
            <v>Revenue  -- $</v>
          </cell>
          <cell r="G160" t="str">
            <v>Energy --  MWh</v>
          </cell>
        </row>
        <row r="161">
          <cell r="A161" t="str">
            <v>CLASS OF BUSINESS</v>
          </cell>
          <cell r="B161" t="str">
            <v>WEATHER</v>
          </cell>
          <cell r="C161" t="str">
            <v>CUSTS</v>
          </cell>
          <cell r="D161" t="str">
            <v>MISC</v>
          </cell>
          <cell r="E161" t="str">
            <v>SUM</v>
          </cell>
          <cell r="G161" t="str">
            <v>WEATHER</v>
          </cell>
          <cell r="H161" t="str">
            <v>CUSTS</v>
          </cell>
          <cell r="I161" t="str">
            <v>MISC</v>
          </cell>
          <cell r="J161" t="str">
            <v>SUM</v>
          </cell>
        </row>
        <row r="163">
          <cell r="A163" t="str">
            <v xml:space="preserve">   RESIDENTIAL</v>
          </cell>
          <cell r="B163">
            <v>-1395345.6487371325</v>
          </cell>
          <cell r="C163">
            <v>458792.09967405302</v>
          </cell>
          <cell r="D163">
            <v>-1854544.0490334998</v>
          </cell>
          <cell r="E163">
            <v>-2791097.5980965793</v>
          </cell>
          <cell r="G163">
            <v>-38695.10950463498</v>
          </cell>
          <cell r="H163">
            <v>10598.248291686654</v>
          </cell>
          <cell r="I163">
            <v>-33648.248291686657</v>
          </cell>
          <cell r="J163">
            <v>-61745.10950463498</v>
          </cell>
        </row>
        <row r="164">
          <cell r="A164" t="str">
            <v xml:space="preserve">   COMMERCIAL</v>
          </cell>
          <cell r="B164">
            <v>-330122.62130344659</v>
          </cell>
          <cell r="C164">
            <v>101014.03727190918</v>
          </cell>
          <cell r="D164">
            <v>-373097.6295167057</v>
          </cell>
          <cell r="E164">
            <v>-602206.21354824305</v>
          </cell>
          <cell r="G164">
            <v>-13647.069917463697</v>
          </cell>
          <cell r="H164">
            <v>4041.4617814584317</v>
          </cell>
          <cell r="I164">
            <v>-45377.461781458427</v>
          </cell>
          <cell r="J164">
            <v>-54983.069917463697</v>
          </cell>
        </row>
        <row r="165">
          <cell r="A165" t="str">
            <v xml:space="preserve">   INDUSTRIAL</v>
          </cell>
          <cell r="B165">
            <v>0</v>
          </cell>
          <cell r="C165">
            <v>-322867.05154639145</v>
          </cell>
          <cell r="D165">
            <v>-796992.99137370999</v>
          </cell>
          <cell r="E165">
            <v>-1119860.0429201014</v>
          </cell>
          <cell r="G165">
            <v>0</v>
          </cell>
          <cell r="H165">
            <v>-17192.57731958761</v>
          </cell>
          <cell r="I165">
            <v>-51872.046262777381</v>
          </cell>
          <cell r="J165">
            <v>-69064.623582364991</v>
          </cell>
        </row>
        <row r="166">
          <cell r="A166" t="str">
            <v xml:space="preserve">   ST &amp; HIGHWAY</v>
          </cell>
          <cell r="B166">
            <v>0</v>
          </cell>
          <cell r="C166">
            <v>-937.39459459459442</v>
          </cell>
          <cell r="D166">
            <v>-4286.11136420804</v>
          </cell>
          <cell r="E166">
            <v>-5223.5059588026343</v>
          </cell>
          <cell r="G166">
            <v>0</v>
          </cell>
          <cell r="H166">
            <v>-60.752432432432421</v>
          </cell>
          <cell r="I166">
            <v>-275.05010510322728</v>
          </cell>
          <cell r="J166">
            <v>-335.80253753565972</v>
          </cell>
        </row>
        <row r="167">
          <cell r="A167" t="str">
            <v xml:space="preserve">   PUBLIC AUTHORITY</v>
          </cell>
          <cell r="B167">
            <v>-75199.8060303526</v>
          </cell>
          <cell r="C167">
            <v>-17721.035424811977</v>
          </cell>
          <cell r="D167">
            <v>-232606.93802112038</v>
          </cell>
          <cell r="E167">
            <v>-325527.77947628498</v>
          </cell>
          <cell r="G167">
            <v>-3308.3944580005482</v>
          </cell>
          <cell r="H167">
            <v>-767.96428911987562</v>
          </cell>
          <cell r="I167">
            <v>-17837.035710880125</v>
          </cell>
          <cell r="J167">
            <v>-21913.394458000548</v>
          </cell>
        </row>
        <row r="168">
          <cell r="A168" t="str">
            <v xml:space="preserve">    TOTAL RETAIL   (Pre Tax)</v>
          </cell>
          <cell r="B168">
            <v>-1800668.0760709317</v>
          </cell>
          <cell r="C168">
            <v>218280.65538016419</v>
          </cell>
          <cell r="D168">
            <v>-3261527.7193092443</v>
          </cell>
          <cell r="E168">
            <v>-4843915.1400000118</v>
          </cell>
          <cell r="G168">
            <v>-55650.573880099226</v>
          </cell>
          <cell r="H168">
            <v>-3381.5839679948331</v>
          </cell>
          <cell r="I168">
            <v>-149009.84215190582</v>
          </cell>
          <cell r="J168">
            <v>-208041.99999999988</v>
          </cell>
        </row>
        <row r="169">
          <cell r="A169" t="str">
            <v xml:space="preserve">           Provision For Refund</v>
          </cell>
          <cell r="D169">
            <v>2061105</v>
          </cell>
          <cell r="E169">
            <v>2061105</v>
          </cell>
        </row>
        <row r="170">
          <cell r="A170" t="str">
            <v>Variance with Prov for Refund</v>
          </cell>
          <cell r="D170">
            <v>-1200422.7193092443</v>
          </cell>
          <cell r="E170">
            <v>-2782810.1400000118</v>
          </cell>
        </row>
        <row r="171">
          <cell r="A171" t="str">
            <v>Notes:</v>
          </cell>
          <cell r="B171" t="str">
            <v xml:space="preserve">Total base revenue variance from budget was an unfavorable -$4.8 mill (-4.23%) pre refund.  Weather conditions were milder than normal (-$1.8 million) and customer growth was as slightly stronger than expected, but the misc variance of -$3.3 mill (mostly </v>
          </cell>
        </row>
        <row r="174">
          <cell r="A174" t="str">
            <v>May  2005   VS.  BUDGET  -  BILLING MONTH BASIS</v>
          </cell>
        </row>
        <row r="176">
          <cell r="B176" t="str">
            <v>WEATHER NORMALIZED</v>
          </cell>
          <cell r="G176" t="str">
            <v>WEATHER NORMALIZED</v>
          </cell>
          <cell r="L176" t="str">
            <v>NUMBER OF CUSTOMERS</v>
          </cell>
          <cell r="Q176" t="str">
            <v>WEATHER &amp; CUSTOMER NORMALIZED</v>
          </cell>
        </row>
        <row r="177">
          <cell r="B177" t="str">
            <v>BILLED BASE REVENUES</v>
          </cell>
          <cell r="G177" t="str">
            <v>BILLED  MWH SALES</v>
          </cell>
          <cell r="L177" t="str">
            <v>Adj. for Event-Driven Billing</v>
          </cell>
          <cell r="Q177" t="str">
            <v>BILLED KWH SALES PER CUSTOMER</v>
          </cell>
        </row>
        <row r="179">
          <cell r="A179" t="str">
            <v>CLASS OF BUSINESS</v>
          </cell>
          <cell r="B179" t="str">
            <v>May'05 Actual</v>
          </cell>
          <cell r="C179" t="str">
            <v>FORECAST</v>
          </cell>
          <cell r="D179" t="str">
            <v>DIFF</v>
          </cell>
          <cell r="E179" t="str">
            <v>% DIFF</v>
          </cell>
          <cell r="G179" t="str">
            <v>May'05 Actual</v>
          </cell>
          <cell r="H179" t="str">
            <v>FORECAST</v>
          </cell>
          <cell r="I179" t="str">
            <v>DIFF</v>
          </cell>
          <cell r="J179" t="str">
            <v>% DIFF</v>
          </cell>
          <cell r="L179" t="str">
            <v>May'05 Actual</v>
          </cell>
          <cell r="M179" t="str">
            <v>FORECAST</v>
          </cell>
          <cell r="N179" t="str">
            <v>DIFF</v>
          </cell>
          <cell r="O179" t="str">
            <v>% DIFF</v>
          </cell>
          <cell r="Q179" t="str">
            <v>May'05 Actual</v>
          </cell>
          <cell r="R179" t="str">
            <v>FORECAST</v>
          </cell>
          <cell r="S179" t="str">
            <v>DIFF</v>
          </cell>
          <cell r="T179" t="str">
            <v>% DIFF</v>
          </cell>
        </row>
        <row r="181">
          <cell r="A181" t="str">
            <v xml:space="preserve">   RESIDENTIAL</v>
          </cell>
          <cell r="B181">
            <v>61916100.43</v>
          </cell>
          <cell r="C181">
            <v>61437323.683630355</v>
          </cell>
          <cell r="D181">
            <v>478776.746369645</v>
          </cell>
          <cell r="E181">
            <v>7.7929297316903234E-3</v>
          </cell>
          <cell r="G181">
            <v>1425158</v>
          </cell>
          <cell r="H181">
            <v>1406048</v>
          </cell>
          <cell r="I181">
            <v>19110</v>
          </cell>
          <cell r="J181">
            <v>1.3591285646009199E-2</v>
          </cell>
          <cell r="L181">
            <v>1391681</v>
          </cell>
          <cell r="M181">
            <v>1382716.5508232601</v>
          </cell>
          <cell r="N181">
            <v>8964.4491767399013</v>
          </cell>
          <cell r="O181">
            <v>6.4832153570466566E-3</v>
          </cell>
          <cell r="Q181">
            <v>1024</v>
          </cell>
          <cell r="R181">
            <v>1017</v>
          </cell>
          <cell r="S181">
            <v>7</v>
          </cell>
          <cell r="T181">
            <v>6.8829891838741997E-3</v>
          </cell>
        </row>
        <row r="182">
          <cell r="A182" t="str">
            <v xml:space="preserve">   COMMERCIAL</v>
          </cell>
          <cell r="B182">
            <v>25580204.840000004</v>
          </cell>
          <cell r="C182">
            <v>25258863.605049994</v>
          </cell>
          <cell r="D182">
            <v>321341.23495000973</v>
          </cell>
          <cell r="E182">
            <v>1.2721919717946673E-2</v>
          </cell>
          <cell r="G182">
            <v>981958</v>
          </cell>
          <cell r="H182">
            <v>1001135</v>
          </cell>
          <cell r="I182">
            <v>-19177</v>
          </cell>
          <cell r="J182">
            <v>-1.9155258781283213E-2</v>
          </cell>
          <cell r="L182">
            <v>161632</v>
          </cell>
          <cell r="M182">
            <v>161070.0335055734</v>
          </cell>
          <cell r="N182">
            <v>561.96649442659691</v>
          </cell>
          <cell r="O182">
            <v>3.488957456553532E-3</v>
          </cell>
          <cell r="Q182">
            <v>6075</v>
          </cell>
          <cell r="R182">
            <v>6216</v>
          </cell>
          <cell r="S182">
            <v>-141</v>
          </cell>
          <cell r="T182">
            <v>-2.2683397683397666E-2</v>
          </cell>
        </row>
        <row r="183">
          <cell r="A183" t="str">
            <v xml:space="preserve">   INDUSTRIAL</v>
          </cell>
          <cell r="B183">
            <v>6264152.3199999994</v>
          </cell>
          <cell r="C183">
            <v>6909420.6915807538</v>
          </cell>
          <cell r="D183">
            <v>-645268.37158075441</v>
          </cell>
          <cell r="E183">
            <v>-9.3389648768532063E-2</v>
          </cell>
          <cell r="G183">
            <v>320647.35499999998</v>
          </cell>
          <cell r="H183">
            <v>367754</v>
          </cell>
          <cell r="I183">
            <v>-47106.645000000019</v>
          </cell>
          <cell r="J183">
            <v>-0.12809281476204204</v>
          </cell>
          <cell r="L183">
            <v>2697</v>
          </cell>
          <cell r="M183">
            <v>2813</v>
          </cell>
          <cell r="N183">
            <v>-116</v>
          </cell>
          <cell r="O183">
            <v>-4.123711340206182E-2</v>
          </cell>
          <cell r="Q183">
            <v>118890</v>
          </cell>
          <cell r="R183">
            <v>130734</v>
          </cell>
          <cell r="S183">
            <v>-11844</v>
          </cell>
          <cell r="T183">
            <v>-9.0596172380558948E-2</v>
          </cell>
        </row>
        <row r="184">
          <cell r="A184" t="str">
            <v xml:space="preserve">   ST &amp; HIGHWAY</v>
          </cell>
          <cell r="B184">
            <v>35318.73000000001</v>
          </cell>
          <cell r="C184">
            <v>36383.644761140611</v>
          </cell>
          <cell r="D184">
            <v>-1064.9147611406006</v>
          </cell>
          <cell r="E184">
            <v>-2.9269051194067752E-2</v>
          </cell>
          <cell r="G184">
            <v>2287.866</v>
          </cell>
          <cell r="H184">
            <v>2358</v>
          </cell>
          <cell r="I184">
            <v>-70.134000000000015</v>
          </cell>
          <cell r="J184">
            <v>-2.9743002544529218E-2</v>
          </cell>
          <cell r="L184">
            <v>1808</v>
          </cell>
          <cell r="M184">
            <v>1850</v>
          </cell>
          <cell r="N184">
            <v>-42</v>
          </cell>
          <cell r="O184">
            <v>-2.2702702702702693E-2</v>
          </cell>
          <cell r="Q184">
            <v>1265</v>
          </cell>
          <cell r="R184">
            <v>1275</v>
          </cell>
          <cell r="S184">
            <v>-10</v>
          </cell>
          <cell r="T184">
            <v>-7.8431372549019329E-3</v>
          </cell>
        </row>
        <row r="185">
          <cell r="A185" t="str">
            <v xml:space="preserve">   PUBLIC AUTHORITY</v>
          </cell>
          <cell r="B185">
            <v>6065307.7999999998</v>
          </cell>
          <cell r="C185">
            <v>6100608.8152367091</v>
          </cell>
          <cell r="D185">
            <v>-35301.015236709267</v>
          </cell>
          <cell r="E185">
            <v>-5.7864741546027609E-3</v>
          </cell>
          <cell r="G185">
            <v>257102</v>
          </cell>
          <cell r="H185">
            <v>263151</v>
          </cell>
          <cell r="I185">
            <v>-6049</v>
          </cell>
          <cell r="J185">
            <v>-2.2986802254219008E-2</v>
          </cell>
          <cell r="L185">
            <v>20921</v>
          </cell>
          <cell r="M185">
            <v>20974</v>
          </cell>
          <cell r="N185">
            <v>-53</v>
          </cell>
          <cell r="O185">
            <v>-2.5269381138552927E-3</v>
          </cell>
          <cell r="Q185">
            <v>12289</v>
          </cell>
          <cell r="R185">
            <v>12547</v>
          </cell>
          <cell r="S185">
            <v>-258</v>
          </cell>
          <cell r="T185">
            <v>-2.0562684307005696E-2</v>
          </cell>
        </row>
        <row r="186">
          <cell r="A186" t="str">
            <v xml:space="preserve">      TOTAL RETAIL</v>
          </cell>
          <cell r="B186">
            <v>99861084.120000005</v>
          </cell>
          <cell r="C186">
            <v>99742600.44025895</v>
          </cell>
          <cell r="D186">
            <v>118483.67974105047</v>
          </cell>
          <cell r="E186">
            <v>1.1878944324499319E-3</v>
          </cell>
          <cell r="G186">
            <v>2987153.2209999999</v>
          </cell>
          <cell r="H186">
            <v>3040446</v>
          </cell>
          <cell r="I186">
            <v>-53292.779000000097</v>
          </cell>
          <cell r="J186">
            <v>-1.7527947873437033E-2</v>
          </cell>
          <cell r="L186">
            <v>1578739</v>
          </cell>
          <cell r="M186">
            <v>1569423.5843288335</v>
          </cell>
          <cell r="N186">
            <v>9315.4156711664982</v>
          </cell>
          <cell r="O186">
            <v>5.9355649833376933E-3</v>
          </cell>
          <cell r="Q186">
            <v>1892</v>
          </cell>
          <cell r="R186">
            <v>1937</v>
          </cell>
          <cell r="S186">
            <v>-45</v>
          </cell>
          <cell r="T186">
            <v>-2.3231801755291714E-2</v>
          </cell>
        </row>
        <row r="187">
          <cell r="A187" t="str">
            <v xml:space="preserve">  Provision For Refund</v>
          </cell>
          <cell r="B187">
            <v>436414</v>
          </cell>
          <cell r="C187">
            <v>-1624691</v>
          </cell>
          <cell r="D187">
            <v>2061105</v>
          </cell>
          <cell r="E187">
            <v>-1.2686135394361142</v>
          </cell>
        </row>
        <row r="189">
          <cell r="A189" t="str">
            <v xml:space="preserve">   REA</v>
          </cell>
          <cell r="B189">
            <v>2935737.0995000005</v>
          </cell>
          <cell r="C189">
            <v>2414935.511312929</v>
          </cell>
          <cell r="D189">
            <v>520801.58818707149</v>
          </cell>
          <cell r="E189">
            <v>0.21565859036290669</v>
          </cell>
          <cell r="G189">
            <v>113196.15300000001</v>
          </cell>
          <cell r="H189">
            <v>128211.2689417823</v>
          </cell>
          <cell r="I189">
            <v>-15015.115941782293</v>
          </cell>
          <cell r="J189">
            <v>-0.11711229493095732</v>
          </cell>
          <cell r="L189">
            <v>7</v>
          </cell>
          <cell r="M189">
            <v>5</v>
          </cell>
          <cell r="N189">
            <v>2</v>
          </cell>
          <cell r="O189">
            <v>0.39999999999999991</v>
          </cell>
        </row>
        <row r="190">
          <cell r="A190" t="str">
            <v xml:space="preserve">   Oth Whol (w/Ref $ or Interchg MWh)</v>
          </cell>
          <cell r="B190">
            <v>5005125.5280000009</v>
          </cell>
          <cell r="C190">
            <v>5114634.3455156246</v>
          </cell>
          <cell r="D190">
            <v>-109508.81751562376</v>
          </cell>
          <cell r="E190">
            <v>-2.141087908105066E-2</v>
          </cell>
          <cell r="G190">
            <v>284758.15700000001</v>
          </cell>
          <cell r="H190">
            <v>280060.65285724477</v>
          </cell>
          <cell r="I190">
            <v>4697.5041427552351</v>
          </cell>
          <cell r="J190">
            <v>1.6773167150865964E-2</v>
          </cell>
          <cell r="L190">
            <v>19</v>
          </cell>
          <cell r="M190">
            <v>19</v>
          </cell>
          <cell r="N190">
            <v>0</v>
          </cell>
          <cell r="O190">
            <v>0</v>
          </cell>
        </row>
        <row r="192">
          <cell r="A192" t="str">
            <v xml:space="preserve">     WHOLESALE (Not W/N)</v>
          </cell>
          <cell r="B192">
            <v>7940862.6275000013</v>
          </cell>
          <cell r="C192">
            <v>7529569.8568285536</v>
          </cell>
          <cell r="D192">
            <v>411292.77067144774</v>
          </cell>
          <cell r="E192">
            <v>5.4623674192815441E-2</v>
          </cell>
          <cell r="G192">
            <v>397954.31</v>
          </cell>
          <cell r="H192">
            <v>408271.92179902707</v>
          </cell>
          <cell r="I192">
            <v>-10317.611799027072</v>
          </cell>
          <cell r="J192">
            <v>-2.5271421442755848E-2</v>
          </cell>
          <cell r="L192">
            <v>26</v>
          </cell>
          <cell r="M192">
            <v>24</v>
          </cell>
          <cell r="N192">
            <v>2</v>
          </cell>
          <cell r="O192">
            <v>8.3333333333333259E-2</v>
          </cell>
        </row>
        <row r="194">
          <cell r="A194" t="str">
            <v xml:space="preserve"> TOTAL SYSTEM</v>
          </cell>
          <cell r="B194">
            <v>108238360.7475</v>
          </cell>
          <cell r="C194">
            <v>105647479.29708751</v>
          </cell>
          <cell r="D194">
            <v>2590881.4504124983</v>
          </cell>
          <cell r="E194">
            <v>2.4523835946210992E-2</v>
          </cell>
          <cell r="G194">
            <v>3385107.531</v>
          </cell>
          <cell r="H194">
            <v>3448717.9217990269</v>
          </cell>
          <cell r="I194">
            <v>-63610.390799027169</v>
          </cell>
          <cell r="J194">
            <v>-1.8444648777144579E-2</v>
          </cell>
          <cell r="L194">
            <v>1578765</v>
          </cell>
          <cell r="M194">
            <v>1569447.5843288335</v>
          </cell>
          <cell r="N194">
            <v>9317.4156711664982</v>
          </cell>
          <cell r="O194">
            <v>5.9367485503831752E-3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2004  VS.  2005</v>
          </cell>
        </row>
        <row r="2">
          <cell r="A2" t="str">
            <v>REVENUES - SALES - CUSTOMERS - USE PER CUSTOMER</v>
          </cell>
        </row>
        <row r="4">
          <cell r="A4" t="str">
            <v>YEAR TO DATE OCTOBER 2005</v>
          </cell>
        </row>
        <row r="6">
          <cell r="B6" t="str">
            <v>BASE REVENUES $</v>
          </cell>
          <cell r="G6" t="str">
            <v>BILLED &amp; UNBILLED MWH SALES</v>
          </cell>
          <cell r="L6" t="str">
            <v>NUMBER OF CUSTOMERS</v>
          </cell>
          <cell r="Q6" t="str">
            <v>KWH SALES PER CUSTOMER</v>
          </cell>
        </row>
        <row r="8">
          <cell r="A8" t="str">
            <v>CLASS OF BUSINESS</v>
          </cell>
          <cell r="B8" t="str">
            <v>YTD'05 Actual</v>
          </cell>
          <cell r="C8" t="str">
            <v>YTD'04 Actual</v>
          </cell>
          <cell r="D8" t="str">
            <v>DIFF</v>
          </cell>
          <cell r="E8" t="str">
            <v>% DIFF</v>
          </cell>
          <cell r="G8" t="str">
            <v>YTD'05 Actual</v>
          </cell>
          <cell r="H8" t="str">
            <v>YTD'04 Actual</v>
          </cell>
          <cell r="I8" t="str">
            <v>DIFF</v>
          </cell>
          <cell r="J8" t="str">
            <v>% DIFF</v>
          </cell>
          <cell r="L8" t="str">
            <v>YTD'05 Actual</v>
          </cell>
          <cell r="M8" t="str">
            <v>YTD'04 Actual</v>
          </cell>
          <cell r="N8" t="str">
            <v>DIFF</v>
          </cell>
          <cell r="O8" t="str">
            <v>% DIFF</v>
          </cell>
          <cell r="Q8" t="str">
            <v>YTD'05 Actual</v>
          </cell>
          <cell r="R8" t="str">
            <v>YTD'04 Actual</v>
          </cell>
          <cell r="S8" t="str">
            <v>DIFF</v>
          </cell>
          <cell r="T8" t="str">
            <v>% DIFF</v>
          </cell>
        </row>
        <row r="10">
          <cell r="A10" t="str">
            <v xml:space="preserve">   RESIDENTIAL</v>
          </cell>
          <cell r="B10">
            <v>737352089.23000002</v>
          </cell>
          <cell r="C10">
            <v>713378041.73000002</v>
          </cell>
          <cell r="D10">
            <v>23974047.5</v>
          </cell>
          <cell r="E10">
            <v>3.3606371513567934E-2</v>
          </cell>
          <cell r="G10">
            <v>17086244.346999999</v>
          </cell>
          <cell r="H10">
            <v>16551158.651000001</v>
          </cell>
          <cell r="I10">
            <v>535085.6959999986</v>
          </cell>
          <cell r="J10">
            <v>3.2329198655084435E-2</v>
          </cell>
          <cell r="L10">
            <v>1390459</v>
          </cell>
          <cell r="M10">
            <v>1359916</v>
          </cell>
          <cell r="N10">
            <v>30543</v>
          </cell>
          <cell r="O10">
            <v>2.2459475438188825E-2</v>
          </cell>
          <cell r="Q10">
            <v>12288</v>
          </cell>
          <cell r="R10">
            <v>12171</v>
          </cell>
          <cell r="S10">
            <v>117</v>
          </cell>
          <cell r="T10">
            <v>9.61301454276553E-3</v>
          </cell>
        </row>
        <row r="11">
          <cell r="A11" t="str">
            <v xml:space="preserve">   COMMERCIAL</v>
          </cell>
          <cell r="B11">
            <v>254024182.95999998</v>
          </cell>
          <cell r="C11">
            <v>248556028.94999999</v>
          </cell>
          <cell r="D11">
            <v>5468154.0099999905</v>
          </cell>
          <cell r="E11">
            <v>2.1999683665287373E-2</v>
          </cell>
          <cell r="G11">
            <v>10062104.976</v>
          </cell>
          <cell r="H11">
            <v>9801430.9370000008</v>
          </cell>
          <cell r="I11">
            <v>260674.03899999894</v>
          </cell>
          <cell r="J11">
            <v>2.65955084186702E-2</v>
          </cell>
          <cell r="L11">
            <v>160469.6</v>
          </cell>
          <cell r="M11">
            <v>158016.29999999999</v>
          </cell>
          <cell r="N11">
            <v>2453.3000000000175</v>
          </cell>
          <cell r="O11">
            <v>1.5525613496835566E-2</v>
          </cell>
          <cell r="Q11">
            <v>62704</v>
          </cell>
          <cell r="R11">
            <v>62028</v>
          </cell>
          <cell r="S11">
            <v>676</v>
          </cell>
          <cell r="T11">
            <v>1.0898303991745628E-2</v>
          </cell>
        </row>
        <row r="12">
          <cell r="A12" t="str">
            <v xml:space="preserve">   INDUSTRIAL</v>
          </cell>
          <cell r="B12">
            <v>64759456.639999986</v>
          </cell>
          <cell r="C12">
            <v>64286522.460000008</v>
          </cell>
          <cell r="D12">
            <v>472934.17999997735</v>
          </cell>
          <cell r="E12">
            <v>7.3566614261060259E-3</v>
          </cell>
          <cell r="G12">
            <v>3450704.412</v>
          </cell>
          <cell r="H12">
            <v>3372777.764</v>
          </cell>
          <cell r="I12">
            <v>77926.648000000045</v>
          </cell>
          <cell r="J12">
            <v>2.3104590178387951E-2</v>
          </cell>
          <cell r="L12">
            <v>2701.2</v>
          </cell>
          <cell r="M12">
            <v>2728.6</v>
          </cell>
          <cell r="N12">
            <v>-27.400000000000091</v>
          </cell>
          <cell r="O12">
            <v>-1.0041779667228634E-2</v>
          </cell>
          <cell r="Q12">
            <v>1277471</v>
          </cell>
          <cell r="R12">
            <v>1236084</v>
          </cell>
          <cell r="S12">
            <v>41387</v>
          </cell>
          <cell r="T12">
            <v>3.348235233204222E-2</v>
          </cell>
        </row>
        <row r="13">
          <cell r="A13" t="str">
            <v xml:space="preserve">   ST &amp; HIGHWAY</v>
          </cell>
          <cell r="B13">
            <v>352853.74</v>
          </cell>
          <cell r="C13">
            <v>359173.36</v>
          </cell>
          <cell r="D13">
            <v>-6319.6199999999953</v>
          </cell>
          <cell r="E13">
            <v>-1.759490180452139E-2</v>
          </cell>
          <cell r="G13">
            <v>22866.701000000001</v>
          </cell>
          <cell r="H13">
            <v>23290.361000000001</v>
          </cell>
          <cell r="I13">
            <v>-423.65999999999985</v>
          </cell>
          <cell r="J13">
            <v>-1.8190357805102253E-2</v>
          </cell>
          <cell r="L13">
            <v>1800.5</v>
          </cell>
          <cell r="M13">
            <v>1860.6</v>
          </cell>
          <cell r="N13">
            <v>-60.099999999999909</v>
          </cell>
          <cell r="O13">
            <v>-3.2301408147909272E-2</v>
          </cell>
          <cell r="Q13">
            <v>12700</v>
          </cell>
          <cell r="R13">
            <v>12518</v>
          </cell>
          <cell r="S13">
            <v>182</v>
          </cell>
          <cell r="T13">
            <v>1.4539063748202574E-2</v>
          </cell>
        </row>
        <row r="14">
          <cell r="A14" t="str">
            <v xml:space="preserve">   PUBLIC AUTHORITY</v>
          </cell>
          <cell r="B14">
            <v>61043112.82</v>
          </cell>
          <cell r="C14">
            <v>58180331.030000001</v>
          </cell>
          <cell r="D14">
            <v>2862781.7899999991</v>
          </cell>
          <cell r="E14">
            <v>4.9205319724355601E-2</v>
          </cell>
          <cell r="G14">
            <v>2646654.7880000002</v>
          </cell>
          <cell r="H14">
            <v>2497120.7769999998</v>
          </cell>
          <cell r="I14">
            <v>149534.01100000041</v>
          </cell>
          <cell r="J14">
            <v>5.9882570509724564E-2</v>
          </cell>
          <cell r="L14">
            <v>20804.5</v>
          </cell>
          <cell r="M14">
            <v>20463</v>
          </cell>
          <cell r="N14">
            <v>341.5</v>
          </cell>
          <cell r="O14">
            <v>1.6688657577090371E-2</v>
          </cell>
          <cell r="Q14">
            <v>127215</v>
          </cell>
          <cell r="R14">
            <v>122031</v>
          </cell>
          <cell r="S14">
            <v>5184</v>
          </cell>
          <cell r="T14">
            <v>4.2481008923962005E-2</v>
          </cell>
        </row>
        <row r="15">
          <cell r="A15" t="str">
            <v xml:space="preserve">  TOTAL RETAIL BILLED</v>
          </cell>
          <cell r="B15">
            <v>1117531695.3900001</v>
          </cell>
          <cell r="C15">
            <v>1084760097.5300002</v>
          </cell>
          <cell r="D15">
            <v>32771597.859999966</v>
          </cell>
          <cell r="E15">
            <v>3.0210917542616844E-2</v>
          </cell>
          <cell r="G15">
            <v>33268575.223999999</v>
          </cell>
          <cell r="H15">
            <v>32245778.489999998</v>
          </cell>
          <cell r="I15">
            <v>1022796.733999998</v>
          </cell>
          <cell r="J15">
            <v>3.1718779384321216E-2</v>
          </cell>
          <cell r="L15">
            <v>1576234.8</v>
          </cell>
          <cell r="M15">
            <v>1542984.5000000002</v>
          </cell>
          <cell r="N15">
            <v>33250.300000000017</v>
          </cell>
          <cell r="O15">
            <v>2.1549341552037582E-2</v>
          </cell>
          <cell r="Q15">
            <v>21106</v>
          </cell>
          <cell r="R15">
            <v>20898</v>
          </cell>
          <cell r="S15">
            <v>208</v>
          </cell>
          <cell r="T15">
            <v>9.9531055603407914E-3</v>
          </cell>
        </row>
        <row r="16">
          <cell r="A16" t="str">
            <v xml:space="preserve">  Provision For Refund</v>
          </cell>
          <cell r="B16">
            <v>-3205291</v>
          </cell>
          <cell r="C16">
            <v>-7032585.7400000002</v>
          </cell>
          <cell r="D16">
            <v>3827294.74</v>
          </cell>
          <cell r="E16">
            <v>-0.54422297594341162</v>
          </cell>
        </row>
        <row r="18">
          <cell r="A18" t="str">
            <v xml:space="preserve">   REA</v>
          </cell>
          <cell r="B18">
            <v>42132873.685499996</v>
          </cell>
          <cell r="C18">
            <v>30193798.8805</v>
          </cell>
          <cell r="D18">
            <v>11939074.804999996</v>
          </cell>
          <cell r="E18">
            <v>0.39541479534430435</v>
          </cell>
          <cell r="G18">
            <v>1345356.068</v>
          </cell>
          <cell r="H18">
            <v>949493.17299999995</v>
          </cell>
          <cell r="I18">
            <v>395862.89500000002</v>
          </cell>
          <cell r="J18">
            <v>0.41692021202136642</v>
          </cell>
          <cell r="L18">
            <v>7.5</v>
          </cell>
          <cell r="M18">
            <v>6</v>
          </cell>
          <cell r="N18">
            <v>1.5</v>
          </cell>
          <cell r="O18">
            <v>0.25</v>
          </cell>
          <cell r="Q18">
            <v>179380809</v>
          </cell>
          <cell r="R18">
            <v>158248862</v>
          </cell>
          <cell r="S18">
            <v>21131947</v>
          </cell>
          <cell r="T18">
            <v>0.13353617038964871</v>
          </cell>
        </row>
        <row r="19">
          <cell r="A19" t="str">
            <v xml:space="preserve">   Oth Whol (w/Ref $ or Interchg MWh)</v>
          </cell>
          <cell r="B19">
            <v>59099581.797000006</v>
          </cell>
          <cell r="C19">
            <v>55074788.756500006</v>
          </cell>
          <cell r="D19">
            <v>4024793.0405000001</v>
          </cell>
          <cell r="E19">
            <v>7.3078683211925899E-2</v>
          </cell>
          <cell r="G19">
            <v>3251990.4479999999</v>
          </cell>
          <cell r="H19">
            <v>3319436.81</v>
          </cell>
          <cell r="I19">
            <v>-67446.362000000197</v>
          </cell>
          <cell r="J19">
            <v>-2.0318616036555937E-2</v>
          </cell>
          <cell r="L19">
            <v>19.3</v>
          </cell>
          <cell r="M19">
            <v>18.600000000000001</v>
          </cell>
          <cell r="N19">
            <v>0.69999999999999929</v>
          </cell>
          <cell r="O19">
            <v>3.7634408602150504E-2</v>
          </cell>
          <cell r="Q19">
            <v>168496914</v>
          </cell>
          <cell r="R19">
            <v>178464345</v>
          </cell>
          <cell r="S19">
            <v>-9967431</v>
          </cell>
          <cell r="T19">
            <v>-5.5851105720865379E-2</v>
          </cell>
        </row>
        <row r="21">
          <cell r="A21" t="str">
            <v xml:space="preserve"> TOTAL WHOLESALE  BILLED</v>
          </cell>
          <cell r="B21">
            <v>101232455.4825</v>
          </cell>
          <cell r="C21">
            <v>85268587.637000009</v>
          </cell>
          <cell r="D21">
            <v>15963867.845499996</v>
          </cell>
          <cell r="E21">
            <v>0.18721862631829156</v>
          </cell>
          <cell r="G21">
            <v>4597346.5159999998</v>
          </cell>
          <cell r="H21">
            <v>4268929.983</v>
          </cell>
          <cell r="I21">
            <v>328416.53299999982</v>
          </cell>
          <cell r="J21">
            <v>7.6931815304500439E-2</v>
          </cell>
          <cell r="L21">
            <v>26.8</v>
          </cell>
          <cell r="M21">
            <v>24.6</v>
          </cell>
          <cell r="N21">
            <v>2.1999999999999993</v>
          </cell>
          <cell r="O21">
            <v>8.9430894308943021E-2</v>
          </cell>
          <cell r="Q21">
            <v>171542780</v>
          </cell>
          <cell r="R21">
            <v>173533739</v>
          </cell>
          <cell r="S21">
            <v>-1990959</v>
          </cell>
          <cell r="T21">
            <v>-1.147303695219748E-2</v>
          </cell>
        </row>
        <row r="23">
          <cell r="A23" t="str">
            <v xml:space="preserve"> TOTAL SYSTEM BILLED</v>
          </cell>
          <cell r="B23">
            <v>1215558859.8725002</v>
          </cell>
          <cell r="C23">
            <v>1162996099.4270003</v>
          </cell>
          <cell r="D23">
            <v>52562760.445499964</v>
          </cell>
          <cell r="E23">
            <v>4.5195990314496504E-2</v>
          </cell>
          <cell r="G23">
            <v>37865921.740000002</v>
          </cell>
          <cell r="H23">
            <v>36514708.472999997</v>
          </cell>
          <cell r="I23">
            <v>1351213.2669999977</v>
          </cell>
          <cell r="J23">
            <v>3.7004629737058758E-2</v>
          </cell>
          <cell r="L23">
            <v>1576261.6</v>
          </cell>
          <cell r="M23">
            <v>1543009.1000000003</v>
          </cell>
          <cell r="N23">
            <v>33252.500000000015</v>
          </cell>
          <cell r="O23">
            <v>2.1550423779094885E-2</v>
          </cell>
          <cell r="Q23">
            <v>24023</v>
          </cell>
          <cell r="R23">
            <v>23665</v>
          </cell>
          <cell r="S23">
            <v>358</v>
          </cell>
          <cell r="T23">
            <v>1.5127825903232583E-2</v>
          </cell>
        </row>
        <row r="25">
          <cell r="A25" t="str">
            <v xml:space="preserve">     Retail Unbilled (Change)</v>
          </cell>
          <cell r="B25">
            <v>6337362</v>
          </cell>
          <cell r="C25">
            <v>11336660</v>
          </cell>
          <cell r="D25">
            <v>-4999298</v>
          </cell>
          <cell r="E25" t="str">
            <v>N/A</v>
          </cell>
          <cell r="G25">
            <v>46922</v>
          </cell>
          <cell r="H25">
            <v>306357</v>
          </cell>
          <cell r="I25">
            <v>-259435</v>
          </cell>
          <cell r="J25" t="str">
            <v>N/A</v>
          </cell>
        </row>
        <row r="26">
          <cell r="A26" t="str">
            <v xml:space="preserve">     Wholesale Unbilled (Change)</v>
          </cell>
          <cell r="B26">
            <v>1413421</v>
          </cell>
          <cell r="C26">
            <v>-1469118</v>
          </cell>
          <cell r="D26">
            <v>2882539</v>
          </cell>
          <cell r="E26" t="str">
            <v>N/A</v>
          </cell>
          <cell r="G26">
            <v>78473</v>
          </cell>
          <cell r="H26">
            <v>129677</v>
          </cell>
          <cell r="I26">
            <v>-51204</v>
          </cell>
          <cell r="J26" t="str">
            <v>N/A</v>
          </cell>
        </row>
        <row r="27">
          <cell r="A27" t="str">
            <v xml:space="preserve">           Total Unbilled (Change)</v>
          </cell>
          <cell r="B27">
            <v>7750783</v>
          </cell>
          <cell r="C27">
            <v>9867542</v>
          </cell>
          <cell r="D27">
            <v>-2116759</v>
          </cell>
          <cell r="E27" t="str">
            <v>N/A</v>
          </cell>
          <cell r="G27">
            <v>125395</v>
          </cell>
          <cell r="H27">
            <v>436034</v>
          </cell>
          <cell r="I27">
            <v>-310639</v>
          </cell>
          <cell r="J27" t="str">
            <v>N/A</v>
          </cell>
        </row>
        <row r="29">
          <cell r="A29" t="str">
            <v>TOTAL BILLED &amp; UNBILLED</v>
          </cell>
          <cell r="B29">
            <v>1223309642.8725002</v>
          </cell>
          <cell r="C29">
            <v>1172863641.4270003</v>
          </cell>
          <cell r="D29">
            <v>50446001.445499964</v>
          </cell>
          <cell r="E29">
            <v>4.301096876370325E-2</v>
          </cell>
          <cell r="G29">
            <v>37991316.740000002</v>
          </cell>
          <cell r="H29">
            <v>36950742.472999997</v>
          </cell>
          <cell r="I29">
            <v>1040574.2669999977</v>
          </cell>
          <cell r="J29">
            <v>2.8161119299844994E-2</v>
          </cell>
        </row>
        <row r="32">
          <cell r="B32" t="str">
            <v>TOTAL BASE REVENUES $</v>
          </cell>
        </row>
        <row r="33">
          <cell r="B33" t="str">
            <v>BILLED &amp; ALLOCATED UNBILLED</v>
          </cell>
          <cell r="G33" t="str">
            <v>BILLED &amp; ALLOCATED UNBILLED MWH SALES</v>
          </cell>
          <cell r="L33" t="str">
            <v>NUMBER OF CUSTOMERS</v>
          </cell>
          <cell r="Q33" t="str">
            <v>KWH SALES PER CUSTOMER</v>
          </cell>
        </row>
        <row r="35">
          <cell r="A35" t="str">
            <v>CLASS OF BUSINESS</v>
          </cell>
          <cell r="B35" t="str">
            <v>YTD'05 Actual</v>
          </cell>
          <cell r="C35" t="str">
            <v>YTD'04 Actual</v>
          </cell>
          <cell r="D35" t="str">
            <v>DIFF</v>
          </cell>
          <cell r="E35" t="str">
            <v>% DIFF</v>
          </cell>
          <cell r="G35" t="str">
            <v>YTD'05 Actual</v>
          </cell>
          <cell r="H35" t="str">
            <v>YTD'04 Actual</v>
          </cell>
          <cell r="I35" t="str">
            <v>DIFF</v>
          </cell>
          <cell r="J35" t="str">
            <v>% DIFF</v>
          </cell>
          <cell r="L35" t="str">
            <v>YTD'05 Actual</v>
          </cell>
          <cell r="M35" t="str">
            <v>YTD'04 Actual</v>
          </cell>
          <cell r="N35" t="str">
            <v>DIFF</v>
          </cell>
          <cell r="O35" t="str">
            <v>% DIFF</v>
          </cell>
          <cell r="Q35" t="str">
            <v>YTD'05 Actual</v>
          </cell>
          <cell r="R35" t="str">
            <v>YTD'04 Actual</v>
          </cell>
          <cell r="S35" t="str">
            <v>DIFF</v>
          </cell>
          <cell r="T35" t="str">
            <v>% DIFF</v>
          </cell>
        </row>
        <row r="37">
          <cell r="A37" t="str">
            <v xml:space="preserve">   RESIDENTIAL</v>
          </cell>
          <cell r="B37">
            <v>743537458.62505555</v>
          </cell>
          <cell r="C37">
            <v>721330348.13647735</v>
          </cell>
          <cell r="D37">
            <v>22207110.4885782</v>
          </cell>
          <cell r="E37">
            <v>3.0786324942447374E-2</v>
          </cell>
          <cell r="G37">
            <v>17202221.944442913</v>
          </cell>
          <cell r="H37">
            <v>16746598.064706277</v>
          </cell>
          <cell r="I37">
            <v>455623.87973663583</v>
          </cell>
          <cell r="J37">
            <v>2.7206951404468827E-2</v>
          </cell>
          <cell r="L37">
            <v>1390459</v>
          </cell>
          <cell r="M37">
            <v>1359916</v>
          </cell>
          <cell r="N37">
            <v>30543</v>
          </cell>
          <cell r="O37">
            <v>2.2459475438188825E-2</v>
          </cell>
          <cell r="Q37">
            <v>12372</v>
          </cell>
          <cell r="R37">
            <v>12314</v>
          </cell>
          <cell r="S37">
            <v>58</v>
          </cell>
          <cell r="T37">
            <v>4.7100860808835243E-3</v>
          </cell>
        </row>
        <row r="38">
          <cell r="A38" t="str">
            <v xml:space="preserve">   COMMERCIAL</v>
          </cell>
          <cell r="B38">
            <v>254229684.34676567</v>
          </cell>
          <cell r="C38">
            <v>250949361.22745657</v>
          </cell>
          <cell r="D38">
            <v>3280323.1193090975</v>
          </cell>
          <cell r="E38">
            <v>1.307165359283724E-2</v>
          </cell>
          <cell r="G38">
            <v>10025606.524770167</v>
          </cell>
          <cell r="H38">
            <v>9885816.4115971476</v>
          </cell>
          <cell r="I38">
            <v>139790.11317301914</v>
          </cell>
          <cell r="J38">
            <v>1.4140472304242868E-2</v>
          </cell>
          <cell r="L38">
            <v>160469.6</v>
          </cell>
          <cell r="M38">
            <v>158016.29999999999</v>
          </cell>
          <cell r="N38">
            <v>2453.3000000000175</v>
          </cell>
          <cell r="O38">
            <v>1.5525613496835566E-2</v>
          </cell>
          <cell r="Q38">
            <v>62477</v>
          </cell>
          <cell r="R38">
            <v>62562</v>
          </cell>
          <cell r="S38">
            <v>-85</v>
          </cell>
          <cell r="T38">
            <v>-1.3586522170007109E-3</v>
          </cell>
        </row>
        <row r="39">
          <cell r="A39" t="str">
            <v xml:space="preserve">   INDUSTRIAL</v>
          </cell>
          <cell r="B39">
            <v>64474379.549938679</v>
          </cell>
          <cell r="C39">
            <v>64699384.605257049</v>
          </cell>
          <cell r="D39">
            <v>-225005.05531837046</v>
          </cell>
          <cell r="E39">
            <v>-3.4777000846478723E-3</v>
          </cell>
          <cell r="G39">
            <v>3418372.7420064034</v>
          </cell>
          <cell r="H39">
            <v>3377469.8132421994</v>
          </cell>
          <cell r="I39">
            <v>40902.928764204029</v>
          </cell>
          <cell r="J39">
            <v>1.2110523861333711E-2</v>
          </cell>
          <cell r="L39">
            <v>2701.2</v>
          </cell>
          <cell r="M39">
            <v>2728.6</v>
          </cell>
          <cell r="N39">
            <v>-27.400000000000091</v>
          </cell>
          <cell r="O39">
            <v>-1.0041779667228634E-2</v>
          </cell>
          <cell r="Q39">
            <v>1265502</v>
          </cell>
          <cell r="R39">
            <v>1237803</v>
          </cell>
          <cell r="S39">
            <v>27699</v>
          </cell>
          <cell r="T39">
            <v>2.2377551193526024E-2</v>
          </cell>
        </row>
        <row r="40">
          <cell r="A40" t="str">
            <v xml:space="preserve">   ST &amp; HIGHWAY</v>
          </cell>
          <cell r="B40">
            <v>349054.49918277276</v>
          </cell>
          <cell r="C40">
            <v>357813.79485392384</v>
          </cell>
          <cell r="D40">
            <v>-8759.2956711510778</v>
          </cell>
          <cell r="E40">
            <v>-2.4480039051392732E-2</v>
          </cell>
          <cell r="G40">
            <v>22503.454341660861</v>
          </cell>
          <cell r="H40">
            <v>23163.769720599226</v>
          </cell>
          <cell r="I40">
            <v>-660.31537893836503</v>
          </cell>
          <cell r="J40">
            <v>-2.8506386780004833E-2</v>
          </cell>
          <cell r="L40">
            <v>1800.5</v>
          </cell>
          <cell r="M40">
            <v>1860.6</v>
          </cell>
          <cell r="N40">
            <v>-60.099999999999909</v>
          </cell>
          <cell r="O40">
            <v>-3.2301408147909272E-2</v>
          </cell>
          <cell r="Q40">
            <v>12498</v>
          </cell>
          <cell r="R40">
            <v>12450</v>
          </cell>
          <cell r="S40">
            <v>48</v>
          </cell>
          <cell r="T40">
            <v>3.8554216867470181E-3</v>
          </cell>
        </row>
        <row r="41">
          <cell r="A41" t="str">
            <v xml:space="preserve">   PUBLIC AUTHORITY</v>
          </cell>
          <cell r="B41">
            <v>61278480.369057335</v>
          </cell>
          <cell r="C41">
            <v>58759849.765955128</v>
          </cell>
          <cell r="D41">
            <v>2518630.6031022072</v>
          </cell>
          <cell r="E41">
            <v>4.2863121895888145E-2</v>
          </cell>
          <cell r="G41">
            <v>2646794.3344388586</v>
          </cell>
          <cell r="H41">
            <v>2519086.9407337788</v>
          </cell>
          <cell r="I41">
            <v>127707.3937050798</v>
          </cell>
          <cell r="J41">
            <v>5.0695905583901801E-2</v>
          </cell>
          <cell r="L41">
            <v>20804.5</v>
          </cell>
          <cell r="M41">
            <v>20463</v>
          </cell>
          <cell r="N41">
            <v>341.5</v>
          </cell>
          <cell r="O41">
            <v>1.6688657577090371E-2</v>
          </cell>
          <cell r="Q41">
            <v>127222</v>
          </cell>
          <cell r="R41">
            <v>123104</v>
          </cell>
          <cell r="S41">
            <v>4118</v>
          </cell>
          <cell r="T41">
            <v>3.3451390694047234E-2</v>
          </cell>
        </row>
        <row r="42">
          <cell r="A42" t="str">
            <v xml:space="preserve">    TOTAL RETAIL</v>
          </cell>
          <cell r="B42">
            <v>1123869057.3900001</v>
          </cell>
          <cell r="C42">
            <v>1096096757.53</v>
          </cell>
          <cell r="D42">
            <v>27772299.859999985</v>
          </cell>
          <cell r="E42">
            <v>2.5337452801688531E-2</v>
          </cell>
          <cell r="G42">
            <v>33315499</v>
          </cell>
          <cell r="H42">
            <v>32552135.000000004</v>
          </cell>
          <cell r="I42">
            <v>763364.00000000047</v>
          </cell>
          <cell r="J42">
            <v>2.3450504859358512E-2</v>
          </cell>
          <cell r="L42">
            <v>1576234.8</v>
          </cell>
          <cell r="M42">
            <v>1542984.5000000002</v>
          </cell>
          <cell r="N42">
            <v>33250.300000000017</v>
          </cell>
          <cell r="O42">
            <v>2.1549341552037582E-2</v>
          </cell>
          <cell r="Q42">
            <v>21136</v>
          </cell>
          <cell r="R42">
            <v>21097</v>
          </cell>
          <cell r="S42">
            <v>39</v>
          </cell>
          <cell r="T42">
            <v>1.8486040669289938E-3</v>
          </cell>
        </row>
        <row r="43">
          <cell r="A43" t="str">
            <v xml:space="preserve">  Provision For Refund</v>
          </cell>
          <cell r="B43">
            <v>-3205291</v>
          </cell>
          <cell r="C43">
            <v>-7032585.7400000002</v>
          </cell>
          <cell r="D43">
            <v>3827294.74</v>
          </cell>
          <cell r="E43">
            <v>-0.54422297594341162</v>
          </cell>
        </row>
        <row r="45">
          <cell r="A45" t="str">
            <v xml:space="preserve">   REA</v>
          </cell>
          <cell r="B45">
            <v>43479116.905499995</v>
          </cell>
          <cell r="C45">
            <v>28960205.8805</v>
          </cell>
          <cell r="D45">
            <v>14518911.024999995</v>
          </cell>
          <cell r="E45">
            <v>0.50134004864848447</v>
          </cell>
          <cell r="G45">
            <v>1455036</v>
          </cell>
          <cell r="H45">
            <v>73207</v>
          </cell>
          <cell r="I45">
            <v>1381829</v>
          </cell>
          <cell r="J45">
            <v>18.875640307620856</v>
          </cell>
          <cell r="L45">
            <v>7.5</v>
          </cell>
          <cell r="M45">
            <v>6</v>
          </cell>
          <cell r="N45">
            <v>1.5</v>
          </cell>
          <cell r="O45">
            <v>0.25</v>
          </cell>
          <cell r="Q45">
            <v>194004800</v>
          </cell>
          <cell r="R45">
            <v>12201167</v>
          </cell>
          <cell r="S45">
            <v>181803633</v>
          </cell>
          <cell r="T45">
            <v>14.900511811698012</v>
          </cell>
        </row>
        <row r="46">
          <cell r="A46" t="str">
            <v xml:space="preserve">   Oth Whol (w/Ref $ or Interchg MWh)</v>
          </cell>
          <cell r="B46">
            <v>59166759.577000007</v>
          </cell>
          <cell r="C46">
            <v>54839263.756499991</v>
          </cell>
          <cell r="D46">
            <v>4327495.8205000162</v>
          </cell>
          <cell r="E46">
            <v>7.8912361765379968E-2</v>
          </cell>
          <cell r="G46">
            <v>3220783.5159999998</v>
          </cell>
          <cell r="H46">
            <v>4325399.983</v>
          </cell>
          <cell r="I46">
            <v>-1104616.4670000002</v>
          </cell>
          <cell r="J46">
            <v>-0.25537903346313495</v>
          </cell>
          <cell r="L46">
            <v>19.3</v>
          </cell>
          <cell r="M46">
            <v>18.600000000000001</v>
          </cell>
          <cell r="N46">
            <v>0.69999999999999929</v>
          </cell>
          <cell r="O46">
            <v>3.7634408602150504E-2</v>
          </cell>
          <cell r="Q46">
            <v>166879975</v>
          </cell>
          <cell r="R46">
            <v>232548386</v>
          </cell>
          <cell r="S46">
            <v>-65668411</v>
          </cell>
          <cell r="T46">
            <v>-0.28238601062576285</v>
          </cell>
        </row>
        <row r="48">
          <cell r="A48" t="str">
            <v xml:space="preserve">   TOTAL WHOLESALE </v>
          </cell>
          <cell r="B48">
            <v>102645876.4825</v>
          </cell>
          <cell r="C48">
            <v>83799469.636999995</v>
          </cell>
          <cell r="D48">
            <v>18846406.845500011</v>
          </cell>
          <cell r="E48">
            <v>0.22489887975590173</v>
          </cell>
          <cell r="G48">
            <v>4675819.5159999998</v>
          </cell>
          <cell r="H48">
            <v>4398606.983</v>
          </cell>
          <cell r="I48">
            <v>277212.53299999982</v>
          </cell>
          <cell r="J48">
            <v>6.302280109848124E-2</v>
          </cell>
          <cell r="L48">
            <v>26.8</v>
          </cell>
          <cell r="M48">
            <v>24.6</v>
          </cell>
          <cell r="N48">
            <v>2.1999999999999993</v>
          </cell>
          <cell r="O48">
            <v>8.9430894308943021E-2</v>
          </cell>
          <cell r="Q48">
            <v>174470877</v>
          </cell>
          <cell r="R48">
            <v>178805162</v>
          </cell>
          <cell r="S48">
            <v>-4334285</v>
          </cell>
          <cell r="T48">
            <v>-2.4240267739026433E-2</v>
          </cell>
        </row>
        <row r="50">
          <cell r="A50" t="str">
            <v xml:space="preserve"> TOTAL SYSTEM</v>
          </cell>
          <cell r="B50">
            <v>1223309642.8725002</v>
          </cell>
          <cell r="C50">
            <v>1172863641.427</v>
          </cell>
          <cell r="D50">
            <v>50446001.445499994</v>
          </cell>
          <cell r="E50">
            <v>4.3010968763703472E-2</v>
          </cell>
          <cell r="G50">
            <v>37991318.516000003</v>
          </cell>
          <cell r="H50">
            <v>36950741.983000003</v>
          </cell>
          <cell r="I50">
            <v>1040576.5330000003</v>
          </cell>
          <cell r="J50">
            <v>2.8161180998171664E-2</v>
          </cell>
          <cell r="L50">
            <v>1576261.6</v>
          </cell>
          <cell r="M50">
            <v>1543009.1000000003</v>
          </cell>
          <cell r="N50">
            <v>33252.500000000015</v>
          </cell>
          <cell r="O50">
            <v>2.1550423779094885E-2</v>
          </cell>
          <cell r="Q50">
            <v>24102</v>
          </cell>
          <cell r="R50">
            <v>23947</v>
          </cell>
          <cell r="S50">
            <v>155</v>
          </cell>
          <cell r="T50">
            <v>6.4726270514052775E-3</v>
          </cell>
        </row>
        <row r="53">
          <cell r="B53" t="str">
            <v>WEATHER NORMALIZED</v>
          </cell>
          <cell r="G53" t="str">
            <v>WEATHER NORMALIZED</v>
          </cell>
          <cell r="L53" t="str">
            <v>NUMBER OF CUSTOMERS</v>
          </cell>
          <cell r="Q53" t="str">
            <v>WEATHER &amp; CUSTOMER NORMALIZED</v>
          </cell>
        </row>
        <row r="54">
          <cell r="B54" t="str">
            <v>BILLED &amp; UNBILLED BASE REVENUES</v>
          </cell>
          <cell r="G54" t="str">
            <v>BILLED &amp; UNBILLED MWH SALES</v>
          </cell>
          <cell r="L54" t="str">
            <v>Adj. for Event-Driven Billing</v>
          </cell>
          <cell r="Q54" t="str">
            <v>KWH SALES PER CUSTOMER</v>
          </cell>
        </row>
        <row r="56">
          <cell r="A56" t="str">
            <v>CLASS OF BUSINESS</v>
          </cell>
          <cell r="B56" t="str">
            <v>YTD'05 Actual</v>
          </cell>
          <cell r="C56" t="str">
            <v>YTD'04 Actual</v>
          </cell>
          <cell r="D56" t="str">
            <v>DIFF</v>
          </cell>
          <cell r="E56" t="str">
            <v>% DIFF</v>
          </cell>
          <cell r="G56" t="str">
            <v>YTD'05 Actual</v>
          </cell>
          <cell r="H56" t="str">
            <v>YTD'04 Actual</v>
          </cell>
          <cell r="I56" t="str">
            <v>DIFF</v>
          </cell>
          <cell r="J56" t="str">
            <v>% DIFF</v>
          </cell>
          <cell r="L56" t="str">
            <v>YTD'05 Actual</v>
          </cell>
          <cell r="M56" t="str">
            <v>YTD'04 Actual</v>
          </cell>
          <cell r="N56" t="str">
            <v>DIFF</v>
          </cell>
          <cell r="O56" t="str">
            <v>% DIFF</v>
          </cell>
          <cell r="Q56" t="str">
            <v>YTD'05 Actual</v>
          </cell>
          <cell r="R56" t="str">
            <v>YTD'04 Actual</v>
          </cell>
          <cell r="S56" t="str">
            <v>DIFF</v>
          </cell>
          <cell r="T56" t="str">
            <v>% DIFF</v>
          </cell>
        </row>
        <row r="58">
          <cell r="A58" t="str">
            <v xml:space="preserve">   RESIDENTIAL</v>
          </cell>
          <cell r="B58">
            <v>735359243.87363398</v>
          </cell>
          <cell r="C58">
            <v>734616301.14597988</v>
          </cell>
          <cell r="D58">
            <v>742942.72765409946</v>
          </cell>
          <cell r="E58">
            <v>1.0113343884352588E-3</v>
          </cell>
          <cell r="G58">
            <v>16994665.000000004</v>
          </cell>
          <cell r="H58">
            <v>17088683.995730512</v>
          </cell>
          <cell r="I58">
            <v>-94018.995730508119</v>
          </cell>
          <cell r="J58">
            <v>-5.5018277448396491E-3</v>
          </cell>
          <cell r="L58">
            <v>1389335.7</v>
          </cell>
          <cell r="M58">
            <v>1362186.6</v>
          </cell>
          <cell r="N58">
            <v>27149.09999999986</v>
          </cell>
          <cell r="O58">
            <v>1.9930529341574577E-2</v>
          </cell>
          <cell r="Q58">
            <v>12232</v>
          </cell>
          <cell r="R58">
            <v>12545</v>
          </cell>
          <cell r="S58">
            <v>-313</v>
          </cell>
          <cell r="T58">
            <v>-2.495017935432442E-2</v>
          </cell>
        </row>
        <row r="59">
          <cell r="A59" t="str">
            <v xml:space="preserve">   COMMERCIAL</v>
          </cell>
          <cell r="B59">
            <v>252237455.85925281</v>
          </cell>
          <cell r="C59">
            <v>255679856.01655692</v>
          </cell>
          <cell r="D59">
            <v>-3442400.1573041081</v>
          </cell>
          <cell r="E59">
            <v>-1.3463712827971874E-2</v>
          </cell>
          <cell r="G59">
            <v>9938820</v>
          </cell>
          <cell r="H59">
            <v>10080630.796059055</v>
          </cell>
          <cell r="I59">
            <v>-141810.79605905525</v>
          </cell>
          <cell r="J59">
            <v>-1.4067651015896243E-2</v>
          </cell>
          <cell r="L59">
            <v>160441.79999999999</v>
          </cell>
          <cell r="M59">
            <v>158279.70000000001</v>
          </cell>
          <cell r="N59">
            <v>2162.0999999999767</v>
          </cell>
          <cell r="O59">
            <v>1.3659995564813343E-2</v>
          </cell>
          <cell r="Q59">
            <v>61947</v>
          </cell>
          <cell r="R59">
            <v>63689</v>
          </cell>
          <cell r="S59">
            <v>-1742</v>
          </cell>
          <cell r="T59">
            <v>-2.7351661982445985E-2</v>
          </cell>
        </row>
        <row r="60">
          <cell r="A60" t="str">
            <v xml:space="preserve">   INDUSTRIAL</v>
          </cell>
          <cell r="B60">
            <v>64474379.549938679</v>
          </cell>
          <cell r="C60">
            <v>65340042.7836238</v>
          </cell>
          <cell r="D60">
            <v>-865663.23368512094</v>
          </cell>
          <cell r="E60">
            <v>-1.3248586881888014E-2</v>
          </cell>
          <cell r="G60">
            <v>3418372.7420064034</v>
          </cell>
          <cell r="H60">
            <v>3410187.298625764</v>
          </cell>
          <cell r="I60">
            <v>8185.4433806394227</v>
          </cell>
          <cell r="J60">
            <v>2.400291439692559E-3</v>
          </cell>
          <cell r="L60">
            <v>2699.9</v>
          </cell>
          <cell r="M60">
            <v>2731.3</v>
          </cell>
          <cell r="N60">
            <v>-31.400000000000091</v>
          </cell>
          <cell r="O60">
            <v>-1.1496357046095307E-2</v>
          </cell>
          <cell r="Q60">
            <v>1266111</v>
          </cell>
          <cell r="R60">
            <v>1248558</v>
          </cell>
          <cell r="S60">
            <v>17553</v>
          </cell>
          <cell r="T60">
            <v>1.4058618021749902E-2</v>
          </cell>
        </row>
        <row r="61">
          <cell r="A61" t="str">
            <v xml:space="preserve">   ST &amp; HIGHWAY</v>
          </cell>
          <cell r="B61">
            <v>349054.49918277276</v>
          </cell>
          <cell r="C61">
            <v>361279.48453226319</v>
          </cell>
          <cell r="D61">
            <v>-12224.985349490424</v>
          </cell>
          <cell r="E61">
            <v>-3.3838028099817841E-2</v>
          </cell>
          <cell r="G61">
            <v>22503.454341660861</v>
          </cell>
          <cell r="H61">
            <v>26629.459398938576</v>
          </cell>
          <cell r="I61">
            <v>-4126.0050572777145</v>
          </cell>
          <cell r="J61">
            <v>-0.15494137509386219</v>
          </cell>
          <cell r="L61">
            <v>1800.6</v>
          </cell>
          <cell r="M61">
            <v>1860.5</v>
          </cell>
          <cell r="N61">
            <v>-59.900000000000091</v>
          </cell>
          <cell r="O61">
            <v>-3.21956463316313E-2</v>
          </cell>
          <cell r="Q61">
            <v>12498</v>
          </cell>
          <cell r="R61">
            <v>14313</v>
          </cell>
          <cell r="S61">
            <v>-1815</v>
          </cell>
          <cell r="T61">
            <v>-0.12680779710752466</v>
          </cell>
        </row>
        <row r="62">
          <cell r="A62" t="str">
            <v xml:space="preserve">   PUBLIC AUTHORITY</v>
          </cell>
          <cell r="B62">
            <v>60877812.702190422</v>
          </cell>
          <cell r="C62">
            <v>59887964.209620476</v>
          </cell>
          <cell r="D62">
            <v>989848.49256994575</v>
          </cell>
          <cell r="E62">
            <v>1.6528337632337298E-2</v>
          </cell>
          <cell r="G62">
            <v>2627968</v>
          </cell>
          <cell r="H62">
            <v>2569167.6120247436</v>
          </cell>
          <cell r="I62">
            <v>58800.387975256424</v>
          </cell>
          <cell r="J62">
            <v>2.2886941163374086E-2</v>
          </cell>
          <cell r="L62">
            <v>20815.7</v>
          </cell>
          <cell r="M62">
            <v>20484</v>
          </cell>
          <cell r="N62">
            <v>331.70000000000073</v>
          </cell>
          <cell r="O62">
            <v>1.6193126342511244E-2</v>
          </cell>
          <cell r="Q62">
            <v>126249</v>
          </cell>
          <cell r="R62">
            <v>125423</v>
          </cell>
          <cell r="S62">
            <v>826</v>
          </cell>
          <cell r="T62">
            <v>6.5857139440135271E-3</v>
          </cell>
        </row>
        <row r="63">
          <cell r="A63" t="str">
            <v xml:space="preserve">    TOTAL RETAIL</v>
          </cell>
          <cell r="B63">
            <v>1113297946.4841988</v>
          </cell>
          <cell r="C63">
            <v>1115885443.6403134</v>
          </cell>
          <cell r="D63">
            <v>-2587497.1561146742</v>
          </cell>
          <cell r="E63">
            <v>-2.3187838598139887E-3</v>
          </cell>
          <cell r="G63">
            <v>33002329.196348067</v>
          </cell>
          <cell r="H63">
            <v>33175299.161839016</v>
          </cell>
          <cell r="I63">
            <v>-172969.96549094524</v>
          </cell>
          <cell r="J63">
            <v>-5.2138178060474605E-3</v>
          </cell>
          <cell r="L63">
            <v>1575093.7</v>
          </cell>
          <cell r="M63">
            <v>1545542.1</v>
          </cell>
          <cell r="N63">
            <v>29551.599999999835</v>
          </cell>
          <cell r="O63">
            <v>1.9120540294567112E-2</v>
          </cell>
          <cell r="Q63">
            <v>20953</v>
          </cell>
          <cell r="R63">
            <v>21465</v>
          </cell>
          <cell r="S63">
            <v>-512</v>
          </cell>
          <cell r="T63">
            <v>-2.3852783601211236E-2</v>
          </cell>
        </row>
        <row r="64">
          <cell r="A64" t="str">
            <v xml:space="preserve">  Provision For Refund</v>
          </cell>
          <cell r="B64">
            <v>-3205291</v>
          </cell>
          <cell r="C64">
            <v>-7032585.7400000002</v>
          </cell>
          <cell r="D64">
            <v>3827294.74</v>
          </cell>
          <cell r="E64">
            <v>-0.54422297594341162</v>
          </cell>
        </row>
        <row r="66">
          <cell r="A66" t="str">
            <v xml:space="preserve">   REA</v>
          </cell>
          <cell r="B66">
            <v>43479116.905499995</v>
          </cell>
          <cell r="C66">
            <v>28960205.8805</v>
          </cell>
          <cell r="D66">
            <v>14518911.024999995</v>
          </cell>
          <cell r="E66">
            <v>0.50134004864848447</v>
          </cell>
          <cell r="G66">
            <v>1455036</v>
          </cell>
          <cell r="H66">
            <v>73207</v>
          </cell>
          <cell r="I66">
            <v>1381829</v>
          </cell>
          <cell r="J66">
            <v>18.875640307620856</v>
          </cell>
          <cell r="L66">
            <v>7.5</v>
          </cell>
          <cell r="M66">
            <v>6</v>
          </cell>
          <cell r="N66">
            <v>1.5</v>
          </cell>
          <cell r="O66">
            <v>0.25</v>
          </cell>
        </row>
        <row r="67">
          <cell r="A67" t="str">
            <v xml:space="preserve">   Oth Whol (w/Ref $ or Interchg MWh)</v>
          </cell>
          <cell r="B67">
            <v>59166759.577000007</v>
          </cell>
          <cell r="C67">
            <v>54839263.756499991</v>
          </cell>
          <cell r="D67">
            <v>4327495.8205000162</v>
          </cell>
          <cell r="E67">
            <v>7.8912361765379968E-2</v>
          </cell>
          <cell r="G67">
            <v>3220783.5159999998</v>
          </cell>
          <cell r="H67">
            <v>4325399.983</v>
          </cell>
          <cell r="I67">
            <v>-1104616.4670000002</v>
          </cell>
          <cell r="J67">
            <v>-0.25537903346313495</v>
          </cell>
          <cell r="L67">
            <v>19.3</v>
          </cell>
          <cell r="M67">
            <v>18.600000000000001</v>
          </cell>
          <cell r="N67">
            <v>0.69999999999999929</v>
          </cell>
          <cell r="O67">
            <v>3.7634408602150504E-2</v>
          </cell>
        </row>
        <row r="69">
          <cell r="A69" t="str">
            <v xml:space="preserve">     TOT WHOL. (Not W/N) </v>
          </cell>
          <cell r="B69">
            <v>102645876.4825</v>
          </cell>
          <cell r="C69">
            <v>83799469.636999995</v>
          </cell>
          <cell r="D69">
            <v>18846406.845500011</v>
          </cell>
          <cell r="E69">
            <v>0.22489887975590173</v>
          </cell>
          <cell r="G69">
            <v>4675819.5159999998</v>
          </cell>
          <cell r="H69">
            <v>4398606.983</v>
          </cell>
          <cell r="I69">
            <v>277212.53299999982</v>
          </cell>
          <cell r="J69">
            <v>6.302280109848124E-2</v>
          </cell>
          <cell r="L69">
            <v>26.8</v>
          </cell>
          <cell r="M69">
            <v>24.6</v>
          </cell>
          <cell r="N69">
            <v>2.1999999999999993</v>
          </cell>
          <cell r="O69">
            <v>8.9430894308943021E-2</v>
          </cell>
        </row>
        <row r="71">
          <cell r="A71" t="str">
            <v xml:space="preserve"> TOTAL SYSTEM</v>
          </cell>
          <cell r="B71">
            <v>1212738531.9666989</v>
          </cell>
          <cell r="C71">
            <v>1192652327.5373135</v>
          </cell>
          <cell r="D71">
            <v>20086204.429385334</v>
          </cell>
          <cell r="E71">
            <v>1.6841625984046038E-2</v>
          </cell>
          <cell r="G71">
            <v>37678148.712348066</v>
          </cell>
          <cell r="H71">
            <v>37573906.144839019</v>
          </cell>
          <cell r="I71">
            <v>104242.56750905458</v>
          </cell>
          <cell r="J71">
            <v>2.7743340579819975E-3</v>
          </cell>
          <cell r="L71">
            <v>1575120.5</v>
          </cell>
          <cell r="M71">
            <v>1545566.7000000002</v>
          </cell>
          <cell r="N71">
            <v>29553.799999999836</v>
          </cell>
          <cell r="O71">
            <v>1.9121659388753542E-2</v>
          </cell>
        </row>
        <row r="72">
          <cell r="A72" t="str">
            <v>Retail Wthr Adjmt (Incl Hurricane Impacts)</v>
          </cell>
          <cell r="B72">
            <v>-10571110.905801296</v>
          </cell>
          <cell r="C72">
            <v>19788686.110313416</v>
          </cell>
          <cell r="D72">
            <v>-30359797.016114712</v>
          </cell>
          <cell r="G72">
            <v>-313169.80365193263</v>
          </cell>
          <cell r="H72">
            <v>623164.16183901206</v>
          </cell>
          <cell r="I72">
            <v>-936333.96549094468</v>
          </cell>
        </row>
        <row r="75">
          <cell r="A75" t="str">
            <v>YEAR TO DATE OCTOBER 2005  -  PERCENTAGE SHARE VARIANCE ANALYSIS BY CLASS</v>
          </cell>
        </row>
        <row r="76">
          <cell r="B76" t="str">
            <v>Revenue  %</v>
          </cell>
          <cell r="G76" t="str">
            <v>Energy  %</v>
          </cell>
          <cell r="L76" t="str">
            <v>Lost Retail MWh</v>
          </cell>
        </row>
        <row r="77">
          <cell r="A77" t="str">
            <v>CLASS OF BUSINESS</v>
          </cell>
          <cell r="B77" t="str">
            <v>WEATHER</v>
          </cell>
          <cell r="C77" t="str">
            <v>CUSTS</v>
          </cell>
          <cell r="D77" t="str">
            <v>MISC</v>
          </cell>
          <cell r="E77" t="str">
            <v>SUM</v>
          </cell>
          <cell r="G77" t="str">
            <v>WEATHER</v>
          </cell>
          <cell r="H77" t="str">
            <v>CUSTS</v>
          </cell>
          <cell r="I77" t="str">
            <v>MISC</v>
          </cell>
          <cell r="J77" t="str">
            <v>SUM</v>
          </cell>
        </row>
        <row r="79">
          <cell r="A79" t="str">
            <v xml:space="preserve">   RESIDENTIAL</v>
          </cell>
          <cell r="B79">
            <v>2.9774990554012115E-2</v>
          </cell>
          <cell r="C79">
            <v>1.9930529341574577E-2</v>
          </cell>
          <cell r="D79">
            <v>-1.8919194953139318E-2</v>
          </cell>
          <cell r="E79">
            <v>1.0113343884352588E-3</v>
          </cell>
          <cell r="G79">
            <v>3.2708779149308476E-2</v>
          </cell>
          <cell r="H79">
            <v>1.9930529341574577E-2</v>
          </cell>
          <cell r="I79">
            <v>-2.5432357086414226E-2</v>
          </cell>
          <cell r="J79">
            <v>-5.5018277448396491E-3</v>
          </cell>
        </row>
        <row r="80">
          <cell r="A80" t="str">
            <v xml:space="preserve">   COMMERCIAL</v>
          </cell>
          <cell r="B80">
            <v>2.6535366420809114E-2</v>
          </cell>
          <cell r="C80">
            <v>1.3659995564813343E-2</v>
          </cell>
          <cell r="D80">
            <v>-2.7123708392785217E-2</v>
          </cell>
          <cell r="E80">
            <v>-1.3463712827971874E-2</v>
          </cell>
          <cell r="G80">
            <v>2.8208123320139111E-2</v>
          </cell>
          <cell r="H80">
            <v>1.3659995564813343E-2</v>
          </cell>
          <cell r="I80">
            <v>-2.7727646580709586E-2</v>
          </cell>
          <cell r="J80">
            <v>-1.4067651015896243E-2</v>
          </cell>
        </row>
        <row r="81">
          <cell r="A81" t="str">
            <v xml:space="preserve">   INDUSTRIAL</v>
          </cell>
          <cell r="B81">
            <v>9.7708867972401414E-3</v>
          </cell>
          <cell r="C81">
            <v>-1.1496357046095307E-2</v>
          </cell>
          <cell r="D81">
            <v>-1.7522298357927069E-3</v>
          </cell>
          <cell r="E81">
            <v>-1.3248586881888014E-2</v>
          </cell>
          <cell r="G81">
            <v>9.7102324216411517E-3</v>
          </cell>
          <cell r="H81">
            <v>-1.1496357046095307E-2</v>
          </cell>
          <cell r="I81">
            <v>1.3896648485787866E-2</v>
          </cell>
          <cell r="J81">
            <v>2.400291439692559E-3</v>
          </cell>
        </row>
        <row r="82">
          <cell r="A82" t="str">
            <v xml:space="preserve">   ST &amp; HIGHWAY</v>
          </cell>
          <cell r="B82">
            <v>9.3579890484251083E-3</v>
          </cell>
          <cell r="C82">
            <v>-3.21956463316313E-2</v>
          </cell>
          <cell r="D82">
            <v>-1.6423817681865405E-3</v>
          </cell>
          <cell r="E82">
            <v>-3.3838028099817841E-2</v>
          </cell>
          <cell r="G82">
            <v>0.12643498831385735</v>
          </cell>
          <cell r="H82">
            <v>-3.21956463316313E-2</v>
          </cell>
          <cell r="I82">
            <v>-0.12274572876223089</v>
          </cell>
          <cell r="J82">
            <v>-0.15494137509386219</v>
          </cell>
        </row>
        <row r="83">
          <cell r="A83" t="str">
            <v xml:space="preserve">   PUBLIC AUTHORITY</v>
          </cell>
          <cell r="B83">
            <v>2.6334784263550848E-2</v>
          </cell>
          <cell r="C83">
            <v>1.6193126342511244E-2</v>
          </cell>
          <cell r="D83">
            <v>3.3521128982605397E-4</v>
          </cell>
          <cell r="E83">
            <v>1.6528337632337298E-2</v>
          </cell>
          <cell r="G83">
            <v>2.7808964420527715E-2</v>
          </cell>
          <cell r="H83">
            <v>1.6193126342511244E-2</v>
          </cell>
          <cell r="I83">
            <v>6.6938148208628423E-3</v>
          </cell>
          <cell r="J83">
            <v>2.2886941163374086E-2</v>
          </cell>
        </row>
        <row r="85">
          <cell r="A85" t="str">
            <v xml:space="preserve">       TOTAL RETAIL</v>
          </cell>
          <cell r="B85">
            <v>2.765623666150252E-2</v>
          </cell>
          <cell r="C85">
            <v>1.9120540294567112E-2</v>
          </cell>
          <cell r="D85">
            <v>-2.1439324154381101E-2</v>
          </cell>
          <cell r="E85">
            <v>-2.3187838598139887E-3</v>
          </cell>
          <cell r="G85">
            <v>2.8664322665405972E-2</v>
          </cell>
          <cell r="H85">
            <v>1.9120540294567112E-2</v>
          </cell>
          <cell r="I85">
            <v>-2.4334358100614573E-2</v>
          </cell>
          <cell r="J85">
            <v>-5.2138178060474605E-3</v>
          </cell>
        </row>
        <row r="87">
          <cell r="A87" t="str">
            <v>YEAR TO DATE OCTOBER 2005     -   DOLLAR VARIANCES BY CLASS   (Work sheet)</v>
          </cell>
        </row>
        <row r="88">
          <cell r="B88" t="str">
            <v>Revenue  -- $</v>
          </cell>
          <cell r="G88" t="str">
            <v>Energy --  MWh</v>
          </cell>
          <cell r="L88" t="str">
            <v>Lost Retail Rev</v>
          </cell>
        </row>
        <row r="89">
          <cell r="A89" t="str">
            <v>CLASS OF BUSINESS</v>
          </cell>
          <cell r="B89" t="str">
            <v>WEATHER</v>
          </cell>
          <cell r="C89" t="str">
            <v>CUSTS</v>
          </cell>
          <cell r="D89" t="str">
            <v>MISC</v>
          </cell>
          <cell r="E89" t="str">
            <v>SUM</v>
          </cell>
          <cell r="G89" t="str">
            <v>WEATHER</v>
          </cell>
          <cell r="H89" t="str">
            <v>CUSTS</v>
          </cell>
          <cell r="I89" t="str">
            <v>MISC</v>
          </cell>
          <cell r="J89" t="str">
            <v>SUM</v>
          </cell>
        </row>
        <row r="91">
          <cell r="A91" t="str">
            <v xml:space="preserve">   RESIDENTIAL</v>
          </cell>
          <cell r="B91">
            <v>21464167.760924101</v>
          </cell>
          <cell r="C91">
            <v>14641291.744790079</v>
          </cell>
          <cell r="D91">
            <v>-13898349.01713598</v>
          </cell>
          <cell r="E91">
            <v>22207110.4885782</v>
          </cell>
          <cell r="G91">
            <v>549642.87546714395</v>
          </cell>
          <cell r="H91">
            <v>340586.51778580539</v>
          </cell>
          <cell r="I91">
            <v>-434605.51351631351</v>
          </cell>
          <cell r="J91">
            <v>455623.87973663583</v>
          </cell>
        </row>
        <row r="92">
          <cell r="A92" t="str">
            <v xml:space="preserve">   COMMERCIAL</v>
          </cell>
          <cell r="B92">
            <v>6722723.2766132057</v>
          </cell>
          <cell r="C92">
            <v>3492585.6991982707</v>
          </cell>
          <cell r="D92">
            <v>-6934985.8565023784</v>
          </cell>
          <cell r="E92">
            <v>3280323.1193090975</v>
          </cell>
          <cell r="G92">
            <v>281600.90923207439</v>
          </cell>
          <cell r="H92">
            <v>137701.37196468763</v>
          </cell>
          <cell r="I92">
            <v>-279512.16802374291</v>
          </cell>
          <cell r="J92">
            <v>139790.11317301908</v>
          </cell>
        </row>
        <row r="93">
          <cell r="A93" t="str">
            <v xml:space="preserve">   INDUSTRIAL</v>
          </cell>
          <cell r="B93">
            <v>640658.17836675048</v>
          </cell>
          <cell r="C93">
            <v>-751172.46124768327</v>
          </cell>
          <cell r="D93">
            <v>-114490.77243743771</v>
          </cell>
          <cell r="E93">
            <v>-225005.05531837052</v>
          </cell>
          <cell r="G93">
            <v>32717.485383564606</v>
          </cell>
          <cell r="H93">
            <v>-39204.730779059631</v>
          </cell>
          <cell r="I93">
            <v>47390.174159699054</v>
          </cell>
          <cell r="J93">
            <v>40902.928764204029</v>
          </cell>
        </row>
        <row r="94">
          <cell r="A94" t="str">
            <v xml:space="preserve">   ST &amp; HIGHWAY</v>
          </cell>
          <cell r="B94">
            <v>3465.6896783393458</v>
          </cell>
          <cell r="C94">
            <v>-11631.626510874803</v>
          </cell>
          <cell r="D94">
            <v>-593.35883861562024</v>
          </cell>
          <cell r="E94">
            <v>-8759.2956711510778</v>
          </cell>
          <cell r="G94">
            <v>3465.6896783393495</v>
          </cell>
          <cell r="H94">
            <v>-857.35265681076112</v>
          </cell>
          <cell r="I94">
            <v>-3268.6524004669532</v>
          </cell>
          <cell r="J94">
            <v>-660.31537893836457</v>
          </cell>
        </row>
        <row r="95">
          <cell r="A95" t="str">
            <v xml:space="preserve">   PUBLIC AUTHORITY</v>
          </cell>
          <cell r="B95">
            <v>1528782.1105322614</v>
          </cell>
          <cell r="C95">
            <v>969773.37084218208</v>
          </cell>
          <cell r="D95">
            <v>20075.12172776357</v>
          </cell>
          <cell r="E95">
            <v>2518630.6031022072</v>
          </cell>
          <cell r="G95">
            <v>68907.005729823373</v>
          </cell>
          <cell r="H95">
            <v>41602.855736604455</v>
          </cell>
          <cell r="I95">
            <v>17197.532238651973</v>
          </cell>
          <cell r="J95">
            <v>127707.3937050798</v>
          </cell>
        </row>
        <row r="96">
          <cell r="A96" t="str">
            <v xml:space="preserve">    TOTAL RETAIL   (Pre Tax)</v>
          </cell>
          <cell r="B96">
            <v>30359797.01611466</v>
          </cell>
          <cell r="C96">
            <v>18340846.727071974</v>
          </cell>
          <cell r="D96">
            <v>-20928343.883186646</v>
          </cell>
          <cell r="E96">
            <v>27772299.859999985</v>
          </cell>
          <cell r="G96">
            <v>936333.96549094573</v>
          </cell>
          <cell r="H96">
            <v>479828.66205122706</v>
          </cell>
          <cell r="I96">
            <v>-652798.62754217233</v>
          </cell>
          <cell r="J96">
            <v>763364.00000000047</v>
          </cell>
        </row>
        <row r="97">
          <cell r="A97" t="str">
            <v xml:space="preserve">           Provision For Refund</v>
          </cell>
          <cell r="B97">
            <v>30359797.016114742</v>
          </cell>
          <cell r="C97">
            <v>17747825.127578512</v>
          </cell>
          <cell r="D97">
            <v>3827294.74</v>
          </cell>
          <cell r="E97">
            <v>3827294.74</v>
          </cell>
        </row>
        <row r="98">
          <cell r="A98" t="str">
            <v>Variance with Prov for Refund</v>
          </cell>
          <cell r="D98">
            <v>-17101049.143186644</v>
          </cell>
          <cell r="E98">
            <v>31599594.599999987</v>
          </cell>
        </row>
        <row r="99">
          <cell r="A99" t="str">
            <v>Notes (Retail):</v>
          </cell>
          <cell r="B99" t="str">
            <v>YTD OCT base revenue variance from prior YTD is a favorable +$27.8 mill (+2.5%) pre refund.  Warmer weather conditions as well as last year's Hurricane losses pushed the weather-related variance to a favorable +$30.4 mill.  Customer growth continues to im</v>
          </cell>
        </row>
        <row r="101">
          <cell r="A101" t="str">
            <v>YEAR TO DATE OCTOBER  2005   VS.  BUDGET</v>
          </cell>
        </row>
        <row r="102">
          <cell r="A102" t="str">
            <v>REVENUES - SALES - CUSTOMERS - USE PER CUSTOMER</v>
          </cell>
        </row>
        <row r="104">
          <cell r="B104" t="str">
            <v>TOTAL BASE REVENUES $</v>
          </cell>
          <cell r="G104" t="str">
            <v>REPORTED</v>
          </cell>
          <cell r="L104" t="str">
            <v>NUMBER OF CUSTOMERS</v>
          </cell>
        </row>
        <row r="105">
          <cell r="B105" t="str">
            <v>BILLED &amp; ALLOCATED UNBILLED</v>
          </cell>
          <cell r="G105" t="str">
            <v>BILLED &amp; ALLOCATED UNBILLED MWH SALES</v>
          </cell>
          <cell r="L105" t="str">
            <v>Adj. for Event-Driven Billing</v>
          </cell>
          <cell r="Q105" t="str">
            <v>KWH SALES PER CUSTOMER</v>
          </cell>
        </row>
        <row r="107">
          <cell r="A107" t="str">
            <v>CLASS OF BUSINESS</v>
          </cell>
          <cell r="B107" t="str">
            <v>YTD'05 Actual</v>
          </cell>
          <cell r="C107" t="str">
            <v>FORECAST</v>
          </cell>
          <cell r="D107" t="str">
            <v>DIFF</v>
          </cell>
          <cell r="E107" t="str">
            <v>% DIFF</v>
          </cell>
          <cell r="G107" t="str">
            <v>YTD'05 Actual</v>
          </cell>
          <cell r="H107" t="str">
            <v>FORECAST</v>
          </cell>
          <cell r="I107" t="str">
            <v>DIFF</v>
          </cell>
          <cell r="J107" t="str">
            <v>% DIFF</v>
          </cell>
          <cell r="L107" t="str">
            <v>YTD'05 Actual</v>
          </cell>
          <cell r="M107" t="str">
            <v>FORECAST</v>
          </cell>
          <cell r="N107" t="str">
            <v>DIFF</v>
          </cell>
          <cell r="O107" t="str">
            <v>% DIFF</v>
          </cell>
          <cell r="Q107" t="str">
            <v>YTD'05 Actual</v>
          </cell>
          <cell r="R107" t="str">
            <v>FORECAST</v>
          </cell>
          <cell r="S107" t="str">
            <v>DIFF</v>
          </cell>
          <cell r="T107" t="str">
            <v>% DIFF</v>
          </cell>
        </row>
        <row r="109">
          <cell r="A109" t="str">
            <v xml:space="preserve">   RESIDENTIAL</v>
          </cell>
          <cell r="B109">
            <v>743537458.62505555</v>
          </cell>
          <cell r="C109">
            <v>750521218</v>
          </cell>
          <cell r="D109">
            <v>-6983759.3749444485</v>
          </cell>
          <cell r="E109">
            <v>-9.3052124409684911E-3</v>
          </cell>
          <cell r="G109">
            <v>17202221.944442913</v>
          </cell>
          <cell r="H109">
            <v>17352603</v>
          </cell>
          <cell r="I109">
            <v>-150381.05555708706</v>
          </cell>
          <cell r="J109">
            <v>-8.6661958184075516E-3</v>
          </cell>
          <cell r="L109">
            <v>1389335.7</v>
          </cell>
          <cell r="M109">
            <v>1385347.0649800713</v>
          </cell>
          <cell r="N109">
            <v>3988.6350199286826</v>
          </cell>
          <cell r="O109">
            <v>2.8791593967725237E-3</v>
          </cell>
          <cell r="Q109">
            <v>12382</v>
          </cell>
          <cell r="R109">
            <v>12526</v>
          </cell>
          <cell r="S109">
            <v>-144</v>
          </cell>
          <cell r="T109">
            <v>-1.1496088136675686E-2</v>
          </cell>
        </row>
        <row r="110">
          <cell r="A110" t="str">
            <v xml:space="preserve">   COMMERCIAL</v>
          </cell>
          <cell r="B110">
            <v>254229684.34676567</v>
          </cell>
          <cell r="C110">
            <v>267223134</v>
          </cell>
          <cell r="D110">
            <v>-12993449.653234333</v>
          </cell>
          <cell r="E110">
            <v>-4.8623970008653261E-2</v>
          </cell>
          <cell r="G110">
            <v>10025606.524770167</v>
          </cell>
          <cell r="H110">
            <v>10571459</v>
          </cell>
          <cell r="I110">
            <v>-545852.47522983328</v>
          </cell>
          <cell r="J110">
            <v>-5.1634544979064168E-2</v>
          </cell>
          <cell r="L110">
            <v>160441.79999999999</v>
          </cell>
          <cell r="M110">
            <v>160880.12358958909</v>
          </cell>
          <cell r="N110">
            <v>-438.32358958909754</v>
          </cell>
          <cell r="O110">
            <v>-2.7245353857837662E-3</v>
          </cell>
          <cell r="Q110">
            <v>62487</v>
          </cell>
          <cell r="R110">
            <v>65710</v>
          </cell>
          <cell r="S110">
            <v>-3223</v>
          </cell>
          <cell r="T110">
            <v>-4.9048851012022499E-2</v>
          </cell>
        </row>
        <row r="111">
          <cell r="A111" t="str">
            <v xml:space="preserve">   INDUSTRIAL</v>
          </cell>
          <cell r="B111">
            <v>64474379.549938679</v>
          </cell>
          <cell r="C111">
            <v>69309153</v>
          </cell>
          <cell r="D111">
            <v>-4834773.4500613213</v>
          </cell>
          <cell r="E111">
            <v>-6.9756637338524663E-2</v>
          </cell>
          <cell r="G111">
            <v>3418372.7420064034</v>
          </cell>
          <cell r="H111">
            <v>3655185</v>
          </cell>
          <cell r="I111">
            <v>-236812.25799359661</v>
          </cell>
          <cell r="J111">
            <v>-6.4788036171519847E-2</v>
          </cell>
          <cell r="L111">
            <v>2699.9</v>
          </cell>
          <cell r="M111">
            <v>2813</v>
          </cell>
          <cell r="N111">
            <v>-113.09999999999991</v>
          </cell>
          <cell r="O111">
            <v>-4.0206185567010277E-2</v>
          </cell>
          <cell r="Q111">
            <v>1266111</v>
          </cell>
          <cell r="R111">
            <v>1299390</v>
          </cell>
          <cell r="S111">
            <v>-33279</v>
          </cell>
          <cell r="T111">
            <v>-2.5611248354997396E-2</v>
          </cell>
        </row>
        <row r="112">
          <cell r="A112" t="str">
            <v xml:space="preserve">   ST &amp; HIGHWAY</v>
          </cell>
          <cell r="B112">
            <v>349054.49918277276</v>
          </cell>
          <cell r="C112">
            <v>357107</v>
          </cell>
          <cell r="D112">
            <v>-8052.5008172272355</v>
          </cell>
          <cell r="E112">
            <v>-2.2549266234566212E-2</v>
          </cell>
          <cell r="G112">
            <v>22503.454341660861</v>
          </cell>
          <cell r="H112">
            <v>23144</v>
          </cell>
          <cell r="I112">
            <v>-640.54565833913875</v>
          </cell>
          <cell r="J112">
            <v>-2.7676532074798588E-2</v>
          </cell>
          <cell r="L112">
            <v>1800.6</v>
          </cell>
          <cell r="M112">
            <v>1850</v>
          </cell>
          <cell r="N112">
            <v>-49.400000000000091</v>
          </cell>
          <cell r="O112">
            <v>-2.6702702702702696E-2</v>
          </cell>
          <cell r="Q112">
            <v>12498</v>
          </cell>
          <cell r="R112">
            <v>12510</v>
          </cell>
          <cell r="S112">
            <v>-12</v>
          </cell>
          <cell r="T112">
            <v>-9.5923261390884473E-4</v>
          </cell>
        </row>
        <row r="113">
          <cell r="A113" t="str">
            <v xml:space="preserve">   PUBLIC AUTHORITY</v>
          </cell>
          <cell r="B113">
            <v>61278480.369057335</v>
          </cell>
          <cell r="C113">
            <v>63912633</v>
          </cell>
          <cell r="D113">
            <v>-2634152.630942665</v>
          </cell>
          <cell r="E113">
            <v>-4.1214897701721376E-2</v>
          </cell>
          <cell r="G113">
            <v>2646794.3344388586</v>
          </cell>
          <cell r="H113">
            <v>2742299</v>
          </cell>
          <cell r="I113">
            <v>-95504.665561141446</v>
          </cell>
          <cell r="J113">
            <v>-3.4826496148356312E-2</v>
          </cell>
          <cell r="L113">
            <v>20815.7</v>
          </cell>
          <cell r="M113">
            <v>20999.9</v>
          </cell>
          <cell r="N113">
            <v>-184.20000000000073</v>
          </cell>
          <cell r="O113">
            <v>-8.7714703403349858E-3</v>
          </cell>
          <cell r="Q113">
            <v>127154</v>
          </cell>
          <cell r="R113">
            <v>130586</v>
          </cell>
          <cell r="S113">
            <v>-3432</v>
          </cell>
          <cell r="T113">
            <v>-2.628153094512431E-2</v>
          </cell>
        </row>
        <row r="114">
          <cell r="A114" t="str">
            <v xml:space="preserve">    TOTAL RETAIL</v>
          </cell>
          <cell r="B114">
            <v>1123869057.3900001</v>
          </cell>
          <cell r="C114">
            <v>1151323245</v>
          </cell>
          <cell r="D114">
            <v>-27454187.609999996</v>
          </cell>
          <cell r="E114">
            <v>-2.3845768535664225E-2</v>
          </cell>
          <cell r="G114">
            <v>33315499</v>
          </cell>
          <cell r="H114">
            <v>34344690</v>
          </cell>
          <cell r="I114">
            <v>-1029190.9999999976</v>
          </cell>
          <cell r="J114">
            <v>-2.9966524665093752E-2</v>
          </cell>
          <cell r="L114">
            <v>1575093.7</v>
          </cell>
          <cell r="M114">
            <v>1571890.0885696602</v>
          </cell>
          <cell r="N114">
            <v>3203.6114303395843</v>
          </cell>
          <cell r="O114">
            <v>2.0380632549537037E-3</v>
          </cell>
          <cell r="Q114">
            <v>21151</v>
          </cell>
          <cell r="R114">
            <v>21849</v>
          </cell>
          <cell r="S114">
            <v>-698</v>
          </cell>
          <cell r="T114">
            <v>-3.1946542175843251E-2</v>
          </cell>
        </row>
        <row r="115">
          <cell r="A115" t="str">
            <v xml:space="preserve">  Provision For Refund</v>
          </cell>
          <cell r="B115">
            <v>-3205291</v>
          </cell>
          <cell r="C115">
            <v>-16315968</v>
          </cell>
          <cell r="D115">
            <v>13110677</v>
          </cell>
          <cell r="E115">
            <v>-0.80354883020118695</v>
          </cell>
        </row>
        <row r="117">
          <cell r="A117" t="str">
            <v xml:space="preserve">   REA</v>
          </cell>
          <cell r="B117">
            <v>43479116.905499995</v>
          </cell>
          <cell r="C117">
            <v>38127637.962469995</v>
          </cell>
          <cell r="D117">
            <v>5351478.9430299997</v>
          </cell>
          <cell r="E117">
            <v>0.1403569491584451</v>
          </cell>
          <cell r="G117">
            <v>1345356.068</v>
          </cell>
          <cell r="H117">
            <v>1302477</v>
          </cell>
          <cell r="I117">
            <v>42879.06799999997</v>
          </cell>
          <cell r="J117">
            <v>3.2921170968853941E-2</v>
          </cell>
          <cell r="L117">
            <v>7.5</v>
          </cell>
          <cell r="M117">
            <v>5</v>
          </cell>
          <cell r="N117">
            <v>2.5</v>
          </cell>
          <cell r="O117">
            <v>0.5</v>
          </cell>
        </row>
        <row r="118">
          <cell r="A118" t="str">
            <v xml:space="preserve">   Oth Whol (w/Ref $ or Interchg MWh)</v>
          </cell>
          <cell r="B118">
            <v>59166759.577000007</v>
          </cell>
          <cell r="C118">
            <v>50102274</v>
          </cell>
          <cell r="D118">
            <v>9064485.577000007</v>
          </cell>
          <cell r="E118">
            <v>0.18091964402653682</v>
          </cell>
          <cell r="G118">
            <v>3251990.4479999999</v>
          </cell>
          <cell r="H118">
            <v>3427781</v>
          </cell>
          <cell r="I118">
            <v>-175790.55200000014</v>
          </cell>
          <cell r="J118">
            <v>-5.1284067447716186E-2</v>
          </cell>
          <cell r="L118">
            <v>19.3</v>
          </cell>
          <cell r="M118">
            <v>18.5</v>
          </cell>
          <cell r="N118">
            <v>0.80000000000000071</v>
          </cell>
          <cell r="O118">
            <v>4.3243243243243246E-2</v>
          </cell>
        </row>
        <row r="120">
          <cell r="A120" t="str">
            <v xml:space="preserve">      WHOLESALE (Not W/N) </v>
          </cell>
          <cell r="B120">
            <v>102645876.4825</v>
          </cell>
          <cell r="C120">
            <v>88229911.962469995</v>
          </cell>
          <cell r="D120">
            <v>14415964.520030007</v>
          </cell>
          <cell r="E120">
            <v>0.16339089770555448</v>
          </cell>
          <cell r="G120">
            <v>4675819.5159999998</v>
          </cell>
          <cell r="H120">
            <v>4730258</v>
          </cell>
          <cell r="I120">
            <v>-54438.484000000171</v>
          </cell>
          <cell r="J120">
            <v>-1.1508565494736223E-2</v>
          </cell>
          <cell r="L120">
            <v>26.8</v>
          </cell>
          <cell r="M120">
            <v>23.5</v>
          </cell>
          <cell r="N120">
            <v>3.3000000000000007</v>
          </cell>
          <cell r="O120">
            <v>0.14042553191489371</v>
          </cell>
        </row>
        <row r="122">
          <cell r="A122" t="str">
            <v xml:space="preserve"> TOTAL SYSTEM</v>
          </cell>
          <cell r="B122">
            <v>1223309642.8725002</v>
          </cell>
          <cell r="C122">
            <v>1223237188.9624701</v>
          </cell>
          <cell r="D122">
            <v>72453.910030011088</v>
          </cell>
          <cell r="E122">
            <v>5.9231284565086639E-5</v>
          </cell>
          <cell r="G122">
            <v>37991318.516000003</v>
          </cell>
          <cell r="H122">
            <v>39074948</v>
          </cell>
          <cell r="I122">
            <v>-1083629.4839999974</v>
          </cell>
          <cell r="J122">
            <v>-2.7732077442559788E-2</v>
          </cell>
          <cell r="K122" t="str">
            <v xml:space="preserve"> </v>
          </cell>
          <cell r="L122">
            <v>1575120.5</v>
          </cell>
          <cell r="M122">
            <v>1571913.5885696602</v>
          </cell>
          <cell r="N122">
            <v>3206.9114303395845</v>
          </cell>
          <cell r="O122">
            <v>2.040132138088957E-3</v>
          </cell>
        </row>
        <row r="126">
          <cell r="B126" t="str">
            <v>WEATHER NORMALIZED</v>
          </cell>
          <cell r="G126" t="str">
            <v>WEATHER NORMALIZED</v>
          </cell>
          <cell r="L126" t="str">
            <v>NUMBER OF CUSTOMERS</v>
          </cell>
          <cell r="Q126" t="str">
            <v>WEATHER &amp; CUSTOMER NORMALIZED</v>
          </cell>
        </row>
        <row r="127">
          <cell r="B127" t="str">
            <v>BILLED &amp; UNBILLED BASE REVENUES</v>
          </cell>
          <cell r="G127" t="str">
            <v>BILLED &amp; UNBILLED MWH SALES</v>
          </cell>
          <cell r="L127" t="str">
            <v>Adj. for Event-Driven Billing</v>
          </cell>
          <cell r="Q127" t="str">
            <v>KWH SALES PER CUSTOMER</v>
          </cell>
        </row>
        <row r="129">
          <cell r="A129" t="str">
            <v>CLASS OF BUSINESS</v>
          </cell>
          <cell r="B129" t="str">
            <v>YTD'05 Actual</v>
          </cell>
          <cell r="C129" t="str">
            <v>FORECAST</v>
          </cell>
          <cell r="D129" t="str">
            <v>DIFF</v>
          </cell>
          <cell r="E129" t="str">
            <v>% DIFF</v>
          </cell>
          <cell r="G129" t="str">
            <v>YTD'05 Actual</v>
          </cell>
          <cell r="H129" t="str">
            <v>FORECAST</v>
          </cell>
          <cell r="I129" t="str">
            <v>DIFF</v>
          </cell>
          <cell r="J129" t="str">
            <v>% DIFF</v>
          </cell>
          <cell r="L129" t="str">
            <v>YTD'05 Actual</v>
          </cell>
          <cell r="M129" t="str">
            <v>FORECAST</v>
          </cell>
          <cell r="N129" t="str">
            <v>DIFF</v>
          </cell>
          <cell r="O129" t="str">
            <v>% DIFF</v>
          </cell>
          <cell r="Q129" t="str">
            <v>YTD'05 Actual</v>
          </cell>
          <cell r="R129" t="str">
            <v>FORECAST</v>
          </cell>
          <cell r="S129" t="str">
            <v>DIFF</v>
          </cell>
          <cell r="T129" t="str">
            <v>% DIFF</v>
          </cell>
        </row>
        <row r="131">
          <cell r="A131" t="str">
            <v xml:space="preserve">   RESIDENTIAL</v>
          </cell>
          <cell r="B131">
            <v>735359243.87363398</v>
          </cell>
          <cell r="C131">
            <v>750521218</v>
          </cell>
          <cell r="D131">
            <v>-15161974.126366019</v>
          </cell>
          <cell r="E131">
            <v>-2.020192602518267E-2</v>
          </cell>
          <cell r="G131">
            <v>16994665.000000004</v>
          </cell>
          <cell r="H131">
            <v>17352603</v>
          </cell>
          <cell r="I131">
            <v>-357937.99999999627</v>
          </cell>
          <cell r="J131">
            <v>-2.062733758157187E-2</v>
          </cell>
          <cell r="L131">
            <v>1389335.7</v>
          </cell>
          <cell r="M131">
            <v>1385347.0649800713</v>
          </cell>
          <cell r="N131">
            <v>3988.6350199286826</v>
          </cell>
          <cell r="O131">
            <v>2.8791593967725237E-3</v>
          </cell>
          <cell r="Q131">
            <v>12232</v>
          </cell>
          <cell r="R131">
            <v>12526</v>
          </cell>
          <cell r="S131">
            <v>-294</v>
          </cell>
          <cell r="T131">
            <v>-2.3471179945712906E-2</v>
          </cell>
        </row>
        <row r="132">
          <cell r="A132" t="str">
            <v xml:space="preserve">   COMMERCIAL</v>
          </cell>
          <cell r="B132">
            <v>252237455.85925281</v>
          </cell>
          <cell r="C132">
            <v>267223134</v>
          </cell>
          <cell r="D132">
            <v>-14985678.14074719</v>
          </cell>
          <cell r="E132">
            <v>-5.6079269472033011E-2</v>
          </cell>
          <cell r="G132">
            <v>9938820</v>
          </cell>
          <cell r="H132">
            <v>10571459</v>
          </cell>
          <cell r="I132">
            <v>-632639</v>
          </cell>
          <cell r="J132">
            <v>-5.9844057475888612E-2</v>
          </cell>
          <cell r="L132">
            <v>160441.79999999999</v>
          </cell>
          <cell r="M132">
            <v>160880.12358958909</v>
          </cell>
          <cell r="N132">
            <v>-438.32358958909754</v>
          </cell>
          <cell r="O132">
            <v>-2.7245353857837662E-3</v>
          </cell>
          <cell r="Q132">
            <v>61947</v>
          </cell>
          <cell r="R132">
            <v>65710</v>
          </cell>
          <cell r="S132">
            <v>-3763</v>
          </cell>
          <cell r="T132">
            <v>-5.7266778268147966E-2</v>
          </cell>
        </row>
        <row r="133">
          <cell r="A133" t="str">
            <v xml:space="preserve">   INDUSTRIAL</v>
          </cell>
          <cell r="B133">
            <v>64474379.549938679</v>
          </cell>
          <cell r="C133">
            <v>69309153</v>
          </cell>
          <cell r="D133">
            <v>-4834773.4500613213</v>
          </cell>
          <cell r="E133">
            <v>-6.9756637338524663E-2</v>
          </cell>
          <cell r="G133">
            <v>3418372.7420064034</v>
          </cell>
          <cell r="H133">
            <v>3655185</v>
          </cell>
          <cell r="I133">
            <v>-236812.25799359661</v>
          </cell>
          <cell r="J133">
            <v>-6.4788036171519847E-2</v>
          </cell>
          <cell r="L133">
            <v>2699.9</v>
          </cell>
          <cell r="M133">
            <v>2813</v>
          </cell>
          <cell r="N133">
            <v>-113.09999999999991</v>
          </cell>
          <cell r="O133">
            <v>-4.0206185567010277E-2</v>
          </cell>
          <cell r="Q133">
            <v>1266111</v>
          </cell>
          <cell r="R133">
            <v>1299390</v>
          </cell>
          <cell r="S133">
            <v>-33279</v>
          </cell>
          <cell r="T133">
            <v>-2.5611248354997396E-2</v>
          </cell>
        </row>
        <row r="134">
          <cell r="A134" t="str">
            <v xml:space="preserve">   ST &amp; HIGHWAY</v>
          </cell>
          <cell r="B134">
            <v>349054.49918277276</v>
          </cell>
          <cell r="C134">
            <v>357107</v>
          </cell>
          <cell r="D134">
            <v>-8052.5008172272355</v>
          </cell>
          <cell r="E134">
            <v>-2.2549266234566212E-2</v>
          </cell>
          <cell r="G134">
            <v>22503.454341660861</v>
          </cell>
          <cell r="H134">
            <v>23144</v>
          </cell>
          <cell r="I134">
            <v>-640.54565833913875</v>
          </cell>
          <cell r="J134">
            <v>-2.7676532074798588E-2</v>
          </cell>
          <cell r="L134">
            <v>1800.6</v>
          </cell>
          <cell r="M134">
            <v>1850</v>
          </cell>
          <cell r="N134">
            <v>-49.400000000000091</v>
          </cell>
          <cell r="O134">
            <v>-2.6702702702702696E-2</v>
          </cell>
          <cell r="Q134">
            <v>12498</v>
          </cell>
          <cell r="R134">
            <v>12510</v>
          </cell>
          <cell r="S134">
            <v>-12</v>
          </cell>
          <cell r="T134">
            <v>-9.5923261390884473E-4</v>
          </cell>
        </row>
        <row r="135">
          <cell r="A135" t="str">
            <v xml:space="preserve">   PUBLIC AUTHORITY</v>
          </cell>
          <cell r="B135">
            <v>60877812.702190422</v>
          </cell>
          <cell r="C135">
            <v>63912633</v>
          </cell>
          <cell r="D135">
            <v>-3034820.2978095785</v>
          </cell>
          <cell r="E135">
            <v>-4.7483887853745244E-2</v>
          </cell>
          <cell r="G135">
            <v>2627968</v>
          </cell>
          <cell r="H135">
            <v>2742299</v>
          </cell>
          <cell r="I135">
            <v>-114331</v>
          </cell>
          <cell r="J135">
            <v>-4.1691660902038796E-2</v>
          </cell>
          <cell r="L135">
            <v>20815.7</v>
          </cell>
          <cell r="M135">
            <v>20999.9</v>
          </cell>
          <cell r="N135">
            <v>-184.20000000000073</v>
          </cell>
          <cell r="O135">
            <v>-8.7714703403349858E-3</v>
          </cell>
          <cell r="Q135">
            <v>126249</v>
          </cell>
          <cell r="R135">
            <v>130586</v>
          </cell>
          <cell r="S135">
            <v>-4337</v>
          </cell>
          <cell r="T135">
            <v>-3.3211829752040845E-2</v>
          </cell>
        </row>
        <row r="136">
          <cell r="A136" t="str">
            <v xml:space="preserve">    TOTAL RETAIL</v>
          </cell>
          <cell r="B136">
            <v>1113297946.4841988</v>
          </cell>
          <cell r="C136">
            <v>1151323245</v>
          </cell>
          <cell r="D136">
            <v>-38025298.515801333</v>
          </cell>
          <cell r="E136">
            <v>-3.3027473979126643E-2</v>
          </cell>
          <cell r="G136">
            <v>33002329.196348067</v>
          </cell>
          <cell r="H136">
            <v>34344690</v>
          </cell>
          <cell r="I136">
            <v>-1342360.8036519319</v>
          </cell>
          <cell r="J136">
            <v>-3.9084959091257865E-2</v>
          </cell>
          <cell r="L136">
            <v>1575093.7</v>
          </cell>
          <cell r="M136">
            <v>1571890.0885696602</v>
          </cell>
          <cell r="N136">
            <v>3203.6114303395843</v>
          </cell>
          <cell r="O136">
            <v>2.0380632549537037E-3</v>
          </cell>
          <cell r="Q136">
            <v>20953</v>
          </cell>
          <cell r="R136">
            <v>21849</v>
          </cell>
          <cell r="S136">
            <v>-896</v>
          </cell>
          <cell r="T136">
            <v>-4.1008741818847505E-2</v>
          </cell>
        </row>
        <row r="137">
          <cell r="A137" t="str">
            <v xml:space="preserve">  Provision For Refund</v>
          </cell>
          <cell r="B137">
            <v>-3205291</v>
          </cell>
          <cell r="C137">
            <v>-16315968</v>
          </cell>
          <cell r="D137">
            <v>13110677</v>
          </cell>
          <cell r="E137">
            <v>-0.80354883020118695</v>
          </cell>
        </row>
        <row r="139">
          <cell r="A139" t="str">
            <v xml:space="preserve">   REA</v>
          </cell>
          <cell r="B139">
            <v>43479116.905499995</v>
          </cell>
          <cell r="C139">
            <v>38127637.962469995</v>
          </cell>
          <cell r="D139">
            <v>5351478.9430299997</v>
          </cell>
          <cell r="E139">
            <v>0.1403569491584451</v>
          </cell>
          <cell r="G139">
            <v>1345356.068</v>
          </cell>
          <cell r="H139">
            <v>1302477</v>
          </cell>
          <cell r="I139">
            <v>42879.06799999997</v>
          </cell>
          <cell r="J139">
            <v>3.2921170968853941E-2</v>
          </cell>
          <cell r="L139">
            <v>7.5</v>
          </cell>
          <cell r="M139">
            <v>5</v>
          </cell>
          <cell r="N139">
            <v>2.5</v>
          </cell>
          <cell r="O139">
            <v>0.5</v>
          </cell>
        </row>
        <row r="140">
          <cell r="A140" t="str">
            <v xml:space="preserve">   Oth Whol (w/Ref $ or Interchg MWh)</v>
          </cell>
          <cell r="B140">
            <v>59166759.577000007</v>
          </cell>
          <cell r="C140">
            <v>50102274</v>
          </cell>
          <cell r="D140">
            <v>9064485.577000007</v>
          </cell>
          <cell r="E140">
            <v>0.18091964402653682</v>
          </cell>
          <cell r="G140">
            <v>3251990.4479999999</v>
          </cell>
          <cell r="H140">
            <v>3427781</v>
          </cell>
          <cell r="I140">
            <v>-175790.55200000014</v>
          </cell>
          <cell r="J140">
            <v>-5.1284067447716186E-2</v>
          </cell>
          <cell r="L140">
            <v>19.3</v>
          </cell>
          <cell r="M140">
            <v>18.5</v>
          </cell>
          <cell r="N140">
            <v>0.80000000000000071</v>
          </cell>
          <cell r="O140">
            <v>4.3243243243243246E-2</v>
          </cell>
        </row>
        <row r="142">
          <cell r="A142" t="str">
            <v xml:space="preserve">      WHOLESALE (Not W/N) </v>
          </cell>
          <cell r="B142">
            <v>102645876.4825</v>
          </cell>
          <cell r="C142">
            <v>88229911.962469995</v>
          </cell>
          <cell r="D142">
            <v>14415964.520030007</v>
          </cell>
          <cell r="E142">
            <v>0.16339089770555448</v>
          </cell>
          <cell r="G142">
            <v>4675819.5159999998</v>
          </cell>
          <cell r="H142">
            <v>4730258</v>
          </cell>
          <cell r="I142">
            <v>-54438.484000000171</v>
          </cell>
          <cell r="J142">
            <v>-1.1508565494736223E-2</v>
          </cell>
          <cell r="L142">
            <v>26.8</v>
          </cell>
          <cell r="M142">
            <v>23.5</v>
          </cell>
          <cell r="N142">
            <v>3.3000000000000007</v>
          </cell>
          <cell r="O142">
            <v>0.14042553191489371</v>
          </cell>
        </row>
        <row r="144">
          <cell r="A144" t="str">
            <v xml:space="preserve"> TOTAL SYSTEM</v>
          </cell>
          <cell r="B144">
            <v>1212738531.9666989</v>
          </cell>
          <cell r="C144">
            <v>1223237188.9624701</v>
          </cell>
          <cell r="D144">
            <v>-10498656.995771326</v>
          </cell>
          <cell r="E144">
            <v>-8.5826829747351896E-3</v>
          </cell>
          <cell r="G144">
            <v>37678148.712348066</v>
          </cell>
          <cell r="H144">
            <v>39074948</v>
          </cell>
          <cell r="I144">
            <v>-1396799.2876519321</v>
          </cell>
          <cell r="J144">
            <v>-3.5746670415324311E-2</v>
          </cell>
          <cell r="L144">
            <v>1575120.5</v>
          </cell>
          <cell r="M144">
            <v>1571913.5885696602</v>
          </cell>
          <cell r="N144">
            <v>3206.9114303395845</v>
          </cell>
          <cell r="O144">
            <v>2.040132138088957E-3</v>
          </cell>
        </row>
        <row r="147">
          <cell r="A147" t="str">
            <v>REVENUES - SALES - CUSTOMERS - USE PER CUSTOMER   -  PERCENT VARIANCES BY CLASS   (Work sheet)</v>
          </cell>
        </row>
        <row r="148">
          <cell r="B148" t="str">
            <v>Revenue  %</v>
          </cell>
          <cell r="G148" t="str">
            <v>Energy  %</v>
          </cell>
          <cell r="L148" t="str">
            <v>Lost Retail MWh</v>
          </cell>
        </row>
        <row r="149">
          <cell r="A149" t="str">
            <v>CLASS OF BUSINESS</v>
          </cell>
          <cell r="B149" t="str">
            <v>WEATHER</v>
          </cell>
          <cell r="C149" t="str">
            <v>CUSTS</v>
          </cell>
          <cell r="D149" t="str">
            <v>MISC</v>
          </cell>
          <cell r="E149" t="str">
            <v>SUM</v>
          </cell>
          <cell r="G149" t="str">
            <v>WEATHER</v>
          </cell>
          <cell r="H149" t="str">
            <v>CUSTS</v>
          </cell>
          <cell r="I149" t="str">
            <v>MISC</v>
          </cell>
          <cell r="J149" t="str">
            <v>SUM</v>
          </cell>
        </row>
        <row r="151">
          <cell r="A151" t="str">
            <v xml:space="preserve">   RESIDENTIAL</v>
          </cell>
          <cell r="B151">
            <v>1.0896713584214179E-2</v>
          </cell>
          <cell r="C151">
            <v>2.8791593967725237E-3</v>
          </cell>
          <cell r="D151">
            <v>-2.3081085421955194E-2</v>
          </cell>
          <cell r="E151">
            <v>-2.020192602518267E-2</v>
          </cell>
          <cell r="G151">
            <v>1.1961141763164318E-2</v>
          </cell>
          <cell r="H151">
            <v>2.8791593967725237E-3</v>
          </cell>
          <cell r="I151">
            <v>-2.3506496978344393E-2</v>
          </cell>
          <cell r="J151">
            <v>-2.062733758157187E-2</v>
          </cell>
        </row>
        <row r="152">
          <cell r="A152" t="str">
            <v xml:space="preserve">   COMMERCIAL</v>
          </cell>
          <cell r="B152">
            <v>7.4552994633797498E-3</v>
          </cell>
          <cell r="C152">
            <v>-2.7245353857837662E-3</v>
          </cell>
          <cell r="D152">
            <v>-5.3354734086249245E-2</v>
          </cell>
          <cell r="E152">
            <v>-5.6079269472033011E-2</v>
          </cell>
          <cell r="G152">
            <v>8.2095124968244448E-3</v>
          </cell>
          <cell r="H152">
            <v>-2.7245353857837662E-3</v>
          </cell>
          <cell r="I152">
            <v>-5.7119522090104846E-2</v>
          </cell>
          <cell r="J152">
            <v>-5.9844057475888612E-2</v>
          </cell>
        </row>
        <row r="153">
          <cell r="A153" t="str">
            <v xml:space="preserve">   INDUSTRIAL</v>
          </cell>
          <cell r="B153">
            <v>0</v>
          </cell>
          <cell r="C153">
            <v>-4.0206185567010277E-2</v>
          </cell>
          <cell r="D153">
            <v>-2.9550451771514386E-2</v>
          </cell>
          <cell r="E153">
            <v>-6.9756637338524663E-2</v>
          </cell>
          <cell r="G153">
            <v>0</v>
          </cell>
          <cell r="H153">
            <v>-4.0206185567010277E-2</v>
          </cell>
          <cell r="I153">
            <v>-2.458185060450957E-2</v>
          </cell>
          <cell r="J153">
            <v>-6.4788036171519847E-2</v>
          </cell>
        </row>
        <row r="154">
          <cell r="A154" t="str">
            <v xml:space="preserve">   ST &amp; HIGHWAY</v>
          </cell>
          <cell r="B154">
            <v>0</v>
          </cell>
          <cell r="C154">
            <v>-2.6702702702702696E-2</v>
          </cell>
          <cell r="D154">
            <v>4.1534364681364844E-3</v>
          </cell>
          <cell r="E154">
            <v>-2.2549266234566212E-2</v>
          </cell>
          <cell r="G154">
            <v>0</v>
          </cell>
          <cell r="H154">
            <v>-2.6702702702702696E-2</v>
          </cell>
          <cell r="I154">
            <v>-9.7382937209589127E-4</v>
          </cell>
          <cell r="J154">
            <v>-2.7676532074798588E-2</v>
          </cell>
        </row>
        <row r="155">
          <cell r="A155" t="str">
            <v xml:space="preserve">   PUBLIC AUTHORITY</v>
          </cell>
          <cell r="B155">
            <v>6.2689901520238678E-3</v>
          </cell>
          <cell r="C155">
            <v>-8.7714703403349858E-3</v>
          </cell>
          <cell r="D155">
            <v>-3.8712417513410258E-2</v>
          </cell>
          <cell r="E155">
            <v>-4.7483887853745244E-2</v>
          </cell>
          <cell r="G155">
            <v>6.8651647536824845E-3</v>
          </cell>
          <cell r="H155">
            <v>-8.7714703403349858E-3</v>
          </cell>
          <cell r="I155">
            <v>-3.292019056170381E-2</v>
          </cell>
          <cell r="J155">
            <v>-4.1691660902038796E-2</v>
          </cell>
        </row>
        <row r="157">
          <cell r="A157" t="str">
            <v xml:space="preserve">       TOTAL RETAIL</v>
          </cell>
          <cell r="B157">
            <v>9.1817054434624179E-3</v>
          </cell>
          <cell r="C157">
            <v>2.0380632549537037E-3</v>
          </cell>
          <cell r="D157">
            <v>-3.5065537234080346E-2</v>
          </cell>
          <cell r="E157">
            <v>-3.3027473979126643E-2</v>
          </cell>
          <cell r="G157">
            <v>9.1184344261641126E-3</v>
          </cell>
          <cell r="H157">
            <v>2.0380632549537037E-3</v>
          </cell>
          <cell r="I157">
            <v>-4.1123022346211568E-2</v>
          </cell>
          <cell r="J157">
            <v>-3.9084959091257865E-2</v>
          </cell>
        </row>
        <row r="159">
          <cell r="A159" t="str">
            <v>YTD  REVENUES - SALES - CUSTOMERS - USE PER CUSTOMER   -  DOLLAR VARIANCES BY CLASS   (Work sheet)</v>
          </cell>
        </row>
        <row r="160">
          <cell r="B160" t="str">
            <v>Revenue  -- $</v>
          </cell>
          <cell r="G160" t="str">
            <v>Energy --  MWh</v>
          </cell>
          <cell r="L160" t="str">
            <v>Lost Retail Rev</v>
          </cell>
        </row>
        <row r="161">
          <cell r="A161" t="str">
            <v>CLASS OF BUSINESS</v>
          </cell>
          <cell r="B161" t="str">
            <v>WEATHER</v>
          </cell>
          <cell r="C161" t="str">
            <v>CUSTS</v>
          </cell>
          <cell r="D161" t="str">
            <v>MISC</v>
          </cell>
          <cell r="E161" t="str">
            <v>SUM</v>
          </cell>
          <cell r="G161" t="str">
            <v>WEATHER</v>
          </cell>
          <cell r="H161" t="str">
            <v>CUSTS</v>
          </cell>
          <cell r="I161" t="str">
            <v>MISC</v>
          </cell>
          <cell r="J161" t="str">
            <v>SUM</v>
          </cell>
        </row>
        <row r="163">
          <cell r="A163" t="str">
            <v xml:space="preserve">   RESIDENTIAL</v>
          </cell>
          <cell r="B163">
            <v>8178214.7514215708</v>
          </cell>
          <cell r="C163">
            <v>2160870.2172818631</v>
          </cell>
          <cell r="D163">
            <v>-17322844.343647882</v>
          </cell>
          <cell r="E163">
            <v>-6983759.3749444485</v>
          </cell>
          <cell r="G163">
            <v>207556.94444290921</v>
          </cell>
          <cell r="H163">
            <v>49960.909985913015</v>
          </cell>
          <cell r="I163">
            <v>-407898.9099859093</v>
          </cell>
          <cell r="J163">
            <v>-150381.05555708706</v>
          </cell>
        </row>
        <row r="164">
          <cell r="A164" t="str">
            <v xml:space="preserve">   COMMERCIAL</v>
          </cell>
          <cell r="B164">
            <v>1992228.4875128567</v>
          </cell>
          <cell r="C164">
            <v>-728058.88448303717</v>
          </cell>
          <cell r="D164">
            <v>-14257619.256264152</v>
          </cell>
          <cell r="E164">
            <v>-12993449.653234333</v>
          </cell>
          <cell r="G164">
            <v>86786.524770166725</v>
          </cell>
          <cell r="H164">
            <v>-28802.314124862267</v>
          </cell>
          <cell r="I164">
            <v>-603836.68587513769</v>
          </cell>
          <cell r="J164">
            <v>-545852.47522983328</v>
          </cell>
        </row>
        <row r="165">
          <cell r="A165" t="str">
            <v xml:space="preserve">   INDUSTRIAL</v>
          </cell>
          <cell r="B165">
            <v>0</v>
          </cell>
          <cell r="C165">
            <v>-2786656.6670103087</v>
          </cell>
          <cell r="D165">
            <v>-2048116.7830510125</v>
          </cell>
          <cell r="E165">
            <v>-4834773.4500613213</v>
          </cell>
          <cell r="G165">
            <v>0</v>
          </cell>
          <cell r="H165">
            <v>-146961.04639175237</v>
          </cell>
          <cell r="I165">
            <v>-89851.211601844247</v>
          </cell>
          <cell r="J165">
            <v>-236812.25799359661</v>
          </cell>
        </row>
        <row r="166">
          <cell r="A166" t="str">
            <v xml:space="preserve">   ST &amp; HIGHWAY</v>
          </cell>
          <cell r="B166">
            <v>0</v>
          </cell>
          <cell r="C166">
            <v>-9535.7220540540511</v>
          </cell>
          <cell r="D166">
            <v>1483.2212368268156</v>
          </cell>
          <cell r="E166">
            <v>-8052.5008172272355</v>
          </cell>
          <cell r="G166">
            <v>0</v>
          </cell>
          <cell r="H166">
            <v>-618.00735135135142</v>
          </cell>
          <cell r="I166">
            <v>-22.538306987787315</v>
          </cell>
          <cell r="J166">
            <v>-640.54565833913875</v>
          </cell>
        </row>
        <row r="167">
          <cell r="A167" t="str">
            <v xml:space="preserve">   PUBLIC AUTHORITY</v>
          </cell>
          <cell r="B167">
            <v>400667.66686691344</v>
          </cell>
          <cell r="C167">
            <v>-560607.76473221532</v>
          </cell>
          <cell r="D167">
            <v>-2474212.5330773629</v>
          </cell>
          <cell r="E167">
            <v>-2634152.630942665</v>
          </cell>
          <cell r="G167">
            <v>18826.334438858554</v>
          </cell>
          <cell r="H167">
            <v>-24053.994342830272</v>
          </cell>
          <cell r="I167">
            <v>-90277.005657169735</v>
          </cell>
          <cell r="J167">
            <v>-95504.665561141446</v>
          </cell>
        </row>
        <row r="168">
          <cell r="A168" t="str">
            <v xml:space="preserve">    TOTAL RETAIL   (Pre Tax)</v>
          </cell>
          <cell r="B168">
            <v>10571110.905801341</v>
          </cell>
          <cell r="C168">
            <v>-1923988.820997752</v>
          </cell>
          <cell r="D168">
            <v>-36101309.694803581</v>
          </cell>
          <cell r="E168">
            <v>-27454187.609999996</v>
          </cell>
          <cell r="G168">
            <v>313169.80365193449</v>
          </cell>
          <cell r="H168">
            <v>-150474.45222488325</v>
          </cell>
          <cell r="I168">
            <v>-1191886.3514270489</v>
          </cell>
          <cell r="J168">
            <v>-1029190.9999999977</v>
          </cell>
        </row>
        <row r="169">
          <cell r="A169" t="str">
            <v xml:space="preserve">           Provision For Refund</v>
          </cell>
          <cell r="C169">
            <v>-2247656.3073317828</v>
          </cell>
          <cell r="D169">
            <v>13110677</v>
          </cell>
          <cell r="E169">
            <v>13110677</v>
          </cell>
        </row>
        <row r="170">
          <cell r="A170" t="str">
            <v>Variance with Prov for Refund</v>
          </cell>
          <cell r="D170">
            <v>-22990632.694803581</v>
          </cell>
          <cell r="E170">
            <v>-14343510.609999996</v>
          </cell>
        </row>
        <row r="171">
          <cell r="A171" t="str">
            <v>Notes (Retail):</v>
          </cell>
          <cell r="B171" t="str">
            <v>YTD OCTOBER base revenue variance to budget is -$22.7 mill pre refund.  YTD weather conditions continued favorable (+$6.8 mill.)  The customer growth-related revenue variance (-$1.6 mill) reflects the impact of losing nearlt 14,000 WPark customers in past</v>
          </cell>
        </row>
        <row r="174">
          <cell r="A174" t="str">
            <v>YEAR TO DATE OCTOBER  2005   VS.  BUDGET  -  BILLING MONTH BASIS</v>
          </cell>
        </row>
        <row r="176">
          <cell r="B176" t="str">
            <v>WEATHER NORMALIZED</v>
          </cell>
          <cell r="G176" t="str">
            <v>WEATHER NORMALIZED</v>
          </cell>
          <cell r="L176" t="str">
            <v>NUMBER OF CUSTOMERS</v>
          </cell>
          <cell r="Q176" t="str">
            <v>WEATHER NORMALIZED</v>
          </cell>
        </row>
        <row r="177">
          <cell r="B177" t="str">
            <v>BILLED BASE REVENUES</v>
          </cell>
          <cell r="G177" t="str">
            <v>BILLED MWH SALES</v>
          </cell>
          <cell r="L177" t="str">
            <v xml:space="preserve">Adj. for Event-Driven Billing </v>
          </cell>
          <cell r="Q177" t="str">
            <v>BILLED KWH SALES PER CUSTOMER</v>
          </cell>
        </row>
        <row r="179">
          <cell r="A179" t="str">
            <v>CLASS OF BUSINESS</v>
          </cell>
          <cell r="B179" t="str">
            <v>YTD'05 Actual</v>
          </cell>
          <cell r="C179" t="str">
            <v>FORECAST</v>
          </cell>
          <cell r="D179" t="str">
            <v>DIFF</v>
          </cell>
          <cell r="E179" t="str">
            <v>% DIFF</v>
          </cell>
          <cell r="G179" t="str">
            <v>YTD'05 Actual</v>
          </cell>
          <cell r="H179" t="str">
            <v>FORECAST</v>
          </cell>
          <cell r="I179" t="str">
            <v>DIFF</v>
          </cell>
          <cell r="J179" t="str">
            <v>% DIFF</v>
          </cell>
          <cell r="L179" t="str">
            <v>YTD'05 Actual</v>
          </cell>
          <cell r="M179" t="str">
            <v>FORECAST</v>
          </cell>
          <cell r="N179" t="str">
            <v>DIFF</v>
          </cell>
          <cell r="O179" t="str">
            <v>% DIFF</v>
          </cell>
          <cell r="Q179" t="str">
            <v>YTD'05 Actual</v>
          </cell>
          <cell r="R179" t="str">
            <v>FORECAST</v>
          </cell>
          <cell r="S179" t="str">
            <v>DIFF</v>
          </cell>
          <cell r="T179" t="str">
            <v>% DIFF</v>
          </cell>
        </row>
        <row r="181">
          <cell r="A181" t="str">
            <v xml:space="preserve">   RESIDENTIAL</v>
          </cell>
          <cell r="B181">
            <v>729324155.12</v>
          </cell>
          <cell r="C181">
            <v>743898210.30024266</v>
          </cell>
          <cell r="D181">
            <v>-14574055.180242658</v>
          </cell>
          <cell r="E181">
            <v>-1.9591464233205347E-2</v>
          </cell>
          <cell r="G181">
            <v>16882663</v>
          </cell>
          <cell r="H181">
            <v>17195893</v>
          </cell>
          <cell r="I181">
            <v>-313230</v>
          </cell>
          <cell r="J181">
            <v>-1.8215395966932335E-2</v>
          </cell>
          <cell r="L181">
            <v>1389335.7</v>
          </cell>
          <cell r="M181">
            <v>1385347.0649800713</v>
          </cell>
          <cell r="N181">
            <v>3988.6350199286826</v>
          </cell>
          <cell r="O181">
            <v>2.8791593967725237E-3</v>
          </cell>
          <cell r="Q181">
            <v>12152</v>
          </cell>
          <cell r="R181">
            <v>12413</v>
          </cell>
          <cell r="S181">
            <v>-261</v>
          </cell>
          <cell r="T181">
            <v>-2.1026343349713983E-2</v>
          </cell>
        </row>
        <row r="182">
          <cell r="A182" t="str">
            <v xml:space="preserve">   COMMERCIAL</v>
          </cell>
          <cell r="B182">
            <v>252635504.66999999</v>
          </cell>
          <cell r="C182">
            <v>266030289.43750656</v>
          </cell>
          <cell r="D182">
            <v>-13394784.76750657</v>
          </cell>
          <cell r="E182">
            <v>-5.035060028626237E-2</v>
          </cell>
          <cell r="G182">
            <v>10000787</v>
          </cell>
          <cell r="H182">
            <v>10518111</v>
          </cell>
          <cell r="I182">
            <v>-517324</v>
          </cell>
          <cell r="J182">
            <v>-4.9184116805764844E-2</v>
          </cell>
          <cell r="L182">
            <v>160441.79999999999</v>
          </cell>
          <cell r="M182">
            <v>160880.12358958909</v>
          </cell>
          <cell r="N182">
            <v>-438.32358958909754</v>
          </cell>
          <cell r="O182">
            <v>-2.7245353857837662E-3</v>
          </cell>
          <cell r="Q182">
            <v>62333</v>
          </cell>
          <cell r="R182">
            <v>65379</v>
          </cell>
          <cell r="S182">
            <v>-3046</v>
          </cell>
          <cell r="T182">
            <v>-4.6589883601768189E-2</v>
          </cell>
        </row>
        <row r="183">
          <cell r="A183" t="str">
            <v xml:space="preserve">   INDUSTRIAL</v>
          </cell>
          <cell r="B183">
            <v>64759456.639999986</v>
          </cell>
          <cell r="C183">
            <v>69525982.715248019</v>
          </cell>
          <cell r="D183">
            <v>-4766526.0752480328</v>
          </cell>
          <cell r="E183">
            <v>-6.8557478644637238E-2</v>
          </cell>
          <cell r="G183">
            <v>3450704.412</v>
          </cell>
          <cell r="H183">
            <v>3664934</v>
          </cell>
          <cell r="I183">
            <v>-214229.58799999999</v>
          </cell>
          <cell r="J183">
            <v>-5.8453873384895827E-2</v>
          </cell>
          <cell r="L183">
            <v>2699.9</v>
          </cell>
          <cell r="M183">
            <v>2813</v>
          </cell>
          <cell r="N183">
            <v>-113.09999999999991</v>
          </cell>
          <cell r="O183">
            <v>-4.0206185567010277E-2</v>
          </cell>
          <cell r="Q183">
            <v>1278086</v>
          </cell>
          <cell r="R183">
            <v>1302856</v>
          </cell>
          <cell r="S183">
            <v>-24770</v>
          </cell>
          <cell r="T183">
            <v>-1.9012078080770212E-2</v>
          </cell>
        </row>
        <row r="184">
          <cell r="A184" t="str">
            <v xml:space="preserve">   ST &amp; HIGHWAY</v>
          </cell>
          <cell r="B184">
            <v>352853.74</v>
          </cell>
          <cell r="C184">
            <v>360580.74403015058</v>
          </cell>
          <cell r="D184">
            <v>-7727.0040301505942</v>
          </cell>
          <cell r="E184">
            <v>-2.142933076177933E-2</v>
          </cell>
          <cell r="G184">
            <v>22866.701000000001</v>
          </cell>
          <cell r="H184">
            <v>23369</v>
          </cell>
          <cell r="I184">
            <v>-502.29899999999907</v>
          </cell>
          <cell r="J184">
            <v>-2.1494244511960248E-2</v>
          </cell>
          <cell r="L184">
            <v>1800.6</v>
          </cell>
          <cell r="M184">
            <v>1850</v>
          </cell>
          <cell r="N184">
            <v>-49.400000000000091</v>
          </cell>
          <cell r="O184">
            <v>-2.6702702702702696E-2</v>
          </cell>
          <cell r="Q184">
            <v>12699</v>
          </cell>
          <cell r="R184">
            <v>12632</v>
          </cell>
          <cell r="S184">
            <v>67</v>
          </cell>
          <cell r="T184">
            <v>5.3039898670044217E-3</v>
          </cell>
        </row>
        <row r="185">
          <cell r="A185" t="str">
            <v xml:space="preserve">   PUBLIC AUTHORITY</v>
          </cell>
          <cell r="B185">
            <v>60748964.43</v>
          </cell>
          <cell r="C185">
            <v>63696505.580920368</v>
          </cell>
          <cell r="D185">
            <v>-2947541.1509203687</v>
          </cell>
          <cell r="E185">
            <v>-4.6274770084142158E-2</v>
          </cell>
          <cell r="G185">
            <v>2632719</v>
          </cell>
          <cell r="H185">
            <v>2732315</v>
          </cell>
          <cell r="I185">
            <v>-99596</v>
          </cell>
          <cell r="J185">
            <v>-3.6451141248355357E-2</v>
          </cell>
          <cell r="L185">
            <v>20815.7</v>
          </cell>
          <cell r="M185">
            <v>20999.9</v>
          </cell>
          <cell r="N185">
            <v>-184.20000000000073</v>
          </cell>
          <cell r="O185">
            <v>-8.7714703403349858E-3</v>
          </cell>
          <cell r="Q185">
            <v>126478</v>
          </cell>
          <cell r="R185">
            <v>130111</v>
          </cell>
          <cell r="S185">
            <v>-3633</v>
          </cell>
          <cell r="T185">
            <v>-2.7922312487030254E-2</v>
          </cell>
        </row>
        <row r="186">
          <cell r="A186" t="str">
            <v xml:space="preserve">    TOTAL RETAIL</v>
          </cell>
          <cell r="B186">
            <v>1107820934.5999999</v>
          </cell>
          <cell r="C186">
            <v>1143511568.7779479</v>
          </cell>
          <cell r="D186">
            <v>-35690634.177947775</v>
          </cell>
          <cell r="E186">
            <v>-3.1211432531539685E-2</v>
          </cell>
          <cell r="G186">
            <v>32989740.113000002</v>
          </cell>
          <cell r="H186">
            <v>34134622</v>
          </cell>
          <cell r="I186">
            <v>-1144881.8870000001</v>
          </cell>
          <cell r="J186">
            <v>-3.3540195259815664E-2</v>
          </cell>
          <cell r="L186">
            <v>1575093.7</v>
          </cell>
          <cell r="M186">
            <v>1571890.0885696602</v>
          </cell>
          <cell r="N186">
            <v>3203.611430339748</v>
          </cell>
          <cell r="O186">
            <v>2.0380632549537037E-3</v>
          </cell>
          <cell r="Q186">
            <v>20945</v>
          </cell>
          <cell r="R186">
            <v>21716</v>
          </cell>
          <cell r="S186">
            <v>-771</v>
          </cell>
          <cell r="T186">
            <v>-3.5503776017682842E-2</v>
          </cell>
        </row>
        <row r="187">
          <cell r="A187" t="str">
            <v xml:space="preserve">  Provision For Refund</v>
          </cell>
          <cell r="B187">
            <v>-3205291</v>
          </cell>
          <cell r="C187">
            <v>-16315968</v>
          </cell>
          <cell r="D187">
            <v>13110677</v>
          </cell>
          <cell r="E187">
            <v>-0.80354883020118695</v>
          </cell>
        </row>
        <row r="189">
          <cell r="A189" t="str">
            <v xml:space="preserve">   REA</v>
          </cell>
          <cell r="B189">
            <v>42132873.685499996</v>
          </cell>
          <cell r="C189">
            <v>39770974.115518607</v>
          </cell>
          <cell r="D189">
            <v>2361899.5699813887</v>
          </cell>
          <cell r="E189">
            <v>5.9387521239007812E-2</v>
          </cell>
          <cell r="G189">
            <v>1345356.068</v>
          </cell>
          <cell r="H189">
            <v>1295221.4673424396</v>
          </cell>
          <cell r="I189">
            <v>50134.600657560397</v>
          </cell>
          <cell r="J189">
            <v>3.8707357715763946E-2</v>
          </cell>
          <cell r="L189">
            <v>7.5</v>
          </cell>
          <cell r="M189">
            <v>5</v>
          </cell>
          <cell r="N189">
            <v>2.5</v>
          </cell>
          <cell r="O189">
            <v>0.5</v>
          </cell>
        </row>
        <row r="190">
          <cell r="A190" t="str">
            <v xml:space="preserve">   Oth Whol (w/Ref $ or Interchg MWh)</v>
          </cell>
          <cell r="B190">
            <v>59099581.797000006</v>
          </cell>
          <cell r="C190">
            <v>48760190.648568749</v>
          </cell>
          <cell r="D190">
            <v>10339391.148431256</v>
          </cell>
          <cell r="E190">
            <v>0.21204574901994855</v>
          </cell>
          <cell r="G190">
            <v>3251990.4479999999</v>
          </cell>
          <cell r="H190">
            <v>2536493.5375014693</v>
          </cell>
          <cell r="I190">
            <v>715496.9104985306</v>
          </cell>
          <cell r="J190">
            <v>0.28208110918481544</v>
          </cell>
          <cell r="L190">
            <v>19.3</v>
          </cell>
          <cell r="M190">
            <v>18.5</v>
          </cell>
          <cell r="N190">
            <v>0.80000000000000071</v>
          </cell>
          <cell r="O190">
            <v>4.3243243243243246E-2</v>
          </cell>
        </row>
        <row r="192">
          <cell r="A192" t="str">
            <v xml:space="preserve">     WHOLESALE (Not W/N)</v>
          </cell>
          <cell r="B192">
            <v>101232455.4825</v>
          </cell>
          <cell r="C192">
            <v>88531164.764087349</v>
          </cell>
          <cell r="D192">
            <v>12701290.718412653</v>
          </cell>
          <cell r="E192">
            <v>0.14346688821115494</v>
          </cell>
          <cell r="G192">
            <v>4597346.5159999998</v>
          </cell>
          <cell r="H192">
            <v>3831715.0048439088</v>
          </cell>
          <cell r="I192">
            <v>765631.511156091</v>
          </cell>
          <cell r="J192">
            <v>0.19981431557101947</v>
          </cell>
          <cell r="L192">
            <v>26.8</v>
          </cell>
          <cell r="M192">
            <v>23.5</v>
          </cell>
          <cell r="N192">
            <v>3.3000000000000007</v>
          </cell>
          <cell r="O192">
            <v>0.14042553191489371</v>
          </cell>
        </row>
        <row r="194">
          <cell r="A194" t="str">
            <v xml:space="preserve"> TOTAL SYSTEM</v>
          </cell>
          <cell r="B194">
            <v>1205848099.0825</v>
          </cell>
          <cell r="C194">
            <v>1215726765.5420353</v>
          </cell>
          <cell r="D194">
            <v>-9878666.4595351219</v>
          </cell>
          <cell r="E194">
            <v>-8.1257291848230162E-3</v>
          </cell>
          <cell r="G194">
            <v>37587086.629000001</v>
          </cell>
          <cell r="H194">
            <v>37966337.004843906</v>
          </cell>
          <cell r="I194">
            <v>-379250.3758439091</v>
          </cell>
          <cell r="J194">
            <v>-9.9891220950685256E-3</v>
          </cell>
          <cell r="L194">
            <v>1575120.5</v>
          </cell>
          <cell r="M194">
            <v>1571913.5885696602</v>
          </cell>
          <cell r="N194">
            <v>3206.9114303397482</v>
          </cell>
          <cell r="O194">
            <v>2.040132138088957E-3</v>
          </cell>
        </row>
      </sheetData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Rates"/>
      <sheetName val="YTD"/>
      <sheetName val="Dec"/>
      <sheetName val="Nov"/>
      <sheetName val="Oct"/>
      <sheetName val="Sep"/>
      <sheetName val="Aug"/>
      <sheetName val="Jul"/>
      <sheetName val="Jun"/>
      <sheetName val="May"/>
      <sheetName val="Apr"/>
      <sheetName val="Mar"/>
      <sheetName val="Feb"/>
      <sheetName val="J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P4">
            <v>107320</v>
          </cell>
          <cell r="Q4">
            <v>80345557</v>
          </cell>
        </row>
        <row r="11">
          <cell r="P11">
            <v>5268</v>
          </cell>
          <cell r="Q11">
            <v>12413327</v>
          </cell>
        </row>
        <row r="20">
          <cell r="P20">
            <v>725</v>
          </cell>
          <cell r="Q20">
            <v>1535965</v>
          </cell>
        </row>
        <row r="27">
          <cell r="P27">
            <v>105</v>
          </cell>
          <cell r="Q27">
            <v>340199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Rates"/>
      <sheetName val="YTD"/>
      <sheetName val="Dec"/>
      <sheetName val="Nov"/>
      <sheetName val="Oct"/>
      <sheetName val="Sep"/>
      <sheetName val="Aug"/>
      <sheetName val="Jul"/>
      <sheetName val="Jun"/>
      <sheetName val="May"/>
      <sheetName val="Apr"/>
      <sheetName val="Mar"/>
      <sheetName val="Feb"/>
      <sheetName val="Jan"/>
      <sheetName val="Sheet1"/>
    </sheetNames>
    <sheetDataSet>
      <sheetData sheetId="0" refreshError="1"/>
      <sheetData sheetId="1" refreshError="1"/>
      <sheetData sheetId="2">
        <row r="4">
          <cell r="P4">
            <v>121217</v>
          </cell>
          <cell r="Q4">
            <v>87937445</v>
          </cell>
        </row>
        <row r="11">
          <cell r="P11">
            <v>5327</v>
          </cell>
          <cell r="Q11">
            <v>12678753</v>
          </cell>
        </row>
        <row r="19">
          <cell r="P19">
            <v>709</v>
          </cell>
          <cell r="Q19">
            <v>2483962</v>
          </cell>
        </row>
        <row r="26">
          <cell r="P26">
            <v>88</v>
          </cell>
          <cell r="Q26">
            <v>325688</v>
          </cell>
        </row>
      </sheetData>
      <sheetData sheetId="3">
        <row r="4">
          <cell r="P4">
            <v>118434</v>
          </cell>
          <cell r="Q4">
            <v>91863179</v>
          </cell>
        </row>
        <row r="11">
          <cell r="P11">
            <v>5324</v>
          </cell>
          <cell r="Q11">
            <v>12811441</v>
          </cell>
        </row>
        <row r="19">
          <cell r="P19">
            <v>724</v>
          </cell>
          <cell r="Q19">
            <v>4182866</v>
          </cell>
        </row>
        <row r="26">
          <cell r="P26">
            <v>87</v>
          </cell>
          <cell r="Q26">
            <v>335637</v>
          </cell>
        </row>
      </sheetData>
      <sheetData sheetId="4">
        <row r="4">
          <cell r="P4">
            <v>111843</v>
          </cell>
          <cell r="Q4">
            <v>103910596</v>
          </cell>
        </row>
        <row r="11">
          <cell r="P11">
            <v>5359</v>
          </cell>
          <cell r="Q11">
            <v>12532989</v>
          </cell>
        </row>
        <row r="19">
          <cell r="P19">
            <v>688</v>
          </cell>
          <cell r="Q19">
            <v>2715665</v>
          </cell>
        </row>
        <row r="26">
          <cell r="P26">
            <v>90</v>
          </cell>
          <cell r="Q26">
            <v>324696</v>
          </cell>
        </row>
      </sheetData>
      <sheetData sheetId="5">
        <row r="4">
          <cell r="P4">
            <v>111247</v>
          </cell>
          <cell r="Q4">
            <v>110948180</v>
          </cell>
        </row>
        <row r="11">
          <cell r="P11">
            <v>5321</v>
          </cell>
          <cell r="Q11">
            <v>12439632</v>
          </cell>
        </row>
        <row r="19">
          <cell r="P19">
            <v>682</v>
          </cell>
          <cell r="Q19">
            <v>2415316</v>
          </cell>
        </row>
        <row r="26">
          <cell r="P26">
            <v>86</v>
          </cell>
          <cell r="Q26">
            <v>321360</v>
          </cell>
        </row>
      </sheetData>
      <sheetData sheetId="6">
        <row r="4">
          <cell r="P4">
            <v>106858</v>
          </cell>
          <cell r="Q4">
            <v>110361046</v>
          </cell>
        </row>
        <row r="11">
          <cell r="P11">
            <v>5306</v>
          </cell>
          <cell r="Q11">
            <v>12376266</v>
          </cell>
        </row>
        <row r="19">
          <cell r="P19">
            <v>676</v>
          </cell>
          <cell r="Q19">
            <v>2635109</v>
          </cell>
        </row>
        <row r="26">
          <cell r="P26">
            <v>90</v>
          </cell>
          <cell r="Q26">
            <v>322776</v>
          </cell>
        </row>
      </sheetData>
      <sheetData sheetId="7">
        <row r="4">
          <cell r="P4">
            <v>113397</v>
          </cell>
          <cell r="Q4">
            <v>117929474</v>
          </cell>
        </row>
        <row r="11">
          <cell r="P11">
            <v>5315</v>
          </cell>
          <cell r="Q11">
            <v>12552407</v>
          </cell>
        </row>
        <row r="19">
          <cell r="P19">
            <v>715</v>
          </cell>
          <cell r="Q19">
            <v>2641319</v>
          </cell>
        </row>
        <row r="26">
          <cell r="P26">
            <v>91</v>
          </cell>
          <cell r="Q26">
            <v>338741</v>
          </cell>
        </row>
      </sheetData>
      <sheetData sheetId="8">
        <row r="4">
          <cell r="P4">
            <v>112692</v>
          </cell>
          <cell r="Q4">
            <v>113256688</v>
          </cell>
        </row>
        <row r="11">
          <cell r="P11">
            <v>5286</v>
          </cell>
          <cell r="Q11">
            <v>12413584</v>
          </cell>
        </row>
        <row r="19">
          <cell r="P19">
            <v>706</v>
          </cell>
          <cell r="Q19">
            <v>2599774</v>
          </cell>
        </row>
        <row r="26">
          <cell r="P26">
            <v>88</v>
          </cell>
          <cell r="Q26">
            <v>325182</v>
          </cell>
        </row>
      </sheetData>
      <sheetData sheetId="9">
        <row r="4">
          <cell r="P4">
            <v>117752</v>
          </cell>
          <cell r="Q4">
            <v>106365585</v>
          </cell>
        </row>
        <row r="11">
          <cell r="P11">
            <v>5290</v>
          </cell>
          <cell r="Q11">
            <v>12669167</v>
          </cell>
        </row>
        <row r="19">
          <cell r="P19">
            <v>740</v>
          </cell>
          <cell r="Q19">
            <v>2513553</v>
          </cell>
        </row>
        <row r="26">
          <cell r="P26">
            <v>87</v>
          </cell>
          <cell r="Q26">
            <v>342590</v>
          </cell>
        </row>
      </sheetData>
      <sheetData sheetId="10">
        <row r="4">
          <cell r="P4">
            <v>111122</v>
          </cell>
          <cell r="Q4">
            <v>91179925</v>
          </cell>
        </row>
        <row r="11">
          <cell r="P11">
            <v>5293</v>
          </cell>
          <cell r="Q11">
            <v>12305587</v>
          </cell>
        </row>
        <row r="19">
          <cell r="P19">
            <v>698</v>
          </cell>
          <cell r="Q19">
            <v>2480342</v>
          </cell>
        </row>
        <row r="26">
          <cell r="P26">
            <v>91</v>
          </cell>
          <cell r="Q26">
            <v>327723</v>
          </cell>
        </row>
      </sheetData>
      <sheetData sheetId="11">
        <row r="4">
          <cell r="P4">
            <v>107096</v>
          </cell>
          <cell r="Q4">
            <v>86220041</v>
          </cell>
        </row>
        <row r="11">
          <cell r="P11">
            <v>5315</v>
          </cell>
          <cell r="Q11">
            <v>12416174</v>
          </cell>
        </row>
        <row r="19">
          <cell r="P19">
            <v>689</v>
          </cell>
          <cell r="Q19">
            <v>1922609</v>
          </cell>
        </row>
        <row r="26">
          <cell r="P26">
            <v>93</v>
          </cell>
          <cell r="Q26">
            <v>324745</v>
          </cell>
        </row>
      </sheetData>
      <sheetData sheetId="12">
        <row r="4">
          <cell r="P4">
            <v>111383</v>
          </cell>
          <cell r="Q4">
            <v>88081944</v>
          </cell>
        </row>
        <row r="11">
          <cell r="P11">
            <v>5354</v>
          </cell>
          <cell r="Q11">
            <v>12309624</v>
          </cell>
        </row>
        <row r="19">
          <cell r="P19">
            <v>709</v>
          </cell>
          <cell r="Q19">
            <v>2083055</v>
          </cell>
        </row>
        <row r="26">
          <cell r="P26">
            <v>100</v>
          </cell>
          <cell r="Q26">
            <v>327186</v>
          </cell>
        </row>
      </sheetData>
      <sheetData sheetId="13">
        <row r="4">
          <cell r="P4">
            <v>105977</v>
          </cell>
          <cell r="Q4">
            <v>85862811</v>
          </cell>
        </row>
        <row r="11">
          <cell r="P11">
            <v>5327</v>
          </cell>
          <cell r="Q11">
            <v>12339742</v>
          </cell>
        </row>
        <row r="19">
          <cell r="P19">
            <v>676</v>
          </cell>
          <cell r="Q19">
            <v>2007888</v>
          </cell>
        </row>
        <row r="26">
          <cell r="P26">
            <v>100</v>
          </cell>
          <cell r="Q26">
            <v>336401</v>
          </cell>
        </row>
      </sheetData>
      <sheetData sheetId="14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Chart"/>
      <sheetName val="YTD"/>
      <sheetName val="QTR"/>
      <sheetName val="M"/>
    </sheetNames>
    <sheetDataSet>
      <sheetData sheetId="0"/>
      <sheetData sheetId="1"/>
      <sheetData sheetId="2"/>
      <sheetData sheetId="3">
        <row r="127">
          <cell r="AF127">
            <v>8355561.8708142918</v>
          </cell>
          <cell r="AL127">
            <v>16761</v>
          </cell>
        </row>
        <row r="128">
          <cell r="AF128">
            <v>-4566865.2098275833</v>
          </cell>
          <cell r="AL128">
            <v>179810.89</v>
          </cell>
        </row>
        <row r="129">
          <cell r="AF129">
            <v>-276326.89162029338</v>
          </cell>
          <cell r="AL129">
            <v>-190674.19999999998</v>
          </cell>
        </row>
        <row r="130">
          <cell r="AF130">
            <v>2139684.8181244857</v>
          </cell>
          <cell r="AL130">
            <v>517409.62</v>
          </cell>
        </row>
        <row r="131">
          <cell r="AF131">
            <v>5200680.196376645</v>
          </cell>
          <cell r="AL131">
            <v>725951.85</v>
          </cell>
        </row>
        <row r="132">
          <cell r="AF132">
            <v>1544299.6893432857</v>
          </cell>
          <cell r="AL132">
            <v>213233.69</v>
          </cell>
        </row>
        <row r="133">
          <cell r="AF133">
            <v>-892024.71964932233</v>
          </cell>
          <cell r="AL133">
            <v>-123298.2</v>
          </cell>
        </row>
        <row r="134">
          <cell r="AF134">
            <v>-6133151.5750751244</v>
          </cell>
          <cell r="AL134">
            <v>-751192.79999999993</v>
          </cell>
        </row>
        <row r="135">
          <cell r="AF135">
            <v>-1131092.0736811573</v>
          </cell>
          <cell r="AL135">
            <v>-160614.22</v>
          </cell>
        </row>
        <row r="136">
          <cell r="AF136">
            <v>-6785228.1987434477</v>
          </cell>
          <cell r="AL136">
            <v>-1120025.4474421537</v>
          </cell>
        </row>
        <row r="137">
          <cell r="AF137">
            <v>1256530.5951916557</v>
          </cell>
          <cell r="AL137">
            <v>190546.25</v>
          </cell>
        </row>
        <row r="138">
          <cell r="AF138">
            <v>3911124.9782781629</v>
          </cell>
          <cell r="AL138">
            <v>-595889.54505000007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TUPC"/>
      <sheetName val="RUPC"/>
      <sheetName val="CUPC"/>
      <sheetName val="IUPC"/>
      <sheetName val="SHLUPC"/>
      <sheetName val="SPAUPC"/>
      <sheetName val="1996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2006"/>
      <sheetName val="2007"/>
      <sheetName val="2008"/>
      <sheetName val="Charts"/>
    </sheetNames>
    <sheetDataSet>
      <sheetData sheetId="0"/>
      <sheetData sheetId="1">
        <row r="7">
          <cell r="AA7">
            <v>13770.940799648242</v>
          </cell>
        </row>
        <row r="8">
          <cell r="AA8">
            <v>13858.566861339908</v>
          </cell>
        </row>
        <row r="9">
          <cell r="AA9">
            <v>13985.71409143908</v>
          </cell>
        </row>
        <row r="10">
          <cell r="AA10">
            <v>14222.242570142203</v>
          </cell>
        </row>
        <row r="11">
          <cell r="AA11">
            <v>14238.422795413562</v>
          </cell>
        </row>
        <row r="12">
          <cell r="AA12">
            <v>14111.609342405032</v>
          </cell>
        </row>
        <row r="13">
          <cell r="AA13">
            <v>14043.734535937456</v>
          </cell>
        </row>
        <row r="14">
          <cell r="AA14">
            <v>13941.214823849066</v>
          </cell>
        </row>
        <row r="15">
          <cell r="AA15">
            <v>13483.028178346038</v>
          </cell>
        </row>
        <row r="16">
          <cell r="AA16">
            <v>13144.313067163343</v>
          </cell>
        </row>
        <row r="17">
          <cell r="AA17">
            <v>12633.124758248136</v>
          </cell>
        </row>
        <row r="18">
          <cell r="AA18">
            <v>12775.721637534351</v>
          </cell>
        </row>
        <row r="19">
          <cell r="AA19">
            <v>12732.361238754545</v>
          </cell>
        </row>
        <row r="209">
          <cell r="E209">
            <v>1277.6714983549609</v>
          </cell>
        </row>
        <row r="210">
          <cell r="E210">
            <v>1146.6222008633715</v>
          </cell>
        </row>
        <row r="211">
          <cell r="E211">
            <v>1141.4325146224714</v>
          </cell>
        </row>
        <row r="212">
          <cell r="E212">
            <v>841.51894251432975</v>
          </cell>
        </row>
        <row r="213">
          <cell r="E213">
            <v>990.81838537863348</v>
          </cell>
        </row>
        <row r="214">
          <cell r="E214">
            <v>1288.873192960076</v>
          </cell>
        </row>
        <row r="215">
          <cell r="E215">
            <v>1443.4835605142425</v>
          </cell>
        </row>
        <row r="216">
          <cell r="E216">
            <v>1524.636363825023</v>
          </cell>
        </row>
        <row r="217">
          <cell r="E217">
            <v>1375.470272155736</v>
          </cell>
        </row>
        <row r="218">
          <cell r="E218">
            <v>1178.5686102131372</v>
          </cell>
        </row>
        <row r="219">
          <cell r="E219">
            <v>937.00604434362856</v>
          </cell>
        </row>
        <row r="220">
          <cell r="E220">
            <v>960.64258359720827</v>
          </cell>
        </row>
        <row r="221">
          <cell r="E221">
            <v>1272.1360411093224</v>
          </cell>
        </row>
        <row r="222">
          <cell r="E222">
            <v>1005.3617105117221</v>
          </cell>
        </row>
        <row r="223">
          <cell r="E223">
            <v>823.3623919248862</v>
          </cell>
        </row>
        <row r="224">
          <cell r="E224">
            <v>862.29705144895433</v>
          </cell>
        </row>
        <row r="225">
          <cell r="E225">
            <v>1088.8474080520868</v>
          </cell>
        </row>
        <row r="226">
          <cell r="E226">
            <v>1241.1767784155384</v>
          </cell>
        </row>
        <row r="227">
          <cell r="E227">
            <v>1377.2253560604131</v>
          </cell>
        </row>
        <row r="228">
          <cell r="E228">
            <v>1423.9027420772343</v>
          </cell>
        </row>
        <row r="229">
          <cell r="E229">
            <v>1389.2260557400732</v>
          </cell>
        </row>
        <row r="230">
          <cell r="E230">
            <v>1188.8536279553025</v>
          </cell>
        </row>
        <row r="231">
          <cell r="E231">
            <v>834.07596127787951</v>
          </cell>
        </row>
        <row r="232">
          <cell r="E232">
            <v>808.71535811044737</v>
          </cell>
        </row>
        <row r="233">
          <cell r="E233">
            <v>919.41423845238035</v>
          </cell>
        </row>
        <row r="234">
          <cell r="E234">
            <v>852.037240348365</v>
          </cell>
        </row>
        <row r="235">
          <cell r="E235">
            <v>843.22201493429441</v>
          </cell>
        </row>
        <row r="236">
          <cell r="E236">
            <v>913.79451667415753</v>
          </cell>
        </row>
        <row r="237">
          <cell r="E237">
            <v>973.9393309757595</v>
          </cell>
        </row>
        <row r="238">
          <cell r="E238">
            <v>1184.7912118556835</v>
          </cell>
        </row>
        <row r="239">
          <cell r="E239">
            <v>1255.7872369181791</v>
          </cell>
        </row>
        <row r="240">
          <cell r="E240">
            <v>1395.904630245934</v>
          </cell>
        </row>
        <row r="241">
          <cell r="E241">
            <v>1301.6912828633049</v>
          </cell>
        </row>
        <row r="242">
          <cell r="E242">
            <v>1187.7203075724042</v>
          </cell>
        </row>
        <row r="243">
          <cell r="E243">
            <v>888.29380416600202</v>
          </cell>
        </row>
        <row r="244">
          <cell r="E244">
            <v>782.33940630472023</v>
          </cell>
        </row>
        <row r="245">
          <cell r="E245">
            <v>895.91212239027527</v>
          </cell>
        </row>
        <row r="246">
          <cell r="E246">
            <v>863.01682225739103</v>
          </cell>
        </row>
        <row r="247">
          <cell r="E247">
            <v>873.87012747765993</v>
          </cell>
        </row>
        <row r="248">
          <cell r="E248">
            <v>889.67374709119872</v>
          </cell>
        </row>
        <row r="249">
          <cell r="E249">
            <v>948.22790331961824</v>
          </cell>
        </row>
        <row r="250">
          <cell r="E250">
            <v>1141.4155075444098</v>
          </cell>
        </row>
        <row r="251">
          <cell r="E251">
            <v>1281.4725812387694</v>
          </cell>
        </row>
        <row r="252">
          <cell r="E252">
            <v>1291.8625096245562</v>
          </cell>
        </row>
        <row r="253">
          <cell r="E253">
            <v>1342.7746126368309</v>
          </cell>
        </row>
        <row r="254">
          <cell r="E254">
            <v>1190.237415086124</v>
          </cell>
        </row>
        <row r="255">
          <cell r="E255">
            <v>911.7269469207655</v>
          </cell>
        </row>
        <row r="256">
          <cell r="E256">
            <v>815.28276836993291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2013"/>
      <sheetName val="2012"/>
      <sheetName val="2011"/>
      <sheetName val="2010"/>
      <sheetName val="2009"/>
      <sheetName val="2008"/>
      <sheetName val="2007"/>
      <sheetName val="2006"/>
      <sheetName val="2005"/>
      <sheetName val="2004"/>
      <sheetName val="2003"/>
      <sheetName val="2002 (30Yr)"/>
      <sheetName val="2002"/>
      <sheetName val="2001"/>
      <sheetName val="2000 (25yr)"/>
      <sheetName val="2000"/>
      <sheetName val="1999"/>
      <sheetName val="1998"/>
      <sheetName val="1997"/>
      <sheetName val="1996"/>
    </sheetNames>
    <sheetDataSet>
      <sheetData sheetId="0">
        <row r="32">
          <cell r="C32">
            <v>2881522.5180000002</v>
          </cell>
          <cell r="D32">
            <v>204023</v>
          </cell>
        </row>
        <row r="33">
          <cell r="D33">
            <v>58155</v>
          </cell>
        </row>
        <row r="34">
          <cell r="D34">
            <v>-94669</v>
          </cell>
        </row>
        <row r="35">
          <cell r="D35">
            <v>-70286</v>
          </cell>
        </row>
        <row r="36">
          <cell r="D36">
            <v>188978</v>
          </cell>
        </row>
        <row r="37">
          <cell r="D37">
            <v>24132</v>
          </cell>
        </row>
        <row r="38">
          <cell r="D38">
            <v>211596</v>
          </cell>
        </row>
        <row r="39">
          <cell r="D39">
            <v>-111749</v>
          </cell>
        </row>
        <row r="40">
          <cell r="D40">
            <v>31665</v>
          </cell>
        </row>
        <row r="41">
          <cell r="D41">
            <v>-132622</v>
          </cell>
        </row>
        <row r="42">
          <cell r="D42">
            <v>22864</v>
          </cell>
        </row>
        <row r="43">
          <cell r="D43">
            <v>9834</v>
          </cell>
        </row>
      </sheetData>
      <sheetData sheetId="1">
        <row r="32">
          <cell r="D32">
            <v>61453</v>
          </cell>
        </row>
        <row r="33">
          <cell r="D33">
            <v>137557</v>
          </cell>
        </row>
        <row r="34">
          <cell r="D34">
            <v>-54202</v>
          </cell>
        </row>
        <row r="35">
          <cell r="D35">
            <v>-43116</v>
          </cell>
        </row>
        <row r="36">
          <cell r="D36">
            <v>-78388</v>
          </cell>
        </row>
        <row r="37">
          <cell r="D37">
            <v>221216</v>
          </cell>
        </row>
        <row r="38">
          <cell r="D38">
            <v>2943</v>
          </cell>
        </row>
        <row r="39">
          <cell r="D39">
            <v>64413</v>
          </cell>
        </row>
        <row r="40">
          <cell r="D40">
            <v>55145</v>
          </cell>
        </row>
        <row r="41">
          <cell r="D41">
            <v>-11928</v>
          </cell>
        </row>
        <row r="42">
          <cell r="D42">
            <v>156139</v>
          </cell>
        </row>
        <row r="43">
          <cell r="D43">
            <v>74813</v>
          </cell>
        </row>
      </sheetData>
      <sheetData sheetId="2">
        <row r="32">
          <cell r="D32">
            <v>-84700</v>
          </cell>
        </row>
        <row r="33">
          <cell r="D33">
            <v>68797</v>
          </cell>
        </row>
        <row r="34">
          <cell r="D34">
            <v>58866</v>
          </cell>
        </row>
        <row r="35">
          <cell r="D35">
            <v>-299006</v>
          </cell>
        </row>
        <row r="36">
          <cell r="D36">
            <v>-87116</v>
          </cell>
        </row>
        <row r="37">
          <cell r="D37">
            <v>-123373</v>
          </cell>
        </row>
        <row r="38">
          <cell r="D38">
            <v>-90065</v>
          </cell>
        </row>
        <row r="39">
          <cell r="D39">
            <v>-224979</v>
          </cell>
        </row>
        <row r="40">
          <cell r="D40">
            <v>6822</v>
          </cell>
        </row>
        <row r="41">
          <cell r="D41">
            <v>254348</v>
          </cell>
        </row>
        <row r="42">
          <cell r="D42">
            <v>83885</v>
          </cell>
        </row>
        <row r="43">
          <cell r="D43">
            <v>228639</v>
          </cell>
        </row>
      </sheetData>
      <sheetData sheetId="3">
        <row r="32">
          <cell r="D32">
            <v>-581898</v>
          </cell>
        </row>
        <row r="33">
          <cell r="D33">
            <v>-465093</v>
          </cell>
        </row>
        <row r="34">
          <cell r="D34">
            <v>-98244</v>
          </cell>
        </row>
        <row r="35">
          <cell r="D35">
            <v>84043</v>
          </cell>
        </row>
        <row r="36">
          <cell r="D36">
            <v>-218382</v>
          </cell>
        </row>
        <row r="37">
          <cell r="D37">
            <v>-290726</v>
          </cell>
        </row>
        <row r="38">
          <cell r="D38">
            <v>-218571</v>
          </cell>
        </row>
        <row r="39">
          <cell r="D39">
            <v>-233810</v>
          </cell>
        </row>
        <row r="40">
          <cell r="D40">
            <v>-140313</v>
          </cell>
        </row>
        <row r="41">
          <cell r="D41">
            <v>-32895</v>
          </cell>
        </row>
        <row r="42">
          <cell r="D42">
            <v>56385</v>
          </cell>
        </row>
        <row r="43">
          <cell r="D43">
            <v>-822131</v>
          </cell>
        </row>
      </sheetData>
      <sheetData sheetId="4">
        <row r="32">
          <cell r="D32">
            <v>-37454</v>
          </cell>
        </row>
        <row r="33">
          <cell r="D33">
            <v>-107170</v>
          </cell>
        </row>
        <row r="34">
          <cell r="D34">
            <v>-28743</v>
          </cell>
        </row>
        <row r="35">
          <cell r="D35">
            <v>-13282</v>
          </cell>
        </row>
        <row r="36">
          <cell r="D36">
            <v>84381</v>
          </cell>
        </row>
        <row r="37">
          <cell r="D37">
            <v>-99834</v>
          </cell>
        </row>
        <row r="38">
          <cell r="D38">
            <v>96203</v>
          </cell>
        </row>
        <row r="39">
          <cell r="D39">
            <v>-15947</v>
          </cell>
        </row>
        <row r="40">
          <cell r="D40">
            <v>-18723</v>
          </cell>
        </row>
        <row r="41">
          <cell r="D41">
            <v>-308845</v>
          </cell>
        </row>
        <row r="42">
          <cell r="D42">
            <v>77806</v>
          </cell>
        </row>
        <row r="43">
          <cell r="D43">
            <v>43833</v>
          </cell>
        </row>
      </sheetData>
      <sheetData sheetId="5">
        <row r="32">
          <cell r="D32">
            <v>46488</v>
          </cell>
        </row>
        <row r="33">
          <cell r="D33">
            <v>114345</v>
          </cell>
        </row>
        <row r="34">
          <cell r="D34">
            <v>108703</v>
          </cell>
        </row>
        <row r="35">
          <cell r="D35">
            <v>52636</v>
          </cell>
        </row>
        <row r="36">
          <cell r="D36">
            <v>-68383</v>
          </cell>
        </row>
        <row r="37">
          <cell r="D37">
            <v>78250</v>
          </cell>
        </row>
        <row r="38">
          <cell r="D38">
            <v>250929</v>
          </cell>
        </row>
        <row r="39">
          <cell r="D39">
            <v>110293</v>
          </cell>
        </row>
        <row r="40">
          <cell r="D40">
            <v>-43187</v>
          </cell>
        </row>
        <row r="41">
          <cell r="D41">
            <v>75938</v>
          </cell>
        </row>
        <row r="42">
          <cell r="D42">
            <v>16929</v>
          </cell>
        </row>
        <row r="43">
          <cell r="D43">
            <v>135266</v>
          </cell>
        </row>
      </sheetData>
      <sheetData sheetId="6">
        <row r="32">
          <cell r="D32">
            <v>181540</v>
          </cell>
        </row>
        <row r="33">
          <cell r="D33">
            <v>-117596</v>
          </cell>
        </row>
        <row r="34">
          <cell r="D34">
            <v>35096</v>
          </cell>
        </row>
        <row r="35">
          <cell r="D35">
            <v>63627</v>
          </cell>
        </row>
        <row r="36">
          <cell r="D36">
            <v>197208</v>
          </cell>
        </row>
        <row r="37">
          <cell r="D37">
            <v>169125</v>
          </cell>
        </row>
        <row r="38">
          <cell r="D38">
            <v>43956</v>
          </cell>
        </row>
        <row r="39">
          <cell r="D39">
            <v>-295658</v>
          </cell>
        </row>
        <row r="40">
          <cell r="D40">
            <v>-1740</v>
          </cell>
        </row>
        <row r="41">
          <cell r="D41">
            <v>-204823</v>
          </cell>
        </row>
        <row r="42">
          <cell r="D42">
            <v>104515</v>
          </cell>
        </row>
        <row r="43">
          <cell r="D43">
            <v>147138</v>
          </cell>
        </row>
      </sheetData>
      <sheetData sheetId="7">
        <row r="32">
          <cell r="D32">
            <v>149304</v>
          </cell>
        </row>
        <row r="33">
          <cell r="D33">
            <v>-84675</v>
          </cell>
        </row>
        <row r="34">
          <cell r="D34">
            <v>22236</v>
          </cell>
        </row>
        <row r="35">
          <cell r="D35">
            <v>-122016</v>
          </cell>
        </row>
        <row r="36">
          <cell r="D36">
            <v>34063</v>
          </cell>
        </row>
        <row r="37">
          <cell r="D37">
            <v>80662</v>
          </cell>
        </row>
        <row r="38">
          <cell r="D38">
            <v>109075</v>
          </cell>
        </row>
        <row r="39">
          <cell r="D39">
            <v>-65525</v>
          </cell>
        </row>
        <row r="40">
          <cell r="D40">
            <v>87253</v>
          </cell>
        </row>
        <row r="41">
          <cell r="D41">
            <v>30442</v>
          </cell>
        </row>
        <row r="42">
          <cell r="D42">
            <v>35464</v>
          </cell>
        </row>
        <row r="43">
          <cell r="D43">
            <v>175249</v>
          </cell>
        </row>
      </sheetData>
      <sheetData sheetId="8">
        <row r="32">
          <cell r="D32">
            <v>125643</v>
          </cell>
        </row>
        <row r="33">
          <cell r="D33">
            <v>166831</v>
          </cell>
        </row>
        <row r="34">
          <cell r="D34">
            <v>-26448</v>
          </cell>
        </row>
        <row r="35">
          <cell r="D35">
            <v>109893</v>
          </cell>
        </row>
        <row r="36">
          <cell r="D36">
            <v>126521</v>
          </cell>
        </row>
        <row r="37">
          <cell r="D37">
            <v>118961</v>
          </cell>
        </row>
        <row r="38">
          <cell r="D38">
            <v>-312452</v>
          </cell>
        </row>
        <row r="39">
          <cell r="D39">
            <v>-292570</v>
          </cell>
        </row>
        <row r="40">
          <cell r="D40">
            <v>-243723</v>
          </cell>
        </row>
        <row r="41">
          <cell r="D41">
            <v>-157824</v>
          </cell>
        </row>
        <row r="42">
          <cell r="D42">
            <v>42945</v>
          </cell>
        </row>
        <row r="43">
          <cell r="D43">
            <v>16435</v>
          </cell>
        </row>
      </sheetData>
      <sheetData sheetId="9">
        <row r="32">
          <cell r="D32">
            <v>-66290</v>
          </cell>
        </row>
        <row r="33">
          <cell r="D33">
            <v>51660</v>
          </cell>
        </row>
        <row r="34">
          <cell r="D34">
            <v>101307</v>
          </cell>
        </row>
        <row r="35">
          <cell r="D35">
            <v>100300</v>
          </cell>
        </row>
        <row r="36">
          <cell r="D36">
            <v>14787</v>
          </cell>
        </row>
        <row r="37">
          <cell r="D37">
            <v>-55084</v>
          </cell>
        </row>
        <row r="38">
          <cell r="D38">
            <v>50538</v>
          </cell>
        </row>
        <row r="39">
          <cell r="D39">
            <v>256094</v>
          </cell>
        </row>
        <row r="40">
          <cell r="D40">
            <v>272957</v>
          </cell>
        </row>
        <row r="41">
          <cell r="D41">
            <v>-19995</v>
          </cell>
        </row>
        <row r="42">
          <cell r="D42">
            <v>38660</v>
          </cell>
        </row>
        <row r="43">
          <cell r="D43">
            <v>-58967</v>
          </cell>
        </row>
      </sheetData>
      <sheetData sheetId="10">
        <row r="32">
          <cell r="D32">
            <v>-438240</v>
          </cell>
        </row>
        <row r="33">
          <cell r="D33">
            <v>106836</v>
          </cell>
        </row>
        <row r="34">
          <cell r="D34">
            <v>-14595</v>
          </cell>
        </row>
        <row r="35">
          <cell r="D35">
            <v>44421</v>
          </cell>
        </row>
        <row r="36">
          <cell r="D36">
            <v>-152870</v>
          </cell>
        </row>
        <row r="37">
          <cell r="D37">
            <v>209982</v>
          </cell>
        </row>
        <row r="38">
          <cell r="D38">
            <v>156812</v>
          </cell>
        </row>
        <row r="39">
          <cell r="D39">
            <v>233930</v>
          </cell>
        </row>
        <row r="40">
          <cell r="D40">
            <v>165797</v>
          </cell>
        </row>
        <row r="41">
          <cell r="D41">
            <v>29512</v>
          </cell>
        </row>
        <row r="42">
          <cell r="D42">
            <v>-82725</v>
          </cell>
        </row>
        <row r="43">
          <cell r="D43">
            <v>-114891</v>
          </cell>
        </row>
      </sheetData>
      <sheetData sheetId="11" refreshError="1"/>
      <sheetData sheetId="12">
        <row r="32">
          <cell r="D32">
            <v>-38243.56</v>
          </cell>
        </row>
        <row r="33">
          <cell r="D33">
            <v>117088</v>
          </cell>
        </row>
        <row r="34">
          <cell r="D34">
            <v>-131685</v>
          </cell>
        </row>
        <row r="35">
          <cell r="D35">
            <v>-293395</v>
          </cell>
        </row>
        <row r="36">
          <cell r="D36">
            <v>-69696</v>
          </cell>
        </row>
        <row r="37">
          <cell r="D37">
            <v>237438</v>
          </cell>
        </row>
        <row r="38">
          <cell r="D38">
            <v>202838</v>
          </cell>
        </row>
        <row r="39">
          <cell r="D39">
            <v>235237</v>
          </cell>
        </row>
        <row r="40">
          <cell r="D40">
            <v>-69446</v>
          </cell>
        </row>
        <row r="41">
          <cell r="D41">
            <v>-263410</v>
          </cell>
        </row>
        <row r="42">
          <cell r="D42">
            <v>-5466</v>
          </cell>
        </row>
        <row r="43">
          <cell r="D43">
            <v>-3089</v>
          </cell>
        </row>
      </sheetData>
      <sheetData sheetId="13">
        <row r="32">
          <cell r="D32">
            <v>-444492.83</v>
          </cell>
        </row>
        <row r="33">
          <cell r="D33">
            <v>162655</v>
          </cell>
        </row>
        <row r="34">
          <cell r="D34">
            <v>65567</v>
          </cell>
        </row>
        <row r="35">
          <cell r="D35">
            <v>21554</v>
          </cell>
        </row>
        <row r="36">
          <cell r="D36">
            <v>183055</v>
          </cell>
        </row>
        <row r="37">
          <cell r="D37">
            <v>194739</v>
          </cell>
        </row>
        <row r="38">
          <cell r="D38">
            <v>260126</v>
          </cell>
        </row>
        <row r="39">
          <cell r="D39">
            <v>126573</v>
          </cell>
        </row>
        <row r="40">
          <cell r="D40">
            <v>367499</v>
          </cell>
        </row>
        <row r="41">
          <cell r="D41">
            <v>171016</v>
          </cell>
        </row>
        <row r="42">
          <cell r="D42">
            <v>157183</v>
          </cell>
        </row>
        <row r="43">
          <cell r="D43">
            <v>204744</v>
          </cell>
        </row>
      </sheetData>
      <sheetData sheetId="14" refreshError="1"/>
      <sheetData sheetId="15">
        <row r="32">
          <cell r="D32">
            <v>-112416.55</v>
          </cell>
        </row>
        <row r="33">
          <cell r="D33">
            <v>-56721</v>
          </cell>
        </row>
        <row r="34">
          <cell r="D34">
            <v>94701</v>
          </cell>
        </row>
        <row r="35">
          <cell r="D35">
            <v>-862</v>
          </cell>
        </row>
        <row r="36">
          <cell r="D36">
            <v>-185875</v>
          </cell>
        </row>
        <row r="37">
          <cell r="D37">
            <v>-95239</v>
          </cell>
        </row>
        <row r="38">
          <cell r="D38">
            <v>73349</v>
          </cell>
        </row>
        <row r="39">
          <cell r="D39">
            <v>32124</v>
          </cell>
        </row>
        <row r="40">
          <cell r="D40">
            <v>6679</v>
          </cell>
        </row>
        <row r="41">
          <cell r="D41">
            <v>84625</v>
          </cell>
        </row>
        <row r="42">
          <cell r="D42">
            <v>-76192</v>
          </cell>
        </row>
        <row r="43">
          <cell r="D43">
            <v>-234320</v>
          </cell>
        </row>
      </sheetData>
      <sheetData sheetId="16">
        <row r="32">
          <cell r="D32">
            <v>-6458.66</v>
          </cell>
        </row>
        <row r="33">
          <cell r="D33">
            <v>8120</v>
          </cell>
        </row>
        <row r="34">
          <cell r="D34">
            <v>52878</v>
          </cell>
        </row>
        <row r="35">
          <cell r="D35">
            <v>-200629</v>
          </cell>
        </row>
        <row r="36">
          <cell r="D36">
            <v>183807</v>
          </cell>
        </row>
        <row r="37">
          <cell r="D37">
            <v>252268</v>
          </cell>
        </row>
        <row r="38">
          <cell r="D38">
            <v>5850</v>
          </cell>
        </row>
        <row r="39">
          <cell r="D39">
            <v>-72491</v>
          </cell>
        </row>
        <row r="40">
          <cell r="D40">
            <v>144385</v>
          </cell>
        </row>
        <row r="41">
          <cell r="D41">
            <v>-15245</v>
          </cell>
        </row>
        <row r="42">
          <cell r="D42">
            <v>62240</v>
          </cell>
        </row>
        <row r="43">
          <cell r="D43">
            <v>74909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ssr"/>
      <sheetName val="Cus"/>
      <sheetName val="MWh"/>
      <sheetName val="Rev"/>
      <sheetName val="Summary"/>
    </sheetNames>
    <sheetDataSet>
      <sheetData sheetId="0">
        <row r="172">
          <cell r="C172">
            <v>32267</v>
          </cell>
          <cell r="D172">
            <v>58835</v>
          </cell>
        </row>
        <row r="173">
          <cell r="C173">
            <v>30898</v>
          </cell>
          <cell r="D173">
            <v>57887</v>
          </cell>
        </row>
        <row r="174">
          <cell r="C174">
            <v>32597</v>
          </cell>
          <cell r="D174">
            <v>61662</v>
          </cell>
        </row>
        <row r="175">
          <cell r="C175">
            <v>30926</v>
          </cell>
          <cell r="D175">
            <v>60330</v>
          </cell>
        </row>
        <row r="176">
          <cell r="C176">
            <v>24514</v>
          </cell>
          <cell r="D176">
            <v>62126</v>
          </cell>
        </row>
        <row r="177">
          <cell r="C177">
            <v>22281</v>
          </cell>
          <cell r="D177">
            <v>61345</v>
          </cell>
        </row>
        <row r="178">
          <cell r="C178">
            <v>20984</v>
          </cell>
          <cell r="D178">
            <v>59771</v>
          </cell>
        </row>
        <row r="179">
          <cell r="C179">
            <v>26389</v>
          </cell>
          <cell r="D179">
            <v>66856</v>
          </cell>
        </row>
        <row r="180">
          <cell r="C180">
            <v>22317</v>
          </cell>
          <cell r="D180">
            <v>59440</v>
          </cell>
        </row>
        <row r="181">
          <cell r="C181">
            <v>21789</v>
          </cell>
          <cell r="D181">
            <v>61656</v>
          </cell>
        </row>
        <row r="182">
          <cell r="C182">
            <v>23259</v>
          </cell>
          <cell r="D182">
            <v>70258</v>
          </cell>
        </row>
        <row r="183">
          <cell r="C183">
            <v>24106</v>
          </cell>
          <cell r="D183">
            <v>62132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sr"/>
      <sheetName val="Cus"/>
      <sheetName val="MWh"/>
      <sheetName val="Rev"/>
      <sheetName val="Summary"/>
    </sheetNames>
    <sheetDataSet>
      <sheetData sheetId="0">
        <row r="6">
          <cell r="D6">
            <v>742</v>
          </cell>
        </row>
        <row r="184">
          <cell r="C184">
            <v>29651</v>
          </cell>
          <cell r="D184">
            <v>58237</v>
          </cell>
        </row>
        <row r="185">
          <cell r="C185">
            <v>34116</v>
          </cell>
          <cell r="D185">
            <v>61505</v>
          </cell>
        </row>
        <row r="186">
          <cell r="C186">
            <v>34551</v>
          </cell>
          <cell r="D186">
            <v>57216</v>
          </cell>
        </row>
        <row r="187">
          <cell r="C187">
            <v>34590</v>
          </cell>
          <cell r="D187">
            <v>61364</v>
          </cell>
        </row>
        <row r="188">
          <cell r="C188">
            <v>25623</v>
          </cell>
          <cell r="D188">
            <v>64966</v>
          </cell>
        </row>
        <row r="189">
          <cell r="C189">
            <v>21816</v>
          </cell>
          <cell r="D189">
            <v>63172</v>
          </cell>
        </row>
        <row r="190">
          <cell r="C190">
            <v>23578</v>
          </cell>
          <cell r="D190">
            <v>61870</v>
          </cell>
        </row>
        <row r="191">
          <cell r="C191">
            <v>22448</v>
          </cell>
          <cell r="D191">
            <v>56987</v>
          </cell>
        </row>
        <row r="192">
          <cell r="C192">
            <v>25147</v>
          </cell>
          <cell r="D192">
            <v>61455</v>
          </cell>
        </row>
        <row r="193">
          <cell r="C193">
            <v>23088</v>
          </cell>
          <cell r="D193">
            <v>61321</v>
          </cell>
        </row>
        <row r="194">
          <cell r="C194">
            <v>22895</v>
          </cell>
          <cell r="D194">
            <v>65847</v>
          </cell>
        </row>
        <row r="195">
          <cell r="C195">
            <v>27549</v>
          </cell>
          <cell r="D195">
            <v>68376</v>
          </cell>
        </row>
      </sheetData>
      <sheetData sheetId="1">
        <row r="8">
          <cell r="B8">
            <v>1385210</v>
          </cell>
        </row>
      </sheetData>
      <sheetData sheetId="2">
        <row r="8">
          <cell r="B8">
            <v>1254612</v>
          </cell>
        </row>
      </sheetData>
      <sheetData sheetId="3">
        <row r="8">
          <cell r="F8">
            <v>80225949.854054525</v>
          </cell>
        </row>
      </sheetData>
      <sheetData sheetId="4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Documentation"/>
      <sheetName val="Input Factors"/>
      <sheetName val="System"/>
      <sheetName val="Res"/>
      <sheetName val="Com"/>
      <sheetName val="Ind"/>
      <sheetName val="SHL"/>
      <sheetName val="SPA"/>
      <sheetName val="Retail"/>
      <sheetName val="Whole"/>
      <sheetName val="PROSYM input"/>
      <sheetName val="FPC_ratios"/>
    </sheetNames>
    <sheetDataSet>
      <sheetData sheetId="0" refreshError="1"/>
      <sheetData sheetId="1" refreshError="1"/>
      <sheetData sheetId="2" refreshError="1"/>
      <sheetData sheetId="3">
        <row r="178">
          <cell r="I178">
            <v>1820620</v>
          </cell>
        </row>
        <row r="179">
          <cell r="I179">
            <v>1873228</v>
          </cell>
        </row>
        <row r="180">
          <cell r="I180">
            <v>1680900</v>
          </cell>
        </row>
        <row r="181">
          <cell r="I181">
            <v>1333087</v>
          </cell>
        </row>
        <row r="182">
          <cell r="I182">
            <v>1219690</v>
          </cell>
        </row>
        <row r="527">
          <cell r="I527">
            <v>18573875</v>
          </cell>
        </row>
        <row r="528">
          <cell r="I528">
            <v>18840476</v>
          </cell>
        </row>
        <row r="529">
          <cell r="I529">
            <v>19178663</v>
          </cell>
        </row>
        <row r="530">
          <cell r="I530">
            <v>19493783</v>
          </cell>
        </row>
        <row r="531">
          <cell r="I531">
            <v>19833378</v>
          </cell>
        </row>
        <row r="532">
          <cell r="I532">
            <v>20085768</v>
          </cell>
        </row>
        <row r="533">
          <cell r="I533">
            <v>20351482</v>
          </cell>
        </row>
        <row r="534">
          <cell r="I534">
            <v>20604570</v>
          </cell>
        </row>
        <row r="535">
          <cell r="I535">
            <v>20906431</v>
          </cell>
        </row>
        <row r="536">
          <cell r="I536">
            <v>21198725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FCST"/>
      <sheetName val="Comparison"/>
      <sheetName val="Charts"/>
    </sheetNames>
    <sheetDataSet>
      <sheetData sheetId="0">
        <row r="207">
          <cell r="D207">
            <v>1471228</v>
          </cell>
        </row>
        <row r="208">
          <cell r="D208">
            <v>1473524</v>
          </cell>
        </row>
        <row r="209">
          <cell r="D209">
            <v>1476494</v>
          </cell>
        </row>
        <row r="210">
          <cell r="D210">
            <v>1476983</v>
          </cell>
        </row>
        <row r="211">
          <cell r="D211">
            <v>1485472</v>
          </cell>
        </row>
        <row r="212">
          <cell r="D212">
            <v>1478777</v>
          </cell>
        </row>
        <row r="213">
          <cell r="D213">
            <v>1478112</v>
          </cell>
        </row>
        <row r="214">
          <cell r="D214">
            <v>1479289</v>
          </cell>
        </row>
        <row r="215">
          <cell r="D215">
            <v>1477554</v>
          </cell>
        </row>
        <row r="216">
          <cell r="D216">
            <v>1483618</v>
          </cell>
        </row>
        <row r="217">
          <cell r="D217">
            <v>1485021</v>
          </cell>
        </row>
        <row r="218">
          <cell r="D218">
            <v>1486477</v>
          </cell>
        </row>
        <row r="564">
          <cell r="D564">
            <v>1497280</v>
          </cell>
        </row>
        <row r="565">
          <cell r="D565">
            <v>1520916</v>
          </cell>
        </row>
        <row r="566">
          <cell r="D566">
            <v>1544620</v>
          </cell>
        </row>
        <row r="567">
          <cell r="D567">
            <v>1568452</v>
          </cell>
        </row>
        <row r="568">
          <cell r="D568">
            <v>1591324</v>
          </cell>
        </row>
        <row r="569">
          <cell r="D569">
            <v>1612908</v>
          </cell>
        </row>
        <row r="570">
          <cell r="D570">
            <v>1634061</v>
          </cell>
        </row>
        <row r="571">
          <cell r="D571">
            <v>1654509</v>
          </cell>
        </row>
        <row r="572">
          <cell r="D572">
            <v>1674417</v>
          </cell>
        </row>
        <row r="573">
          <cell r="D573">
            <v>1693168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ocumentation"/>
      <sheetName val="Input Factors"/>
      <sheetName val="System"/>
      <sheetName val="Res"/>
      <sheetName val="Com"/>
      <sheetName val="Ind"/>
      <sheetName val="SHL"/>
      <sheetName val="SPA"/>
      <sheetName val="Retail"/>
      <sheetName val="Whole"/>
      <sheetName val="PROSYM input"/>
      <sheetName val="FPC_ratios"/>
    </sheetNames>
    <sheetDataSet>
      <sheetData sheetId="0"/>
      <sheetData sheetId="1"/>
      <sheetData sheetId="2"/>
      <sheetData sheetId="3">
        <row r="526">
          <cell r="I526">
            <v>18958678</v>
          </cell>
        </row>
        <row r="527">
          <cell r="I527">
            <v>19405062</v>
          </cell>
        </row>
        <row r="528">
          <cell r="I528">
            <v>19877173</v>
          </cell>
        </row>
        <row r="529">
          <cell r="I529">
            <v>20286996</v>
          </cell>
        </row>
        <row r="530">
          <cell r="I530">
            <v>20700204</v>
          </cell>
        </row>
        <row r="531">
          <cell r="I531">
            <v>21107222</v>
          </cell>
        </row>
        <row r="532">
          <cell r="I532">
            <v>21514231</v>
          </cell>
        </row>
        <row r="533">
          <cell r="I533">
            <v>21904236</v>
          </cell>
        </row>
        <row r="534">
          <cell r="I534">
            <v>22302771</v>
          </cell>
        </row>
        <row r="535">
          <cell r="I535">
            <v>22711956</v>
          </cell>
        </row>
        <row r="536">
          <cell r="I536">
            <v>23131698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PC wSEB"/>
      <sheetName val="SEB"/>
      <sheetName val="FPCwoSEB"/>
      <sheetName val="Annual"/>
      <sheetName val="Graphs"/>
      <sheetName val="msalcus"/>
    </sheetNames>
    <sheetDataSet>
      <sheetData sheetId="0">
        <row r="114">
          <cell r="F114">
            <v>231641</v>
          </cell>
          <cell r="G114">
            <v>95255</v>
          </cell>
          <cell r="I114">
            <v>1351</v>
          </cell>
          <cell r="K114">
            <v>268843</v>
          </cell>
          <cell r="L114">
            <v>142235</v>
          </cell>
          <cell r="Z114">
            <v>2470</v>
          </cell>
          <cell r="AA114">
            <v>1439</v>
          </cell>
          <cell r="AC114">
            <v>108</v>
          </cell>
          <cell r="AD114">
            <v>22</v>
          </cell>
        </row>
        <row r="115">
          <cell r="F115">
            <v>240835</v>
          </cell>
          <cell r="G115">
            <v>107727</v>
          </cell>
          <cell r="I115">
            <v>1299</v>
          </cell>
          <cell r="K115">
            <v>150286</v>
          </cell>
          <cell r="L115">
            <v>121581</v>
          </cell>
          <cell r="Z115">
            <v>2474</v>
          </cell>
          <cell r="AA115">
            <v>1448</v>
          </cell>
          <cell r="AC115">
            <v>107</v>
          </cell>
          <cell r="AD115">
            <v>22</v>
          </cell>
        </row>
        <row r="116">
          <cell r="F116">
            <v>237158</v>
          </cell>
          <cell r="G116">
            <v>105972</v>
          </cell>
          <cell r="I116">
            <v>1344</v>
          </cell>
          <cell r="K116">
            <v>41212</v>
          </cell>
          <cell r="L116">
            <v>112605</v>
          </cell>
          <cell r="Z116">
            <v>2479</v>
          </cell>
          <cell r="AA116">
            <v>1458</v>
          </cell>
          <cell r="AC116">
            <v>70</v>
          </cell>
          <cell r="AD116">
            <v>21</v>
          </cell>
        </row>
        <row r="117">
          <cell r="F117">
            <v>237473</v>
          </cell>
          <cell r="G117">
            <v>108416</v>
          </cell>
          <cell r="I117">
            <v>1347</v>
          </cell>
          <cell r="K117">
            <v>8688</v>
          </cell>
          <cell r="L117">
            <v>112526</v>
          </cell>
          <cell r="Z117">
            <v>2514</v>
          </cell>
          <cell r="AA117">
            <v>1469</v>
          </cell>
          <cell r="AC117">
            <v>1</v>
          </cell>
          <cell r="AD117">
            <v>22</v>
          </cell>
        </row>
        <row r="118">
          <cell r="F118">
            <v>252122</v>
          </cell>
          <cell r="G118">
            <v>105482</v>
          </cell>
          <cell r="I118">
            <v>1379</v>
          </cell>
          <cell r="K118">
            <v>2759</v>
          </cell>
          <cell r="L118">
            <v>125313</v>
          </cell>
          <cell r="Z118">
            <v>2519</v>
          </cell>
          <cell r="AA118">
            <v>1485</v>
          </cell>
          <cell r="AC118">
            <v>1</v>
          </cell>
          <cell r="AD118">
            <v>22</v>
          </cell>
        </row>
        <row r="119">
          <cell r="F119">
            <v>247984</v>
          </cell>
          <cell r="G119">
            <v>109365</v>
          </cell>
          <cell r="I119">
            <v>1347</v>
          </cell>
          <cell r="K119">
            <v>0</v>
          </cell>
          <cell r="L119">
            <v>137092</v>
          </cell>
          <cell r="Z119">
            <v>2522</v>
          </cell>
          <cell r="AA119">
            <v>1500</v>
          </cell>
          <cell r="AC119">
            <v>1</v>
          </cell>
          <cell r="AD119">
            <v>22</v>
          </cell>
        </row>
        <row r="120">
          <cell r="F120">
            <v>247530</v>
          </cell>
          <cell r="G120">
            <v>112029</v>
          </cell>
          <cell r="I120">
            <v>1368</v>
          </cell>
          <cell r="K120">
            <v>860</v>
          </cell>
          <cell r="L120">
            <v>152107</v>
          </cell>
          <cell r="Z120">
            <v>2541</v>
          </cell>
          <cell r="AA120">
            <v>1514</v>
          </cell>
          <cell r="AC120">
            <v>1</v>
          </cell>
          <cell r="AD120">
            <v>22</v>
          </cell>
        </row>
        <row r="121">
          <cell r="F121">
            <v>262553</v>
          </cell>
          <cell r="G121">
            <v>111637</v>
          </cell>
          <cell r="I121">
            <v>1351</v>
          </cell>
          <cell r="K121">
            <v>5134</v>
          </cell>
          <cell r="L121">
            <v>160498</v>
          </cell>
          <cell r="Z121">
            <v>2538</v>
          </cell>
          <cell r="AA121">
            <v>1528</v>
          </cell>
          <cell r="AC121">
            <v>1</v>
          </cell>
          <cell r="AD121">
            <v>22</v>
          </cell>
        </row>
        <row r="122">
          <cell r="F122">
            <v>279060</v>
          </cell>
          <cell r="G122">
            <v>131153</v>
          </cell>
          <cell r="I122">
            <v>1350</v>
          </cell>
          <cell r="K122">
            <v>6361</v>
          </cell>
          <cell r="L122">
            <v>163879</v>
          </cell>
          <cell r="Z122">
            <v>2542</v>
          </cell>
          <cell r="AA122">
            <v>1531</v>
          </cell>
          <cell r="AC122">
            <v>1</v>
          </cell>
          <cell r="AD122">
            <v>21</v>
          </cell>
        </row>
        <row r="123">
          <cell r="F123">
            <v>256324</v>
          </cell>
          <cell r="G123">
            <v>120335</v>
          </cell>
          <cell r="I123">
            <v>1366</v>
          </cell>
          <cell r="K123">
            <v>16303</v>
          </cell>
          <cell r="L123">
            <v>127987</v>
          </cell>
          <cell r="Z123">
            <v>2554</v>
          </cell>
          <cell r="AA123">
            <v>1539</v>
          </cell>
          <cell r="AC123">
            <v>1</v>
          </cell>
          <cell r="AD123">
            <v>21</v>
          </cell>
        </row>
        <row r="124">
          <cell r="F124">
            <v>270494</v>
          </cell>
          <cell r="G124">
            <v>123623</v>
          </cell>
          <cell r="I124">
            <v>1362</v>
          </cell>
          <cell r="K124">
            <v>5928</v>
          </cell>
          <cell r="L124">
            <v>131553</v>
          </cell>
          <cell r="Z124">
            <v>2550</v>
          </cell>
          <cell r="AA124">
            <v>1553</v>
          </cell>
          <cell r="AC124">
            <v>1</v>
          </cell>
          <cell r="AD124">
            <v>22</v>
          </cell>
        </row>
        <row r="125">
          <cell r="F125">
            <v>225811</v>
          </cell>
          <cell r="G125">
            <v>100556</v>
          </cell>
          <cell r="I125">
            <v>1354</v>
          </cell>
          <cell r="K125">
            <v>187</v>
          </cell>
          <cell r="L125">
            <v>120160</v>
          </cell>
          <cell r="Z125">
            <v>2548</v>
          </cell>
          <cell r="AA125">
            <v>1570</v>
          </cell>
          <cell r="AC125">
            <v>1</v>
          </cell>
          <cell r="AD125">
            <v>22</v>
          </cell>
        </row>
        <row r="126">
          <cell r="F126">
            <v>242438</v>
          </cell>
          <cell r="G126">
            <v>94221</v>
          </cell>
          <cell r="I126">
            <v>1361</v>
          </cell>
          <cell r="K126">
            <v>3147</v>
          </cell>
          <cell r="L126">
            <v>135426</v>
          </cell>
          <cell r="Z126">
            <v>2554</v>
          </cell>
          <cell r="AA126">
            <v>1580</v>
          </cell>
          <cell r="AC126">
            <v>1</v>
          </cell>
          <cell r="AD126">
            <v>21</v>
          </cell>
        </row>
        <row r="127">
          <cell r="F127">
            <v>265920</v>
          </cell>
          <cell r="G127">
            <v>121266</v>
          </cell>
          <cell r="I127">
            <v>1387</v>
          </cell>
          <cell r="K127">
            <v>5137</v>
          </cell>
          <cell r="L127">
            <v>129255</v>
          </cell>
          <cell r="Z127">
            <v>2536</v>
          </cell>
          <cell r="AA127">
            <v>1594</v>
          </cell>
          <cell r="AC127">
            <v>1</v>
          </cell>
          <cell r="AD127">
            <v>21</v>
          </cell>
        </row>
        <row r="128">
          <cell r="F128">
            <v>250296</v>
          </cell>
          <cell r="G128">
            <v>107034</v>
          </cell>
          <cell r="I128">
            <v>1381</v>
          </cell>
          <cell r="K128">
            <v>9130</v>
          </cell>
          <cell r="L128">
            <v>120891</v>
          </cell>
          <cell r="Z128">
            <v>2569</v>
          </cell>
          <cell r="AA128">
            <v>1613</v>
          </cell>
          <cell r="AC128">
            <v>1</v>
          </cell>
          <cell r="AD128">
            <v>21</v>
          </cell>
        </row>
        <row r="129">
          <cell r="F129">
            <v>259270</v>
          </cell>
          <cell r="G129">
            <v>115506</v>
          </cell>
          <cell r="I129">
            <v>1398</v>
          </cell>
          <cell r="K129">
            <v>880</v>
          </cell>
          <cell r="L129">
            <v>117805</v>
          </cell>
          <cell r="Z129">
            <v>2573</v>
          </cell>
          <cell r="AA129">
            <v>1630</v>
          </cell>
          <cell r="AC129">
            <v>2</v>
          </cell>
          <cell r="AD129">
            <v>21</v>
          </cell>
        </row>
        <row r="130">
          <cell r="F130">
            <v>267969</v>
          </cell>
          <cell r="G130">
            <v>118791</v>
          </cell>
          <cell r="I130">
            <v>1402</v>
          </cell>
          <cell r="K130">
            <v>97</v>
          </cell>
          <cell r="L130">
            <v>136188</v>
          </cell>
          <cell r="Z130">
            <v>2589</v>
          </cell>
          <cell r="AA130">
            <v>1638</v>
          </cell>
          <cell r="AC130">
            <v>2</v>
          </cell>
          <cell r="AD130">
            <v>21</v>
          </cell>
        </row>
        <row r="131">
          <cell r="F131">
            <v>280907</v>
          </cell>
          <cell r="G131">
            <v>123771</v>
          </cell>
          <cell r="I131">
            <v>1422</v>
          </cell>
          <cell r="K131">
            <v>66</v>
          </cell>
          <cell r="L131">
            <v>170214</v>
          </cell>
          <cell r="Z131">
            <v>2623</v>
          </cell>
          <cell r="AA131">
            <v>1659</v>
          </cell>
          <cell r="AC131">
            <v>2</v>
          </cell>
          <cell r="AD131">
            <v>22</v>
          </cell>
        </row>
        <row r="132">
          <cell r="F132">
            <v>252541</v>
          </cell>
          <cell r="G132">
            <v>98809</v>
          </cell>
          <cell r="I132">
            <v>1424</v>
          </cell>
          <cell r="K132">
            <v>66</v>
          </cell>
          <cell r="L132">
            <v>158773</v>
          </cell>
          <cell r="Z132">
            <v>2629</v>
          </cell>
          <cell r="AA132">
            <v>1689</v>
          </cell>
          <cell r="AC132">
            <v>2</v>
          </cell>
          <cell r="AD132">
            <v>21</v>
          </cell>
        </row>
        <row r="133">
          <cell r="F133">
            <v>275660</v>
          </cell>
          <cell r="G133">
            <v>122535</v>
          </cell>
          <cell r="I133">
            <v>1421</v>
          </cell>
          <cell r="K133">
            <v>650</v>
          </cell>
          <cell r="L133">
            <v>171332</v>
          </cell>
          <cell r="Z133">
            <v>2644</v>
          </cell>
          <cell r="AA133">
            <v>1704</v>
          </cell>
          <cell r="AC133">
            <v>2</v>
          </cell>
          <cell r="AD133">
            <v>21</v>
          </cell>
        </row>
        <row r="134">
          <cell r="F134">
            <v>271488</v>
          </cell>
          <cell r="G134">
            <v>112761</v>
          </cell>
          <cell r="I134">
            <v>1428</v>
          </cell>
          <cell r="K134">
            <v>225</v>
          </cell>
          <cell r="L134">
            <v>162107</v>
          </cell>
          <cell r="Z134">
            <v>2646</v>
          </cell>
          <cell r="AA134">
            <v>1719</v>
          </cell>
          <cell r="AC134">
            <v>2</v>
          </cell>
          <cell r="AD134">
            <v>22</v>
          </cell>
        </row>
        <row r="135">
          <cell r="F135">
            <v>265310</v>
          </cell>
          <cell r="G135">
            <v>110709</v>
          </cell>
          <cell r="I135">
            <v>1428</v>
          </cell>
          <cell r="K135">
            <v>105</v>
          </cell>
          <cell r="L135">
            <v>161125</v>
          </cell>
          <cell r="Z135">
            <v>2650</v>
          </cell>
          <cell r="AA135">
            <v>1715</v>
          </cell>
          <cell r="AC135">
            <v>2</v>
          </cell>
          <cell r="AD135">
            <v>20</v>
          </cell>
        </row>
        <row r="136">
          <cell r="F136">
            <v>269501</v>
          </cell>
          <cell r="G136">
            <v>113046</v>
          </cell>
          <cell r="I136">
            <v>1424</v>
          </cell>
          <cell r="K136">
            <v>104</v>
          </cell>
          <cell r="L136">
            <v>137270</v>
          </cell>
          <cell r="Z136">
            <v>2653</v>
          </cell>
          <cell r="AA136">
            <v>1717</v>
          </cell>
          <cell r="AC136">
            <v>2</v>
          </cell>
          <cell r="AD136">
            <v>21</v>
          </cell>
        </row>
        <row r="137">
          <cell r="F137">
            <v>264711</v>
          </cell>
          <cell r="G137">
            <v>104840</v>
          </cell>
          <cell r="I137">
            <v>1593</v>
          </cell>
          <cell r="K137">
            <v>94</v>
          </cell>
          <cell r="L137">
            <v>137052</v>
          </cell>
          <cell r="Z137">
            <v>2662</v>
          </cell>
          <cell r="AA137">
            <v>1737</v>
          </cell>
          <cell r="AC137">
            <v>2</v>
          </cell>
          <cell r="AD137">
            <v>21</v>
          </cell>
        </row>
        <row r="138">
          <cell r="F138">
            <v>252308</v>
          </cell>
          <cell r="G138">
            <v>87037</v>
          </cell>
          <cell r="I138">
            <v>1449</v>
          </cell>
          <cell r="K138">
            <v>80</v>
          </cell>
          <cell r="L138">
            <v>153697</v>
          </cell>
          <cell r="Z138">
            <v>2666</v>
          </cell>
          <cell r="AA138">
            <v>1750</v>
          </cell>
          <cell r="AC138">
            <v>2</v>
          </cell>
          <cell r="AD138">
            <v>19</v>
          </cell>
        </row>
        <row r="139">
          <cell r="F139">
            <v>242178</v>
          </cell>
          <cell r="G139">
            <v>90674</v>
          </cell>
          <cell r="I139">
            <v>1470</v>
          </cell>
          <cell r="K139">
            <v>4113</v>
          </cell>
          <cell r="L139">
            <v>132919</v>
          </cell>
          <cell r="Z139">
            <v>2679</v>
          </cell>
          <cell r="AA139">
            <v>1765</v>
          </cell>
          <cell r="AC139">
            <v>2</v>
          </cell>
          <cell r="AD139">
            <v>19</v>
          </cell>
        </row>
        <row r="140">
          <cell r="F140">
            <v>240969</v>
          </cell>
          <cell r="G140">
            <v>91617</v>
          </cell>
          <cell r="I140">
            <v>1465</v>
          </cell>
          <cell r="K140">
            <v>5534</v>
          </cell>
          <cell r="L140">
            <v>129035</v>
          </cell>
          <cell r="Z140">
            <v>2686</v>
          </cell>
          <cell r="AA140">
            <v>1780</v>
          </cell>
          <cell r="AC140">
            <v>2</v>
          </cell>
          <cell r="AD140">
            <v>19</v>
          </cell>
        </row>
        <row r="141">
          <cell r="F141">
            <v>262981</v>
          </cell>
          <cell r="G141">
            <v>101478</v>
          </cell>
          <cell r="I141">
            <v>1480</v>
          </cell>
          <cell r="K141">
            <v>762</v>
          </cell>
          <cell r="L141">
            <v>123270</v>
          </cell>
          <cell r="Z141">
            <v>2699</v>
          </cell>
          <cell r="AA141">
            <v>1797</v>
          </cell>
          <cell r="AC141">
            <v>2</v>
          </cell>
          <cell r="AD141">
            <v>19</v>
          </cell>
        </row>
        <row r="142">
          <cell r="F142">
            <v>250667</v>
          </cell>
          <cell r="G142">
            <v>84258</v>
          </cell>
          <cell r="I142">
            <v>1495</v>
          </cell>
          <cell r="K142">
            <v>476</v>
          </cell>
          <cell r="L142">
            <v>66940</v>
          </cell>
          <cell r="Z142">
            <v>2695</v>
          </cell>
          <cell r="AA142">
            <v>1811</v>
          </cell>
          <cell r="AC142">
            <v>2</v>
          </cell>
          <cell r="AD142">
            <v>12</v>
          </cell>
        </row>
        <row r="143">
          <cell r="F143">
            <v>268037</v>
          </cell>
          <cell r="G143">
            <v>81256</v>
          </cell>
          <cell r="I143">
            <v>1489</v>
          </cell>
          <cell r="K143">
            <v>70</v>
          </cell>
          <cell r="L143">
            <v>94943</v>
          </cell>
          <cell r="Z143">
            <v>2704</v>
          </cell>
          <cell r="AA143">
            <v>1813</v>
          </cell>
          <cell r="AC143">
            <v>2</v>
          </cell>
          <cell r="AD143">
            <v>13</v>
          </cell>
        </row>
        <row r="144">
          <cell r="F144">
            <v>252702</v>
          </cell>
          <cell r="G144">
            <v>72112</v>
          </cell>
          <cell r="I144">
            <v>1524</v>
          </cell>
          <cell r="K144">
            <v>72</v>
          </cell>
          <cell r="L144">
            <v>106774</v>
          </cell>
          <cell r="Z144">
            <v>2702</v>
          </cell>
          <cell r="AA144">
            <v>1819</v>
          </cell>
          <cell r="AC144">
            <v>2</v>
          </cell>
          <cell r="AD144">
            <v>14</v>
          </cell>
        </row>
        <row r="145">
          <cell r="F145">
            <v>270135</v>
          </cell>
          <cell r="G145">
            <v>94235</v>
          </cell>
          <cell r="I145">
            <v>1522</v>
          </cell>
          <cell r="K145">
            <v>182</v>
          </cell>
          <cell r="L145">
            <v>121952</v>
          </cell>
          <cell r="Z145">
            <v>2710</v>
          </cell>
          <cell r="AA145">
            <v>1832</v>
          </cell>
          <cell r="AC145">
            <v>2</v>
          </cell>
          <cell r="AD145">
            <v>14</v>
          </cell>
        </row>
        <row r="146">
          <cell r="F146">
            <v>271514</v>
          </cell>
          <cell r="G146">
            <v>99511</v>
          </cell>
          <cell r="I146">
            <v>1509</v>
          </cell>
          <cell r="K146">
            <v>2301</v>
          </cell>
          <cell r="L146">
            <v>141820</v>
          </cell>
          <cell r="Z146">
            <v>2718</v>
          </cell>
          <cell r="AA146">
            <v>1856</v>
          </cell>
          <cell r="AC146">
            <v>2</v>
          </cell>
          <cell r="AD146">
            <v>14</v>
          </cell>
        </row>
        <row r="147">
          <cell r="F147">
            <v>267367</v>
          </cell>
          <cell r="G147">
            <v>97070</v>
          </cell>
          <cell r="I147">
            <v>1555</v>
          </cell>
          <cell r="K147">
            <v>1156</v>
          </cell>
          <cell r="L147">
            <v>112723</v>
          </cell>
          <cell r="Z147">
            <v>2715</v>
          </cell>
          <cell r="AA147">
            <v>1873</v>
          </cell>
          <cell r="AC147">
            <v>2</v>
          </cell>
          <cell r="AD147">
            <v>14</v>
          </cell>
        </row>
        <row r="148">
          <cell r="F148">
            <v>262550</v>
          </cell>
          <cell r="G148">
            <v>97334</v>
          </cell>
          <cell r="I148">
            <v>1550</v>
          </cell>
          <cell r="K148">
            <v>347</v>
          </cell>
          <cell r="L148">
            <v>113342</v>
          </cell>
          <cell r="Z148">
            <v>2718</v>
          </cell>
          <cell r="AA148">
            <v>1876</v>
          </cell>
          <cell r="AC148">
            <v>2</v>
          </cell>
          <cell r="AD148">
            <v>14</v>
          </cell>
        </row>
        <row r="149">
          <cell r="F149">
            <v>280900</v>
          </cell>
          <cell r="G149">
            <v>99831</v>
          </cell>
          <cell r="I149">
            <v>1568</v>
          </cell>
          <cell r="K149">
            <v>527</v>
          </cell>
          <cell r="L149">
            <v>94503</v>
          </cell>
          <cell r="Z149">
            <v>2769</v>
          </cell>
          <cell r="AA149">
            <v>1888</v>
          </cell>
          <cell r="AC149">
            <v>2</v>
          </cell>
          <cell r="AD149">
            <v>14</v>
          </cell>
        </row>
        <row r="150">
          <cell r="F150">
            <v>245835</v>
          </cell>
          <cell r="G150">
            <v>82211</v>
          </cell>
          <cell r="I150">
            <v>1608</v>
          </cell>
          <cell r="K150">
            <v>75</v>
          </cell>
          <cell r="L150">
            <v>92668</v>
          </cell>
          <cell r="Z150">
            <v>2816</v>
          </cell>
          <cell r="AA150">
            <v>1899</v>
          </cell>
          <cell r="AC150">
            <v>2</v>
          </cell>
          <cell r="AD150">
            <v>15</v>
          </cell>
        </row>
        <row r="151">
          <cell r="F151">
            <v>252932</v>
          </cell>
          <cell r="G151">
            <v>90652</v>
          </cell>
          <cell r="I151">
            <v>1540</v>
          </cell>
          <cell r="K151">
            <v>60</v>
          </cell>
          <cell r="L151">
            <v>96312</v>
          </cell>
          <cell r="Z151">
            <v>2854</v>
          </cell>
          <cell r="AA151">
            <v>1914</v>
          </cell>
          <cell r="AC151">
            <v>2</v>
          </cell>
          <cell r="AD151">
            <v>15</v>
          </cell>
        </row>
        <row r="152">
          <cell r="F152">
            <v>266785</v>
          </cell>
          <cell r="G152">
            <v>97693</v>
          </cell>
          <cell r="I152">
            <v>1512</v>
          </cell>
          <cell r="K152">
            <v>5722</v>
          </cell>
          <cell r="L152">
            <v>100670</v>
          </cell>
          <cell r="Z152">
            <v>2850</v>
          </cell>
          <cell r="AA152">
            <v>1910</v>
          </cell>
          <cell r="AC152">
            <v>2</v>
          </cell>
          <cell r="AD152">
            <v>15</v>
          </cell>
        </row>
        <row r="153">
          <cell r="F153">
            <v>266517</v>
          </cell>
          <cell r="G153">
            <v>97633</v>
          </cell>
          <cell r="I153">
            <v>1560</v>
          </cell>
          <cell r="K153">
            <v>1940</v>
          </cell>
          <cell r="L153">
            <v>94909</v>
          </cell>
          <cell r="Z153">
            <v>2872</v>
          </cell>
          <cell r="AA153">
            <v>1917</v>
          </cell>
          <cell r="AC153">
            <v>2</v>
          </cell>
          <cell r="AD153">
            <v>15</v>
          </cell>
        </row>
        <row r="154">
          <cell r="F154">
            <v>281141</v>
          </cell>
          <cell r="G154">
            <v>98950</v>
          </cell>
          <cell r="I154">
            <v>1749</v>
          </cell>
          <cell r="K154">
            <v>93</v>
          </cell>
          <cell r="L154">
            <v>101079</v>
          </cell>
          <cell r="Z154">
            <v>2873</v>
          </cell>
          <cell r="AA154">
            <v>1922</v>
          </cell>
          <cell r="AC154">
            <v>2</v>
          </cell>
          <cell r="AD154">
            <v>14</v>
          </cell>
        </row>
        <row r="155">
          <cell r="F155">
            <v>298527</v>
          </cell>
          <cell r="G155">
            <v>107356</v>
          </cell>
          <cell r="I155">
            <v>1585</v>
          </cell>
          <cell r="K155">
            <v>578</v>
          </cell>
          <cell r="L155">
            <v>103397</v>
          </cell>
          <cell r="Z155">
            <v>2880</v>
          </cell>
          <cell r="AA155">
            <v>1936</v>
          </cell>
          <cell r="AC155">
            <v>2</v>
          </cell>
          <cell r="AD155">
            <v>15</v>
          </cell>
        </row>
        <row r="156">
          <cell r="F156">
            <v>296191</v>
          </cell>
          <cell r="G156">
            <v>105505</v>
          </cell>
          <cell r="I156">
            <v>1592</v>
          </cell>
          <cell r="K156">
            <v>63</v>
          </cell>
          <cell r="L156">
            <v>135127</v>
          </cell>
          <cell r="Z156">
            <v>2872</v>
          </cell>
          <cell r="AA156">
            <v>1938</v>
          </cell>
          <cell r="AC156">
            <v>2</v>
          </cell>
          <cell r="AD156">
            <v>16</v>
          </cell>
        </row>
        <row r="157">
          <cell r="F157">
            <v>281955</v>
          </cell>
          <cell r="G157">
            <v>95923</v>
          </cell>
          <cell r="I157">
            <v>1600</v>
          </cell>
          <cell r="K157">
            <v>3794</v>
          </cell>
          <cell r="L157">
            <v>149366</v>
          </cell>
          <cell r="Z157">
            <v>2880</v>
          </cell>
          <cell r="AA157">
            <v>1944</v>
          </cell>
          <cell r="AC157">
            <v>2</v>
          </cell>
          <cell r="AD157">
            <v>15</v>
          </cell>
        </row>
        <row r="158">
          <cell r="F158">
            <v>306500</v>
          </cell>
          <cell r="G158">
            <v>116222</v>
          </cell>
          <cell r="I158">
            <v>1590</v>
          </cell>
          <cell r="K158">
            <v>10085</v>
          </cell>
          <cell r="L158">
            <v>152712</v>
          </cell>
          <cell r="Z158">
            <v>2881</v>
          </cell>
          <cell r="AA158">
            <v>1950</v>
          </cell>
          <cell r="AC158">
            <v>2</v>
          </cell>
          <cell r="AD158">
            <v>16</v>
          </cell>
        </row>
        <row r="159">
          <cell r="F159">
            <v>286152</v>
          </cell>
          <cell r="G159">
            <v>103543</v>
          </cell>
          <cell r="I159">
            <v>1610</v>
          </cell>
          <cell r="K159">
            <v>20870</v>
          </cell>
          <cell r="L159">
            <v>144541</v>
          </cell>
          <cell r="Z159">
            <v>2890</v>
          </cell>
          <cell r="AA159">
            <v>1951</v>
          </cell>
          <cell r="AC159">
            <v>2</v>
          </cell>
          <cell r="AD159">
            <v>16</v>
          </cell>
        </row>
        <row r="160">
          <cell r="F160">
            <v>290450</v>
          </cell>
          <cell r="G160">
            <v>111571</v>
          </cell>
          <cell r="I160">
            <v>1585</v>
          </cell>
          <cell r="K160">
            <v>4964</v>
          </cell>
          <cell r="L160">
            <v>121961</v>
          </cell>
          <cell r="Z160">
            <v>2901</v>
          </cell>
          <cell r="AA160">
            <v>1954</v>
          </cell>
          <cell r="AC160">
            <v>2</v>
          </cell>
          <cell r="AD160">
            <v>16</v>
          </cell>
        </row>
        <row r="161">
          <cell r="F161">
            <v>276380</v>
          </cell>
          <cell r="G161">
            <v>104516</v>
          </cell>
          <cell r="I161">
            <v>1574</v>
          </cell>
          <cell r="K161">
            <v>99</v>
          </cell>
          <cell r="L161">
            <v>99804</v>
          </cell>
          <cell r="Z161">
            <v>2951</v>
          </cell>
          <cell r="AA161">
            <v>1986</v>
          </cell>
          <cell r="AC161">
            <v>2</v>
          </cell>
          <cell r="AD161">
            <v>16</v>
          </cell>
        </row>
        <row r="162">
          <cell r="F162">
            <v>292668</v>
          </cell>
          <cell r="G162">
            <v>115165</v>
          </cell>
          <cell r="I162">
            <v>1549</v>
          </cell>
          <cell r="K162">
            <v>66</v>
          </cell>
          <cell r="L162">
            <v>107484</v>
          </cell>
          <cell r="Z162">
            <v>2909</v>
          </cell>
          <cell r="AA162">
            <v>1968</v>
          </cell>
          <cell r="AC162">
            <v>1</v>
          </cell>
          <cell r="AD162">
            <v>14</v>
          </cell>
        </row>
        <row r="163">
          <cell r="F163">
            <v>286878</v>
          </cell>
          <cell r="G163">
            <v>110079</v>
          </cell>
          <cell r="I163">
            <v>1483</v>
          </cell>
          <cell r="K163">
            <v>3240</v>
          </cell>
          <cell r="L163">
            <v>90674</v>
          </cell>
          <cell r="Z163">
            <v>2916</v>
          </cell>
          <cell r="AA163">
            <v>1984</v>
          </cell>
          <cell r="AC163">
            <v>2</v>
          </cell>
          <cell r="AD163">
            <v>14</v>
          </cell>
        </row>
        <row r="164">
          <cell r="F164">
            <v>294911</v>
          </cell>
          <cell r="G164">
            <v>118171</v>
          </cell>
          <cell r="I164">
            <v>1587</v>
          </cell>
          <cell r="K164">
            <v>15276</v>
          </cell>
          <cell r="L164">
            <v>88429</v>
          </cell>
          <cell r="Z164">
            <v>2938</v>
          </cell>
          <cell r="AA164">
            <v>2007</v>
          </cell>
          <cell r="AC164">
            <v>2</v>
          </cell>
          <cell r="AD164">
            <v>14</v>
          </cell>
        </row>
        <row r="165">
          <cell r="F165">
            <v>305159</v>
          </cell>
          <cell r="G165">
            <v>117563</v>
          </cell>
          <cell r="I165">
            <v>1566</v>
          </cell>
          <cell r="K165">
            <v>8458</v>
          </cell>
          <cell r="L165">
            <v>89383</v>
          </cell>
          <cell r="Z165">
            <v>2931</v>
          </cell>
          <cell r="AA165">
            <v>2021</v>
          </cell>
          <cell r="AC165">
            <v>2</v>
          </cell>
          <cell r="AD165">
            <v>14</v>
          </cell>
        </row>
        <row r="166">
          <cell r="F166">
            <v>299260</v>
          </cell>
          <cell r="G166">
            <v>107183</v>
          </cell>
          <cell r="I166">
            <v>1563</v>
          </cell>
          <cell r="K166">
            <v>1728</v>
          </cell>
          <cell r="L166">
            <v>92666</v>
          </cell>
          <cell r="Z166">
            <v>2949</v>
          </cell>
          <cell r="AA166">
            <v>2037</v>
          </cell>
          <cell r="AC166">
            <v>2</v>
          </cell>
          <cell r="AD166">
            <v>14</v>
          </cell>
        </row>
        <row r="167">
          <cell r="F167">
            <v>311412</v>
          </cell>
          <cell r="G167">
            <v>109934</v>
          </cell>
          <cell r="I167">
            <v>1548</v>
          </cell>
          <cell r="K167">
            <v>129</v>
          </cell>
          <cell r="L167">
            <v>103333</v>
          </cell>
          <cell r="Z167">
            <v>2935</v>
          </cell>
          <cell r="AA167">
            <v>2036</v>
          </cell>
          <cell r="AC167">
            <v>2</v>
          </cell>
          <cell r="AD167">
            <v>15</v>
          </cell>
        </row>
        <row r="168">
          <cell r="F168">
            <v>317191</v>
          </cell>
          <cell r="G168">
            <v>115105</v>
          </cell>
          <cell r="I168">
            <v>1599</v>
          </cell>
          <cell r="K168">
            <v>651</v>
          </cell>
          <cell r="L168">
            <v>126081</v>
          </cell>
          <cell r="Z168">
            <v>2914</v>
          </cell>
          <cell r="AA168">
            <v>2056</v>
          </cell>
          <cell r="AC168">
            <v>2</v>
          </cell>
          <cell r="AD168">
            <v>15</v>
          </cell>
        </row>
        <row r="169">
          <cell r="F169">
            <v>305114</v>
          </cell>
          <cell r="G169">
            <v>113475</v>
          </cell>
          <cell r="I169">
            <v>1563</v>
          </cell>
          <cell r="K169">
            <v>7025</v>
          </cell>
          <cell r="L169">
            <v>147744</v>
          </cell>
          <cell r="Z169">
            <v>2929</v>
          </cell>
          <cell r="AA169">
            <v>2069</v>
          </cell>
          <cell r="AC169">
            <v>2</v>
          </cell>
          <cell r="AD169">
            <v>15</v>
          </cell>
        </row>
        <row r="170">
          <cell r="F170">
            <v>321431</v>
          </cell>
          <cell r="G170">
            <v>116818</v>
          </cell>
          <cell r="I170">
            <v>1548</v>
          </cell>
          <cell r="K170">
            <v>15241</v>
          </cell>
          <cell r="L170">
            <v>137309</v>
          </cell>
          <cell r="Z170">
            <v>2961</v>
          </cell>
          <cell r="AA170">
            <v>2067</v>
          </cell>
          <cell r="AC170">
            <v>2</v>
          </cell>
          <cell r="AD170">
            <v>15</v>
          </cell>
        </row>
        <row r="171">
          <cell r="F171">
            <v>332640</v>
          </cell>
          <cell r="G171">
            <v>125687</v>
          </cell>
          <cell r="I171">
            <v>1542</v>
          </cell>
          <cell r="K171">
            <v>20701</v>
          </cell>
          <cell r="L171">
            <v>146426</v>
          </cell>
          <cell r="Z171">
            <v>2966</v>
          </cell>
          <cell r="AA171">
            <v>2074</v>
          </cell>
          <cell r="AC171">
            <v>2</v>
          </cell>
          <cell r="AD171">
            <v>15</v>
          </cell>
        </row>
        <row r="172">
          <cell r="F172">
            <v>305827</v>
          </cell>
          <cell r="G172">
            <v>119567</v>
          </cell>
          <cell r="I172">
            <v>1538</v>
          </cell>
          <cell r="K172">
            <v>16554</v>
          </cell>
          <cell r="L172">
            <v>113525</v>
          </cell>
          <cell r="Z172">
            <v>2971</v>
          </cell>
          <cell r="AA172">
            <v>2074</v>
          </cell>
          <cell r="AC172">
            <v>2</v>
          </cell>
          <cell r="AD172">
            <v>14</v>
          </cell>
        </row>
        <row r="173">
          <cell r="F173">
            <v>308127</v>
          </cell>
          <cell r="G173">
            <v>122203</v>
          </cell>
          <cell r="I173">
            <v>1553</v>
          </cell>
          <cell r="K173">
            <v>538</v>
          </cell>
          <cell r="L173">
            <v>99731</v>
          </cell>
          <cell r="Z173">
            <v>2989</v>
          </cell>
          <cell r="AA173">
            <v>2068</v>
          </cell>
          <cell r="AC173">
            <v>2</v>
          </cell>
          <cell r="AD173">
            <v>14</v>
          </cell>
        </row>
        <row r="174">
          <cell r="F174">
            <v>300099</v>
          </cell>
          <cell r="G174">
            <v>119362</v>
          </cell>
          <cell r="I174">
            <v>1570</v>
          </cell>
          <cell r="K174">
            <v>189</v>
          </cell>
          <cell r="L174">
            <v>89666</v>
          </cell>
          <cell r="Z174">
            <v>2977</v>
          </cell>
          <cell r="AA174">
            <v>2086</v>
          </cell>
          <cell r="AC174">
            <v>2</v>
          </cell>
          <cell r="AD174">
            <v>14</v>
          </cell>
        </row>
        <row r="175">
          <cell r="F175">
            <v>307987</v>
          </cell>
          <cell r="G175">
            <v>120396</v>
          </cell>
          <cell r="I175">
            <v>1579</v>
          </cell>
          <cell r="K175">
            <v>11763</v>
          </cell>
          <cell r="L175">
            <v>87508</v>
          </cell>
          <cell r="Z175">
            <v>2983</v>
          </cell>
          <cell r="AA175">
            <v>2097</v>
          </cell>
          <cell r="AC175">
            <v>2</v>
          </cell>
          <cell r="AD175">
            <v>14</v>
          </cell>
        </row>
        <row r="176">
          <cell r="F176">
            <v>294577</v>
          </cell>
          <cell r="G176">
            <v>111834</v>
          </cell>
          <cell r="I176">
            <v>1586</v>
          </cell>
          <cell r="K176">
            <v>1141</v>
          </cell>
          <cell r="L176">
            <v>92170</v>
          </cell>
          <cell r="Z176">
            <v>2990</v>
          </cell>
          <cell r="AA176">
            <v>2106</v>
          </cell>
          <cell r="AC176">
            <v>2</v>
          </cell>
          <cell r="AD176">
            <v>14</v>
          </cell>
        </row>
        <row r="177">
          <cell r="F177">
            <v>334170</v>
          </cell>
          <cell r="G177">
            <v>127370</v>
          </cell>
          <cell r="I177">
            <v>1626</v>
          </cell>
          <cell r="K177">
            <v>15804</v>
          </cell>
          <cell r="L177">
            <v>107332</v>
          </cell>
          <cell r="Z177">
            <v>2997</v>
          </cell>
          <cell r="AA177">
            <v>2123</v>
          </cell>
          <cell r="AC177">
            <v>2</v>
          </cell>
          <cell r="AD177">
            <v>14</v>
          </cell>
        </row>
        <row r="178">
          <cell r="F178">
            <v>306974</v>
          </cell>
          <cell r="G178">
            <v>107069</v>
          </cell>
          <cell r="I178">
            <v>1599</v>
          </cell>
          <cell r="K178">
            <v>3710</v>
          </cell>
          <cell r="L178">
            <v>95957</v>
          </cell>
          <cell r="Z178">
            <v>2993</v>
          </cell>
          <cell r="AA178">
            <v>2131</v>
          </cell>
          <cell r="AC178">
            <v>2</v>
          </cell>
          <cell r="AD178">
            <v>14</v>
          </cell>
        </row>
        <row r="179">
          <cell r="F179">
            <v>336529</v>
          </cell>
          <cell r="G179">
            <v>121182</v>
          </cell>
          <cell r="I179">
            <v>1600</v>
          </cell>
          <cell r="K179">
            <v>52</v>
          </cell>
          <cell r="L179">
            <v>130303</v>
          </cell>
          <cell r="Z179">
            <v>3006</v>
          </cell>
          <cell r="AA179">
            <v>2144</v>
          </cell>
          <cell r="AC179">
            <v>2</v>
          </cell>
          <cell r="AD179">
            <v>14</v>
          </cell>
        </row>
        <row r="180">
          <cell r="F180">
            <v>327885</v>
          </cell>
          <cell r="G180">
            <v>115073</v>
          </cell>
          <cell r="I180">
            <v>1605</v>
          </cell>
          <cell r="K180">
            <v>9943</v>
          </cell>
          <cell r="L180">
            <v>135607</v>
          </cell>
          <cell r="Z180">
            <v>3040</v>
          </cell>
          <cell r="AA180">
            <v>2158</v>
          </cell>
          <cell r="AC180">
            <v>2</v>
          </cell>
          <cell r="AD180">
            <v>14</v>
          </cell>
        </row>
        <row r="181">
          <cell r="F181">
            <v>322477</v>
          </cell>
          <cell r="G181">
            <v>117418</v>
          </cell>
          <cell r="I181">
            <v>1704</v>
          </cell>
          <cell r="K181">
            <v>26181</v>
          </cell>
          <cell r="L181">
            <v>131802</v>
          </cell>
          <cell r="Z181">
            <v>3039</v>
          </cell>
          <cell r="AA181">
            <v>2168</v>
          </cell>
          <cell r="AC181">
            <v>2</v>
          </cell>
          <cell r="AD181">
            <v>14</v>
          </cell>
        </row>
        <row r="182">
          <cell r="F182">
            <v>326407</v>
          </cell>
          <cell r="G182">
            <v>106464</v>
          </cell>
          <cell r="I182">
            <v>1652</v>
          </cell>
          <cell r="K182">
            <v>38382</v>
          </cell>
          <cell r="L182">
            <v>145199</v>
          </cell>
          <cell r="Z182">
            <v>3047</v>
          </cell>
          <cell r="AA182">
            <v>2175</v>
          </cell>
          <cell r="AC182">
            <v>2</v>
          </cell>
          <cell r="AD182">
            <v>13</v>
          </cell>
        </row>
        <row r="183">
          <cell r="F183">
            <v>305246</v>
          </cell>
          <cell r="G183">
            <v>104298</v>
          </cell>
          <cell r="I183">
            <v>1645</v>
          </cell>
          <cell r="K183">
            <v>42972</v>
          </cell>
          <cell r="L183">
            <v>127585</v>
          </cell>
          <cell r="Z183">
            <v>3060</v>
          </cell>
          <cell r="AA183">
            <v>2178</v>
          </cell>
          <cell r="AC183">
            <v>2</v>
          </cell>
          <cell r="AD183">
            <v>14</v>
          </cell>
        </row>
        <row r="184">
          <cell r="F184">
            <v>307127</v>
          </cell>
          <cell r="G184">
            <v>107559</v>
          </cell>
          <cell r="I184">
            <v>1833</v>
          </cell>
          <cell r="K184">
            <v>24699</v>
          </cell>
          <cell r="L184">
            <v>106782</v>
          </cell>
          <cell r="Z184">
            <v>3055</v>
          </cell>
          <cell r="AA184">
            <v>2185</v>
          </cell>
          <cell r="AC184">
            <v>2</v>
          </cell>
          <cell r="AD184">
            <v>14</v>
          </cell>
        </row>
        <row r="185">
          <cell r="F185">
            <v>296650</v>
          </cell>
          <cell r="G185">
            <v>106509</v>
          </cell>
          <cell r="I185">
            <v>1682</v>
          </cell>
          <cell r="K185">
            <v>5272</v>
          </cell>
          <cell r="L185">
            <v>99206</v>
          </cell>
          <cell r="Z185">
            <v>3060</v>
          </cell>
          <cell r="AA185">
            <v>2187</v>
          </cell>
          <cell r="AC185">
            <v>2</v>
          </cell>
          <cell r="AD185">
            <v>13</v>
          </cell>
        </row>
        <row r="186">
          <cell r="F186">
            <v>288786</v>
          </cell>
          <cell r="G186">
            <v>105757</v>
          </cell>
          <cell r="I186">
            <v>1679</v>
          </cell>
          <cell r="K186">
            <v>604</v>
          </cell>
          <cell r="L186">
            <v>95537</v>
          </cell>
          <cell r="Z186">
            <v>3059</v>
          </cell>
          <cell r="AA186">
            <v>2190</v>
          </cell>
          <cell r="AC186">
            <v>2</v>
          </cell>
          <cell r="AD186">
            <v>13</v>
          </cell>
        </row>
        <row r="187">
          <cell r="F187">
            <v>310882</v>
          </cell>
          <cell r="G187">
            <v>109391</v>
          </cell>
          <cell r="I187">
            <v>1678</v>
          </cell>
          <cell r="K187">
            <v>59860</v>
          </cell>
          <cell r="L187">
            <v>124406</v>
          </cell>
          <cell r="Z187">
            <v>3098</v>
          </cell>
          <cell r="AA187">
            <v>2202</v>
          </cell>
          <cell r="AC187">
            <v>2</v>
          </cell>
          <cell r="AD187">
            <v>15</v>
          </cell>
        </row>
        <row r="188">
          <cell r="F188">
            <v>301610</v>
          </cell>
          <cell r="G188">
            <v>107513</v>
          </cell>
          <cell r="I188">
            <v>1520</v>
          </cell>
          <cell r="K188">
            <v>5945</v>
          </cell>
          <cell r="L188">
            <v>111536</v>
          </cell>
          <cell r="Z188">
            <v>3116</v>
          </cell>
          <cell r="AA188">
            <v>2217</v>
          </cell>
          <cell r="AC188">
            <v>2</v>
          </cell>
          <cell r="AD188">
            <v>15</v>
          </cell>
        </row>
        <row r="189">
          <cell r="F189">
            <v>302959</v>
          </cell>
          <cell r="G189">
            <v>103001</v>
          </cell>
          <cell r="I189">
            <v>1714</v>
          </cell>
          <cell r="K189">
            <v>665</v>
          </cell>
          <cell r="L189">
            <v>68398</v>
          </cell>
          <cell r="Z189">
            <v>3130</v>
          </cell>
          <cell r="AA189">
            <v>2229</v>
          </cell>
          <cell r="AC189">
            <v>2</v>
          </cell>
          <cell r="AD189">
            <v>15</v>
          </cell>
        </row>
        <row r="190">
          <cell r="F190">
            <v>289249</v>
          </cell>
          <cell r="G190">
            <v>92364</v>
          </cell>
          <cell r="I190">
            <v>1755</v>
          </cell>
          <cell r="K190">
            <v>290</v>
          </cell>
          <cell r="L190">
            <v>77423</v>
          </cell>
          <cell r="Z190">
            <v>3129</v>
          </cell>
          <cell r="AA190">
            <v>2252</v>
          </cell>
          <cell r="AC190">
            <v>2</v>
          </cell>
          <cell r="AD190">
            <v>16</v>
          </cell>
        </row>
        <row r="191">
          <cell r="F191">
            <v>296543</v>
          </cell>
          <cell r="G191">
            <v>91982</v>
          </cell>
          <cell r="I191">
            <v>1771</v>
          </cell>
          <cell r="K191">
            <v>243</v>
          </cell>
          <cell r="L191">
            <v>79487</v>
          </cell>
          <cell r="Z191">
            <v>3138</v>
          </cell>
          <cell r="AA191">
            <v>2266</v>
          </cell>
          <cell r="AC191">
            <v>2</v>
          </cell>
          <cell r="AD191">
            <v>16</v>
          </cell>
        </row>
        <row r="192">
          <cell r="F192">
            <v>280758</v>
          </cell>
          <cell r="G192">
            <v>76376</v>
          </cell>
          <cell r="I192">
            <v>1736</v>
          </cell>
          <cell r="K192">
            <v>18115</v>
          </cell>
          <cell r="L192">
            <v>98967</v>
          </cell>
          <cell r="Z192">
            <v>3133</v>
          </cell>
          <cell r="AA192">
            <v>2280</v>
          </cell>
          <cell r="AC192">
            <v>2</v>
          </cell>
          <cell r="AD192">
            <v>15</v>
          </cell>
        </row>
        <row r="193">
          <cell r="F193">
            <v>291580</v>
          </cell>
          <cell r="G193">
            <v>78952</v>
          </cell>
          <cell r="I193">
            <v>1777</v>
          </cell>
          <cell r="K193">
            <v>43243</v>
          </cell>
          <cell r="L193">
            <v>118869</v>
          </cell>
          <cell r="Z193">
            <v>3117</v>
          </cell>
          <cell r="AA193">
            <v>2285</v>
          </cell>
          <cell r="AC193">
            <v>2</v>
          </cell>
          <cell r="AD193">
            <v>16</v>
          </cell>
        </row>
        <row r="194">
          <cell r="F194">
            <v>283214</v>
          </cell>
          <cell r="G194">
            <v>74546</v>
          </cell>
          <cell r="I194">
            <v>1761</v>
          </cell>
          <cell r="K194">
            <v>46799</v>
          </cell>
          <cell r="L194">
            <v>115737</v>
          </cell>
          <cell r="Z194">
            <v>3119</v>
          </cell>
          <cell r="AA194">
            <v>2285</v>
          </cell>
          <cell r="AC194">
            <v>2</v>
          </cell>
          <cell r="AD194">
            <v>16</v>
          </cell>
        </row>
        <row r="195">
          <cell r="F195">
            <v>265989</v>
          </cell>
          <cell r="G195">
            <v>69638</v>
          </cell>
          <cell r="I195">
            <v>1781</v>
          </cell>
          <cell r="K195">
            <v>53768</v>
          </cell>
          <cell r="L195">
            <v>132777</v>
          </cell>
          <cell r="Z195">
            <v>3115</v>
          </cell>
          <cell r="AA195">
            <v>2281</v>
          </cell>
          <cell r="AC195">
            <v>2</v>
          </cell>
          <cell r="AD195">
            <v>16</v>
          </cell>
        </row>
        <row r="196">
          <cell r="F196">
            <v>274242</v>
          </cell>
          <cell r="G196">
            <v>77478</v>
          </cell>
          <cell r="I196">
            <v>1788</v>
          </cell>
          <cell r="K196">
            <v>43496</v>
          </cell>
          <cell r="L196">
            <v>126987</v>
          </cell>
          <cell r="Z196">
            <v>3111</v>
          </cell>
          <cell r="AA196">
            <v>2282</v>
          </cell>
          <cell r="AC196">
            <v>2</v>
          </cell>
          <cell r="AD196">
            <v>16</v>
          </cell>
        </row>
        <row r="197">
          <cell r="F197">
            <v>269896</v>
          </cell>
          <cell r="G197">
            <v>75938</v>
          </cell>
          <cell r="I197">
            <v>1823</v>
          </cell>
          <cell r="K197">
            <v>12109</v>
          </cell>
          <cell r="L197">
            <v>112723</v>
          </cell>
          <cell r="Z197">
            <v>3113</v>
          </cell>
          <cell r="AA197">
            <v>2291</v>
          </cell>
          <cell r="AC197">
            <v>2</v>
          </cell>
          <cell r="AD197">
            <v>16</v>
          </cell>
        </row>
        <row r="198">
          <cell r="F198">
            <v>262413</v>
          </cell>
          <cell r="G198">
            <v>76066</v>
          </cell>
          <cell r="I198">
            <v>1844</v>
          </cell>
          <cell r="K198">
            <v>395</v>
          </cell>
          <cell r="L198">
            <v>93848</v>
          </cell>
          <cell r="Z198">
            <v>3120</v>
          </cell>
          <cell r="AA198">
            <v>2299</v>
          </cell>
          <cell r="AC198">
            <v>2</v>
          </cell>
          <cell r="AD198">
            <v>16</v>
          </cell>
        </row>
        <row r="199">
          <cell r="F199">
            <v>258568</v>
          </cell>
          <cell r="G199">
            <v>75813</v>
          </cell>
          <cell r="I199">
            <v>1863</v>
          </cell>
          <cell r="K199">
            <v>6761</v>
          </cell>
          <cell r="L199">
            <v>89454</v>
          </cell>
          <cell r="Z199">
            <v>3112</v>
          </cell>
          <cell r="AA199">
            <v>2312</v>
          </cell>
          <cell r="AC199">
            <v>2</v>
          </cell>
          <cell r="AD199">
            <v>16</v>
          </cell>
        </row>
        <row r="200">
          <cell r="F200">
            <v>254841</v>
          </cell>
          <cell r="G200">
            <v>81779</v>
          </cell>
          <cell r="I200">
            <v>1867</v>
          </cell>
          <cell r="K200">
            <v>7220</v>
          </cell>
          <cell r="L200">
            <v>71991</v>
          </cell>
          <cell r="Z200">
            <v>3113</v>
          </cell>
          <cell r="AA200">
            <v>2324</v>
          </cell>
          <cell r="AC200">
            <v>2</v>
          </cell>
          <cell r="AD200">
            <v>15</v>
          </cell>
        </row>
        <row r="201">
          <cell r="F201">
            <v>272291</v>
          </cell>
          <cell r="G201">
            <v>80357</v>
          </cell>
          <cell r="I201">
            <v>1861</v>
          </cell>
          <cell r="K201">
            <v>12731</v>
          </cell>
          <cell r="L201">
            <v>64254</v>
          </cell>
          <cell r="Z201">
            <v>3115</v>
          </cell>
          <cell r="AA201">
            <v>2338</v>
          </cell>
          <cell r="AC201">
            <v>2</v>
          </cell>
          <cell r="AD201">
            <v>15</v>
          </cell>
        </row>
        <row r="202">
          <cell r="F202">
            <v>288721</v>
          </cell>
          <cell r="G202">
            <v>84377</v>
          </cell>
          <cell r="I202">
            <v>1902</v>
          </cell>
          <cell r="K202">
            <v>2726</v>
          </cell>
          <cell r="L202">
            <v>86429</v>
          </cell>
          <cell r="Z202">
            <v>3121</v>
          </cell>
          <cell r="AA202">
            <v>2347</v>
          </cell>
          <cell r="AC202">
            <v>2</v>
          </cell>
          <cell r="AD202">
            <v>14</v>
          </cell>
        </row>
        <row r="203">
          <cell r="F203">
            <v>278866</v>
          </cell>
          <cell r="G203">
            <v>78366</v>
          </cell>
          <cell r="I203">
            <v>1933</v>
          </cell>
          <cell r="K203">
            <v>6146</v>
          </cell>
          <cell r="L203">
            <v>116808</v>
          </cell>
          <cell r="Z203">
            <v>3111</v>
          </cell>
          <cell r="AA203">
            <v>2350</v>
          </cell>
          <cell r="AC203">
            <v>2</v>
          </cell>
          <cell r="AD203">
            <v>15</v>
          </cell>
        </row>
        <row r="204">
          <cell r="F204">
            <v>272831</v>
          </cell>
          <cell r="G204">
            <v>76254</v>
          </cell>
          <cell r="I204">
            <v>1959</v>
          </cell>
          <cell r="K204">
            <v>24207</v>
          </cell>
          <cell r="L204">
            <v>114218</v>
          </cell>
          <cell r="Z204">
            <v>3109</v>
          </cell>
          <cell r="AA204">
            <v>2358</v>
          </cell>
          <cell r="AC204">
            <v>2</v>
          </cell>
          <cell r="AD204">
            <v>14</v>
          </cell>
        </row>
        <row r="205">
          <cell r="F205">
            <v>299001</v>
          </cell>
          <cell r="G205">
            <v>87355</v>
          </cell>
          <cell r="I205">
            <v>1937</v>
          </cell>
          <cell r="K205">
            <v>41774</v>
          </cell>
          <cell r="L205">
            <v>111217</v>
          </cell>
          <cell r="Z205">
            <v>3126</v>
          </cell>
          <cell r="AA205">
            <v>2373</v>
          </cell>
          <cell r="AC205">
            <v>2</v>
          </cell>
          <cell r="AD205">
            <v>14</v>
          </cell>
        </row>
        <row r="206">
          <cell r="F206">
            <v>283550</v>
          </cell>
          <cell r="G206">
            <v>80623</v>
          </cell>
          <cell r="I206">
            <v>1945</v>
          </cell>
          <cell r="K206">
            <v>43375</v>
          </cell>
          <cell r="L206">
            <v>110405</v>
          </cell>
          <cell r="Z206">
            <v>3128</v>
          </cell>
          <cell r="AA206">
            <v>2376</v>
          </cell>
          <cell r="AC206">
            <v>2</v>
          </cell>
          <cell r="AD206">
            <v>14</v>
          </cell>
        </row>
        <row r="207">
          <cell r="F207">
            <v>276172</v>
          </cell>
          <cell r="G207">
            <v>74013</v>
          </cell>
          <cell r="I207">
            <v>1956</v>
          </cell>
          <cell r="K207">
            <v>58486</v>
          </cell>
          <cell r="L207">
            <v>116252</v>
          </cell>
          <cell r="Z207">
            <v>3146</v>
          </cell>
          <cell r="AA207">
            <v>2360</v>
          </cell>
          <cell r="AC207">
            <v>2</v>
          </cell>
          <cell r="AD207">
            <v>14</v>
          </cell>
        </row>
        <row r="208">
          <cell r="F208">
            <v>279993</v>
          </cell>
          <cell r="G208">
            <v>85218</v>
          </cell>
          <cell r="I208">
            <v>1964</v>
          </cell>
          <cell r="K208">
            <v>57318</v>
          </cell>
          <cell r="L208">
            <v>82740</v>
          </cell>
          <cell r="Z208">
            <v>3142</v>
          </cell>
          <cell r="AA208">
            <v>2347</v>
          </cell>
          <cell r="AC208">
            <v>2</v>
          </cell>
          <cell r="AD208">
            <v>14</v>
          </cell>
        </row>
        <row r="209">
          <cell r="F209">
            <v>275720</v>
          </cell>
          <cell r="G209">
            <v>80351</v>
          </cell>
          <cell r="I209">
            <v>1975</v>
          </cell>
          <cell r="K209">
            <v>2197</v>
          </cell>
          <cell r="L209">
            <v>89879</v>
          </cell>
          <cell r="Z209">
            <v>3146</v>
          </cell>
          <cell r="AA209">
            <v>2346</v>
          </cell>
          <cell r="AC209">
            <v>2</v>
          </cell>
          <cell r="AD209">
            <v>15</v>
          </cell>
        </row>
        <row r="210">
          <cell r="F210">
            <v>274569</v>
          </cell>
          <cell r="G210">
            <v>84486</v>
          </cell>
          <cell r="I210">
            <v>1978</v>
          </cell>
          <cell r="K210">
            <v>9355</v>
          </cell>
          <cell r="L210">
            <v>82564</v>
          </cell>
          <cell r="Z210">
            <v>3144</v>
          </cell>
          <cell r="AA210">
            <v>2346</v>
          </cell>
          <cell r="AC210">
            <v>2</v>
          </cell>
          <cell r="AD210">
            <v>14</v>
          </cell>
        </row>
        <row r="211">
          <cell r="F211">
            <v>263618</v>
          </cell>
          <cell r="G211">
            <v>81731</v>
          </cell>
          <cell r="I211">
            <v>1967</v>
          </cell>
          <cell r="K211">
            <v>11797</v>
          </cell>
          <cell r="L211">
            <v>82295</v>
          </cell>
          <cell r="Z211">
            <v>3144</v>
          </cell>
          <cell r="AA211">
            <v>2352</v>
          </cell>
          <cell r="AC211">
            <v>2</v>
          </cell>
          <cell r="AD211">
            <v>14</v>
          </cell>
        </row>
        <row r="212">
          <cell r="F212">
            <v>258535</v>
          </cell>
          <cell r="G212">
            <v>76862</v>
          </cell>
          <cell r="I212">
            <v>1951</v>
          </cell>
          <cell r="K212">
            <v>38397</v>
          </cell>
          <cell r="L212">
            <v>68240</v>
          </cell>
          <cell r="Z212">
            <v>3156</v>
          </cell>
          <cell r="AA212">
            <v>2361</v>
          </cell>
          <cell r="AC212">
            <v>2</v>
          </cell>
          <cell r="AD212">
            <v>14</v>
          </cell>
        </row>
        <row r="213">
          <cell r="F213">
            <v>279192</v>
          </cell>
          <cell r="G213">
            <v>85207</v>
          </cell>
          <cell r="I213">
            <v>2006</v>
          </cell>
          <cell r="K213">
            <v>10299</v>
          </cell>
          <cell r="L213">
            <v>62333</v>
          </cell>
          <cell r="Z213">
            <v>3146</v>
          </cell>
          <cell r="AA213">
            <v>2374</v>
          </cell>
          <cell r="AC213">
            <v>2</v>
          </cell>
          <cell r="AD213">
            <v>15</v>
          </cell>
        </row>
        <row r="214">
          <cell r="F214">
            <v>274429</v>
          </cell>
          <cell r="G214">
            <v>74233</v>
          </cell>
          <cell r="I214">
            <v>2021</v>
          </cell>
          <cell r="K214">
            <v>2785</v>
          </cell>
          <cell r="L214">
            <v>68469</v>
          </cell>
          <cell r="Z214">
            <v>3136</v>
          </cell>
          <cell r="AA214">
            <v>2374</v>
          </cell>
          <cell r="AC214">
            <v>2</v>
          </cell>
          <cell r="AD214">
            <v>14</v>
          </cell>
        </row>
        <row r="215">
          <cell r="F215">
            <v>272174</v>
          </cell>
          <cell r="G215">
            <v>69386</v>
          </cell>
          <cell r="I215">
            <v>2010</v>
          </cell>
          <cell r="K215">
            <v>961</v>
          </cell>
          <cell r="L215">
            <v>92631</v>
          </cell>
          <cell r="Z215">
            <v>3117</v>
          </cell>
          <cell r="AA215">
            <v>2379</v>
          </cell>
          <cell r="AC215">
            <v>2</v>
          </cell>
          <cell r="AD215">
            <v>13</v>
          </cell>
        </row>
        <row r="216">
          <cell r="F216">
            <v>271850</v>
          </cell>
          <cell r="G216">
            <v>61636</v>
          </cell>
          <cell r="I216">
            <v>2022</v>
          </cell>
          <cell r="K216">
            <v>6734</v>
          </cell>
          <cell r="L216">
            <v>104547</v>
          </cell>
          <cell r="Z216">
            <v>3138</v>
          </cell>
          <cell r="AA216">
            <v>2385</v>
          </cell>
          <cell r="AC216">
            <v>2</v>
          </cell>
          <cell r="AD216">
            <v>15</v>
          </cell>
        </row>
        <row r="217">
          <cell r="F217">
            <v>277899</v>
          </cell>
          <cell r="G217">
            <v>71015</v>
          </cell>
          <cell r="I217">
            <v>2037</v>
          </cell>
          <cell r="K217">
            <v>55511</v>
          </cell>
          <cell r="L217">
            <v>131215</v>
          </cell>
          <cell r="Z217">
            <v>3136</v>
          </cell>
          <cell r="AA217">
            <v>2390</v>
          </cell>
          <cell r="AC217">
            <v>2</v>
          </cell>
          <cell r="AD217">
            <v>15</v>
          </cell>
        </row>
        <row r="218">
          <cell r="F218">
            <v>276251</v>
          </cell>
          <cell r="G218">
            <v>71854</v>
          </cell>
          <cell r="I218">
            <v>2051</v>
          </cell>
          <cell r="K218">
            <v>99634</v>
          </cell>
          <cell r="L218">
            <v>132634</v>
          </cell>
          <cell r="Z218">
            <v>3134</v>
          </cell>
          <cell r="AA218">
            <v>2401</v>
          </cell>
          <cell r="AC218">
            <v>2</v>
          </cell>
          <cell r="AD218">
            <v>15</v>
          </cell>
        </row>
        <row r="219">
          <cell r="F219">
            <v>269777</v>
          </cell>
          <cell r="G219">
            <v>70399</v>
          </cell>
          <cell r="I219">
            <v>2055</v>
          </cell>
          <cell r="K219">
            <v>56351</v>
          </cell>
          <cell r="L219">
            <v>114873</v>
          </cell>
          <cell r="Z219">
            <v>3123</v>
          </cell>
          <cell r="AA219">
            <v>2404</v>
          </cell>
          <cell r="AC219">
            <v>2</v>
          </cell>
          <cell r="AD219">
            <v>14</v>
          </cell>
        </row>
        <row r="220">
          <cell r="F220">
            <v>267515</v>
          </cell>
          <cell r="G220">
            <v>74096</v>
          </cell>
          <cell r="I220">
            <v>2085</v>
          </cell>
          <cell r="K220">
            <v>52718</v>
          </cell>
          <cell r="L220">
            <v>100540</v>
          </cell>
          <cell r="Z220">
            <v>3134</v>
          </cell>
          <cell r="AA220">
            <v>2389</v>
          </cell>
          <cell r="AC220">
            <v>2</v>
          </cell>
          <cell r="AD220">
            <v>15</v>
          </cell>
        </row>
        <row r="221">
          <cell r="F221">
            <v>268657</v>
          </cell>
          <cell r="G221">
            <v>73890</v>
          </cell>
          <cell r="I221">
            <v>2037</v>
          </cell>
          <cell r="K221">
            <v>653</v>
          </cell>
          <cell r="L221">
            <v>85141</v>
          </cell>
          <cell r="Z221">
            <v>3132</v>
          </cell>
          <cell r="AA221">
            <v>2385</v>
          </cell>
          <cell r="AC221">
            <v>2</v>
          </cell>
          <cell r="AD221">
            <v>15</v>
          </cell>
        </row>
        <row r="222">
          <cell r="F222">
            <v>241551</v>
          </cell>
          <cell r="G222">
            <v>49734</v>
          </cell>
          <cell r="I222">
            <v>2082</v>
          </cell>
          <cell r="K222">
            <v>6585</v>
          </cell>
          <cell r="L222">
            <v>99265</v>
          </cell>
          <cell r="Z222">
            <v>3115</v>
          </cell>
          <cell r="AA222">
            <v>2382</v>
          </cell>
          <cell r="AC222">
            <v>2</v>
          </cell>
          <cell r="AD222">
            <v>15</v>
          </cell>
        </row>
        <row r="223">
          <cell r="F223">
            <v>271061</v>
          </cell>
          <cell r="G223">
            <v>74391</v>
          </cell>
          <cell r="I223">
            <v>2061</v>
          </cell>
          <cell r="K223">
            <v>13595</v>
          </cell>
          <cell r="L223">
            <v>69305</v>
          </cell>
          <cell r="Z223">
            <v>3114</v>
          </cell>
          <cell r="AA223">
            <v>2382</v>
          </cell>
          <cell r="AC223">
            <v>2</v>
          </cell>
          <cell r="AD223">
            <v>14</v>
          </cell>
        </row>
        <row r="224">
          <cell r="F224">
            <v>268694</v>
          </cell>
          <cell r="G224">
            <v>73227</v>
          </cell>
          <cell r="I224">
            <v>2061</v>
          </cell>
          <cell r="K224">
            <v>8865</v>
          </cell>
          <cell r="L224">
            <v>78476</v>
          </cell>
          <cell r="Z224">
            <v>3114</v>
          </cell>
          <cell r="AA224">
            <v>2386</v>
          </cell>
          <cell r="AC224">
            <v>2</v>
          </cell>
          <cell r="AD224">
            <v>14</v>
          </cell>
        </row>
        <row r="225">
          <cell r="F225">
            <v>282874</v>
          </cell>
          <cell r="G225">
            <v>81873</v>
          </cell>
          <cell r="I225">
            <v>2080</v>
          </cell>
          <cell r="K225">
            <v>16634</v>
          </cell>
          <cell r="L225">
            <v>68736</v>
          </cell>
          <cell r="Z225">
            <v>3102</v>
          </cell>
          <cell r="AA225">
            <v>2387</v>
          </cell>
          <cell r="AC225">
            <v>2</v>
          </cell>
          <cell r="AD225">
            <v>14</v>
          </cell>
        </row>
        <row r="226">
          <cell r="F226">
            <v>299119</v>
          </cell>
          <cell r="G226">
            <v>82930</v>
          </cell>
          <cell r="I226">
            <v>2076</v>
          </cell>
          <cell r="K226">
            <v>14998</v>
          </cell>
          <cell r="L226">
            <v>97859</v>
          </cell>
          <cell r="Z226">
            <v>3110</v>
          </cell>
          <cell r="AA226">
            <v>2380</v>
          </cell>
          <cell r="AC226">
            <v>2</v>
          </cell>
          <cell r="AD226">
            <v>14</v>
          </cell>
        </row>
        <row r="227">
          <cell r="F227">
            <v>297012</v>
          </cell>
          <cell r="G227">
            <v>74509</v>
          </cell>
          <cell r="I227">
            <v>2097</v>
          </cell>
          <cell r="K227">
            <v>381</v>
          </cell>
          <cell r="L227">
            <v>92246</v>
          </cell>
          <cell r="Z227">
            <v>3093</v>
          </cell>
          <cell r="AA227">
            <v>2399</v>
          </cell>
          <cell r="AC227">
            <v>2</v>
          </cell>
          <cell r="AD227">
            <v>13</v>
          </cell>
        </row>
        <row r="228">
          <cell r="F228">
            <v>286731</v>
          </cell>
          <cell r="G228">
            <v>67860</v>
          </cell>
          <cell r="I228">
            <v>2136</v>
          </cell>
          <cell r="K228">
            <v>9325</v>
          </cell>
          <cell r="L228">
            <v>112324</v>
          </cell>
          <cell r="Z228">
            <v>3098</v>
          </cell>
          <cell r="AA228">
            <v>2406</v>
          </cell>
          <cell r="AC228">
            <v>2</v>
          </cell>
          <cell r="AD228">
            <v>14</v>
          </cell>
        </row>
        <row r="229">
          <cell r="F229">
            <v>289429</v>
          </cell>
          <cell r="G229">
            <v>72296</v>
          </cell>
          <cell r="I229">
            <v>2111</v>
          </cell>
          <cell r="K229">
            <v>73444</v>
          </cell>
          <cell r="L229">
            <v>143272</v>
          </cell>
          <cell r="Z229">
            <v>3110</v>
          </cell>
          <cell r="AA229">
            <v>2405</v>
          </cell>
          <cell r="AC229">
            <v>2</v>
          </cell>
          <cell r="AD229">
            <v>14</v>
          </cell>
        </row>
        <row r="230">
          <cell r="F230">
            <v>297681</v>
          </cell>
          <cell r="G230">
            <v>73226</v>
          </cell>
          <cell r="I230">
            <v>2125</v>
          </cell>
          <cell r="K230">
            <v>101956</v>
          </cell>
          <cell r="L230">
            <v>147849</v>
          </cell>
          <cell r="Z230">
            <v>3105</v>
          </cell>
          <cell r="AA230">
            <v>2408</v>
          </cell>
          <cell r="AC230">
            <v>2</v>
          </cell>
          <cell r="AD230">
            <v>14</v>
          </cell>
        </row>
        <row r="231">
          <cell r="F231">
            <v>281630</v>
          </cell>
          <cell r="G231">
            <v>72399</v>
          </cell>
          <cell r="I231">
            <v>2173</v>
          </cell>
          <cell r="K231">
            <v>109208</v>
          </cell>
          <cell r="L231">
            <v>141240</v>
          </cell>
          <cell r="Z231">
            <v>3108</v>
          </cell>
          <cell r="AA231">
            <v>2408</v>
          </cell>
          <cell r="AC231">
            <v>2</v>
          </cell>
          <cell r="AD231">
            <v>14</v>
          </cell>
        </row>
        <row r="232">
          <cell r="F232">
            <v>277521</v>
          </cell>
          <cell r="G232">
            <v>75487</v>
          </cell>
          <cell r="I232">
            <v>2121</v>
          </cell>
          <cell r="K232">
            <v>73492</v>
          </cell>
          <cell r="L232">
            <v>124544</v>
          </cell>
          <cell r="Z232">
            <v>3116</v>
          </cell>
          <cell r="AA232">
            <v>2389</v>
          </cell>
          <cell r="AC232">
            <v>2</v>
          </cell>
          <cell r="AD232">
            <v>14</v>
          </cell>
        </row>
        <row r="233">
          <cell r="F233">
            <v>287496</v>
          </cell>
          <cell r="G233">
            <v>82043</v>
          </cell>
          <cell r="I233">
            <v>2171</v>
          </cell>
          <cell r="K233">
            <v>9040</v>
          </cell>
          <cell r="L233">
            <v>82230</v>
          </cell>
          <cell r="Z233">
            <v>3103</v>
          </cell>
          <cell r="AA233">
            <v>2397</v>
          </cell>
          <cell r="AC233">
            <v>2</v>
          </cell>
          <cell r="AD233">
            <v>14</v>
          </cell>
        </row>
        <row r="234">
          <cell r="F234">
            <v>273630</v>
          </cell>
          <cell r="G234">
            <v>85048</v>
          </cell>
          <cell r="I234">
            <v>2158</v>
          </cell>
          <cell r="K234">
            <v>7711</v>
          </cell>
          <cell r="L234">
            <v>82192</v>
          </cell>
          <cell r="Z234">
            <v>3102</v>
          </cell>
          <cell r="AA234">
            <v>2385</v>
          </cell>
          <cell r="AC234">
            <v>2</v>
          </cell>
          <cell r="AD234">
            <v>14</v>
          </cell>
        </row>
        <row r="235">
          <cell r="F235">
            <v>284319</v>
          </cell>
          <cell r="G235">
            <v>84981</v>
          </cell>
          <cell r="I235">
            <v>2114</v>
          </cell>
          <cell r="K235">
            <v>23881</v>
          </cell>
          <cell r="L235">
            <v>90472</v>
          </cell>
          <cell r="Z235">
            <v>3112</v>
          </cell>
          <cell r="AA235">
            <v>2401</v>
          </cell>
          <cell r="AC235">
            <v>2</v>
          </cell>
          <cell r="AD235">
            <v>13</v>
          </cell>
        </row>
        <row r="236">
          <cell r="F236">
            <v>272251</v>
          </cell>
          <cell r="G236">
            <v>78024</v>
          </cell>
          <cell r="I236">
            <v>2166</v>
          </cell>
          <cell r="K236">
            <v>71264</v>
          </cell>
          <cell r="L236">
            <v>83304</v>
          </cell>
          <cell r="Z236">
            <v>3144</v>
          </cell>
          <cell r="AA236">
            <v>2396</v>
          </cell>
          <cell r="AC236">
            <v>2</v>
          </cell>
          <cell r="AD236">
            <v>13</v>
          </cell>
        </row>
        <row r="237">
          <cell r="F237">
            <v>320787</v>
          </cell>
          <cell r="G237">
            <v>90401</v>
          </cell>
          <cell r="I237">
            <v>2189</v>
          </cell>
          <cell r="K237">
            <v>15623</v>
          </cell>
          <cell r="L237">
            <v>99256</v>
          </cell>
          <cell r="Z237">
            <v>3181</v>
          </cell>
          <cell r="AA237">
            <v>2394</v>
          </cell>
          <cell r="AC237">
            <v>2</v>
          </cell>
          <cell r="AD237">
            <v>14</v>
          </cell>
        </row>
        <row r="238">
          <cell r="F238">
            <v>301246</v>
          </cell>
          <cell r="G238">
            <v>80345</v>
          </cell>
          <cell r="I238">
            <v>2186</v>
          </cell>
          <cell r="K238">
            <v>5834</v>
          </cell>
          <cell r="L238">
            <v>113731</v>
          </cell>
          <cell r="Z238">
            <v>3176</v>
          </cell>
          <cell r="AA238">
            <v>2435</v>
          </cell>
          <cell r="AC238">
            <v>2</v>
          </cell>
          <cell r="AD238">
            <v>14</v>
          </cell>
        </row>
        <row r="239">
          <cell r="F239">
            <v>306980</v>
          </cell>
          <cell r="G239">
            <v>83028</v>
          </cell>
          <cell r="I239">
            <v>2190</v>
          </cell>
          <cell r="K239">
            <v>11916</v>
          </cell>
          <cell r="L239">
            <v>141759</v>
          </cell>
          <cell r="Z239">
            <v>3202</v>
          </cell>
          <cell r="AA239">
            <v>2434</v>
          </cell>
          <cell r="AC239">
            <v>2</v>
          </cell>
          <cell r="AD239">
            <v>14</v>
          </cell>
        </row>
        <row r="240">
          <cell r="F240">
            <v>308391</v>
          </cell>
          <cell r="G240">
            <v>80184</v>
          </cell>
          <cell r="I240">
            <v>2207</v>
          </cell>
          <cell r="K240">
            <v>39872</v>
          </cell>
          <cell r="L240">
            <v>149127</v>
          </cell>
          <cell r="Z240">
            <v>3199</v>
          </cell>
          <cell r="AA240">
            <v>2438</v>
          </cell>
          <cell r="AC240">
            <v>2</v>
          </cell>
          <cell r="AD240">
            <v>14</v>
          </cell>
        </row>
        <row r="241">
          <cell r="F241">
            <v>298600</v>
          </cell>
          <cell r="G241">
            <v>84244</v>
          </cell>
          <cell r="I241">
            <v>2214</v>
          </cell>
          <cell r="K241">
            <v>77007</v>
          </cell>
          <cell r="L241">
            <v>145532</v>
          </cell>
          <cell r="Z241">
            <v>3214</v>
          </cell>
          <cell r="AA241">
            <v>2443</v>
          </cell>
          <cell r="AC241">
            <v>2</v>
          </cell>
          <cell r="AD241">
            <v>14</v>
          </cell>
        </row>
        <row r="242">
          <cell r="F242">
            <v>326733</v>
          </cell>
          <cell r="G242">
            <v>96843</v>
          </cell>
          <cell r="I242">
            <v>2201</v>
          </cell>
          <cell r="K242">
            <v>72769</v>
          </cell>
          <cell r="L242">
            <v>145281</v>
          </cell>
          <cell r="Z242">
            <v>3231</v>
          </cell>
          <cell r="AA242">
            <v>2445</v>
          </cell>
          <cell r="AC242">
            <v>2</v>
          </cell>
          <cell r="AD242">
            <v>13</v>
          </cell>
        </row>
        <row r="243">
          <cell r="F243">
            <v>295256</v>
          </cell>
          <cell r="G243">
            <v>85580</v>
          </cell>
          <cell r="I243">
            <v>2224</v>
          </cell>
          <cell r="K243">
            <v>70769</v>
          </cell>
          <cell r="L243">
            <v>125066</v>
          </cell>
          <cell r="Z243">
            <v>3228</v>
          </cell>
          <cell r="AA243">
            <v>2437</v>
          </cell>
          <cell r="AC243">
            <v>2</v>
          </cell>
          <cell r="AD243">
            <v>13</v>
          </cell>
        </row>
        <row r="244">
          <cell r="F244">
            <v>287584</v>
          </cell>
          <cell r="G244">
            <v>77942</v>
          </cell>
          <cell r="I244">
            <v>2238</v>
          </cell>
          <cell r="K244">
            <v>48471</v>
          </cell>
          <cell r="L244">
            <v>101883</v>
          </cell>
          <cell r="Z244">
            <v>3220</v>
          </cell>
          <cell r="AA244">
            <v>2427</v>
          </cell>
          <cell r="AC244">
            <v>2</v>
          </cell>
          <cell r="AD244">
            <v>13</v>
          </cell>
        </row>
        <row r="245">
          <cell r="F245">
            <v>303821</v>
          </cell>
          <cell r="G245">
            <v>86666</v>
          </cell>
          <cell r="I245">
            <v>2229</v>
          </cell>
          <cell r="K245">
            <v>10727</v>
          </cell>
          <cell r="L245">
            <v>85498</v>
          </cell>
          <cell r="Z245">
            <v>3219</v>
          </cell>
          <cell r="AA245">
            <v>2420</v>
          </cell>
          <cell r="AC245">
            <v>2</v>
          </cell>
          <cell r="AD245">
            <v>13</v>
          </cell>
        </row>
        <row r="246">
          <cell r="F246">
            <v>286886</v>
          </cell>
          <cell r="G246">
            <v>90999</v>
          </cell>
          <cell r="I246">
            <v>2234</v>
          </cell>
          <cell r="K246">
            <v>2165</v>
          </cell>
          <cell r="L246">
            <v>79979</v>
          </cell>
          <cell r="Z246">
            <v>3235</v>
          </cell>
          <cell r="AA246">
            <v>2417</v>
          </cell>
          <cell r="AC246">
            <v>2</v>
          </cell>
          <cell r="AD246">
            <v>14</v>
          </cell>
        </row>
        <row r="247">
          <cell r="F247">
            <v>292513</v>
          </cell>
          <cell r="G247">
            <v>94195</v>
          </cell>
          <cell r="I247">
            <v>2278</v>
          </cell>
          <cell r="K247">
            <v>10701</v>
          </cell>
          <cell r="L247">
            <v>74972</v>
          </cell>
          <cell r="Z247">
            <v>3228</v>
          </cell>
          <cell r="AA247">
            <v>2420</v>
          </cell>
          <cell r="AC247">
            <v>2</v>
          </cell>
          <cell r="AD247">
            <v>13</v>
          </cell>
        </row>
        <row r="248">
          <cell r="F248">
            <v>281074</v>
          </cell>
          <cell r="G248">
            <v>89880</v>
          </cell>
          <cell r="I248">
            <v>2184</v>
          </cell>
          <cell r="K248">
            <v>51523</v>
          </cell>
          <cell r="L248">
            <v>81646</v>
          </cell>
          <cell r="Z248">
            <v>2985</v>
          </cell>
          <cell r="AA248">
            <v>2240</v>
          </cell>
          <cell r="AC248">
            <v>2</v>
          </cell>
          <cell r="AD248">
            <v>13</v>
          </cell>
        </row>
        <row r="249">
          <cell r="F249">
            <v>343083</v>
          </cell>
          <cell r="G249">
            <v>102775</v>
          </cell>
          <cell r="I249">
            <v>2281</v>
          </cell>
          <cell r="K249">
            <v>45577</v>
          </cell>
          <cell r="L249">
            <v>76596</v>
          </cell>
          <cell r="Z249">
            <v>3498</v>
          </cell>
          <cell r="AA249">
            <v>2574</v>
          </cell>
          <cell r="AC249">
            <v>2</v>
          </cell>
          <cell r="AD249">
            <v>15</v>
          </cell>
        </row>
        <row r="250">
          <cell r="F250">
            <v>317815</v>
          </cell>
          <cell r="G250">
            <v>92253</v>
          </cell>
          <cell r="I250">
            <v>2266</v>
          </cell>
          <cell r="K250">
            <v>2678</v>
          </cell>
          <cell r="L250">
            <v>74683</v>
          </cell>
          <cell r="Z250">
            <v>3130</v>
          </cell>
          <cell r="AA250">
            <v>2436</v>
          </cell>
          <cell r="AC250">
            <v>2</v>
          </cell>
          <cell r="AD250">
            <v>13</v>
          </cell>
        </row>
        <row r="251">
          <cell r="F251">
            <v>340648</v>
          </cell>
          <cell r="G251">
            <v>100935</v>
          </cell>
          <cell r="I251">
            <v>2291</v>
          </cell>
          <cell r="K251">
            <v>9639</v>
          </cell>
          <cell r="L251">
            <v>102909</v>
          </cell>
          <cell r="Z251">
            <v>3148</v>
          </cell>
          <cell r="AA251">
            <v>2447</v>
          </cell>
          <cell r="AC251">
            <v>2</v>
          </cell>
          <cell r="AD251">
            <v>13</v>
          </cell>
        </row>
        <row r="252">
          <cell r="F252">
            <v>319163</v>
          </cell>
          <cell r="G252">
            <v>101594</v>
          </cell>
          <cell r="I252">
            <v>2283</v>
          </cell>
          <cell r="K252">
            <v>89524</v>
          </cell>
          <cell r="L252">
            <v>115839</v>
          </cell>
          <cell r="Z252">
            <v>3107</v>
          </cell>
          <cell r="AA252">
            <v>2424</v>
          </cell>
          <cell r="AC252">
            <v>2</v>
          </cell>
          <cell r="AD252">
            <v>14</v>
          </cell>
        </row>
        <row r="253">
          <cell r="F253">
            <v>320662</v>
          </cell>
          <cell r="G253">
            <v>105862</v>
          </cell>
          <cell r="I253">
            <v>2243</v>
          </cell>
          <cell r="K253">
            <v>79411</v>
          </cell>
          <cell r="L253">
            <v>115115</v>
          </cell>
          <cell r="Z253">
            <v>3092</v>
          </cell>
          <cell r="AA253">
            <v>2432</v>
          </cell>
          <cell r="AC253">
            <v>2</v>
          </cell>
          <cell r="AD253">
            <v>14</v>
          </cell>
        </row>
        <row r="254">
          <cell r="F254">
            <v>350293</v>
          </cell>
          <cell r="G254">
            <v>110676</v>
          </cell>
          <cell r="I254">
            <v>2248</v>
          </cell>
          <cell r="K254">
            <v>128779</v>
          </cell>
          <cell r="L254">
            <v>126233</v>
          </cell>
          <cell r="Z254">
            <v>3109</v>
          </cell>
          <cell r="AA254">
            <v>2470</v>
          </cell>
          <cell r="AC254">
            <v>2</v>
          </cell>
          <cell r="AD254">
            <v>14</v>
          </cell>
        </row>
        <row r="255">
          <cell r="F255">
            <v>333717</v>
          </cell>
          <cell r="G255">
            <v>114586</v>
          </cell>
          <cell r="I255">
            <v>2330</v>
          </cell>
          <cell r="K255">
            <v>124564</v>
          </cell>
          <cell r="L255">
            <v>133740</v>
          </cell>
          <cell r="Z255">
            <v>3073</v>
          </cell>
          <cell r="AA255">
            <v>2482</v>
          </cell>
          <cell r="AC255">
            <v>2</v>
          </cell>
          <cell r="AD255">
            <v>18</v>
          </cell>
        </row>
        <row r="256">
          <cell r="F256">
            <v>330082</v>
          </cell>
          <cell r="G256">
            <v>114427</v>
          </cell>
          <cell r="I256">
            <v>2354</v>
          </cell>
          <cell r="K256">
            <v>91152</v>
          </cell>
          <cell r="L256">
            <v>103909</v>
          </cell>
          <cell r="Z256">
            <v>3103</v>
          </cell>
          <cell r="AA256">
            <v>2443</v>
          </cell>
          <cell r="AC256">
            <v>3</v>
          </cell>
          <cell r="AD256">
            <v>15</v>
          </cell>
        </row>
        <row r="257">
          <cell r="F257">
            <v>348483</v>
          </cell>
          <cell r="G257">
            <v>128538</v>
          </cell>
          <cell r="I257">
            <v>2230</v>
          </cell>
          <cell r="K257">
            <v>36665</v>
          </cell>
          <cell r="L257">
            <v>88423</v>
          </cell>
          <cell r="Z257">
            <v>3012</v>
          </cell>
          <cell r="AA257">
            <v>2395</v>
          </cell>
          <cell r="AC257">
            <v>2</v>
          </cell>
          <cell r="AD257">
            <v>15</v>
          </cell>
        </row>
        <row r="258">
          <cell r="F258">
            <v>319114</v>
          </cell>
          <cell r="G258">
            <v>119617</v>
          </cell>
          <cell r="I258">
            <v>2252</v>
          </cell>
          <cell r="K258">
            <v>18831</v>
          </cell>
          <cell r="L258">
            <v>89624</v>
          </cell>
          <cell r="Z258">
            <v>3026</v>
          </cell>
          <cell r="AA258">
            <v>2385</v>
          </cell>
          <cell r="AC258">
            <v>2</v>
          </cell>
          <cell r="AD258">
            <v>14</v>
          </cell>
        </row>
        <row r="259">
          <cell r="F259">
            <v>334088</v>
          </cell>
          <cell r="G259">
            <v>114494</v>
          </cell>
          <cell r="I259">
            <v>2257</v>
          </cell>
          <cell r="K259">
            <v>85101</v>
          </cell>
          <cell r="L259">
            <v>90325</v>
          </cell>
          <cell r="Z259">
            <v>2996</v>
          </cell>
          <cell r="AA259">
            <v>2362</v>
          </cell>
          <cell r="AC259">
            <v>2</v>
          </cell>
          <cell r="AD259">
            <v>14</v>
          </cell>
        </row>
        <row r="260">
          <cell r="F260">
            <v>347662</v>
          </cell>
          <cell r="G260">
            <v>138432</v>
          </cell>
          <cell r="I260">
            <v>2207</v>
          </cell>
          <cell r="K260">
            <v>81789</v>
          </cell>
          <cell r="L260">
            <v>102072</v>
          </cell>
          <cell r="Z260">
            <v>2959</v>
          </cell>
          <cell r="AA260">
            <v>2384</v>
          </cell>
          <cell r="AC260">
            <v>2</v>
          </cell>
          <cell r="AD260">
            <v>14</v>
          </cell>
        </row>
        <row r="261">
          <cell r="F261">
            <v>349343</v>
          </cell>
          <cell r="G261">
            <v>138929</v>
          </cell>
          <cell r="I261">
            <v>2219</v>
          </cell>
          <cell r="K261">
            <v>73834</v>
          </cell>
          <cell r="L261">
            <v>104759</v>
          </cell>
          <cell r="Z261">
            <v>3001</v>
          </cell>
          <cell r="AA261">
            <v>2341</v>
          </cell>
          <cell r="AC261">
            <v>2</v>
          </cell>
          <cell r="AD261">
            <v>14</v>
          </cell>
        </row>
        <row r="262">
          <cell r="F262">
            <v>368380</v>
          </cell>
          <cell r="G262">
            <v>116247</v>
          </cell>
          <cell r="I262">
            <v>2245</v>
          </cell>
          <cell r="K262">
            <v>46606</v>
          </cell>
          <cell r="L262">
            <v>98106</v>
          </cell>
          <cell r="Z262">
            <v>2879</v>
          </cell>
          <cell r="AA262">
            <v>2320</v>
          </cell>
          <cell r="AC262">
            <v>2</v>
          </cell>
          <cell r="AD262">
            <v>14</v>
          </cell>
        </row>
        <row r="263">
          <cell r="F263">
            <v>382108</v>
          </cell>
          <cell r="G263">
            <v>120133</v>
          </cell>
          <cell r="I263">
            <v>2281</v>
          </cell>
          <cell r="K263">
            <v>5474</v>
          </cell>
          <cell r="L263">
            <v>105037</v>
          </cell>
          <cell r="Z263">
            <v>2993</v>
          </cell>
          <cell r="AA263">
            <v>2312</v>
          </cell>
          <cell r="AC263">
            <v>2</v>
          </cell>
          <cell r="AD263">
            <v>14</v>
          </cell>
        </row>
        <row r="264">
          <cell r="F264">
            <v>355078</v>
          </cell>
          <cell r="G264">
            <v>131126</v>
          </cell>
          <cell r="I264">
            <v>2232</v>
          </cell>
          <cell r="K264">
            <v>74301</v>
          </cell>
          <cell r="L264">
            <v>111171</v>
          </cell>
          <cell r="Z264">
            <v>2819</v>
          </cell>
          <cell r="AA264">
            <v>2312</v>
          </cell>
          <cell r="AC264">
            <v>2</v>
          </cell>
          <cell r="AD264">
            <v>14</v>
          </cell>
        </row>
        <row r="265">
          <cell r="F265">
            <v>361779</v>
          </cell>
          <cell r="G265">
            <v>124075</v>
          </cell>
          <cell r="I265">
            <v>2212</v>
          </cell>
          <cell r="K265">
            <v>88177</v>
          </cell>
          <cell r="L265">
            <v>122131</v>
          </cell>
          <cell r="Z265">
            <v>2953</v>
          </cell>
          <cell r="AA265">
            <v>2311</v>
          </cell>
          <cell r="AC265">
            <v>2</v>
          </cell>
          <cell r="AD265">
            <v>14</v>
          </cell>
        </row>
        <row r="266">
          <cell r="F266">
            <v>377666</v>
          </cell>
          <cell r="G266">
            <v>146668</v>
          </cell>
          <cell r="I266">
            <v>2169</v>
          </cell>
          <cell r="K266">
            <v>134472</v>
          </cell>
          <cell r="L266">
            <v>141518</v>
          </cell>
          <cell r="Z266">
            <v>2880</v>
          </cell>
          <cell r="AA266">
            <v>2303</v>
          </cell>
          <cell r="AC266">
            <v>2</v>
          </cell>
          <cell r="AD266">
            <v>15</v>
          </cell>
        </row>
        <row r="267">
          <cell r="F267">
            <v>341405</v>
          </cell>
          <cell r="G267">
            <v>122436</v>
          </cell>
          <cell r="I267">
            <v>2236</v>
          </cell>
          <cell r="K267">
            <v>104884</v>
          </cell>
          <cell r="L267">
            <v>157839</v>
          </cell>
          <cell r="Z267">
            <v>2812</v>
          </cell>
          <cell r="AA267">
            <v>2279</v>
          </cell>
          <cell r="AC267">
            <v>2</v>
          </cell>
          <cell r="AD267">
            <v>17</v>
          </cell>
        </row>
        <row r="268">
          <cell r="F268">
            <v>377617</v>
          </cell>
          <cell r="G268">
            <v>151431</v>
          </cell>
          <cell r="I268">
            <v>2164</v>
          </cell>
          <cell r="K268">
            <v>87177</v>
          </cell>
          <cell r="L268">
            <v>71870</v>
          </cell>
          <cell r="Z268">
            <v>2958</v>
          </cell>
          <cell r="AA268">
            <v>2273</v>
          </cell>
          <cell r="AC268">
            <v>2</v>
          </cell>
          <cell r="AD268">
            <v>14</v>
          </cell>
        </row>
        <row r="269">
          <cell r="F269">
            <v>309453</v>
          </cell>
          <cell r="G269">
            <v>87900</v>
          </cell>
          <cell r="I269">
            <v>1815</v>
          </cell>
          <cell r="K269">
            <v>13302</v>
          </cell>
          <cell r="L269">
            <v>80348</v>
          </cell>
          <cell r="Z269">
            <v>2850</v>
          </cell>
          <cell r="AA269">
            <v>2265</v>
          </cell>
          <cell r="AC269">
            <v>2</v>
          </cell>
          <cell r="AD269">
            <v>13</v>
          </cell>
        </row>
        <row r="270">
          <cell r="F270">
            <v>362334</v>
          </cell>
          <cell r="G270">
            <v>142709</v>
          </cell>
          <cell r="I270">
            <v>2191</v>
          </cell>
          <cell r="K270">
            <v>7876</v>
          </cell>
          <cell r="L270">
            <v>91029</v>
          </cell>
          <cell r="Z270">
            <v>2852</v>
          </cell>
          <cell r="AA270">
            <v>2253</v>
          </cell>
          <cell r="AC270">
            <v>2</v>
          </cell>
          <cell r="AD270">
            <v>14</v>
          </cell>
        </row>
        <row r="271">
          <cell r="F271">
            <v>356567</v>
          </cell>
          <cell r="G271">
            <v>132205</v>
          </cell>
          <cell r="I271">
            <v>2084</v>
          </cell>
          <cell r="K271">
            <v>48733</v>
          </cell>
          <cell r="L271">
            <v>90818</v>
          </cell>
          <cell r="Z271">
            <v>2847</v>
          </cell>
          <cell r="AA271">
            <v>2261</v>
          </cell>
          <cell r="AC271">
            <v>2</v>
          </cell>
          <cell r="AD271">
            <v>14</v>
          </cell>
        </row>
        <row r="272">
          <cell r="F272">
            <v>331011</v>
          </cell>
          <cell r="G272">
            <v>108847</v>
          </cell>
          <cell r="I272">
            <v>2448</v>
          </cell>
          <cell r="K272">
            <v>57826</v>
          </cell>
          <cell r="L272">
            <v>73842</v>
          </cell>
          <cell r="Z272">
            <v>2858</v>
          </cell>
          <cell r="AA272">
            <v>2254</v>
          </cell>
          <cell r="AC272">
            <v>2</v>
          </cell>
          <cell r="AD272">
            <v>14</v>
          </cell>
        </row>
        <row r="273">
          <cell r="F273">
            <v>352429</v>
          </cell>
          <cell r="G273">
            <v>115034</v>
          </cell>
          <cell r="I273">
            <v>2085</v>
          </cell>
          <cell r="K273">
            <v>11764</v>
          </cell>
          <cell r="L273">
            <v>64856</v>
          </cell>
          <cell r="Z273">
            <v>2857</v>
          </cell>
          <cell r="AA273">
            <v>2242</v>
          </cell>
          <cell r="AC273">
            <v>2</v>
          </cell>
          <cell r="AD273">
            <v>14</v>
          </cell>
        </row>
        <row r="274">
          <cell r="F274">
            <v>353513</v>
          </cell>
          <cell r="G274">
            <v>115827</v>
          </cell>
          <cell r="I274">
            <v>2262</v>
          </cell>
          <cell r="K274">
            <v>6263</v>
          </cell>
          <cell r="L274">
            <v>61050</v>
          </cell>
          <cell r="Z274">
            <v>2828</v>
          </cell>
          <cell r="AA274">
            <v>2216</v>
          </cell>
          <cell r="AC274">
            <v>2</v>
          </cell>
          <cell r="AD274">
            <v>14</v>
          </cell>
        </row>
        <row r="275">
          <cell r="F275">
            <v>368181</v>
          </cell>
          <cell r="G275">
            <v>118451</v>
          </cell>
          <cell r="I275">
            <v>2239</v>
          </cell>
          <cell r="K275">
            <v>3700</v>
          </cell>
          <cell r="L275">
            <v>84166</v>
          </cell>
          <cell r="Z275">
            <v>2856</v>
          </cell>
          <cell r="AA275">
            <v>2204</v>
          </cell>
          <cell r="AC275">
            <v>2</v>
          </cell>
          <cell r="AD275">
            <v>14</v>
          </cell>
        </row>
        <row r="276">
          <cell r="F276">
            <v>355864</v>
          </cell>
          <cell r="G276">
            <v>115274</v>
          </cell>
          <cell r="I276">
            <v>2242</v>
          </cell>
          <cell r="K276">
            <v>49376</v>
          </cell>
          <cell r="L276">
            <v>75623</v>
          </cell>
          <cell r="Z276">
            <v>2820</v>
          </cell>
          <cell r="AA276">
            <v>2186</v>
          </cell>
          <cell r="AC276">
            <v>3</v>
          </cell>
          <cell r="AD276">
            <v>15</v>
          </cell>
        </row>
        <row r="277">
          <cell r="F277">
            <v>353659</v>
          </cell>
          <cell r="G277">
            <v>115042</v>
          </cell>
          <cell r="I277">
            <v>2269</v>
          </cell>
          <cell r="K277">
            <v>92110</v>
          </cell>
          <cell r="L277">
            <v>98208</v>
          </cell>
          <cell r="Z277">
            <v>2797</v>
          </cell>
          <cell r="AA277">
            <v>2203</v>
          </cell>
          <cell r="AC277">
            <v>3</v>
          </cell>
          <cell r="AD277">
            <v>15</v>
          </cell>
        </row>
        <row r="278">
          <cell r="F278">
            <v>348896</v>
          </cell>
          <cell r="G278">
            <v>112342</v>
          </cell>
          <cell r="I278">
            <v>2260</v>
          </cell>
          <cell r="K278">
            <v>146546</v>
          </cell>
          <cell r="L278">
            <v>120839</v>
          </cell>
          <cell r="Z278">
            <v>2819</v>
          </cell>
          <cell r="AA278">
            <v>2206</v>
          </cell>
          <cell r="AC278">
            <v>3</v>
          </cell>
          <cell r="AD278">
            <v>15</v>
          </cell>
        </row>
        <row r="279">
          <cell r="F279">
            <v>364023</v>
          </cell>
          <cell r="G279">
            <v>113267</v>
          </cell>
          <cell r="I279">
            <v>2279</v>
          </cell>
          <cell r="K279">
            <v>143124</v>
          </cell>
          <cell r="L279">
            <v>101261</v>
          </cell>
          <cell r="Z279">
            <v>2815</v>
          </cell>
          <cell r="AA279">
            <v>2197</v>
          </cell>
          <cell r="AC279">
            <v>3</v>
          </cell>
          <cell r="AD279">
            <v>15</v>
          </cell>
        </row>
        <row r="280">
          <cell r="F280">
            <v>357393</v>
          </cell>
          <cell r="G280">
            <v>128619</v>
          </cell>
          <cell r="I280">
            <v>2247</v>
          </cell>
          <cell r="K280">
            <v>117335</v>
          </cell>
          <cell r="L280">
            <v>104038</v>
          </cell>
          <cell r="Z280">
            <v>2870</v>
          </cell>
          <cell r="AA280">
            <v>2183</v>
          </cell>
          <cell r="AC280">
            <v>2</v>
          </cell>
          <cell r="AD280">
            <v>15</v>
          </cell>
        </row>
        <row r="281">
          <cell r="F281">
            <v>283915</v>
          </cell>
          <cell r="G281">
            <v>67538</v>
          </cell>
          <cell r="I281">
            <v>2277</v>
          </cell>
          <cell r="K281">
            <v>38289</v>
          </cell>
          <cell r="L281">
            <v>69456</v>
          </cell>
          <cell r="Z281">
            <v>2739</v>
          </cell>
          <cell r="AA281">
            <v>2182</v>
          </cell>
          <cell r="AC281">
            <v>2</v>
          </cell>
          <cell r="AD281">
            <v>13</v>
          </cell>
        </row>
        <row r="282">
          <cell r="F282">
            <v>328555</v>
          </cell>
          <cell r="G282">
            <v>108003</v>
          </cell>
          <cell r="I282">
            <v>2173</v>
          </cell>
          <cell r="K282">
            <v>9171</v>
          </cell>
          <cell r="L282">
            <v>84979</v>
          </cell>
          <cell r="Z282">
            <v>2736</v>
          </cell>
          <cell r="AA282">
            <v>2170</v>
          </cell>
          <cell r="AC282">
            <v>2</v>
          </cell>
          <cell r="AD282">
            <v>14</v>
          </cell>
        </row>
        <row r="283">
          <cell r="F283">
            <v>318626</v>
          </cell>
          <cell r="G283">
            <v>112505</v>
          </cell>
          <cell r="I283">
            <v>2338</v>
          </cell>
          <cell r="K283">
            <v>66995</v>
          </cell>
          <cell r="L283">
            <v>81835</v>
          </cell>
          <cell r="Z283">
            <v>2744</v>
          </cell>
          <cell r="AA283">
            <v>2160</v>
          </cell>
          <cell r="AC283">
            <v>2</v>
          </cell>
          <cell r="AD283">
            <v>14</v>
          </cell>
        </row>
        <row r="284">
          <cell r="F284">
            <v>335690</v>
          </cell>
          <cell r="G284">
            <v>112430</v>
          </cell>
          <cell r="I284">
            <v>2273</v>
          </cell>
          <cell r="K284">
            <v>38755</v>
          </cell>
          <cell r="L284">
            <v>66966</v>
          </cell>
          <cell r="Z284">
            <v>2739</v>
          </cell>
          <cell r="AA284">
            <v>2157</v>
          </cell>
          <cell r="AC284">
            <v>2</v>
          </cell>
          <cell r="AD284">
            <v>14</v>
          </cell>
        </row>
        <row r="285">
          <cell r="F285">
            <v>373889</v>
          </cell>
          <cell r="G285">
            <v>130713</v>
          </cell>
          <cell r="I285">
            <v>2317</v>
          </cell>
          <cell r="K285">
            <v>45186</v>
          </cell>
          <cell r="L285">
            <v>67004</v>
          </cell>
          <cell r="Z285">
            <v>2764</v>
          </cell>
          <cell r="AA285">
            <v>2157</v>
          </cell>
          <cell r="AC285">
            <v>2</v>
          </cell>
          <cell r="AD285">
            <v>14</v>
          </cell>
        </row>
        <row r="286">
          <cell r="F286">
            <v>368448</v>
          </cell>
          <cell r="G286">
            <v>128748</v>
          </cell>
          <cell r="I286">
            <v>2246</v>
          </cell>
          <cell r="K286">
            <v>44010</v>
          </cell>
          <cell r="L286">
            <v>76555</v>
          </cell>
          <cell r="Z286">
            <v>2675</v>
          </cell>
          <cell r="AA286">
            <v>2149</v>
          </cell>
          <cell r="AC286">
            <v>2</v>
          </cell>
          <cell r="AD286">
            <v>14</v>
          </cell>
        </row>
        <row r="287">
          <cell r="F287">
            <v>377900</v>
          </cell>
          <cell r="G287">
            <v>131950</v>
          </cell>
          <cell r="I287">
            <v>2237</v>
          </cell>
          <cell r="K287">
            <v>16934</v>
          </cell>
          <cell r="L287">
            <v>90738</v>
          </cell>
          <cell r="Z287">
            <v>2690</v>
          </cell>
          <cell r="AA287">
            <v>2138</v>
          </cell>
          <cell r="AC287">
            <v>2</v>
          </cell>
          <cell r="AD287">
            <v>15</v>
          </cell>
        </row>
        <row r="288">
          <cell r="F288">
            <v>362865</v>
          </cell>
          <cell r="G288">
            <v>129929</v>
          </cell>
          <cell r="I288">
            <v>2243</v>
          </cell>
          <cell r="K288">
            <v>121119</v>
          </cell>
          <cell r="L288">
            <v>127050</v>
          </cell>
          <cell r="Z288">
            <v>2665</v>
          </cell>
          <cell r="AA288">
            <v>2125</v>
          </cell>
          <cell r="AC288">
            <v>3</v>
          </cell>
          <cell r="AD288">
            <v>15</v>
          </cell>
        </row>
        <row r="289">
          <cell r="F289">
            <v>388967</v>
          </cell>
          <cell r="G289">
            <v>138918</v>
          </cell>
          <cell r="I289">
            <v>2203</v>
          </cell>
          <cell r="K289">
            <v>233985</v>
          </cell>
          <cell r="L289">
            <v>164287</v>
          </cell>
          <cell r="Z289">
            <v>2720</v>
          </cell>
          <cell r="AA289">
            <v>2101</v>
          </cell>
          <cell r="AC289">
            <v>3</v>
          </cell>
          <cell r="AD289">
            <v>18</v>
          </cell>
        </row>
        <row r="290">
          <cell r="F290">
            <v>377480</v>
          </cell>
          <cell r="G290">
            <v>129702</v>
          </cell>
          <cell r="I290">
            <v>2202</v>
          </cell>
          <cell r="K290">
            <v>208280</v>
          </cell>
          <cell r="L290">
            <v>134805</v>
          </cell>
          <cell r="Z290">
            <v>2631</v>
          </cell>
          <cell r="AA290">
            <v>2093</v>
          </cell>
          <cell r="AC290">
            <v>3</v>
          </cell>
          <cell r="AD290">
            <v>16</v>
          </cell>
        </row>
        <row r="291">
          <cell r="F291">
            <v>356167</v>
          </cell>
          <cell r="G291">
            <v>134039</v>
          </cell>
          <cell r="I291">
            <v>2205</v>
          </cell>
          <cell r="K291">
            <v>190865</v>
          </cell>
          <cell r="L291">
            <v>113098</v>
          </cell>
          <cell r="Z291">
            <v>2756</v>
          </cell>
          <cell r="AA291">
            <v>2090</v>
          </cell>
          <cell r="AC291">
            <v>3</v>
          </cell>
          <cell r="AD291">
            <v>16</v>
          </cell>
        </row>
        <row r="292">
          <cell r="F292">
            <v>386828</v>
          </cell>
          <cell r="G292">
            <v>132082</v>
          </cell>
          <cell r="I292">
            <v>2219</v>
          </cell>
          <cell r="K292">
            <v>115024</v>
          </cell>
          <cell r="L292">
            <v>95017</v>
          </cell>
          <cell r="Z292">
            <v>2682</v>
          </cell>
          <cell r="AA292">
            <v>2095</v>
          </cell>
          <cell r="AC292">
            <v>3</v>
          </cell>
          <cell r="AD292">
            <v>14</v>
          </cell>
        </row>
        <row r="293">
          <cell r="F293">
            <v>399974</v>
          </cell>
          <cell r="G293">
            <v>164234</v>
          </cell>
          <cell r="I293">
            <v>2219</v>
          </cell>
          <cell r="K293">
            <v>77233</v>
          </cell>
          <cell r="L293">
            <v>69823</v>
          </cell>
          <cell r="T293">
            <v>1494229</v>
          </cell>
          <cell r="Z293">
            <v>2684</v>
          </cell>
          <cell r="AA293">
            <v>2084</v>
          </cell>
          <cell r="AC293">
            <v>2</v>
          </cell>
          <cell r="AD293">
            <v>13</v>
          </cell>
        </row>
        <row r="294">
          <cell r="C294">
            <v>2691163</v>
          </cell>
          <cell r="F294">
            <v>343241</v>
          </cell>
          <cell r="G294">
            <v>113216</v>
          </cell>
          <cell r="I294">
            <v>2220</v>
          </cell>
          <cell r="K294">
            <v>14750</v>
          </cell>
          <cell r="L294">
            <v>79826</v>
          </cell>
          <cell r="N294">
            <v>36044</v>
          </cell>
          <cell r="P294">
            <v>13456</v>
          </cell>
          <cell r="Q294">
            <v>114103</v>
          </cell>
          <cell r="R294">
            <v>2854766</v>
          </cell>
          <cell r="T294">
            <v>1538008</v>
          </cell>
          <cell r="Z294">
            <v>2648</v>
          </cell>
          <cell r="AA294">
            <v>2072</v>
          </cell>
          <cell r="AC294">
            <v>2</v>
          </cell>
          <cell r="AD294">
            <v>13</v>
          </cell>
        </row>
        <row r="295">
          <cell r="C295">
            <v>2369044</v>
          </cell>
          <cell r="F295">
            <v>343776</v>
          </cell>
          <cell r="G295">
            <v>119310</v>
          </cell>
          <cell r="I295">
            <v>2222</v>
          </cell>
          <cell r="K295">
            <v>34344</v>
          </cell>
          <cell r="L295">
            <v>64936</v>
          </cell>
          <cell r="N295">
            <v>-109423</v>
          </cell>
          <cell r="P295">
            <v>7889</v>
          </cell>
          <cell r="Q295">
            <v>243114</v>
          </cell>
          <cell r="R295">
            <v>2510624</v>
          </cell>
          <cell r="T295">
            <v>1469843</v>
          </cell>
          <cell r="Z295">
            <v>2655</v>
          </cell>
          <cell r="AA295">
            <v>2077</v>
          </cell>
          <cell r="AC295">
            <v>2</v>
          </cell>
          <cell r="AD295">
            <v>13</v>
          </cell>
        </row>
        <row r="296">
          <cell r="C296">
            <v>2567131</v>
          </cell>
          <cell r="F296">
            <v>340565</v>
          </cell>
          <cell r="G296">
            <v>117301</v>
          </cell>
          <cell r="I296">
            <v>2231</v>
          </cell>
          <cell r="K296">
            <v>186289</v>
          </cell>
          <cell r="L296">
            <v>62767</v>
          </cell>
          <cell r="N296">
            <v>57903</v>
          </cell>
          <cell r="P296">
            <v>10248</v>
          </cell>
          <cell r="Q296">
            <v>23177</v>
          </cell>
          <cell r="R296">
            <v>2658459</v>
          </cell>
          <cell r="T296">
            <v>1518733</v>
          </cell>
          <cell r="Z296">
            <v>2630</v>
          </cell>
          <cell r="AA296">
            <v>2079</v>
          </cell>
          <cell r="AC296">
            <v>4</v>
          </cell>
          <cell r="AD296">
            <v>13</v>
          </cell>
        </row>
        <row r="297">
          <cell r="C297">
            <v>2630948</v>
          </cell>
          <cell r="F297">
            <v>378037</v>
          </cell>
          <cell r="G297">
            <v>133909</v>
          </cell>
          <cell r="I297">
            <v>2202</v>
          </cell>
          <cell r="K297">
            <v>86096</v>
          </cell>
          <cell r="L297">
            <v>53156</v>
          </cell>
          <cell r="N297">
            <v>300434</v>
          </cell>
          <cell r="P297">
            <v>8342</v>
          </cell>
          <cell r="Q297">
            <v>176753</v>
          </cell>
          <cell r="R297">
            <v>3116477</v>
          </cell>
          <cell r="T297">
            <v>1638907</v>
          </cell>
          <cell r="Z297">
            <v>2638</v>
          </cell>
          <cell r="AA297">
            <v>2074</v>
          </cell>
          <cell r="AC297">
            <v>3</v>
          </cell>
          <cell r="AD297">
            <v>13</v>
          </cell>
        </row>
        <row r="298">
          <cell r="C298">
            <v>2699632</v>
          </cell>
          <cell r="F298">
            <v>353916</v>
          </cell>
          <cell r="G298">
            <v>118115</v>
          </cell>
          <cell r="I298">
            <v>2215</v>
          </cell>
          <cell r="K298">
            <v>1084</v>
          </cell>
          <cell r="L298">
            <v>67667</v>
          </cell>
          <cell r="N298">
            <v>435316</v>
          </cell>
          <cell r="P298">
            <v>7275</v>
          </cell>
          <cell r="Q298">
            <v>154142</v>
          </cell>
          <cell r="R298">
            <v>3296365</v>
          </cell>
          <cell r="T298">
            <v>1860346</v>
          </cell>
          <cell r="Z298">
            <v>2681</v>
          </cell>
          <cell r="AA298">
            <v>2077</v>
          </cell>
          <cell r="AC298">
            <v>2</v>
          </cell>
          <cell r="AD298">
            <v>13</v>
          </cell>
        </row>
        <row r="299">
          <cell r="C299">
            <v>3354268</v>
          </cell>
          <cell r="F299">
            <v>350550</v>
          </cell>
          <cell r="G299">
            <v>114636</v>
          </cell>
          <cell r="I299">
            <v>2201</v>
          </cell>
          <cell r="K299">
            <v>345007</v>
          </cell>
          <cell r="L299">
            <v>104657</v>
          </cell>
          <cell r="N299">
            <v>-53426</v>
          </cell>
          <cell r="P299">
            <v>7227</v>
          </cell>
          <cell r="Q299">
            <v>238566</v>
          </cell>
          <cell r="R299">
            <v>3546635</v>
          </cell>
          <cell r="T299">
            <v>1970883</v>
          </cell>
          <cell r="Z299">
            <v>2566</v>
          </cell>
          <cell r="AA299">
            <v>2082</v>
          </cell>
          <cell r="AC299">
            <v>5</v>
          </cell>
          <cell r="AD299">
            <v>13</v>
          </cell>
        </row>
        <row r="300">
          <cell r="C300">
            <v>3463695</v>
          </cell>
          <cell r="F300">
            <v>376119</v>
          </cell>
          <cell r="G300">
            <v>131518</v>
          </cell>
          <cell r="I300">
            <v>2226</v>
          </cell>
          <cell r="K300">
            <v>174558</v>
          </cell>
          <cell r="L300">
            <v>115020</v>
          </cell>
          <cell r="N300">
            <v>479357</v>
          </cell>
          <cell r="P300">
            <v>12508</v>
          </cell>
          <cell r="Q300">
            <v>214996</v>
          </cell>
          <cell r="R300">
            <v>4170556</v>
          </cell>
          <cell r="T300">
            <v>2285881</v>
          </cell>
          <cell r="Z300">
            <v>2598</v>
          </cell>
          <cell r="AA300">
            <v>2089</v>
          </cell>
          <cell r="AC300">
            <v>3</v>
          </cell>
          <cell r="AD300">
            <v>16</v>
          </cell>
        </row>
        <row r="301">
          <cell r="C301">
            <v>3989477</v>
          </cell>
          <cell r="F301">
            <v>391617</v>
          </cell>
          <cell r="G301">
            <v>133500</v>
          </cell>
          <cell r="I301">
            <v>2227</v>
          </cell>
          <cell r="K301">
            <v>228011</v>
          </cell>
          <cell r="L301">
            <v>149377</v>
          </cell>
          <cell r="N301">
            <v>-45862</v>
          </cell>
          <cell r="P301">
            <v>15063</v>
          </cell>
          <cell r="Q301">
            <v>323397</v>
          </cell>
          <cell r="R301">
            <v>4282075</v>
          </cell>
          <cell r="T301">
            <v>2160277</v>
          </cell>
          <cell r="Z301">
            <v>2633</v>
          </cell>
          <cell r="AA301">
            <v>2088</v>
          </cell>
          <cell r="AC301">
            <v>3</v>
          </cell>
          <cell r="AD301">
            <v>14</v>
          </cell>
        </row>
        <row r="302">
          <cell r="C302">
            <v>3858515</v>
          </cell>
          <cell r="F302">
            <v>373433</v>
          </cell>
          <cell r="G302">
            <v>131213</v>
          </cell>
          <cell r="I302">
            <v>2217</v>
          </cell>
          <cell r="K302">
            <v>234000</v>
          </cell>
          <cell r="L302">
            <v>187637</v>
          </cell>
          <cell r="N302">
            <v>-330806</v>
          </cell>
          <cell r="P302">
            <v>13789</v>
          </cell>
          <cell r="Q302">
            <v>137283</v>
          </cell>
          <cell r="R302">
            <v>3678781</v>
          </cell>
          <cell r="T302">
            <v>1941339</v>
          </cell>
          <cell r="Z302">
            <v>2597</v>
          </cell>
          <cell r="AA302">
            <v>2082</v>
          </cell>
          <cell r="AC302">
            <v>4</v>
          </cell>
          <cell r="AD302">
            <v>17</v>
          </cell>
        </row>
        <row r="303">
          <cell r="C303">
            <v>3410814</v>
          </cell>
          <cell r="F303">
            <v>363534</v>
          </cell>
          <cell r="G303">
            <v>126692</v>
          </cell>
          <cell r="I303">
            <v>2217</v>
          </cell>
          <cell r="K303">
            <v>288169</v>
          </cell>
          <cell r="L303">
            <v>142693</v>
          </cell>
          <cell r="N303">
            <v>-231348</v>
          </cell>
          <cell r="P303">
            <v>10322</v>
          </cell>
          <cell r="Q303">
            <v>150386</v>
          </cell>
          <cell r="R303">
            <v>3340174</v>
          </cell>
          <cell r="T303">
            <v>1718696</v>
          </cell>
          <cell r="Z303">
            <v>2609</v>
          </cell>
          <cell r="AA303">
            <v>2086</v>
          </cell>
          <cell r="AC303">
            <v>3</v>
          </cell>
          <cell r="AD303">
            <v>15</v>
          </cell>
        </row>
        <row r="304">
          <cell r="C304">
            <v>2971580</v>
          </cell>
          <cell r="F304">
            <v>376090</v>
          </cell>
          <cell r="G304">
            <v>145983</v>
          </cell>
          <cell r="I304">
            <v>2228</v>
          </cell>
          <cell r="K304">
            <v>252505</v>
          </cell>
          <cell r="L304">
            <v>132097</v>
          </cell>
          <cell r="N304">
            <v>-385958</v>
          </cell>
          <cell r="P304">
            <v>8796</v>
          </cell>
          <cell r="Q304">
            <v>106002</v>
          </cell>
          <cell r="R304">
            <v>2700420</v>
          </cell>
          <cell r="T304">
            <v>1498561</v>
          </cell>
          <cell r="Z304">
            <v>2659</v>
          </cell>
          <cell r="AA304">
            <v>2071</v>
          </cell>
          <cell r="AC304">
            <v>3</v>
          </cell>
          <cell r="AD304">
            <v>14</v>
          </cell>
        </row>
        <row r="305">
          <cell r="C305">
            <v>2701469</v>
          </cell>
          <cell r="F305">
            <v>342831</v>
          </cell>
          <cell r="G305">
            <v>108741</v>
          </cell>
          <cell r="I305">
            <v>2263</v>
          </cell>
          <cell r="K305">
            <v>129676</v>
          </cell>
          <cell r="L305">
            <v>132384</v>
          </cell>
          <cell r="N305">
            <v>99585</v>
          </cell>
          <cell r="P305">
            <v>11009</v>
          </cell>
          <cell r="Q305">
            <v>192464</v>
          </cell>
          <cell r="R305">
            <v>3004527</v>
          </cell>
          <cell r="T305">
            <v>1613595</v>
          </cell>
          <cell r="Z305">
            <v>2639</v>
          </cell>
          <cell r="AA305">
            <v>2076</v>
          </cell>
          <cell r="AC305">
            <v>6</v>
          </cell>
          <cell r="AD305">
            <v>18</v>
          </cell>
        </row>
        <row r="306">
          <cell r="C306">
            <v>2668858</v>
          </cell>
          <cell r="F306">
            <v>376396</v>
          </cell>
          <cell r="G306">
            <v>147694</v>
          </cell>
          <cell r="I306">
            <v>2255</v>
          </cell>
          <cell r="K306">
            <v>148466</v>
          </cell>
          <cell r="L306">
            <v>98857</v>
          </cell>
          <cell r="N306">
            <v>247018</v>
          </cell>
          <cell r="P306">
            <v>9018</v>
          </cell>
          <cell r="Q306">
            <v>221547</v>
          </cell>
          <cell r="R306">
            <v>3146441</v>
          </cell>
          <cell r="T306">
            <v>1834230</v>
          </cell>
          <cell r="Z306">
            <v>2442</v>
          </cell>
          <cell r="AA306">
            <v>2082</v>
          </cell>
          <cell r="AC306">
            <v>4</v>
          </cell>
          <cell r="AD306">
            <v>14</v>
          </cell>
        </row>
        <row r="307">
          <cell r="C307">
            <v>3105082</v>
          </cell>
          <cell r="F307">
            <v>327089</v>
          </cell>
          <cell r="G307">
            <v>114198</v>
          </cell>
          <cell r="I307">
            <v>2197</v>
          </cell>
          <cell r="K307">
            <v>169987</v>
          </cell>
          <cell r="L307">
            <v>86208</v>
          </cell>
          <cell r="N307">
            <v>-488912</v>
          </cell>
          <cell r="P307">
            <v>7850</v>
          </cell>
          <cell r="Q307">
            <v>199701</v>
          </cell>
          <cell r="R307">
            <v>2823721</v>
          </cell>
          <cell r="T307">
            <v>1421390</v>
          </cell>
          <cell r="Z307">
            <v>2637</v>
          </cell>
          <cell r="AA307">
            <v>2085</v>
          </cell>
          <cell r="AC307">
            <v>4</v>
          </cell>
          <cell r="AD307">
            <v>15</v>
          </cell>
        </row>
        <row r="308">
          <cell r="C308">
            <v>2591420</v>
          </cell>
          <cell r="F308">
            <v>361578</v>
          </cell>
          <cell r="G308">
            <v>96999</v>
          </cell>
          <cell r="I308">
            <v>2219</v>
          </cell>
          <cell r="K308">
            <v>126500</v>
          </cell>
          <cell r="L308">
            <v>84047</v>
          </cell>
          <cell r="N308">
            <v>218878</v>
          </cell>
          <cell r="P308">
            <v>9593</v>
          </cell>
          <cell r="Q308">
            <v>80875</v>
          </cell>
          <cell r="R308">
            <v>2900766</v>
          </cell>
          <cell r="T308">
            <v>1620628</v>
          </cell>
          <cell r="Z308">
            <v>2533</v>
          </cell>
          <cell r="AA308">
            <v>2076</v>
          </cell>
          <cell r="AC308">
            <v>4</v>
          </cell>
          <cell r="AD308">
            <v>14</v>
          </cell>
        </row>
        <row r="309">
          <cell r="C309">
            <v>2777323</v>
          </cell>
          <cell r="F309">
            <v>375713</v>
          </cell>
          <cell r="G309">
            <v>123124</v>
          </cell>
          <cell r="I309">
            <v>3007</v>
          </cell>
          <cell r="K309">
            <v>147027</v>
          </cell>
          <cell r="L309">
            <v>82999</v>
          </cell>
          <cell r="N309">
            <v>-113505</v>
          </cell>
          <cell r="P309">
            <v>10861</v>
          </cell>
          <cell r="Q309">
            <v>172300</v>
          </cell>
          <cell r="R309">
            <v>2846979</v>
          </cell>
          <cell r="T309">
            <v>1517416</v>
          </cell>
          <cell r="Z309">
            <v>2559</v>
          </cell>
          <cell r="AA309">
            <v>2080</v>
          </cell>
          <cell r="AC309">
            <v>4</v>
          </cell>
          <cell r="AD309">
            <v>14</v>
          </cell>
        </row>
        <row r="310">
          <cell r="C310">
            <v>2882310</v>
          </cell>
          <cell r="F310">
            <v>342306</v>
          </cell>
          <cell r="G310">
            <v>95220</v>
          </cell>
          <cell r="I310">
            <v>2258</v>
          </cell>
          <cell r="K310">
            <v>137856</v>
          </cell>
          <cell r="L310">
            <v>69974</v>
          </cell>
          <cell r="N310">
            <v>647848</v>
          </cell>
          <cell r="P310">
            <v>9390</v>
          </cell>
          <cell r="Q310">
            <v>209743</v>
          </cell>
          <cell r="R310">
            <v>3749291</v>
          </cell>
          <cell r="T310">
            <v>2056856</v>
          </cell>
          <cell r="Z310">
            <v>2519</v>
          </cell>
          <cell r="AA310">
            <v>2080</v>
          </cell>
          <cell r="AC310">
            <v>4</v>
          </cell>
          <cell r="AD310">
            <v>13</v>
          </cell>
        </row>
        <row r="311">
          <cell r="C311">
            <v>3673488</v>
          </cell>
          <cell r="F311">
            <v>383440</v>
          </cell>
          <cell r="G311">
            <v>105644</v>
          </cell>
          <cell r="I311">
            <v>2292</v>
          </cell>
          <cell r="K311">
            <v>204826</v>
          </cell>
          <cell r="L311">
            <v>94040</v>
          </cell>
          <cell r="N311">
            <v>-12875</v>
          </cell>
          <cell r="P311">
            <v>9799</v>
          </cell>
          <cell r="Q311">
            <v>219961</v>
          </cell>
          <cell r="R311">
            <v>3890373</v>
          </cell>
          <cell r="T311">
            <v>1975016</v>
          </cell>
          <cell r="Z311">
            <v>2533</v>
          </cell>
          <cell r="AA311">
            <v>2080</v>
          </cell>
          <cell r="AC311">
            <v>4</v>
          </cell>
          <cell r="AD311">
            <v>15</v>
          </cell>
        </row>
        <row r="312">
          <cell r="C312">
            <v>3903117</v>
          </cell>
          <cell r="F312">
            <v>372063</v>
          </cell>
          <cell r="G312">
            <v>107097</v>
          </cell>
          <cell r="I312">
            <v>2184</v>
          </cell>
          <cell r="K312">
            <v>249189</v>
          </cell>
          <cell r="L312">
            <v>136213</v>
          </cell>
          <cell r="N312">
            <v>-40294</v>
          </cell>
          <cell r="P312">
            <v>9573</v>
          </cell>
          <cell r="Q312">
            <v>241686</v>
          </cell>
          <cell r="R312">
            <v>4114082</v>
          </cell>
          <cell r="T312">
            <v>1869261</v>
          </cell>
          <cell r="Z312">
            <v>2481</v>
          </cell>
          <cell r="AA312">
            <v>2066</v>
          </cell>
          <cell r="AC312">
            <v>4</v>
          </cell>
          <cell r="AD312">
            <v>15</v>
          </cell>
        </row>
        <row r="313">
          <cell r="C313">
            <v>3768800</v>
          </cell>
          <cell r="F313">
            <v>330599</v>
          </cell>
          <cell r="G313">
            <v>86005</v>
          </cell>
          <cell r="I313">
            <v>2254</v>
          </cell>
          <cell r="K313">
            <v>292884</v>
          </cell>
          <cell r="L313">
            <v>114577</v>
          </cell>
          <cell r="N313">
            <v>222170</v>
          </cell>
          <cell r="P313">
            <v>10668</v>
          </cell>
          <cell r="Q313">
            <v>207146</v>
          </cell>
          <cell r="R313">
            <v>4208784</v>
          </cell>
          <cell r="T313">
            <v>2083518</v>
          </cell>
          <cell r="Z313">
            <v>2530</v>
          </cell>
          <cell r="AA313">
            <v>2065</v>
          </cell>
          <cell r="AC313">
            <v>4</v>
          </cell>
          <cell r="AD313">
            <v>13</v>
          </cell>
        </row>
        <row r="314">
          <cell r="C314">
            <v>4027470</v>
          </cell>
          <cell r="F314">
            <v>374914</v>
          </cell>
          <cell r="G314">
            <v>108113</v>
          </cell>
          <cell r="I314">
            <v>2317</v>
          </cell>
          <cell r="K314">
            <v>311004</v>
          </cell>
          <cell r="L314">
            <v>128757</v>
          </cell>
          <cell r="N314">
            <v>-403566</v>
          </cell>
          <cell r="P314">
            <v>18034</v>
          </cell>
          <cell r="Q314">
            <v>205561</v>
          </cell>
          <cell r="R314">
            <v>3847499</v>
          </cell>
          <cell r="T314">
            <v>1769229</v>
          </cell>
          <cell r="Z314">
            <v>2551</v>
          </cell>
          <cell r="AA314">
            <v>2064</v>
          </cell>
          <cell r="AC314">
            <v>4</v>
          </cell>
          <cell r="AD314">
            <v>14</v>
          </cell>
        </row>
        <row r="315">
          <cell r="C315">
            <v>3361545</v>
          </cell>
          <cell r="F315">
            <v>341251</v>
          </cell>
          <cell r="G315">
            <v>107345</v>
          </cell>
          <cell r="I315">
            <v>2310</v>
          </cell>
          <cell r="K315">
            <v>252004</v>
          </cell>
          <cell r="L315">
            <v>124734</v>
          </cell>
          <cell r="N315">
            <v>-294899</v>
          </cell>
          <cell r="P315">
            <v>8380</v>
          </cell>
          <cell r="Q315">
            <v>136807</v>
          </cell>
          <cell r="R315">
            <v>3211833</v>
          </cell>
          <cell r="T315">
            <v>1479340</v>
          </cell>
          <cell r="Z315">
            <v>2543</v>
          </cell>
          <cell r="AA315">
            <v>2055</v>
          </cell>
          <cell r="AC315">
            <v>4</v>
          </cell>
          <cell r="AD315">
            <v>15</v>
          </cell>
        </row>
        <row r="316">
          <cell r="C316">
            <v>2912549</v>
          </cell>
          <cell r="F316">
            <v>346949</v>
          </cell>
          <cell r="G316">
            <v>109506</v>
          </cell>
          <cell r="I316">
            <v>2319</v>
          </cell>
          <cell r="K316">
            <v>260159</v>
          </cell>
          <cell r="L316">
            <v>102360</v>
          </cell>
          <cell r="N316">
            <v>-56994</v>
          </cell>
          <cell r="P316">
            <v>9654</v>
          </cell>
          <cell r="Q316">
            <v>113522</v>
          </cell>
          <cell r="R316">
            <v>2978731</v>
          </cell>
          <cell r="T316">
            <v>1484128</v>
          </cell>
          <cell r="Z316">
            <v>2612</v>
          </cell>
          <cell r="AA316">
            <v>2059</v>
          </cell>
          <cell r="AC316">
            <v>4</v>
          </cell>
          <cell r="AD316">
            <v>14</v>
          </cell>
        </row>
        <row r="317">
          <cell r="C317">
            <v>2892039</v>
          </cell>
          <cell r="F317">
            <v>316419</v>
          </cell>
          <cell r="G317">
            <v>96545</v>
          </cell>
          <cell r="I317">
            <v>2304</v>
          </cell>
          <cell r="K317">
            <v>217914</v>
          </cell>
          <cell r="L317">
            <v>91453</v>
          </cell>
          <cell r="N317">
            <v>418915</v>
          </cell>
          <cell r="P317">
            <v>13088</v>
          </cell>
          <cell r="Q317">
            <v>199327</v>
          </cell>
          <cell r="R317">
            <v>3523369</v>
          </cell>
          <cell r="T317">
            <v>1843542</v>
          </cell>
          <cell r="Z317">
            <v>2477</v>
          </cell>
          <cell r="AA317">
            <v>2050</v>
          </cell>
          <cell r="AC317">
            <v>4</v>
          </cell>
          <cell r="AD317">
            <v>15</v>
          </cell>
        </row>
        <row r="318">
          <cell r="C318">
            <v>3651021</v>
          </cell>
          <cell r="D318">
            <v>1964657</v>
          </cell>
          <cell r="E318">
            <v>861193</v>
          </cell>
          <cell r="F318">
            <v>331367</v>
          </cell>
          <cell r="G318">
            <v>96126</v>
          </cell>
          <cell r="I318">
            <v>2330</v>
          </cell>
          <cell r="J318">
            <v>209831</v>
          </cell>
          <cell r="K318">
            <v>208138</v>
          </cell>
          <cell r="L318">
            <v>73505</v>
          </cell>
          <cell r="N318">
            <v>-184295</v>
          </cell>
          <cell r="P318">
            <v>9454</v>
          </cell>
          <cell r="Q318">
            <v>258034</v>
          </cell>
          <cell r="R318">
            <v>3734214</v>
          </cell>
          <cell r="T318">
            <v>1646778</v>
          </cell>
          <cell r="X318">
            <v>1294507</v>
          </cell>
          <cell r="Y318">
            <v>147240</v>
          </cell>
          <cell r="Z318">
            <v>2564</v>
          </cell>
          <cell r="AA318">
            <v>2046</v>
          </cell>
          <cell r="AB318">
            <v>18682</v>
          </cell>
          <cell r="AC318">
            <v>4</v>
          </cell>
          <cell r="AD318">
            <v>12</v>
          </cell>
        </row>
        <row r="319">
          <cell r="C319">
            <v>2988627</v>
          </cell>
          <cell r="D319">
            <v>1368539</v>
          </cell>
          <cell r="E319">
            <v>783016</v>
          </cell>
          <cell r="F319">
            <v>296037</v>
          </cell>
          <cell r="G319">
            <v>90685</v>
          </cell>
          <cell r="I319">
            <v>2358</v>
          </cell>
          <cell r="J319">
            <v>197894</v>
          </cell>
          <cell r="K319">
            <v>236300</v>
          </cell>
          <cell r="L319">
            <v>104483</v>
          </cell>
          <cell r="N319">
            <v>-480123</v>
          </cell>
          <cell r="P319">
            <v>9977</v>
          </cell>
          <cell r="Q319">
            <v>136967</v>
          </cell>
          <cell r="R319">
            <v>2655448</v>
          </cell>
          <cell r="T319">
            <v>1350543</v>
          </cell>
          <cell r="X319">
            <v>1267334</v>
          </cell>
          <cell r="Y319">
            <v>144594</v>
          </cell>
          <cell r="Z319">
            <v>2565</v>
          </cell>
          <cell r="AA319">
            <v>2036</v>
          </cell>
          <cell r="AB319">
            <v>18314</v>
          </cell>
          <cell r="AC319">
            <v>4</v>
          </cell>
          <cell r="AD319">
            <v>14</v>
          </cell>
        </row>
        <row r="320">
          <cell r="C320">
            <v>2618604</v>
          </cell>
          <cell r="D320">
            <v>1075666</v>
          </cell>
          <cell r="E320">
            <v>778284</v>
          </cell>
          <cell r="F320">
            <v>351874</v>
          </cell>
          <cell r="G320">
            <v>93634</v>
          </cell>
          <cell r="I320">
            <v>2228</v>
          </cell>
          <cell r="J320">
            <v>201040</v>
          </cell>
          <cell r="K320">
            <v>117440</v>
          </cell>
          <cell r="L320">
            <v>92072</v>
          </cell>
          <cell r="N320">
            <v>168820</v>
          </cell>
          <cell r="P320">
            <v>10039</v>
          </cell>
          <cell r="Q320">
            <v>165172</v>
          </cell>
          <cell r="R320">
            <v>2962635</v>
          </cell>
          <cell r="T320">
            <v>1458450</v>
          </cell>
          <cell r="X320">
            <v>1224581</v>
          </cell>
          <cell r="Y320">
            <v>140517</v>
          </cell>
          <cell r="Z320">
            <v>2479</v>
          </cell>
          <cell r="AA320">
            <v>2031</v>
          </cell>
          <cell r="AB320">
            <v>17899</v>
          </cell>
          <cell r="AC320">
            <v>4</v>
          </cell>
          <cell r="AD320">
            <v>15</v>
          </cell>
        </row>
        <row r="321">
          <cell r="C321">
            <v>2856598</v>
          </cell>
          <cell r="D321">
            <v>1184065</v>
          </cell>
          <cell r="E321">
            <v>872437</v>
          </cell>
          <cell r="F321">
            <v>335141</v>
          </cell>
          <cell r="G321">
            <v>94460</v>
          </cell>
          <cell r="I321">
            <v>2546</v>
          </cell>
          <cell r="J321">
            <v>212974</v>
          </cell>
          <cell r="K321">
            <v>179734</v>
          </cell>
          <cell r="L321">
            <v>69701</v>
          </cell>
          <cell r="N321">
            <v>97006</v>
          </cell>
          <cell r="P321">
            <v>8937</v>
          </cell>
          <cell r="Q321">
            <v>163994</v>
          </cell>
          <cell r="R321">
            <v>3126535</v>
          </cell>
          <cell r="T321">
            <v>1499854</v>
          </cell>
          <cell r="X321">
            <v>1302870</v>
          </cell>
          <cell r="Y321">
            <v>149771</v>
          </cell>
          <cell r="Z321">
            <v>2600</v>
          </cell>
          <cell r="AA321">
            <v>2028</v>
          </cell>
          <cell r="AB321">
            <v>18891</v>
          </cell>
          <cell r="AC321">
            <v>4</v>
          </cell>
          <cell r="AD321">
            <v>14</v>
          </cell>
        </row>
        <row r="322">
          <cell r="C322">
            <v>2944433</v>
          </cell>
          <cell r="D322">
            <v>1203111</v>
          </cell>
          <cell r="E322">
            <v>878941</v>
          </cell>
          <cell r="F322">
            <v>329010</v>
          </cell>
          <cell r="G322">
            <v>89322</v>
          </cell>
          <cell r="I322">
            <v>2208</v>
          </cell>
          <cell r="J322">
            <v>219153</v>
          </cell>
          <cell r="K322">
            <v>235695</v>
          </cell>
          <cell r="L322">
            <v>76315</v>
          </cell>
          <cell r="N322">
            <v>369551</v>
          </cell>
          <cell r="P322">
            <v>17671</v>
          </cell>
          <cell r="Q322">
            <v>153427</v>
          </cell>
          <cell r="R322">
            <v>3485082</v>
          </cell>
          <cell r="T322">
            <v>1840115</v>
          </cell>
          <cell r="X322">
            <v>1270615</v>
          </cell>
          <cell r="Y322">
            <v>146146</v>
          </cell>
          <cell r="Z322">
            <v>2594</v>
          </cell>
          <cell r="AA322">
            <v>2022</v>
          </cell>
          <cell r="AB322">
            <v>18665</v>
          </cell>
          <cell r="AC322">
            <v>4</v>
          </cell>
          <cell r="AD322">
            <v>14</v>
          </cell>
        </row>
        <row r="323">
          <cell r="C323">
            <v>3580950</v>
          </cell>
          <cell r="D323">
            <v>1675883</v>
          </cell>
          <cell r="E323">
            <v>1028951</v>
          </cell>
          <cell r="F323">
            <v>345621</v>
          </cell>
          <cell r="G323">
            <v>86296</v>
          </cell>
          <cell r="I323">
            <v>2458</v>
          </cell>
          <cell r="J323">
            <v>236105</v>
          </cell>
          <cell r="K323">
            <v>172486</v>
          </cell>
          <cell r="L323">
            <v>119446</v>
          </cell>
          <cell r="N323">
            <v>88140</v>
          </cell>
          <cell r="P323">
            <v>10400</v>
          </cell>
          <cell r="Q323">
            <v>200988</v>
          </cell>
          <cell r="R323">
            <v>3880478</v>
          </cell>
          <cell r="T323">
            <v>1889487</v>
          </cell>
          <cell r="X323">
            <v>1270443</v>
          </cell>
          <cell r="Y323">
            <v>147130</v>
          </cell>
          <cell r="Z323">
            <v>2588</v>
          </cell>
          <cell r="AA323">
            <v>2011</v>
          </cell>
          <cell r="AB323">
            <v>18805</v>
          </cell>
          <cell r="AC323">
            <v>5</v>
          </cell>
          <cell r="AD323">
            <v>17</v>
          </cell>
        </row>
        <row r="324">
          <cell r="C324">
            <v>3669239</v>
          </cell>
          <cell r="D324">
            <v>1727566</v>
          </cell>
          <cell r="E324">
            <v>1023525</v>
          </cell>
          <cell r="F324">
            <v>304736</v>
          </cell>
          <cell r="G324">
            <v>83637</v>
          </cell>
          <cell r="I324">
            <v>2350</v>
          </cell>
          <cell r="J324">
            <v>229365</v>
          </cell>
          <cell r="K324">
            <v>210000</v>
          </cell>
          <cell r="L324">
            <v>171697</v>
          </cell>
          <cell r="N324">
            <v>70342</v>
          </cell>
          <cell r="P324">
            <v>12985</v>
          </cell>
          <cell r="Q324">
            <v>259857</v>
          </cell>
          <cell r="R324">
            <v>4012423</v>
          </cell>
          <cell r="T324">
            <v>1947920</v>
          </cell>
          <cell r="X324">
            <v>1251359</v>
          </cell>
          <cell r="Y324">
            <v>144937</v>
          </cell>
          <cell r="Z324">
            <v>2497</v>
          </cell>
          <cell r="AA324">
            <v>2009</v>
          </cell>
          <cell r="AB324">
            <v>18421</v>
          </cell>
          <cell r="AC324">
            <v>5</v>
          </cell>
          <cell r="AD324">
            <v>19</v>
          </cell>
        </row>
        <row r="325">
          <cell r="C325">
            <v>3705606</v>
          </cell>
          <cell r="D325">
            <v>1747142</v>
          </cell>
          <cell r="E325">
            <v>1051280</v>
          </cell>
          <cell r="F325">
            <v>299781</v>
          </cell>
          <cell r="G325">
            <v>50701</v>
          </cell>
          <cell r="I325">
            <v>2297</v>
          </cell>
          <cell r="J325">
            <v>238541</v>
          </cell>
          <cell r="K325">
            <v>229557</v>
          </cell>
          <cell r="L325">
            <v>137008</v>
          </cell>
          <cell r="N325">
            <v>362051</v>
          </cell>
          <cell r="P325">
            <v>10013</v>
          </cell>
          <cell r="Q325">
            <v>212337</v>
          </cell>
          <cell r="R325">
            <v>4290007</v>
          </cell>
          <cell r="T325">
            <v>2248864</v>
          </cell>
          <cell r="X325">
            <v>1278187</v>
          </cell>
          <cell r="Y325">
            <v>148219</v>
          </cell>
          <cell r="Z325">
            <v>2576</v>
          </cell>
          <cell r="AA325">
            <v>2004</v>
          </cell>
          <cell r="AB325">
            <v>18895</v>
          </cell>
          <cell r="AC325">
            <v>6</v>
          </cell>
          <cell r="AD325">
            <v>17</v>
          </cell>
        </row>
        <row r="326">
          <cell r="C326">
            <v>4043995</v>
          </cell>
          <cell r="D326">
            <v>1895091</v>
          </cell>
          <cell r="E326">
            <v>1088966</v>
          </cell>
          <cell r="F326">
            <v>329082</v>
          </cell>
          <cell r="G326">
            <v>86603</v>
          </cell>
          <cell r="I326">
            <v>2397</v>
          </cell>
          <cell r="J326">
            <v>275597</v>
          </cell>
          <cell r="K326">
            <v>289040</v>
          </cell>
          <cell r="L326">
            <v>163822</v>
          </cell>
          <cell r="N326">
            <v>-613486</v>
          </cell>
          <cell r="P326">
            <v>14206</v>
          </cell>
          <cell r="Q326">
            <v>166908</v>
          </cell>
          <cell r="R326">
            <v>3611623</v>
          </cell>
          <cell r="T326">
            <v>1735807</v>
          </cell>
          <cell r="X326">
            <v>1279633</v>
          </cell>
          <cell r="Y326">
            <v>149136</v>
          </cell>
          <cell r="Z326">
            <v>2559</v>
          </cell>
          <cell r="AA326">
            <v>2004</v>
          </cell>
          <cell r="AB326">
            <v>18983</v>
          </cell>
          <cell r="AC326">
            <v>4</v>
          </cell>
          <cell r="AD326">
            <v>17</v>
          </cell>
        </row>
        <row r="327">
          <cell r="C327">
            <v>3195171</v>
          </cell>
          <cell r="D327">
            <v>1377564</v>
          </cell>
          <cell r="E327">
            <v>922278</v>
          </cell>
          <cell r="F327">
            <v>310115</v>
          </cell>
          <cell r="G327">
            <v>77614</v>
          </cell>
          <cell r="I327">
            <v>2353</v>
          </cell>
          <cell r="J327">
            <v>226750</v>
          </cell>
          <cell r="K327">
            <v>222132</v>
          </cell>
          <cell r="L327">
            <v>133979</v>
          </cell>
          <cell r="N327">
            <v>-93108</v>
          </cell>
          <cell r="P327">
            <v>14714</v>
          </cell>
          <cell r="Q327">
            <v>183510</v>
          </cell>
          <cell r="R327">
            <v>3300287</v>
          </cell>
          <cell r="T327">
            <v>1677059</v>
          </cell>
          <cell r="X327">
            <v>1273108</v>
          </cell>
          <cell r="Y327">
            <v>147227</v>
          </cell>
          <cell r="Z327">
            <v>2507</v>
          </cell>
          <cell r="AA327">
            <v>2004</v>
          </cell>
          <cell r="AB327">
            <v>18759</v>
          </cell>
          <cell r="AC327">
            <v>4</v>
          </cell>
          <cell r="AD327">
            <v>15</v>
          </cell>
        </row>
        <row r="328">
          <cell r="C328">
            <v>3014045</v>
          </cell>
          <cell r="D328">
            <v>1216435</v>
          </cell>
          <cell r="E328">
            <v>901526</v>
          </cell>
          <cell r="F328">
            <v>328973</v>
          </cell>
          <cell r="G328">
            <v>90040</v>
          </cell>
          <cell r="I328">
            <v>2349</v>
          </cell>
          <cell r="J328">
            <v>223884</v>
          </cell>
          <cell r="K328">
            <v>213007</v>
          </cell>
          <cell r="L328">
            <v>127871</v>
          </cell>
          <cell r="N328">
            <v>-321427</v>
          </cell>
          <cell r="P328">
            <v>8779</v>
          </cell>
          <cell r="Q328">
            <v>104773</v>
          </cell>
          <cell r="R328">
            <v>2806170</v>
          </cell>
          <cell r="T328">
            <v>1422730</v>
          </cell>
          <cell r="X328">
            <v>1318718</v>
          </cell>
          <cell r="Y328">
            <v>153014</v>
          </cell>
          <cell r="Z328">
            <v>2589</v>
          </cell>
          <cell r="AA328">
            <v>2005</v>
          </cell>
          <cell r="AB328">
            <v>19576</v>
          </cell>
          <cell r="AC328">
            <v>4</v>
          </cell>
          <cell r="AD328">
            <v>16</v>
          </cell>
        </row>
        <row r="329">
          <cell r="C329">
            <v>2834013</v>
          </cell>
          <cell r="D329">
            <v>1168016</v>
          </cell>
          <cell r="E329">
            <v>870255</v>
          </cell>
          <cell r="F329">
            <v>310603</v>
          </cell>
          <cell r="G329">
            <v>82849</v>
          </cell>
          <cell r="I329">
            <v>2265</v>
          </cell>
          <cell r="J329">
            <v>226909</v>
          </cell>
          <cell r="K329">
            <v>147619</v>
          </cell>
          <cell r="L329">
            <v>108346</v>
          </cell>
          <cell r="N329">
            <v>25236</v>
          </cell>
          <cell r="P329">
            <v>13364</v>
          </cell>
          <cell r="Q329">
            <v>195053</v>
          </cell>
          <cell r="R329">
            <v>3067666</v>
          </cell>
          <cell r="T329">
            <v>1492433</v>
          </cell>
          <cell r="X329">
            <v>1264707</v>
          </cell>
          <cell r="Y329">
            <v>145862</v>
          </cell>
          <cell r="Z329">
            <v>2498</v>
          </cell>
          <cell r="AA329">
            <v>1980</v>
          </cell>
          <cell r="AB329">
            <v>18713</v>
          </cell>
          <cell r="AC329">
            <v>4</v>
          </cell>
          <cell r="AD329">
            <v>15</v>
          </cell>
        </row>
        <row r="330">
          <cell r="C330">
            <v>3189579</v>
          </cell>
          <cell r="D330">
            <v>1616959</v>
          </cell>
          <cell r="E330">
            <v>856748</v>
          </cell>
          <cell r="F330">
            <v>270326</v>
          </cell>
          <cell r="G330">
            <v>58455</v>
          </cell>
          <cell r="I330">
            <v>2348</v>
          </cell>
          <cell r="J330">
            <v>208358</v>
          </cell>
          <cell r="K330">
            <v>107159</v>
          </cell>
          <cell r="L330">
            <v>127681</v>
          </cell>
          <cell r="N330">
            <v>-67567</v>
          </cell>
          <cell r="P330">
            <v>10251</v>
          </cell>
          <cell r="Q330">
            <v>187738</v>
          </cell>
          <cell r="R330">
            <v>3320001</v>
          </cell>
          <cell r="T330">
            <v>1454312</v>
          </cell>
          <cell r="X330">
            <v>1303326</v>
          </cell>
          <cell r="Y330">
            <v>148985</v>
          </cell>
          <cell r="Z330">
            <v>2570</v>
          </cell>
          <cell r="AA330">
            <v>1983</v>
          </cell>
          <cell r="AB330">
            <v>18967</v>
          </cell>
          <cell r="AC330">
            <v>6</v>
          </cell>
          <cell r="AD330">
            <v>21</v>
          </cell>
        </row>
        <row r="331">
          <cell r="C331">
            <v>2688759</v>
          </cell>
          <cell r="D331">
            <v>1190155</v>
          </cell>
          <cell r="E331">
            <v>794172</v>
          </cell>
          <cell r="F331">
            <v>319236</v>
          </cell>
          <cell r="G331">
            <v>88175</v>
          </cell>
          <cell r="I331">
            <v>2351</v>
          </cell>
          <cell r="J331">
            <v>204591</v>
          </cell>
          <cell r="K331">
            <v>44769</v>
          </cell>
          <cell r="L331">
            <v>133485</v>
          </cell>
          <cell r="N331">
            <v>-173653</v>
          </cell>
          <cell r="P331">
            <v>11311</v>
          </cell>
          <cell r="Q331">
            <v>152087</v>
          </cell>
          <cell r="R331">
            <v>2678504</v>
          </cell>
          <cell r="T331">
            <v>1303607</v>
          </cell>
          <cell r="X331">
            <v>1304745</v>
          </cell>
          <cell r="Y331">
            <v>149507</v>
          </cell>
          <cell r="Z331">
            <v>2520</v>
          </cell>
          <cell r="AA331">
            <v>1981</v>
          </cell>
          <cell r="AB331">
            <v>19122</v>
          </cell>
          <cell r="AC331">
            <v>4</v>
          </cell>
          <cell r="AD331">
            <v>18</v>
          </cell>
        </row>
        <row r="332">
          <cell r="C332">
            <v>2719131</v>
          </cell>
          <cell r="D332">
            <v>1253029</v>
          </cell>
          <cell r="E332">
            <v>804813</v>
          </cell>
          <cell r="F332">
            <v>292918</v>
          </cell>
          <cell r="G332">
            <v>81571</v>
          </cell>
          <cell r="I332">
            <v>2394</v>
          </cell>
          <cell r="J332">
            <v>200767</v>
          </cell>
          <cell r="K332">
            <v>45119</v>
          </cell>
          <cell r="L332">
            <v>120091</v>
          </cell>
          <cell r="N332">
            <v>272623</v>
          </cell>
          <cell r="P332">
            <v>10793</v>
          </cell>
          <cell r="Q332">
            <v>162641</v>
          </cell>
          <cell r="R332">
            <v>3165188</v>
          </cell>
          <cell r="T332">
            <v>1499377</v>
          </cell>
          <cell r="X332">
            <v>1296839</v>
          </cell>
          <cell r="Y332">
            <v>148898</v>
          </cell>
          <cell r="Z332">
            <v>2499</v>
          </cell>
          <cell r="AA332">
            <v>1971</v>
          </cell>
          <cell r="AB332">
            <v>19093</v>
          </cell>
          <cell r="AC332">
            <v>4</v>
          </cell>
          <cell r="AD332">
            <v>18</v>
          </cell>
        </row>
        <row r="333">
          <cell r="C333">
            <v>2861273</v>
          </cell>
          <cell r="D333">
            <v>1247686</v>
          </cell>
          <cell r="E333">
            <v>859682</v>
          </cell>
          <cell r="F333">
            <v>310258</v>
          </cell>
          <cell r="G333">
            <v>85567</v>
          </cell>
          <cell r="I333">
            <v>1721</v>
          </cell>
          <cell r="J333">
            <v>220040</v>
          </cell>
          <cell r="K333">
            <v>63827</v>
          </cell>
          <cell r="L333">
            <v>158059</v>
          </cell>
          <cell r="N333">
            <v>276146</v>
          </cell>
          <cell r="P333">
            <v>7249</v>
          </cell>
          <cell r="Q333">
            <v>236054</v>
          </cell>
          <cell r="R333">
            <v>3380722</v>
          </cell>
          <cell r="T333">
            <v>1706170</v>
          </cell>
          <cell r="X333">
            <v>1239728</v>
          </cell>
          <cell r="Y333">
            <v>142729</v>
          </cell>
          <cell r="Z333">
            <v>2374</v>
          </cell>
          <cell r="AA333">
            <v>1969</v>
          </cell>
          <cell r="AB333">
            <v>18422</v>
          </cell>
          <cell r="AC333">
            <v>4</v>
          </cell>
          <cell r="AD333">
            <v>16</v>
          </cell>
        </row>
        <row r="334">
          <cell r="C334">
            <v>3654443</v>
          </cell>
          <cell r="D334">
            <v>1655608</v>
          </cell>
          <cell r="E334">
            <v>1055642</v>
          </cell>
          <cell r="F334">
            <v>372027</v>
          </cell>
          <cell r="G334">
            <v>99652</v>
          </cell>
          <cell r="I334">
            <v>2953</v>
          </cell>
          <cell r="J334">
            <v>250806</v>
          </cell>
          <cell r="K334">
            <v>108871</v>
          </cell>
          <cell r="L334">
            <v>208536</v>
          </cell>
          <cell r="N334">
            <v>32619</v>
          </cell>
          <cell r="P334">
            <v>10687</v>
          </cell>
          <cell r="Q334">
            <v>142984</v>
          </cell>
          <cell r="R334">
            <v>3840733</v>
          </cell>
          <cell r="T334">
            <v>1737830</v>
          </cell>
          <cell r="X334">
            <v>1353544</v>
          </cell>
          <cell r="Y334">
            <v>157664</v>
          </cell>
          <cell r="Z334">
            <v>2676</v>
          </cell>
          <cell r="AA334">
            <v>1963</v>
          </cell>
          <cell r="AB334">
            <v>19861</v>
          </cell>
          <cell r="AC334">
            <v>4</v>
          </cell>
          <cell r="AD334">
            <v>18</v>
          </cell>
        </row>
        <row r="335">
          <cell r="C335">
            <v>3396865</v>
          </cell>
          <cell r="D335">
            <v>1611396</v>
          </cell>
          <cell r="E335">
            <v>941408</v>
          </cell>
          <cell r="F335">
            <v>311167</v>
          </cell>
          <cell r="G335">
            <v>67021</v>
          </cell>
          <cell r="I335">
            <v>2338</v>
          </cell>
          <cell r="J335">
            <v>237033</v>
          </cell>
          <cell r="K335">
            <v>108236</v>
          </cell>
          <cell r="L335">
            <v>185287</v>
          </cell>
          <cell r="N335">
            <v>134578</v>
          </cell>
          <cell r="P335">
            <v>8372</v>
          </cell>
          <cell r="Q335">
            <v>226502</v>
          </cell>
          <cell r="R335">
            <v>3766317</v>
          </cell>
          <cell r="T335">
            <v>1893717</v>
          </cell>
          <cell r="X335">
            <v>1236677</v>
          </cell>
          <cell r="Y335">
            <v>143133</v>
          </cell>
          <cell r="Z335">
            <v>2420</v>
          </cell>
          <cell r="AA335">
            <v>1969</v>
          </cell>
          <cell r="AB335">
            <v>18391</v>
          </cell>
          <cell r="AC335">
            <v>4</v>
          </cell>
          <cell r="AD335">
            <v>18</v>
          </cell>
        </row>
        <row r="336">
          <cell r="C336">
            <v>3729765</v>
          </cell>
          <cell r="D336">
            <v>1780508</v>
          </cell>
          <cell r="E336">
            <v>1078642</v>
          </cell>
          <cell r="F336">
            <v>344323</v>
          </cell>
          <cell r="G336">
            <v>80934</v>
          </cell>
          <cell r="I336">
            <v>2489</v>
          </cell>
          <cell r="J336">
            <v>236700</v>
          </cell>
          <cell r="K336">
            <v>82430</v>
          </cell>
          <cell r="L336">
            <v>204673</v>
          </cell>
          <cell r="N336">
            <v>141450</v>
          </cell>
          <cell r="P336">
            <v>7518</v>
          </cell>
          <cell r="Q336">
            <v>225360</v>
          </cell>
          <cell r="R336">
            <v>4104093</v>
          </cell>
          <cell r="T336">
            <v>2016203</v>
          </cell>
          <cell r="X336">
            <v>1335895</v>
          </cell>
          <cell r="Y336">
            <v>154753</v>
          </cell>
          <cell r="Z336">
            <v>2575</v>
          </cell>
          <cell r="AA336">
            <v>1965</v>
          </cell>
          <cell r="AB336">
            <v>19583</v>
          </cell>
          <cell r="AC336">
            <v>6</v>
          </cell>
          <cell r="AD336">
            <v>17</v>
          </cell>
        </row>
        <row r="337">
          <cell r="C337">
            <v>3739701</v>
          </cell>
          <cell r="D337">
            <v>1828668</v>
          </cell>
          <cell r="E337">
            <v>1060305</v>
          </cell>
          <cell r="F337">
            <v>312198</v>
          </cell>
          <cell r="G337">
            <v>84523</v>
          </cell>
          <cell r="I337">
            <v>2305</v>
          </cell>
          <cell r="J337">
            <v>247257</v>
          </cell>
          <cell r="K337">
            <v>85592</v>
          </cell>
          <cell r="L337">
            <v>203376</v>
          </cell>
          <cell r="N337">
            <v>132665</v>
          </cell>
          <cell r="P337">
            <v>7490</v>
          </cell>
          <cell r="Q337">
            <v>227067</v>
          </cell>
          <cell r="R337">
            <v>4106923</v>
          </cell>
          <cell r="T337">
            <v>2162330</v>
          </cell>
          <cell r="X337">
            <v>1298532</v>
          </cell>
          <cell r="Y337">
            <v>152268</v>
          </cell>
          <cell r="Z337">
            <v>2552</v>
          </cell>
          <cell r="AA337">
            <v>1961</v>
          </cell>
          <cell r="AB337">
            <v>19248</v>
          </cell>
          <cell r="AC337">
            <v>4</v>
          </cell>
          <cell r="AD337">
            <v>17</v>
          </cell>
        </row>
        <row r="338">
          <cell r="C338">
            <v>3847976</v>
          </cell>
          <cell r="D338">
            <v>1894109</v>
          </cell>
          <cell r="E338">
            <v>1067622</v>
          </cell>
          <cell r="F338">
            <v>326118</v>
          </cell>
          <cell r="G338">
            <v>87313</v>
          </cell>
          <cell r="I338">
            <v>2342</v>
          </cell>
          <cell r="J338">
            <v>268630</v>
          </cell>
          <cell r="K338">
            <v>77706</v>
          </cell>
          <cell r="L338">
            <v>211449</v>
          </cell>
          <cell r="N338">
            <v>-59590</v>
          </cell>
          <cell r="P338">
            <v>9987</v>
          </cell>
          <cell r="Q338">
            <v>268276</v>
          </cell>
          <cell r="R338">
            <v>4066649</v>
          </cell>
          <cell r="T338">
            <v>2067285</v>
          </cell>
          <cell r="X338">
            <v>1314767</v>
          </cell>
          <cell r="Y338">
            <v>152284</v>
          </cell>
          <cell r="Z338">
            <v>2517</v>
          </cell>
          <cell r="AA338">
            <v>1964</v>
          </cell>
          <cell r="AB338">
            <v>19303</v>
          </cell>
          <cell r="AC338">
            <v>4</v>
          </cell>
          <cell r="AD338">
            <v>18</v>
          </cell>
        </row>
        <row r="339">
          <cell r="C339">
            <v>3625032</v>
          </cell>
          <cell r="D339">
            <v>1717827</v>
          </cell>
          <cell r="E339">
            <v>1007947</v>
          </cell>
          <cell r="F339">
            <v>315167</v>
          </cell>
          <cell r="G339">
            <v>79585</v>
          </cell>
          <cell r="I339">
            <v>2309</v>
          </cell>
          <cell r="J339">
            <v>261651</v>
          </cell>
          <cell r="K339">
            <v>102283</v>
          </cell>
          <cell r="L339">
            <v>217848</v>
          </cell>
          <cell r="N339">
            <v>23860</v>
          </cell>
          <cell r="P339">
            <v>10516</v>
          </cell>
          <cell r="Q339">
            <v>195441</v>
          </cell>
          <cell r="R339">
            <v>3854849</v>
          </cell>
          <cell r="T339">
            <v>2083057</v>
          </cell>
          <cell r="X339">
            <v>1263182</v>
          </cell>
          <cell r="Y339">
            <v>146573</v>
          </cell>
          <cell r="Z339">
            <v>2472</v>
          </cell>
          <cell r="AA339">
            <v>1956</v>
          </cell>
          <cell r="AB339">
            <v>18729</v>
          </cell>
          <cell r="AC339">
            <v>4</v>
          </cell>
          <cell r="AD339">
            <v>17</v>
          </cell>
        </row>
        <row r="340">
          <cell r="C340">
            <v>3501067</v>
          </cell>
          <cell r="D340">
            <v>1543608</v>
          </cell>
          <cell r="E340">
            <v>1023357</v>
          </cell>
          <cell r="F340">
            <v>322551</v>
          </cell>
          <cell r="G340">
            <v>97892</v>
          </cell>
          <cell r="I340">
            <v>2086</v>
          </cell>
          <cell r="J340">
            <v>262097</v>
          </cell>
          <cell r="K340">
            <v>114162</v>
          </cell>
          <cell r="L340">
            <v>233206</v>
          </cell>
          <cell r="N340">
            <v>-649225</v>
          </cell>
          <cell r="P340">
            <v>14801</v>
          </cell>
          <cell r="Q340">
            <v>121031</v>
          </cell>
          <cell r="R340">
            <v>2987674</v>
          </cell>
          <cell r="T340">
            <v>1534638</v>
          </cell>
          <cell r="X340">
            <v>1380145</v>
          </cell>
          <cell r="Y340">
            <v>160058</v>
          </cell>
          <cell r="Z340">
            <v>2693</v>
          </cell>
          <cell r="AA340">
            <v>1950</v>
          </cell>
          <cell r="AB340">
            <v>20273</v>
          </cell>
          <cell r="AC340">
            <v>4</v>
          </cell>
          <cell r="AD340">
            <v>19</v>
          </cell>
        </row>
        <row r="341">
          <cell r="C341">
            <v>3078820</v>
          </cell>
          <cell r="D341">
            <v>1414265</v>
          </cell>
          <cell r="E341">
            <v>869744</v>
          </cell>
          <cell r="F341">
            <v>338771</v>
          </cell>
          <cell r="G341">
            <v>90482</v>
          </cell>
          <cell r="I341">
            <v>2661</v>
          </cell>
          <cell r="J341">
            <v>224157</v>
          </cell>
          <cell r="K341">
            <v>59496</v>
          </cell>
          <cell r="L341">
            <v>169726</v>
          </cell>
          <cell r="N341">
            <v>-59256</v>
          </cell>
          <cell r="P341">
            <v>7452</v>
          </cell>
          <cell r="Q341">
            <v>268005</v>
          </cell>
          <cell r="R341">
            <v>3295021</v>
          </cell>
          <cell r="T341">
            <v>1470823</v>
          </cell>
          <cell r="X341">
            <v>1290805</v>
          </cell>
          <cell r="Y341">
            <v>150070</v>
          </cell>
          <cell r="Z341">
            <v>2546</v>
          </cell>
          <cell r="AA341">
            <v>1944</v>
          </cell>
          <cell r="AB341">
            <v>19036</v>
          </cell>
          <cell r="AC341">
            <v>4</v>
          </cell>
          <cell r="AD341">
            <v>16</v>
          </cell>
        </row>
        <row r="342">
          <cell r="C342">
            <v>3307511</v>
          </cell>
          <cell r="D342">
            <v>1752347</v>
          </cell>
          <cell r="E342">
            <v>817889</v>
          </cell>
          <cell r="F342">
            <v>297101</v>
          </cell>
          <cell r="G342">
            <v>83782</v>
          </cell>
          <cell r="I342">
            <v>2355</v>
          </cell>
          <cell r="J342">
            <v>214155</v>
          </cell>
          <cell r="K342">
            <v>72027</v>
          </cell>
          <cell r="L342">
            <v>151637</v>
          </cell>
          <cell r="N342">
            <v>316185</v>
          </cell>
          <cell r="P342">
            <v>9417</v>
          </cell>
          <cell r="Q342">
            <v>208529</v>
          </cell>
          <cell r="R342">
            <v>3841642</v>
          </cell>
          <cell r="T342">
            <v>1716563</v>
          </cell>
          <cell r="X342">
            <v>1314997</v>
          </cell>
          <cell r="Y342">
            <v>151478</v>
          </cell>
          <cell r="Z342">
            <v>2572</v>
          </cell>
          <cell r="AA342">
            <v>1933</v>
          </cell>
          <cell r="AB342">
            <v>19370</v>
          </cell>
          <cell r="AC342">
            <v>4</v>
          </cell>
          <cell r="AD342">
            <v>16</v>
          </cell>
        </row>
        <row r="343">
          <cell r="C343">
            <v>3216943</v>
          </cell>
          <cell r="D343">
            <v>1607332</v>
          </cell>
          <cell r="E343">
            <v>788082</v>
          </cell>
          <cell r="F343">
            <v>322180</v>
          </cell>
          <cell r="G343">
            <v>107708</v>
          </cell>
          <cell r="I343">
            <v>2465</v>
          </cell>
          <cell r="J343">
            <v>217437</v>
          </cell>
          <cell r="K343">
            <v>70938</v>
          </cell>
          <cell r="L343">
            <v>208509</v>
          </cell>
          <cell r="N343">
            <v>-526246</v>
          </cell>
          <cell r="P343">
            <v>10474</v>
          </cell>
          <cell r="Q343">
            <v>113231</v>
          </cell>
          <cell r="R343">
            <v>2814402</v>
          </cell>
          <cell r="T343">
            <v>1257453</v>
          </cell>
          <cell r="X343">
            <v>1328691</v>
          </cell>
          <cell r="Y343">
            <v>152200</v>
          </cell>
          <cell r="Z343">
            <v>2564</v>
          </cell>
          <cell r="AA343">
            <v>1935</v>
          </cell>
          <cell r="AB343">
            <v>19509</v>
          </cell>
          <cell r="AC343">
            <v>4</v>
          </cell>
          <cell r="AD343">
            <v>17</v>
          </cell>
        </row>
        <row r="344">
          <cell r="C344">
            <v>2790508</v>
          </cell>
          <cell r="D344">
            <v>1193274</v>
          </cell>
          <cell r="E344">
            <v>835816</v>
          </cell>
          <cell r="F344">
            <v>296426</v>
          </cell>
          <cell r="G344">
            <v>76074</v>
          </cell>
          <cell r="I344">
            <v>2286</v>
          </cell>
          <cell r="J344">
            <v>217818</v>
          </cell>
          <cell r="K344">
            <v>85242</v>
          </cell>
          <cell r="L344">
            <v>159646</v>
          </cell>
          <cell r="N344">
            <v>265404</v>
          </cell>
          <cell r="P344">
            <v>6719</v>
          </cell>
          <cell r="Q344">
            <v>176112</v>
          </cell>
          <cell r="R344">
            <v>3238743</v>
          </cell>
          <cell r="T344">
            <v>1492912</v>
          </cell>
          <cell r="X344">
            <v>1309065</v>
          </cell>
          <cell r="Y344">
            <v>150307</v>
          </cell>
          <cell r="Z344">
            <v>2554</v>
          </cell>
          <cell r="AA344">
            <v>1941</v>
          </cell>
          <cell r="AB344">
            <v>19195</v>
          </cell>
          <cell r="AC344">
            <v>5</v>
          </cell>
          <cell r="AD344">
            <v>17</v>
          </cell>
        </row>
        <row r="345">
          <cell r="C345">
            <v>3012170</v>
          </cell>
          <cell r="D345">
            <v>1294165</v>
          </cell>
          <cell r="E345">
            <v>897197</v>
          </cell>
          <cell r="F345">
            <v>325234</v>
          </cell>
          <cell r="G345">
            <v>81792</v>
          </cell>
          <cell r="I345">
            <v>2430</v>
          </cell>
          <cell r="J345">
            <v>225508</v>
          </cell>
          <cell r="K345">
            <v>65118</v>
          </cell>
          <cell r="L345">
            <v>202518</v>
          </cell>
          <cell r="N345">
            <v>30160</v>
          </cell>
          <cell r="P345">
            <v>10368</v>
          </cell>
          <cell r="Q345">
            <v>137251</v>
          </cell>
          <cell r="R345">
            <v>3189949</v>
          </cell>
          <cell r="T345">
            <v>1533748</v>
          </cell>
          <cell r="X345">
            <v>1334280</v>
          </cell>
          <cell r="Y345">
            <v>155195</v>
          </cell>
          <cell r="Z345">
            <v>2616</v>
          </cell>
          <cell r="AA345">
            <v>1928</v>
          </cell>
          <cell r="AB345">
            <v>19740</v>
          </cell>
          <cell r="AC345">
            <v>5</v>
          </cell>
          <cell r="AD345">
            <v>18</v>
          </cell>
        </row>
        <row r="346">
          <cell r="C346">
            <v>3354330</v>
          </cell>
          <cell r="D346">
            <v>1562851</v>
          </cell>
          <cell r="E346">
            <v>986168</v>
          </cell>
          <cell r="F346">
            <v>306070</v>
          </cell>
          <cell r="G346">
            <v>73709</v>
          </cell>
          <cell r="I346">
            <v>2365</v>
          </cell>
          <cell r="J346">
            <v>246846</v>
          </cell>
          <cell r="K346">
            <v>66641</v>
          </cell>
          <cell r="L346">
            <v>183389</v>
          </cell>
          <cell r="N346">
            <v>472690</v>
          </cell>
          <cell r="P346">
            <v>7599</v>
          </cell>
          <cell r="Q346">
            <v>181170</v>
          </cell>
          <cell r="R346">
            <v>4015789</v>
          </cell>
          <cell r="T346">
            <v>2000803</v>
          </cell>
          <cell r="X346">
            <v>1324449</v>
          </cell>
          <cell r="Y346">
            <v>154413</v>
          </cell>
          <cell r="Z346">
            <v>2620</v>
          </cell>
          <cell r="AA346">
            <v>1924</v>
          </cell>
          <cell r="AB346">
            <v>19636</v>
          </cell>
          <cell r="AC346">
            <v>5</v>
          </cell>
          <cell r="AD346">
            <v>19</v>
          </cell>
        </row>
        <row r="347">
          <cell r="C347">
            <v>3803521</v>
          </cell>
          <cell r="D347">
            <v>1846386</v>
          </cell>
          <cell r="E347">
            <v>1067882</v>
          </cell>
          <cell r="F347">
            <v>376493</v>
          </cell>
          <cell r="G347">
            <v>108103</v>
          </cell>
          <cell r="I347">
            <v>2395</v>
          </cell>
          <cell r="J347">
            <v>262017</v>
          </cell>
          <cell r="K347">
            <v>86744</v>
          </cell>
          <cell r="L347">
            <v>161604</v>
          </cell>
          <cell r="N347">
            <v>-4605</v>
          </cell>
          <cell r="P347">
            <v>10619</v>
          </cell>
          <cell r="Q347">
            <v>206212</v>
          </cell>
          <cell r="R347">
            <v>4015747</v>
          </cell>
          <cell r="T347">
            <v>1907727</v>
          </cell>
          <cell r="X347">
            <v>1320653</v>
          </cell>
          <cell r="Y347">
            <v>152799</v>
          </cell>
          <cell r="Z347">
            <v>2653</v>
          </cell>
          <cell r="AA347">
            <v>1923</v>
          </cell>
          <cell r="AB347">
            <v>19372</v>
          </cell>
          <cell r="AC347">
            <v>4</v>
          </cell>
          <cell r="AD347">
            <v>16</v>
          </cell>
        </row>
        <row r="348">
          <cell r="C348">
            <v>3903792</v>
          </cell>
          <cell r="D348">
            <v>1909869</v>
          </cell>
          <cell r="E348">
            <v>1099046</v>
          </cell>
          <cell r="F348">
            <v>336712</v>
          </cell>
          <cell r="G348">
            <v>101850</v>
          </cell>
          <cell r="I348">
            <v>2376</v>
          </cell>
          <cell r="J348">
            <v>253155</v>
          </cell>
          <cell r="K348">
            <v>87359</v>
          </cell>
          <cell r="L348">
            <v>215275</v>
          </cell>
          <cell r="N348">
            <v>200855</v>
          </cell>
          <cell r="P348">
            <v>8255</v>
          </cell>
          <cell r="Q348">
            <v>238048</v>
          </cell>
          <cell r="R348">
            <v>4350950</v>
          </cell>
          <cell r="T348">
            <v>2084701</v>
          </cell>
          <cell r="X348">
            <v>1333076</v>
          </cell>
          <cell r="Y348">
            <v>154994</v>
          </cell>
          <cell r="Z348">
            <v>2659</v>
          </cell>
          <cell r="AA348">
            <v>1922</v>
          </cell>
          <cell r="AB348">
            <v>19844</v>
          </cell>
          <cell r="AC348">
            <v>4</v>
          </cell>
          <cell r="AD348">
            <v>16</v>
          </cell>
        </row>
        <row r="349">
          <cell r="C349">
            <v>3798273</v>
          </cell>
          <cell r="D349">
            <v>1854598</v>
          </cell>
          <cell r="E349">
            <v>1080971</v>
          </cell>
          <cell r="F349">
            <v>342691</v>
          </cell>
          <cell r="G349">
            <v>105447</v>
          </cell>
          <cell r="I349">
            <v>2443</v>
          </cell>
          <cell r="J349">
            <v>244422</v>
          </cell>
          <cell r="K349">
            <v>38687</v>
          </cell>
          <cell r="L349">
            <v>234461</v>
          </cell>
          <cell r="N349">
            <v>141855</v>
          </cell>
          <cell r="P349">
            <v>11447</v>
          </cell>
          <cell r="Q349">
            <v>268826</v>
          </cell>
          <cell r="R349">
            <v>4220401</v>
          </cell>
          <cell r="T349">
            <v>2161936</v>
          </cell>
          <cell r="X349">
            <v>1324179</v>
          </cell>
          <cell r="Y349">
            <v>153917</v>
          </cell>
          <cell r="Z349">
            <v>2668</v>
          </cell>
          <cell r="AA349">
            <v>1914</v>
          </cell>
          <cell r="AB349">
            <v>19690</v>
          </cell>
          <cell r="AC349">
            <v>3</v>
          </cell>
          <cell r="AD349">
            <v>17</v>
          </cell>
        </row>
        <row r="350">
          <cell r="C350">
            <v>4164229</v>
          </cell>
          <cell r="D350">
            <v>1974784</v>
          </cell>
          <cell r="E350">
            <v>1154159</v>
          </cell>
          <cell r="F350">
            <v>348232</v>
          </cell>
          <cell r="G350">
            <v>103657</v>
          </cell>
          <cell r="I350">
            <v>2421</v>
          </cell>
          <cell r="J350">
            <v>300672</v>
          </cell>
          <cell r="K350">
            <v>151616</v>
          </cell>
          <cell r="L350">
            <v>232345</v>
          </cell>
          <cell r="N350">
            <v>-455363</v>
          </cell>
          <cell r="P350">
            <v>8450</v>
          </cell>
          <cell r="Q350">
            <v>270629</v>
          </cell>
          <cell r="R350">
            <v>3987945</v>
          </cell>
          <cell r="T350">
            <v>1784301</v>
          </cell>
          <cell r="X350">
            <v>1353638</v>
          </cell>
          <cell r="Y350">
            <v>157167</v>
          </cell>
          <cell r="Z350">
            <v>2687</v>
          </cell>
          <cell r="AA350">
            <v>1905</v>
          </cell>
          <cell r="AB350">
            <v>20059</v>
          </cell>
          <cell r="AC350">
            <v>6</v>
          </cell>
          <cell r="AD350">
            <v>17</v>
          </cell>
        </row>
        <row r="351">
          <cell r="C351">
            <v>3573414</v>
          </cell>
          <cell r="D351">
            <v>1612643</v>
          </cell>
          <cell r="E351">
            <v>986855</v>
          </cell>
          <cell r="F351">
            <v>378404</v>
          </cell>
          <cell r="G351">
            <v>103286</v>
          </cell>
          <cell r="I351">
            <v>2317</v>
          </cell>
          <cell r="J351">
            <v>269503</v>
          </cell>
          <cell r="K351">
            <v>83959</v>
          </cell>
          <cell r="L351">
            <v>239733</v>
          </cell>
          <cell r="N351">
            <v>31955</v>
          </cell>
          <cell r="P351">
            <v>12530</v>
          </cell>
          <cell r="Q351">
            <v>13561</v>
          </cell>
          <cell r="R351">
            <v>3631460</v>
          </cell>
          <cell r="T351">
            <v>1842601</v>
          </cell>
          <cell r="X351">
            <v>1350881</v>
          </cell>
          <cell r="Y351">
            <v>157075</v>
          </cell>
          <cell r="Z351">
            <v>2737</v>
          </cell>
          <cell r="AA351">
            <v>1899</v>
          </cell>
          <cell r="AB351">
            <v>19997</v>
          </cell>
          <cell r="AC351">
            <v>5</v>
          </cell>
          <cell r="AD351">
            <v>16</v>
          </cell>
        </row>
        <row r="352">
          <cell r="C352">
            <v>3306696</v>
          </cell>
          <cell r="D352">
            <v>1401461</v>
          </cell>
          <cell r="E352">
            <v>957964</v>
          </cell>
          <cell r="F352">
            <v>376394</v>
          </cell>
          <cell r="G352">
            <v>120278</v>
          </cell>
          <cell r="I352">
            <v>2267</v>
          </cell>
          <cell r="J352">
            <v>256936</v>
          </cell>
          <cell r="K352">
            <v>84179</v>
          </cell>
          <cell r="L352">
            <v>227495</v>
          </cell>
          <cell r="N352">
            <v>-448443</v>
          </cell>
          <cell r="P352">
            <v>13803</v>
          </cell>
          <cell r="Q352">
            <v>328717</v>
          </cell>
          <cell r="R352">
            <v>3200773</v>
          </cell>
          <cell r="T352">
            <v>1429158</v>
          </cell>
          <cell r="X352">
            <v>1349774</v>
          </cell>
          <cell r="Y352">
            <v>156381</v>
          </cell>
          <cell r="Z352">
            <v>2696</v>
          </cell>
          <cell r="AA352">
            <v>1895</v>
          </cell>
          <cell r="AB352">
            <v>20056</v>
          </cell>
          <cell r="AC352">
            <v>7</v>
          </cell>
          <cell r="AD352">
            <v>21</v>
          </cell>
        </row>
        <row r="353">
          <cell r="C353">
            <v>3084746</v>
          </cell>
          <cell r="D353">
            <v>1419232</v>
          </cell>
          <cell r="E353">
            <v>880938</v>
          </cell>
          <cell r="F353">
            <v>294624</v>
          </cell>
          <cell r="G353">
            <v>68317</v>
          </cell>
          <cell r="I353">
            <v>2507</v>
          </cell>
          <cell r="J353">
            <v>237135</v>
          </cell>
          <cell r="K353">
            <v>73798</v>
          </cell>
          <cell r="L353">
            <v>176512</v>
          </cell>
          <cell r="N353">
            <v>208643</v>
          </cell>
          <cell r="P353">
            <v>10847</v>
          </cell>
          <cell r="Q353">
            <v>99073</v>
          </cell>
          <cell r="R353">
            <v>3403309</v>
          </cell>
          <cell r="T353">
            <v>1618508</v>
          </cell>
          <cell r="X353">
            <v>1339285</v>
          </cell>
          <cell r="Y353">
            <v>155601</v>
          </cell>
          <cell r="Z353">
            <v>2693</v>
          </cell>
          <cell r="AA353">
            <v>1890</v>
          </cell>
          <cell r="AB353">
            <v>20239</v>
          </cell>
          <cell r="AC353">
            <v>5</v>
          </cell>
          <cell r="AD353">
            <v>15</v>
          </cell>
        </row>
        <row r="354">
          <cell r="C354">
            <v>3323469</v>
          </cell>
          <cell r="D354">
            <v>1600761</v>
          </cell>
          <cell r="E354">
            <v>881905</v>
          </cell>
          <cell r="F354">
            <v>349755</v>
          </cell>
          <cell r="G354">
            <v>123552</v>
          </cell>
          <cell r="I354">
            <v>2340</v>
          </cell>
          <cell r="J354">
            <v>222903</v>
          </cell>
          <cell r="K354">
            <v>65595</v>
          </cell>
          <cell r="L354">
            <v>200210</v>
          </cell>
          <cell r="N354">
            <v>-106750</v>
          </cell>
          <cell r="P354">
            <v>7721</v>
          </cell>
          <cell r="Q354">
            <v>279405</v>
          </cell>
          <cell r="R354">
            <v>3503845</v>
          </cell>
          <cell r="T354">
            <v>1513938</v>
          </cell>
          <cell r="X354">
            <v>1348442</v>
          </cell>
          <cell r="Y354">
            <v>155289</v>
          </cell>
          <cell r="Z354">
            <v>2727</v>
          </cell>
          <cell r="AA354">
            <v>1886</v>
          </cell>
          <cell r="AB354">
            <v>20240</v>
          </cell>
          <cell r="AC354">
            <v>5</v>
          </cell>
          <cell r="AD354">
            <v>16</v>
          </cell>
        </row>
        <row r="355">
          <cell r="C355">
            <v>2927260</v>
          </cell>
          <cell r="D355">
            <v>1386066</v>
          </cell>
          <cell r="E355">
            <v>760461</v>
          </cell>
          <cell r="F355">
            <v>301960</v>
          </cell>
          <cell r="G355">
            <v>85064</v>
          </cell>
          <cell r="I355">
            <v>2180</v>
          </cell>
          <cell r="J355">
            <v>218718</v>
          </cell>
          <cell r="K355">
            <v>46189</v>
          </cell>
          <cell r="L355">
            <v>211686</v>
          </cell>
          <cell r="N355">
            <v>-31584</v>
          </cell>
          <cell r="P355">
            <v>10048</v>
          </cell>
          <cell r="Q355">
            <v>183967</v>
          </cell>
          <cell r="R355">
            <v>3089691</v>
          </cell>
          <cell r="T355">
            <v>1446244</v>
          </cell>
          <cell r="X355">
            <v>1316798</v>
          </cell>
          <cell r="Y355">
            <v>151880</v>
          </cell>
          <cell r="Z355">
            <v>2642</v>
          </cell>
          <cell r="AA355">
            <v>1881</v>
          </cell>
          <cell r="AB355">
            <v>19778</v>
          </cell>
          <cell r="AC355">
            <v>4</v>
          </cell>
          <cell r="AD355">
            <v>17</v>
          </cell>
        </row>
        <row r="356">
          <cell r="C356">
            <v>3057995</v>
          </cell>
          <cell r="D356">
            <v>1304591</v>
          </cell>
          <cell r="E356">
            <v>848707</v>
          </cell>
          <cell r="F356">
            <v>370820</v>
          </cell>
          <cell r="G356">
            <v>127550</v>
          </cell>
          <cell r="I356">
            <v>2532</v>
          </cell>
          <cell r="J356">
            <v>222934</v>
          </cell>
          <cell r="K356">
            <v>118171</v>
          </cell>
          <cell r="L356">
            <v>190240</v>
          </cell>
          <cell r="N356">
            <v>3440</v>
          </cell>
          <cell r="P356">
            <v>10048</v>
          </cell>
          <cell r="Q356">
            <v>99731</v>
          </cell>
          <cell r="R356">
            <v>3171214</v>
          </cell>
          <cell r="T356">
            <v>1479215</v>
          </cell>
          <cell r="X356">
            <v>1391176</v>
          </cell>
          <cell r="Y356">
            <v>160455</v>
          </cell>
          <cell r="Z356">
            <v>2799</v>
          </cell>
          <cell r="AA356">
            <v>1872</v>
          </cell>
          <cell r="AB356">
            <v>20793</v>
          </cell>
          <cell r="AC356">
            <v>6</v>
          </cell>
          <cell r="AD356">
            <v>20</v>
          </cell>
        </row>
        <row r="357">
          <cell r="C357">
            <v>2934787</v>
          </cell>
          <cell r="D357">
            <v>1186689</v>
          </cell>
          <cell r="E357">
            <v>874499</v>
          </cell>
          <cell r="F357">
            <v>345799</v>
          </cell>
          <cell r="G357">
            <v>98759</v>
          </cell>
          <cell r="I357">
            <v>2353</v>
          </cell>
          <cell r="J357">
            <v>235583</v>
          </cell>
          <cell r="K357">
            <v>82420</v>
          </cell>
          <cell r="L357">
            <v>207444</v>
          </cell>
          <cell r="N357">
            <v>36816</v>
          </cell>
          <cell r="P357">
            <v>7721</v>
          </cell>
          <cell r="Q357">
            <v>196630</v>
          </cell>
          <cell r="R357">
            <v>3175954</v>
          </cell>
          <cell r="T357">
            <v>1524726</v>
          </cell>
          <cell r="X357">
            <v>1354068</v>
          </cell>
          <cell r="Y357">
            <v>157163</v>
          </cell>
          <cell r="Z357">
            <v>2738</v>
          </cell>
          <cell r="AA357">
            <v>1868</v>
          </cell>
          <cell r="AB357">
            <v>20321</v>
          </cell>
          <cell r="AC357">
            <v>5</v>
          </cell>
          <cell r="AD357">
            <v>17</v>
          </cell>
        </row>
        <row r="358">
          <cell r="C358">
            <v>3235564</v>
          </cell>
          <cell r="D358">
            <v>1390027</v>
          </cell>
          <cell r="E358">
            <v>953467</v>
          </cell>
          <cell r="F358">
            <v>351164</v>
          </cell>
          <cell r="G358">
            <v>110670</v>
          </cell>
          <cell r="I358">
            <v>2216</v>
          </cell>
          <cell r="J358">
            <v>249972</v>
          </cell>
          <cell r="K358">
            <v>84688</v>
          </cell>
          <cell r="L358">
            <v>204030</v>
          </cell>
          <cell r="N358">
            <v>444287</v>
          </cell>
          <cell r="P358">
            <v>7721</v>
          </cell>
          <cell r="Q358">
            <v>272312</v>
          </cell>
          <cell r="R358">
            <v>3959884</v>
          </cell>
          <cell r="T358">
            <v>1915375</v>
          </cell>
          <cell r="X358">
            <v>1364646</v>
          </cell>
          <cell r="Y358">
            <v>158735</v>
          </cell>
          <cell r="Z358">
            <v>2734</v>
          </cell>
          <cell r="AA358">
            <v>1860</v>
          </cell>
          <cell r="AB358">
            <v>20604</v>
          </cell>
          <cell r="AC358">
            <v>5</v>
          </cell>
          <cell r="AD358">
            <v>16</v>
          </cell>
        </row>
        <row r="359">
          <cell r="C359">
            <v>3961805</v>
          </cell>
          <cell r="D359">
            <v>1928679</v>
          </cell>
          <cell r="E359">
            <v>1112598</v>
          </cell>
          <cell r="F359">
            <v>354226</v>
          </cell>
          <cell r="G359">
            <v>93969</v>
          </cell>
          <cell r="I359">
            <v>2396</v>
          </cell>
          <cell r="J359">
            <v>258702</v>
          </cell>
          <cell r="K359">
            <v>95812</v>
          </cell>
          <cell r="L359">
            <v>209392</v>
          </cell>
          <cell r="N359">
            <v>308781</v>
          </cell>
          <cell r="P359">
            <v>10619</v>
          </cell>
          <cell r="Q359">
            <v>199570</v>
          </cell>
          <cell r="R359">
            <v>4480775</v>
          </cell>
          <cell r="T359">
            <v>2122647</v>
          </cell>
          <cell r="X359">
            <v>1360416</v>
          </cell>
          <cell r="Y359">
            <v>158201</v>
          </cell>
          <cell r="Z359">
            <v>2737</v>
          </cell>
          <cell r="AA359">
            <v>1856</v>
          </cell>
          <cell r="AB359">
            <v>20375</v>
          </cell>
          <cell r="AC359">
            <v>5</v>
          </cell>
          <cell r="AD359">
            <v>17</v>
          </cell>
        </row>
        <row r="360">
          <cell r="C360">
            <v>4271304</v>
          </cell>
          <cell r="D360">
            <v>2086220</v>
          </cell>
          <cell r="E360">
            <v>1139256</v>
          </cell>
          <cell r="F360">
            <v>335704</v>
          </cell>
          <cell r="G360">
            <v>101572</v>
          </cell>
          <cell r="I360">
            <v>2351</v>
          </cell>
          <cell r="J360">
            <v>266471</v>
          </cell>
          <cell r="K360">
            <v>102835</v>
          </cell>
          <cell r="L360">
            <v>338467</v>
          </cell>
          <cell r="N360">
            <v>89441</v>
          </cell>
          <cell r="P360">
            <v>4777</v>
          </cell>
          <cell r="Q360">
            <v>255168</v>
          </cell>
          <cell r="R360">
            <v>4620690</v>
          </cell>
          <cell r="T360">
            <v>2156249</v>
          </cell>
          <cell r="X360">
            <v>1352339</v>
          </cell>
          <cell r="Y360">
            <v>157222</v>
          </cell>
          <cell r="Z360">
            <v>2730</v>
          </cell>
          <cell r="AA360">
            <v>1853</v>
          </cell>
          <cell r="AB360">
            <v>20370</v>
          </cell>
          <cell r="AC360">
            <v>7</v>
          </cell>
          <cell r="AD360">
            <v>26</v>
          </cell>
        </row>
        <row r="361">
          <cell r="C361">
            <v>4170265</v>
          </cell>
          <cell r="D361">
            <v>1976090</v>
          </cell>
          <cell r="E361">
            <v>1109776</v>
          </cell>
          <cell r="F361">
            <v>346763</v>
          </cell>
          <cell r="G361">
            <v>95284</v>
          </cell>
          <cell r="I361">
            <v>2310</v>
          </cell>
          <cell r="J361">
            <v>269870</v>
          </cell>
          <cell r="K361">
            <v>123315</v>
          </cell>
          <cell r="L361">
            <v>342141</v>
          </cell>
          <cell r="N361">
            <v>28222</v>
          </cell>
          <cell r="P361">
            <v>13277</v>
          </cell>
          <cell r="Q361">
            <v>220145</v>
          </cell>
          <cell r="R361">
            <v>4431909</v>
          </cell>
          <cell r="T361">
            <v>2194148</v>
          </cell>
          <cell r="X361">
            <v>1362072</v>
          </cell>
          <cell r="Y361">
            <v>158721</v>
          </cell>
          <cell r="Z361">
            <v>2735</v>
          </cell>
          <cell r="AA361">
            <v>1842</v>
          </cell>
          <cell r="AB361">
            <v>20452</v>
          </cell>
          <cell r="AC361">
            <v>8</v>
          </cell>
          <cell r="AD361">
            <v>18</v>
          </cell>
        </row>
        <row r="362">
          <cell r="C362">
            <v>4071452</v>
          </cell>
          <cell r="D362">
            <v>1918346</v>
          </cell>
          <cell r="E362">
            <v>1084918</v>
          </cell>
          <cell r="F362">
            <v>331647</v>
          </cell>
          <cell r="G362">
            <v>98205</v>
          </cell>
          <cell r="I362">
            <v>2313</v>
          </cell>
          <cell r="J362">
            <v>274454</v>
          </cell>
          <cell r="K362">
            <v>120959</v>
          </cell>
          <cell r="L362">
            <v>338815</v>
          </cell>
          <cell r="N362">
            <v>-263171</v>
          </cell>
          <cell r="P362">
            <v>16624</v>
          </cell>
          <cell r="Q362">
            <v>239251</v>
          </cell>
          <cell r="R362">
            <v>4064156</v>
          </cell>
          <cell r="T362">
            <v>1955643</v>
          </cell>
          <cell r="X362">
            <v>1377987</v>
          </cell>
          <cell r="Y362">
            <v>160762</v>
          </cell>
          <cell r="Z362">
            <v>2725</v>
          </cell>
          <cell r="AA362">
            <v>1848</v>
          </cell>
          <cell r="AB362">
            <v>20749</v>
          </cell>
          <cell r="AC362">
            <v>8</v>
          </cell>
          <cell r="AD362">
            <v>19</v>
          </cell>
        </row>
        <row r="363">
          <cell r="C363">
            <v>3826321</v>
          </cell>
          <cell r="D363">
            <v>1773691</v>
          </cell>
          <cell r="E363">
            <v>1035843</v>
          </cell>
          <cell r="F363">
            <v>284939</v>
          </cell>
          <cell r="G363">
            <v>68535</v>
          </cell>
          <cell r="I363">
            <v>2300</v>
          </cell>
          <cell r="J363">
            <v>277513</v>
          </cell>
          <cell r="K363">
            <v>109509</v>
          </cell>
          <cell r="L363">
            <v>342526</v>
          </cell>
          <cell r="N363">
            <v>-73448</v>
          </cell>
          <cell r="P363">
            <v>8129</v>
          </cell>
          <cell r="Q363">
            <v>138838</v>
          </cell>
          <cell r="R363">
            <v>3899840</v>
          </cell>
          <cell r="T363">
            <v>1924865</v>
          </cell>
          <cell r="X363">
            <v>1371216</v>
          </cell>
          <cell r="Y363">
            <v>161735</v>
          </cell>
          <cell r="Z363">
            <v>2719</v>
          </cell>
          <cell r="AA363">
            <v>1840</v>
          </cell>
          <cell r="AB363">
            <v>20948</v>
          </cell>
          <cell r="AC363">
            <v>7</v>
          </cell>
          <cell r="AD363">
            <v>20</v>
          </cell>
        </row>
        <row r="364">
          <cell r="C364">
            <v>3406028</v>
          </cell>
          <cell r="D364">
            <v>1423770</v>
          </cell>
          <cell r="E364">
            <v>991682</v>
          </cell>
          <cell r="F364">
            <v>345734</v>
          </cell>
          <cell r="G364">
            <v>119486</v>
          </cell>
          <cell r="I364">
            <v>2179</v>
          </cell>
          <cell r="J364">
            <v>267561</v>
          </cell>
          <cell r="K364">
            <v>33059</v>
          </cell>
          <cell r="L364">
            <v>342043</v>
          </cell>
          <cell r="N364">
            <v>-301545</v>
          </cell>
          <cell r="P364">
            <v>11957</v>
          </cell>
          <cell r="Q364">
            <v>121007</v>
          </cell>
          <cell r="R364">
            <v>3237447</v>
          </cell>
          <cell r="T364">
            <v>1649259</v>
          </cell>
          <cell r="X364">
            <v>1386736</v>
          </cell>
          <cell r="Y364">
            <v>163690</v>
          </cell>
          <cell r="Z364">
            <v>2742</v>
          </cell>
          <cell r="AA364">
            <v>1835</v>
          </cell>
          <cell r="AB364">
            <v>21096</v>
          </cell>
          <cell r="AC364">
            <v>5</v>
          </cell>
          <cell r="AD364">
            <v>19</v>
          </cell>
        </row>
        <row r="365">
          <cell r="C365">
            <v>3307944</v>
          </cell>
          <cell r="D365">
            <v>1372338</v>
          </cell>
          <cell r="E365">
            <v>940424</v>
          </cell>
          <cell r="F365">
            <v>350115</v>
          </cell>
          <cell r="G365">
            <v>109920</v>
          </cell>
          <cell r="I365">
            <v>2457</v>
          </cell>
          <cell r="J365">
            <v>251065</v>
          </cell>
          <cell r="K365">
            <v>108429</v>
          </cell>
          <cell r="L365">
            <v>283116</v>
          </cell>
          <cell r="N365">
            <v>224112</v>
          </cell>
          <cell r="P365">
            <v>10185</v>
          </cell>
          <cell r="Q365">
            <v>89976</v>
          </cell>
          <cell r="R365">
            <v>3632217</v>
          </cell>
          <cell r="T365">
            <v>1899472</v>
          </cell>
          <cell r="X365">
            <v>1390228</v>
          </cell>
          <cell r="Y365">
            <v>161508</v>
          </cell>
          <cell r="Z365">
            <v>2766</v>
          </cell>
          <cell r="AA365">
            <v>1828</v>
          </cell>
          <cell r="AB365">
            <v>20956</v>
          </cell>
          <cell r="AC365">
            <v>6</v>
          </cell>
          <cell r="AD365">
            <v>21</v>
          </cell>
        </row>
        <row r="366">
          <cell r="C366">
            <v>3427225</v>
          </cell>
          <cell r="D366">
            <v>1580977</v>
          </cell>
          <cell r="E366">
            <v>883397</v>
          </cell>
          <cell r="F366">
            <v>325588</v>
          </cell>
          <cell r="G366">
            <v>99436</v>
          </cell>
          <cell r="I366">
            <v>1620</v>
          </cell>
          <cell r="J366">
            <v>237708</v>
          </cell>
          <cell r="K366">
            <v>81993</v>
          </cell>
          <cell r="L366">
            <v>315942</v>
          </cell>
          <cell r="N366">
            <v>-142783</v>
          </cell>
          <cell r="P366">
            <v>16345</v>
          </cell>
          <cell r="Q366">
            <v>281018</v>
          </cell>
          <cell r="R366">
            <v>3581805</v>
          </cell>
          <cell r="T366">
            <v>1750275</v>
          </cell>
          <cell r="X366">
            <v>1366718</v>
          </cell>
          <cell r="Y366">
            <v>157278</v>
          </cell>
          <cell r="Z366">
            <v>2695</v>
          </cell>
          <cell r="AA366">
            <v>1824</v>
          </cell>
          <cell r="AB366">
            <v>20496</v>
          </cell>
          <cell r="AC366">
            <v>9</v>
          </cell>
          <cell r="AD366">
            <v>21</v>
          </cell>
        </row>
        <row r="367">
          <cell r="C367">
            <v>3202836</v>
          </cell>
          <cell r="D367">
            <v>1433654</v>
          </cell>
          <cell r="E367">
            <v>839112</v>
          </cell>
          <cell r="F367">
            <v>312424</v>
          </cell>
          <cell r="G367">
            <v>99289</v>
          </cell>
          <cell r="I367">
            <v>2981</v>
          </cell>
          <cell r="J367">
            <v>229324</v>
          </cell>
          <cell r="K367">
            <v>86560</v>
          </cell>
          <cell r="L367">
            <v>298781</v>
          </cell>
          <cell r="N367">
            <v>-259657</v>
          </cell>
          <cell r="P367">
            <v>10034</v>
          </cell>
          <cell r="Q367">
            <v>152629</v>
          </cell>
          <cell r="R367">
            <v>3105842</v>
          </cell>
          <cell r="T367">
            <v>1441852</v>
          </cell>
          <cell r="X367">
            <v>1375169</v>
          </cell>
          <cell r="Y367">
            <v>159643</v>
          </cell>
          <cell r="Z367">
            <v>2716</v>
          </cell>
          <cell r="AA367">
            <v>1826</v>
          </cell>
          <cell r="AB367">
            <v>20727</v>
          </cell>
          <cell r="AC367">
            <v>6</v>
          </cell>
          <cell r="AD367">
            <v>19</v>
          </cell>
        </row>
        <row r="368">
          <cell r="C368">
            <v>3140925</v>
          </cell>
          <cell r="D368">
            <v>1332102</v>
          </cell>
          <cell r="E368">
            <v>848518</v>
          </cell>
          <cell r="F368">
            <v>302195</v>
          </cell>
          <cell r="G368">
            <v>91252</v>
          </cell>
          <cell r="I368">
            <v>2330</v>
          </cell>
          <cell r="J368">
            <v>235154</v>
          </cell>
          <cell r="K368">
            <v>140357</v>
          </cell>
          <cell r="L368">
            <v>280269</v>
          </cell>
          <cell r="N368">
            <v>299076</v>
          </cell>
          <cell r="P368">
            <v>11531</v>
          </cell>
          <cell r="Q368">
            <v>139988</v>
          </cell>
          <cell r="R368">
            <v>3591520</v>
          </cell>
          <cell r="T368">
            <v>1652283</v>
          </cell>
          <cell r="X368">
            <v>1405897</v>
          </cell>
          <cell r="Y368">
            <v>161586</v>
          </cell>
          <cell r="Z368">
            <v>2728</v>
          </cell>
          <cell r="AA368">
            <v>1818</v>
          </cell>
          <cell r="AB368">
            <v>20935</v>
          </cell>
          <cell r="AC368">
            <v>11</v>
          </cell>
          <cell r="AD368">
            <v>26</v>
          </cell>
        </row>
        <row r="369">
          <cell r="C369">
            <v>3336827</v>
          </cell>
          <cell r="D369">
            <v>1305122</v>
          </cell>
          <cell r="E369">
            <v>922019</v>
          </cell>
          <cell r="F369">
            <v>355234</v>
          </cell>
          <cell r="G369">
            <v>113447</v>
          </cell>
          <cell r="I369">
            <v>2300</v>
          </cell>
          <cell r="J369">
            <v>244880</v>
          </cell>
          <cell r="K369">
            <v>125681</v>
          </cell>
          <cell r="L369">
            <v>381591</v>
          </cell>
          <cell r="N369">
            <v>-213171</v>
          </cell>
          <cell r="P369">
            <v>10115</v>
          </cell>
          <cell r="Q369">
            <v>149317</v>
          </cell>
          <cell r="R369">
            <v>3283088</v>
          </cell>
          <cell r="T369">
            <v>1553112</v>
          </cell>
          <cell r="X369">
            <v>1379332</v>
          </cell>
          <cell r="Y369">
            <v>160092</v>
          </cell>
          <cell r="Z369">
            <v>2667</v>
          </cell>
          <cell r="AA369">
            <v>1814</v>
          </cell>
          <cell r="AB369">
            <v>20831</v>
          </cell>
          <cell r="AC369">
            <v>7</v>
          </cell>
          <cell r="AD369">
            <v>17</v>
          </cell>
        </row>
        <row r="370">
          <cell r="C370">
            <v>3221843</v>
          </cell>
          <cell r="D370">
            <v>1324269</v>
          </cell>
          <cell r="E370">
            <v>940218</v>
          </cell>
          <cell r="F370">
            <v>320647</v>
          </cell>
          <cell r="G370">
            <v>94953</v>
          </cell>
          <cell r="I370">
            <v>2288</v>
          </cell>
          <cell r="J370">
            <v>246938</v>
          </cell>
          <cell r="K370">
            <v>113196</v>
          </cell>
          <cell r="L370">
            <v>274287</v>
          </cell>
          <cell r="N370">
            <v>476761</v>
          </cell>
          <cell r="P370">
            <v>9026</v>
          </cell>
          <cell r="Q370">
            <v>215258</v>
          </cell>
          <cell r="R370">
            <v>3922888</v>
          </cell>
          <cell r="T370">
            <v>2027296</v>
          </cell>
          <cell r="X370">
            <v>1433410</v>
          </cell>
          <cell r="Y370">
            <v>166020</v>
          </cell>
          <cell r="Z370">
            <v>2752</v>
          </cell>
          <cell r="AA370">
            <v>1808</v>
          </cell>
          <cell r="AB370">
            <v>21343</v>
          </cell>
          <cell r="AC370">
            <v>7</v>
          </cell>
          <cell r="AD370">
            <v>19</v>
          </cell>
        </row>
        <row r="371">
          <cell r="C371">
            <v>3745537</v>
          </cell>
          <cell r="D371">
            <v>1711516</v>
          </cell>
          <cell r="E371">
            <v>1025408</v>
          </cell>
          <cell r="F371">
            <v>364501</v>
          </cell>
          <cell r="G371">
            <v>113485</v>
          </cell>
          <cell r="I371">
            <v>2267</v>
          </cell>
          <cell r="J371">
            <v>263667</v>
          </cell>
          <cell r="K371">
            <v>95240</v>
          </cell>
          <cell r="L371">
            <v>282938</v>
          </cell>
          <cell r="N371">
            <v>164655</v>
          </cell>
          <cell r="P371">
            <v>8739</v>
          </cell>
          <cell r="Q371">
            <v>296069</v>
          </cell>
          <cell r="R371">
            <v>4215000</v>
          </cell>
          <cell r="T371">
            <v>2198189</v>
          </cell>
          <cell r="X371">
            <v>1318564</v>
          </cell>
          <cell r="Y371">
            <v>152159</v>
          </cell>
          <cell r="Z371">
            <v>2602</v>
          </cell>
          <cell r="AA371">
            <v>1790</v>
          </cell>
          <cell r="AB371">
            <v>19882</v>
          </cell>
          <cell r="AC371">
            <v>7</v>
          </cell>
          <cell r="AD371">
            <v>17</v>
          </cell>
        </row>
        <row r="372">
          <cell r="C372">
            <v>4298161</v>
          </cell>
          <cell r="D372">
            <v>2107002</v>
          </cell>
          <cell r="E372">
            <v>1177669</v>
          </cell>
          <cell r="F372">
            <v>352778</v>
          </cell>
          <cell r="G372">
            <v>106152</v>
          </cell>
          <cell r="I372">
            <v>2284</v>
          </cell>
          <cell r="J372">
            <v>275298</v>
          </cell>
          <cell r="K372">
            <v>114575</v>
          </cell>
          <cell r="L372">
            <v>268555</v>
          </cell>
          <cell r="N372">
            <v>392208</v>
          </cell>
          <cell r="P372">
            <v>11775</v>
          </cell>
          <cell r="Q372">
            <v>244843</v>
          </cell>
          <cell r="R372">
            <v>4946987</v>
          </cell>
          <cell r="T372">
            <v>2436617</v>
          </cell>
          <cell r="X372">
            <v>1424148</v>
          </cell>
          <cell r="Y372">
            <v>163873</v>
          </cell>
          <cell r="Z372">
            <v>2704</v>
          </cell>
          <cell r="AA372">
            <v>1789</v>
          </cell>
          <cell r="AB372">
            <v>20950</v>
          </cell>
          <cell r="AC372">
            <v>7</v>
          </cell>
          <cell r="AD372">
            <v>19</v>
          </cell>
        </row>
        <row r="373">
          <cell r="C373">
            <v>4530703</v>
          </cell>
          <cell r="D373">
            <v>2215492</v>
          </cell>
          <cell r="E373">
            <v>1154848</v>
          </cell>
          <cell r="F373">
            <v>386739</v>
          </cell>
          <cell r="G373">
            <v>103641</v>
          </cell>
          <cell r="I373">
            <v>2269</v>
          </cell>
          <cell r="J373">
            <v>295362</v>
          </cell>
          <cell r="K373">
            <v>157072</v>
          </cell>
          <cell r="L373">
            <v>318921</v>
          </cell>
          <cell r="N373">
            <v>161965</v>
          </cell>
          <cell r="P373">
            <v>14039</v>
          </cell>
          <cell r="Q373">
            <v>324498</v>
          </cell>
          <cell r="R373">
            <v>5031205</v>
          </cell>
          <cell r="T373">
            <v>2537053</v>
          </cell>
          <cell r="X373">
            <v>1393912</v>
          </cell>
          <cell r="Y373">
            <v>161125</v>
          </cell>
          <cell r="Z373">
            <v>2721</v>
          </cell>
          <cell r="AA373">
            <v>1786</v>
          </cell>
          <cell r="AB373">
            <v>20974</v>
          </cell>
          <cell r="AC373">
            <v>7</v>
          </cell>
          <cell r="AD373">
            <v>19</v>
          </cell>
        </row>
        <row r="374">
          <cell r="C374">
            <v>4680675</v>
          </cell>
          <cell r="D374">
            <v>2231616</v>
          </cell>
          <cell r="E374">
            <v>1218776</v>
          </cell>
          <cell r="F374">
            <v>373128</v>
          </cell>
          <cell r="G374">
            <v>112238</v>
          </cell>
          <cell r="I374">
            <v>2269</v>
          </cell>
          <cell r="J374">
            <v>319384</v>
          </cell>
          <cell r="K374">
            <v>218160</v>
          </cell>
          <cell r="L374">
            <v>317342</v>
          </cell>
          <cell r="N374">
            <v>-359488</v>
          </cell>
          <cell r="P374">
            <v>14579</v>
          </cell>
          <cell r="Q374">
            <v>125563</v>
          </cell>
          <cell r="R374">
            <v>4461329</v>
          </cell>
          <cell r="T374">
            <v>2246694</v>
          </cell>
          <cell r="X374">
            <v>1411234</v>
          </cell>
          <cell r="Y374">
            <v>162565</v>
          </cell>
          <cell r="Z374">
            <v>2739</v>
          </cell>
          <cell r="AA374">
            <v>1778</v>
          </cell>
          <cell r="AB374">
            <v>21070</v>
          </cell>
          <cell r="AC374">
            <v>7</v>
          </cell>
          <cell r="AD374">
            <v>17</v>
          </cell>
        </row>
        <row r="375">
          <cell r="C375">
            <v>4071355</v>
          </cell>
          <cell r="D375">
            <v>1844495</v>
          </cell>
          <cell r="E375">
            <v>1052140</v>
          </cell>
          <cell r="F375">
            <v>357470</v>
          </cell>
          <cell r="G375">
            <v>111173</v>
          </cell>
          <cell r="I375">
            <v>2259</v>
          </cell>
          <cell r="J375">
            <v>298941</v>
          </cell>
          <cell r="K375">
            <v>212521</v>
          </cell>
          <cell r="L375">
            <v>303529</v>
          </cell>
          <cell r="N375">
            <v>-394171</v>
          </cell>
          <cell r="P375">
            <v>9318</v>
          </cell>
          <cell r="Q375">
            <v>281123</v>
          </cell>
          <cell r="R375">
            <v>3967625</v>
          </cell>
          <cell r="T375">
            <v>1946394</v>
          </cell>
          <cell r="X375">
            <v>1396206</v>
          </cell>
          <cell r="Y375">
            <v>160355</v>
          </cell>
          <cell r="Z375">
            <v>2688</v>
          </cell>
          <cell r="AA375">
            <v>1772</v>
          </cell>
          <cell r="AB375">
            <v>20837</v>
          </cell>
          <cell r="AC375">
            <v>7</v>
          </cell>
          <cell r="AD375">
            <v>19</v>
          </cell>
        </row>
        <row r="376">
          <cell r="C376">
            <v>3501073</v>
          </cell>
          <cell r="D376">
            <v>1434464</v>
          </cell>
          <cell r="E376">
            <v>987921</v>
          </cell>
          <cell r="F376">
            <v>357350</v>
          </cell>
          <cell r="G376">
            <v>116527</v>
          </cell>
          <cell r="I376">
            <v>2264</v>
          </cell>
          <cell r="J376">
            <v>269980</v>
          </cell>
          <cell r="K376">
            <v>169909</v>
          </cell>
          <cell r="L376">
            <v>279185</v>
          </cell>
          <cell r="N376">
            <v>-497013</v>
          </cell>
          <cell r="P376">
            <v>11719</v>
          </cell>
          <cell r="Q376">
            <v>199445</v>
          </cell>
          <cell r="R376">
            <v>3215224</v>
          </cell>
          <cell r="T376">
            <v>1547744</v>
          </cell>
          <cell r="X376">
            <v>1447794</v>
          </cell>
          <cell r="Y376">
            <v>165458</v>
          </cell>
          <cell r="Z376">
            <v>2763</v>
          </cell>
          <cell r="AA376">
            <v>1773</v>
          </cell>
          <cell r="AB376">
            <v>21417</v>
          </cell>
          <cell r="AC376">
            <v>7</v>
          </cell>
          <cell r="AD376">
            <v>18</v>
          </cell>
        </row>
        <row r="377">
          <cell r="C377">
            <v>3214664</v>
          </cell>
          <cell r="D377">
            <v>1372825</v>
          </cell>
          <cell r="E377">
            <v>894691</v>
          </cell>
          <cell r="F377">
            <v>331817</v>
          </cell>
          <cell r="G377">
            <v>110755</v>
          </cell>
          <cell r="I377">
            <v>2258</v>
          </cell>
          <cell r="J377">
            <v>254441</v>
          </cell>
          <cell r="K377">
            <v>113707</v>
          </cell>
          <cell r="L377">
            <v>244925</v>
          </cell>
          <cell r="N377">
            <v>167091</v>
          </cell>
          <cell r="P377">
            <v>14691</v>
          </cell>
          <cell r="Q377">
            <v>159309</v>
          </cell>
          <cell r="R377">
            <v>3555755</v>
          </cell>
          <cell r="T377">
            <v>1675027</v>
          </cell>
          <cell r="X377">
            <v>1411764</v>
          </cell>
          <cell r="Y377">
            <v>161860</v>
          </cell>
          <cell r="Z377">
            <v>2663</v>
          </cell>
          <cell r="AA377">
            <v>1759</v>
          </cell>
          <cell r="AB377">
            <v>21088</v>
          </cell>
          <cell r="AC377">
            <v>7</v>
          </cell>
          <cell r="AD377">
            <v>17</v>
          </cell>
        </row>
        <row r="378">
          <cell r="C378">
            <v>3418333</v>
          </cell>
          <cell r="D378">
            <v>1573330</v>
          </cell>
          <cell r="E378">
            <v>863605</v>
          </cell>
          <cell r="F378">
            <v>344867</v>
          </cell>
          <cell r="G378">
            <v>117579</v>
          </cell>
          <cell r="I378">
            <v>2292</v>
          </cell>
          <cell r="J378">
            <v>236114</v>
          </cell>
          <cell r="K378">
            <v>138964</v>
          </cell>
          <cell r="L378">
            <v>259161</v>
          </cell>
          <cell r="N378">
            <v>-175409</v>
          </cell>
          <cell r="P378">
            <v>16345</v>
          </cell>
          <cell r="Q378">
            <v>131055</v>
          </cell>
          <cell r="R378">
            <v>3390324</v>
          </cell>
          <cell r="T378">
            <v>1630994</v>
          </cell>
          <cell r="X378">
            <v>1396114</v>
          </cell>
          <cell r="Y378">
            <v>160355</v>
          </cell>
          <cell r="Z378">
            <v>2696</v>
          </cell>
          <cell r="AA378">
            <v>1766</v>
          </cell>
          <cell r="AB378">
            <v>20899</v>
          </cell>
          <cell r="AC378">
            <v>7</v>
          </cell>
          <cell r="AD378">
            <v>19</v>
          </cell>
        </row>
        <row r="379">
          <cell r="C379">
            <v>3074535</v>
          </cell>
          <cell r="D379">
            <v>1424753</v>
          </cell>
          <cell r="E379">
            <v>824007</v>
          </cell>
          <cell r="F379">
            <v>315521</v>
          </cell>
          <cell r="G379">
            <v>101044</v>
          </cell>
          <cell r="I379">
            <v>2117</v>
          </cell>
          <cell r="J379">
            <v>240904</v>
          </cell>
          <cell r="K379">
            <v>84166</v>
          </cell>
          <cell r="L379">
            <v>183067</v>
          </cell>
          <cell r="N379">
            <v>-74888</v>
          </cell>
          <cell r="P379">
            <v>9640</v>
          </cell>
          <cell r="Q379">
            <v>181499</v>
          </cell>
          <cell r="R379">
            <v>3190786</v>
          </cell>
          <cell r="T379">
            <v>1553048</v>
          </cell>
          <cell r="X379">
            <v>1420710</v>
          </cell>
          <cell r="Y379">
            <v>162108</v>
          </cell>
          <cell r="Z379">
            <v>2709</v>
          </cell>
          <cell r="AA379">
            <v>1756</v>
          </cell>
          <cell r="AB379">
            <v>21101</v>
          </cell>
          <cell r="AC379">
            <v>6</v>
          </cell>
          <cell r="AD379">
            <v>17</v>
          </cell>
        </row>
        <row r="380">
          <cell r="C380">
            <v>3018513</v>
          </cell>
          <cell r="D380">
            <v>1313001</v>
          </cell>
          <cell r="E380">
            <v>862372</v>
          </cell>
          <cell r="F380">
            <v>345666</v>
          </cell>
          <cell r="G380">
            <v>110189</v>
          </cell>
          <cell r="I380">
            <v>2245</v>
          </cell>
          <cell r="J380">
            <v>236840</v>
          </cell>
          <cell r="K380">
            <v>84390</v>
          </cell>
          <cell r="L380">
            <v>173999</v>
          </cell>
          <cell r="N380">
            <v>100018</v>
          </cell>
          <cell r="P380">
            <v>18697</v>
          </cell>
          <cell r="Q380">
            <v>148287</v>
          </cell>
          <cell r="R380">
            <v>3285515</v>
          </cell>
          <cell r="T380">
            <v>1639602</v>
          </cell>
          <cell r="X380">
            <v>1437389</v>
          </cell>
          <cell r="Y380">
            <v>164122</v>
          </cell>
          <cell r="Z380">
            <v>2718</v>
          </cell>
          <cell r="AA380">
            <v>1758</v>
          </cell>
          <cell r="AB380">
            <v>21291</v>
          </cell>
          <cell r="AC380">
            <v>8</v>
          </cell>
          <cell r="AD380">
            <v>20</v>
          </cell>
        </row>
        <row r="381">
          <cell r="C381">
            <v>3064627</v>
          </cell>
          <cell r="D381">
            <v>1295781</v>
          </cell>
          <cell r="E381">
            <v>895616</v>
          </cell>
          <cell r="F381">
            <v>350580</v>
          </cell>
          <cell r="G381">
            <v>113580</v>
          </cell>
          <cell r="I381">
            <v>2224</v>
          </cell>
          <cell r="J381">
            <v>250606</v>
          </cell>
          <cell r="K381">
            <v>85950</v>
          </cell>
          <cell r="L381">
            <v>183870</v>
          </cell>
          <cell r="N381">
            <v>266317</v>
          </cell>
          <cell r="P381">
            <v>13038</v>
          </cell>
          <cell r="Q381">
            <v>237648</v>
          </cell>
          <cell r="R381">
            <v>3581630</v>
          </cell>
          <cell r="T381">
            <v>1920230</v>
          </cell>
          <cell r="X381">
            <v>1411681</v>
          </cell>
          <cell r="Y381">
            <v>160529</v>
          </cell>
          <cell r="Z381">
            <v>2675</v>
          </cell>
          <cell r="AA381">
            <v>1755</v>
          </cell>
          <cell r="AB381">
            <v>20883</v>
          </cell>
          <cell r="AC381">
            <v>6</v>
          </cell>
          <cell r="AD381">
            <v>16</v>
          </cell>
        </row>
        <row r="382">
          <cell r="C382">
            <v>3483888</v>
          </cell>
          <cell r="D382">
            <v>1562469</v>
          </cell>
          <cell r="E382">
            <v>1002663</v>
          </cell>
          <cell r="F382">
            <v>368382</v>
          </cell>
          <cell r="G382">
            <v>114510</v>
          </cell>
          <cell r="I382">
            <v>2219</v>
          </cell>
          <cell r="J382">
            <v>271493</v>
          </cell>
          <cell r="K382">
            <v>82807</v>
          </cell>
          <cell r="L382">
            <v>193855</v>
          </cell>
          <cell r="N382">
            <v>268007</v>
          </cell>
          <cell r="P382">
            <v>10256</v>
          </cell>
          <cell r="Q382">
            <v>258117</v>
          </cell>
          <cell r="R382">
            <v>4020268</v>
          </cell>
          <cell r="T382">
            <v>2142023</v>
          </cell>
          <cell r="X382">
            <v>1430460</v>
          </cell>
          <cell r="Y382">
            <v>163432</v>
          </cell>
          <cell r="Z382">
            <v>2742</v>
          </cell>
          <cell r="AA382">
            <v>1765</v>
          </cell>
          <cell r="AB382">
            <v>21390</v>
          </cell>
          <cell r="AC382">
            <v>6</v>
          </cell>
          <cell r="AD382">
            <v>16</v>
          </cell>
        </row>
        <row r="383">
          <cell r="C383">
            <v>3958611</v>
          </cell>
          <cell r="D383">
            <v>1886875</v>
          </cell>
          <cell r="E383">
            <v>1111423</v>
          </cell>
          <cell r="F383">
            <v>380544</v>
          </cell>
          <cell r="G383">
            <v>129212</v>
          </cell>
          <cell r="I383">
            <v>2199</v>
          </cell>
          <cell r="J383">
            <v>277683</v>
          </cell>
          <cell r="K383">
            <v>82816</v>
          </cell>
          <cell r="L383">
            <v>217071</v>
          </cell>
          <cell r="N383">
            <v>244458</v>
          </cell>
          <cell r="P383">
            <v>12124</v>
          </cell>
          <cell r="Q383">
            <v>185693</v>
          </cell>
          <cell r="R383">
            <v>4400886</v>
          </cell>
          <cell r="T383">
            <v>2288151</v>
          </cell>
          <cell r="X383">
            <v>1433485</v>
          </cell>
          <cell r="Y383">
            <v>163791</v>
          </cell>
          <cell r="Z383">
            <v>2691</v>
          </cell>
          <cell r="AA383">
            <v>1747</v>
          </cell>
          <cell r="AB383">
            <v>21375</v>
          </cell>
          <cell r="AC383">
            <v>6</v>
          </cell>
          <cell r="AD383">
            <v>17</v>
          </cell>
        </row>
        <row r="384">
          <cell r="C384">
            <v>4056589</v>
          </cell>
          <cell r="D384">
            <v>1957365</v>
          </cell>
          <cell r="E384">
            <v>1099908</v>
          </cell>
          <cell r="F384">
            <v>332624</v>
          </cell>
          <cell r="G384">
            <v>91507</v>
          </cell>
          <cell r="I384">
            <v>2237</v>
          </cell>
          <cell r="J384">
            <v>281146</v>
          </cell>
          <cell r="K384">
            <v>142744</v>
          </cell>
          <cell r="L384">
            <v>240565</v>
          </cell>
          <cell r="N384">
            <v>303000</v>
          </cell>
          <cell r="P384">
            <v>16088</v>
          </cell>
          <cell r="Q384">
            <v>323243</v>
          </cell>
          <cell r="R384">
            <v>4698920</v>
          </cell>
          <cell r="T384">
            <v>2490561</v>
          </cell>
          <cell r="X384">
            <v>1353427</v>
          </cell>
          <cell r="Y384">
            <v>156870</v>
          </cell>
          <cell r="Z384">
            <v>2668</v>
          </cell>
          <cell r="AA384">
            <v>1747</v>
          </cell>
          <cell r="AB384">
            <v>20749</v>
          </cell>
          <cell r="AC384">
            <v>6</v>
          </cell>
          <cell r="AD384">
            <v>16</v>
          </cell>
        </row>
        <row r="385">
          <cell r="C385">
            <v>4642024</v>
          </cell>
          <cell r="D385">
            <v>2319788</v>
          </cell>
          <cell r="E385">
            <v>1214617</v>
          </cell>
          <cell r="F385">
            <v>361976</v>
          </cell>
          <cell r="G385">
            <v>96659</v>
          </cell>
          <cell r="I385">
            <v>2222</v>
          </cell>
          <cell r="J385">
            <v>298874</v>
          </cell>
          <cell r="K385">
            <v>187275</v>
          </cell>
          <cell r="L385">
            <v>257272</v>
          </cell>
          <cell r="N385">
            <v>43493</v>
          </cell>
          <cell r="P385">
            <v>17685</v>
          </cell>
          <cell r="Q385">
            <v>216323</v>
          </cell>
          <cell r="R385">
            <v>4919525</v>
          </cell>
          <cell r="T385">
            <v>2483478</v>
          </cell>
          <cell r="X385">
            <v>1497088</v>
          </cell>
          <cell r="Y385">
            <v>168465</v>
          </cell>
          <cell r="Z385">
            <v>2756</v>
          </cell>
          <cell r="AA385">
            <v>1747</v>
          </cell>
          <cell r="AB385">
            <v>21961</v>
          </cell>
          <cell r="AC385">
            <v>6</v>
          </cell>
          <cell r="AD385">
            <v>16</v>
          </cell>
        </row>
        <row r="386">
          <cell r="C386">
            <v>4455919</v>
          </cell>
          <cell r="D386">
            <v>2091769</v>
          </cell>
          <cell r="E386">
            <v>1166195</v>
          </cell>
          <cell r="F386">
            <v>372403</v>
          </cell>
          <cell r="G386">
            <v>111544</v>
          </cell>
          <cell r="I386">
            <v>2064</v>
          </cell>
          <cell r="J386">
            <v>318377</v>
          </cell>
          <cell r="K386">
            <v>238090</v>
          </cell>
          <cell r="L386">
            <v>267021</v>
          </cell>
          <cell r="N386">
            <v>-443438</v>
          </cell>
          <cell r="P386">
            <v>15023</v>
          </cell>
          <cell r="Q386">
            <v>242218</v>
          </cell>
          <cell r="R386">
            <v>4269722</v>
          </cell>
          <cell r="T386">
            <v>2155096</v>
          </cell>
          <cell r="X386">
            <v>1439691</v>
          </cell>
          <cell r="Y386">
            <v>163201</v>
          </cell>
          <cell r="Z386">
            <v>2639</v>
          </cell>
          <cell r="AA386">
            <v>1739</v>
          </cell>
          <cell r="AB386">
            <v>21668</v>
          </cell>
          <cell r="AC386">
            <v>6</v>
          </cell>
          <cell r="AD386">
            <v>16</v>
          </cell>
        </row>
        <row r="387">
          <cell r="C387">
            <v>3835802</v>
          </cell>
          <cell r="D387">
            <v>1714431</v>
          </cell>
          <cell r="E387">
            <v>1025595</v>
          </cell>
          <cell r="F387">
            <v>325835</v>
          </cell>
          <cell r="G387">
            <v>88402</v>
          </cell>
          <cell r="I387">
            <v>2410</v>
          </cell>
          <cell r="J387">
            <v>292882</v>
          </cell>
          <cell r="K387">
            <v>246216</v>
          </cell>
          <cell r="L387">
            <v>228433</v>
          </cell>
          <cell r="N387">
            <v>-270584</v>
          </cell>
          <cell r="P387">
            <v>12699</v>
          </cell>
          <cell r="Q387">
            <v>185512</v>
          </cell>
          <cell r="R387">
            <v>3763429</v>
          </cell>
          <cell r="T387">
            <v>1976436</v>
          </cell>
          <cell r="X387">
            <v>1371835</v>
          </cell>
          <cell r="Y387">
            <v>158837</v>
          </cell>
          <cell r="Z387">
            <v>2659</v>
          </cell>
          <cell r="AA387">
            <v>1737</v>
          </cell>
          <cell r="AB387">
            <v>21287</v>
          </cell>
          <cell r="AC387">
            <v>4</v>
          </cell>
          <cell r="AD387">
            <v>15</v>
          </cell>
        </row>
        <row r="388">
          <cell r="C388">
            <v>3392306</v>
          </cell>
          <cell r="D388">
            <v>1480520</v>
          </cell>
          <cell r="E388">
            <v>986103</v>
          </cell>
          <cell r="F388">
            <v>332132</v>
          </cell>
          <cell r="G388">
            <v>92623</v>
          </cell>
          <cell r="I388">
            <v>2208</v>
          </cell>
          <cell r="J388">
            <v>283442</v>
          </cell>
          <cell r="K388">
            <v>81854</v>
          </cell>
          <cell r="L388">
            <v>226047</v>
          </cell>
          <cell r="N388">
            <v>-403065</v>
          </cell>
          <cell r="P388">
            <v>12565</v>
          </cell>
          <cell r="Q388">
            <v>190634</v>
          </cell>
          <cell r="R388">
            <v>3192440</v>
          </cell>
          <cell r="T388">
            <v>1607905</v>
          </cell>
          <cell r="X388">
            <v>1501446</v>
          </cell>
          <cell r="Y388">
            <v>166634</v>
          </cell>
          <cell r="Z388">
            <v>2702</v>
          </cell>
          <cell r="AA388">
            <v>1732</v>
          </cell>
          <cell r="AB388">
            <v>22247</v>
          </cell>
          <cell r="AC388">
            <v>4</v>
          </cell>
          <cell r="AD388">
            <v>17</v>
          </cell>
        </row>
        <row r="389">
          <cell r="C389">
            <v>3250870</v>
          </cell>
          <cell r="D389">
            <v>1400635</v>
          </cell>
          <cell r="E389">
            <v>922924</v>
          </cell>
          <cell r="F389">
            <v>329493</v>
          </cell>
          <cell r="G389">
            <v>84628</v>
          </cell>
          <cell r="I389">
            <v>2213</v>
          </cell>
          <cell r="J389">
            <v>261061</v>
          </cell>
          <cell r="K389">
            <v>140729</v>
          </cell>
          <cell r="L389">
            <v>193815</v>
          </cell>
          <cell r="N389">
            <v>-91360</v>
          </cell>
          <cell r="P389">
            <v>10619</v>
          </cell>
          <cell r="Q389">
            <v>157264</v>
          </cell>
          <cell r="R389">
            <v>3327393</v>
          </cell>
          <cell r="T389">
            <v>1540878</v>
          </cell>
          <cell r="X389">
            <v>1487586</v>
          </cell>
          <cell r="Y389">
            <v>164944</v>
          </cell>
          <cell r="Z389">
            <v>2708</v>
          </cell>
          <cell r="AA389">
            <v>1721</v>
          </cell>
          <cell r="AB389">
            <v>22097</v>
          </cell>
          <cell r="AC389">
            <v>4</v>
          </cell>
          <cell r="AD389">
            <v>16</v>
          </cell>
        </row>
        <row r="390">
          <cell r="C390">
            <v>3071615</v>
          </cell>
          <cell r="D390">
            <v>1304777</v>
          </cell>
          <cell r="E390">
            <v>922117</v>
          </cell>
          <cell r="F390">
            <v>283885</v>
          </cell>
          <cell r="G390">
            <v>76298</v>
          </cell>
          <cell r="I390">
            <v>2201</v>
          </cell>
          <cell r="J390">
            <v>249462</v>
          </cell>
          <cell r="K390">
            <v>130313</v>
          </cell>
          <cell r="L390">
            <v>178860</v>
          </cell>
          <cell r="N390">
            <v>145550</v>
          </cell>
          <cell r="P390">
            <v>11185</v>
          </cell>
          <cell r="Q390">
            <v>158370</v>
          </cell>
          <cell r="R390">
            <v>3386720</v>
          </cell>
          <cell r="T390">
            <v>1660913</v>
          </cell>
          <cell r="X390">
            <v>1378957</v>
          </cell>
          <cell r="Y390">
            <v>160228</v>
          </cell>
          <cell r="Z390">
            <v>2736</v>
          </cell>
          <cell r="AA390">
            <v>1714</v>
          </cell>
          <cell r="AB390">
            <v>21616</v>
          </cell>
          <cell r="AC390">
            <v>4</v>
          </cell>
          <cell r="AD390">
            <v>16</v>
          </cell>
        </row>
        <row r="391">
          <cell r="C391">
            <v>3213154</v>
          </cell>
          <cell r="D391">
            <v>1482149</v>
          </cell>
          <cell r="E391">
            <v>836578</v>
          </cell>
          <cell r="F391">
            <v>318130</v>
          </cell>
          <cell r="G391">
            <v>100074</v>
          </cell>
          <cell r="I391">
            <v>2189</v>
          </cell>
          <cell r="J391">
            <v>245983</v>
          </cell>
          <cell r="K391">
            <v>127552</v>
          </cell>
          <cell r="L391">
            <v>200573</v>
          </cell>
          <cell r="N391">
            <v>-137650</v>
          </cell>
          <cell r="P391">
            <v>19584</v>
          </cell>
          <cell r="Q391">
            <v>213713</v>
          </cell>
          <cell r="R391">
            <v>3308801</v>
          </cell>
          <cell r="T391">
            <v>1459405</v>
          </cell>
          <cell r="X391">
            <v>1453907</v>
          </cell>
          <cell r="Y391">
            <v>162545</v>
          </cell>
          <cell r="Z391">
            <v>2674</v>
          </cell>
          <cell r="AA391">
            <v>1713</v>
          </cell>
          <cell r="AB391">
            <v>22023</v>
          </cell>
          <cell r="AC391">
            <v>4</v>
          </cell>
          <cell r="AD391">
            <v>17</v>
          </cell>
        </row>
        <row r="392">
          <cell r="C392">
            <v>3163915</v>
          </cell>
          <cell r="D392">
            <v>1368113</v>
          </cell>
          <cell r="E392">
            <v>865126</v>
          </cell>
          <cell r="F392">
            <v>292588</v>
          </cell>
          <cell r="G392">
            <v>76692</v>
          </cell>
          <cell r="I392">
            <v>2188</v>
          </cell>
          <cell r="J392">
            <v>246148</v>
          </cell>
          <cell r="K392">
            <v>192230</v>
          </cell>
          <cell r="L392">
            <v>197522</v>
          </cell>
          <cell r="N392">
            <v>181923</v>
          </cell>
          <cell r="P392">
            <v>3388</v>
          </cell>
          <cell r="Q392">
            <v>110088</v>
          </cell>
          <cell r="R392">
            <v>3459314</v>
          </cell>
          <cell r="T392">
            <v>1610229</v>
          </cell>
          <cell r="X392">
            <v>1441633</v>
          </cell>
          <cell r="Y392">
            <v>161855</v>
          </cell>
          <cell r="Z392">
            <v>2656</v>
          </cell>
          <cell r="AA392">
            <v>1709</v>
          </cell>
          <cell r="AB392">
            <v>21851</v>
          </cell>
          <cell r="AC392">
            <v>4</v>
          </cell>
          <cell r="AD392">
            <v>16</v>
          </cell>
        </row>
        <row r="393">
          <cell r="C393">
            <v>3225789</v>
          </cell>
          <cell r="D393">
            <v>1321163</v>
          </cell>
          <cell r="E393">
            <v>904538</v>
          </cell>
          <cell r="F393">
            <v>314270</v>
          </cell>
          <cell r="G393">
            <v>96238</v>
          </cell>
          <cell r="I393">
            <v>2195</v>
          </cell>
          <cell r="J393">
            <v>256819</v>
          </cell>
          <cell r="K393">
            <v>189095</v>
          </cell>
          <cell r="L393">
            <v>237709</v>
          </cell>
          <cell r="N393">
            <v>71687</v>
          </cell>
          <cell r="P393">
            <v>8737</v>
          </cell>
          <cell r="Q393">
            <v>185190</v>
          </cell>
          <cell r="R393">
            <v>3491403</v>
          </cell>
          <cell r="T393">
            <v>1658456</v>
          </cell>
          <cell r="X393">
            <v>1446571</v>
          </cell>
          <cell r="Y393">
            <v>161434</v>
          </cell>
          <cell r="Z393">
            <v>2614</v>
          </cell>
          <cell r="AA393">
            <v>1707</v>
          </cell>
          <cell r="AB393">
            <v>21823</v>
          </cell>
          <cell r="AC393">
            <v>4</v>
          </cell>
          <cell r="AD393">
            <v>17</v>
          </cell>
        </row>
        <row r="394">
          <cell r="C394">
            <v>3495675</v>
          </cell>
          <cell r="D394">
            <v>1471813</v>
          </cell>
          <cell r="E394">
            <v>987883</v>
          </cell>
          <cell r="F394">
            <v>308801</v>
          </cell>
          <cell r="G394">
            <v>81764</v>
          </cell>
          <cell r="I394">
            <v>2184</v>
          </cell>
          <cell r="J394">
            <v>272248</v>
          </cell>
          <cell r="K394">
            <v>214685</v>
          </cell>
          <cell r="L394">
            <v>238061</v>
          </cell>
          <cell r="N394">
            <v>351815</v>
          </cell>
          <cell r="P394">
            <v>9511</v>
          </cell>
          <cell r="Q394">
            <v>177813</v>
          </cell>
          <cell r="R394">
            <v>4034814</v>
          </cell>
          <cell r="T394">
            <v>2011259</v>
          </cell>
          <cell r="X394">
            <v>1457136</v>
          </cell>
          <cell r="Y394">
            <v>164620</v>
          </cell>
          <cell r="Z394">
            <v>2708</v>
          </cell>
          <cell r="AA394">
            <v>1711</v>
          </cell>
          <cell r="AB394">
            <v>22614</v>
          </cell>
          <cell r="AC394">
            <v>4</v>
          </cell>
          <cell r="AD394">
            <v>17</v>
          </cell>
        </row>
        <row r="395">
          <cell r="C395">
            <v>3834350</v>
          </cell>
          <cell r="D395">
            <v>1709203</v>
          </cell>
          <cell r="E395">
            <v>1054087</v>
          </cell>
          <cell r="F395">
            <v>315387</v>
          </cell>
          <cell r="G395">
            <v>85117</v>
          </cell>
          <cell r="I395">
            <v>2192</v>
          </cell>
          <cell r="J395">
            <v>275808</v>
          </cell>
          <cell r="K395">
            <v>222648</v>
          </cell>
          <cell r="L395">
            <v>255025</v>
          </cell>
          <cell r="N395">
            <v>327722</v>
          </cell>
          <cell r="P395">
            <v>7243</v>
          </cell>
          <cell r="Q395">
            <v>260866</v>
          </cell>
          <cell r="R395">
            <v>4430181</v>
          </cell>
          <cell r="T395">
            <v>2277755</v>
          </cell>
          <cell r="X395">
            <v>1439464</v>
          </cell>
          <cell r="Y395">
            <v>164291</v>
          </cell>
          <cell r="Z395">
            <v>2668</v>
          </cell>
          <cell r="AA395">
            <v>1700</v>
          </cell>
          <cell r="AB395">
            <v>22242</v>
          </cell>
          <cell r="AC395">
            <v>5</v>
          </cell>
          <cell r="AD395">
            <v>17</v>
          </cell>
        </row>
        <row r="396">
          <cell r="C396">
            <v>4223226</v>
          </cell>
          <cell r="D396">
            <v>2005177</v>
          </cell>
          <cell r="E396">
            <v>1113229</v>
          </cell>
          <cell r="F396">
            <v>332633</v>
          </cell>
          <cell r="G396">
            <v>89970</v>
          </cell>
          <cell r="I396">
            <v>2003</v>
          </cell>
          <cell r="J396">
            <v>282932</v>
          </cell>
          <cell r="K396">
            <v>225418</v>
          </cell>
          <cell r="L396">
            <v>261834</v>
          </cell>
          <cell r="N396">
            <v>356237</v>
          </cell>
          <cell r="P396">
            <v>9654</v>
          </cell>
          <cell r="Q396">
            <v>312720</v>
          </cell>
          <cell r="R396">
            <v>4901837</v>
          </cell>
          <cell r="T396">
            <v>2544873</v>
          </cell>
          <cell r="X396">
            <v>1367356</v>
          </cell>
          <cell r="Y396">
            <v>156286</v>
          </cell>
          <cell r="Z396">
            <v>2588</v>
          </cell>
          <cell r="AA396">
            <v>1685</v>
          </cell>
          <cell r="AB396">
            <v>21586</v>
          </cell>
          <cell r="AC396">
            <v>5</v>
          </cell>
          <cell r="AD396">
            <v>16</v>
          </cell>
        </row>
        <row r="397">
          <cell r="C397">
            <v>4865870</v>
          </cell>
          <cell r="D397">
            <v>2382297</v>
          </cell>
          <cell r="E397">
            <v>1247441</v>
          </cell>
          <cell r="F397">
            <v>345601</v>
          </cell>
          <cell r="G397">
            <v>86311</v>
          </cell>
          <cell r="I397">
            <v>2331</v>
          </cell>
          <cell r="J397">
            <v>309475</v>
          </cell>
          <cell r="K397">
            <v>276067</v>
          </cell>
          <cell r="L397">
            <v>302658</v>
          </cell>
          <cell r="N397">
            <v>86359</v>
          </cell>
          <cell r="P397">
            <v>16720</v>
          </cell>
          <cell r="Q397">
            <v>259839</v>
          </cell>
          <cell r="R397">
            <v>5228788</v>
          </cell>
          <cell r="T397">
            <v>2537054</v>
          </cell>
          <cell r="X397">
            <v>1544281</v>
          </cell>
          <cell r="Y397">
            <v>171056</v>
          </cell>
          <cell r="Z397">
            <v>2751</v>
          </cell>
          <cell r="AA397">
            <v>1688</v>
          </cell>
          <cell r="AB397">
            <v>23302</v>
          </cell>
          <cell r="AC397">
            <v>5</v>
          </cell>
          <cell r="AD397">
            <v>18</v>
          </cell>
        </row>
        <row r="398">
          <cell r="C398">
            <v>4584208</v>
          </cell>
          <cell r="D398">
            <v>2102360</v>
          </cell>
          <cell r="E398">
            <v>1194072</v>
          </cell>
          <cell r="F398">
            <v>330292</v>
          </cell>
          <cell r="G398">
            <v>91939</v>
          </cell>
          <cell r="I398">
            <v>2141</v>
          </cell>
          <cell r="J398">
            <v>327919</v>
          </cell>
          <cell r="K398">
            <v>307091</v>
          </cell>
          <cell r="L398">
            <v>320333</v>
          </cell>
          <cell r="N398">
            <v>-464305</v>
          </cell>
          <cell r="P398">
            <v>14173</v>
          </cell>
          <cell r="Q398">
            <v>314099</v>
          </cell>
          <cell r="R398">
            <v>4448175</v>
          </cell>
          <cell r="T398">
            <v>2207672</v>
          </cell>
          <cell r="X398">
            <v>1377525</v>
          </cell>
          <cell r="Y398">
            <v>158364</v>
          </cell>
          <cell r="Z398">
            <v>2626</v>
          </cell>
          <cell r="AA398">
            <v>1678</v>
          </cell>
          <cell r="AB398">
            <v>21912</v>
          </cell>
          <cell r="AC398">
            <v>5</v>
          </cell>
          <cell r="AD398">
            <v>17</v>
          </cell>
        </row>
        <row r="399">
          <cell r="C399">
            <v>4181084</v>
          </cell>
          <cell r="D399">
            <v>1913594</v>
          </cell>
          <cell r="E399">
            <v>1099092</v>
          </cell>
          <cell r="F399">
            <v>301141</v>
          </cell>
          <cell r="G399">
            <v>74566</v>
          </cell>
          <cell r="I399">
            <v>2191</v>
          </cell>
          <cell r="J399">
            <v>310265</v>
          </cell>
          <cell r="K399">
            <v>278542</v>
          </cell>
          <cell r="L399">
            <v>276259</v>
          </cell>
          <cell r="N399">
            <v>-152732</v>
          </cell>
          <cell r="P399">
            <v>17203</v>
          </cell>
          <cell r="Q399">
            <v>196612</v>
          </cell>
          <cell r="R399">
            <v>4242167</v>
          </cell>
          <cell r="T399">
            <v>2093859</v>
          </cell>
          <cell r="X399">
            <v>1443420</v>
          </cell>
          <cell r="Y399">
            <v>162833</v>
          </cell>
          <cell r="Z399">
            <v>2659</v>
          </cell>
          <cell r="AA399">
            <v>1668</v>
          </cell>
          <cell r="AB399">
            <v>22677</v>
          </cell>
          <cell r="AC399">
            <v>5</v>
          </cell>
          <cell r="AD399">
            <v>17</v>
          </cell>
        </row>
        <row r="400">
          <cell r="C400">
            <v>3711810</v>
          </cell>
          <cell r="D400">
            <v>1543393</v>
          </cell>
          <cell r="E400">
            <v>1015823</v>
          </cell>
          <cell r="F400">
            <v>328105</v>
          </cell>
          <cell r="G400">
            <v>103936</v>
          </cell>
          <cell r="I400">
            <v>2088</v>
          </cell>
          <cell r="J400">
            <v>298163</v>
          </cell>
          <cell r="K400">
            <v>259861</v>
          </cell>
          <cell r="L400">
            <v>264377</v>
          </cell>
          <cell r="N400">
            <v>-577451</v>
          </cell>
          <cell r="P400">
            <v>15914</v>
          </cell>
          <cell r="Q400">
            <v>120154</v>
          </cell>
          <cell r="R400">
            <v>3270427</v>
          </cell>
          <cell r="T400">
            <v>1602379</v>
          </cell>
          <cell r="X400">
            <v>1514795</v>
          </cell>
          <cell r="Y400">
            <v>168216</v>
          </cell>
          <cell r="Z400">
            <v>2704</v>
          </cell>
          <cell r="AA400">
            <v>1666</v>
          </cell>
          <cell r="AB400">
            <v>23214</v>
          </cell>
          <cell r="AC400">
            <v>5</v>
          </cell>
          <cell r="AD400">
            <v>17</v>
          </cell>
        </row>
        <row r="401">
          <cell r="C401">
            <v>3308876</v>
          </cell>
          <cell r="D401">
            <v>1307845</v>
          </cell>
          <cell r="E401">
            <v>943652</v>
          </cell>
          <cell r="F401">
            <v>348570</v>
          </cell>
          <cell r="G401">
            <v>123246</v>
          </cell>
          <cell r="I401">
            <v>2199</v>
          </cell>
          <cell r="J401">
            <v>265392</v>
          </cell>
          <cell r="K401">
            <v>208930</v>
          </cell>
          <cell r="L401">
            <v>232288</v>
          </cell>
          <cell r="N401">
            <v>-101130</v>
          </cell>
          <cell r="P401">
            <v>15896</v>
          </cell>
          <cell r="Q401">
            <v>206807</v>
          </cell>
          <cell r="R401">
            <v>3430449</v>
          </cell>
          <cell r="T401">
            <v>1535336</v>
          </cell>
          <cell r="X401">
            <v>1449195</v>
          </cell>
          <cell r="Y401">
            <v>162318</v>
          </cell>
          <cell r="Z401">
            <v>2637</v>
          </cell>
          <cell r="AA401">
            <v>1660</v>
          </cell>
          <cell r="AB401">
            <v>22692</v>
          </cell>
          <cell r="AC401">
            <v>5</v>
          </cell>
          <cell r="AD401">
            <v>17</v>
          </cell>
        </row>
        <row r="402">
          <cell r="C402">
            <v>3323217</v>
          </cell>
          <cell r="D402">
            <v>1456377</v>
          </cell>
          <cell r="E402">
            <v>914752</v>
          </cell>
          <cell r="F402">
            <v>284847</v>
          </cell>
          <cell r="G402">
            <v>96722</v>
          </cell>
          <cell r="I402">
            <v>2171</v>
          </cell>
          <cell r="J402">
            <v>250358</v>
          </cell>
          <cell r="K402">
            <v>154943</v>
          </cell>
          <cell r="L402">
            <v>259769</v>
          </cell>
          <cell r="N402">
            <v>198984</v>
          </cell>
          <cell r="P402">
            <v>11939</v>
          </cell>
          <cell r="Q402">
            <v>102952</v>
          </cell>
          <cell r="R402">
            <v>3637092</v>
          </cell>
          <cell r="T402">
            <v>1671542</v>
          </cell>
          <cell r="X402">
            <v>1442333</v>
          </cell>
          <cell r="Y402">
            <v>161944</v>
          </cell>
          <cell r="Z402">
            <v>2630</v>
          </cell>
          <cell r="AA402">
            <v>1664</v>
          </cell>
          <cell r="AB402">
            <v>22705</v>
          </cell>
          <cell r="AC402">
            <v>6</v>
          </cell>
          <cell r="AD402">
            <v>17</v>
          </cell>
        </row>
        <row r="403">
          <cell r="C403">
            <v>3146871</v>
          </cell>
          <cell r="D403">
            <v>1301126</v>
          </cell>
          <cell r="E403">
            <v>873753</v>
          </cell>
          <cell r="F403">
            <v>271997</v>
          </cell>
          <cell r="G403">
            <v>66900</v>
          </cell>
          <cell r="I403">
            <v>2168</v>
          </cell>
          <cell r="J403">
            <v>248934</v>
          </cell>
          <cell r="K403">
            <v>198328</v>
          </cell>
          <cell r="L403">
            <v>250565</v>
          </cell>
          <cell r="N403">
            <v>-153459</v>
          </cell>
          <cell r="P403">
            <v>13006</v>
          </cell>
          <cell r="Q403">
            <v>244671</v>
          </cell>
          <cell r="R403">
            <v>3251089</v>
          </cell>
          <cell r="T403">
            <v>1543422</v>
          </cell>
          <cell r="X403">
            <v>1466010</v>
          </cell>
          <cell r="Y403">
            <v>163595</v>
          </cell>
          <cell r="Z403">
            <v>2624</v>
          </cell>
          <cell r="AA403">
            <v>1670</v>
          </cell>
          <cell r="AB403">
            <v>23055</v>
          </cell>
          <cell r="AC403">
            <v>6</v>
          </cell>
          <cell r="AD403">
            <v>17</v>
          </cell>
        </row>
        <row r="404">
          <cell r="C404">
            <v>3121354</v>
          </cell>
          <cell r="D404">
            <v>1247505</v>
          </cell>
          <cell r="E404">
            <v>871953</v>
          </cell>
          <cell r="F404">
            <v>308541</v>
          </cell>
          <cell r="G404">
            <v>99450</v>
          </cell>
          <cell r="I404">
            <v>2286</v>
          </cell>
          <cell r="J404">
            <v>261128</v>
          </cell>
          <cell r="K404">
            <v>181835</v>
          </cell>
          <cell r="L404">
            <v>248106</v>
          </cell>
          <cell r="N404">
            <v>174450</v>
          </cell>
          <cell r="P404">
            <v>15657</v>
          </cell>
          <cell r="Q404">
            <v>199450</v>
          </cell>
          <cell r="R404">
            <v>3510911</v>
          </cell>
          <cell r="T404">
            <v>1603771</v>
          </cell>
          <cell r="X404">
            <v>1406139</v>
          </cell>
          <cell r="Y404">
            <v>159688</v>
          </cell>
          <cell r="Z404">
            <v>2602</v>
          </cell>
          <cell r="AA404">
            <v>1666</v>
          </cell>
          <cell r="AB404">
            <v>22924</v>
          </cell>
          <cell r="AC404">
            <v>6</v>
          </cell>
          <cell r="AD404">
            <v>17</v>
          </cell>
        </row>
        <row r="405">
          <cell r="C405">
            <v>3404720</v>
          </cell>
          <cell r="D405">
            <v>1354417</v>
          </cell>
          <cell r="E405">
            <v>931639</v>
          </cell>
          <cell r="F405">
            <v>311450</v>
          </cell>
          <cell r="G405">
            <v>100141</v>
          </cell>
          <cell r="I405">
            <v>2195</v>
          </cell>
          <cell r="J405">
            <v>253011</v>
          </cell>
          <cell r="K405">
            <v>227037</v>
          </cell>
          <cell r="L405">
            <v>324971</v>
          </cell>
          <cell r="N405">
            <v>311711</v>
          </cell>
          <cell r="P405">
            <v>11389</v>
          </cell>
          <cell r="Q405">
            <v>85474</v>
          </cell>
          <cell r="R405">
            <v>3813294</v>
          </cell>
          <cell r="T405">
            <v>1741179</v>
          </cell>
          <cell r="X405">
            <v>1477927</v>
          </cell>
          <cell r="Y405">
            <v>163540</v>
          </cell>
          <cell r="Z405">
            <v>2591</v>
          </cell>
          <cell r="AA405">
            <v>1666</v>
          </cell>
          <cell r="AB405">
            <v>23008</v>
          </cell>
          <cell r="AC405">
            <v>6</v>
          </cell>
          <cell r="AD405">
            <v>18</v>
          </cell>
        </row>
        <row r="406">
          <cell r="C406">
            <v>3776081</v>
          </cell>
          <cell r="D406">
            <v>1452026</v>
          </cell>
          <cell r="E406">
            <v>972963</v>
          </cell>
          <cell r="F406">
            <v>360809</v>
          </cell>
          <cell r="G406">
            <v>135813</v>
          </cell>
          <cell r="I406">
            <v>2135</v>
          </cell>
          <cell r="J406">
            <v>271603</v>
          </cell>
          <cell r="K406">
            <v>419262</v>
          </cell>
          <cell r="L406">
            <v>297283</v>
          </cell>
          <cell r="N406">
            <v>394322</v>
          </cell>
          <cell r="P406">
            <v>10061</v>
          </cell>
          <cell r="Q406">
            <v>239421</v>
          </cell>
          <cell r="R406">
            <v>4419885</v>
          </cell>
          <cell r="T406">
            <v>2209465</v>
          </cell>
          <cell r="X406">
            <v>1446369</v>
          </cell>
          <cell r="Y406">
            <v>162865</v>
          </cell>
          <cell r="Z406">
            <v>2677</v>
          </cell>
          <cell r="AA406">
            <v>1653</v>
          </cell>
          <cell r="AB406">
            <v>23151</v>
          </cell>
          <cell r="AC406">
            <v>6</v>
          </cell>
          <cell r="AD406">
            <v>18</v>
          </cell>
        </row>
        <row r="407">
          <cell r="C407">
            <v>4368440</v>
          </cell>
          <cell r="D407">
            <v>1948538</v>
          </cell>
          <cell r="E407">
            <v>1164204</v>
          </cell>
          <cell r="F407">
            <v>336404</v>
          </cell>
          <cell r="G407">
            <v>107751</v>
          </cell>
          <cell r="I407">
            <v>2218</v>
          </cell>
          <cell r="J407">
            <v>268820</v>
          </cell>
          <cell r="K407">
            <v>310140</v>
          </cell>
          <cell r="L407">
            <v>338116</v>
          </cell>
          <cell r="N407">
            <v>8891</v>
          </cell>
          <cell r="P407">
            <v>8370</v>
          </cell>
          <cell r="Q407">
            <v>242430</v>
          </cell>
          <cell r="R407">
            <v>4628131</v>
          </cell>
          <cell r="T407">
            <v>2231222</v>
          </cell>
          <cell r="X407">
            <v>1481381</v>
          </cell>
          <cell r="Y407">
            <v>164831</v>
          </cell>
          <cell r="Z407">
            <v>2570</v>
          </cell>
          <cell r="AA407">
            <v>1652</v>
          </cell>
          <cell r="AB407">
            <v>23195</v>
          </cell>
          <cell r="AC407">
            <v>6</v>
          </cell>
          <cell r="AD407">
            <v>19</v>
          </cell>
        </row>
        <row r="408">
          <cell r="C408">
            <v>4165227</v>
          </cell>
          <cell r="D408">
            <v>1830180</v>
          </cell>
          <cell r="E408">
            <v>1105846</v>
          </cell>
          <cell r="F408">
            <v>329327</v>
          </cell>
          <cell r="G408">
            <v>101792</v>
          </cell>
          <cell r="I408">
            <v>2174</v>
          </cell>
          <cell r="J408">
            <v>273641</v>
          </cell>
          <cell r="K408">
            <v>298968</v>
          </cell>
          <cell r="L408">
            <v>325091</v>
          </cell>
          <cell r="N408">
            <v>276413</v>
          </cell>
          <cell r="P408">
            <v>10197</v>
          </cell>
          <cell r="Q408">
            <v>271400</v>
          </cell>
          <cell r="R408">
            <v>4723237</v>
          </cell>
          <cell r="T408">
            <v>2458219</v>
          </cell>
          <cell r="X408">
            <v>1354056</v>
          </cell>
          <cell r="Y408">
            <v>155026</v>
          </cell>
          <cell r="Z408">
            <v>2511</v>
          </cell>
          <cell r="AA408">
            <v>1641</v>
          </cell>
          <cell r="AB408">
            <v>22235</v>
          </cell>
          <cell r="AC408">
            <v>6</v>
          </cell>
          <cell r="AD408">
            <v>19</v>
          </cell>
        </row>
        <row r="409">
          <cell r="C409">
            <v>4486059</v>
          </cell>
          <cell r="D409">
            <v>2027718</v>
          </cell>
          <cell r="E409">
            <v>1166826</v>
          </cell>
          <cell r="F409">
            <v>334687</v>
          </cell>
          <cell r="G409">
            <v>103172</v>
          </cell>
          <cell r="I409">
            <v>2180</v>
          </cell>
          <cell r="J409">
            <v>287914</v>
          </cell>
          <cell r="K409">
            <v>330146</v>
          </cell>
          <cell r="L409">
            <v>336588</v>
          </cell>
          <cell r="N409">
            <v>-111897</v>
          </cell>
          <cell r="P409">
            <v>14230</v>
          </cell>
          <cell r="Q409">
            <v>341934</v>
          </cell>
          <cell r="R409">
            <v>4730326</v>
          </cell>
          <cell r="T409">
            <v>2399668</v>
          </cell>
          <cell r="X409">
            <v>1456247</v>
          </cell>
          <cell r="Y409">
            <v>162952</v>
          </cell>
          <cell r="Z409">
            <v>2590</v>
          </cell>
          <cell r="AA409">
            <v>1642</v>
          </cell>
          <cell r="AB409">
            <v>23127</v>
          </cell>
          <cell r="AC409">
            <v>6</v>
          </cell>
          <cell r="AD409">
            <v>19</v>
          </cell>
        </row>
        <row r="410">
          <cell r="C410">
            <v>4761821</v>
          </cell>
          <cell r="D410">
            <v>2235722</v>
          </cell>
          <cell r="E410">
            <v>1250019</v>
          </cell>
          <cell r="F410">
            <v>316943</v>
          </cell>
          <cell r="G410">
            <v>86620</v>
          </cell>
          <cell r="I410">
            <v>2171</v>
          </cell>
          <cell r="J410">
            <v>332766</v>
          </cell>
          <cell r="K410">
            <v>279985</v>
          </cell>
          <cell r="L410">
            <v>344215</v>
          </cell>
          <cell r="N410">
            <v>-348672</v>
          </cell>
          <cell r="P410">
            <v>11075</v>
          </cell>
          <cell r="Q410">
            <v>150520</v>
          </cell>
          <cell r="R410">
            <v>4574744</v>
          </cell>
          <cell r="T410">
            <v>2026901</v>
          </cell>
          <cell r="X410">
            <v>1523982</v>
          </cell>
          <cell r="Y410">
            <v>170052</v>
          </cell>
          <cell r="Z410">
            <v>2630</v>
          </cell>
          <cell r="AA410">
            <v>1651</v>
          </cell>
          <cell r="AB410">
            <v>23846</v>
          </cell>
          <cell r="AC410">
            <v>6</v>
          </cell>
          <cell r="AD410">
            <v>19</v>
          </cell>
        </row>
        <row r="411">
          <cell r="C411">
            <v>3947584</v>
          </cell>
          <cell r="D411">
            <v>1641316</v>
          </cell>
          <cell r="E411">
            <v>1028182</v>
          </cell>
          <cell r="F411">
            <v>335901</v>
          </cell>
          <cell r="G411">
            <v>128534</v>
          </cell>
          <cell r="I411">
            <v>2176</v>
          </cell>
          <cell r="J411">
            <v>292725</v>
          </cell>
          <cell r="K411">
            <v>274259</v>
          </cell>
          <cell r="L411">
            <v>373025</v>
          </cell>
          <cell r="N411">
            <v>-486343</v>
          </cell>
          <cell r="P411">
            <v>12546</v>
          </cell>
          <cell r="Q411">
            <v>306390</v>
          </cell>
          <cell r="R411">
            <v>3780177</v>
          </cell>
          <cell r="T411">
            <v>1778175</v>
          </cell>
          <cell r="X411">
            <v>1382150</v>
          </cell>
          <cell r="Y411">
            <v>157338</v>
          </cell>
          <cell r="Z411">
            <v>2509</v>
          </cell>
          <cell r="AA411">
            <v>1635</v>
          </cell>
          <cell r="AB411">
            <v>22609</v>
          </cell>
          <cell r="AC411">
            <v>6</v>
          </cell>
          <cell r="AD411">
            <v>19</v>
          </cell>
        </row>
        <row r="412">
          <cell r="C412">
            <v>3495318</v>
          </cell>
          <cell r="D412">
            <v>1399229</v>
          </cell>
          <cell r="E412">
            <v>981596</v>
          </cell>
          <cell r="F412">
            <v>381573</v>
          </cell>
          <cell r="G412">
            <v>145191</v>
          </cell>
          <cell r="I412">
            <v>2211</v>
          </cell>
          <cell r="J412">
            <v>301981</v>
          </cell>
          <cell r="K412">
            <v>124298</v>
          </cell>
          <cell r="L412">
            <v>304430</v>
          </cell>
          <cell r="N412">
            <v>-334519</v>
          </cell>
          <cell r="P412">
            <v>12883</v>
          </cell>
          <cell r="Q412">
            <v>103883</v>
          </cell>
          <cell r="R412">
            <v>3277565</v>
          </cell>
          <cell r="T412">
            <v>1448500</v>
          </cell>
          <cell r="X412">
            <v>1502965</v>
          </cell>
          <cell r="Y412">
            <v>168291</v>
          </cell>
          <cell r="Z412">
            <v>2641</v>
          </cell>
          <cell r="AA412">
            <v>1648</v>
          </cell>
          <cell r="AB412">
            <v>23879</v>
          </cell>
          <cell r="AC412">
            <v>5</v>
          </cell>
          <cell r="AD412">
            <v>19</v>
          </cell>
        </row>
        <row r="413">
          <cell r="C413">
            <v>3178491</v>
          </cell>
          <cell r="D413">
            <v>1434253</v>
          </cell>
          <cell r="E413">
            <v>877192</v>
          </cell>
          <cell r="F413">
            <v>213817</v>
          </cell>
          <cell r="G413">
            <v>61417</v>
          </cell>
          <cell r="I413">
            <v>2185</v>
          </cell>
          <cell r="J413">
            <v>232932</v>
          </cell>
          <cell r="K413">
            <v>146384</v>
          </cell>
          <cell r="L413">
            <v>271728</v>
          </cell>
          <cell r="N413">
            <v>-53375</v>
          </cell>
          <cell r="P413">
            <v>12179</v>
          </cell>
          <cell r="Q413">
            <v>174395</v>
          </cell>
          <cell r="R413">
            <v>3311690</v>
          </cell>
          <cell r="T413">
            <v>1435567</v>
          </cell>
          <cell r="X413">
            <v>1448933</v>
          </cell>
          <cell r="Y413">
            <v>160701</v>
          </cell>
          <cell r="Z413">
            <v>2470</v>
          </cell>
          <cell r="AA413">
            <v>1636</v>
          </cell>
          <cell r="AB413">
            <v>23009</v>
          </cell>
          <cell r="AC413">
            <v>5</v>
          </cell>
          <cell r="AD413">
            <v>19</v>
          </cell>
        </row>
        <row r="414">
          <cell r="C414">
            <v>3164394</v>
          </cell>
          <cell r="D414">
            <v>1376272</v>
          </cell>
          <cell r="E414">
            <v>884071</v>
          </cell>
          <cell r="F414">
            <v>271809</v>
          </cell>
          <cell r="G414">
            <v>99244</v>
          </cell>
          <cell r="I414">
            <v>2207</v>
          </cell>
          <cell r="J414">
            <v>245271</v>
          </cell>
          <cell r="K414">
            <v>118939</v>
          </cell>
          <cell r="L414">
            <v>265825</v>
          </cell>
          <cell r="N414">
            <v>221131</v>
          </cell>
          <cell r="P414">
            <v>11395</v>
          </cell>
          <cell r="Q414">
            <v>200828</v>
          </cell>
          <cell r="R414">
            <v>3597748</v>
          </cell>
          <cell r="T414">
            <v>1579999</v>
          </cell>
          <cell r="X414">
            <v>1427104</v>
          </cell>
          <cell r="Y414">
            <v>161720</v>
          </cell>
          <cell r="Z414">
            <v>2515</v>
          </cell>
          <cell r="AA414">
            <v>1642</v>
          </cell>
          <cell r="AB414">
            <v>23273</v>
          </cell>
          <cell r="AC414">
            <v>5</v>
          </cell>
          <cell r="AD414">
            <v>19</v>
          </cell>
        </row>
        <row r="415">
          <cell r="C415">
            <v>3397329</v>
          </cell>
          <cell r="D415">
            <v>1618774</v>
          </cell>
          <cell r="E415">
            <v>825540</v>
          </cell>
          <cell r="F415">
            <v>254392</v>
          </cell>
          <cell r="G415">
            <v>77376</v>
          </cell>
          <cell r="I415">
            <v>2143</v>
          </cell>
          <cell r="J415">
            <v>243727</v>
          </cell>
          <cell r="K415">
            <v>191142</v>
          </cell>
          <cell r="L415">
            <v>261611</v>
          </cell>
          <cell r="N415">
            <v>-428958</v>
          </cell>
          <cell r="P415">
            <v>12070</v>
          </cell>
          <cell r="Q415">
            <v>194292</v>
          </cell>
          <cell r="R415">
            <v>3174733</v>
          </cell>
          <cell r="T415">
            <v>1292931</v>
          </cell>
          <cell r="X415">
            <v>1469790</v>
          </cell>
          <cell r="Y415">
            <v>162263</v>
          </cell>
          <cell r="Z415">
            <v>2500</v>
          </cell>
          <cell r="AA415">
            <v>1651</v>
          </cell>
          <cell r="AB415">
            <v>23159</v>
          </cell>
          <cell r="AC415">
            <v>5</v>
          </cell>
          <cell r="AD415">
            <v>19</v>
          </cell>
        </row>
        <row r="416">
          <cell r="C416">
            <v>2948087</v>
          </cell>
          <cell r="D416">
            <v>1291802</v>
          </cell>
          <cell r="E416">
            <v>844403</v>
          </cell>
          <cell r="F416">
            <v>264504</v>
          </cell>
          <cell r="G416">
            <v>91474</v>
          </cell>
          <cell r="I416">
            <v>2202</v>
          </cell>
          <cell r="J416">
            <v>236832</v>
          </cell>
          <cell r="K416">
            <v>138885</v>
          </cell>
          <cell r="L416">
            <v>169459</v>
          </cell>
          <cell r="N416">
            <v>37652</v>
          </cell>
          <cell r="P416">
            <v>20213</v>
          </cell>
          <cell r="Q416">
            <v>140723</v>
          </cell>
          <cell r="R416">
            <v>3146675</v>
          </cell>
          <cell r="T416">
            <v>1420674</v>
          </cell>
          <cell r="X416">
            <v>1431072</v>
          </cell>
          <cell r="Y416">
            <v>160340</v>
          </cell>
          <cell r="Z416">
            <v>2458</v>
          </cell>
          <cell r="AA416">
            <v>1631</v>
          </cell>
          <cell r="AB416">
            <v>23157</v>
          </cell>
          <cell r="AC416">
            <v>5</v>
          </cell>
          <cell r="AD416">
            <v>19</v>
          </cell>
        </row>
        <row r="417">
          <cell r="C417">
            <v>2907926</v>
          </cell>
          <cell r="D417">
            <v>1224077</v>
          </cell>
          <cell r="E417">
            <v>921919</v>
          </cell>
          <cell r="F417">
            <v>279133</v>
          </cell>
          <cell r="G417">
            <v>95268</v>
          </cell>
          <cell r="I417">
            <v>2165</v>
          </cell>
          <cell r="J417">
            <v>252886</v>
          </cell>
          <cell r="K417">
            <v>72868</v>
          </cell>
          <cell r="L417">
            <v>154878</v>
          </cell>
          <cell r="N417">
            <v>52551</v>
          </cell>
          <cell r="P417">
            <v>9909</v>
          </cell>
          <cell r="Q417">
            <v>160219</v>
          </cell>
          <cell r="R417">
            <v>3130605</v>
          </cell>
          <cell r="T417">
            <v>1483812</v>
          </cell>
          <cell r="X417">
            <v>1420220</v>
          </cell>
          <cell r="Y417">
            <v>161346</v>
          </cell>
          <cell r="Z417">
            <v>2534</v>
          </cell>
          <cell r="AA417">
            <v>1625</v>
          </cell>
          <cell r="AB417">
            <v>23437</v>
          </cell>
          <cell r="AC417">
            <v>5</v>
          </cell>
          <cell r="AD417">
            <v>19</v>
          </cell>
        </row>
        <row r="418">
          <cell r="C418">
            <v>3192002</v>
          </cell>
          <cell r="D418">
            <v>1462910</v>
          </cell>
          <cell r="E418">
            <v>970271</v>
          </cell>
          <cell r="F418">
            <v>271886</v>
          </cell>
          <cell r="G418">
            <v>88208</v>
          </cell>
          <cell r="I418">
            <v>2140</v>
          </cell>
          <cell r="J418">
            <v>261537</v>
          </cell>
          <cell r="K418">
            <v>37897</v>
          </cell>
          <cell r="L418">
            <v>185361</v>
          </cell>
          <cell r="N418">
            <v>424989</v>
          </cell>
          <cell r="P418">
            <v>11085</v>
          </cell>
          <cell r="Q418">
            <v>193799</v>
          </cell>
          <cell r="R418">
            <v>3821875</v>
          </cell>
          <cell r="T418">
            <v>1849134</v>
          </cell>
          <cell r="X418">
            <v>1430327</v>
          </cell>
          <cell r="Y418">
            <v>159537</v>
          </cell>
          <cell r="Z418">
            <v>2485</v>
          </cell>
          <cell r="AA418">
            <v>1622</v>
          </cell>
          <cell r="AB418">
            <v>23156</v>
          </cell>
          <cell r="AC418">
            <v>5</v>
          </cell>
          <cell r="AD418">
            <v>19</v>
          </cell>
        </row>
        <row r="419">
          <cell r="C419">
            <v>3727343</v>
          </cell>
          <cell r="D419">
            <v>1821182</v>
          </cell>
          <cell r="E419">
            <v>1056018</v>
          </cell>
          <cell r="F419">
            <v>280646</v>
          </cell>
          <cell r="G419">
            <v>90738</v>
          </cell>
          <cell r="I419">
            <v>2148</v>
          </cell>
          <cell r="J419">
            <v>283932</v>
          </cell>
          <cell r="K419">
            <v>77013</v>
          </cell>
          <cell r="L419">
            <v>206404</v>
          </cell>
          <cell r="N419">
            <v>375424</v>
          </cell>
          <cell r="P419">
            <v>10268</v>
          </cell>
          <cell r="Q419">
            <v>264755</v>
          </cell>
          <cell r="R419">
            <v>4377790</v>
          </cell>
          <cell r="T419">
            <v>2123952</v>
          </cell>
          <cell r="X419">
            <v>1472777</v>
          </cell>
          <cell r="Y419">
            <v>162803</v>
          </cell>
          <cell r="Z419">
            <v>2465</v>
          </cell>
          <cell r="AA419">
            <v>1617</v>
          </cell>
          <cell r="AB419">
            <v>23513</v>
          </cell>
          <cell r="AC419">
            <v>6</v>
          </cell>
          <cell r="AD419">
            <v>18</v>
          </cell>
        </row>
        <row r="420">
          <cell r="C420">
            <v>4164893</v>
          </cell>
          <cell r="D420">
            <v>2046571</v>
          </cell>
          <cell r="E420">
            <v>1160785</v>
          </cell>
          <cell r="F420">
            <v>292424</v>
          </cell>
          <cell r="G420">
            <v>93511</v>
          </cell>
          <cell r="I420">
            <v>2166</v>
          </cell>
          <cell r="J420">
            <v>282035</v>
          </cell>
          <cell r="K420">
            <v>130237</v>
          </cell>
          <cell r="L420">
            <v>250675</v>
          </cell>
          <cell r="N420">
            <v>35376</v>
          </cell>
          <cell r="P420">
            <v>10729</v>
          </cell>
          <cell r="Q420">
            <v>238991</v>
          </cell>
          <cell r="R420">
            <v>4449989</v>
          </cell>
          <cell r="T420">
            <v>2175775</v>
          </cell>
          <cell r="X420">
            <v>1437857</v>
          </cell>
          <cell r="Y420">
            <v>162340</v>
          </cell>
          <cell r="Z420">
            <v>2524</v>
          </cell>
          <cell r="AA420">
            <v>1618</v>
          </cell>
          <cell r="AB420">
            <v>23479</v>
          </cell>
          <cell r="AC420">
            <v>4</v>
          </cell>
          <cell r="AD420">
            <v>18</v>
          </cell>
        </row>
        <row r="421">
          <cell r="C421">
            <v>3917290</v>
          </cell>
          <cell r="D421">
            <v>1895960</v>
          </cell>
          <cell r="E421">
            <v>1113932</v>
          </cell>
          <cell r="F421">
            <v>264843</v>
          </cell>
          <cell r="G421">
            <v>84794</v>
          </cell>
          <cell r="I421">
            <v>2142</v>
          </cell>
          <cell r="J421">
            <v>275211</v>
          </cell>
          <cell r="K421">
            <v>113977</v>
          </cell>
          <cell r="L421">
            <v>251225</v>
          </cell>
          <cell r="N421">
            <v>232787</v>
          </cell>
          <cell r="P421">
            <v>11962</v>
          </cell>
          <cell r="Q421">
            <v>335919</v>
          </cell>
          <cell r="R421">
            <v>4497958</v>
          </cell>
          <cell r="T421">
            <v>2401714</v>
          </cell>
          <cell r="X421">
            <v>1364658</v>
          </cell>
          <cell r="Y421">
            <v>156142</v>
          </cell>
          <cell r="Z421">
            <v>2462</v>
          </cell>
          <cell r="AA421">
            <v>1614</v>
          </cell>
          <cell r="AB421">
            <v>22818</v>
          </cell>
          <cell r="AC421">
            <v>5</v>
          </cell>
          <cell r="AD421">
            <v>18</v>
          </cell>
        </row>
        <row r="422">
          <cell r="C422">
            <v>4080912</v>
          </cell>
          <cell r="D422">
            <v>1962189</v>
          </cell>
          <cell r="E422">
            <v>1129981</v>
          </cell>
          <cell r="F422">
            <v>306550</v>
          </cell>
          <cell r="G422">
            <v>111504</v>
          </cell>
          <cell r="I422">
            <v>2153</v>
          </cell>
          <cell r="J422">
            <v>307957</v>
          </cell>
          <cell r="K422">
            <v>122375</v>
          </cell>
          <cell r="L422">
            <v>249707</v>
          </cell>
          <cell r="N422">
            <v>-343631</v>
          </cell>
          <cell r="P422">
            <v>14108</v>
          </cell>
          <cell r="Q422">
            <v>277369</v>
          </cell>
          <cell r="R422">
            <v>4028758</v>
          </cell>
          <cell r="T422">
            <v>2176070</v>
          </cell>
          <cell r="X422">
            <v>1423116</v>
          </cell>
          <cell r="Y422">
            <v>159941</v>
          </cell>
          <cell r="Z422">
            <v>2454</v>
          </cell>
          <cell r="AA422">
            <v>1612</v>
          </cell>
          <cell r="AB422">
            <v>23227</v>
          </cell>
          <cell r="AC422">
            <v>5</v>
          </cell>
          <cell r="AD422">
            <v>18</v>
          </cell>
        </row>
        <row r="423">
          <cell r="C423">
            <v>3688660</v>
          </cell>
          <cell r="D423">
            <v>1831805</v>
          </cell>
          <cell r="E423">
            <v>1077662</v>
          </cell>
          <cell r="F423">
            <v>226759</v>
          </cell>
          <cell r="G423">
            <v>47448</v>
          </cell>
          <cell r="I423">
            <v>2160</v>
          </cell>
          <cell r="J423">
            <v>302056</v>
          </cell>
          <cell r="K423">
            <v>69364</v>
          </cell>
          <cell r="L423">
            <v>178854</v>
          </cell>
          <cell r="N423">
            <v>-101669</v>
          </cell>
          <cell r="P423">
            <v>12320</v>
          </cell>
          <cell r="Q423">
            <v>220050</v>
          </cell>
          <cell r="R423">
            <v>3819361</v>
          </cell>
          <cell r="T423">
            <v>2022460</v>
          </cell>
          <cell r="X423">
            <v>1388677</v>
          </cell>
          <cell r="Y423">
            <v>158091</v>
          </cell>
          <cell r="Z423">
            <v>2456</v>
          </cell>
          <cell r="AA423">
            <v>1616</v>
          </cell>
          <cell r="AB423">
            <v>23046</v>
          </cell>
          <cell r="AC423">
            <v>5</v>
          </cell>
          <cell r="AD423">
            <v>19</v>
          </cell>
        </row>
        <row r="424">
          <cell r="C424">
            <v>3544476</v>
          </cell>
          <cell r="D424">
            <v>1620816</v>
          </cell>
          <cell r="E424">
            <v>1014437</v>
          </cell>
          <cell r="F424">
            <v>324306</v>
          </cell>
          <cell r="G424">
            <v>122867</v>
          </cell>
          <cell r="I424">
            <v>2167</v>
          </cell>
          <cell r="J424">
            <v>291644</v>
          </cell>
          <cell r="K424">
            <v>102688</v>
          </cell>
          <cell r="L424">
            <v>188418</v>
          </cell>
          <cell r="N424">
            <v>-702496</v>
          </cell>
          <cell r="P424">
            <v>16666</v>
          </cell>
          <cell r="Q424">
            <v>68893</v>
          </cell>
          <cell r="R424">
            <v>2927539</v>
          </cell>
          <cell r="T424">
            <v>1485606</v>
          </cell>
          <cell r="X424">
            <v>1598157</v>
          </cell>
          <cell r="Y424">
            <v>172922</v>
          </cell>
          <cell r="Z424">
            <v>2577</v>
          </cell>
          <cell r="AA424">
            <v>1624</v>
          </cell>
          <cell r="AB424">
            <v>24582</v>
          </cell>
          <cell r="AC424">
            <v>4</v>
          </cell>
          <cell r="AD424">
            <v>17</v>
          </cell>
        </row>
        <row r="425">
          <cell r="C425">
            <v>2787107</v>
          </cell>
          <cell r="D425">
            <v>1246838</v>
          </cell>
          <cell r="E425">
            <v>884457</v>
          </cell>
          <cell r="F425">
            <v>248136</v>
          </cell>
          <cell r="G425">
            <v>80035</v>
          </cell>
          <cell r="I425">
            <v>2173</v>
          </cell>
          <cell r="J425">
            <v>247135</v>
          </cell>
          <cell r="K425">
            <v>42118</v>
          </cell>
          <cell r="L425">
            <v>116250</v>
          </cell>
          <cell r="N425">
            <v>120774</v>
          </cell>
          <cell r="P425">
            <v>13991</v>
          </cell>
          <cell r="Q425">
            <v>228985</v>
          </cell>
          <cell r="R425">
            <v>3150857</v>
          </cell>
          <cell r="T425">
            <v>1566506</v>
          </cell>
          <cell r="X425">
            <v>1432141</v>
          </cell>
          <cell r="Y425">
            <v>159240</v>
          </cell>
          <cell r="Z425">
            <v>2409</v>
          </cell>
          <cell r="AA425">
            <v>1616</v>
          </cell>
          <cell r="AB425">
            <v>23305</v>
          </cell>
          <cell r="AC425">
            <v>5</v>
          </cell>
          <cell r="AD425">
            <v>17</v>
          </cell>
        </row>
        <row r="426">
          <cell r="C426">
            <v>3487141</v>
          </cell>
          <cell r="D426">
            <v>1898161</v>
          </cell>
          <cell r="E426">
            <v>909100</v>
          </cell>
          <cell r="F426">
            <v>246057</v>
          </cell>
          <cell r="G426">
            <v>80009</v>
          </cell>
          <cell r="I426">
            <v>2132</v>
          </cell>
          <cell r="J426">
            <v>253065</v>
          </cell>
          <cell r="K426">
            <v>46738</v>
          </cell>
          <cell r="L426">
            <v>131888</v>
          </cell>
          <cell r="N426">
            <v>422455</v>
          </cell>
          <cell r="P426">
            <v>11404</v>
          </cell>
          <cell r="Q426">
            <v>230866</v>
          </cell>
          <cell r="R426">
            <v>4151866</v>
          </cell>
          <cell r="T426">
            <v>1762997</v>
          </cell>
          <cell r="X426">
            <v>1436475</v>
          </cell>
          <cell r="Y426">
            <v>160133</v>
          </cell>
          <cell r="Z426">
            <v>2450</v>
          </cell>
          <cell r="AA426">
            <v>1613</v>
          </cell>
          <cell r="AB426">
            <v>23259</v>
          </cell>
          <cell r="AC426">
            <v>4</v>
          </cell>
          <cell r="AD426">
            <v>17</v>
          </cell>
        </row>
        <row r="427">
          <cell r="C427">
            <v>3300501</v>
          </cell>
          <cell r="D427">
            <v>1581544</v>
          </cell>
          <cell r="E427">
            <v>843529</v>
          </cell>
          <cell r="F427">
            <v>261310</v>
          </cell>
          <cell r="G427">
            <v>88375</v>
          </cell>
          <cell r="I427">
            <v>2167</v>
          </cell>
          <cell r="J427">
            <v>236784</v>
          </cell>
          <cell r="K427">
            <v>193846</v>
          </cell>
          <cell r="L427">
            <v>181321</v>
          </cell>
          <cell r="N427">
            <v>-109843</v>
          </cell>
          <cell r="P427">
            <v>12241</v>
          </cell>
          <cell r="Q427">
            <v>221920</v>
          </cell>
          <cell r="R427">
            <v>3424819</v>
          </cell>
          <cell r="T427">
            <v>1752573</v>
          </cell>
          <cell r="X427">
            <v>1408114</v>
          </cell>
          <cell r="Y427">
            <v>158444</v>
          </cell>
          <cell r="Z427">
            <v>2449</v>
          </cell>
          <cell r="AA427">
            <v>1603</v>
          </cell>
          <cell r="AB427">
            <v>23104</v>
          </cell>
          <cell r="AC427">
            <v>5</v>
          </cell>
          <cell r="AD427">
            <v>14</v>
          </cell>
        </row>
        <row r="428">
          <cell r="C428">
            <v>3297978</v>
          </cell>
          <cell r="D428">
            <v>1646028</v>
          </cell>
          <cell r="E428">
            <v>844159</v>
          </cell>
          <cell r="F428">
            <v>260907</v>
          </cell>
          <cell r="G428">
            <v>95074</v>
          </cell>
          <cell r="I428">
            <v>2176</v>
          </cell>
          <cell r="J428">
            <v>237457</v>
          </cell>
          <cell r="K428">
            <v>144313</v>
          </cell>
          <cell r="L428">
            <v>162938</v>
          </cell>
          <cell r="N428">
            <v>-329489</v>
          </cell>
          <cell r="P428">
            <v>11598</v>
          </cell>
          <cell r="Q428">
            <v>192780</v>
          </cell>
          <cell r="R428">
            <v>3172867</v>
          </cell>
          <cell r="T428">
            <v>1496264</v>
          </cell>
          <cell r="X428">
            <v>1460638</v>
          </cell>
          <cell r="Y428">
            <v>162994</v>
          </cell>
          <cell r="Z428">
            <v>2481</v>
          </cell>
          <cell r="AA428">
            <v>1610</v>
          </cell>
          <cell r="AB428">
            <v>23779</v>
          </cell>
          <cell r="AC428">
            <v>5</v>
          </cell>
          <cell r="AD428">
            <v>14</v>
          </cell>
        </row>
        <row r="429">
          <cell r="C429">
            <v>2843897</v>
          </cell>
          <cell r="D429">
            <v>1202071</v>
          </cell>
          <cell r="E429">
            <v>873347</v>
          </cell>
          <cell r="F429">
            <v>291812</v>
          </cell>
          <cell r="G429">
            <v>109581</v>
          </cell>
          <cell r="I429">
            <v>2146</v>
          </cell>
          <cell r="J429">
            <v>246118</v>
          </cell>
          <cell r="K429">
            <v>74632</v>
          </cell>
          <cell r="L429">
            <v>153771</v>
          </cell>
          <cell r="N429">
            <v>8294</v>
          </cell>
          <cell r="P429">
            <v>10041</v>
          </cell>
          <cell r="Q429">
            <v>221354</v>
          </cell>
          <cell r="R429">
            <v>3083586</v>
          </cell>
          <cell r="T429">
            <v>1554392</v>
          </cell>
          <cell r="X429">
            <v>1445768</v>
          </cell>
          <cell r="Y429">
            <v>161961</v>
          </cell>
          <cell r="Z429">
            <v>2506</v>
          </cell>
          <cell r="AA429">
            <v>1607</v>
          </cell>
          <cell r="AB429">
            <v>23607</v>
          </cell>
          <cell r="AC429">
            <v>5</v>
          </cell>
          <cell r="AD429">
            <v>14</v>
          </cell>
        </row>
        <row r="430">
          <cell r="C430">
            <v>3140162</v>
          </cell>
          <cell r="D430">
            <v>1462500</v>
          </cell>
          <cell r="E430">
            <v>951480</v>
          </cell>
          <cell r="F430">
            <v>285924</v>
          </cell>
          <cell r="G430">
            <v>90406</v>
          </cell>
          <cell r="I430">
            <v>2127</v>
          </cell>
          <cell r="J430">
            <v>266042</v>
          </cell>
          <cell r="K430">
            <v>50488</v>
          </cell>
          <cell r="L430">
            <v>121601</v>
          </cell>
          <cell r="N430">
            <v>741499</v>
          </cell>
          <cell r="P430">
            <v>13105</v>
          </cell>
          <cell r="Q430">
            <v>326534</v>
          </cell>
          <cell r="R430">
            <v>4221300</v>
          </cell>
          <cell r="T430">
            <v>2097398</v>
          </cell>
          <cell r="X430">
            <v>1436418</v>
          </cell>
          <cell r="Y430">
            <v>160310</v>
          </cell>
          <cell r="Z430">
            <v>2454</v>
          </cell>
          <cell r="AA430">
            <v>1603</v>
          </cell>
          <cell r="AB430">
            <v>23370</v>
          </cell>
          <cell r="AC430">
            <v>4</v>
          </cell>
          <cell r="AD430">
            <v>14</v>
          </cell>
        </row>
        <row r="431">
          <cell r="C431">
            <v>4002542</v>
          </cell>
          <cell r="D431">
            <v>1933927</v>
          </cell>
          <cell r="E431">
            <v>1114029</v>
          </cell>
          <cell r="F431">
            <v>289178</v>
          </cell>
          <cell r="G431">
            <v>90638</v>
          </cell>
          <cell r="I431">
            <v>2126</v>
          </cell>
          <cell r="J431">
            <v>305479</v>
          </cell>
          <cell r="K431">
            <v>163314</v>
          </cell>
          <cell r="L431">
            <v>194489</v>
          </cell>
          <cell r="N431">
            <v>292300</v>
          </cell>
          <cell r="P431">
            <v>16398</v>
          </cell>
          <cell r="Q431">
            <v>332302</v>
          </cell>
          <cell r="R431">
            <v>4643542</v>
          </cell>
          <cell r="T431">
            <v>2296561</v>
          </cell>
          <cell r="X431">
            <v>1468050</v>
          </cell>
          <cell r="Y431">
            <v>162284</v>
          </cell>
          <cell r="Z431">
            <v>2513</v>
          </cell>
          <cell r="AA431">
            <v>1633</v>
          </cell>
          <cell r="AB431">
            <v>23603</v>
          </cell>
          <cell r="AC431">
            <v>6</v>
          </cell>
          <cell r="AD431">
            <v>15</v>
          </cell>
        </row>
        <row r="432">
          <cell r="C432">
            <v>4244903</v>
          </cell>
          <cell r="D432">
            <v>2055318</v>
          </cell>
          <cell r="E432">
            <v>1157779</v>
          </cell>
          <cell r="F432">
            <v>288009</v>
          </cell>
          <cell r="G432">
            <v>82588</v>
          </cell>
          <cell r="I432">
            <v>2147</v>
          </cell>
          <cell r="J432">
            <v>282721</v>
          </cell>
          <cell r="K432">
            <v>196318</v>
          </cell>
          <cell r="L432">
            <v>262611</v>
          </cell>
          <cell r="N432">
            <v>87254</v>
          </cell>
          <cell r="P432">
            <v>18991</v>
          </cell>
          <cell r="Q432">
            <v>330820</v>
          </cell>
          <cell r="R432">
            <v>4681968</v>
          </cell>
          <cell r="T432">
            <v>2409341</v>
          </cell>
          <cell r="X432">
            <v>1422561</v>
          </cell>
          <cell r="Y432">
            <v>160741</v>
          </cell>
          <cell r="Z432">
            <v>2472</v>
          </cell>
          <cell r="AA432">
            <v>1633</v>
          </cell>
          <cell r="AB432">
            <v>23268</v>
          </cell>
          <cell r="AC432">
            <v>4</v>
          </cell>
          <cell r="AD432">
            <v>14</v>
          </cell>
        </row>
        <row r="433">
          <cell r="C433">
            <v>4291578</v>
          </cell>
          <cell r="D433">
            <v>2135860</v>
          </cell>
          <cell r="E433">
            <v>1162292</v>
          </cell>
          <cell r="F433">
            <v>277073</v>
          </cell>
          <cell r="G433">
            <v>77450</v>
          </cell>
          <cell r="I433">
            <v>2138</v>
          </cell>
          <cell r="J433">
            <v>292566</v>
          </cell>
          <cell r="K433">
            <v>154922</v>
          </cell>
          <cell r="L433">
            <v>266727</v>
          </cell>
          <cell r="N433">
            <v>-99295</v>
          </cell>
          <cell r="P433">
            <v>15145</v>
          </cell>
          <cell r="Q433">
            <v>346469</v>
          </cell>
          <cell r="R433">
            <v>4553897</v>
          </cell>
          <cell r="T433">
            <v>2319317</v>
          </cell>
          <cell r="X433">
            <v>1402438</v>
          </cell>
          <cell r="Y433">
            <v>158917</v>
          </cell>
          <cell r="Z433">
            <v>2471</v>
          </cell>
          <cell r="AA433">
            <v>1631</v>
          </cell>
          <cell r="AB433">
            <v>23475</v>
          </cell>
          <cell r="AC433">
            <v>5</v>
          </cell>
          <cell r="AD433">
            <v>14</v>
          </cell>
        </row>
        <row r="434">
          <cell r="C434">
            <v>4131495</v>
          </cell>
          <cell r="D434">
            <v>1990903</v>
          </cell>
          <cell r="E434">
            <v>1134918</v>
          </cell>
          <cell r="F434">
            <v>271176</v>
          </cell>
          <cell r="G434">
            <v>72828</v>
          </cell>
          <cell r="I434">
            <v>2148</v>
          </cell>
          <cell r="J434">
            <v>310791</v>
          </cell>
          <cell r="K434">
            <v>146722</v>
          </cell>
          <cell r="L434">
            <v>274837</v>
          </cell>
          <cell r="N434">
            <v>-286717</v>
          </cell>
          <cell r="P434">
            <v>20629</v>
          </cell>
          <cell r="Q434">
            <v>164685</v>
          </cell>
          <cell r="R434">
            <v>4030092</v>
          </cell>
          <cell r="T434">
            <v>2174010</v>
          </cell>
          <cell r="X434">
            <v>1451630</v>
          </cell>
          <cell r="Y434">
            <v>160216</v>
          </cell>
          <cell r="Z434">
            <v>2501</v>
          </cell>
          <cell r="AA434">
            <v>1631</v>
          </cell>
          <cell r="AB434">
            <v>23496</v>
          </cell>
          <cell r="AC434">
            <v>5</v>
          </cell>
          <cell r="AD434">
            <v>14</v>
          </cell>
        </row>
        <row r="435">
          <cell r="C435">
            <v>3470557</v>
          </cell>
          <cell r="D435">
            <v>1589268</v>
          </cell>
          <cell r="E435">
            <v>1042956</v>
          </cell>
          <cell r="F435">
            <v>250963</v>
          </cell>
          <cell r="G435">
            <v>63642</v>
          </cell>
          <cell r="I435">
            <v>2160</v>
          </cell>
          <cell r="J435">
            <v>298711</v>
          </cell>
          <cell r="K435">
            <v>66129</v>
          </cell>
          <cell r="L435">
            <v>220370</v>
          </cell>
          <cell r="N435">
            <v>-298023</v>
          </cell>
          <cell r="P435">
            <v>12256</v>
          </cell>
          <cell r="Q435">
            <v>170653</v>
          </cell>
          <cell r="R435">
            <v>3355443</v>
          </cell>
          <cell r="T435">
            <v>1999532</v>
          </cell>
          <cell r="X435">
            <v>1361733</v>
          </cell>
          <cell r="Y435">
            <v>156122</v>
          </cell>
          <cell r="Z435">
            <v>2435</v>
          </cell>
          <cell r="AA435">
            <v>1630</v>
          </cell>
          <cell r="AB435">
            <v>22744</v>
          </cell>
          <cell r="AC435">
            <v>7</v>
          </cell>
          <cell r="AD435">
            <v>14</v>
          </cell>
        </row>
        <row r="436">
          <cell r="C436">
            <v>3147396</v>
          </cell>
          <cell r="D436">
            <v>1485374</v>
          </cell>
          <cell r="E436">
            <v>964894</v>
          </cell>
          <cell r="F436">
            <v>260215</v>
          </cell>
          <cell r="G436">
            <v>69913</v>
          </cell>
          <cell r="I436">
            <v>2162</v>
          </cell>
          <cell r="J436">
            <v>275516</v>
          </cell>
          <cell r="K436">
            <v>24886</v>
          </cell>
          <cell r="L436">
            <v>134349</v>
          </cell>
          <cell r="N436">
            <v>-497275</v>
          </cell>
          <cell r="P436">
            <v>15836</v>
          </cell>
          <cell r="Q436">
            <v>146471</v>
          </cell>
          <cell r="R436">
            <v>2812428</v>
          </cell>
          <cell r="T436">
            <v>1544777</v>
          </cell>
          <cell r="X436">
            <v>1609285</v>
          </cell>
          <cell r="Y436">
            <v>174390</v>
          </cell>
          <cell r="Z436">
            <v>2559</v>
          </cell>
          <cell r="AA436">
            <v>1633</v>
          </cell>
          <cell r="AB436">
            <v>25135</v>
          </cell>
          <cell r="AC436">
            <v>4</v>
          </cell>
          <cell r="AD436">
            <v>14</v>
          </cell>
        </row>
        <row r="437">
          <cell r="C437">
            <v>3059948</v>
          </cell>
          <cell r="D437">
            <v>1543107</v>
          </cell>
          <cell r="E437">
            <v>897406</v>
          </cell>
          <cell r="F437">
            <v>236720</v>
          </cell>
          <cell r="G437">
            <v>68095</v>
          </cell>
          <cell r="I437">
            <v>2158</v>
          </cell>
          <cell r="J437">
            <v>254735</v>
          </cell>
          <cell r="K437">
            <v>21597</v>
          </cell>
          <cell r="L437">
            <v>104225</v>
          </cell>
          <cell r="N437">
            <v>693196</v>
          </cell>
          <cell r="P437">
            <v>13463</v>
          </cell>
          <cell r="Q437">
            <v>261521</v>
          </cell>
          <cell r="R437">
            <v>4028128</v>
          </cell>
          <cell r="T437">
            <v>2024568</v>
          </cell>
          <cell r="X437">
            <v>1514485</v>
          </cell>
          <cell r="Y437">
            <v>163574</v>
          </cell>
          <cell r="Z437">
            <v>2478</v>
          </cell>
          <cell r="AA437">
            <v>1626</v>
          </cell>
          <cell r="AB437">
            <v>24017</v>
          </cell>
          <cell r="AC437">
            <v>4</v>
          </cell>
          <cell r="AD437">
            <v>14</v>
          </cell>
        </row>
        <row r="438">
          <cell r="C438">
            <v>3470276</v>
          </cell>
          <cell r="D438">
            <v>1739591</v>
          </cell>
          <cell r="E438">
            <v>898055</v>
          </cell>
          <cell r="F438">
            <v>262022</v>
          </cell>
          <cell r="G438">
            <v>98826</v>
          </cell>
          <cell r="I438">
            <v>2151</v>
          </cell>
          <cell r="J438">
            <v>245270</v>
          </cell>
          <cell r="K438">
            <v>149590</v>
          </cell>
          <cell r="L438">
            <v>173597</v>
          </cell>
          <cell r="N438">
            <v>-419176</v>
          </cell>
          <cell r="P438">
            <v>11542</v>
          </cell>
          <cell r="Q438">
            <v>232964</v>
          </cell>
          <cell r="R438">
            <v>3295606</v>
          </cell>
          <cell r="T438">
            <v>1685330</v>
          </cell>
          <cell r="X438">
            <v>1375237</v>
          </cell>
          <cell r="Y438">
            <v>156932</v>
          </cell>
          <cell r="Z438">
            <v>2395</v>
          </cell>
          <cell r="AA438">
            <v>1615</v>
          </cell>
          <cell r="AB438">
            <v>23014</v>
          </cell>
          <cell r="AC438">
            <v>4</v>
          </cell>
          <cell r="AD438">
            <v>13</v>
          </cell>
        </row>
        <row r="439">
          <cell r="C439">
            <v>2961740</v>
          </cell>
          <cell r="D439">
            <v>1414735</v>
          </cell>
          <cell r="E439">
            <v>814973</v>
          </cell>
          <cell r="F439">
            <v>265854</v>
          </cell>
          <cell r="G439">
            <v>96490</v>
          </cell>
          <cell r="I439">
            <v>2117</v>
          </cell>
          <cell r="J439">
            <v>234860</v>
          </cell>
          <cell r="K439">
            <v>116345</v>
          </cell>
          <cell r="L439">
            <v>112856</v>
          </cell>
          <cell r="N439">
            <v>-368339</v>
          </cell>
          <cell r="P439">
            <v>11851</v>
          </cell>
          <cell r="Q439">
            <v>148422</v>
          </cell>
          <cell r="R439">
            <v>2753674</v>
          </cell>
          <cell r="T439">
            <v>1462659</v>
          </cell>
          <cell r="X439">
            <v>1453415</v>
          </cell>
          <cell r="Y439">
            <v>161830</v>
          </cell>
          <cell r="Z439">
            <v>2485</v>
          </cell>
          <cell r="AA439">
            <v>1598</v>
          </cell>
          <cell r="AB439">
            <v>23721</v>
          </cell>
          <cell r="AC439">
            <v>5</v>
          </cell>
          <cell r="AD439">
            <v>13</v>
          </cell>
        </row>
        <row r="440">
          <cell r="C440">
            <v>2554058</v>
          </cell>
          <cell r="D440">
            <v>1126721</v>
          </cell>
          <cell r="E440">
            <v>833624</v>
          </cell>
          <cell r="F440">
            <v>244090</v>
          </cell>
          <cell r="G440">
            <v>83249</v>
          </cell>
          <cell r="I440">
            <v>2074</v>
          </cell>
          <cell r="J440">
            <v>240787</v>
          </cell>
          <cell r="K440">
            <v>39889</v>
          </cell>
          <cell r="L440">
            <v>66873</v>
          </cell>
          <cell r="N440">
            <v>231127</v>
          </cell>
          <cell r="P440">
            <v>19690</v>
          </cell>
          <cell r="Q440">
            <v>182582</v>
          </cell>
          <cell r="R440">
            <v>2987457</v>
          </cell>
          <cell r="T440">
            <v>1669093</v>
          </cell>
          <cell r="X440">
            <v>1375808</v>
          </cell>
          <cell r="Y440">
            <v>156319</v>
          </cell>
          <cell r="Z440">
            <v>2397</v>
          </cell>
          <cell r="AA440">
            <v>1574</v>
          </cell>
          <cell r="AB440">
            <v>22993</v>
          </cell>
          <cell r="AC440">
            <v>5</v>
          </cell>
          <cell r="AD440">
            <v>11</v>
          </cell>
        </row>
        <row r="441">
          <cell r="C441">
            <v>2817414</v>
          </cell>
          <cell r="D441">
            <v>1258745</v>
          </cell>
          <cell r="E441">
            <v>913903</v>
          </cell>
          <cell r="F441">
            <v>261361</v>
          </cell>
          <cell r="G441">
            <v>85200</v>
          </cell>
          <cell r="I441">
            <v>1985</v>
          </cell>
          <cell r="J441">
            <v>251738</v>
          </cell>
          <cell r="K441">
            <v>54843</v>
          </cell>
          <cell r="L441">
            <v>74839</v>
          </cell>
          <cell r="N441">
            <v>444381</v>
          </cell>
          <cell r="P441">
            <v>13846</v>
          </cell>
          <cell r="Q441">
            <v>259097</v>
          </cell>
          <cell r="R441">
            <v>3534738</v>
          </cell>
          <cell r="T441">
            <v>1989132</v>
          </cell>
          <cell r="X441">
            <v>1444384</v>
          </cell>
          <cell r="Y441">
            <v>161651</v>
          </cell>
          <cell r="Z441">
            <v>2430</v>
          </cell>
          <cell r="AA441">
            <v>1577</v>
          </cell>
          <cell r="AB441">
            <v>23644</v>
          </cell>
          <cell r="AC441">
            <v>4</v>
          </cell>
          <cell r="AD441">
            <v>11</v>
          </cell>
        </row>
        <row r="442">
          <cell r="C442">
            <v>3443691</v>
          </cell>
          <cell r="D442">
            <v>1589560</v>
          </cell>
          <cell r="E442">
            <v>1019182</v>
          </cell>
          <cell r="F442">
            <v>299905</v>
          </cell>
          <cell r="G442">
            <v>110470</v>
          </cell>
          <cell r="I442">
            <v>2105</v>
          </cell>
          <cell r="J442">
            <v>277889</v>
          </cell>
          <cell r="K442">
            <v>135119</v>
          </cell>
          <cell r="L442">
            <v>119931</v>
          </cell>
          <cell r="N442">
            <v>174350</v>
          </cell>
          <cell r="P442">
            <v>12941</v>
          </cell>
          <cell r="Q442">
            <v>252839</v>
          </cell>
          <cell r="R442">
            <v>3883821</v>
          </cell>
          <cell r="T442">
            <v>2157948</v>
          </cell>
          <cell r="X442">
            <v>1453925</v>
          </cell>
          <cell r="Y442">
            <v>161693</v>
          </cell>
          <cell r="Z442">
            <v>2414</v>
          </cell>
          <cell r="AA442">
            <v>1576</v>
          </cell>
          <cell r="AB442">
            <v>23584</v>
          </cell>
          <cell r="AC442">
            <v>4</v>
          </cell>
          <cell r="AD442">
            <v>11</v>
          </cell>
        </row>
        <row r="443">
          <cell r="C443">
            <v>3753897</v>
          </cell>
          <cell r="D443">
            <v>1833100</v>
          </cell>
          <cell r="E443">
            <v>1098545</v>
          </cell>
          <cell r="F443">
            <v>287783</v>
          </cell>
          <cell r="G443">
            <v>89357</v>
          </cell>
          <cell r="I443">
            <v>2073</v>
          </cell>
          <cell r="J443">
            <v>286214</v>
          </cell>
          <cell r="K443">
            <v>123038</v>
          </cell>
          <cell r="L443">
            <v>123144</v>
          </cell>
          <cell r="N443">
            <v>207878</v>
          </cell>
          <cell r="P443">
            <v>12329</v>
          </cell>
          <cell r="Q443">
            <v>278468</v>
          </cell>
          <cell r="R443">
            <v>4252572</v>
          </cell>
          <cell r="T443">
            <v>2333214</v>
          </cell>
          <cell r="X443">
            <v>1453806</v>
          </cell>
          <cell r="Y443">
            <v>162558</v>
          </cell>
          <cell r="Z443">
            <v>2414</v>
          </cell>
          <cell r="AA443">
            <v>1569</v>
          </cell>
          <cell r="AB443">
            <v>23570</v>
          </cell>
          <cell r="AC443">
            <v>4</v>
          </cell>
          <cell r="AD443">
            <v>11</v>
          </cell>
        </row>
        <row r="444">
          <cell r="C444">
            <v>3947647</v>
          </cell>
          <cell r="D444">
            <v>1986293</v>
          </cell>
          <cell r="E444">
            <v>1112858</v>
          </cell>
          <cell r="F444">
            <v>266234</v>
          </cell>
          <cell r="G444">
            <v>87307</v>
          </cell>
          <cell r="I444">
            <v>2043</v>
          </cell>
          <cell r="J444">
            <v>274724</v>
          </cell>
          <cell r="K444">
            <v>167412</v>
          </cell>
          <cell r="L444">
            <v>138083</v>
          </cell>
          <cell r="N444">
            <v>101966</v>
          </cell>
          <cell r="P444">
            <v>12359</v>
          </cell>
          <cell r="Q444">
            <v>333422</v>
          </cell>
          <cell r="R444">
            <v>4395394</v>
          </cell>
          <cell r="T444">
            <v>2457065</v>
          </cell>
          <cell r="X444">
            <v>1448126</v>
          </cell>
          <cell r="Y444">
            <v>160697</v>
          </cell>
          <cell r="Z444">
            <v>2334</v>
          </cell>
          <cell r="AA444">
            <v>1568</v>
          </cell>
          <cell r="AB444">
            <v>23309</v>
          </cell>
          <cell r="AC444">
            <v>4</v>
          </cell>
          <cell r="AD444">
            <v>11</v>
          </cell>
        </row>
        <row r="445">
          <cell r="C445">
            <v>4267935</v>
          </cell>
          <cell r="D445">
            <v>2186530</v>
          </cell>
          <cell r="E445">
            <v>1216737</v>
          </cell>
          <cell r="F445">
            <v>296266</v>
          </cell>
          <cell r="G445">
            <v>92483</v>
          </cell>
          <cell r="I445">
            <v>2090</v>
          </cell>
          <cell r="J445">
            <v>281879</v>
          </cell>
          <cell r="K445">
            <v>136630</v>
          </cell>
          <cell r="L445">
            <v>147803</v>
          </cell>
          <cell r="N445">
            <v>19215</v>
          </cell>
          <cell r="P445">
            <v>12160</v>
          </cell>
          <cell r="Q445">
            <v>253750</v>
          </cell>
          <cell r="R445">
            <v>4553060</v>
          </cell>
          <cell r="T445">
            <v>2450387</v>
          </cell>
          <cell r="X445">
            <v>1537933</v>
          </cell>
          <cell r="Y445">
            <v>169440</v>
          </cell>
          <cell r="Z445">
            <v>2443</v>
          </cell>
          <cell r="AA445">
            <v>1570</v>
          </cell>
          <cell r="AB445">
            <v>24441</v>
          </cell>
          <cell r="AC445">
            <v>4</v>
          </cell>
          <cell r="AD445">
            <v>11</v>
          </cell>
        </row>
        <row r="446">
          <cell r="C446">
            <v>4031180</v>
          </cell>
          <cell r="D446">
            <v>2008611</v>
          </cell>
          <cell r="E446">
            <v>1128878</v>
          </cell>
          <cell r="F446">
            <v>275919</v>
          </cell>
          <cell r="G446">
            <v>91499</v>
          </cell>
          <cell r="I446">
            <v>2054</v>
          </cell>
          <cell r="J446">
            <v>306272</v>
          </cell>
          <cell r="K446">
            <v>156247</v>
          </cell>
          <cell r="L446">
            <v>153199</v>
          </cell>
          <cell r="N446">
            <v>-374309</v>
          </cell>
          <cell r="P446">
            <v>15043</v>
          </cell>
          <cell r="Q446">
            <v>320074</v>
          </cell>
          <cell r="R446">
            <v>3991988</v>
          </cell>
          <cell r="T446">
            <v>2140291</v>
          </cell>
          <cell r="X446">
            <v>1450147</v>
          </cell>
          <cell r="Y446">
            <v>161849</v>
          </cell>
          <cell r="Z446">
            <v>2417</v>
          </cell>
          <cell r="AA446">
            <v>1558</v>
          </cell>
          <cell r="AB446">
            <v>23508</v>
          </cell>
          <cell r="AC446">
            <v>4</v>
          </cell>
          <cell r="AD446">
            <v>10</v>
          </cell>
        </row>
        <row r="447">
          <cell r="C447">
            <v>3424641</v>
          </cell>
          <cell r="D447">
            <v>1582608</v>
          </cell>
          <cell r="E447">
            <v>1043831</v>
          </cell>
          <cell r="F447">
            <v>269587</v>
          </cell>
          <cell r="G447">
            <v>93754</v>
          </cell>
          <cell r="I447">
            <v>2037</v>
          </cell>
          <cell r="J447">
            <v>291065</v>
          </cell>
          <cell r="K447">
            <v>107014</v>
          </cell>
          <cell r="L447">
            <v>128499</v>
          </cell>
          <cell r="N447">
            <v>-476450</v>
          </cell>
          <cell r="P447">
            <v>12921</v>
          </cell>
          <cell r="Q447">
            <v>226078</v>
          </cell>
          <cell r="R447">
            <v>3187190</v>
          </cell>
          <cell r="T447">
            <v>1717220</v>
          </cell>
          <cell r="X447">
            <v>1365216</v>
          </cell>
          <cell r="Y447">
            <v>156948</v>
          </cell>
          <cell r="Z447">
            <v>2379</v>
          </cell>
          <cell r="AA447">
            <v>1549</v>
          </cell>
          <cell r="AB447">
            <v>23200</v>
          </cell>
          <cell r="AC447">
            <v>4</v>
          </cell>
          <cell r="AD447">
            <v>11</v>
          </cell>
        </row>
        <row r="448">
          <cell r="C448">
            <v>2961225</v>
          </cell>
          <cell r="D448">
            <v>1316925</v>
          </cell>
          <cell r="E448">
            <v>932105</v>
          </cell>
          <cell r="F448">
            <v>268193</v>
          </cell>
          <cell r="G448">
            <v>94256</v>
          </cell>
          <cell r="I448">
            <v>2093</v>
          </cell>
          <cell r="J448">
            <v>261712</v>
          </cell>
          <cell r="K448">
            <v>86995</v>
          </cell>
          <cell r="L448">
            <v>93202</v>
          </cell>
          <cell r="N448">
            <v>-289887</v>
          </cell>
          <cell r="P448">
            <v>11737</v>
          </cell>
          <cell r="Q448">
            <v>106176</v>
          </cell>
          <cell r="R448">
            <v>2789251</v>
          </cell>
          <cell r="T448">
            <v>1501159</v>
          </cell>
          <cell r="X448">
            <v>1597874</v>
          </cell>
          <cell r="Y448">
            <v>173104</v>
          </cell>
          <cell r="Z448">
            <v>2432</v>
          </cell>
          <cell r="AA448">
            <v>1554</v>
          </cell>
          <cell r="AB448">
            <v>24832</v>
          </cell>
          <cell r="AC448">
            <v>4</v>
          </cell>
          <cell r="AD448">
            <v>11</v>
          </cell>
        </row>
        <row r="449">
          <cell r="C449">
            <v>2675628</v>
          </cell>
          <cell r="D449">
            <v>1194416</v>
          </cell>
          <cell r="E449">
            <v>879119</v>
          </cell>
          <cell r="F449">
            <v>245524</v>
          </cell>
          <cell r="G449">
            <v>85134</v>
          </cell>
          <cell r="I449">
            <v>2061</v>
          </cell>
          <cell r="J449">
            <v>247261</v>
          </cell>
          <cell r="K449">
            <v>29225</v>
          </cell>
          <cell r="L449">
            <v>78022</v>
          </cell>
          <cell r="N449">
            <v>-32102</v>
          </cell>
          <cell r="P449">
            <v>15181</v>
          </cell>
          <cell r="Q449">
            <v>206526</v>
          </cell>
          <cell r="R449">
            <v>2865233</v>
          </cell>
          <cell r="T449">
            <v>1395934</v>
          </cell>
          <cell r="X449">
            <v>1473580</v>
          </cell>
          <cell r="Y449">
            <v>161833</v>
          </cell>
          <cell r="Z449">
            <v>2359</v>
          </cell>
          <cell r="AA449">
            <v>1550</v>
          </cell>
          <cell r="AB449">
            <v>23864</v>
          </cell>
          <cell r="AC449">
            <v>4</v>
          </cell>
          <cell r="AD449">
            <v>11</v>
          </cell>
        </row>
        <row r="450">
          <cell r="C450">
            <v>2767857</v>
          </cell>
          <cell r="D450">
            <v>1305112</v>
          </cell>
          <cell r="E450">
            <v>881436</v>
          </cell>
          <cell r="F450">
            <v>248421</v>
          </cell>
          <cell r="G450">
            <v>85513</v>
          </cell>
          <cell r="I450">
            <v>2061</v>
          </cell>
          <cell r="J450">
            <v>236773</v>
          </cell>
          <cell r="K450">
            <v>28628</v>
          </cell>
          <cell r="L450">
            <v>65426</v>
          </cell>
          <cell r="N450">
            <v>103308</v>
          </cell>
          <cell r="P450">
            <v>17713</v>
          </cell>
          <cell r="Q450">
            <v>208136</v>
          </cell>
          <cell r="R450">
            <v>3097014</v>
          </cell>
          <cell r="T450">
            <v>1561541</v>
          </cell>
          <cell r="X450">
            <v>1387413</v>
          </cell>
          <cell r="Y450">
            <v>159179</v>
          </cell>
          <cell r="Z450">
            <v>2391</v>
          </cell>
          <cell r="AA450">
            <v>1544</v>
          </cell>
          <cell r="AB450">
            <v>23241</v>
          </cell>
          <cell r="AC450">
            <v>4</v>
          </cell>
          <cell r="AD450">
            <v>11</v>
          </cell>
        </row>
        <row r="451">
          <cell r="C451">
            <v>2617400</v>
          </cell>
          <cell r="D451">
            <v>1161110</v>
          </cell>
          <cell r="E451">
            <v>816900</v>
          </cell>
          <cell r="F451">
            <v>253164</v>
          </cell>
          <cell r="G451">
            <v>88547</v>
          </cell>
          <cell r="I451">
            <v>2101</v>
          </cell>
          <cell r="J451">
            <v>265269</v>
          </cell>
          <cell r="K451">
            <v>48765</v>
          </cell>
          <cell r="L451">
            <v>70091</v>
          </cell>
          <cell r="N451">
            <v>-8758</v>
          </cell>
          <cell r="P451">
            <v>10781</v>
          </cell>
          <cell r="Q451">
            <v>179397</v>
          </cell>
          <cell r="R451">
            <v>2798820</v>
          </cell>
          <cell r="T451">
            <v>1540886</v>
          </cell>
          <cell r="X451">
            <v>1376771</v>
          </cell>
          <cell r="Y451">
            <v>158095</v>
          </cell>
          <cell r="Z451">
            <v>2394</v>
          </cell>
          <cell r="AA451">
            <v>1548</v>
          </cell>
          <cell r="AB451">
            <v>23466</v>
          </cell>
          <cell r="AC451">
            <v>3</v>
          </cell>
          <cell r="AD451">
            <v>11</v>
          </cell>
        </row>
        <row r="452">
          <cell r="C452">
            <v>2729777</v>
          </cell>
          <cell r="D452">
            <v>1238504</v>
          </cell>
          <cell r="E452">
            <v>866212</v>
          </cell>
          <cell r="F452">
            <v>255451</v>
          </cell>
          <cell r="G452">
            <v>83689</v>
          </cell>
          <cell r="I452">
            <v>2085</v>
          </cell>
          <cell r="J452">
            <v>244338</v>
          </cell>
          <cell r="K452">
            <v>60000</v>
          </cell>
          <cell r="L452">
            <v>63187</v>
          </cell>
          <cell r="N452">
            <v>191609</v>
          </cell>
          <cell r="P452">
            <v>11856</v>
          </cell>
          <cell r="Q452">
            <v>194755</v>
          </cell>
          <cell r="R452">
            <v>3127997</v>
          </cell>
          <cell r="T452">
            <v>1729693</v>
          </cell>
          <cell r="X452">
            <v>1470844</v>
          </cell>
          <cell r="Y452">
            <v>162808</v>
          </cell>
          <cell r="Z452">
            <v>2371</v>
          </cell>
          <cell r="AA452">
            <v>1551</v>
          </cell>
          <cell r="AB452">
            <v>23768</v>
          </cell>
          <cell r="AC452">
            <v>4</v>
          </cell>
          <cell r="AD452">
            <v>11</v>
          </cell>
        </row>
        <row r="453">
          <cell r="C453">
            <v>2926665</v>
          </cell>
          <cell r="D453">
            <v>1331543</v>
          </cell>
          <cell r="E453">
            <v>937252</v>
          </cell>
          <cell r="F453">
            <v>264787</v>
          </cell>
          <cell r="G453">
            <v>88051</v>
          </cell>
          <cell r="I453">
            <v>2082</v>
          </cell>
          <cell r="J453">
            <v>260891</v>
          </cell>
          <cell r="K453">
            <v>56325</v>
          </cell>
          <cell r="L453">
            <v>73785</v>
          </cell>
          <cell r="N453">
            <v>33933</v>
          </cell>
          <cell r="P453">
            <v>15061</v>
          </cell>
          <cell r="Q453">
            <v>188388</v>
          </cell>
          <cell r="R453">
            <v>3164047</v>
          </cell>
          <cell r="T453">
            <v>1776754</v>
          </cell>
          <cell r="X453">
            <v>1449157</v>
          </cell>
          <cell r="Y453">
            <v>161378</v>
          </cell>
          <cell r="Z453">
            <v>2352</v>
          </cell>
          <cell r="AA453">
            <v>1547</v>
          </cell>
          <cell r="AB453">
            <v>23640</v>
          </cell>
          <cell r="AC453">
            <v>4</v>
          </cell>
          <cell r="AD453">
            <v>10</v>
          </cell>
        </row>
        <row r="454">
          <cell r="C454">
            <v>3054825</v>
          </cell>
          <cell r="D454">
            <v>1441848</v>
          </cell>
          <cell r="E454">
            <v>958782</v>
          </cell>
          <cell r="F454">
            <v>269547</v>
          </cell>
          <cell r="G454">
            <v>82840</v>
          </cell>
          <cell r="I454">
            <v>2063</v>
          </cell>
          <cell r="J454">
            <v>263795</v>
          </cell>
          <cell r="K454">
            <v>47615</v>
          </cell>
          <cell r="L454">
            <v>71175</v>
          </cell>
          <cell r="N454">
            <v>468939</v>
          </cell>
          <cell r="P454">
            <v>8688</v>
          </cell>
          <cell r="Q454">
            <v>247769</v>
          </cell>
          <cell r="R454">
            <v>3780221</v>
          </cell>
          <cell r="T454">
            <v>2217127</v>
          </cell>
          <cell r="X454">
            <v>1470737</v>
          </cell>
          <cell r="Y454">
            <v>163247</v>
          </cell>
          <cell r="Z454">
            <v>2366</v>
          </cell>
          <cell r="AA454">
            <v>1547</v>
          </cell>
          <cell r="AB454">
            <v>23876</v>
          </cell>
          <cell r="AC454">
            <v>4</v>
          </cell>
          <cell r="AD454">
            <v>11</v>
          </cell>
        </row>
        <row r="455">
          <cell r="C455">
            <v>3534108</v>
          </cell>
          <cell r="D455">
            <v>1751800</v>
          </cell>
          <cell r="E455">
            <v>1065220</v>
          </cell>
          <cell r="F455">
            <v>273573</v>
          </cell>
          <cell r="G455">
            <v>92171</v>
          </cell>
          <cell r="I455">
            <v>2084</v>
          </cell>
          <cell r="J455">
            <v>282117</v>
          </cell>
          <cell r="K455">
            <v>66675</v>
          </cell>
          <cell r="L455">
            <v>92639</v>
          </cell>
          <cell r="N455">
            <v>-96703</v>
          </cell>
          <cell r="P455">
            <v>8470</v>
          </cell>
          <cell r="Q455">
            <v>253046</v>
          </cell>
          <cell r="R455">
            <v>3698921</v>
          </cell>
          <cell r="T455">
            <v>2126808</v>
          </cell>
          <cell r="X455">
            <v>1464139</v>
          </cell>
          <cell r="Y455">
            <v>163589</v>
          </cell>
          <cell r="Z455">
            <v>2347</v>
          </cell>
          <cell r="AA455">
            <v>1549</v>
          </cell>
          <cell r="AB455">
            <v>23846</v>
          </cell>
          <cell r="AC455">
            <v>4</v>
          </cell>
          <cell r="AD455">
            <v>11</v>
          </cell>
        </row>
        <row r="456">
          <cell r="C456">
            <v>3498832</v>
          </cell>
          <cell r="D456">
            <v>1742529</v>
          </cell>
          <cell r="E456">
            <v>1066254</v>
          </cell>
          <cell r="F456">
            <v>273358</v>
          </cell>
          <cell r="G456">
            <v>95115</v>
          </cell>
          <cell r="I456">
            <v>2068</v>
          </cell>
          <cell r="J456">
            <v>270716</v>
          </cell>
          <cell r="K456">
            <v>53652</v>
          </cell>
          <cell r="L456">
            <v>90255</v>
          </cell>
          <cell r="N456">
            <v>499054</v>
          </cell>
          <cell r="P456">
            <v>9991</v>
          </cell>
          <cell r="Q456">
            <v>269847</v>
          </cell>
          <cell r="R456">
            <v>4277724</v>
          </cell>
          <cell r="T456">
            <v>2520878</v>
          </cell>
          <cell r="X456">
            <v>1387578</v>
          </cell>
          <cell r="Y456">
            <v>158331</v>
          </cell>
          <cell r="Z456">
            <v>2325</v>
          </cell>
          <cell r="AA456">
            <v>1544</v>
          </cell>
          <cell r="AB456">
            <v>23254</v>
          </cell>
          <cell r="AC456">
            <v>4</v>
          </cell>
          <cell r="AD456">
            <v>11</v>
          </cell>
        </row>
        <row r="457">
          <cell r="C457">
            <v>4124610</v>
          </cell>
          <cell r="D457">
            <v>2149845</v>
          </cell>
          <cell r="E457">
            <v>1165669</v>
          </cell>
          <cell r="F457">
            <v>270778</v>
          </cell>
          <cell r="G457">
            <v>86610</v>
          </cell>
          <cell r="I457">
            <v>2076</v>
          </cell>
          <cell r="J457">
            <v>286653</v>
          </cell>
          <cell r="K457">
            <v>127733</v>
          </cell>
          <cell r="L457">
            <v>121856</v>
          </cell>
          <cell r="N457">
            <v>-177534</v>
          </cell>
          <cell r="P457">
            <v>13491</v>
          </cell>
          <cell r="Q457">
            <v>257723</v>
          </cell>
          <cell r="R457">
            <v>4218290</v>
          </cell>
          <cell r="T457">
            <v>2384468</v>
          </cell>
          <cell r="X457">
            <v>1542995</v>
          </cell>
          <cell r="Y457">
            <v>169014</v>
          </cell>
          <cell r="Z457">
            <v>2389</v>
          </cell>
          <cell r="AA457">
            <v>1584</v>
          </cell>
          <cell r="AB457">
            <v>24883</v>
          </cell>
          <cell r="AC457">
            <v>4</v>
          </cell>
          <cell r="AD457">
            <v>10</v>
          </cell>
        </row>
        <row r="458">
          <cell r="C458">
            <v>3723073</v>
          </cell>
          <cell r="D458">
            <v>1820003</v>
          </cell>
          <cell r="E458">
            <v>1109929</v>
          </cell>
          <cell r="F458">
            <v>275105</v>
          </cell>
          <cell r="G458">
            <v>89986</v>
          </cell>
          <cell r="I458">
            <v>2069</v>
          </cell>
          <cell r="J458">
            <v>305309</v>
          </cell>
          <cell r="K458">
            <v>97650</v>
          </cell>
          <cell r="L458">
            <v>113008</v>
          </cell>
          <cell r="N458">
            <v>-218087</v>
          </cell>
          <cell r="P458">
            <v>10450</v>
          </cell>
          <cell r="Q458">
            <v>281314</v>
          </cell>
          <cell r="R458">
            <v>3796750</v>
          </cell>
          <cell r="T458">
            <v>2201715</v>
          </cell>
          <cell r="X458">
            <v>1404111</v>
          </cell>
          <cell r="Y458">
            <v>160350</v>
          </cell>
          <cell r="Z458">
            <v>2361</v>
          </cell>
          <cell r="AA458">
            <v>1581</v>
          </cell>
          <cell r="AB458">
            <v>23362</v>
          </cell>
          <cell r="AC458">
            <v>5</v>
          </cell>
          <cell r="AD458">
            <v>12</v>
          </cell>
        </row>
        <row r="459">
          <cell r="C459">
            <v>3491126</v>
          </cell>
          <cell r="D459">
            <v>1724920</v>
          </cell>
          <cell r="E459">
            <v>1051180</v>
          </cell>
          <cell r="F459">
            <v>252612</v>
          </cell>
          <cell r="G459">
            <v>79109</v>
          </cell>
          <cell r="I459">
            <v>2103</v>
          </cell>
          <cell r="J459">
            <v>287529</v>
          </cell>
          <cell r="K459">
            <v>65978</v>
          </cell>
          <cell r="L459">
            <v>106804</v>
          </cell>
          <cell r="N459">
            <v>-287643</v>
          </cell>
          <cell r="P459">
            <v>17198</v>
          </cell>
          <cell r="Q459">
            <v>257507</v>
          </cell>
          <cell r="R459">
            <v>3478188</v>
          </cell>
          <cell r="T459">
            <v>1926184</v>
          </cell>
          <cell r="X459">
            <v>1451243</v>
          </cell>
          <cell r="Y459">
            <v>164628</v>
          </cell>
          <cell r="Z459">
            <v>2376</v>
          </cell>
          <cell r="AA459">
            <v>1582</v>
          </cell>
          <cell r="AB459">
            <v>24168</v>
          </cell>
          <cell r="AC459">
            <v>6</v>
          </cell>
          <cell r="AD459">
            <v>13</v>
          </cell>
        </row>
        <row r="460">
          <cell r="C460">
            <v>3078337</v>
          </cell>
          <cell r="D460">
            <v>1427308</v>
          </cell>
          <cell r="E460">
            <v>952531</v>
          </cell>
          <cell r="F460">
            <v>264412</v>
          </cell>
          <cell r="G460">
            <v>87454</v>
          </cell>
          <cell r="I460">
            <v>2124</v>
          </cell>
          <cell r="J460">
            <v>273971</v>
          </cell>
          <cell r="K460">
            <v>61128</v>
          </cell>
          <cell r="L460">
            <v>96863</v>
          </cell>
          <cell r="N460">
            <v>-523153</v>
          </cell>
          <cell r="P460">
            <v>11024</v>
          </cell>
          <cell r="Q460">
            <v>173046</v>
          </cell>
          <cell r="R460">
            <v>2739254</v>
          </cell>
          <cell r="T460">
            <v>1475510</v>
          </cell>
          <cell r="X460">
            <v>1629469</v>
          </cell>
          <cell r="Y460">
            <v>175822</v>
          </cell>
          <cell r="Z460">
            <v>2469</v>
          </cell>
          <cell r="AA460">
            <v>1581</v>
          </cell>
          <cell r="AB460">
            <v>25479</v>
          </cell>
          <cell r="AC460">
            <v>6</v>
          </cell>
          <cell r="AD460">
            <v>13</v>
          </cell>
        </row>
        <row r="461">
          <cell r="C461">
            <v>2602400</v>
          </cell>
          <cell r="D461">
            <v>1156813</v>
          </cell>
          <cell r="E461">
            <v>852094</v>
          </cell>
          <cell r="F461">
            <v>259044</v>
          </cell>
          <cell r="G461">
            <v>93633</v>
          </cell>
          <cell r="I461">
            <v>2108</v>
          </cell>
          <cell r="J461">
            <v>244027</v>
          </cell>
          <cell r="K461">
            <v>21751</v>
          </cell>
          <cell r="L461">
            <v>66563</v>
          </cell>
          <cell r="N461">
            <v>259227</v>
          </cell>
          <cell r="P461">
            <v>14632</v>
          </cell>
          <cell r="Q461">
            <v>160103</v>
          </cell>
          <cell r="R461">
            <v>3036362</v>
          </cell>
          <cell r="T461">
            <v>1694949</v>
          </cell>
          <cell r="X461">
            <v>1469818</v>
          </cell>
          <cell r="Y461">
            <v>163123</v>
          </cell>
          <cell r="Z461">
            <v>2319</v>
          </cell>
          <cell r="AA461">
            <v>1571</v>
          </cell>
          <cell r="AB461">
            <v>23870</v>
          </cell>
          <cell r="AC461">
            <v>4</v>
          </cell>
          <cell r="AD461">
            <v>11</v>
          </cell>
        </row>
        <row r="462">
          <cell r="C462">
            <v>2730720</v>
          </cell>
          <cell r="D462">
            <v>1254612</v>
          </cell>
          <cell r="E462">
            <v>869823</v>
          </cell>
          <cell r="F462">
            <v>250171</v>
          </cell>
          <cell r="G462">
            <v>91423</v>
          </cell>
          <cell r="I462">
            <v>2104</v>
          </cell>
          <cell r="J462">
            <v>232131</v>
          </cell>
          <cell r="K462">
            <v>49067</v>
          </cell>
          <cell r="L462">
            <v>72812</v>
          </cell>
          <cell r="N462">
            <v>-80196</v>
          </cell>
          <cell r="P462">
            <v>14362</v>
          </cell>
          <cell r="Q462">
            <v>216637</v>
          </cell>
          <cell r="R462">
            <v>2881523</v>
          </cell>
          <cell r="T462">
            <v>1661237</v>
          </cell>
          <cell r="X462">
            <v>1385210</v>
          </cell>
          <cell r="Y462">
            <v>158539</v>
          </cell>
          <cell r="Z462">
            <v>2309</v>
          </cell>
          <cell r="AA462">
            <v>1566</v>
          </cell>
          <cell r="AB462">
            <v>23462</v>
          </cell>
          <cell r="AC462">
            <v>4</v>
          </cell>
          <cell r="AD462">
            <v>11</v>
          </cell>
        </row>
        <row r="463">
          <cell r="C463">
            <v>2647125</v>
          </cell>
          <cell r="D463">
            <v>1262882</v>
          </cell>
          <cell r="E463">
            <v>824098</v>
          </cell>
          <cell r="F463">
            <v>253946</v>
          </cell>
          <cell r="G463">
            <v>88777</v>
          </cell>
          <cell r="I463">
            <v>2099</v>
          </cell>
          <cell r="J463">
            <v>235165</v>
          </cell>
          <cell r="K463">
            <v>11801</v>
          </cell>
          <cell r="L463">
            <v>57134</v>
          </cell>
          <cell r="N463">
            <v>-124122</v>
          </cell>
          <cell r="P463">
            <v>9292</v>
          </cell>
          <cell r="Q463">
            <v>214033</v>
          </cell>
          <cell r="R463">
            <v>2746328</v>
          </cell>
          <cell r="T463">
            <v>1534689</v>
          </cell>
          <cell r="X463">
            <v>1468867</v>
          </cell>
          <cell r="Y463">
            <v>164377</v>
          </cell>
          <cell r="Z463">
            <v>2371</v>
          </cell>
          <cell r="AA463">
            <v>1567</v>
          </cell>
          <cell r="AB463">
            <v>23937</v>
          </cell>
          <cell r="AC463">
            <v>4</v>
          </cell>
          <cell r="AD463">
            <v>11</v>
          </cell>
        </row>
        <row r="464">
          <cell r="C464">
            <v>2621508</v>
          </cell>
          <cell r="D464">
            <v>1226993</v>
          </cell>
          <cell r="E464">
            <v>828638</v>
          </cell>
          <cell r="F464">
            <v>250408</v>
          </cell>
          <cell r="G464">
            <v>84865</v>
          </cell>
          <cell r="I464">
            <v>2082</v>
          </cell>
          <cell r="J464">
            <v>234415</v>
          </cell>
          <cell r="K464">
            <v>33344</v>
          </cell>
          <cell r="L464">
            <v>45628</v>
          </cell>
          <cell r="N464">
            <v>205756</v>
          </cell>
          <cell r="P464">
            <v>13980</v>
          </cell>
          <cell r="Q464">
            <v>190013</v>
          </cell>
          <cell r="R464">
            <v>3031257</v>
          </cell>
          <cell r="T464">
            <v>1728840</v>
          </cell>
          <cell r="X464">
            <v>1399956</v>
          </cell>
          <cell r="Y464">
            <v>160252</v>
          </cell>
          <cell r="Z464">
            <v>2337</v>
          </cell>
          <cell r="AA464">
            <v>1566</v>
          </cell>
          <cell r="AB464">
            <v>23481</v>
          </cell>
          <cell r="AC464">
            <v>4</v>
          </cell>
          <cell r="AD464">
            <v>12</v>
          </cell>
        </row>
        <row r="465">
          <cell r="C465">
            <v>2773269</v>
          </cell>
          <cell r="D465">
            <v>1313510</v>
          </cell>
          <cell r="E465">
            <v>858116</v>
          </cell>
          <cell r="F465">
            <v>268166</v>
          </cell>
          <cell r="G465">
            <v>94756</v>
          </cell>
          <cell r="I465">
            <v>2078</v>
          </cell>
          <cell r="J465">
            <v>236540</v>
          </cell>
          <cell r="K465">
            <v>31968</v>
          </cell>
          <cell r="L465">
            <v>62891</v>
          </cell>
          <cell r="N465">
            <v>162654</v>
          </cell>
          <cell r="P465">
            <v>11205</v>
          </cell>
          <cell r="Q465">
            <v>218498</v>
          </cell>
          <cell r="R465">
            <v>3165626</v>
          </cell>
          <cell r="T465">
            <v>1846774</v>
          </cell>
          <cell r="X465">
            <v>1476489</v>
          </cell>
          <cell r="Y465">
            <v>162275</v>
          </cell>
          <cell r="Z465">
            <v>2320</v>
          </cell>
          <cell r="AA465">
            <v>1569</v>
          </cell>
          <cell r="AB465">
            <v>23662</v>
          </cell>
          <cell r="AC465">
            <v>4</v>
          </cell>
          <cell r="AD465">
            <v>12</v>
          </cell>
        </row>
        <row r="466">
          <cell r="C466">
            <v>3142695</v>
          </cell>
          <cell r="D466">
            <v>1470830</v>
          </cell>
          <cell r="E466">
            <v>993585</v>
          </cell>
          <cell r="F466">
            <v>273779</v>
          </cell>
          <cell r="G466">
            <v>86499</v>
          </cell>
          <cell r="I466">
            <v>2058</v>
          </cell>
          <cell r="J466">
            <v>266787</v>
          </cell>
          <cell r="K466">
            <v>65435</v>
          </cell>
          <cell r="L466">
            <v>70221</v>
          </cell>
          <cell r="N466">
            <v>92857</v>
          </cell>
          <cell r="P466">
            <v>13896</v>
          </cell>
          <cell r="Q466">
            <v>210150</v>
          </cell>
          <cell r="R466">
            <v>3459598</v>
          </cell>
          <cell r="T466">
            <v>1955423</v>
          </cell>
          <cell r="X466">
            <v>1552943</v>
          </cell>
          <cell r="Y466">
            <v>171432</v>
          </cell>
          <cell r="Z466">
            <v>2403</v>
          </cell>
          <cell r="AA466">
            <v>1570</v>
          </cell>
          <cell r="AB466">
            <v>24897</v>
          </cell>
          <cell r="AC466">
            <v>4</v>
          </cell>
          <cell r="AD466">
            <v>11</v>
          </cell>
        </row>
        <row r="467">
          <cell r="C467">
            <v>3454057</v>
          </cell>
          <cell r="D467">
            <v>1706527</v>
          </cell>
          <cell r="E467">
            <v>1057287</v>
          </cell>
          <cell r="F467">
            <v>285459</v>
          </cell>
          <cell r="G467">
            <v>95664</v>
          </cell>
          <cell r="I467">
            <v>2050</v>
          </cell>
          <cell r="J467">
            <v>281072</v>
          </cell>
          <cell r="K467">
            <v>57832</v>
          </cell>
          <cell r="L467">
            <v>63830</v>
          </cell>
          <cell r="N467">
            <v>207030</v>
          </cell>
          <cell r="P467">
            <v>13023</v>
          </cell>
          <cell r="Q467">
            <v>290501</v>
          </cell>
          <cell r="R467">
            <v>3964611</v>
          </cell>
          <cell r="T467">
            <v>2107797</v>
          </cell>
          <cell r="X467">
            <v>1484817</v>
          </cell>
          <cell r="Y467">
            <v>164961</v>
          </cell>
          <cell r="Z467">
            <v>2337</v>
          </cell>
          <cell r="AA467">
            <v>1562</v>
          </cell>
          <cell r="AB467">
            <v>24008</v>
          </cell>
          <cell r="AC467">
            <v>4</v>
          </cell>
          <cell r="AD467">
            <v>11</v>
          </cell>
        </row>
        <row r="468">
          <cell r="C468">
            <v>3732543</v>
          </cell>
          <cell r="D468">
            <v>1908035</v>
          </cell>
          <cell r="E468">
            <v>1105187</v>
          </cell>
          <cell r="F468">
            <v>273508</v>
          </cell>
          <cell r="G468">
            <v>89215</v>
          </cell>
          <cell r="I468">
            <v>2051</v>
          </cell>
          <cell r="J468">
            <v>269906</v>
          </cell>
          <cell r="K468">
            <v>89037</v>
          </cell>
          <cell r="L468">
            <v>84819</v>
          </cell>
          <cell r="N468">
            <v>-27386</v>
          </cell>
          <cell r="P468">
            <v>12223</v>
          </cell>
          <cell r="Q468">
            <v>265906</v>
          </cell>
          <cell r="R468">
            <v>3983286</v>
          </cell>
          <cell r="T468">
            <v>2128523</v>
          </cell>
          <cell r="X468">
            <v>1484608</v>
          </cell>
          <cell r="Y468">
            <v>166872</v>
          </cell>
          <cell r="Z468">
            <v>2361</v>
          </cell>
          <cell r="AA468">
            <v>1563</v>
          </cell>
          <cell r="AB468">
            <v>24336</v>
          </cell>
          <cell r="AC468">
            <v>4</v>
          </cell>
          <cell r="AD468">
            <v>11</v>
          </cell>
        </row>
        <row r="469">
          <cell r="C469">
            <v>3608097</v>
          </cell>
          <cell r="D469">
            <v>1820620</v>
          </cell>
          <cell r="E469">
            <v>1098100</v>
          </cell>
          <cell r="F469">
            <v>279816</v>
          </cell>
          <cell r="G469">
            <v>92900</v>
          </cell>
          <cell r="I469">
            <v>2038</v>
          </cell>
          <cell r="J469">
            <v>278261</v>
          </cell>
          <cell r="K469">
            <v>53302</v>
          </cell>
          <cell r="L469">
            <v>75960</v>
          </cell>
          <cell r="N469">
            <v>358557</v>
          </cell>
          <cell r="P469">
            <v>9628</v>
          </cell>
          <cell r="Q469">
            <v>306803</v>
          </cell>
          <cell r="R469">
            <v>4283085</v>
          </cell>
          <cell r="T469">
            <v>2448403</v>
          </cell>
          <cell r="X469">
            <v>1402771</v>
          </cell>
          <cell r="Y469">
            <v>159944</v>
          </cell>
          <cell r="Z469">
            <v>2296</v>
          </cell>
          <cell r="AA469">
            <v>1559</v>
          </cell>
          <cell r="AB469">
            <v>23404</v>
          </cell>
          <cell r="AC469">
            <v>4</v>
          </cell>
          <cell r="AD469">
            <v>12</v>
          </cell>
        </row>
        <row r="470">
          <cell r="C470">
            <v>3867230</v>
          </cell>
          <cell r="D470">
            <v>1983817</v>
          </cell>
          <cell r="E470">
            <v>1130530</v>
          </cell>
          <cell r="F470">
            <v>273491</v>
          </cell>
          <cell r="G470">
            <v>82893</v>
          </cell>
          <cell r="I470">
            <v>2046</v>
          </cell>
          <cell r="J470">
            <v>310836</v>
          </cell>
          <cell r="K470">
            <v>73837</v>
          </cell>
          <cell r="L470">
            <v>92673</v>
          </cell>
          <cell r="N470">
            <v>-280720</v>
          </cell>
          <cell r="P470">
            <v>14904</v>
          </cell>
          <cell r="Q470">
            <v>259372</v>
          </cell>
          <cell r="R470">
            <v>3860786</v>
          </cell>
          <cell r="T470">
            <v>2177675</v>
          </cell>
          <cell r="X470">
            <v>1477554</v>
          </cell>
          <cell r="Y470">
            <v>165753</v>
          </cell>
          <cell r="Z470">
            <v>2314</v>
          </cell>
          <cell r="AA470">
            <v>1561</v>
          </cell>
          <cell r="AB470">
            <v>24074</v>
          </cell>
          <cell r="AC470">
            <v>4</v>
          </cell>
          <cell r="AD470">
            <v>12</v>
          </cell>
        </row>
        <row r="471">
          <cell r="C471">
            <v>3538479</v>
          </cell>
          <cell r="D471">
            <v>1774337</v>
          </cell>
          <cell r="E471">
            <v>1069777</v>
          </cell>
          <cell r="F471">
            <v>248953</v>
          </cell>
          <cell r="G471">
            <v>76613</v>
          </cell>
          <cell r="I471">
            <v>2099</v>
          </cell>
          <cell r="J471">
            <v>289227</v>
          </cell>
          <cell r="K471">
            <v>73628</v>
          </cell>
          <cell r="L471">
            <v>80458</v>
          </cell>
          <cell r="N471">
            <v>-253258</v>
          </cell>
          <cell r="P471">
            <v>8321</v>
          </cell>
          <cell r="Q471">
            <v>223385</v>
          </cell>
          <cell r="R471">
            <v>3516927</v>
          </cell>
          <cell r="T471">
            <v>1937881</v>
          </cell>
          <cell r="X471">
            <v>1491852</v>
          </cell>
          <cell r="Y471">
            <v>166811</v>
          </cell>
          <cell r="Z471">
            <v>2324</v>
          </cell>
          <cell r="AA471">
            <v>1561</v>
          </cell>
          <cell r="AB471">
            <v>24302</v>
          </cell>
          <cell r="AC471">
            <v>4</v>
          </cell>
          <cell r="AD471">
            <v>12</v>
          </cell>
        </row>
        <row r="472">
          <cell r="C472">
            <v>3083421</v>
          </cell>
          <cell r="D472">
            <v>1419737</v>
          </cell>
          <cell r="E472">
            <v>960526</v>
          </cell>
          <cell r="F472">
            <v>288444</v>
          </cell>
          <cell r="G472">
            <v>94849</v>
          </cell>
          <cell r="I472">
            <v>2053</v>
          </cell>
          <cell r="J472">
            <v>272013</v>
          </cell>
          <cell r="K472">
            <v>59558</v>
          </cell>
          <cell r="L472">
            <v>81090</v>
          </cell>
          <cell r="N472">
            <v>-312646</v>
          </cell>
          <cell r="P472">
            <v>13310</v>
          </cell>
          <cell r="Q472">
            <v>127639</v>
          </cell>
          <cell r="R472">
            <v>2911724</v>
          </cell>
          <cell r="T472">
            <v>1667763</v>
          </cell>
          <cell r="X472">
            <v>1575906</v>
          </cell>
          <cell r="Y472">
            <v>174953</v>
          </cell>
          <cell r="Z472">
            <v>2431</v>
          </cell>
          <cell r="AA472">
            <v>1562</v>
          </cell>
          <cell r="AB472">
            <v>25319</v>
          </cell>
          <cell r="AC472">
            <v>4</v>
          </cell>
          <cell r="AD472">
            <v>10</v>
          </cell>
        </row>
        <row r="473">
          <cell r="C473">
            <v>2905340</v>
          </cell>
          <cell r="D473">
            <v>1366063</v>
          </cell>
          <cell r="E473">
            <v>922218</v>
          </cell>
          <cell r="F473">
            <v>260213</v>
          </cell>
          <cell r="G473">
            <v>90419</v>
          </cell>
          <cell r="I473">
            <v>2132</v>
          </cell>
          <cell r="J473">
            <v>252543</v>
          </cell>
          <cell r="K473">
            <v>29447</v>
          </cell>
          <cell r="L473">
            <v>72724</v>
          </cell>
          <cell r="N473">
            <v>-138679</v>
          </cell>
          <cell r="P473">
            <v>21529</v>
          </cell>
          <cell r="Q473">
            <v>179236</v>
          </cell>
          <cell r="R473">
            <v>2967426</v>
          </cell>
          <cell r="T473">
            <v>1533817</v>
          </cell>
          <cell r="X473">
            <v>1656929</v>
          </cell>
          <cell r="Y473">
            <v>175057</v>
          </cell>
          <cell r="Z473">
            <v>2315</v>
          </cell>
          <cell r="AA473">
            <v>1562</v>
          </cell>
          <cell r="AB473">
            <v>25281</v>
          </cell>
          <cell r="AC473">
            <v>4</v>
          </cell>
          <cell r="AD473">
            <v>11</v>
          </cell>
        </row>
      </sheetData>
      <sheetData sheetId="1">
        <row r="225">
          <cell r="D225">
            <v>6167</v>
          </cell>
        </row>
      </sheetData>
      <sheetData sheetId="2"/>
      <sheetData sheetId="3">
        <row r="20">
          <cell r="D20">
            <v>11065591</v>
          </cell>
        </row>
      </sheetData>
      <sheetData sheetId="4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FCST"/>
      <sheetName val="Comparison"/>
      <sheetName val="Charts"/>
    </sheetNames>
    <sheetDataSet>
      <sheetData sheetId="0">
        <row r="3">
          <cell r="BD3">
            <v>1300136</v>
          </cell>
        </row>
        <row r="563">
          <cell r="D563">
            <v>1479346</v>
          </cell>
        </row>
        <row r="564">
          <cell r="D564">
            <v>1499899</v>
          </cell>
        </row>
        <row r="565">
          <cell r="D565">
            <v>1523357</v>
          </cell>
        </row>
        <row r="566">
          <cell r="D566">
            <v>1546024</v>
          </cell>
        </row>
        <row r="567">
          <cell r="D567">
            <v>1569459</v>
          </cell>
        </row>
        <row r="568">
          <cell r="D568">
            <v>1593365</v>
          </cell>
        </row>
        <row r="569">
          <cell r="D569">
            <v>1617438</v>
          </cell>
        </row>
        <row r="570">
          <cell r="D570">
            <v>1641383</v>
          </cell>
        </row>
        <row r="571">
          <cell r="D571">
            <v>1664955</v>
          </cell>
        </row>
        <row r="572">
          <cell r="D572">
            <v>1688154</v>
          </cell>
        </row>
        <row r="573">
          <cell r="D573">
            <v>1711040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THLY"/>
    </sheetNames>
    <sheetDataSet>
      <sheetData sheetId="0">
        <row r="7">
          <cell r="AL7">
            <v>90155</v>
          </cell>
          <cell r="AM7">
            <v>50714</v>
          </cell>
        </row>
        <row r="8">
          <cell r="AL8">
            <v>10149</v>
          </cell>
          <cell r="AM8">
            <v>68201</v>
          </cell>
        </row>
        <row r="9">
          <cell r="AL9">
            <v>-3287</v>
          </cell>
          <cell r="AM9">
            <v>59775</v>
          </cell>
        </row>
        <row r="10">
          <cell r="AL10">
            <v>16239</v>
          </cell>
          <cell r="AM10">
            <v>55072</v>
          </cell>
        </row>
        <row r="11">
          <cell r="AL11">
            <v>44925</v>
          </cell>
          <cell r="AM11">
            <v>87080</v>
          </cell>
        </row>
        <row r="12">
          <cell r="AL12">
            <v>92030</v>
          </cell>
          <cell r="AM12">
            <v>87983</v>
          </cell>
        </row>
        <row r="13">
          <cell r="AL13">
            <v>138133</v>
          </cell>
          <cell r="AM13">
            <v>109870</v>
          </cell>
        </row>
        <row r="14">
          <cell r="AL14">
            <v>140924</v>
          </cell>
          <cell r="AM14">
            <v>111523</v>
          </cell>
        </row>
        <row r="15">
          <cell r="AL15">
            <v>123161</v>
          </cell>
          <cell r="AM15">
            <v>117577</v>
          </cell>
        </row>
        <row r="16">
          <cell r="AL16">
            <v>43987</v>
          </cell>
          <cell r="AM16">
            <v>74623</v>
          </cell>
        </row>
        <row r="17">
          <cell r="AL17">
            <v>91781</v>
          </cell>
          <cell r="AM17">
            <v>103567</v>
          </cell>
        </row>
        <row r="18">
          <cell r="AL18">
            <v>-13518</v>
          </cell>
          <cell r="AM18">
            <v>49502</v>
          </cell>
        </row>
        <row r="19">
          <cell r="AL19">
            <v>42511</v>
          </cell>
          <cell r="AM19">
            <v>71790</v>
          </cell>
        </row>
        <row r="20">
          <cell r="AL20">
            <v>44145</v>
          </cell>
          <cell r="AM20">
            <v>71536</v>
          </cell>
        </row>
        <row r="21">
          <cell r="AL21">
            <v>42297</v>
          </cell>
          <cell r="AM21">
            <v>71658</v>
          </cell>
        </row>
        <row r="22">
          <cell r="AL22">
            <v>17144</v>
          </cell>
          <cell r="AM22">
            <v>83172</v>
          </cell>
        </row>
        <row r="23">
          <cell r="AL23">
            <v>104197</v>
          </cell>
          <cell r="AM23">
            <v>100841</v>
          </cell>
        </row>
        <row r="24">
          <cell r="AL24">
            <v>228227</v>
          </cell>
          <cell r="AM24">
            <v>104130</v>
          </cell>
        </row>
        <row r="25">
          <cell r="AL25">
            <v>219269</v>
          </cell>
          <cell r="AM25">
            <v>202370</v>
          </cell>
        </row>
        <row r="26">
          <cell r="AL26">
            <v>184281</v>
          </cell>
          <cell r="AM26">
            <v>140506</v>
          </cell>
        </row>
        <row r="27">
          <cell r="AL27">
            <v>127056</v>
          </cell>
          <cell r="AM27">
            <v>95496</v>
          </cell>
        </row>
        <row r="28">
          <cell r="AL28">
            <v>76670</v>
          </cell>
          <cell r="AM28">
            <v>82717</v>
          </cell>
        </row>
        <row r="29">
          <cell r="AL29">
            <v>18295</v>
          </cell>
          <cell r="AM29">
            <v>78731</v>
          </cell>
        </row>
        <row r="30">
          <cell r="AL30">
            <v>38424</v>
          </cell>
          <cell r="AM30">
            <v>52948</v>
          </cell>
        </row>
        <row r="31">
          <cell r="AL31">
            <v>1262</v>
          </cell>
          <cell r="AM31">
            <v>85579</v>
          </cell>
        </row>
        <row r="32">
          <cell r="AL32">
            <v>4605</v>
          </cell>
          <cell r="AM32">
            <v>53417</v>
          </cell>
        </row>
        <row r="33">
          <cell r="AL33">
            <v>205287</v>
          </cell>
          <cell r="AM33">
            <v>52782</v>
          </cell>
        </row>
        <row r="34">
          <cell r="AL34">
            <v>262251</v>
          </cell>
          <cell r="AM34">
            <v>57261</v>
          </cell>
        </row>
        <row r="35">
          <cell r="AL35">
            <v>147726</v>
          </cell>
          <cell r="AM35">
            <v>134902</v>
          </cell>
        </row>
        <row r="36">
          <cell r="AL36">
            <v>186526</v>
          </cell>
          <cell r="AM36">
            <v>99175</v>
          </cell>
        </row>
        <row r="37">
          <cell r="AL37">
            <v>267721</v>
          </cell>
          <cell r="AM37">
            <v>186216</v>
          </cell>
        </row>
        <row r="38">
          <cell r="AL38">
            <v>287453</v>
          </cell>
          <cell r="AM38">
            <v>169677</v>
          </cell>
        </row>
        <row r="39">
          <cell r="AL39">
            <v>154986</v>
          </cell>
          <cell r="AM39">
            <v>154783</v>
          </cell>
        </row>
        <row r="40">
          <cell r="AL40">
            <v>279337</v>
          </cell>
          <cell r="AM40">
            <v>142820</v>
          </cell>
        </row>
        <row r="41">
          <cell r="AL41">
            <v>127922</v>
          </cell>
          <cell r="AM41">
            <v>90857</v>
          </cell>
        </row>
        <row r="42">
          <cell r="AL42">
            <v>158967</v>
          </cell>
          <cell r="AM42">
            <v>87644</v>
          </cell>
        </row>
        <row r="43">
          <cell r="AL43">
            <v>172135</v>
          </cell>
          <cell r="AM43">
            <v>101571</v>
          </cell>
        </row>
        <row r="44">
          <cell r="AL44">
            <v>117007</v>
          </cell>
          <cell r="AM44">
            <v>63116</v>
          </cell>
        </row>
        <row r="45">
          <cell r="AL45">
            <v>138898</v>
          </cell>
          <cell r="AM45">
            <v>91289</v>
          </cell>
        </row>
        <row r="46">
          <cell r="AL46">
            <v>136633</v>
          </cell>
          <cell r="AM46">
            <v>83100</v>
          </cell>
        </row>
        <row r="47">
          <cell r="AL47">
            <v>218715</v>
          </cell>
          <cell r="AM47">
            <v>97523</v>
          </cell>
        </row>
        <row r="48">
          <cell r="AL48">
            <v>253247</v>
          </cell>
          <cell r="AM48">
            <v>114584</v>
          </cell>
        </row>
        <row r="49">
          <cell r="AL49">
            <v>301452</v>
          </cell>
          <cell r="AM49">
            <v>149411</v>
          </cell>
        </row>
        <row r="50">
          <cell r="AL50">
            <v>305097</v>
          </cell>
          <cell r="AM50">
            <v>110277</v>
          </cell>
        </row>
        <row r="51">
          <cell r="AL51">
            <v>231184</v>
          </cell>
          <cell r="AM51">
            <v>119300</v>
          </cell>
        </row>
        <row r="52">
          <cell r="AL52">
            <v>261981</v>
          </cell>
          <cell r="AM52">
            <v>109747</v>
          </cell>
        </row>
        <row r="53">
          <cell r="AL53">
            <v>219904</v>
          </cell>
          <cell r="AM53">
            <v>80833</v>
          </cell>
        </row>
        <row r="54">
          <cell r="AL54">
            <v>249921</v>
          </cell>
          <cell r="AM54">
            <v>118947</v>
          </cell>
        </row>
        <row r="55">
          <cell r="AL55">
            <v>242176</v>
          </cell>
          <cell r="AM55">
            <v>51936</v>
          </cell>
        </row>
        <row r="56">
          <cell r="AL56">
            <v>67169</v>
          </cell>
          <cell r="AM56">
            <v>89726</v>
          </cell>
        </row>
        <row r="57">
          <cell r="AL57">
            <v>177979</v>
          </cell>
          <cell r="AM57">
            <v>92446</v>
          </cell>
        </row>
        <row r="58">
          <cell r="AL58">
            <v>234424</v>
          </cell>
          <cell r="AM58">
            <v>70613</v>
          </cell>
        </row>
        <row r="59">
          <cell r="AL59">
            <v>173704</v>
          </cell>
          <cell r="AM59">
            <v>167596</v>
          </cell>
        </row>
        <row r="60">
          <cell r="AL60">
            <v>217501</v>
          </cell>
          <cell r="AM60">
            <v>113199</v>
          </cell>
        </row>
        <row r="61">
          <cell r="AL61">
            <v>231919</v>
          </cell>
          <cell r="AM61">
            <v>161687</v>
          </cell>
        </row>
        <row r="62">
          <cell r="AL62">
            <v>304498</v>
          </cell>
          <cell r="AM62">
            <v>123174</v>
          </cell>
        </row>
        <row r="63">
          <cell r="AL63">
            <v>199125</v>
          </cell>
          <cell r="AM63">
            <v>153308</v>
          </cell>
        </row>
        <row r="64">
          <cell r="AL64">
            <v>203286</v>
          </cell>
          <cell r="AM64">
            <v>118465</v>
          </cell>
        </row>
        <row r="65">
          <cell r="AL65">
            <v>154769</v>
          </cell>
          <cell r="AM65">
            <v>119011</v>
          </cell>
        </row>
        <row r="66">
          <cell r="AL66">
            <v>110705</v>
          </cell>
          <cell r="AM66">
            <v>100793</v>
          </cell>
        </row>
        <row r="67">
          <cell r="AL67">
            <v>61691</v>
          </cell>
          <cell r="AM67">
            <v>143703</v>
          </cell>
        </row>
        <row r="68">
          <cell r="AL68">
            <v>23982</v>
          </cell>
          <cell r="AM68">
            <v>131324</v>
          </cell>
        </row>
        <row r="69">
          <cell r="AL69">
            <v>66581</v>
          </cell>
          <cell r="AM69">
            <v>175482</v>
          </cell>
        </row>
        <row r="70">
          <cell r="AL70">
            <v>105138</v>
          </cell>
          <cell r="AM70">
            <v>186101</v>
          </cell>
        </row>
        <row r="71">
          <cell r="AL71">
            <v>115851</v>
          </cell>
          <cell r="AM71">
            <v>202515</v>
          </cell>
        </row>
        <row r="72">
          <cell r="AL72">
            <v>82403</v>
          </cell>
          <cell r="AM72">
            <v>189811</v>
          </cell>
        </row>
        <row r="73">
          <cell r="AL73">
            <v>93543</v>
          </cell>
          <cell r="AM73">
            <v>212524</v>
          </cell>
        </row>
        <row r="74">
          <cell r="AL74">
            <v>72014</v>
          </cell>
          <cell r="AM74">
            <v>203492</v>
          </cell>
        </row>
        <row r="75">
          <cell r="AL75">
            <v>102152</v>
          </cell>
          <cell r="AM75">
            <v>222458</v>
          </cell>
        </row>
        <row r="76">
          <cell r="AL76">
            <v>104133</v>
          </cell>
          <cell r="AM76">
            <v>224086</v>
          </cell>
        </row>
        <row r="77">
          <cell r="AL77">
            <v>58527</v>
          </cell>
          <cell r="AM77">
            <v>188035</v>
          </cell>
        </row>
        <row r="78">
          <cell r="AL78">
            <v>79933</v>
          </cell>
          <cell r="AM78">
            <v>153848</v>
          </cell>
        </row>
        <row r="79">
          <cell r="AL79">
            <v>110020</v>
          </cell>
          <cell r="AM79">
            <v>184089</v>
          </cell>
        </row>
        <row r="80">
          <cell r="AL80">
            <v>37979</v>
          </cell>
          <cell r="AM80">
            <v>174332</v>
          </cell>
        </row>
        <row r="81">
          <cell r="AL81">
            <v>67090</v>
          </cell>
          <cell r="AM81">
            <v>207743</v>
          </cell>
        </row>
        <row r="82">
          <cell r="AL82">
            <v>54675</v>
          </cell>
          <cell r="AM82">
            <v>202285</v>
          </cell>
        </row>
        <row r="83">
          <cell r="AL83">
            <v>130201</v>
          </cell>
          <cell r="AM83">
            <v>125464</v>
          </cell>
        </row>
        <row r="84">
          <cell r="AL84">
            <v>106682</v>
          </cell>
          <cell r="AM84">
            <v>230137</v>
          </cell>
        </row>
        <row r="85">
          <cell r="AL85">
            <v>97974</v>
          </cell>
          <cell r="AM85">
            <v>228541</v>
          </cell>
        </row>
        <row r="86">
          <cell r="AL86">
            <v>95412</v>
          </cell>
          <cell r="AM86">
            <v>242356</v>
          </cell>
        </row>
        <row r="87">
          <cell r="AL87">
            <v>81079</v>
          </cell>
          <cell r="AM87">
            <v>225154</v>
          </cell>
        </row>
        <row r="88">
          <cell r="AL88">
            <v>68873</v>
          </cell>
          <cell r="AM88">
            <v>228474</v>
          </cell>
        </row>
        <row r="89">
          <cell r="AL89">
            <v>72920</v>
          </cell>
          <cell r="AM89">
            <v>203754</v>
          </cell>
        </row>
        <row r="90">
          <cell r="AL90">
            <v>88175</v>
          </cell>
          <cell r="AM90">
            <v>181428</v>
          </cell>
        </row>
        <row r="91">
          <cell r="AL91">
            <v>57928</v>
          </cell>
          <cell r="AM91">
            <v>205697</v>
          </cell>
        </row>
        <row r="92">
          <cell r="AL92">
            <v>95649</v>
          </cell>
          <cell r="AM92">
            <v>198336</v>
          </cell>
        </row>
        <row r="93">
          <cell r="AL93">
            <v>79069</v>
          </cell>
          <cell r="AM93">
            <v>199811</v>
          </cell>
        </row>
        <row r="94">
          <cell r="AL94">
            <v>73770</v>
          </cell>
          <cell r="AM94">
            <v>207399</v>
          </cell>
        </row>
        <row r="95">
          <cell r="AL95">
            <v>123373</v>
          </cell>
          <cell r="AM95">
            <v>218983</v>
          </cell>
        </row>
        <row r="96">
          <cell r="AL96">
            <v>113010</v>
          </cell>
          <cell r="AM96">
            <v>293703</v>
          </cell>
        </row>
        <row r="97">
          <cell r="AL97">
            <v>124192</v>
          </cell>
          <cell r="AM97">
            <v>372949</v>
          </cell>
        </row>
        <row r="98">
          <cell r="AL98">
            <v>120853</v>
          </cell>
          <cell r="AM98">
            <v>334926</v>
          </cell>
        </row>
        <row r="99">
          <cell r="AL99">
            <v>93988</v>
          </cell>
          <cell r="AM99">
            <v>341120</v>
          </cell>
        </row>
        <row r="100">
          <cell r="AL100">
            <v>73207</v>
          </cell>
          <cell r="AM100">
            <v>336158</v>
          </cell>
        </row>
        <row r="101">
          <cell r="AL101">
            <v>49498</v>
          </cell>
          <cell r="AM101">
            <v>299665</v>
          </cell>
        </row>
        <row r="102">
          <cell r="AL102">
            <v>60453</v>
          </cell>
          <cell r="AM102">
            <v>304991</v>
          </cell>
        </row>
        <row r="103">
          <cell r="AL103">
            <v>91581</v>
          </cell>
          <cell r="AM103">
            <v>312768</v>
          </cell>
        </row>
        <row r="104">
          <cell r="AL104">
            <v>158128</v>
          </cell>
          <cell r="AM104">
            <v>275979</v>
          </cell>
        </row>
        <row r="105">
          <cell r="AL105">
            <v>126612</v>
          </cell>
          <cell r="AM105">
            <v>382659</v>
          </cell>
        </row>
        <row r="106">
          <cell r="AL106">
            <v>106052</v>
          </cell>
          <cell r="AM106">
            <v>287220</v>
          </cell>
        </row>
        <row r="107">
          <cell r="AL107">
            <v>108409</v>
          </cell>
          <cell r="AM107">
            <v>281651</v>
          </cell>
        </row>
        <row r="108">
          <cell r="AL108">
            <v>121966</v>
          </cell>
          <cell r="AM108">
            <v>249974</v>
          </cell>
        </row>
        <row r="109">
          <cell r="AL109">
            <v>220283</v>
          </cell>
          <cell r="AM109">
            <v>316627</v>
          </cell>
        </row>
        <row r="110">
          <cell r="AL110">
            <v>207658</v>
          </cell>
          <cell r="AM110">
            <v>329864</v>
          </cell>
        </row>
        <row r="111">
          <cell r="AL111">
            <v>172426</v>
          </cell>
          <cell r="AM111">
            <v>293947</v>
          </cell>
        </row>
        <row r="112">
          <cell r="AL112">
            <v>141921</v>
          </cell>
          <cell r="AM112">
            <v>280258</v>
          </cell>
        </row>
        <row r="113">
          <cell r="AL113">
            <v>114450</v>
          </cell>
          <cell r="AM113">
            <v>236281</v>
          </cell>
        </row>
        <row r="114">
          <cell r="AL114">
            <v>143332</v>
          </cell>
          <cell r="AM114">
            <v>255108</v>
          </cell>
        </row>
        <row r="115">
          <cell r="AL115">
            <v>76399</v>
          </cell>
          <cell r="AM115">
            <v>190350</v>
          </cell>
        </row>
        <row r="116">
          <cell r="AL116">
            <v>87885.391999999993</v>
          </cell>
          <cell r="AM116">
            <v>182405.60800000001</v>
          </cell>
        </row>
        <row r="117">
          <cell r="AL117">
            <v>87752.827000000005</v>
          </cell>
          <cell r="AM117">
            <v>184100.17300000001</v>
          </cell>
        </row>
        <row r="118">
          <cell r="AL118">
            <v>57983.781000000003</v>
          </cell>
          <cell r="AM118">
            <v>197525.21899999998</v>
          </cell>
        </row>
        <row r="119">
          <cell r="AL119">
            <v>107360</v>
          </cell>
          <cell r="AM119">
            <v>215516</v>
          </cell>
        </row>
        <row r="120">
          <cell r="AL120">
            <v>168360</v>
          </cell>
          <cell r="AM120">
            <v>229857</v>
          </cell>
        </row>
        <row r="121">
          <cell r="AL121">
            <v>213370</v>
          </cell>
          <cell r="AM121">
            <v>270529</v>
          </cell>
        </row>
        <row r="122">
          <cell r="AL122">
            <v>238659</v>
          </cell>
          <cell r="AM122">
            <v>256464</v>
          </cell>
        </row>
        <row r="123">
          <cell r="AL123">
            <v>147712</v>
          </cell>
          <cell r="AM123">
            <v>242343</v>
          </cell>
        </row>
        <row r="124">
          <cell r="AL124">
            <v>164245</v>
          </cell>
          <cell r="AM124">
            <v>218480</v>
          </cell>
        </row>
        <row r="125">
          <cell r="AL125">
            <v>82375</v>
          </cell>
          <cell r="AM125">
            <v>190992</v>
          </cell>
        </row>
        <row r="126">
          <cell r="AL126">
            <v>130018</v>
          </cell>
          <cell r="AM126">
            <v>180193</v>
          </cell>
        </row>
        <row r="127">
          <cell r="AL127">
            <v>132321</v>
          </cell>
          <cell r="AM127">
            <v>202367</v>
          </cell>
        </row>
        <row r="128">
          <cell r="AL128">
            <v>194219</v>
          </cell>
          <cell r="AM128">
            <v>197764</v>
          </cell>
        </row>
        <row r="129">
          <cell r="AL129">
            <v>182894</v>
          </cell>
          <cell r="AM129">
            <v>237957</v>
          </cell>
        </row>
        <row r="130">
          <cell r="AL130">
            <v>215653</v>
          </cell>
          <cell r="AM130">
            <v>234611</v>
          </cell>
        </row>
        <row r="131">
          <cell r="AL131">
            <v>198661</v>
          </cell>
          <cell r="AM131">
            <v>253097</v>
          </cell>
        </row>
        <row r="132">
          <cell r="AL132">
            <v>271384</v>
          </cell>
          <cell r="AM132">
            <v>267515</v>
          </cell>
        </row>
        <row r="133">
          <cell r="AL133">
            <v>288595</v>
          </cell>
          <cell r="AM133">
            <v>287776</v>
          </cell>
        </row>
        <row r="134">
          <cell r="AL134">
            <v>339032</v>
          </cell>
          <cell r="AM134">
            <v>333871</v>
          </cell>
        </row>
        <row r="135">
          <cell r="AL135">
            <v>219684</v>
          </cell>
          <cell r="AM135">
            <v>272817</v>
          </cell>
        </row>
        <row r="136">
          <cell r="AL136">
            <v>248546</v>
          </cell>
          <cell r="AM136">
            <v>267336</v>
          </cell>
        </row>
        <row r="137">
          <cell r="AL137">
            <v>211103</v>
          </cell>
          <cell r="AM137">
            <v>227164</v>
          </cell>
        </row>
        <row r="138">
          <cell r="AL138">
            <v>155789</v>
          </cell>
          <cell r="AM138">
            <v>251342</v>
          </cell>
        </row>
        <row r="139">
          <cell r="AL139">
            <v>208686</v>
          </cell>
          <cell r="AM139">
            <v>268804</v>
          </cell>
        </row>
        <row r="140">
          <cell r="AL140">
            <v>173088</v>
          </cell>
          <cell r="AM140">
            <v>250466</v>
          </cell>
        </row>
        <row r="141">
          <cell r="AL141">
            <v>225576</v>
          </cell>
          <cell r="AM141">
            <v>318466</v>
          </cell>
        </row>
        <row r="142">
          <cell r="AL142">
            <v>417696</v>
          </cell>
          <cell r="AM142">
            <v>308615</v>
          </cell>
        </row>
        <row r="143">
          <cell r="AL143">
            <v>313925</v>
          </cell>
          <cell r="AM143">
            <v>328656</v>
          </cell>
        </row>
        <row r="144">
          <cell r="AL144">
            <v>320189</v>
          </cell>
          <cell r="AM144">
            <v>315201</v>
          </cell>
        </row>
        <row r="145">
          <cell r="AL145">
            <v>321307</v>
          </cell>
          <cell r="AM145">
            <v>352168</v>
          </cell>
        </row>
        <row r="146">
          <cell r="AL146">
            <v>280552</v>
          </cell>
          <cell r="AM146">
            <v>332836</v>
          </cell>
        </row>
        <row r="147">
          <cell r="AL147">
            <v>277284</v>
          </cell>
          <cell r="AM147">
            <v>371011</v>
          </cell>
        </row>
        <row r="148">
          <cell r="AL148">
            <v>101899</v>
          </cell>
          <cell r="AM148">
            <v>307768</v>
          </cell>
        </row>
        <row r="149">
          <cell r="AL149">
            <v>151892</v>
          </cell>
          <cell r="AM149">
            <v>271992</v>
          </cell>
        </row>
        <row r="150">
          <cell r="AL150">
            <v>117526</v>
          </cell>
          <cell r="AM150">
            <v>260144</v>
          </cell>
        </row>
        <row r="151">
          <cell r="AL151">
            <v>198457</v>
          </cell>
          <cell r="AM151">
            <v>263006</v>
          </cell>
        </row>
        <row r="152">
          <cell r="AL152">
            <v>137829</v>
          </cell>
          <cell r="AM152">
            <v>173034</v>
          </cell>
        </row>
        <row r="153">
          <cell r="AL153">
            <v>63954</v>
          </cell>
          <cell r="AM153">
            <v>154299</v>
          </cell>
        </row>
        <row r="154">
          <cell r="AL154">
            <v>38589</v>
          </cell>
          <cell r="AM154">
            <v>178570</v>
          </cell>
        </row>
        <row r="155">
          <cell r="AL155">
            <v>72085</v>
          </cell>
          <cell r="AM155">
            <v>210840</v>
          </cell>
        </row>
        <row r="156">
          <cell r="AL156">
            <v>140381</v>
          </cell>
          <cell r="AM156">
            <v>243642</v>
          </cell>
        </row>
        <row r="157">
          <cell r="AL157">
            <v>107835</v>
          </cell>
          <cell r="AM157">
            <v>256630</v>
          </cell>
        </row>
        <row r="158">
          <cell r="AL158">
            <v>118453</v>
          </cell>
          <cell r="AM158">
            <v>253597</v>
          </cell>
        </row>
        <row r="159">
          <cell r="AL159">
            <v>73226</v>
          </cell>
          <cell r="AM159">
            <v>180869</v>
          </cell>
        </row>
        <row r="160">
          <cell r="AL160">
            <v>105004</v>
          </cell>
          <cell r="AM160">
            <v>195155</v>
          </cell>
        </row>
        <row r="161">
          <cell r="AL161">
            <v>42001</v>
          </cell>
          <cell r="AM161">
            <v>83463</v>
          </cell>
        </row>
        <row r="162">
          <cell r="AL162">
            <v>43956</v>
          </cell>
          <cell r="AM162">
            <v>154286</v>
          </cell>
        </row>
        <row r="163">
          <cell r="AL163">
            <v>217673</v>
          </cell>
          <cell r="AM163">
            <v>186917</v>
          </cell>
        </row>
        <row r="164">
          <cell r="AL164">
            <v>113875</v>
          </cell>
          <cell r="AM164">
            <v>161873</v>
          </cell>
        </row>
        <row r="165">
          <cell r="AL165">
            <v>82231</v>
          </cell>
          <cell r="AM165">
            <v>151840</v>
          </cell>
        </row>
        <row r="166">
          <cell r="AL166">
            <v>53456</v>
          </cell>
          <cell r="AM166">
            <v>125113</v>
          </cell>
        </row>
        <row r="167">
          <cell r="AL167">
            <v>163464</v>
          </cell>
          <cell r="AM167">
            <v>207118</v>
          </cell>
        </row>
        <row r="168">
          <cell r="AL168">
            <v>197501</v>
          </cell>
          <cell r="AM168">
            <v>253439</v>
          </cell>
        </row>
        <row r="169">
          <cell r="AL169">
            <v>153573</v>
          </cell>
          <cell r="AM169">
            <v>279830</v>
          </cell>
        </row>
        <row r="170">
          <cell r="AL170">
            <v>146232</v>
          </cell>
          <cell r="AM170">
            <v>266146</v>
          </cell>
        </row>
        <row r="171">
          <cell r="AL171">
            <v>69272</v>
          </cell>
          <cell r="AM171">
            <v>210877</v>
          </cell>
        </row>
        <row r="172">
          <cell r="AL172">
            <v>21222</v>
          </cell>
          <cell r="AM172">
            <v>141732</v>
          </cell>
        </row>
        <row r="173">
          <cell r="AL173">
            <v>22139</v>
          </cell>
          <cell r="AM173">
            <v>94576</v>
          </cell>
        </row>
        <row r="174">
          <cell r="AL174">
            <v>159087</v>
          </cell>
          <cell r="AM174">
            <v>180140</v>
          </cell>
        </row>
        <row r="175">
          <cell r="AL175">
            <v>108114</v>
          </cell>
          <cell r="AM175">
            <v>135135</v>
          </cell>
        </row>
        <row r="176">
          <cell r="AL176">
            <v>36223</v>
          </cell>
          <cell r="AM176">
            <v>47310</v>
          </cell>
        </row>
        <row r="177">
          <cell r="AL177">
            <v>55680</v>
          </cell>
          <cell r="AM177">
            <v>75775</v>
          </cell>
        </row>
        <row r="178">
          <cell r="AL178">
            <v>136454</v>
          </cell>
          <cell r="AM178">
            <v>117570</v>
          </cell>
        </row>
        <row r="179">
          <cell r="AL179">
            <v>138432</v>
          </cell>
          <cell r="AM179">
            <v>122152</v>
          </cell>
        </row>
        <row r="180">
          <cell r="AL180">
            <v>150446</v>
          </cell>
          <cell r="AM180">
            <v>128348</v>
          </cell>
        </row>
        <row r="181">
          <cell r="AL181">
            <v>133772</v>
          </cell>
          <cell r="AM181">
            <v>149838</v>
          </cell>
        </row>
        <row r="182">
          <cell r="AL182">
            <v>155257</v>
          </cell>
          <cell r="AM182">
            <v>155069</v>
          </cell>
        </row>
        <row r="183">
          <cell r="AL183">
            <v>112574</v>
          </cell>
          <cell r="AM183">
            <v>132659</v>
          </cell>
        </row>
        <row r="184">
          <cell r="AL184">
            <v>86715</v>
          </cell>
          <cell r="AM184">
            <v>95419</v>
          </cell>
        </row>
        <row r="185">
          <cell r="AL185">
            <v>30910</v>
          </cell>
          <cell r="AM185">
            <v>75461</v>
          </cell>
        </row>
        <row r="186">
          <cell r="AL186">
            <v>115551</v>
          </cell>
          <cell r="AM186">
            <v>64819</v>
          </cell>
        </row>
        <row r="187">
          <cell r="AL187">
            <v>48394</v>
          </cell>
          <cell r="AM187">
            <v>72026</v>
          </cell>
        </row>
        <row r="188">
          <cell r="AL188">
            <v>60412</v>
          </cell>
          <cell r="AM188">
            <v>70341</v>
          </cell>
        </row>
        <row r="189">
          <cell r="AL189">
            <v>56654</v>
          </cell>
          <cell r="AM189">
            <v>69335</v>
          </cell>
        </row>
        <row r="190">
          <cell r="AL190">
            <v>47379</v>
          </cell>
          <cell r="AM190">
            <v>69603</v>
          </cell>
        </row>
        <row r="191">
          <cell r="AL191">
            <v>61180</v>
          </cell>
          <cell r="AM191">
            <v>86176</v>
          </cell>
        </row>
        <row r="192">
          <cell r="AL192">
            <v>58558</v>
          </cell>
          <cell r="AM192">
            <v>94372</v>
          </cell>
        </row>
        <row r="193">
          <cell r="AL193">
            <v>127592</v>
          </cell>
          <cell r="AM193">
            <v>121299</v>
          </cell>
        </row>
        <row r="194">
          <cell r="AL194">
            <v>97980</v>
          </cell>
          <cell r="AM194">
            <v>110485</v>
          </cell>
        </row>
        <row r="195">
          <cell r="AL195">
            <v>67573</v>
          </cell>
          <cell r="AM195">
            <v>107751</v>
          </cell>
        </row>
        <row r="196">
          <cell r="AL196">
            <v>60952</v>
          </cell>
          <cell r="AM196">
            <v>99718</v>
          </cell>
        </row>
        <row r="197">
          <cell r="AL197">
            <v>20982</v>
          </cell>
          <cell r="AM197">
            <v>64530</v>
          </cell>
        </row>
        <row r="198">
          <cell r="AL198">
            <v>50473</v>
          </cell>
          <cell r="AM198">
            <v>77629</v>
          </cell>
        </row>
        <row r="199">
          <cell r="AL199">
            <v>10186</v>
          </cell>
          <cell r="AM199">
            <v>65209</v>
          </cell>
        </row>
        <row r="200">
          <cell r="AL200">
            <v>33306</v>
          </cell>
          <cell r="AM200">
            <v>38055</v>
          </cell>
        </row>
        <row r="201">
          <cell r="AL201">
            <v>30472</v>
          </cell>
          <cell r="AM201">
            <v>60105</v>
          </cell>
        </row>
        <row r="202">
          <cell r="AL202">
            <v>62931</v>
          </cell>
          <cell r="AM202">
            <v>76648</v>
          </cell>
        </row>
        <row r="203">
          <cell r="AL203">
            <v>60459</v>
          </cell>
          <cell r="AM203">
            <v>59405</v>
          </cell>
        </row>
        <row r="204">
          <cell r="AL204">
            <v>93927</v>
          </cell>
          <cell r="AM204">
            <v>82391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Wh"/>
      <sheetName val="Rev"/>
      <sheetName val="Sheet1"/>
    </sheetNames>
    <sheetDataSet>
      <sheetData sheetId="0">
        <row r="7">
          <cell r="AJ7">
            <v>26311.895629762323</v>
          </cell>
          <cell r="AK7">
            <v>-45900.240383226366</v>
          </cell>
          <cell r="AL7">
            <v>8486.2683277753531</v>
          </cell>
          <cell r="AM7">
            <v>87.294744405064648</v>
          </cell>
          <cell r="AN7">
            <v>-20076.218318716303</v>
          </cell>
        </row>
        <row r="8">
          <cell r="AJ8">
            <v>-124554.25771287957</v>
          </cell>
          <cell r="AK8">
            <v>-52001.034361753729</v>
          </cell>
          <cell r="AL8">
            <v>-19099.282967098959</v>
          </cell>
          <cell r="AM8">
            <v>-153.39535851081291</v>
          </cell>
          <cell r="AN8">
            <v>-6351.0295997568173</v>
          </cell>
        </row>
        <row r="9">
          <cell r="AJ9">
            <v>33451.914473198005</v>
          </cell>
          <cell r="AK9">
            <v>92877.382821082778</v>
          </cell>
          <cell r="AL9">
            <v>16618.7194694668</v>
          </cell>
          <cell r="AM9">
            <v>413.51161355408976</v>
          </cell>
          <cell r="AN9">
            <v>19197.471622698198</v>
          </cell>
        </row>
        <row r="10">
          <cell r="AJ10">
            <v>-54856.98712422722</v>
          </cell>
          <cell r="AK10">
            <v>-18817.415140485915</v>
          </cell>
          <cell r="AL10">
            <v>-9188.3053899534279</v>
          </cell>
          <cell r="AM10">
            <v>-356.16223669596843</v>
          </cell>
          <cell r="AN10">
            <v>-7111.130108637386</v>
          </cell>
        </row>
        <row r="11">
          <cell r="AJ11">
            <v>198346.50791570032</v>
          </cell>
          <cell r="AK11">
            <v>116543.3425202308</v>
          </cell>
          <cell r="AL11">
            <v>63931.557109656278</v>
          </cell>
          <cell r="AM11">
            <v>503.07984220438766</v>
          </cell>
          <cell r="AN11">
            <v>31954.512612208069</v>
          </cell>
        </row>
        <row r="12">
          <cell r="AJ12">
            <v>137464.29413698229</v>
          </cell>
          <cell r="AK12">
            <v>19747.508585598785</v>
          </cell>
          <cell r="AL12">
            <v>-15488.080905163661</v>
          </cell>
          <cell r="AM12">
            <v>-176.3076349038256</v>
          </cell>
          <cell r="AN12">
            <v>-945.41418251357391</v>
          </cell>
        </row>
        <row r="13">
          <cell r="AJ13">
            <v>86221.299378226046</v>
          </cell>
          <cell r="AK13">
            <v>-370.69196377589833</v>
          </cell>
          <cell r="AL13">
            <v>-25472.82951156504</v>
          </cell>
          <cell r="AM13">
            <v>-107.23185528254839</v>
          </cell>
          <cell r="AN13">
            <v>-10608.546047602562</v>
          </cell>
        </row>
        <row r="14">
          <cell r="AJ14">
            <v>104183.95792511816</v>
          </cell>
          <cell r="AK14">
            <v>43408.707187050371</v>
          </cell>
          <cell r="AL14">
            <v>19688.873484117619</v>
          </cell>
          <cell r="AM14">
            <v>151.50050317480736</v>
          </cell>
          <cell r="AN14">
            <v>15649.960900539169</v>
          </cell>
        </row>
        <row r="15">
          <cell r="AJ15">
            <v>-94360.381438710028</v>
          </cell>
          <cell r="AK15">
            <v>-37963.533349266974</v>
          </cell>
          <cell r="AL15">
            <v>-24000.952424782445</v>
          </cell>
          <cell r="AM15">
            <v>-140.79464716937377</v>
          </cell>
          <cell r="AN15">
            <v>-1479.3381400711951</v>
          </cell>
        </row>
        <row r="16">
          <cell r="AJ16">
            <v>-222853.58988957852</v>
          </cell>
          <cell r="AK16">
            <v>-94642.367780943052</v>
          </cell>
          <cell r="AL16">
            <v>-24594.094129070872</v>
          </cell>
          <cell r="AM16">
            <v>-200.29241121863856</v>
          </cell>
          <cell r="AN16">
            <v>-20012.655789188924</v>
          </cell>
        </row>
        <row r="17">
          <cell r="AJ17">
            <v>-166102.1772463154</v>
          </cell>
          <cell r="AK17">
            <v>-20126.24859081977</v>
          </cell>
          <cell r="AL17">
            <v>12448.549152004853</v>
          </cell>
          <cell r="AM17">
            <v>83.291111645571618</v>
          </cell>
          <cell r="AN17">
            <v>-4617.4144265152718</v>
          </cell>
        </row>
        <row r="18">
          <cell r="AJ18">
            <v>98134.186804784462</v>
          </cell>
          <cell r="AK18">
            <v>9774.3732958819019</v>
          </cell>
          <cell r="AL18">
            <v>-22437.865880443744</v>
          </cell>
          <cell r="AM18">
            <v>168.90299836331337</v>
          </cell>
          <cell r="AN18">
            <v>4381.40278141413</v>
          </cell>
        </row>
        <row r="19">
          <cell r="AJ19">
            <v>-8123.4064482290996</v>
          </cell>
          <cell r="AK19">
            <v>-64813.389215084841</v>
          </cell>
          <cell r="AL19">
            <v>-4452.2736706238938</v>
          </cell>
          <cell r="AM19">
            <v>-280.99455916575857</v>
          </cell>
          <cell r="AN19">
            <v>-22249.936106896464</v>
          </cell>
        </row>
        <row r="20">
          <cell r="AJ20">
            <v>-44958.440905549796</v>
          </cell>
          <cell r="AK20">
            <v>-16722.170068642881</v>
          </cell>
          <cell r="AL20">
            <v>732.96293287820299</v>
          </cell>
          <cell r="AM20">
            <v>131.65871180968134</v>
          </cell>
          <cell r="AN20">
            <v>-103.01067049513222</v>
          </cell>
        </row>
        <row r="21">
          <cell r="AJ21">
            <v>51186.273815396358</v>
          </cell>
          <cell r="AK21">
            <v>53870.200479827879</v>
          </cell>
          <cell r="AL21">
            <v>34601.111600882461</v>
          </cell>
          <cell r="AM21">
            <v>135.03450383002769</v>
          </cell>
          <cell r="AN21">
            <v>19441.379600063126</v>
          </cell>
        </row>
        <row r="22">
          <cell r="AJ22">
            <v>-63147.088751173462</v>
          </cell>
          <cell r="AK22">
            <v>11782.429525403306</v>
          </cell>
          <cell r="AL22">
            <v>1116.9718006623443</v>
          </cell>
          <cell r="AM22">
            <v>-113.5057905778624</v>
          </cell>
          <cell r="AN22">
            <v>-7011.8067843141616</v>
          </cell>
        </row>
        <row r="23">
          <cell r="AJ23">
            <v>172273.27713581792</v>
          </cell>
          <cell r="AK23">
            <v>154627.65415274026</v>
          </cell>
          <cell r="AL23">
            <v>54195.420711928484</v>
          </cell>
          <cell r="AM23">
            <v>309.02796812108522</v>
          </cell>
          <cell r="AN23">
            <v>33594.620031392144</v>
          </cell>
        </row>
        <row r="24">
          <cell r="AJ24">
            <v>288846.10080643697</v>
          </cell>
          <cell r="AK24">
            <v>40016.707979067462</v>
          </cell>
          <cell r="AL24">
            <v>-13789.160405050614</v>
          </cell>
          <cell r="AM24">
            <v>-128.35509299831119</v>
          </cell>
          <cell r="AN24">
            <v>8619.7067125448084</v>
          </cell>
        </row>
        <row r="25">
          <cell r="AJ25">
            <v>-10487.47699029604</v>
          </cell>
          <cell r="AK25">
            <v>-48926.72830515902</v>
          </cell>
          <cell r="AL25">
            <v>-33174.335894355609</v>
          </cell>
          <cell r="AM25">
            <v>-139.27305699912995</v>
          </cell>
          <cell r="AN25">
            <v>-17499.185753190468</v>
          </cell>
        </row>
        <row r="26">
          <cell r="AJ26">
            <v>60545.553351933835</v>
          </cell>
          <cell r="AK26">
            <v>63438.00157352793</v>
          </cell>
          <cell r="AL26">
            <v>27575.170126762823</v>
          </cell>
          <cell r="AM26">
            <v>43.271848597802091</v>
          </cell>
          <cell r="AN26">
            <v>14870.003099177658</v>
          </cell>
        </row>
        <row r="27">
          <cell r="AJ27">
            <v>-81551.327948499937</v>
          </cell>
          <cell r="AK27">
            <v>-49805.938401804538</v>
          </cell>
          <cell r="AL27">
            <v>-6077.6973295223725</v>
          </cell>
          <cell r="AM27">
            <v>6.2405456375111044</v>
          </cell>
          <cell r="AN27">
            <v>1635.723134189233</v>
          </cell>
        </row>
        <row r="28">
          <cell r="AJ28">
            <v>-136726.83106044657</v>
          </cell>
          <cell r="AK28">
            <v>-35174.626674399828</v>
          </cell>
          <cell r="AL28">
            <v>-30288.85983018612</v>
          </cell>
          <cell r="AM28">
            <v>-101.85528646060993</v>
          </cell>
          <cell r="AN28">
            <v>-7136.827148506738</v>
          </cell>
        </row>
        <row r="29">
          <cell r="AJ29">
            <v>-202945.42169328651</v>
          </cell>
          <cell r="AK29">
            <v>-32304.911781694042</v>
          </cell>
          <cell r="AL29">
            <v>30572.196893919725</v>
          </cell>
          <cell r="AM29">
            <v>80.232837060159682</v>
          </cell>
          <cell r="AN29">
            <v>-7291.0962559993786</v>
          </cell>
        </row>
        <row r="30">
          <cell r="AJ30">
            <v>-57455.180680842837</v>
          </cell>
          <cell r="AK30">
            <v>-40735.073579497053</v>
          </cell>
          <cell r="AL30">
            <v>-6165.9597828164697</v>
          </cell>
          <cell r="AM30">
            <v>-79.43780896694102</v>
          </cell>
          <cell r="AN30">
            <v>-10013.348147876706</v>
          </cell>
        </row>
        <row r="31">
          <cell r="AJ31">
            <v>111600.3479356122</v>
          </cell>
          <cell r="AK31">
            <v>-26827.818425017525</v>
          </cell>
          <cell r="AL31">
            <v>-30422.722986495704</v>
          </cell>
          <cell r="AM31">
            <v>18.241810568552637</v>
          </cell>
          <cell r="AN31">
            <v>-10589.048334667576</v>
          </cell>
        </row>
        <row r="32">
          <cell r="AJ32">
            <v>-104907.0585330968</v>
          </cell>
          <cell r="AK32">
            <v>12124.879716181254</v>
          </cell>
          <cell r="AL32">
            <v>19312.640397241717</v>
          </cell>
          <cell r="AM32">
            <v>123.96387759025492</v>
          </cell>
          <cell r="AN32">
            <v>5180.5745420835447</v>
          </cell>
        </row>
        <row r="33">
          <cell r="AJ33">
            <v>46287.823426484014</v>
          </cell>
          <cell r="AK33">
            <v>-2618.3768302184762</v>
          </cell>
          <cell r="AL33">
            <v>507.11129931418691</v>
          </cell>
          <cell r="AM33">
            <v>22.77186413506729</v>
          </cell>
          <cell r="AN33">
            <v>4690.6702402852243</v>
          </cell>
        </row>
        <row r="34">
          <cell r="AJ34">
            <v>17660.331882998929</v>
          </cell>
          <cell r="AK34">
            <v>71722.101746781322</v>
          </cell>
          <cell r="AL34">
            <v>25524.977764749841</v>
          </cell>
          <cell r="AM34">
            <v>-13.323920975032706</v>
          </cell>
          <cell r="AN34">
            <v>5279.9125264448812</v>
          </cell>
        </row>
        <row r="35">
          <cell r="AJ35">
            <v>134446.43336078175</v>
          </cell>
          <cell r="AK35">
            <v>63565.845979342586</v>
          </cell>
          <cell r="AL35">
            <v>1607.8160661552392</v>
          </cell>
          <cell r="AM35">
            <v>117.90847526395237</v>
          </cell>
          <cell r="AN35">
            <v>21700.996118456591</v>
          </cell>
        </row>
        <row r="36">
          <cell r="AJ36">
            <v>117414.08317764162</v>
          </cell>
          <cell r="AK36">
            <v>11290.026440682588</v>
          </cell>
          <cell r="AL36">
            <v>-12399.383419928345</v>
          </cell>
          <cell r="AM36">
            <v>-72.80739691034546</v>
          </cell>
          <cell r="AN36">
            <v>-5694.9188014856481</v>
          </cell>
        </row>
        <row r="37">
          <cell r="AJ37">
            <v>181441.17302748351</v>
          </cell>
          <cell r="AK37">
            <v>89060.449339380837</v>
          </cell>
          <cell r="AL37">
            <v>33005.561394691409</v>
          </cell>
          <cell r="AM37">
            <v>109.62116538776695</v>
          </cell>
          <cell r="AN37">
            <v>11381.195073056646</v>
          </cell>
        </row>
        <row r="38">
          <cell r="AJ38">
            <v>-12775.070687199477</v>
          </cell>
          <cell r="AK38">
            <v>-64050.566349206842</v>
          </cell>
          <cell r="AL38">
            <v>-36653.084102313034</v>
          </cell>
          <cell r="AM38">
            <v>-271.18363721476203</v>
          </cell>
          <cell r="AN38">
            <v>-11854.095224066084</v>
          </cell>
        </row>
        <row r="39">
          <cell r="AJ39">
            <v>-139125.49378451379</v>
          </cell>
          <cell r="AK39">
            <v>-53841.077401157469</v>
          </cell>
          <cell r="AL39">
            <v>-23278.193699732161</v>
          </cell>
          <cell r="AM39">
            <v>-79.614406285392761</v>
          </cell>
          <cell r="AN39">
            <v>-2613.620708311093</v>
          </cell>
        </row>
        <row r="40">
          <cell r="AJ40">
            <v>-166620.75366649963</v>
          </cell>
          <cell r="AK40">
            <v>-48586.051523350179</v>
          </cell>
          <cell r="AL40">
            <v>-1266.3421114566154</v>
          </cell>
          <cell r="AM40">
            <v>26.376851706005255</v>
          </cell>
          <cell r="AN40">
            <v>-6196.2295503995265</v>
          </cell>
        </row>
        <row r="41">
          <cell r="AJ41">
            <v>-183061.12527757359</v>
          </cell>
          <cell r="AK41">
            <v>-37057.723165198171</v>
          </cell>
          <cell r="AL41">
            <v>8188.6880842638784</v>
          </cell>
          <cell r="AM41">
            <v>11.954290525129863</v>
          </cell>
          <cell r="AN41">
            <v>-8216.7939320172736</v>
          </cell>
        </row>
        <row r="42">
          <cell r="AJ42">
            <v>69573.725725639379</v>
          </cell>
          <cell r="AK42">
            <v>29850.480607680627</v>
          </cell>
          <cell r="AL42">
            <v>8914.317155038967</v>
          </cell>
          <cell r="AM42">
            <v>206.29030059861566</v>
          </cell>
          <cell r="AN42">
            <v>6489.1862110423826</v>
          </cell>
        </row>
        <row r="43">
          <cell r="AJ43">
            <v>152199.59015191463</v>
          </cell>
          <cell r="AK43">
            <v>7507.5480850529275</v>
          </cell>
          <cell r="AL43">
            <v>58334.806521328224</v>
          </cell>
          <cell r="AM43">
            <v>211.17962750937318</v>
          </cell>
          <cell r="AN43">
            <v>2381.8756141948106</v>
          </cell>
        </row>
        <row r="44">
          <cell r="AJ44">
            <v>-127327.83153571037</v>
          </cell>
          <cell r="AK44">
            <v>-128533.55072240549</v>
          </cell>
          <cell r="AL44">
            <v>-121913.18686339902</v>
          </cell>
          <cell r="AM44">
            <v>-611.94022240094409</v>
          </cell>
          <cell r="AN44">
            <v>-34453.490656084192</v>
          </cell>
        </row>
        <row r="45">
          <cell r="AJ45">
            <v>-40742.220260647824</v>
          </cell>
          <cell r="AK45">
            <v>122399.31514285505</v>
          </cell>
          <cell r="AL45">
            <v>82927.327909115236</v>
          </cell>
          <cell r="AM45">
            <v>414.29803473512811</v>
          </cell>
          <cell r="AN45">
            <v>34239.279173942588</v>
          </cell>
        </row>
        <row r="46">
          <cell r="AJ46">
            <v>-57938.036513613886</v>
          </cell>
          <cell r="AK46">
            <v>-14891.943268896081</v>
          </cell>
          <cell r="AL46">
            <v>-22310.313927302544</v>
          </cell>
          <cell r="AM46">
            <v>280.81624324019526</v>
          </cell>
          <cell r="AN46">
            <v>-8352.5225334278366</v>
          </cell>
        </row>
        <row r="47">
          <cell r="AJ47">
            <v>294307.88131087553</v>
          </cell>
          <cell r="AK47">
            <v>175826.86718168826</v>
          </cell>
          <cell r="AL47">
            <v>39445.532015840028</v>
          </cell>
          <cell r="AM47">
            <v>-54.704772166057637</v>
          </cell>
          <cell r="AN47">
            <v>29914.424263762194</v>
          </cell>
        </row>
        <row r="48">
          <cell r="AJ48">
            <v>56348.64757257665</v>
          </cell>
          <cell r="AK48">
            <v>-91077.336011818144</v>
          </cell>
          <cell r="AL48">
            <v>-38846.105626919685</v>
          </cell>
          <cell r="AM48">
            <v>-395.14916504825487</v>
          </cell>
          <cell r="AN48">
            <v>-7870.0567687904986</v>
          </cell>
        </row>
        <row r="49">
          <cell r="AJ49">
            <v>-34579.513480999623</v>
          </cell>
          <cell r="AK49">
            <v>-22303.727354827919</v>
          </cell>
          <cell r="AL49">
            <v>-26701.660344823322</v>
          </cell>
          <cell r="AM49">
            <v>-180.86069850143053</v>
          </cell>
          <cell r="AN49">
            <v>-21989.238120847731</v>
          </cell>
        </row>
        <row r="50">
          <cell r="AJ50">
            <v>120087.64735156449</v>
          </cell>
          <cell r="AK50">
            <v>68915.769984373124</v>
          </cell>
          <cell r="AL50">
            <v>7212.306561312027</v>
          </cell>
          <cell r="AM50">
            <v>236.5917003103375</v>
          </cell>
          <cell r="AN50">
            <v>17804.684402440005</v>
          </cell>
        </row>
        <row r="51">
          <cell r="AJ51">
            <v>-172004.24143798044</v>
          </cell>
          <cell r="AK51">
            <v>-108976.43295626505</v>
          </cell>
          <cell r="AL51">
            <v>-20037.359206796333</v>
          </cell>
          <cell r="AM51">
            <v>-254.54009221471256</v>
          </cell>
          <cell r="AN51">
            <v>-13016.426306743379</v>
          </cell>
        </row>
        <row r="52">
          <cell r="AJ52">
            <v>-200094.02364402881</v>
          </cell>
          <cell r="AK52">
            <v>-60552.135870373633</v>
          </cell>
          <cell r="AL52">
            <v>-15751.687437295099</v>
          </cell>
          <cell r="AM52">
            <v>2.2934468665996519</v>
          </cell>
          <cell r="AN52">
            <v>-13493.446495169046</v>
          </cell>
        </row>
        <row r="53">
          <cell r="AJ53">
            <v>-71135.774603641476</v>
          </cell>
          <cell r="AK53">
            <v>30102.868721806677</v>
          </cell>
          <cell r="AL53">
            <v>32793.793309335713</v>
          </cell>
          <cell r="AM53">
            <v>204.77768098288198</v>
          </cell>
          <cell r="AN53">
            <v>12822.334891516264</v>
          </cell>
        </row>
        <row r="54">
          <cell r="AJ54">
            <v>258854.7444399331</v>
          </cell>
          <cell r="AK54">
            <v>62638.411929184978</v>
          </cell>
          <cell r="AL54">
            <v>23937.894640877028</v>
          </cell>
          <cell r="AM54">
            <v>294.95502591408513</v>
          </cell>
          <cell r="AN54">
            <v>13687.993964090783</v>
          </cell>
        </row>
        <row r="55">
          <cell r="AJ55">
            <v>50647.379464880563</v>
          </cell>
          <cell r="AK55">
            <v>-142350.15960609837</v>
          </cell>
          <cell r="AL55">
            <v>-63908.566090517561</v>
          </cell>
          <cell r="AM55">
            <v>-505.83891264512431</v>
          </cell>
          <cell r="AN55">
            <v>-40646.814855619436</v>
          </cell>
        </row>
        <row r="56">
          <cell r="AJ56">
            <v>-262194.33102170029</v>
          </cell>
          <cell r="AK56">
            <v>-21526.356016846024</v>
          </cell>
          <cell r="AL56">
            <v>-10960.271948438196</v>
          </cell>
          <cell r="AM56">
            <v>63.923256434192808</v>
          </cell>
          <cell r="AN56">
            <v>-1617.9642694498034</v>
          </cell>
        </row>
        <row r="57">
          <cell r="AJ57">
            <v>-46826.759339923388</v>
          </cell>
          <cell r="AK57">
            <v>71788.197254726838</v>
          </cell>
          <cell r="AL57">
            <v>62027.622756472672</v>
          </cell>
          <cell r="AM57">
            <v>146.11102310335787</v>
          </cell>
          <cell r="AN57">
            <v>20771.828305620453</v>
          </cell>
        </row>
        <row r="58">
          <cell r="AJ58">
            <v>29969.493483465398</v>
          </cell>
          <cell r="AK58">
            <v>30728.805790530227</v>
          </cell>
          <cell r="AL58">
            <v>-20221.839560975815</v>
          </cell>
          <cell r="AM58">
            <v>115.85004784917851</v>
          </cell>
          <cell r="AN58">
            <v>811.69023913111596</v>
          </cell>
        </row>
        <row r="59">
          <cell r="AJ59">
            <v>159826.73911345238</v>
          </cell>
          <cell r="AK59">
            <v>112499.57461144315</v>
          </cell>
          <cell r="AL59">
            <v>37183.81270267439</v>
          </cell>
          <cell r="AM59">
            <v>78.767022499702307</v>
          </cell>
          <cell r="AN59">
            <v>30672.106549930264</v>
          </cell>
        </row>
        <row r="60">
          <cell r="AJ60">
            <v>121769.30397215672</v>
          </cell>
          <cell r="AK60">
            <v>-23281.38961910014</v>
          </cell>
          <cell r="AL60">
            <v>-31430.797831250122</v>
          </cell>
          <cell r="AM60">
            <v>-131.35428553473025</v>
          </cell>
          <cell r="AN60">
            <v>-17553.762236271694</v>
          </cell>
        </row>
        <row r="61">
          <cell r="AJ61">
            <v>60842.497314628563</v>
          </cell>
          <cell r="AK61">
            <v>15339.048550354084</v>
          </cell>
          <cell r="AL61">
            <v>-17992.765471437073</v>
          </cell>
          <cell r="AM61">
            <v>-19.669045990665154</v>
          </cell>
          <cell r="AN61">
            <v>263.88865244504996</v>
          </cell>
        </row>
        <row r="62">
          <cell r="AJ62">
            <v>153100.69582000969</v>
          </cell>
          <cell r="AK62">
            <v>101588.78697015892</v>
          </cell>
          <cell r="AL62">
            <v>21343.447684879153</v>
          </cell>
          <cell r="AM62">
            <v>154.6314636450345</v>
          </cell>
          <cell r="AN62">
            <v>24756.438061307243</v>
          </cell>
        </row>
        <row r="63">
          <cell r="AJ63">
            <v>-260700.96466549777</v>
          </cell>
          <cell r="AK63">
            <v>-181681.65933103673</v>
          </cell>
          <cell r="AL63">
            <v>-42839.492609364039</v>
          </cell>
          <cell r="AM63">
            <v>-388.43129408570621</v>
          </cell>
          <cell r="AN63">
            <v>-27446.452100015507</v>
          </cell>
        </row>
        <row r="64">
          <cell r="AJ64">
            <v>-102269.78221555008</v>
          </cell>
          <cell r="AK64">
            <v>18436.462765970035</v>
          </cell>
          <cell r="AL64">
            <v>24123.002390823589</v>
          </cell>
          <cell r="AM64">
            <v>231.32697623427157</v>
          </cell>
          <cell r="AN64">
            <v>730.99008252212661</v>
          </cell>
        </row>
        <row r="65">
          <cell r="AJ65">
            <v>-166320.9970809978</v>
          </cell>
          <cell r="AK65">
            <v>-64982.223639685602</v>
          </cell>
          <cell r="AL65">
            <v>-8099.6892468021833</v>
          </cell>
          <cell r="AM65">
            <v>-139.73909197647981</v>
          </cell>
          <cell r="AN65">
            <v>-14786.350940538163</v>
          </cell>
        </row>
        <row r="66">
          <cell r="AJ66">
            <v>28746.122679001768</v>
          </cell>
          <cell r="AK66">
            <v>23975.040426175343</v>
          </cell>
          <cell r="AL66">
            <v>4720.0892661189137</v>
          </cell>
          <cell r="AM66">
            <v>61.009619283060829</v>
          </cell>
          <cell r="AN66">
            <v>12200.738009420922</v>
          </cell>
        </row>
        <row r="67">
          <cell r="AJ67">
            <v>119696.53290024528</v>
          </cell>
          <cell r="AK67">
            <v>-82102.650715962402</v>
          </cell>
          <cell r="AL67">
            <v>-46754.705431447626</v>
          </cell>
          <cell r="AM67">
            <v>-155.53216215026441</v>
          </cell>
          <cell r="AN67">
            <v>-28804.644590685028</v>
          </cell>
        </row>
        <row r="68">
          <cell r="AJ68">
            <v>-177860.53837573482</v>
          </cell>
          <cell r="AK68">
            <v>-9305.8703211264801</v>
          </cell>
          <cell r="AL68">
            <v>32713.26847724276</v>
          </cell>
          <cell r="AM68">
            <v>65.105067926766651</v>
          </cell>
          <cell r="AN68">
            <v>3683.0351516919618</v>
          </cell>
        </row>
        <row r="69">
          <cell r="AJ69">
            <v>117637.6818579121</v>
          </cell>
          <cell r="AK69">
            <v>60113.812082238786</v>
          </cell>
          <cell r="AL69">
            <v>6201.9530381272198</v>
          </cell>
          <cell r="AM69">
            <v>184.70696503709178</v>
          </cell>
          <cell r="AN69">
            <v>11631.846056684764</v>
          </cell>
        </row>
        <row r="70">
          <cell r="AJ70">
            <v>70898.837988054263</v>
          </cell>
          <cell r="AK70">
            <v>83225.071476392157</v>
          </cell>
          <cell r="AL70">
            <v>28590.313430501934</v>
          </cell>
          <cell r="AM70">
            <v>-292.98905887961473</v>
          </cell>
          <cell r="AN70">
            <v>24371.76616393117</v>
          </cell>
        </row>
        <row r="71">
          <cell r="AJ71">
            <v>55654.416850428563</v>
          </cell>
          <cell r="AK71">
            <v>-5974.0820841073291</v>
          </cell>
          <cell r="AL71">
            <v>-6818.3309799931594</v>
          </cell>
          <cell r="AM71">
            <v>425.33516772019971</v>
          </cell>
          <cell r="AN71">
            <v>-11627.338954048086</v>
          </cell>
        </row>
        <row r="72">
          <cell r="AJ72">
            <v>121111.95319948299</v>
          </cell>
          <cell r="AK72">
            <v>24717.426763244206</v>
          </cell>
          <cell r="AL72">
            <v>-3860.8072092416405</v>
          </cell>
          <cell r="AM72">
            <v>-111.14429062820227</v>
          </cell>
          <cell r="AN72">
            <v>14029.571537142561</v>
          </cell>
        </row>
        <row r="73">
          <cell r="AJ73">
            <v>59454.841877613799</v>
          </cell>
          <cell r="AK73">
            <v>57244.525151097681</v>
          </cell>
          <cell r="AL73">
            <v>11773.675004740071</v>
          </cell>
          <cell r="AM73">
            <v>30.997554836013933</v>
          </cell>
          <cell r="AN73">
            <v>-6018.0395882876473</v>
          </cell>
        </row>
        <row r="74">
          <cell r="AJ74">
            <v>103138.08697211544</v>
          </cell>
          <cell r="AK74">
            <v>32708.861978413188</v>
          </cell>
          <cell r="AL74">
            <v>-6021.1874267103849</v>
          </cell>
          <cell r="AM74">
            <v>-13.308367225869461</v>
          </cell>
          <cell r="AN74">
            <v>16314.546843407763</v>
          </cell>
        </row>
        <row r="75">
          <cell r="AJ75">
            <v>-45626.975511563709</v>
          </cell>
          <cell r="AK75">
            <v>-44246.671351572149</v>
          </cell>
          <cell r="AL75">
            <v>-6193.5579628086998</v>
          </cell>
          <cell r="AM75">
            <v>-83.934919525435362</v>
          </cell>
          <cell r="AN75">
            <v>1106.139745469729</v>
          </cell>
        </row>
        <row r="76">
          <cell r="AJ76">
            <v>-17534.888251013821</v>
          </cell>
          <cell r="AK76">
            <v>15130.869465210824</v>
          </cell>
          <cell r="AL76">
            <v>9208.8328750826768</v>
          </cell>
          <cell r="AM76">
            <v>94.901912490565564</v>
          </cell>
          <cell r="AN76">
            <v>8872.283998229861</v>
          </cell>
        </row>
        <row r="77">
          <cell r="AJ77">
            <v>-331591.69131391461</v>
          </cell>
          <cell r="AK77">
            <v>-137321.14029578335</v>
          </cell>
          <cell r="AL77">
            <v>-41689.419827959937</v>
          </cell>
          <cell r="AM77">
            <v>-440.26786598257456</v>
          </cell>
          <cell r="AN77">
            <v>-37376.480696359489</v>
          </cell>
        </row>
        <row r="78">
          <cell r="AJ78">
            <v>-21168.814616503892</v>
          </cell>
          <cell r="AK78">
            <v>-49061.834633406193</v>
          </cell>
          <cell r="AL78">
            <v>17898.774676364497</v>
          </cell>
          <cell r="AM78">
            <v>358.39855082131146</v>
          </cell>
          <cell r="AN78">
            <v>-11841.523977275661</v>
          </cell>
        </row>
        <row r="79">
          <cell r="AJ79">
            <v>245435.25287634286</v>
          </cell>
          <cell r="AK79">
            <v>6342.6052045353572</v>
          </cell>
          <cell r="AL79">
            <v>-9481.557870138291</v>
          </cell>
          <cell r="AM79">
            <v>-62.61334397081032</v>
          </cell>
          <cell r="AN79">
            <v>3506.3131332309131</v>
          </cell>
        </row>
        <row r="80">
          <cell r="AJ80">
            <v>-287359.50789475744</v>
          </cell>
          <cell r="AK80">
            <v>-117907.86723133078</v>
          </cell>
          <cell r="AL80">
            <v>-27459.957021528156</v>
          </cell>
          <cell r="AM80">
            <v>-255.67281619565006</v>
          </cell>
          <cell r="AN80">
            <v>-26126.995036188106</v>
          </cell>
        </row>
        <row r="81">
          <cell r="AJ81">
            <v>11760.967201643507</v>
          </cell>
          <cell r="AK81">
            <v>152821.16095953347</v>
          </cell>
          <cell r="AL81">
            <v>35927.395490564784</v>
          </cell>
          <cell r="AM81">
            <v>285.46268593993659</v>
          </cell>
          <cell r="AN81">
            <v>34664.013662318393</v>
          </cell>
        </row>
        <row r="82">
          <cell r="AJ82">
            <v>23416.611329028499</v>
          </cell>
          <cell r="AK82">
            <v>11211.980919449299</v>
          </cell>
          <cell r="AL82">
            <v>7910.0059607135481</v>
          </cell>
          <cell r="AM82">
            <v>17.320195249276594</v>
          </cell>
          <cell r="AN82">
            <v>-1719.9184044407011</v>
          </cell>
        </row>
        <row r="83">
          <cell r="AJ83">
            <v>284070.88760938332</v>
          </cell>
          <cell r="AK83">
            <v>134224.05566237948</v>
          </cell>
          <cell r="AL83">
            <v>15517.271376728924</v>
          </cell>
          <cell r="AM83">
            <v>166.33003948420605</v>
          </cell>
          <cell r="AN83">
            <v>33076.45531202406</v>
          </cell>
        </row>
        <row r="84">
          <cell r="AJ84">
            <v>-16516.854614351061</v>
          </cell>
          <cell r="AK84">
            <v>-62579.37483387813</v>
          </cell>
          <cell r="AL84">
            <v>4758.220191152679</v>
          </cell>
          <cell r="AM84">
            <v>-239.13344446282122</v>
          </cell>
          <cell r="AN84">
            <v>-18498.857298460469</v>
          </cell>
        </row>
        <row r="85">
          <cell r="AJ85">
            <v>114836.47540344356</v>
          </cell>
          <cell r="AK85">
            <v>63203.03132740315</v>
          </cell>
          <cell r="AL85">
            <v>-7106.6844628410763</v>
          </cell>
          <cell r="AM85">
            <v>90.288959994266634</v>
          </cell>
          <cell r="AN85">
            <v>5950.8887719998602</v>
          </cell>
        </row>
        <row r="86">
          <cell r="AJ86">
            <v>31794.570664141793</v>
          </cell>
          <cell r="AK86">
            <v>26717.540668679285</v>
          </cell>
          <cell r="AL86">
            <v>15248.43753341533</v>
          </cell>
          <cell r="AM86">
            <v>122.81562751101069</v>
          </cell>
          <cell r="AN86">
            <v>3351.6355062525545</v>
          </cell>
        </row>
        <row r="87">
          <cell r="AJ87">
            <v>-205307.14263119572</v>
          </cell>
          <cell r="AK87">
            <v>-118184.93533888983</v>
          </cell>
          <cell r="AL87">
            <v>-45803.298499668046</v>
          </cell>
          <cell r="AM87">
            <v>-355.55455899872027</v>
          </cell>
          <cell r="AN87">
            <v>-7984.0689712476742</v>
          </cell>
        </row>
        <row r="88">
          <cell r="AJ88">
            <v>-17732.763213384198</v>
          </cell>
          <cell r="AK88">
            <v>14781.92825219105</v>
          </cell>
          <cell r="AL88">
            <v>50189.232343995478</v>
          </cell>
          <cell r="AM88">
            <v>171.02386139244527</v>
          </cell>
          <cell r="AN88">
            <v>10890.578755805298</v>
          </cell>
        </row>
        <row r="89">
          <cell r="AJ89">
            <v>-245626.78897298011</v>
          </cell>
          <cell r="AK89">
            <v>-102430.25334025471</v>
          </cell>
          <cell r="AL89">
            <v>-34949.212695098569</v>
          </cell>
          <cell r="AM89">
            <v>-231.98308434593218</v>
          </cell>
          <cell r="AN89">
            <v>-30204.76190732063</v>
          </cell>
        </row>
        <row r="90">
          <cell r="AJ90">
            <v>141657.95341008517</v>
          </cell>
          <cell r="AK90">
            <v>45910.446451562864</v>
          </cell>
          <cell r="AL90">
            <v>-11371.873657713964</v>
          </cell>
          <cell r="AM90">
            <v>349.77477463147102</v>
          </cell>
          <cell r="AN90">
            <v>12803.699021434426</v>
          </cell>
        </row>
        <row r="91">
          <cell r="AJ91">
            <v>-17820.894956162781</v>
          </cell>
          <cell r="AK91">
            <v>-66372.89107865846</v>
          </cell>
          <cell r="AL91">
            <v>4938.8437468374614</v>
          </cell>
          <cell r="AM91">
            <v>-272.93507129234172</v>
          </cell>
          <cell r="AN91">
            <v>-25042.12264072393</v>
          </cell>
        </row>
        <row r="92">
          <cell r="AJ92">
            <v>-41627.522883790429</v>
          </cell>
          <cell r="AK92">
            <v>-24647.139342753682</v>
          </cell>
          <cell r="AL92">
            <v>-9575.1588775685523</v>
          </cell>
          <cell r="AM92">
            <v>22.49871649865986</v>
          </cell>
          <cell r="AN92">
            <v>8133.3223876141856</v>
          </cell>
        </row>
        <row r="93">
          <cell r="AJ93">
            <v>-49114.683842464583</v>
          </cell>
          <cell r="AK93">
            <v>44575.91084426397</v>
          </cell>
          <cell r="AL93">
            <v>35894.236455004662</v>
          </cell>
          <cell r="AM93">
            <v>181.05916464016195</v>
          </cell>
          <cell r="AN93">
            <v>1434.4773785557336</v>
          </cell>
        </row>
        <row r="94">
          <cell r="AJ94">
            <v>-17747.068958295742</v>
          </cell>
          <cell r="AK94">
            <v>47539.353691728844</v>
          </cell>
          <cell r="AL94">
            <v>-149.21154401410604</v>
          </cell>
          <cell r="AM94">
            <v>-5.7193010293849511</v>
          </cell>
          <cell r="AN94">
            <v>15873.64611161036</v>
          </cell>
        </row>
        <row r="95">
          <cell r="AJ95">
            <v>219388.36431139708</v>
          </cell>
          <cell r="AK95">
            <v>115604.48400938744</v>
          </cell>
          <cell r="AL95">
            <v>28903.978607002355</v>
          </cell>
          <cell r="AM95">
            <v>83.903326613381751</v>
          </cell>
          <cell r="AN95">
            <v>26668.269745599857</v>
          </cell>
        </row>
        <row r="96">
          <cell r="AJ96">
            <v>216110.72834073531</v>
          </cell>
          <cell r="AK96">
            <v>26130.816925082239</v>
          </cell>
          <cell r="AL96">
            <v>-22620.438616721833</v>
          </cell>
          <cell r="AM96">
            <v>-49.472150147132652</v>
          </cell>
          <cell r="AN96">
            <v>-12299.634498948784</v>
          </cell>
        </row>
        <row r="97">
          <cell r="AJ97">
            <v>54925.965753504308</v>
          </cell>
          <cell r="AK97">
            <v>-4471.5352690526051</v>
          </cell>
          <cell r="AL97">
            <v>-16629.576237543864</v>
          </cell>
          <cell r="AM97">
            <v>-67.284384300567808</v>
          </cell>
          <cell r="AN97">
            <v>-155.56986260713893</v>
          </cell>
        </row>
        <row r="98">
          <cell r="AJ98">
            <v>-4193.015372261405</v>
          </cell>
          <cell r="AK98">
            <v>15868.710850097821</v>
          </cell>
          <cell r="AL98">
            <v>16370.374998379411</v>
          </cell>
          <cell r="AM98">
            <v>44.494689470337107</v>
          </cell>
          <cell r="AN98">
            <v>9808.4348343136662</v>
          </cell>
        </row>
        <row r="99">
          <cell r="AJ99">
            <v>-131584.36981321289</v>
          </cell>
          <cell r="AK99">
            <v>-69798.43391387281</v>
          </cell>
          <cell r="AL99">
            <v>-25788.588703650661</v>
          </cell>
          <cell r="AM99">
            <v>-115.64397269158599</v>
          </cell>
          <cell r="AN99">
            <v>-11217.963596571877</v>
          </cell>
        </row>
        <row r="100">
          <cell r="AJ100">
            <v>-26937.630897046649</v>
          </cell>
          <cell r="AK100">
            <v>3438.8552164115245</v>
          </cell>
          <cell r="AL100">
            <v>-17035.693466449797</v>
          </cell>
          <cell r="AM100">
            <v>59.599562409681994</v>
          </cell>
          <cell r="AN100">
            <v>9696.8695846751798</v>
          </cell>
        </row>
        <row r="101">
          <cell r="AJ101">
            <v>-237068.55725766707</v>
          </cell>
          <cell r="AK101">
            <v>-51280.311081348686</v>
          </cell>
          <cell r="AL101">
            <v>25585.192679631175</v>
          </cell>
          <cell r="AM101">
            <v>-126.34850545447603</v>
          </cell>
          <cell r="AN101">
            <v>-12715.975835160905</v>
          </cell>
        </row>
        <row r="102">
          <cell r="AJ102">
            <v>119078.43660606688</v>
          </cell>
          <cell r="AK102">
            <v>72887.61125381419</v>
          </cell>
          <cell r="AL102">
            <v>39903.515215630934</v>
          </cell>
          <cell r="AM102">
            <v>414.57315593354406</v>
          </cell>
          <cell r="AN102">
            <v>17928.863768554322</v>
          </cell>
        </row>
        <row r="103">
          <cell r="AJ103">
            <v>19649.284827650175</v>
          </cell>
          <cell r="AK103">
            <v>-102092.46300667146</v>
          </cell>
          <cell r="AL103">
            <v>-39912.954870398069</v>
          </cell>
          <cell r="AM103">
            <v>-664.25214801905872</v>
          </cell>
          <cell r="AN103">
            <v>-26176.614802561351</v>
          </cell>
        </row>
        <row r="104">
          <cell r="AJ104">
            <v>-179791.16991492244</v>
          </cell>
          <cell r="AK104">
            <v>-80997.318251506542</v>
          </cell>
          <cell r="AL104">
            <v>-28236.641695103055</v>
          </cell>
          <cell r="AM104">
            <v>589.51569875603263</v>
          </cell>
          <cell r="AN104">
            <v>-19987.385837224239</v>
          </cell>
        </row>
        <row r="105">
          <cell r="AJ105">
            <v>75433.830938405939</v>
          </cell>
          <cell r="AK105">
            <v>85966.28372766485</v>
          </cell>
          <cell r="AL105">
            <v>23667.422869197762</v>
          </cell>
          <cell r="AM105">
            <v>-110.30641619042603</v>
          </cell>
          <cell r="AN105">
            <v>25473.768880921896</v>
          </cell>
        </row>
        <row r="106">
          <cell r="AJ106">
            <v>-92738.435570904636</v>
          </cell>
          <cell r="AK106">
            <v>-9295.3196334076929</v>
          </cell>
          <cell r="AL106">
            <v>11433.796800670883</v>
          </cell>
          <cell r="AM106">
            <v>-152.77419224439586</v>
          </cell>
          <cell r="AN106">
            <v>-8418.267404114129</v>
          </cell>
        </row>
        <row r="107">
          <cell r="AJ107">
            <v>230825.4640004948</v>
          </cell>
          <cell r="AK107">
            <v>166411.34970460273</v>
          </cell>
          <cell r="AL107">
            <v>34360.947015582991</v>
          </cell>
          <cell r="AM107">
            <v>374.0631393720023</v>
          </cell>
          <cell r="AN107">
            <v>42212.176139947522</v>
          </cell>
        </row>
        <row r="108">
          <cell r="AJ108">
            <v>170073.22612188791</v>
          </cell>
          <cell r="AK108">
            <v>-3118.2100262062158</v>
          </cell>
          <cell r="AL108">
            <v>8598.7375540004869</v>
          </cell>
          <cell r="AM108">
            <v>-156.62600689140959</v>
          </cell>
          <cell r="AN108">
            <v>-4504.1276427906705</v>
          </cell>
        </row>
        <row r="109">
          <cell r="AJ109">
            <v>194079.16701396927</v>
          </cell>
          <cell r="AK109">
            <v>63572.265729696141</v>
          </cell>
          <cell r="AL109">
            <v>-18383.597977741592</v>
          </cell>
          <cell r="AM109">
            <v>-58.377890141816579</v>
          </cell>
          <cell r="AN109">
            <v>-781.45687578225625</v>
          </cell>
        </row>
        <row r="110">
          <cell r="AJ110">
            <v>74899.648657958955</v>
          </cell>
          <cell r="AK110">
            <v>-10357.256591121783</v>
          </cell>
          <cell r="AL110">
            <v>22424.420772785059</v>
          </cell>
          <cell r="AM110">
            <v>-1.7792305596983624</v>
          </cell>
          <cell r="AN110">
            <v>13470.966390937538</v>
          </cell>
        </row>
        <row r="111">
          <cell r="AJ111">
            <v>-176703.41148396465</v>
          </cell>
          <cell r="AK111">
            <v>-62014.760327633121</v>
          </cell>
          <cell r="AL111">
            <v>-39748.293586935208</v>
          </cell>
          <cell r="AM111">
            <v>-189.92142329313128</v>
          </cell>
          <cell r="AN111">
            <v>-11702.613178173866</v>
          </cell>
        </row>
        <row r="112">
          <cell r="AJ112">
            <v>-199750.66014766472</v>
          </cell>
          <cell r="AK112">
            <v>-84573.046555250185</v>
          </cell>
          <cell r="AL112">
            <v>-6535.0948756558646</v>
          </cell>
          <cell r="AM112">
            <v>6.9128108727588824</v>
          </cell>
          <cell r="AN112">
            <v>-9448.111232301977</v>
          </cell>
        </row>
        <row r="113">
          <cell r="AJ113">
            <v>-282333.86505430192</v>
          </cell>
          <cell r="AK113">
            <v>-75004.155630820547</v>
          </cell>
          <cell r="AL113">
            <v>-14479.012277536531</v>
          </cell>
          <cell r="AM113">
            <v>-88.578625479542552</v>
          </cell>
          <cell r="AN113">
            <v>-26744.388411861553</v>
          </cell>
        </row>
        <row r="114">
          <cell r="AJ114">
            <v>77687.813268537051</v>
          </cell>
          <cell r="AK114">
            <v>23722.667841062415</v>
          </cell>
          <cell r="AL114">
            <v>13384.324872715428</v>
          </cell>
          <cell r="AM114">
            <v>176.15093423726898</v>
          </cell>
          <cell r="AN114">
            <v>12312.043083447963</v>
          </cell>
        </row>
        <row r="115">
          <cell r="AJ115">
            <v>44496.080221410724</v>
          </cell>
          <cell r="AK115">
            <v>-58355.010924817296</v>
          </cell>
          <cell r="AL115">
            <v>-8369.0081798167375</v>
          </cell>
          <cell r="AM115">
            <v>-86.546735572518173</v>
          </cell>
          <cell r="AN115">
            <v>-21718.514381204135</v>
          </cell>
        </row>
        <row r="116">
          <cell r="AJ116">
            <v>-61442.758696622797</v>
          </cell>
          <cell r="AK116">
            <v>-10515.137645374809</v>
          </cell>
          <cell r="AL116">
            <v>-11685.834718554339</v>
          </cell>
          <cell r="AM116">
            <v>-66.580986560201382</v>
          </cell>
          <cell r="AN116">
            <v>5764.3120471120201</v>
          </cell>
        </row>
        <row r="117">
          <cell r="AJ117">
            <v>-8233.3716573198326</v>
          </cell>
          <cell r="AK117">
            <v>56421.652047104377</v>
          </cell>
          <cell r="AL117">
            <v>30784.995785435953</v>
          </cell>
          <cell r="AM117">
            <v>162.44085687119195</v>
          </cell>
          <cell r="AN117">
            <v>7418.2829679082788</v>
          </cell>
        </row>
        <row r="118">
          <cell r="AJ118">
            <v>110328.53829540126</v>
          </cell>
          <cell r="AK118">
            <v>103074.9412939942</v>
          </cell>
          <cell r="AL118">
            <v>35536.577952600666</v>
          </cell>
          <cell r="AM118">
            <v>194.44337903052883</v>
          </cell>
          <cell r="AN118">
            <v>31493.499078973371</v>
          </cell>
        </row>
        <row r="119">
          <cell r="AJ119">
            <v>153239.33245954593</v>
          </cell>
          <cell r="AK119">
            <v>54301.0815469519</v>
          </cell>
          <cell r="AL119">
            <v>5159.5304594725894</v>
          </cell>
          <cell r="AM119">
            <v>-46.032730748336689</v>
          </cell>
          <cell r="AN119">
            <v>9139.0882647779945</v>
          </cell>
        </row>
        <row r="120">
          <cell r="AJ120">
            <v>136511.40425601858</v>
          </cell>
          <cell r="AK120">
            <v>25426.797754626838</v>
          </cell>
          <cell r="AL120">
            <v>-8042.117701568699</v>
          </cell>
          <cell r="AM120">
            <v>-106.76691376307031</v>
          </cell>
          <cell r="AN120">
            <v>-7661.3173953136138</v>
          </cell>
        </row>
        <row r="121">
          <cell r="AJ121">
            <v>147090.69134686328</v>
          </cell>
          <cell r="AK121">
            <v>50681.337633701041</v>
          </cell>
          <cell r="AL121">
            <v>-12464.599514760805</v>
          </cell>
          <cell r="AM121">
            <v>141.48739904938702</v>
          </cell>
          <cell r="AN121">
            <v>16961.083135147026</v>
          </cell>
        </row>
        <row r="122">
          <cell r="AJ122">
            <v>45390.495853569359</v>
          </cell>
          <cell r="AK122">
            <v>-27120.793515470112</v>
          </cell>
          <cell r="AL122">
            <v>-11359.445946756518</v>
          </cell>
          <cell r="AM122">
            <v>-202.06512723873175</v>
          </cell>
          <cell r="AN122">
            <v>-13791.19126410404</v>
          </cell>
        </row>
        <row r="123">
          <cell r="AJ123">
            <v>-231502.02906448813</v>
          </cell>
          <cell r="AK123">
            <v>-82501.15523455583</v>
          </cell>
          <cell r="AL123">
            <v>-11027.35252148626</v>
          </cell>
          <cell r="AM123">
            <v>-188.79230906553812</v>
          </cell>
          <cell r="AN123">
            <v>-3162.6708704043413</v>
          </cell>
        </row>
        <row r="124">
          <cell r="AJ124">
            <v>-132897.82070716284</v>
          </cell>
          <cell r="AK124">
            <v>-33065.108369114459</v>
          </cell>
          <cell r="AL124">
            <v>-11540.715626286052</v>
          </cell>
          <cell r="AM124">
            <v>291.26039949179267</v>
          </cell>
          <cell r="AN124">
            <v>-1447.6156969282601</v>
          </cell>
        </row>
        <row r="125">
          <cell r="AJ125">
            <v>-236327.91271255736</v>
          </cell>
          <cell r="AK125">
            <v>-89016.683226606518</v>
          </cell>
          <cell r="AL125">
            <v>-18457.630074501882</v>
          </cell>
          <cell r="AM125">
            <v>-266.10220748101256</v>
          </cell>
          <cell r="AN125">
            <v>-24462.671778853284</v>
          </cell>
        </row>
        <row r="126">
          <cell r="AJ126">
            <v>-31753.971072270651</v>
          </cell>
          <cell r="AK126">
            <v>-26418.333358192118</v>
          </cell>
          <cell r="AL126">
            <v>950.90988478032523</v>
          </cell>
          <cell r="AM126">
            <v>18.233001016140406</v>
          </cell>
          <cell r="AN126">
            <v>-9823.8384553336946</v>
          </cell>
        </row>
        <row r="127">
          <cell r="AJ127">
            <v>44451.342134207371</v>
          </cell>
          <cell r="AK127">
            <v>66782.438251021144</v>
          </cell>
          <cell r="AL127">
            <v>-3406.5082604115887</v>
          </cell>
          <cell r="AM127">
            <v>154.08031843977915</v>
          </cell>
          <cell r="AN127">
            <v>12053.647556743323</v>
          </cell>
        </row>
        <row r="128">
          <cell r="AJ128">
            <v>-34742.898827702273</v>
          </cell>
          <cell r="AK128">
            <v>-131234.31870221446</v>
          </cell>
          <cell r="AL128">
            <v>-9757.8136113463552</v>
          </cell>
          <cell r="AM128">
            <v>-216.03149038021456</v>
          </cell>
          <cell r="AN128">
            <v>-25556.937368356696</v>
          </cell>
        </row>
        <row r="129">
          <cell r="AJ129">
            <v>44352.674536773004</v>
          </cell>
          <cell r="AK129">
            <v>78965.03654491523</v>
          </cell>
          <cell r="AL129">
            <v>8901.6249348460697</v>
          </cell>
          <cell r="AM129">
            <v>162.68227768105066</v>
          </cell>
          <cell r="AN129">
            <v>18441.981705784667</v>
          </cell>
        </row>
        <row r="130">
          <cell r="AJ130">
            <v>-11288.30079672765</v>
          </cell>
          <cell r="AK130">
            <v>33805.499931858503</v>
          </cell>
          <cell r="AL130">
            <v>16382.290672463423</v>
          </cell>
          <cell r="AM130">
            <v>30.584651689660404</v>
          </cell>
          <cell r="AN130">
            <v>9296.9255407160672</v>
          </cell>
        </row>
        <row r="131">
          <cell r="AJ131">
            <v>189995.60345316643</v>
          </cell>
          <cell r="AK131">
            <v>116995.34598548175</v>
          </cell>
          <cell r="AL131">
            <v>17894.162194484088</v>
          </cell>
          <cell r="AM131">
            <v>142.95747210684249</v>
          </cell>
          <cell r="AN131">
            <v>27774.930894760968</v>
          </cell>
        </row>
        <row r="132">
          <cell r="AJ132">
            <v>187009.59010560554</v>
          </cell>
          <cell r="AK132">
            <v>62323.771353020682</v>
          </cell>
          <cell r="AL132">
            <v>9907.9559946877416</v>
          </cell>
          <cell r="AM132">
            <v>43.895055607605855</v>
          </cell>
          <cell r="AN132">
            <v>7210.7874910783139</v>
          </cell>
        </row>
        <row r="133">
          <cell r="AJ133">
            <v>206066.30729203881</v>
          </cell>
          <cell r="AK133">
            <v>43033.566855947603</v>
          </cell>
          <cell r="AL133">
            <v>12569.6088919873</v>
          </cell>
          <cell r="AM133">
            <v>-123.03029577556663</v>
          </cell>
          <cell r="AN133">
            <v>5571.5472558018519</v>
          </cell>
        </row>
        <row r="134">
          <cell r="AJ134">
            <v>43912.126764435321</v>
          </cell>
          <cell r="AK134">
            <v>-20097.2265473929</v>
          </cell>
          <cell r="AL134">
            <v>-22062.794720110134</v>
          </cell>
          <cell r="AM134">
            <v>15.03843053585706</v>
          </cell>
          <cell r="AN134">
            <v>-9586.1439274679578</v>
          </cell>
        </row>
        <row r="135">
          <cell r="AJ135">
            <v>-236796.33706136793</v>
          </cell>
          <cell r="AK135">
            <v>-71985.013602352468</v>
          </cell>
          <cell r="AL135">
            <v>-20235.234374644118</v>
          </cell>
          <cell r="AM135">
            <v>-184.88067533515436</v>
          </cell>
          <cell r="AN135">
            <v>-180.53428630047711</v>
          </cell>
        </row>
        <row r="136">
          <cell r="AJ136">
            <v>-68071.48573984555</v>
          </cell>
          <cell r="AK136">
            <v>-31598.941720927716</v>
          </cell>
          <cell r="AL136">
            <v>-10402.715902697091</v>
          </cell>
          <cell r="AM136">
            <v>70.54700774568073</v>
          </cell>
          <cell r="AN136">
            <v>-3810.4036442755314</v>
          </cell>
        </row>
        <row r="137">
          <cell r="AJ137">
            <v>-329074.81863143411</v>
          </cell>
          <cell r="AK137">
            <v>-123978.87543073943</v>
          </cell>
          <cell r="AL137">
            <v>-8945.4009182105947</v>
          </cell>
          <cell r="AM137">
            <v>-215.48070557403321</v>
          </cell>
          <cell r="AN137">
            <v>-29265.42431404168</v>
          </cell>
        </row>
        <row r="138">
          <cell r="AJ138">
            <v>-75640.629489119048</v>
          </cell>
          <cell r="AK138">
            <v>-5421.3200128733879</v>
          </cell>
          <cell r="AL138">
            <v>21686.394620863372</v>
          </cell>
          <cell r="AM138">
            <v>127.70960058281707</v>
          </cell>
          <cell r="AN138">
            <v>-7795.1547194537707</v>
          </cell>
        </row>
        <row r="139">
          <cell r="AJ139">
            <v>136775.44585333485</v>
          </cell>
          <cell r="AK139">
            <v>20486.960541289474</v>
          </cell>
          <cell r="AL139">
            <v>-22919.455607295968</v>
          </cell>
          <cell r="AM139">
            <v>70.353352194341369</v>
          </cell>
          <cell r="AN139">
            <v>1792.6958604773972</v>
          </cell>
        </row>
        <row r="140">
          <cell r="AJ140">
            <v>-92661.771947344649</v>
          </cell>
          <cell r="AK140">
            <v>-25871.026857868885</v>
          </cell>
          <cell r="AL140">
            <v>-8103.6506778404873</v>
          </cell>
          <cell r="AM140">
            <v>-7.4522422970546813</v>
          </cell>
          <cell r="AN140">
            <v>-1476.0982746490336</v>
          </cell>
        </row>
        <row r="141">
          <cell r="AJ141">
            <v>-961.43701511598192</v>
          </cell>
          <cell r="AK141">
            <v>19738.632263474807</v>
          </cell>
          <cell r="AL141">
            <v>28254.478323288349</v>
          </cell>
          <cell r="AM141">
            <v>121.95221704825212</v>
          </cell>
          <cell r="AN141">
            <v>13195.374211304676</v>
          </cell>
        </row>
        <row r="142">
          <cell r="AJ142">
            <v>83312.111020922777</v>
          </cell>
          <cell r="AK142">
            <v>49051.246566796151</v>
          </cell>
          <cell r="AL142">
            <v>6241.6050028259924</v>
          </cell>
          <cell r="AM142">
            <v>-22.453287742365774</v>
          </cell>
          <cell r="AN142">
            <v>-1174.5093028025876</v>
          </cell>
        </row>
        <row r="143">
          <cell r="AJ143">
            <v>221909.7092557213</v>
          </cell>
          <cell r="AK143">
            <v>133997.50322971644</v>
          </cell>
          <cell r="AL143">
            <v>70464.333721930831</v>
          </cell>
          <cell r="AM143">
            <v>202.06652522148102</v>
          </cell>
          <cell r="AN143">
            <v>41712.387267410057</v>
          </cell>
        </row>
        <row r="144">
          <cell r="AJ144">
            <v>120066.8994944992</v>
          </cell>
          <cell r="AK144">
            <v>-4387.5515303558204</v>
          </cell>
          <cell r="AL144">
            <v>-58798.640106267412</v>
          </cell>
          <cell r="AM144">
            <v>-211.53462869394207</v>
          </cell>
          <cell r="AN144">
            <v>-34912.173229182081</v>
          </cell>
        </row>
        <row r="145">
          <cell r="AJ145">
            <v>101822.55774827022</v>
          </cell>
          <cell r="AK145">
            <v>69415.22888480511</v>
          </cell>
          <cell r="AL145">
            <v>26851.174735868524</v>
          </cell>
          <cell r="AM145">
            <v>178.88374212428357</v>
          </cell>
          <cell r="AN145">
            <v>28729.15488893172</v>
          </cell>
        </row>
        <row r="146">
          <cell r="AJ146">
            <v>3527.804711145116</v>
          </cell>
          <cell r="AK146">
            <v>-34547.080658801831</v>
          </cell>
          <cell r="AL146">
            <v>-18330.615382924851</v>
          </cell>
          <cell r="AM146">
            <v>-139.468004199598</v>
          </cell>
          <cell r="AN146">
            <v>-9061.6406652188161</v>
          </cell>
        </row>
        <row r="147">
          <cell r="AJ147">
            <v>-178792.21897937474</v>
          </cell>
          <cell r="AK147">
            <v>-120764.33257380512</v>
          </cell>
          <cell r="AL147">
            <v>-55021.404436424316</v>
          </cell>
          <cell r="AM147">
            <v>-306.17588357209252</v>
          </cell>
          <cell r="AN147">
            <v>-17882.868126823596</v>
          </cell>
        </row>
        <row r="148">
          <cell r="AJ148">
            <v>-210887.80999031232</v>
          </cell>
          <cell r="AK148">
            <v>-58372.035337494221</v>
          </cell>
          <cell r="AL148">
            <v>25719.527582039213</v>
          </cell>
          <cell r="AM148">
            <v>108.90105135003932</v>
          </cell>
          <cell r="AN148">
            <v>-5294.5833055827243</v>
          </cell>
        </row>
        <row r="149">
          <cell r="AJ149">
            <v>-223403.72166877263</v>
          </cell>
          <cell r="AK149">
            <v>-90320.503556248208</v>
          </cell>
          <cell r="AL149">
            <v>-745.21201007187483</v>
          </cell>
          <cell r="AM149">
            <v>-128.04811539467778</v>
          </cell>
          <cell r="AN149">
            <v>-15077.514649512654</v>
          </cell>
        </row>
        <row r="150">
          <cell r="AJ150">
            <v>84975.757534919423</v>
          </cell>
          <cell r="AK150">
            <v>-7461.8214640226215</v>
          </cell>
          <cell r="AL150">
            <v>-69037.533516542069</v>
          </cell>
          <cell r="AM150">
            <v>91.971381582842014</v>
          </cell>
          <cell r="AN150">
            <v>-21501.373935937547</v>
          </cell>
        </row>
        <row r="151">
          <cell r="AJ151">
            <v>36401.531608037651</v>
          </cell>
          <cell r="AK151">
            <v>46330.346307588334</v>
          </cell>
          <cell r="AL151">
            <v>43303.837639454126</v>
          </cell>
          <cell r="AM151">
            <v>118.169800481013</v>
          </cell>
          <cell r="AN151">
            <v>18278.1146444388</v>
          </cell>
        </row>
        <row r="152">
          <cell r="AJ152">
            <v>-71515.484908713959</v>
          </cell>
          <cell r="AK152">
            <v>-140038.6310781489</v>
          </cell>
          <cell r="AL152">
            <v>-42801.104695828282</v>
          </cell>
          <cell r="AM152">
            <v>-313.53652498681492</v>
          </cell>
          <cell r="AN152">
            <v>-32399.24279232198</v>
          </cell>
        </row>
        <row r="153">
          <cell r="AJ153">
            <v>-15555.520145334187</v>
          </cell>
          <cell r="AK153">
            <v>91960.728091959318</v>
          </cell>
          <cell r="AL153">
            <v>30651.742553467193</v>
          </cell>
          <cell r="AM153">
            <v>244.11885754550406</v>
          </cell>
          <cell r="AN153">
            <v>20441.930642362189</v>
          </cell>
        </row>
        <row r="154">
          <cell r="AJ154">
            <v>-17551.956838269834</v>
          </cell>
          <cell r="AK154">
            <v>55950.213554516842</v>
          </cell>
          <cell r="AL154">
            <v>12182.253494986478</v>
          </cell>
          <cell r="AM154">
            <v>13.509347789285812</v>
          </cell>
          <cell r="AN154">
            <v>12543.980440977117</v>
          </cell>
        </row>
        <row r="155">
          <cell r="AJ155">
            <v>233520.60113426566</v>
          </cell>
          <cell r="AK155">
            <v>93953.727973157365</v>
          </cell>
          <cell r="AL155">
            <v>14814.208179569046</v>
          </cell>
          <cell r="AM155">
            <v>134.34035704878693</v>
          </cell>
          <cell r="AN155">
            <v>22899.122355959233</v>
          </cell>
        </row>
        <row r="156">
          <cell r="AJ156">
            <v>211967.72496305557</v>
          </cell>
          <cell r="AK156">
            <v>46921.478758588783</v>
          </cell>
          <cell r="AL156">
            <v>3732.1994462919829</v>
          </cell>
          <cell r="AM156">
            <v>-8.2130741579981077</v>
          </cell>
          <cell r="AN156">
            <v>12204.809906221577</v>
          </cell>
        </row>
        <row r="157">
          <cell r="AJ157">
            <v>53603.968730934663</v>
          </cell>
          <cell r="AK157">
            <v>16175.356603110791</v>
          </cell>
          <cell r="AL157">
            <v>-4938.4262090215343</v>
          </cell>
          <cell r="AM157">
            <v>-79.281321963469509</v>
          </cell>
          <cell r="AN157">
            <v>-12938.617803060421</v>
          </cell>
        </row>
        <row r="158">
          <cell r="AJ158">
            <v>105166.46793462406</v>
          </cell>
          <cell r="AK158">
            <v>85728.562055411167</v>
          </cell>
          <cell r="AL158">
            <v>10928.622906708188</v>
          </cell>
          <cell r="AM158">
            <v>202.85308431395447</v>
          </cell>
          <cell r="AN158">
            <v>23912.494018942787</v>
          </cell>
        </row>
        <row r="159">
          <cell r="AJ159">
            <v>-130668.28507872391</v>
          </cell>
          <cell r="AK159">
            <v>-90185.470272001345</v>
          </cell>
          <cell r="AL159">
            <v>789.76884255729965</v>
          </cell>
          <cell r="AM159">
            <v>-185.07220261273324</v>
          </cell>
          <cell r="AN159">
            <v>-5394.9412892195687</v>
          </cell>
        </row>
        <row r="160">
          <cell r="AJ160">
            <v>-74444.365182833746</v>
          </cell>
          <cell r="AK160">
            <v>-29487.741986217792</v>
          </cell>
          <cell r="AL160">
            <v>-46561.078305831528</v>
          </cell>
          <cell r="AM160">
            <v>6.5307706256526217</v>
          </cell>
          <cell r="AN160">
            <v>-3123.3452957424161</v>
          </cell>
        </row>
        <row r="161">
          <cell r="AJ161">
            <v>-336701.52712174633</v>
          </cell>
          <cell r="AK161">
            <v>-170273.91055897286</v>
          </cell>
          <cell r="AL161">
            <v>14789.782505620358</v>
          </cell>
          <cell r="AM161">
            <v>-280.22329257396939</v>
          </cell>
          <cell r="AN161">
            <v>-44388.121532327263</v>
          </cell>
        </row>
        <row r="162">
          <cell r="AJ162">
            <v>2886.9374488159083</v>
          </cell>
          <cell r="AK162">
            <v>63833.032662709826</v>
          </cell>
          <cell r="AL162">
            <v>-221.74951899453299</v>
          </cell>
          <cell r="AM162">
            <v>305.39381761290826</v>
          </cell>
          <cell r="AN162">
            <v>14096.385589855869</v>
          </cell>
        </row>
        <row r="163">
          <cell r="AJ163">
            <v>268456.57800048264</v>
          </cell>
          <cell r="AK163">
            <v>-42632.541374101187</v>
          </cell>
          <cell r="AL163">
            <v>-16752.512070399069</v>
          </cell>
          <cell r="AM163">
            <v>-158.85261908762436</v>
          </cell>
          <cell r="AN163">
            <v>-12421.671936894825</v>
          </cell>
        </row>
        <row r="164">
          <cell r="AJ164">
            <v>-63960.588354175445</v>
          </cell>
          <cell r="AK164">
            <v>20930.793340561737</v>
          </cell>
          <cell r="AL164">
            <v>25435.756765685132</v>
          </cell>
          <cell r="AM164">
            <v>162.18219903817499</v>
          </cell>
          <cell r="AN164">
            <v>7007.8560488906514</v>
          </cell>
        </row>
        <row r="165">
          <cell r="AJ165">
            <v>-123996.31548157055</v>
          </cell>
          <cell r="AK165">
            <v>-83026.10713437642</v>
          </cell>
          <cell r="AL165">
            <v>-26019.245008436556</v>
          </cell>
          <cell r="AM165">
            <v>-209.59851275075812</v>
          </cell>
          <cell r="AN165">
            <v>-23057.733862865818</v>
          </cell>
        </row>
        <row r="166">
          <cell r="AJ166">
            <v>-109117.0196963402</v>
          </cell>
          <cell r="AK166">
            <v>96697.755590714456</v>
          </cell>
          <cell r="AL166">
            <v>42892.25007926306</v>
          </cell>
          <cell r="AM166">
            <v>186.7158250423779</v>
          </cell>
          <cell r="AN166">
            <v>27468.298201320271</v>
          </cell>
        </row>
        <row r="167">
          <cell r="AJ167">
            <v>319087.57042707631</v>
          </cell>
          <cell r="AK167">
            <v>153334.86628745997</v>
          </cell>
          <cell r="AL167">
            <v>28624.773779377574</v>
          </cell>
          <cell r="AM167">
            <v>227.68014049674662</v>
          </cell>
          <cell r="AN167">
            <v>41731.109365589422</v>
          </cell>
        </row>
        <row r="168">
          <cell r="AJ168">
            <v>185093.05067856959</v>
          </cell>
          <cell r="AK168">
            <v>29586.725752311526</v>
          </cell>
          <cell r="AL168">
            <v>-19837.155196957727</v>
          </cell>
          <cell r="AM168">
            <v>-163.45216262694635</v>
          </cell>
          <cell r="AN168">
            <v>4483.8309287035663</v>
          </cell>
        </row>
        <row r="169">
          <cell r="AJ169">
            <v>89402.466106794309</v>
          </cell>
          <cell r="AK169">
            <v>34841.370900498237</v>
          </cell>
          <cell r="AL169">
            <v>1072.9798174094758</v>
          </cell>
          <cell r="AM169">
            <v>26.721836319894464</v>
          </cell>
          <cell r="AN169">
            <v>-12563.538661022147</v>
          </cell>
        </row>
        <row r="170">
          <cell r="AJ170">
            <v>-27916.950470415177</v>
          </cell>
          <cell r="AK170">
            <v>-40212.208622878767</v>
          </cell>
          <cell r="AL170">
            <v>-17230.150032662437</v>
          </cell>
          <cell r="AM170">
            <v>-84.979555448657948</v>
          </cell>
          <cell r="AN170">
            <v>-4579.7113185947528</v>
          </cell>
        </row>
        <row r="171">
          <cell r="AJ171">
            <v>-113396.27959202928</v>
          </cell>
          <cell r="AK171">
            <v>-31524.058643267257</v>
          </cell>
          <cell r="AL171">
            <v>-7146.5342441224493</v>
          </cell>
          <cell r="AM171">
            <v>-22.62050664140429</v>
          </cell>
          <cell r="AN171">
            <v>6782.492986060417</v>
          </cell>
        </row>
        <row r="172">
          <cell r="AJ172">
            <v>-168630.31120955956</v>
          </cell>
          <cell r="AK172">
            <v>-10100.239306645584</v>
          </cell>
          <cell r="AL172">
            <v>-1307.9058716431609</v>
          </cell>
          <cell r="AM172">
            <v>97.720958114986388</v>
          </cell>
          <cell r="AN172">
            <v>5462.7354297332349</v>
          </cell>
        </row>
        <row r="173">
          <cell r="AJ173">
            <v>-230144.60354271659</v>
          </cell>
          <cell r="AK173">
            <v>-156140.70090587653</v>
          </cell>
          <cell r="AL173">
            <v>-23078.064740400499</v>
          </cell>
          <cell r="AM173">
            <v>-238.7616938203978</v>
          </cell>
          <cell r="AN173">
            <v>-45152.86911718591</v>
          </cell>
        </row>
        <row r="174">
          <cell r="AJ174">
            <v>296867.36842949619</v>
          </cell>
          <cell r="AK174">
            <v>120399.39612911682</v>
          </cell>
          <cell r="AL174">
            <v>28816.247084056842</v>
          </cell>
          <cell r="AM174">
            <v>371.3554599845495</v>
          </cell>
          <cell r="AN174">
            <v>33336.632897345524</v>
          </cell>
        </row>
        <row r="175">
          <cell r="AJ175">
            <v>-133168.63671565603</v>
          </cell>
          <cell r="AK175">
            <v>-138289.91116735328</v>
          </cell>
          <cell r="AL175">
            <v>-23020.402816756512</v>
          </cell>
          <cell r="AM175">
            <v>-337.13135500843646</v>
          </cell>
          <cell r="AN175">
            <v>-44421.917945225723</v>
          </cell>
        </row>
        <row r="176">
          <cell r="AJ176">
            <v>-174314.41300941689</v>
          </cell>
          <cell r="AK176">
            <v>-44692.24002656521</v>
          </cell>
          <cell r="AL176">
            <v>1986.8244636632153</v>
          </cell>
          <cell r="AM176">
            <v>-18.727589300804766</v>
          </cell>
          <cell r="AN176">
            <v>-5632.4438383802626</v>
          </cell>
        </row>
        <row r="177">
          <cell r="AJ177">
            <v>11168.959428828326</v>
          </cell>
          <cell r="AK177">
            <v>132309.78490170563</v>
          </cell>
          <cell r="AL177">
            <v>24168.162366841309</v>
          </cell>
          <cell r="AM177">
            <v>281.3229197511173</v>
          </cell>
          <cell r="AN177">
            <v>38505.770382873554</v>
          </cell>
        </row>
        <row r="178">
          <cell r="AJ178">
            <v>163128.98360670125</v>
          </cell>
          <cell r="AK178">
            <v>107815.51966566686</v>
          </cell>
          <cell r="AL178">
            <v>26954.508885031566</v>
          </cell>
          <cell r="AM178">
            <v>54.555865205943974</v>
          </cell>
          <cell r="AN178">
            <v>22085.431977394357</v>
          </cell>
        </row>
        <row r="179">
          <cell r="AJ179">
            <v>144182.4799437871</v>
          </cell>
          <cell r="AK179">
            <v>13382.935878085671</v>
          </cell>
          <cell r="AL179">
            <v>9536.4277810101921</v>
          </cell>
          <cell r="AM179">
            <v>-44.473340289967382</v>
          </cell>
          <cell r="AN179">
            <v>1758.6297374069691</v>
          </cell>
        </row>
        <row r="180">
          <cell r="AJ180">
            <v>143564.16579700005</v>
          </cell>
          <cell r="AK180">
            <v>40972.502684473176</v>
          </cell>
          <cell r="AL180">
            <v>-11540.450697889726</v>
          </cell>
          <cell r="AM180">
            <v>-45.692136265239242</v>
          </cell>
          <cell r="AN180">
            <v>2315.4743526818929</v>
          </cell>
        </row>
        <row r="181">
          <cell r="AJ181">
            <v>120674.58517565159</v>
          </cell>
          <cell r="AK181">
            <v>20039.996245500282</v>
          </cell>
          <cell r="AL181">
            <v>-11817.049839314568</v>
          </cell>
          <cell r="AM181">
            <v>-0.6432027595155887</v>
          </cell>
          <cell r="AN181">
            <v>-5045.8883790778345</v>
          </cell>
        </row>
        <row r="182">
          <cell r="AJ182">
            <v>5017.629954895936</v>
          </cell>
          <cell r="AK182">
            <v>-2299.0302574092057</v>
          </cell>
          <cell r="AL182">
            <v>2636.731798902998</v>
          </cell>
          <cell r="AM182">
            <v>-92.616863047778452</v>
          </cell>
          <cell r="AN182">
            <v>-11940.714633341937</v>
          </cell>
        </row>
        <row r="183">
          <cell r="AJ183">
            <v>-189898.69087883714</v>
          </cell>
          <cell r="AK183">
            <v>-99262.128106900142</v>
          </cell>
          <cell r="AL183">
            <v>-23568.033389505523</v>
          </cell>
          <cell r="AM183">
            <v>-104.4175585279097</v>
          </cell>
          <cell r="AN183">
            <v>2737.2699337706727</v>
          </cell>
        </row>
        <row r="184">
          <cell r="AJ184">
            <v>-302937.80488885043</v>
          </cell>
          <cell r="AK184">
            <v>-87132.071284695412</v>
          </cell>
          <cell r="AL184">
            <v>-13513.220957382757</v>
          </cell>
          <cell r="AM184">
            <v>-84.36784398267514</v>
          </cell>
          <cell r="AN184">
            <v>-19403.535025088757</v>
          </cell>
        </row>
        <row r="185">
          <cell r="AJ185">
            <v>-141314.95024989592</v>
          </cell>
          <cell r="AK185">
            <v>-58925.038694079616</v>
          </cell>
          <cell r="AL185">
            <v>-395.26448814175092</v>
          </cell>
          <cell r="AM185">
            <v>32.926975398367404</v>
          </cell>
          <cell r="AN185">
            <v>-15458.673543281038</v>
          </cell>
        </row>
        <row r="186">
          <cell r="AJ186">
            <v>-61683.316279868828</v>
          </cell>
          <cell r="AK186">
            <v>-25329.246302721614</v>
          </cell>
          <cell r="AL186">
            <v>-11322.62891336513</v>
          </cell>
          <cell r="AM186">
            <v>-9.6026728569936495</v>
          </cell>
          <cell r="AN186">
            <v>-6880.205831187428</v>
          </cell>
        </row>
        <row r="187">
          <cell r="AJ187">
            <v>113031.05816130072</v>
          </cell>
          <cell r="AK187">
            <v>36964.17131316365</v>
          </cell>
          <cell r="AL187">
            <v>11637.481553219259</v>
          </cell>
          <cell r="AM187">
            <v>83.486181897817914</v>
          </cell>
          <cell r="AN187">
            <v>3890.8027904185583</v>
          </cell>
        </row>
        <row r="188">
          <cell r="AJ188">
            <v>-46132.657969209133</v>
          </cell>
          <cell r="AK188">
            <v>-10978.50748669781</v>
          </cell>
          <cell r="AL188">
            <v>11048.090415288345</v>
          </cell>
          <cell r="AM188">
            <v>92.060349456119866</v>
          </cell>
          <cell r="AN188">
            <v>25316.014691162476</v>
          </cell>
        </row>
        <row r="189">
          <cell r="AJ189">
            <v>105779.89185646595</v>
          </cell>
          <cell r="AK189">
            <v>71011.630757334467</v>
          </cell>
          <cell r="AL189">
            <v>13383.676123800367</v>
          </cell>
          <cell r="AM189">
            <v>87.858686043462512</v>
          </cell>
          <cell r="AN189">
            <v>-1456.0574236442044</v>
          </cell>
        </row>
        <row r="190">
          <cell r="AJ190">
            <v>24125.933845305117</v>
          </cell>
          <cell r="AK190">
            <v>20665.635000731796</v>
          </cell>
          <cell r="AL190">
            <v>-1284.4549589305534</v>
          </cell>
          <cell r="AM190">
            <v>-60.80291425015821</v>
          </cell>
          <cell r="AN190">
            <v>3614.6890271436714</v>
          </cell>
        </row>
        <row r="191">
          <cell r="AJ191">
            <v>242823.6552341436</v>
          </cell>
          <cell r="AK191">
            <v>128547.16725151672</v>
          </cell>
          <cell r="AL191">
            <v>35317.700095477863</v>
          </cell>
          <cell r="AM191">
            <v>235.08952557174189</v>
          </cell>
          <cell r="AN191">
            <v>33449.387893290055</v>
          </cell>
        </row>
        <row r="192">
          <cell r="AJ192">
            <v>15189.236447615083</v>
          </cell>
          <cell r="AK192">
            <v>-52712.060714678024</v>
          </cell>
          <cell r="AL192">
            <v>-31139.852571995201</v>
          </cell>
          <cell r="AM192">
            <v>-244.51579897173769</v>
          </cell>
          <cell r="AN192">
            <v>-21411.807361970044</v>
          </cell>
        </row>
        <row r="193">
          <cell r="AJ193">
            <v>205338.70758496108</v>
          </cell>
          <cell r="AK193">
            <v>129873.54591359489</v>
          </cell>
          <cell r="AL193">
            <v>32993.426957443473</v>
          </cell>
          <cell r="AM193">
            <v>240.54268819385379</v>
          </cell>
          <cell r="AN193">
            <v>25623.776855806704</v>
          </cell>
        </row>
        <row r="194">
          <cell r="AJ194">
            <v>13562.877583899302</v>
          </cell>
          <cell r="AK194">
            <v>-83892.690713495715</v>
          </cell>
          <cell r="AL194">
            <v>-38778.757456885971</v>
          </cell>
          <cell r="AM194">
            <v>-276.43482708013266</v>
          </cell>
          <cell r="AN194">
            <v>-27024.994586437533</v>
          </cell>
        </row>
        <row r="195">
          <cell r="AJ195">
            <v>-182045.66033309884</v>
          </cell>
          <cell r="AK195">
            <v>-21540.932813393534</v>
          </cell>
          <cell r="AL195">
            <v>5824.8393798629695</v>
          </cell>
          <cell r="AM195">
            <v>19.475129408580187</v>
          </cell>
          <cell r="AN195">
            <v>14989.278637220734</v>
          </cell>
        </row>
        <row r="196">
          <cell r="AJ196">
            <v>-139590.49855921895</v>
          </cell>
          <cell r="AK196">
            <v>-85571.95522887574</v>
          </cell>
          <cell r="AL196">
            <v>-25813.71784760186</v>
          </cell>
          <cell r="AM196">
            <v>-76.20889389649551</v>
          </cell>
          <cell r="AN196">
            <v>-24478.619470406789</v>
          </cell>
        </row>
        <row r="197">
          <cell r="AJ197">
            <v>-280106.54113445408</v>
          </cell>
          <cell r="AK197">
            <v>-128905.67958618829</v>
          </cell>
          <cell r="AL197">
            <v>-13037.902644668764</v>
          </cell>
          <cell r="AM197">
            <v>-147.5640439456497</v>
          </cell>
          <cell r="AN197">
            <v>-28476.31259074324</v>
          </cell>
        </row>
        <row r="198">
          <cell r="AJ198">
            <v>58751.438494931208</v>
          </cell>
          <cell r="AK198">
            <v>93197.601960810833</v>
          </cell>
          <cell r="AL198">
            <v>41047.90924523471</v>
          </cell>
          <cell r="AM198">
            <v>348.01876660826133</v>
          </cell>
          <cell r="AN198">
            <v>26094.031532415043</v>
          </cell>
        </row>
        <row r="199">
          <cell r="AJ199">
            <v>19000.243274547975</v>
          </cell>
          <cell r="AK199">
            <v>-20586.906375278602</v>
          </cell>
          <cell r="AL199">
            <v>-15340.435663207638</v>
          </cell>
          <cell r="AM199">
            <v>-81.231532695997657</v>
          </cell>
          <cell r="AN199">
            <v>-16703.669703365711</v>
          </cell>
        </row>
        <row r="200">
          <cell r="AJ200">
            <v>-47160.858685823274</v>
          </cell>
          <cell r="AK200">
            <v>-63327.22214409773</v>
          </cell>
          <cell r="AL200">
            <v>-8138.866608948767</v>
          </cell>
          <cell r="AM200">
            <v>-90.463843943530719</v>
          </cell>
          <cell r="AN200">
            <v>-7830.5887171867071</v>
          </cell>
        </row>
        <row r="201">
          <cell r="AJ201">
            <v>82573.825877788127</v>
          </cell>
          <cell r="AK201">
            <v>72895.043636879709</v>
          </cell>
          <cell r="AL201">
            <v>19105.927525950974</v>
          </cell>
          <cell r="AM201">
            <v>165.91482470028109</v>
          </cell>
          <cell r="AN201">
            <v>19410.288134680857</v>
          </cell>
        </row>
        <row r="202">
          <cell r="AJ202">
            <v>71355.417890732409</v>
          </cell>
          <cell r="AK202">
            <v>28227.693287153263</v>
          </cell>
          <cell r="AL202">
            <v>14632.633978582249</v>
          </cell>
          <cell r="AM202">
            <v>17.539291189323194</v>
          </cell>
          <cell r="AN202">
            <v>3700.7155523427646</v>
          </cell>
        </row>
        <row r="203">
          <cell r="AJ203">
            <v>50783.909321114654</v>
          </cell>
          <cell r="AK203">
            <v>54436.262153629912</v>
          </cell>
          <cell r="AL203">
            <v>-6868.2846249658614</v>
          </cell>
          <cell r="AM203">
            <v>-94.489670810205553</v>
          </cell>
          <cell r="AN203">
            <v>10391.602821031498</v>
          </cell>
        </row>
        <row r="204">
          <cell r="AJ204">
            <v>122953.31595179392</v>
          </cell>
          <cell r="AK204">
            <v>22641.46462582075</v>
          </cell>
          <cell r="AL204">
            <v>2524.4012689005176</v>
          </cell>
          <cell r="AM204">
            <v>-41.484199208715154</v>
          </cell>
          <cell r="AN204">
            <v>4296.3023526933102</v>
          </cell>
        </row>
        <row r="205">
          <cell r="AJ205">
            <v>61827.293219927233</v>
          </cell>
          <cell r="AK205">
            <v>-7717.2218029671349</v>
          </cell>
          <cell r="AL205">
            <v>-16967.442728607886</v>
          </cell>
          <cell r="AM205">
            <v>-70.11191807920477</v>
          </cell>
          <cell r="AN205">
            <v>-16346.516770272836</v>
          </cell>
          <cell r="AP205">
            <v>-9089</v>
          </cell>
          <cell r="AQ205">
            <v>-39023</v>
          </cell>
        </row>
        <row r="206">
          <cell r="AJ206">
            <v>140117.44246538798</v>
          </cell>
          <cell r="AK206">
            <v>111808.08202081779</v>
          </cell>
          <cell r="AL206">
            <v>33343.646511746832</v>
          </cell>
          <cell r="AM206">
            <v>207.38192355733713</v>
          </cell>
          <cell r="AN206">
            <v>34403.44707848996</v>
          </cell>
          <cell r="AP206">
            <v>18228</v>
          </cell>
          <cell r="AQ206">
            <v>20449</v>
          </cell>
        </row>
        <row r="207">
          <cell r="AJ207">
            <v>-113981.92556878226</v>
          </cell>
          <cell r="AK207">
            <v>-107586.66141499428</v>
          </cell>
          <cell r="AL207">
            <v>-35999.333856243058</v>
          </cell>
          <cell r="AM207">
            <v>-230.19127704895868</v>
          </cell>
          <cell r="AN207">
            <v>-12929.887882931391</v>
          </cell>
          <cell r="AP207">
            <v>-12434</v>
          </cell>
          <cell r="AQ207">
            <v>2442</v>
          </cell>
        </row>
        <row r="208">
          <cell r="AJ208">
            <v>-151396.59557045007</v>
          </cell>
          <cell r="AK208">
            <v>-52708.731795956031</v>
          </cell>
          <cell r="AL208">
            <v>-18386.116143844847</v>
          </cell>
          <cell r="AM208">
            <v>-2.1332063463698887</v>
          </cell>
          <cell r="AN208">
            <v>-17300.423283402604</v>
          </cell>
          <cell r="AP208">
            <v>2503</v>
          </cell>
          <cell r="AQ208">
            <v>-15967</v>
          </cell>
        </row>
        <row r="209">
          <cell r="AJ209">
            <v>-211363.3755538133</v>
          </cell>
          <cell r="AK209">
            <v>-68186.77250837523</v>
          </cell>
          <cell r="AL209">
            <v>20921.697854110855</v>
          </cell>
          <cell r="AM209">
            <v>-38.334470577845877</v>
          </cell>
          <cell r="AN209">
            <v>-11451.215321344527</v>
          </cell>
          <cell r="AP209">
            <v>-9824</v>
          </cell>
          <cell r="AQ209">
            <v>-32704</v>
          </cell>
        </row>
        <row r="210">
          <cell r="AJ210">
            <v>-57137.635239624185</v>
          </cell>
          <cell r="AK210">
            <v>-39748.201540543407</v>
          </cell>
          <cell r="AL210">
            <v>-21089.036976932577</v>
          </cell>
          <cell r="AM210">
            <v>2.7369834510443525</v>
          </cell>
          <cell r="AN210">
            <v>-15973.863226350863</v>
          </cell>
          <cell r="AP210">
            <v>-1664</v>
          </cell>
          <cell r="AQ210">
            <v>-3069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TOTAL"/>
      <sheetName val="RC"/>
      <sheetName val="CC"/>
      <sheetName val="IC"/>
      <sheetName val="SHL"/>
      <sheetName val="SPA"/>
      <sheetName val="1996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Charts"/>
    </sheetNames>
    <sheetDataSet>
      <sheetData sheetId="0">
        <row r="28">
          <cell r="I28">
            <v>1243875.75</v>
          </cell>
        </row>
        <row r="40">
          <cell r="I40">
            <v>1267347</v>
          </cell>
        </row>
        <row r="52">
          <cell r="I52">
            <v>1291734.1666666667</v>
          </cell>
        </row>
        <row r="64">
          <cell r="I64">
            <v>1315018.5</v>
          </cell>
        </row>
        <row r="76">
          <cell r="I76">
            <v>1340148.1666666667</v>
          </cell>
        </row>
        <row r="88">
          <cell r="I88">
            <v>1371063.4166666667</v>
          </cell>
        </row>
        <row r="100">
          <cell r="I100">
            <v>1407369.5833333333</v>
          </cell>
        </row>
        <row r="112">
          <cell r="I112">
            <v>1443295.0833333333</v>
          </cell>
        </row>
        <row r="124">
          <cell r="I124">
            <v>1475564.1666666667</v>
          </cell>
        </row>
        <row r="136">
          <cell r="I136">
            <v>1511301.8333333333</v>
          </cell>
        </row>
        <row r="148">
          <cell r="I148">
            <v>1548415.25</v>
          </cell>
        </row>
        <row r="160">
          <cell r="I160">
            <v>1577955.3333333333</v>
          </cell>
        </row>
        <row r="172">
          <cell r="I172">
            <v>1613420.3333333333</v>
          </cell>
        </row>
        <row r="184">
          <cell r="I184">
            <v>1636792.0833333333</v>
          </cell>
        </row>
        <row r="196">
          <cell r="I196">
            <v>1637225.0833333333</v>
          </cell>
        </row>
        <row r="208">
          <cell r="I208">
            <v>1629710.4166666667</v>
          </cell>
        </row>
        <row r="220">
          <cell r="I220">
            <v>1634172.1666666667</v>
          </cell>
        </row>
        <row r="232">
          <cell r="I232">
            <v>1642361.3333333333</v>
          </cell>
        </row>
        <row r="244">
          <cell r="I244">
            <v>1655530.1666666667</v>
          </cell>
        </row>
        <row r="255">
          <cell r="I255">
            <v>1672552.8333333333</v>
          </cell>
        </row>
        <row r="256">
          <cell r="O256">
            <v>1672975.75</v>
          </cell>
        </row>
        <row r="268">
          <cell r="O268">
            <v>1689008.75</v>
          </cell>
        </row>
      </sheetData>
      <sheetData sheetId="1">
        <row r="29">
          <cell r="E29">
            <v>1130616</v>
          </cell>
        </row>
        <row r="30">
          <cell r="E30">
            <v>1135042</v>
          </cell>
        </row>
        <row r="31">
          <cell r="E31">
            <v>1130585</v>
          </cell>
        </row>
        <row r="32">
          <cell r="E32">
            <v>1128559</v>
          </cell>
        </row>
        <row r="33">
          <cell r="E33">
            <v>1101209</v>
          </cell>
        </row>
        <row r="34">
          <cell r="E34">
            <v>1105285</v>
          </cell>
        </row>
        <row r="35">
          <cell r="E35">
            <v>1106449</v>
          </cell>
        </row>
        <row r="36">
          <cell r="E36">
            <v>1112600</v>
          </cell>
        </row>
        <row r="37">
          <cell r="E37">
            <v>1111241</v>
          </cell>
        </row>
        <row r="38">
          <cell r="E38">
            <v>1116922</v>
          </cell>
        </row>
        <row r="39">
          <cell r="E39">
            <v>1130679</v>
          </cell>
        </row>
        <row r="40">
          <cell r="E40">
            <v>1139288</v>
          </cell>
        </row>
        <row r="41">
          <cell r="E41">
            <v>1147683</v>
          </cell>
        </row>
        <row r="42">
          <cell r="E42">
            <v>1153099</v>
          </cell>
        </row>
        <row r="43">
          <cell r="E43">
            <v>1154551</v>
          </cell>
        </row>
        <row r="44">
          <cell r="E44">
            <v>1147187</v>
          </cell>
        </row>
        <row r="45">
          <cell r="E45">
            <v>1130742</v>
          </cell>
        </row>
        <row r="46">
          <cell r="E46">
            <v>1126717</v>
          </cell>
        </row>
        <row r="47">
          <cell r="E47">
            <v>1127359</v>
          </cell>
        </row>
        <row r="48">
          <cell r="E48">
            <v>1129401</v>
          </cell>
        </row>
        <row r="49">
          <cell r="E49">
            <v>1129411</v>
          </cell>
        </row>
        <row r="50">
          <cell r="E50">
            <v>1137305</v>
          </cell>
        </row>
        <row r="51">
          <cell r="E51">
            <v>1143634</v>
          </cell>
        </row>
        <row r="52">
          <cell r="E52">
            <v>1169763</v>
          </cell>
        </row>
        <row r="53">
          <cell r="E53">
            <v>1172349</v>
          </cell>
        </row>
        <row r="54">
          <cell r="E54">
            <v>1175214</v>
          </cell>
        </row>
        <row r="55">
          <cell r="E55">
            <v>1177744</v>
          </cell>
        </row>
        <row r="56">
          <cell r="E56">
            <v>1166545</v>
          </cell>
        </row>
        <row r="57">
          <cell r="E57">
            <v>1152086</v>
          </cell>
        </row>
        <row r="58">
          <cell r="E58">
            <v>1148160</v>
          </cell>
        </row>
        <row r="59">
          <cell r="E59">
            <v>1139212</v>
          </cell>
        </row>
        <row r="60">
          <cell r="E60">
            <v>1154794</v>
          </cell>
        </row>
        <row r="61">
          <cell r="E61">
            <v>1148152</v>
          </cell>
        </row>
        <row r="62">
          <cell r="E62">
            <v>1153231</v>
          </cell>
        </row>
        <row r="63">
          <cell r="E63">
            <v>1167173</v>
          </cell>
        </row>
        <row r="64">
          <cell r="E64">
            <v>1178620</v>
          </cell>
        </row>
        <row r="65">
          <cell r="E65">
            <v>1186498</v>
          </cell>
        </row>
        <row r="66">
          <cell r="E66">
            <v>1190538</v>
          </cell>
        </row>
        <row r="67">
          <cell r="E67">
            <v>1192054</v>
          </cell>
        </row>
        <row r="68">
          <cell r="E68">
            <v>1184454</v>
          </cell>
        </row>
        <row r="69">
          <cell r="E69">
            <v>1172785</v>
          </cell>
        </row>
        <row r="70">
          <cell r="E70">
            <v>1170842</v>
          </cell>
        </row>
        <row r="71">
          <cell r="E71">
            <v>1172763</v>
          </cell>
        </row>
        <row r="72">
          <cell r="E72">
            <v>1173841</v>
          </cell>
        </row>
        <row r="73">
          <cell r="E73">
            <v>1175429</v>
          </cell>
        </row>
        <row r="74">
          <cell r="E74">
            <v>1179962</v>
          </cell>
        </row>
        <row r="75">
          <cell r="E75">
            <v>1188443</v>
          </cell>
        </row>
        <row r="76">
          <cell r="E76">
            <v>1199030</v>
          </cell>
        </row>
        <row r="77">
          <cell r="E77">
            <v>1207624</v>
          </cell>
        </row>
        <row r="78">
          <cell r="E78">
            <v>1212931</v>
          </cell>
        </row>
        <row r="79">
          <cell r="E79">
            <v>1214904</v>
          </cell>
        </row>
        <row r="80">
          <cell r="E80">
            <v>1208871</v>
          </cell>
        </row>
        <row r="81">
          <cell r="E81">
            <v>1199994</v>
          </cell>
        </row>
        <row r="82">
          <cell r="E82">
            <v>1197127</v>
          </cell>
        </row>
        <row r="83">
          <cell r="E83">
            <v>1198682</v>
          </cell>
        </row>
        <row r="84">
          <cell r="E84">
            <v>1202969</v>
          </cell>
        </row>
        <row r="85">
          <cell r="E85">
            <v>1205087</v>
          </cell>
        </row>
        <row r="86">
          <cell r="E86">
            <v>1209031</v>
          </cell>
        </row>
        <row r="87">
          <cell r="E87">
            <v>1218613</v>
          </cell>
        </row>
        <row r="88">
          <cell r="E88">
            <v>1226748</v>
          </cell>
        </row>
        <row r="89">
          <cell r="E89">
            <v>1233833</v>
          </cell>
        </row>
        <row r="90">
          <cell r="E90">
            <v>1239587</v>
          </cell>
        </row>
        <row r="91">
          <cell r="E91">
            <v>1242839</v>
          </cell>
        </row>
        <row r="92">
          <cell r="E92">
            <v>1238547</v>
          </cell>
        </row>
        <row r="93">
          <cell r="E93">
            <v>1231447</v>
          </cell>
        </row>
        <row r="94">
          <cell r="E94">
            <v>1231373</v>
          </cell>
        </row>
        <row r="95">
          <cell r="E95">
            <v>1234439</v>
          </cell>
        </row>
        <row r="96">
          <cell r="E96">
            <v>1236382</v>
          </cell>
        </row>
        <row r="97">
          <cell r="E97">
            <v>1239364</v>
          </cell>
        </row>
        <row r="98">
          <cell r="E98">
            <v>1244291</v>
          </cell>
        </row>
        <row r="99">
          <cell r="E99">
            <v>1253524</v>
          </cell>
        </row>
        <row r="100">
          <cell r="E100">
            <v>1261216</v>
          </cell>
        </row>
        <row r="101">
          <cell r="E101">
            <v>1269604</v>
          </cell>
        </row>
        <row r="102">
          <cell r="E102">
            <v>1274846</v>
          </cell>
        </row>
        <row r="103">
          <cell r="E103">
            <v>1277125</v>
          </cell>
        </row>
        <row r="104">
          <cell r="E104">
            <v>1272206</v>
          </cell>
        </row>
        <row r="105">
          <cell r="E105">
            <v>1265292</v>
          </cell>
        </row>
        <row r="106">
          <cell r="E106">
            <v>1265610</v>
          </cell>
        </row>
        <row r="107">
          <cell r="E107">
            <v>1267591</v>
          </cell>
        </row>
        <row r="108">
          <cell r="E108">
            <v>1268742</v>
          </cell>
        </row>
        <row r="109">
          <cell r="E109">
            <v>1271610</v>
          </cell>
        </row>
        <row r="110">
          <cell r="E110">
            <v>1274346</v>
          </cell>
        </row>
        <row r="111">
          <cell r="E111">
            <v>1282833</v>
          </cell>
        </row>
        <row r="112">
          <cell r="E112">
            <v>1288993</v>
          </cell>
        </row>
        <row r="113">
          <cell r="E113">
            <v>1294849</v>
          </cell>
        </row>
        <row r="114">
          <cell r="E114">
            <v>1301998</v>
          </cell>
        </row>
        <row r="115">
          <cell r="E115">
            <v>1302983</v>
          </cell>
        </row>
        <row r="116">
          <cell r="E116">
            <v>1297434</v>
          </cell>
        </row>
        <row r="117">
          <cell r="E117">
            <v>1294841</v>
          </cell>
        </row>
        <row r="118">
          <cell r="E118">
            <v>1295383</v>
          </cell>
        </row>
        <row r="119">
          <cell r="E119">
            <v>1296698</v>
          </cell>
        </row>
        <row r="120">
          <cell r="E120">
            <v>1299529</v>
          </cell>
        </row>
        <row r="121">
          <cell r="E121">
            <v>1301799</v>
          </cell>
        </row>
        <row r="122">
          <cell r="E122">
            <v>1304134</v>
          </cell>
        </row>
        <row r="123">
          <cell r="E123">
            <v>1310475</v>
          </cell>
        </row>
        <row r="124">
          <cell r="E124">
            <v>1316369</v>
          </cell>
        </row>
        <row r="125">
          <cell r="E125">
            <v>1322388</v>
          </cell>
        </row>
        <row r="126">
          <cell r="E126">
            <v>1327540</v>
          </cell>
        </row>
        <row r="127">
          <cell r="E127">
            <v>1330550</v>
          </cell>
        </row>
        <row r="128">
          <cell r="E128">
            <v>1329175</v>
          </cell>
        </row>
        <row r="129">
          <cell r="E129">
            <v>1327247</v>
          </cell>
        </row>
        <row r="130">
          <cell r="E130">
            <v>1328067</v>
          </cell>
        </row>
        <row r="131">
          <cell r="E131">
            <v>1330368</v>
          </cell>
        </row>
        <row r="132">
          <cell r="E132">
            <v>1332916</v>
          </cell>
        </row>
        <row r="133">
          <cell r="E133">
            <v>1334628</v>
          </cell>
        </row>
        <row r="134">
          <cell r="E134">
            <v>1337646</v>
          </cell>
        </row>
        <row r="135">
          <cell r="E135">
            <v>1343487</v>
          </cell>
        </row>
        <row r="136">
          <cell r="E136">
            <v>1347450</v>
          </cell>
        </row>
        <row r="137">
          <cell r="E137">
            <v>1353786</v>
          </cell>
        </row>
        <row r="138">
          <cell r="E138">
            <v>1357284</v>
          </cell>
        </row>
        <row r="139">
          <cell r="E139">
            <v>1360100</v>
          </cell>
        </row>
        <row r="140">
          <cell r="E140">
            <v>1360024</v>
          </cell>
        </row>
        <row r="141">
          <cell r="E141">
            <v>1360024</v>
          </cell>
        </row>
        <row r="142">
          <cell r="E142">
            <v>1361026</v>
          </cell>
        </row>
        <row r="143">
          <cell r="E143">
            <v>1364088</v>
          </cell>
        </row>
        <row r="144">
          <cell r="E144">
            <v>1365744</v>
          </cell>
        </row>
        <row r="145">
          <cell r="E145">
            <v>1369122</v>
          </cell>
        </row>
        <row r="146">
          <cell r="E146">
            <v>1370668</v>
          </cell>
        </row>
        <row r="147">
          <cell r="E147">
            <v>1371373</v>
          </cell>
        </row>
        <row r="148">
          <cell r="E148">
            <v>1380977</v>
          </cell>
        </row>
        <row r="149">
          <cell r="E149">
            <v>1383522</v>
          </cell>
        </row>
        <row r="150">
          <cell r="E150">
            <v>1388413</v>
          </cell>
        </row>
        <row r="151">
          <cell r="E151">
            <v>1390388</v>
          </cell>
        </row>
        <row r="152">
          <cell r="E152">
            <v>1390826</v>
          </cell>
        </row>
        <row r="153">
          <cell r="E153">
            <v>1391681</v>
          </cell>
        </row>
        <row r="154">
          <cell r="E154">
            <v>1381997</v>
          </cell>
        </row>
        <row r="155">
          <cell r="E155">
            <v>1386201</v>
          </cell>
        </row>
        <row r="156">
          <cell r="E156">
            <v>1390012</v>
          </cell>
        </row>
        <row r="157">
          <cell r="E157">
            <v>1393375</v>
          </cell>
        </row>
        <row r="158">
          <cell r="E158">
            <v>1396942</v>
          </cell>
        </row>
        <row r="159">
          <cell r="E159">
            <v>1402357</v>
          </cell>
        </row>
        <row r="160">
          <cell r="E160">
            <v>1407725</v>
          </cell>
        </row>
        <row r="161">
          <cell r="E161">
            <v>1412056</v>
          </cell>
        </row>
        <row r="162">
          <cell r="E162">
            <v>1416705</v>
          </cell>
        </row>
        <row r="163">
          <cell r="E163">
            <v>1420537</v>
          </cell>
        </row>
        <row r="164">
          <cell r="E164">
            <v>1420670</v>
          </cell>
        </row>
        <row r="165">
          <cell r="E165">
            <v>1421007</v>
          </cell>
        </row>
        <row r="166">
          <cell r="E166">
            <v>1421610</v>
          </cell>
        </row>
        <row r="167">
          <cell r="E167">
            <v>1425229</v>
          </cell>
        </row>
        <row r="168">
          <cell r="E168">
            <v>1427208</v>
          </cell>
        </row>
        <row r="169">
          <cell r="E169">
            <v>1429559</v>
          </cell>
        </row>
        <row r="170">
          <cell r="E170">
            <v>1431506</v>
          </cell>
        </row>
        <row r="171">
          <cell r="E171">
            <v>1436086</v>
          </cell>
        </row>
        <row r="172">
          <cell r="E172">
            <v>1439559</v>
          </cell>
        </row>
        <row r="173">
          <cell r="E173">
            <v>1443366</v>
          </cell>
        </row>
        <row r="174">
          <cell r="E174">
            <v>1446822</v>
          </cell>
        </row>
        <row r="175">
          <cell r="E175">
            <v>1448975</v>
          </cell>
        </row>
        <row r="176">
          <cell r="E176">
            <v>1448322</v>
          </cell>
        </row>
        <row r="177">
          <cell r="E177">
            <v>1447045</v>
          </cell>
        </row>
        <row r="178">
          <cell r="E178">
            <v>1446743</v>
          </cell>
        </row>
        <row r="179">
          <cell r="E179">
            <v>1447072</v>
          </cell>
        </row>
        <row r="180">
          <cell r="E180">
            <v>1447084</v>
          </cell>
        </row>
        <row r="181">
          <cell r="E181">
            <v>1447870</v>
          </cell>
        </row>
        <row r="182">
          <cell r="E182">
            <v>1447612</v>
          </cell>
        </row>
        <row r="183">
          <cell r="E183">
            <v>1448446</v>
          </cell>
        </row>
        <row r="184">
          <cell r="E184">
            <v>1447909</v>
          </cell>
        </row>
        <row r="185">
          <cell r="E185">
            <v>1450881</v>
          </cell>
        </row>
        <row r="186">
          <cell r="E186">
            <v>1451349</v>
          </cell>
        </row>
        <row r="187">
          <cell r="E187">
            <v>1452491</v>
          </cell>
        </row>
        <row r="188">
          <cell r="E188">
            <v>1451218</v>
          </cell>
        </row>
        <row r="189">
          <cell r="E189">
            <v>1448766</v>
          </cell>
        </row>
        <row r="190">
          <cell r="E190">
            <v>1447578</v>
          </cell>
        </row>
        <row r="191">
          <cell r="E191">
            <v>1446797</v>
          </cell>
        </row>
        <row r="192">
          <cell r="E192">
            <v>1446304</v>
          </cell>
        </row>
        <row r="193">
          <cell r="E193">
            <v>1445067</v>
          </cell>
        </row>
        <row r="194">
          <cell r="E194">
            <v>1442971</v>
          </cell>
        </row>
        <row r="195">
          <cell r="E195">
            <v>1442571</v>
          </cell>
        </row>
        <row r="196">
          <cell r="E196">
            <v>1442516</v>
          </cell>
        </row>
        <row r="197">
          <cell r="E197">
            <v>1443753</v>
          </cell>
        </row>
        <row r="198">
          <cell r="E198">
            <v>1444924</v>
          </cell>
        </row>
        <row r="199">
          <cell r="E199">
            <v>1445738</v>
          </cell>
        </row>
        <row r="200">
          <cell r="E200">
            <v>1443326</v>
          </cell>
        </row>
        <row r="201">
          <cell r="E201">
            <v>1441770</v>
          </cell>
        </row>
        <row r="202">
          <cell r="E202">
            <v>1440419</v>
          </cell>
        </row>
        <row r="203">
          <cell r="E203">
            <v>1439991</v>
          </cell>
        </row>
        <row r="204">
          <cell r="E204">
            <v>1439775</v>
          </cell>
        </row>
        <row r="205">
          <cell r="E205">
            <v>1437863</v>
          </cell>
        </row>
        <row r="206">
          <cell r="E206">
            <v>1436780</v>
          </cell>
        </row>
        <row r="207">
          <cell r="E207">
            <v>1438125</v>
          </cell>
        </row>
        <row r="208">
          <cell r="E208">
            <v>1439249</v>
          </cell>
        </row>
        <row r="209">
          <cell r="E209">
            <v>1442215</v>
          </cell>
        </row>
        <row r="210">
          <cell r="E210">
            <v>1444106</v>
          </cell>
        </row>
        <row r="211">
          <cell r="E211">
            <v>1445891</v>
          </cell>
        </row>
        <row r="212">
          <cell r="E212">
            <v>1445769</v>
          </cell>
        </row>
        <row r="213">
          <cell r="E213">
            <v>1444735</v>
          </cell>
        </row>
        <row r="214">
          <cell r="E214">
            <v>1445527</v>
          </cell>
        </row>
        <row r="215">
          <cell r="E215">
            <v>1445544</v>
          </cell>
        </row>
        <row r="216">
          <cell r="E216">
            <v>1445607</v>
          </cell>
        </row>
        <row r="217">
          <cell r="E217">
            <v>1444908</v>
          </cell>
        </row>
        <row r="218">
          <cell r="E218">
            <v>1444610</v>
          </cell>
        </row>
        <row r="219">
          <cell r="E219">
            <v>1445980</v>
          </cell>
        </row>
        <row r="220">
          <cell r="E220">
            <v>1447656</v>
          </cell>
        </row>
        <row r="221">
          <cell r="E221">
            <v>1449209</v>
          </cell>
        </row>
        <row r="222">
          <cell r="E222">
            <v>1451589</v>
          </cell>
        </row>
        <row r="223">
          <cell r="E223">
            <v>1453156</v>
          </cell>
        </row>
        <row r="224">
          <cell r="E224">
            <v>1453324</v>
          </cell>
        </row>
        <row r="225">
          <cell r="E225">
            <v>1452344</v>
          </cell>
        </row>
        <row r="226">
          <cell r="E226">
            <v>1452304</v>
          </cell>
        </row>
        <row r="227">
          <cell r="E227">
            <v>1452071</v>
          </cell>
        </row>
        <row r="228">
          <cell r="E228">
            <v>1451892</v>
          </cell>
        </row>
        <row r="229">
          <cell r="E229">
            <v>1452133</v>
          </cell>
        </row>
        <row r="230">
          <cell r="E230">
            <v>1452347</v>
          </cell>
        </row>
        <row r="231">
          <cell r="E231">
            <v>1453846</v>
          </cell>
        </row>
        <row r="232">
          <cell r="E232">
            <v>1455752</v>
          </cell>
        </row>
        <row r="233">
          <cell r="E233">
            <v>1458136</v>
          </cell>
        </row>
        <row r="234">
          <cell r="E234">
            <v>1460996</v>
          </cell>
        </row>
        <row r="235">
          <cell r="E235">
            <v>1463879</v>
          </cell>
        </row>
        <row r="236">
          <cell r="E236">
            <v>1464002</v>
          </cell>
        </row>
        <row r="237">
          <cell r="E237">
            <v>1463086</v>
          </cell>
        </row>
        <row r="238">
          <cell r="E238">
            <v>1463062</v>
          </cell>
        </row>
        <row r="239">
          <cell r="E239">
            <v>1464991</v>
          </cell>
        </row>
        <row r="240">
          <cell r="E240">
            <v>1464825</v>
          </cell>
        </row>
        <row r="241">
          <cell r="E241">
            <v>1465160</v>
          </cell>
        </row>
        <row r="242">
          <cell r="E242">
            <v>1465281</v>
          </cell>
        </row>
        <row r="243">
          <cell r="E243">
            <v>1467018</v>
          </cell>
        </row>
        <row r="244">
          <cell r="E244">
            <v>1469407</v>
          </cell>
        </row>
        <row r="245">
          <cell r="E245">
            <v>1471228</v>
          </cell>
        </row>
        <row r="246">
          <cell r="E246">
            <v>1473524</v>
          </cell>
        </row>
        <row r="247">
          <cell r="E247">
            <v>1476494</v>
          </cell>
        </row>
        <row r="248">
          <cell r="E248">
            <v>1476983</v>
          </cell>
        </row>
        <row r="249">
          <cell r="E249">
            <v>1485472</v>
          </cell>
        </row>
        <row r="250">
          <cell r="E250">
            <v>1478777</v>
          </cell>
        </row>
        <row r="251">
          <cell r="E251">
            <v>1478112</v>
          </cell>
        </row>
        <row r="252">
          <cell r="E252">
            <v>1479289</v>
          </cell>
        </row>
        <row r="253">
          <cell r="E253">
            <v>1477554</v>
          </cell>
        </row>
        <row r="254">
          <cell r="E254">
            <v>1483562</v>
          </cell>
        </row>
        <row r="255">
          <cell r="E255">
            <v>1502565</v>
          </cell>
        </row>
        <row r="256">
          <cell r="E256">
            <v>1488356</v>
          </cell>
        </row>
      </sheetData>
      <sheetData sheetId="2">
        <row r="29">
          <cell r="E29">
            <v>124372</v>
          </cell>
        </row>
        <row r="30">
          <cell r="E30">
            <v>124404</v>
          </cell>
        </row>
        <row r="31">
          <cell r="E31">
            <v>123798</v>
          </cell>
        </row>
        <row r="32">
          <cell r="E32">
            <v>124088</v>
          </cell>
        </row>
        <row r="33">
          <cell r="E33">
            <v>123594</v>
          </cell>
        </row>
        <row r="34">
          <cell r="E34">
            <v>125413</v>
          </cell>
        </row>
        <row r="35">
          <cell r="E35">
            <v>125781</v>
          </cell>
        </row>
        <row r="36">
          <cell r="E36">
            <v>127474</v>
          </cell>
        </row>
        <row r="37">
          <cell r="E37">
            <v>127716</v>
          </cell>
        </row>
        <row r="38">
          <cell r="E38">
            <v>127445</v>
          </cell>
        </row>
        <row r="39">
          <cell r="E39">
            <v>128123</v>
          </cell>
        </row>
        <row r="40">
          <cell r="E40">
            <v>127233</v>
          </cell>
        </row>
        <row r="41">
          <cell r="E41">
            <v>128416</v>
          </cell>
        </row>
        <row r="42">
          <cell r="E42">
            <v>128504</v>
          </cell>
        </row>
        <row r="43">
          <cell r="E43">
            <v>128247</v>
          </cell>
        </row>
        <row r="44">
          <cell r="E44">
            <v>128550</v>
          </cell>
        </row>
        <row r="45">
          <cell r="E45">
            <v>128664</v>
          </cell>
        </row>
        <row r="46">
          <cell r="E46">
            <v>128856</v>
          </cell>
        </row>
        <row r="47">
          <cell r="E47">
            <v>130687</v>
          </cell>
        </row>
        <row r="48">
          <cell r="E48">
            <v>128062</v>
          </cell>
        </row>
        <row r="49">
          <cell r="E49">
            <v>130006</v>
          </cell>
        </row>
        <row r="50">
          <cell r="E50">
            <v>130509</v>
          </cell>
        </row>
        <row r="51">
          <cell r="E51">
            <v>130248</v>
          </cell>
        </row>
        <row r="52">
          <cell r="E52">
            <v>131936</v>
          </cell>
        </row>
        <row r="53">
          <cell r="E53">
            <v>131412</v>
          </cell>
        </row>
        <row r="54">
          <cell r="E54">
            <v>131980</v>
          </cell>
        </row>
        <row r="55">
          <cell r="E55">
            <v>131640</v>
          </cell>
        </row>
        <row r="56">
          <cell r="E56">
            <v>131474</v>
          </cell>
        </row>
        <row r="57">
          <cell r="E57">
            <v>131552</v>
          </cell>
        </row>
        <row r="58">
          <cell r="E58">
            <v>132613</v>
          </cell>
        </row>
        <row r="59">
          <cell r="E59">
            <v>131284</v>
          </cell>
        </row>
        <row r="60">
          <cell r="E60">
            <v>133537</v>
          </cell>
        </row>
        <row r="61">
          <cell r="E61">
            <v>133107</v>
          </cell>
        </row>
        <row r="62">
          <cell r="E62">
            <v>133516</v>
          </cell>
        </row>
        <row r="63">
          <cell r="E63">
            <v>134067</v>
          </cell>
        </row>
        <row r="64">
          <cell r="E64">
            <v>134224</v>
          </cell>
        </row>
        <row r="65">
          <cell r="E65">
            <v>134341</v>
          </cell>
        </row>
        <row r="66">
          <cell r="E66">
            <v>135084</v>
          </cell>
        </row>
        <row r="67">
          <cell r="E67">
            <v>135376</v>
          </cell>
        </row>
        <row r="68">
          <cell r="E68">
            <v>135555</v>
          </cell>
        </row>
        <row r="69">
          <cell r="E69">
            <v>135953</v>
          </cell>
        </row>
        <row r="70">
          <cell r="E70">
            <v>136237</v>
          </cell>
        </row>
        <row r="71">
          <cell r="E71">
            <v>136354</v>
          </cell>
        </row>
        <row r="72">
          <cell r="E72">
            <v>136492</v>
          </cell>
        </row>
        <row r="73">
          <cell r="E73">
            <v>136702</v>
          </cell>
        </row>
        <row r="74">
          <cell r="E74">
            <v>137309</v>
          </cell>
        </row>
        <row r="75">
          <cell r="E75">
            <v>137549</v>
          </cell>
        </row>
        <row r="76">
          <cell r="E76">
            <v>137826</v>
          </cell>
        </row>
        <row r="77">
          <cell r="E77">
            <v>138323</v>
          </cell>
        </row>
        <row r="78">
          <cell r="E78">
            <v>138841</v>
          </cell>
        </row>
        <row r="79">
          <cell r="E79">
            <v>139242</v>
          </cell>
        </row>
        <row r="80">
          <cell r="E80">
            <v>139595</v>
          </cell>
        </row>
        <row r="81">
          <cell r="E81">
            <v>139901</v>
          </cell>
        </row>
        <row r="82">
          <cell r="E82">
            <v>140066</v>
          </cell>
        </row>
        <row r="83">
          <cell r="E83">
            <v>140538</v>
          </cell>
        </row>
        <row r="84">
          <cell r="E84">
            <v>140954</v>
          </cell>
        </row>
        <row r="85">
          <cell r="E85">
            <v>141045</v>
          </cell>
        </row>
        <row r="86">
          <cell r="E86">
            <v>141535</v>
          </cell>
        </row>
        <row r="87">
          <cell r="E87">
            <v>141945</v>
          </cell>
        </row>
        <row r="88">
          <cell r="E88">
            <v>142413</v>
          </cell>
        </row>
        <row r="89">
          <cell r="E89">
            <v>142455</v>
          </cell>
        </row>
        <row r="90">
          <cell r="E90">
            <v>142712</v>
          </cell>
        </row>
        <row r="91">
          <cell r="E91">
            <v>143007</v>
          </cell>
        </row>
        <row r="92">
          <cell r="E92">
            <v>143387</v>
          </cell>
        </row>
        <row r="93">
          <cell r="E93">
            <v>143619</v>
          </cell>
        </row>
        <row r="94">
          <cell r="E94">
            <v>143894</v>
          </cell>
        </row>
        <row r="95">
          <cell r="E95">
            <v>144246</v>
          </cell>
        </row>
        <row r="96">
          <cell r="E96">
            <v>144446</v>
          </cell>
        </row>
        <row r="97">
          <cell r="E97">
            <v>146420</v>
          </cell>
        </row>
        <row r="98">
          <cell r="E98">
            <v>145296</v>
          </cell>
        </row>
        <row r="99">
          <cell r="E99">
            <v>145353</v>
          </cell>
        </row>
        <row r="100">
          <cell r="E100">
            <v>145446</v>
          </cell>
        </row>
        <row r="101">
          <cell r="E101">
            <v>145301</v>
          </cell>
        </row>
        <row r="102">
          <cell r="E102">
            <v>145430</v>
          </cell>
        </row>
        <row r="103">
          <cell r="E103">
            <v>145814</v>
          </cell>
        </row>
        <row r="104">
          <cell r="E104">
            <v>145889</v>
          </cell>
        </row>
        <row r="105">
          <cell r="E105">
            <v>146061</v>
          </cell>
        </row>
        <row r="106">
          <cell r="E106">
            <v>146412</v>
          </cell>
        </row>
        <row r="107">
          <cell r="E107">
            <v>146991</v>
          </cell>
        </row>
        <row r="108">
          <cell r="E108">
            <v>147132</v>
          </cell>
        </row>
        <row r="109">
          <cell r="E109">
            <v>147769</v>
          </cell>
        </row>
        <row r="110">
          <cell r="E110">
            <v>147965</v>
          </cell>
        </row>
        <row r="111">
          <cell r="E111">
            <v>148267</v>
          </cell>
        </row>
        <row r="112">
          <cell r="E112">
            <v>148550</v>
          </cell>
        </row>
        <row r="113">
          <cell r="E113">
            <v>148772</v>
          </cell>
        </row>
        <row r="114">
          <cell r="E114">
            <v>149370</v>
          </cell>
        </row>
        <row r="115">
          <cell r="E115">
            <v>149305</v>
          </cell>
        </row>
        <row r="116">
          <cell r="E116">
            <v>149090</v>
          </cell>
        </row>
        <row r="117">
          <cell r="E117">
            <v>150562</v>
          </cell>
        </row>
        <row r="118">
          <cell r="E118">
            <v>150249</v>
          </cell>
        </row>
        <row r="119">
          <cell r="E119">
            <v>150245</v>
          </cell>
        </row>
        <row r="120">
          <cell r="E120">
            <v>151473</v>
          </cell>
        </row>
        <row r="121">
          <cell r="E121">
            <v>151734</v>
          </cell>
        </row>
        <row r="122">
          <cell r="E122">
            <v>151409</v>
          </cell>
        </row>
        <row r="123">
          <cell r="E123">
            <v>152072</v>
          </cell>
        </row>
        <row r="124">
          <cell r="E124">
            <v>152090</v>
          </cell>
        </row>
        <row r="125">
          <cell r="E125">
            <v>152285</v>
          </cell>
        </row>
        <row r="126">
          <cell r="E126">
            <v>152728</v>
          </cell>
        </row>
        <row r="127">
          <cell r="E127">
            <v>152966</v>
          </cell>
        </row>
        <row r="128">
          <cell r="E128">
            <v>154125</v>
          </cell>
        </row>
        <row r="129">
          <cell r="E129">
            <v>154246</v>
          </cell>
        </row>
        <row r="130">
          <cell r="E130">
            <v>154196</v>
          </cell>
        </row>
        <row r="131">
          <cell r="E131">
            <v>154625</v>
          </cell>
        </row>
        <row r="132">
          <cell r="E132">
            <v>154824</v>
          </cell>
        </row>
        <row r="133">
          <cell r="E133">
            <v>155151</v>
          </cell>
        </row>
        <row r="134">
          <cell r="E134">
            <v>155605</v>
          </cell>
        </row>
        <row r="135">
          <cell r="E135">
            <v>156024</v>
          </cell>
        </row>
        <row r="136">
          <cell r="E136">
            <v>155830</v>
          </cell>
        </row>
        <row r="137">
          <cell r="E137">
            <v>156188</v>
          </cell>
        </row>
        <row r="138">
          <cell r="E138">
            <v>156889</v>
          </cell>
        </row>
        <row r="139">
          <cell r="E139">
            <v>156811</v>
          </cell>
        </row>
        <row r="140">
          <cell r="E140">
            <v>157434</v>
          </cell>
        </row>
        <row r="141">
          <cell r="E141">
            <v>157990</v>
          </cell>
        </row>
        <row r="142">
          <cell r="E142">
            <v>158350</v>
          </cell>
        </row>
        <row r="143">
          <cell r="E143">
            <v>158585</v>
          </cell>
        </row>
        <row r="144">
          <cell r="E144">
            <v>159272</v>
          </cell>
        </row>
        <row r="145">
          <cell r="E145">
            <v>159839</v>
          </cell>
        </row>
        <row r="146">
          <cell r="E146">
            <v>161439</v>
          </cell>
        </row>
        <row r="147">
          <cell r="E147">
            <v>161979</v>
          </cell>
        </row>
        <row r="148">
          <cell r="E148">
            <v>160368</v>
          </cell>
        </row>
        <row r="149">
          <cell r="E149">
            <v>159816</v>
          </cell>
        </row>
        <row r="150">
          <cell r="E150">
            <v>160523</v>
          </cell>
        </row>
        <row r="151">
          <cell r="E151">
            <v>160719</v>
          </cell>
        </row>
        <row r="152">
          <cell r="E152">
            <v>160892</v>
          </cell>
        </row>
        <row r="153">
          <cell r="E153">
            <v>161632</v>
          </cell>
        </row>
        <row r="154">
          <cell r="E154">
            <v>159306</v>
          </cell>
        </row>
        <row r="155">
          <cell r="E155">
            <v>159947</v>
          </cell>
        </row>
        <row r="156">
          <cell r="E156">
            <v>160283</v>
          </cell>
        </row>
        <row r="157">
          <cell r="E157">
            <v>160541</v>
          </cell>
        </row>
        <row r="158">
          <cell r="E158">
            <v>160759</v>
          </cell>
        </row>
        <row r="159">
          <cell r="E159">
            <v>161586</v>
          </cell>
        </row>
        <row r="160">
          <cell r="E160">
            <v>161860</v>
          </cell>
        </row>
        <row r="161">
          <cell r="E161">
            <v>161746</v>
          </cell>
        </row>
        <row r="162">
          <cell r="E162">
            <v>162413</v>
          </cell>
        </row>
        <row r="163">
          <cell r="E163">
            <v>162696</v>
          </cell>
        </row>
        <row r="164">
          <cell r="E164">
            <v>162589</v>
          </cell>
        </row>
        <row r="165">
          <cell r="E165">
            <v>162305</v>
          </cell>
        </row>
        <row r="166">
          <cell r="E166">
            <v>162280</v>
          </cell>
        </row>
        <row r="167">
          <cell r="E167">
            <v>162512</v>
          </cell>
        </row>
        <row r="168">
          <cell r="E168">
            <v>162999</v>
          </cell>
        </row>
        <row r="169">
          <cell r="E169">
            <v>162259</v>
          </cell>
        </row>
        <row r="170">
          <cell r="E170">
            <v>162817</v>
          </cell>
        </row>
        <row r="171">
          <cell r="E171">
            <v>162599</v>
          </cell>
        </row>
        <row r="172">
          <cell r="E172">
            <v>162327</v>
          </cell>
        </row>
        <row r="173">
          <cell r="E173">
            <v>162238</v>
          </cell>
        </row>
        <row r="174">
          <cell r="E174">
            <v>162188</v>
          </cell>
        </row>
        <row r="175">
          <cell r="E175">
            <v>162749</v>
          </cell>
        </row>
        <row r="176">
          <cell r="E176">
            <v>162814</v>
          </cell>
        </row>
        <row r="177">
          <cell r="E177">
            <v>163638</v>
          </cell>
        </row>
        <row r="178">
          <cell r="E178">
            <v>162586</v>
          </cell>
        </row>
        <row r="179">
          <cell r="E179">
            <v>163768</v>
          </cell>
        </row>
        <row r="180">
          <cell r="E180">
            <v>163005</v>
          </cell>
        </row>
        <row r="181">
          <cell r="E181">
            <v>163411</v>
          </cell>
        </row>
        <row r="182">
          <cell r="E182">
            <v>162689</v>
          </cell>
        </row>
        <row r="183">
          <cell r="E183">
            <v>164009</v>
          </cell>
        </row>
        <row r="184">
          <cell r="E184">
            <v>161377</v>
          </cell>
        </row>
        <row r="185">
          <cell r="E185">
            <v>162685</v>
          </cell>
        </row>
        <row r="186">
          <cell r="E186">
            <v>162362</v>
          </cell>
        </row>
        <row r="187">
          <cell r="E187">
            <v>163703</v>
          </cell>
        </row>
        <row r="188">
          <cell r="E188">
            <v>161848</v>
          </cell>
        </row>
        <row r="189">
          <cell r="E189">
            <v>162613</v>
          </cell>
        </row>
        <row r="190">
          <cell r="E190">
            <v>162704</v>
          </cell>
        </row>
        <row r="191">
          <cell r="E191">
            <v>162655</v>
          </cell>
        </row>
        <row r="192">
          <cell r="E192">
            <v>162729</v>
          </cell>
        </row>
        <row r="193">
          <cell r="E193">
            <v>162493</v>
          </cell>
        </row>
        <row r="194">
          <cell r="E194">
            <v>162440</v>
          </cell>
        </row>
        <row r="195">
          <cell r="E195">
            <v>162493</v>
          </cell>
        </row>
        <row r="196">
          <cell r="E196">
            <v>161922</v>
          </cell>
        </row>
        <row r="197">
          <cell r="E197">
            <v>161925</v>
          </cell>
        </row>
        <row r="198">
          <cell r="E198">
            <v>161752</v>
          </cell>
        </row>
        <row r="199">
          <cell r="E199">
            <v>161596</v>
          </cell>
        </row>
        <row r="200">
          <cell r="E200">
            <v>161234</v>
          </cell>
        </row>
        <row r="201">
          <cell r="E201">
            <v>161219</v>
          </cell>
        </row>
        <row r="202">
          <cell r="E202">
            <v>161244</v>
          </cell>
        </row>
        <row r="203">
          <cell r="E203">
            <v>161180</v>
          </cell>
        </row>
        <row r="204">
          <cell r="E204">
            <v>161266</v>
          </cell>
        </row>
        <row r="205">
          <cell r="E205">
            <v>161135</v>
          </cell>
        </row>
        <row r="206">
          <cell r="E206">
            <v>161046</v>
          </cell>
        </row>
        <row r="207">
          <cell r="E207">
            <v>161061</v>
          </cell>
        </row>
        <row r="208">
          <cell r="E208">
            <v>161022</v>
          </cell>
        </row>
        <row r="209">
          <cell r="E209">
            <v>161016</v>
          </cell>
        </row>
        <row r="210">
          <cell r="E210">
            <v>161060</v>
          </cell>
        </row>
        <row r="211">
          <cell r="E211">
            <v>161282</v>
          </cell>
        </row>
        <row r="212">
          <cell r="E212">
            <v>161453</v>
          </cell>
        </row>
        <row r="213">
          <cell r="E213">
            <v>161480</v>
          </cell>
        </row>
        <row r="214">
          <cell r="E214">
            <v>161294</v>
          </cell>
        </row>
        <row r="215">
          <cell r="E215">
            <v>161445</v>
          </cell>
        </row>
        <row r="216">
          <cell r="E216">
            <v>161504</v>
          </cell>
        </row>
        <row r="217">
          <cell r="E217">
            <v>161260</v>
          </cell>
        </row>
        <row r="218">
          <cell r="E218">
            <v>161392</v>
          </cell>
        </row>
        <row r="219">
          <cell r="E219">
            <v>161473</v>
          </cell>
        </row>
        <row r="220">
          <cell r="E220">
            <v>161359</v>
          </cell>
        </row>
        <row r="221">
          <cell r="E221">
            <v>161529</v>
          </cell>
        </row>
        <row r="222">
          <cell r="E222">
            <v>161537</v>
          </cell>
        </row>
        <row r="223">
          <cell r="E223">
            <v>161755</v>
          </cell>
        </row>
        <row r="224">
          <cell r="E224">
            <v>161834</v>
          </cell>
        </row>
        <row r="225">
          <cell r="E225">
            <v>162061</v>
          </cell>
        </row>
        <row r="226">
          <cell r="E226">
            <v>162318</v>
          </cell>
        </row>
        <row r="227">
          <cell r="E227">
            <v>162442</v>
          </cell>
        </row>
        <row r="228">
          <cell r="E228">
            <v>162518</v>
          </cell>
        </row>
        <row r="229">
          <cell r="E229">
            <v>162599</v>
          </cell>
        </row>
        <row r="230">
          <cell r="E230">
            <v>162647</v>
          </cell>
        </row>
        <row r="231">
          <cell r="E231">
            <v>162935</v>
          </cell>
        </row>
        <row r="232">
          <cell r="E232">
            <v>162457</v>
          </cell>
        </row>
        <row r="233">
          <cell r="E233">
            <v>162586</v>
          </cell>
        </row>
        <row r="234">
          <cell r="E234">
            <v>162826</v>
          </cell>
        </row>
        <row r="235">
          <cell r="E235">
            <v>162989</v>
          </cell>
        </row>
        <row r="236">
          <cell r="E236">
            <v>163173</v>
          </cell>
        </row>
        <row r="237">
          <cell r="E237">
            <v>163195</v>
          </cell>
        </row>
        <row r="238">
          <cell r="E238">
            <v>163131</v>
          </cell>
        </row>
        <row r="239">
          <cell r="E239">
            <v>163667</v>
          </cell>
        </row>
        <row r="240">
          <cell r="E240">
            <v>163856</v>
          </cell>
        </row>
        <row r="241">
          <cell r="E241">
            <v>164034</v>
          </cell>
        </row>
        <row r="242">
          <cell r="E242">
            <v>164104</v>
          </cell>
        </row>
        <row r="243">
          <cell r="E243">
            <v>164426</v>
          </cell>
        </row>
        <row r="244">
          <cell r="E244">
            <v>164107</v>
          </cell>
        </row>
        <row r="245">
          <cell r="E245">
            <v>163729</v>
          </cell>
        </row>
        <row r="246">
          <cell r="E246">
            <v>164582</v>
          </cell>
        </row>
        <row r="247">
          <cell r="E247">
            <v>164648</v>
          </cell>
        </row>
        <row r="248">
          <cell r="E248">
            <v>164749</v>
          </cell>
        </row>
        <row r="249">
          <cell r="E249">
            <v>165504</v>
          </cell>
        </row>
        <row r="250">
          <cell r="E250">
            <v>165040</v>
          </cell>
        </row>
        <row r="251">
          <cell r="E251">
            <v>165197</v>
          </cell>
        </row>
        <row r="252">
          <cell r="E252">
            <v>165661</v>
          </cell>
        </row>
        <row r="253">
          <cell r="E253">
            <v>165819</v>
          </cell>
        </row>
        <row r="254">
          <cell r="E254">
            <v>165846</v>
          </cell>
        </row>
        <row r="255">
          <cell r="E255">
            <v>166882</v>
          </cell>
        </row>
        <row r="256">
          <cell r="E256">
            <v>166263</v>
          </cell>
        </row>
      </sheetData>
      <sheetData sheetId="3">
        <row r="233">
          <cell r="E233">
            <v>2397</v>
          </cell>
        </row>
        <row r="234">
          <cell r="E234">
            <v>2397</v>
          </cell>
        </row>
        <row r="235">
          <cell r="E235">
            <v>2396</v>
          </cell>
        </row>
        <row r="236">
          <cell r="E236">
            <v>2369</v>
          </cell>
        </row>
        <row r="237">
          <cell r="E237">
            <v>2356</v>
          </cell>
        </row>
        <row r="238">
          <cell r="E238">
            <v>2367</v>
          </cell>
        </row>
        <row r="239">
          <cell r="E239">
            <v>2351</v>
          </cell>
        </row>
        <row r="240">
          <cell r="E240">
            <v>2355</v>
          </cell>
        </row>
        <row r="241">
          <cell r="E241">
            <v>2369</v>
          </cell>
        </row>
        <row r="242">
          <cell r="E242">
            <v>2393</v>
          </cell>
        </row>
        <row r="243">
          <cell r="E243">
            <v>2363</v>
          </cell>
        </row>
        <row r="244">
          <cell r="E244">
            <v>2341</v>
          </cell>
        </row>
        <row r="245">
          <cell r="E245">
            <v>2357</v>
          </cell>
        </row>
        <row r="246">
          <cell r="E246">
            <v>2366</v>
          </cell>
        </row>
        <row r="247">
          <cell r="E247">
            <v>2360</v>
          </cell>
        </row>
        <row r="248">
          <cell r="E248">
            <v>2368</v>
          </cell>
        </row>
        <row r="249">
          <cell r="E249">
            <v>2356</v>
          </cell>
        </row>
        <row r="250">
          <cell r="E250">
            <v>2347</v>
          </cell>
        </row>
        <row r="251">
          <cell r="E251">
            <v>2333</v>
          </cell>
        </row>
        <row r="252">
          <cell r="E252">
            <v>2334</v>
          </cell>
        </row>
        <row r="253">
          <cell r="E253">
            <v>2325</v>
          </cell>
        </row>
        <row r="254">
          <cell r="E254">
            <v>2320</v>
          </cell>
        </row>
        <row r="255">
          <cell r="E255">
            <v>2323</v>
          </cell>
        </row>
        <row r="256">
          <cell r="E256">
            <v>2312</v>
          </cell>
        </row>
      </sheetData>
      <sheetData sheetId="4">
        <row r="233">
          <cell r="E233">
            <v>1547</v>
          </cell>
        </row>
        <row r="234">
          <cell r="E234">
            <v>1548</v>
          </cell>
        </row>
        <row r="235">
          <cell r="E235">
            <v>1549</v>
          </cell>
        </row>
        <row r="236">
          <cell r="E236">
            <v>1549</v>
          </cell>
        </row>
        <row r="237">
          <cell r="E237">
            <v>1549</v>
          </cell>
        </row>
        <row r="238">
          <cell r="E238">
            <v>1548</v>
          </cell>
        </row>
        <row r="239">
          <cell r="E239">
            <v>1545</v>
          </cell>
        </row>
        <row r="240">
          <cell r="E240">
            <v>1584</v>
          </cell>
        </row>
        <row r="241">
          <cell r="E241">
            <v>1583</v>
          </cell>
        </row>
        <row r="242">
          <cell r="E242">
            <v>1579</v>
          </cell>
        </row>
        <row r="243">
          <cell r="E243">
            <v>1575</v>
          </cell>
        </row>
        <row r="244">
          <cell r="E244">
            <v>1573</v>
          </cell>
        </row>
        <row r="245">
          <cell r="E245">
            <v>1569</v>
          </cell>
        </row>
        <row r="246">
          <cell r="E246">
            <v>1568</v>
          </cell>
        </row>
        <row r="247">
          <cell r="E247">
            <v>1567</v>
          </cell>
        </row>
        <row r="248">
          <cell r="E248">
            <v>1569</v>
          </cell>
        </row>
        <row r="249">
          <cell r="E249">
            <v>1568</v>
          </cell>
        </row>
        <row r="250">
          <cell r="E250">
            <v>1563</v>
          </cell>
        </row>
        <row r="251">
          <cell r="E251">
            <v>1562</v>
          </cell>
        </row>
        <row r="252">
          <cell r="E252">
            <v>1561</v>
          </cell>
        </row>
        <row r="253">
          <cell r="E253">
            <v>1560</v>
          </cell>
        </row>
        <row r="254">
          <cell r="E254">
            <v>1561</v>
          </cell>
        </row>
        <row r="255">
          <cell r="E255">
            <v>1559</v>
          </cell>
        </row>
        <row r="256">
          <cell r="E256">
            <v>1556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BM_MWh"/>
      <sheetName val="CM_MWh"/>
      <sheetName val="cust_BM"/>
      <sheetName val="cust_CM"/>
    </sheetNames>
    <sheetDataSet>
      <sheetData sheetId="0">
        <row r="23">
          <cell r="DF23">
            <v>36788714</v>
          </cell>
        </row>
        <row r="24">
          <cell r="DF24">
            <v>37664779</v>
          </cell>
        </row>
        <row r="25">
          <cell r="DF25">
            <v>38451327</v>
          </cell>
        </row>
        <row r="26">
          <cell r="DF26">
            <v>39050130</v>
          </cell>
        </row>
        <row r="27">
          <cell r="DF27">
            <v>39624834</v>
          </cell>
        </row>
      </sheetData>
      <sheetData sheetId="1"/>
      <sheetData sheetId="2">
        <row r="24">
          <cell r="BV24">
            <v>1499899.0833333333</v>
          </cell>
        </row>
        <row r="25">
          <cell r="DF25">
            <v>1723515.0833333335</v>
          </cell>
        </row>
        <row r="26">
          <cell r="DF26">
            <v>1749991.8333333335</v>
          </cell>
        </row>
        <row r="27">
          <cell r="DF27">
            <v>1777236.1666666665</v>
          </cell>
        </row>
        <row r="28">
          <cell r="DF28">
            <v>1805103.0833333335</v>
          </cell>
        </row>
      </sheetData>
      <sheetData sheetId="3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RES 62 &amp; 67"/>
      <sheetName val="COM 55 &amp; 65"/>
      <sheetName val="Gov 65 &amp; 70"/>
      <sheetName val="System"/>
      <sheetName val="Albert Whitted"/>
      <sheetName val="Tampa"/>
      <sheetName val="Orlando"/>
      <sheetName val="Winter Haven"/>
      <sheetName val="Daytona"/>
      <sheetName val="Gainesville"/>
      <sheetName val="Tallahassee"/>
      <sheetName val="Res20Yr"/>
      <sheetName val="Com20Yr"/>
      <sheetName val="Gov20Yr"/>
    </sheetNames>
    <sheetDataSet>
      <sheetData sheetId="0">
        <row r="102">
          <cell r="J102">
            <v>244.2</v>
          </cell>
          <cell r="S102">
            <v>32.4</v>
          </cell>
        </row>
        <row r="103">
          <cell r="J103">
            <v>175.6</v>
          </cell>
          <cell r="S103">
            <v>38.6</v>
          </cell>
        </row>
        <row r="104">
          <cell r="J104">
            <v>117.2</v>
          </cell>
          <cell r="S104">
            <v>57.9</v>
          </cell>
        </row>
        <row r="105">
          <cell r="J105">
            <v>51.5</v>
          </cell>
          <cell r="S105">
            <v>95</v>
          </cell>
        </row>
        <row r="106">
          <cell r="J106">
            <v>19.399999999999999</v>
          </cell>
          <cell r="S106">
            <v>217.7</v>
          </cell>
        </row>
        <row r="107">
          <cell r="J107">
            <v>4.5</v>
          </cell>
          <cell r="S107">
            <v>310</v>
          </cell>
        </row>
        <row r="108">
          <cell r="J108">
            <v>0.5</v>
          </cell>
          <cell r="S108">
            <v>411</v>
          </cell>
        </row>
        <row r="109">
          <cell r="J109">
            <v>0</v>
          </cell>
          <cell r="S109">
            <v>461.4</v>
          </cell>
        </row>
        <row r="110">
          <cell r="J110">
            <v>0</v>
          </cell>
          <cell r="S110">
            <v>461.5</v>
          </cell>
        </row>
        <row r="111">
          <cell r="J111">
            <v>2.4</v>
          </cell>
          <cell r="S111">
            <v>316.60000000000002</v>
          </cell>
        </row>
        <row r="112">
          <cell r="J112">
            <v>22</v>
          </cell>
          <cell r="S112">
            <v>251.3</v>
          </cell>
        </row>
        <row r="113">
          <cell r="J113">
            <v>88.3</v>
          </cell>
          <cell r="S113">
            <v>83.7</v>
          </cell>
        </row>
        <row r="114">
          <cell r="J114">
            <v>112.9</v>
          </cell>
          <cell r="S114">
            <v>94.6</v>
          </cell>
        </row>
        <row r="115">
          <cell r="J115">
            <v>244.4</v>
          </cell>
          <cell r="S115">
            <v>35.200000000000003</v>
          </cell>
        </row>
        <row r="116">
          <cell r="J116">
            <v>86.2</v>
          </cell>
          <cell r="S116">
            <v>100.4</v>
          </cell>
        </row>
        <row r="117">
          <cell r="J117">
            <v>36.299999999999997</v>
          </cell>
          <cell r="S117">
            <v>120.2</v>
          </cell>
        </row>
        <row r="118">
          <cell r="J118">
            <v>7</v>
          </cell>
          <cell r="S118">
            <v>242.4</v>
          </cell>
        </row>
        <row r="119">
          <cell r="J119">
            <v>0.2</v>
          </cell>
          <cell r="S119">
            <v>413.5</v>
          </cell>
        </row>
        <row r="120">
          <cell r="J120">
            <v>0</v>
          </cell>
          <cell r="S120">
            <v>462.2</v>
          </cell>
        </row>
        <row r="121">
          <cell r="J121">
            <v>0</v>
          </cell>
          <cell r="S121">
            <v>468.5</v>
          </cell>
        </row>
        <row r="122">
          <cell r="J122">
            <v>0</v>
          </cell>
          <cell r="S122">
            <v>451.3</v>
          </cell>
        </row>
        <row r="123">
          <cell r="J123">
            <v>0.7</v>
          </cell>
          <cell r="S123">
            <v>378.6</v>
          </cell>
        </row>
        <row r="124">
          <cell r="J124">
            <v>8.6999999999999993</v>
          </cell>
          <cell r="S124">
            <v>311.5</v>
          </cell>
        </row>
        <row r="125">
          <cell r="J125">
            <v>43.8</v>
          </cell>
          <cell r="S125">
            <v>203</v>
          </cell>
        </row>
        <row r="126">
          <cell r="J126">
            <v>198.9</v>
          </cell>
          <cell r="S126">
            <v>42.3</v>
          </cell>
        </row>
        <row r="127">
          <cell r="J127">
            <v>145.19999999999999</v>
          </cell>
          <cell r="S127">
            <v>45</v>
          </cell>
        </row>
        <row r="128">
          <cell r="J128">
            <v>106.3</v>
          </cell>
          <cell r="S128">
            <v>73.599999999999994</v>
          </cell>
        </row>
        <row r="129">
          <cell r="J129">
            <v>54.4</v>
          </cell>
          <cell r="S129">
            <v>128.4</v>
          </cell>
        </row>
        <row r="130">
          <cell r="J130">
            <v>22.6</v>
          </cell>
          <cell r="S130">
            <v>194.6</v>
          </cell>
        </row>
        <row r="131">
          <cell r="J131">
            <v>1.1000000000000001</v>
          </cell>
          <cell r="S131">
            <v>387.4</v>
          </cell>
        </row>
        <row r="132">
          <cell r="J132">
            <v>0</v>
          </cell>
          <cell r="S132">
            <v>445.3</v>
          </cell>
        </row>
        <row r="133">
          <cell r="J133">
            <v>0</v>
          </cell>
          <cell r="S133">
            <v>492.8</v>
          </cell>
        </row>
        <row r="134">
          <cell r="J134">
            <v>0</v>
          </cell>
          <cell r="S134">
            <v>473.1</v>
          </cell>
        </row>
        <row r="135">
          <cell r="J135">
            <v>0.9</v>
          </cell>
          <cell r="S135">
            <v>421.7</v>
          </cell>
        </row>
        <row r="136">
          <cell r="J136">
            <v>5.8</v>
          </cell>
          <cell r="S136">
            <v>264.3</v>
          </cell>
        </row>
        <row r="137">
          <cell r="J137">
            <v>22</v>
          </cell>
          <cell r="S137">
            <v>216</v>
          </cell>
        </row>
        <row r="138">
          <cell r="J138">
            <v>107.3</v>
          </cell>
          <cell r="S138">
            <v>59.6</v>
          </cell>
        </row>
        <row r="139">
          <cell r="J139">
            <v>159</v>
          </cell>
          <cell r="S139">
            <v>32.200000000000003</v>
          </cell>
        </row>
        <row r="140">
          <cell r="J140">
            <v>78.2</v>
          </cell>
          <cell r="S140">
            <v>54.4</v>
          </cell>
        </row>
        <row r="141">
          <cell r="J141">
            <v>72.599999999999994</v>
          </cell>
          <cell r="S141">
            <v>83.9</v>
          </cell>
        </row>
        <row r="142">
          <cell r="J142">
            <v>26.5</v>
          </cell>
          <cell r="S142">
            <v>196.8</v>
          </cell>
        </row>
        <row r="143">
          <cell r="J143">
            <v>0.5</v>
          </cell>
          <cell r="S143">
            <v>375</v>
          </cell>
        </row>
        <row r="144">
          <cell r="J144">
            <v>0</v>
          </cell>
          <cell r="S144">
            <v>491.8</v>
          </cell>
        </row>
        <row r="145">
          <cell r="J145">
            <v>0</v>
          </cell>
          <cell r="S145">
            <v>506.9</v>
          </cell>
        </row>
        <row r="146">
          <cell r="J146">
            <v>0</v>
          </cell>
          <cell r="S146">
            <v>490.5</v>
          </cell>
        </row>
        <row r="147">
          <cell r="J147">
            <v>5.5</v>
          </cell>
          <cell r="S147">
            <v>340</v>
          </cell>
        </row>
        <row r="148">
          <cell r="J148">
            <v>25.5</v>
          </cell>
          <cell r="S148">
            <v>150.19999999999999</v>
          </cell>
        </row>
        <row r="149">
          <cell r="J149">
            <v>79.8</v>
          </cell>
          <cell r="S149">
            <v>85.7</v>
          </cell>
        </row>
        <row r="150">
          <cell r="J150">
            <v>132.6</v>
          </cell>
          <cell r="S150">
            <v>57.5</v>
          </cell>
        </row>
        <row r="151">
          <cell r="J151">
            <v>205</v>
          </cell>
          <cell r="S151">
            <v>32.4</v>
          </cell>
        </row>
        <row r="152">
          <cell r="J152">
            <v>143</v>
          </cell>
          <cell r="S152">
            <v>41.5</v>
          </cell>
        </row>
        <row r="153">
          <cell r="J153">
            <v>63.9</v>
          </cell>
          <cell r="S153">
            <v>123.8</v>
          </cell>
        </row>
        <row r="154">
          <cell r="J154">
            <v>15.9</v>
          </cell>
          <cell r="S154">
            <v>192.9</v>
          </cell>
        </row>
        <row r="155">
          <cell r="J155">
            <v>2.5</v>
          </cell>
          <cell r="S155">
            <v>322.39999999999998</v>
          </cell>
        </row>
        <row r="156">
          <cell r="J156">
            <v>0.1</v>
          </cell>
          <cell r="S156">
            <v>438</v>
          </cell>
        </row>
        <row r="157">
          <cell r="J157">
            <v>0</v>
          </cell>
          <cell r="S157">
            <v>450.8</v>
          </cell>
        </row>
        <row r="158">
          <cell r="J158">
            <v>0</v>
          </cell>
          <cell r="S158">
            <v>498.6</v>
          </cell>
        </row>
        <row r="159">
          <cell r="J159">
            <v>3.9</v>
          </cell>
          <cell r="S159">
            <v>363.6</v>
          </cell>
        </row>
        <row r="160">
          <cell r="J160">
            <v>18.100000000000001</v>
          </cell>
          <cell r="S160">
            <v>178.1</v>
          </cell>
        </row>
        <row r="161">
          <cell r="J161">
            <v>79.400000000000006</v>
          </cell>
          <cell r="S161">
            <v>113.9</v>
          </cell>
        </row>
        <row r="162">
          <cell r="J162">
            <v>84.9</v>
          </cell>
          <cell r="S162">
            <v>88.7</v>
          </cell>
        </row>
        <row r="163">
          <cell r="J163">
            <v>52.8</v>
          </cell>
          <cell r="S163">
            <v>100.6</v>
          </cell>
        </row>
        <row r="164">
          <cell r="J164">
            <v>124.4</v>
          </cell>
          <cell r="S164">
            <v>98</v>
          </cell>
        </row>
        <row r="165">
          <cell r="J165">
            <v>35.700000000000003</v>
          </cell>
          <cell r="S165">
            <v>180.9</v>
          </cell>
        </row>
        <row r="166">
          <cell r="J166">
            <v>9</v>
          </cell>
          <cell r="S166">
            <v>239.4</v>
          </cell>
        </row>
        <row r="167">
          <cell r="J167">
            <v>1.7</v>
          </cell>
          <cell r="S167">
            <v>416.4</v>
          </cell>
        </row>
        <row r="168">
          <cell r="J168">
            <v>0</v>
          </cell>
          <cell r="S168">
            <v>467.4</v>
          </cell>
        </row>
        <row r="169">
          <cell r="J169">
            <v>0</v>
          </cell>
          <cell r="S169">
            <v>481.3</v>
          </cell>
        </row>
        <row r="170">
          <cell r="J170">
            <v>0</v>
          </cell>
          <cell r="S170">
            <v>511.7</v>
          </cell>
        </row>
        <row r="171">
          <cell r="J171">
            <v>3.9</v>
          </cell>
          <cell r="S171">
            <v>396.4</v>
          </cell>
        </row>
        <row r="172">
          <cell r="J172">
            <v>29</v>
          </cell>
          <cell r="S172">
            <v>196.1</v>
          </cell>
        </row>
        <row r="173">
          <cell r="J173">
            <v>114</v>
          </cell>
          <cell r="S173">
            <v>78.8</v>
          </cell>
        </row>
        <row r="174">
          <cell r="J174">
            <v>230.4</v>
          </cell>
          <cell r="S174">
            <v>34.9</v>
          </cell>
        </row>
        <row r="175">
          <cell r="J175">
            <v>62.5</v>
          </cell>
          <cell r="S175">
            <v>111.2</v>
          </cell>
        </row>
        <row r="176">
          <cell r="J176">
            <v>39.1</v>
          </cell>
          <cell r="S176">
            <v>106.4</v>
          </cell>
        </row>
        <row r="177">
          <cell r="J177">
            <v>28.2</v>
          </cell>
          <cell r="S177">
            <v>139.30000000000001</v>
          </cell>
        </row>
        <row r="178">
          <cell r="J178">
            <v>7.8</v>
          </cell>
          <cell r="S178">
            <v>254.2</v>
          </cell>
        </row>
        <row r="179">
          <cell r="J179">
            <v>0.5</v>
          </cell>
          <cell r="S179">
            <v>410.3</v>
          </cell>
        </row>
        <row r="180">
          <cell r="J180">
            <v>0</v>
          </cell>
          <cell r="S180">
            <v>451.8</v>
          </cell>
        </row>
        <row r="181">
          <cell r="J181">
            <v>0</v>
          </cell>
          <cell r="S181">
            <v>493.3</v>
          </cell>
        </row>
        <row r="182">
          <cell r="J182">
            <v>0</v>
          </cell>
          <cell r="S182">
            <v>475.9</v>
          </cell>
        </row>
        <row r="183">
          <cell r="J183">
            <v>0.6</v>
          </cell>
          <cell r="S183">
            <v>403</v>
          </cell>
        </row>
        <row r="184">
          <cell r="J184">
            <v>21.5</v>
          </cell>
          <cell r="S184">
            <v>220.3</v>
          </cell>
        </row>
        <row r="185">
          <cell r="J185">
            <v>63.9</v>
          </cell>
          <cell r="S185">
            <v>99.1</v>
          </cell>
        </row>
        <row r="186">
          <cell r="J186">
            <v>61.1</v>
          </cell>
          <cell r="S186">
            <v>118</v>
          </cell>
        </row>
        <row r="187">
          <cell r="J187">
            <v>84.3</v>
          </cell>
          <cell r="S187">
            <v>67.5</v>
          </cell>
        </row>
        <row r="188">
          <cell r="J188">
            <v>79.2</v>
          </cell>
          <cell r="S188">
            <v>74.3</v>
          </cell>
        </row>
        <row r="189">
          <cell r="J189">
            <v>24.8</v>
          </cell>
          <cell r="S189">
            <v>174.1</v>
          </cell>
        </row>
        <row r="190">
          <cell r="J190">
            <v>1.2</v>
          </cell>
          <cell r="S190">
            <v>325.89999999999998</v>
          </cell>
        </row>
        <row r="191">
          <cell r="J191">
            <v>0</v>
          </cell>
          <cell r="S191">
            <v>401.3</v>
          </cell>
        </row>
        <row r="192">
          <cell r="J192">
            <v>0</v>
          </cell>
          <cell r="S192">
            <v>468.6</v>
          </cell>
        </row>
        <row r="193">
          <cell r="J193">
            <v>0</v>
          </cell>
          <cell r="S193">
            <v>498.8</v>
          </cell>
        </row>
        <row r="194">
          <cell r="J194">
            <v>0</v>
          </cell>
          <cell r="S194">
            <v>482.4</v>
          </cell>
        </row>
        <row r="195">
          <cell r="J195">
            <v>2.4</v>
          </cell>
          <cell r="S195">
            <v>361.1</v>
          </cell>
        </row>
        <row r="196">
          <cell r="J196">
            <v>36.700000000000003</v>
          </cell>
          <cell r="S196">
            <v>188.3</v>
          </cell>
        </row>
        <row r="197">
          <cell r="J197">
            <v>83.8</v>
          </cell>
          <cell r="S197">
            <v>112.7</v>
          </cell>
        </row>
        <row r="198">
          <cell r="J198">
            <v>119.2</v>
          </cell>
          <cell r="S198">
            <v>47.6</v>
          </cell>
        </row>
        <row r="199">
          <cell r="J199">
            <v>147.69999999999999</v>
          </cell>
          <cell r="S199">
            <v>27.6</v>
          </cell>
        </row>
        <row r="200">
          <cell r="J200">
            <v>62.2</v>
          </cell>
          <cell r="S200">
            <v>80.099999999999994</v>
          </cell>
        </row>
        <row r="201">
          <cell r="J201">
            <v>55.3</v>
          </cell>
          <cell r="S201">
            <v>85</v>
          </cell>
        </row>
        <row r="202">
          <cell r="J202">
            <v>22.9</v>
          </cell>
          <cell r="S202">
            <v>168.6</v>
          </cell>
        </row>
        <row r="203">
          <cell r="J203">
            <v>4.2</v>
          </cell>
          <cell r="S203">
            <v>336.2</v>
          </cell>
        </row>
        <row r="204">
          <cell r="J204">
            <v>0</v>
          </cell>
          <cell r="S204">
            <v>469.1</v>
          </cell>
        </row>
        <row r="205">
          <cell r="J205">
            <v>0</v>
          </cell>
          <cell r="S205">
            <v>495.3</v>
          </cell>
        </row>
        <row r="206">
          <cell r="J206">
            <v>0</v>
          </cell>
          <cell r="S206">
            <v>448.8</v>
          </cell>
        </row>
        <row r="207">
          <cell r="J207">
            <v>1.9</v>
          </cell>
          <cell r="S207">
            <v>346</v>
          </cell>
        </row>
        <row r="208">
          <cell r="J208">
            <v>14.8</v>
          </cell>
          <cell r="S208">
            <v>181.4</v>
          </cell>
        </row>
        <row r="209">
          <cell r="J209">
            <v>88.7</v>
          </cell>
          <cell r="S209">
            <v>119</v>
          </cell>
        </row>
        <row r="210">
          <cell r="J210">
            <v>55.4</v>
          </cell>
          <cell r="S210">
            <v>90.4</v>
          </cell>
        </row>
        <row r="211">
          <cell r="J211">
            <v>93.9</v>
          </cell>
          <cell r="S211">
            <v>46</v>
          </cell>
        </row>
        <row r="212">
          <cell r="J212">
            <v>123</v>
          </cell>
          <cell r="S212">
            <v>27.8</v>
          </cell>
        </row>
        <row r="213">
          <cell r="J213">
            <v>55.9</v>
          </cell>
          <cell r="S213">
            <v>85.7</v>
          </cell>
        </row>
        <row r="214">
          <cell r="J214">
            <v>21.8</v>
          </cell>
          <cell r="S214">
            <v>160.1</v>
          </cell>
        </row>
        <row r="215">
          <cell r="J215">
            <v>1.5</v>
          </cell>
          <cell r="S215">
            <v>337.5</v>
          </cell>
        </row>
        <row r="216">
          <cell r="J216">
            <v>0</v>
          </cell>
          <cell r="S216">
            <v>458.4</v>
          </cell>
        </row>
        <row r="217">
          <cell r="J217">
            <v>0</v>
          </cell>
          <cell r="S217">
            <v>530.4</v>
          </cell>
        </row>
        <row r="218">
          <cell r="J218">
            <v>0</v>
          </cell>
          <cell r="S218">
            <v>466.1</v>
          </cell>
        </row>
        <row r="219">
          <cell r="J219">
            <v>1.7</v>
          </cell>
          <cell r="S219">
            <v>369.2</v>
          </cell>
        </row>
        <row r="220">
          <cell r="J220">
            <v>30.1</v>
          </cell>
          <cell r="S220">
            <v>206.5</v>
          </cell>
        </row>
        <row r="221">
          <cell r="J221">
            <v>72.3</v>
          </cell>
          <cell r="S221">
            <v>92.8</v>
          </cell>
        </row>
        <row r="222">
          <cell r="J222">
            <v>198.1</v>
          </cell>
          <cell r="S222">
            <v>17</v>
          </cell>
        </row>
        <row r="223">
          <cell r="J223">
            <v>133.6</v>
          </cell>
          <cell r="S223">
            <v>50</v>
          </cell>
        </row>
        <row r="224">
          <cell r="J224">
            <v>55.5</v>
          </cell>
          <cell r="S224">
            <v>83.6</v>
          </cell>
        </row>
        <row r="225">
          <cell r="J225">
            <v>36.200000000000003</v>
          </cell>
          <cell r="S225">
            <v>177</v>
          </cell>
        </row>
        <row r="226">
          <cell r="J226">
            <v>3</v>
          </cell>
          <cell r="S226">
            <v>284.2</v>
          </cell>
        </row>
        <row r="227">
          <cell r="J227">
            <v>1.6</v>
          </cell>
          <cell r="S227">
            <v>360.5</v>
          </cell>
        </row>
        <row r="228">
          <cell r="J228">
            <v>0</v>
          </cell>
          <cell r="S228">
            <v>470.2</v>
          </cell>
        </row>
        <row r="229">
          <cell r="J229">
            <v>0</v>
          </cell>
          <cell r="S229">
            <v>430.8</v>
          </cell>
        </row>
        <row r="230">
          <cell r="J230">
            <v>0</v>
          </cell>
          <cell r="S230">
            <v>434.4</v>
          </cell>
        </row>
        <row r="231">
          <cell r="J231">
            <v>0.4</v>
          </cell>
          <cell r="S231">
            <v>324.8</v>
          </cell>
        </row>
        <row r="232">
          <cell r="J232">
            <v>5</v>
          </cell>
          <cell r="S232">
            <v>226</v>
          </cell>
        </row>
        <row r="233">
          <cell r="J233">
            <v>29.6</v>
          </cell>
          <cell r="S233">
            <v>146.69999999999999</v>
          </cell>
        </row>
        <row r="234">
          <cell r="J234">
            <v>115.6</v>
          </cell>
          <cell r="S234">
            <v>33.6</v>
          </cell>
        </row>
        <row r="235">
          <cell r="J235">
            <v>191.1</v>
          </cell>
          <cell r="S235">
            <v>21.3</v>
          </cell>
        </row>
        <row r="236">
          <cell r="J236">
            <v>81.8</v>
          </cell>
          <cell r="S236">
            <v>66.7</v>
          </cell>
        </row>
        <row r="237">
          <cell r="J237">
            <v>22</v>
          </cell>
          <cell r="S237">
            <v>139.6</v>
          </cell>
        </row>
        <row r="238">
          <cell r="J238">
            <v>4.7</v>
          </cell>
          <cell r="S238">
            <v>288.2</v>
          </cell>
        </row>
        <row r="239">
          <cell r="J239">
            <v>0.2</v>
          </cell>
          <cell r="S239">
            <v>417.4</v>
          </cell>
        </row>
        <row r="240">
          <cell r="J240">
            <v>0</v>
          </cell>
          <cell r="S240">
            <v>428.3</v>
          </cell>
        </row>
        <row r="241">
          <cell r="J241">
            <v>0</v>
          </cell>
          <cell r="S241">
            <v>450.8</v>
          </cell>
        </row>
        <row r="242">
          <cell r="J242">
            <v>0</v>
          </cell>
          <cell r="S242">
            <v>479.4</v>
          </cell>
        </row>
        <row r="243">
          <cell r="J243">
            <v>0.7</v>
          </cell>
          <cell r="S243">
            <v>404.8</v>
          </cell>
        </row>
        <row r="244">
          <cell r="J244">
            <v>29</v>
          </cell>
          <cell r="S244">
            <v>211.9</v>
          </cell>
        </row>
        <row r="245">
          <cell r="J245">
            <v>96.6</v>
          </cell>
          <cell r="S245">
            <v>61.5</v>
          </cell>
        </row>
        <row r="246">
          <cell r="J246">
            <v>237.6</v>
          </cell>
          <cell r="S246">
            <v>32.5</v>
          </cell>
        </row>
        <row r="247">
          <cell r="J247">
            <v>194.4</v>
          </cell>
          <cell r="S247">
            <v>35.799999999999997</v>
          </cell>
        </row>
        <row r="248">
          <cell r="J248">
            <v>144.4</v>
          </cell>
          <cell r="S248">
            <v>58.2</v>
          </cell>
        </row>
        <row r="249">
          <cell r="J249">
            <v>93</v>
          </cell>
          <cell r="S249">
            <v>83.4</v>
          </cell>
        </row>
        <row r="250">
          <cell r="J250">
            <v>14.5</v>
          </cell>
          <cell r="S250">
            <v>237.8</v>
          </cell>
        </row>
        <row r="251">
          <cell r="J251">
            <v>0.4</v>
          </cell>
          <cell r="S251">
            <v>403.3</v>
          </cell>
        </row>
        <row r="252">
          <cell r="J252">
            <v>0</v>
          </cell>
          <cell r="S252">
            <v>443.3</v>
          </cell>
        </row>
        <row r="253">
          <cell r="J253">
            <v>0</v>
          </cell>
          <cell r="S253">
            <v>495.6</v>
          </cell>
        </row>
        <row r="254">
          <cell r="J254">
            <v>0</v>
          </cell>
          <cell r="S254">
            <v>451.8</v>
          </cell>
        </row>
        <row r="255">
          <cell r="J255">
            <v>2.4</v>
          </cell>
          <cell r="S255">
            <v>337.8</v>
          </cell>
        </row>
        <row r="256">
          <cell r="J256">
            <v>25.3</v>
          </cell>
          <cell r="S256">
            <v>200.1</v>
          </cell>
        </row>
        <row r="257">
          <cell r="J257">
            <v>75.599999999999994</v>
          </cell>
          <cell r="S257">
            <v>73.099999999999994</v>
          </cell>
        </row>
        <row r="258">
          <cell r="J258">
            <v>123.1</v>
          </cell>
          <cell r="S258">
            <v>60.9</v>
          </cell>
        </row>
        <row r="259">
          <cell r="J259">
            <v>121.9</v>
          </cell>
          <cell r="S259">
            <v>53.7</v>
          </cell>
        </row>
        <row r="260">
          <cell r="J260">
            <v>28.4</v>
          </cell>
          <cell r="S260">
            <v>149.19999999999999</v>
          </cell>
        </row>
        <row r="261">
          <cell r="J261">
            <v>15.3</v>
          </cell>
          <cell r="S261">
            <v>162.19999999999999</v>
          </cell>
        </row>
        <row r="262">
          <cell r="J262">
            <v>13.1</v>
          </cell>
          <cell r="S262">
            <v>184</v>
          </cell>
        </row>
        <row r="263">
          <cell r="J263">
            <v>1.1000000000000001</v>
          </cell>
          <cell r="S263">
            <v>337.6</v>
          </cell>
        </row>
        <row r="264">
          <cell r="J264">
            <v>0</v>
          </cell>
          <cell r="S264">
            <v>451.3</v>
          </cell>
        </row>
        <row r="265">
          <cell r="J265">
            <v>0</v>
          </cell>
          <cell r="S265">
            <v>462.4</v>
          </cell>
        </row>
        <row r="266">
          <cell r="J266">
            <v>0</v>
          </cell>
          <cell r="S266">
            <v>468.3</v>
          </cell>
        </row>
        <row r="267">
          <cell r="J267">
            <v>1.1000000000000001</v>
          </cell>
          <cell r="S267">
            <v>395.3</v>
          </cell>
        </row>
        <row r="268">
          <cell r="J268">
            <v>32</v>
          </cell>
          <cell r="S268">
            <v>156.19999999999999</v>
          </cell>
        </row>
        <row r="269">
          <cell r="J269">
            <v>87.6</v>
          </cell>
          <cell r="S269">
            <v>66.400000000000006</v>
          </cell>
        </row>
        <row r="270">
          <cell r="J270">
            <v>128.9</v>
          </cell>
          <cell r="S270">
            <v>56.1</v>
          </cell>
        </row>
        <row r="271">
          <cell r="J271">
            <v>127.4</v>
          </cell>
          <cell r="S271">
            <v>24.3</v>
          </cell>
        </row>
        <row r="272">
          <cell r="J272">
            <v>108.4</v>
          </cell>
          <cell r="S272">
            <v>48.7</v>
          </cell>
        </row>
        <row r="273">
          <cell r="J273">
            <v>57.8</v>
          </cell>
          <cell r="S273">
            <v>130.4</v>
          </cell>
        </row>
        <row r="274">
          <cell r="J274">
            <v>11.5</v>
          </cell>
          <cell r="S274">
            <v>226.9</v>
          </cell>
        </row>
        <row r="275">
          <cell r="J275">
            <v>0.4</v>
          </cell>
          <cell r="S275">
            <v>447.6</v>
          </cell>
        </row>
        <row r="276">
          <cell r="J276">
            <v>0</v>
          </cell>
          <cell r="S276">
            <v>521.29999999999995</v>
          </cell>
        </row>
        <row r="277">
          <cell r="J277">
            <v>0</v>
          </cell>
          <cell r="S277">
            <v>510.8</v>
          </cell>
        </row>
        <row r="278">
          <cell r="J278">
            <v>0</v>
          </cell>
          <cell r="S278">
            <v>483.8</v>
          </cell>
        </row>
        <row r="279">
          <cell r="J279">
            <v>0.2</v>
          </cell>
          <cell r="S279">
            <v>414.9</v>
          </cell>
        </row>
        <row r="280">
          <cell r="J280">
            <v>8.5</v>
          </cell>
          <cell r="S280">
            <v>240.8</v>
          </cell>
        </row>
        <row r="281">
          <cell r="J281">
            <v>21.5</v>
          </cell>
          <cell r="S281">
            <v>180.4</v>
          </cell>
        </row>
        <row r="282">
          <cell r="J282">
            <v>123.2</v>
          </cell>
          <cell r="S282">
            <v>79</v>
          </cell>
        </row>
        <row r="283">
          <cell r="J283">
            <v>65.599999999999994</v>
          </cell>
          <cell r="S283">
            <v>86.7</v>
          </cell>
        </row>
        <row r="284">
          <cell r="J284">
            <v>108.8</v>
          </cell>
          <cell r="S284">
            <v>53.4</v>
          </cell>
        </row>
        <row r="285">
          <cell r="J285">
            <v>43.4</v>
          </cell>
          <cell r="S285">
            <v>153.4</v>
          </cell>
        </row>
        <row r="286">
          <cell r="J286">
            <v>14.7</v>
          </cell>
          <cell r="S286">
            <v>241.8</v>
          </cell>
        </row>
        <row r="287">
          <cell r="J287">
            <v>1.3</v>
          </cell>
          <cell r="S287">
            <v>361.1</v>
          </cell>
        </row>
        <row r="288">
          <cell r="J288">
            <v>0</v>
          </cell>
          <cell r="S288">
            <v>433.6</v>
          </cell>
        </row>
        <row r="289">
          <cell r="J289">
            <v>0</v>
          </cell>
          <cell r="S289">
            <v>521.4</v>
          </cell>
        </row>
        <row r="290">
          <cell r="J290">
            <v>0</v>
          </cell>
          <cell r="S290">
            <v>464.9</v>
          </cell>
        </row>
        <row r="291">
          <cell r="J291">
            <v>0.7</v>
          </cell>
          <cell r="S291">
            <v>362.7</v>
          </cell>
        </row>
        <row r="292">
          <cell r="J292">
            <v>23.8</v>
          </cell>
          <cell r="S292">
            <v>185.3</v>
          </cell>
        </row>
        <row r="293">
          <cell r="J293">
            <v>59.8</v>
          </cell>
          <cell r="S293">
            <v>85.2</v>
          </cell>
        </row>
        <row r="294">
          <cell r="J294">
            <v>113.5</v>
          </cell>
          <cell r="S294">
            <v>46.3</v>
          </cell>
        </row>
        <row r="295">
          <cell r="J295">
            <v>188.3</v>
          </cell>
          <cell r="S295">
            <v>29.1</v>
          </cell>
        </row>
        <row r="296">
          <cell r="J296">
            <v>54.8</v>
          </cell>
          <cell r="S296">
            <v>89.8</v>
          </cell>
        </row>
        <row r="297">
          <cell r="J297">
            <v>26</v>
          </cell>
          <cell r="S297">
            <v>149.80000000000001</v>
          </cell>
        </row>
        <row r="298">
          <cell r="J298">
            <v>13.4</v>
          </cell>
          <cell r="S298">
            <v>221.5</v>
          </cell>
        </row>
        <row r="299">
          <cell r="J299">
            <v>0.4</v>
          </cell>
          <cell r="S299">
            <v>425.4</v>
          </cell>
        </row>
        <row r="300">
          <cell r="J300">
            <v>0</v>
          </cell>
          <cell r="S300">
            <v>475.9</v>
          </cell>
        </row>
        <row r="301">
          <cell r="J301">
            <v>0</v>
          </cell>
          <cell r="S301">
            <v>468.9</v>
          </cell>
        </row>
        <row r="302">
          <cell r="J302">
            <v>0</v>
          </cell>
          <cell r="S302">
            <v>490.4</v>
          </cell>
        </row>
        <row r="303">
          <cell r="J303">
            <v>6.7</v>
          </cell>
          <cell r="S303">
            <v>336</v>
          </cell>
        </row>
        <row r="304">
          <cell r="J304">
            <v>25</v>
          </cell>
          <cell r="S304">
            <v>164.9</v>
          </cell>
        </row>
        <row r="305">
          <cell r="J305">
            <v>120.8</v>
          </cell>
          <cell r="S305">
            <v>68.099999999999994</v>
          </cell>
        </row>
        <row r="306">
          <cell r="J306">
            <v>284.60000000000002</v>
          </cell>
          <cell r="S306">
            <v>31.9</v>
          </cell>
        </row>
        <row r="307">
          <cell r="J307">
            <v>157.4</v>
          </cell>
          <cell r="S307">
            <v>48</v>
          </cell>
        </row>
        <row r="308">
          <cell r="J308">
            <v>46.9</v>
          </cell>
          <cell r="S308">
            <v>110.3</v>
          </cell>
        </row>
        <row r="309">
          <cell r="J309">
            <v>42.4</v>
          </cell>
          <cell r="S309">
            <v>123.3</v>
          </cell>
        </row>
        <row r="310">
          <cell r="J310">
            <v>14.5</v>
          </cell>
          <cell r="S310">
            <v>203.3</v>
          </cell>
        </row>
        <row r="311">
          <cell r="J311">
            <v>1</v>
          </cell>
          <cell r="S311">
            <v>383.2</v>
          </cell>
        </row>
        <row r="312">
          <cell r="J312">
            <v>0</v>
          </cell>
          <cell r="S312">
            <v>437.3</v>
          </cell>
        </row>
        <row r="313">
          <cell r="J313">
            <v>0</v>
          </cell>
          <cell r="S313">
            <v>433.6</v>
          </cell>
        </row>
        <row r="314">
          <cell r="J314">
            <v>0.1</v>
          </cell>
          <cell r="S314">
            <v>477.1</v>
          </cell>
        </row>
        <row r="315">
          <cell r="J315">
            <v>3.6</v>
          </cell>
          <cell r="S315">
            <v>293.39999999999998</v>
          </cell>
        </row>
        <row r="316">
          <cell r="J316">
            <v>21.5</v>
          </cell>
          <cell r="S316">
            <v>186.3</v>
          </cell>
        </row>
        <row r="317">
          <cell r="J317">
            <v>20.3</v>
          </cell>
          <cell r="S317">
            <v>145.9</v>
          </cell>
        </row>
        <row r="318">
          <cell r="J318">
            <v>181.8</v>
          </cell>
          <cell r="S318">
            <v>59.2</v>
          </cell>
        </row>
        <row r="319">
          <cell r="J319">
            <v>82.8</v>
          </cell>
          <cell r="S319">
            <v>80.599999999999994</v>
          </cell>
        </row>
        <row r="320">
          <cell r="J320">
            <v>111</v>
          </cell>
          <cell r="S320">
            <v>66.3</v>
          </cell>
        </row>
        <row r="321">
          <cell r="J321">
            <v>16.399999999999999</v>
          </cell>
          <cell r="S321">
            <v>199.5</v>
          </cell>
        </row>
        <row r="322">
          <cell r="J322">
            <v>1.4</v>
          </cell>
          <cell r="S322">
            <v>328.4</v>
          </cell>
        </row>
        <row r="323">
          <cell r="J323">
            <v>1.3</v>
          </cell>
          <cell r="S323">
            <v>370.4</v>
          </cell>
        </row>
        <row r="324">
          <cell r="J324">
            <v>0</v>
          </cell>
          <cell r="S324">
            <v>407</v>
          </cell>
        </row>
        <row r="325">
          <cell r="J325">
            <v>0</v>
          </cell>
          <cell r="S325">
            <v>455.6</v>
          </cell>
        </row>
        <row r="326">
          <cell r="J326">
            <v>0</v>
          </cell>
          <cell r="S326">
            <v>455.4</v>
          </cell>
        </row>
        <row r="327">
          <cell r="J327">
            <v>0.6</v>
          </cell>
          <cell r="S327">
            <v>420.7</v>
          </cell>
        </row>
        <row r="328">
          <cell r="J328">
            <v>17.7</v>
          </cell>
          <cell r="S328">
            <v>260.39999999999998</v>
          </cell>
        </row>
        <row r="329">
          <cell r="J329">
            <v>127</v>
          </cell>
          <cell r="S329">
            <v>51.4</v>
          </cell>
        </row>
        <row r="330">
          <cell r="J330">
            <v>221.7</v>
          </cell>
          <cell r="S330">
            <v>17.3</v>
          </cell>
        </row>
        <row r="331">
          <cell r="J331">
            <v>214.9</v>
          </cell>
          <cell r="S331">
            <v>18.2</v>
          </cell>
        </row>
        <row r="332">
          <cell r="J332">
            <v>42.5</v>
          </cell>
          <cell r="S332">
            <v>117.4</v>
          </cell>
        </row>
        <row r="333">
          <cell r="J333">
            <v>31</v>
          </cell>
          <cell r="S333">
            <v>159.80000000000001</v>
          </cell>
        </row>
        <row r="334">
          <cell r="J334">
            <v>6.7</v>
          </cell>
          <cell r="S334">
            <v>281.10000000000002</v>
          </cell>
        </row>
        <row r="335">
          <cell r="J335">
            <v>0.1</v>
          </cell>
          <cell r="S335">
            <v>401.6</v>
          </cell>
        </row>
        <row r="336">
          <cell r="J336">
            <v>0</v>
          </cell>
          <cell r="S336">
            <v>445.6</v>
          </cell>
        </row>
        <row r="337">
          <cell r="J337">
            <v>0</v>
          </cell>
          <cell r="S337">
            <v>436.3</v>
          </cell>
        </row>
        <row r="338">
          <cell r="J338">
            <v>0</v>
          </cell>
          <cell r="S338">
            <v>454.3</v>
          </cell>
        </row>
        <row r="339">
          <cell r="J339">
            <v>0.8</v>
          </cell>
          <cell r="S339">
            <v>337.8</v>
          </cell>
        </row>
        <row r="340">
          <cell r="J340">
            <v>6.7</v>
          </cell>
          <cell r="S340">
            <v>245.1</v>
          </cell>
        </row>
        <row r="341">
          <cell r="J341">
            <v>104.2</v>
          </cell>
          <cell r="S341">
            <v>90.3</v>
          </cell>
        </row>
        <row r="342">
          <cell r="J342">
            <v>165.3</v>
          </cell>
          <cell r="S342">
            <v>33.799999999999997</v>
          </cell>
        </row>
        <row r="343">
          <cell r="J343">
            <v>144</v>
          </cell>
          <cell r="S343">
            <v>30.6</v>
          </cell>
        </row>
        <row r="344">
          <cell r="J344">
            <v>90.1</v>
          </cell>
          <cell r="S344">
            <v>66.3</v>
          </cell>
        </row>
        <row r="345">
          <cell r="J345">
            <v>41.8</v>
          </cell>
          <cell r="S345">
            <v>100.8</v>
          </cell>
        </row>
        <row r="346">
          <cell r="J346">
            <v>14.5</v>
          </cell>
          <cell r="S346">
            <v>209.9</v>
          </cell>
        </row>
        <row r="347">
          <cell r="J347">
            <v>0.4</v>
          </cell>
          <cell r="S347">
            <v>405.4</v>
          </cell>
        </row>
        <row r="348">
          <cell r="J348">
            <v>0</v>
          </cell>
          <cell r="S348">
            <v>485.8</v>
          </cell>
        </row>
        <row r="349">
          <cell r="J349">
            <v>0</v>
          </cell>
          <cell r="S349">
            <v>454.2</v>
          </cell>
        </row>
        <row r="350">
          <cell r="J350">
            <v>0</v>
          </cell>
          <cell r="S350">
            <v>459.4</v>
          </cell>
        </row>
        <row r="351">
          <cell r="J351">
            <v>1</v>
          </cell>
          <cell r="S351">
            <v>376.6</v>
          </cell>
        </row>
        <row r="352">
          <cell r="J352">
            <v>7.3</v>
          </cell>
          <cell r="S352">
            <v>229.6</v>
          </cell>
        </row>
        <row r="353">
          <cell r="J353">
            <v>64</v>
          </cell>
          <cell r="S353">
            <v>105.1</v>
          </cell>
        </row>
        <row r="354">
          <cell r="J354">
            <v>144.80000000000001</v>
          </cell>
          <cell r="S354">
            <v>48.6</v>
          </cell>
        </row>
        <row r="355">
          <cell r="J355">
            <v>137.9</v>
          </cell>
          <cell r="S355">
            <v>33.9</v>
          </cell>
        </row>
        <row r="356">
          <cell r="J356">
            <v>95.8</v>
          </cell>
          <cell r="S356">
            <v>49.5</v>
          </cell>
        </row>
        <row r="357">
          <cell r="J357">
            <v>45.5</v>
          </cell>
          <cell r="S357">
            <v>121.7</v>
          </cell>
        </row>
        <row r="358">
          <cell r="J358">
            <v>18.899999999999999</v>
          </cell>
          <cell r="S358">
            <v>156.6</v>
          </cell>
        </row>
        <row r="359">
          <cell r="J359">
            <v>0.9</v>
          </cell>
          <cell r="S359">
            <v>343.7</v>
          </cell>
        </row>
        <row r="360">
          <cell r="J360">
            <v>0</v>
          </cell>
          <cell r="S360">
            <v>461.6</v>
          </cell>
        </row>
        <row r="361">
          <cell r="J361">
            <v>0</v>
          </cell>
          <cell r="S361">
            <v>540.29999999999995</v>
          </cell>
        </row>
        <row r="362">
          <cell r="J362">
            <v>0</v>
          </cell>
          <cell r="S362">
            <v>519.70000000000005</v>
          </cell>
        </row>
        <row r="363">
          <cell r="J363">
            <v>0.8</v>
          </cell>
          <cell r="S363">
            <v>424.1</v>
          </cell>
        </row>
        <row r="364">
          <cell r="J364">
            <v>22.1</v>
          </cell>
          <cell r="S364">
            <v>208.3</v>
          </cell>
        </row>
        <row r="365">
          <cell r="J365">
            <v>73.5</v>
          </cell>
          <cell r="S365">
            <v>83.4</v>
          </cell>
        </row>
        <row r="366">
          <cell r="J366">
            <v>148</v>
          </cell>
          <cell r="S366">
            <v>31.5</v>
          </cell>
        </row>
        <row r="367">
          <cell r="J367">
            <v>122.1</v>
          </cell>
          <cell r="S367">
            <v>41.4</v>
          </cell>
        </row>
        <row r="368">
          <cell r="J368">
            <v>83.4</v>
          </cell>
          <cell r="S368">
            <v>78.599999999999994</v>
          </cell>
        </row>
        <row r="369">
          <cell r="J369">
            <v>37.9</v>
          </cell>
          <cell r="S369">
            <v>144.19999999999999</v>
          </cell>
        </row>
        <row r="370">
          <cell r="J370">
            <v>4.5</v>
          </cell>
          <cell r="S370">
            <v>256.8</v>
          </cell>
        </row>
        <row r="371">
          <cell r="J371">
            <v>1.2</v>
          </cell>
          <cell r="S371">
            <v>378.6</v>
          </cell>
        </row>
        <row r="372">
          <cell r="J372">
            <v>0</v>
          </cell>
          <cell r="S372">
            <v>446</v>
          </cell>
        </row>
        <row r="373">
          <cell r="J373">
            <v>0</v>
          </cell>
          <cell r="S373">
            <v>501.7</v>
          </cell>
        </row>
        <row r="374">
          <cell r="J374">
            <v>0</v>
          </cell>
          <cell r="S374">
            <v>464.4</v>
          </cell>
        </row>
        <row r="375">
          <cell r="J375">
            <v>2.5</v>
          </cell>
          <cell r="S375">
            <v>351.1</v>
          </cell>
        </row>
        <row r="376">
          <cell r="J376">
            <v>30.8</v>
          </cell>
          <cell r="S376">
            <v>179.6</v>
          </cell>
        </row>
        <row r="377">
          <cell r="J377">
            <v>79.3</v>
          </cell>
          <cell r="S377">
            <v>81.599999999999994</v>
          </cell>
        </row>
        <row r="378">
          <cell r="J378">
            <v>54.1</v>
          </cell>
          <cell r="S378">
            <v>96.8</v>
          </cell>
        </row>
        <row r="379">
          <cell r="J379">
            <v>150</v>
          </cell>
          <cell r="S379">
            <v>31</v>
          </cell>
        </row>
        <row r="380">
          <cell r="J380">
            <v>103.5</v>
          </cell>
          <cell r="S380">
            <v>66.400000000000006</v>
          </cell>
        </row>
        <row r="381">
          <cell r="J381">
            <v>33.299999999999997</v>
          </cell>
          <cell r="S381">
            <v>130</v>
          </cell>
        </row>
        <row r="382">
          <cell r="J382">
            <v>12.4</v>
          </cell>
          <cell r="S382">
            <v>213.9</v>
          </cell>
        </row>
        <row r="383">
          <cell r="J383">
            <v>1</v>
          </cell>
          <cell r="S383">
            <v>331.7</v>
          </cell>
        </row>
        <row r="384">
          <cell r="J384">
            <v>0</v>
          </cell>
          <cell r="S384">
            <v>460</v>
          </cell>
        </row>
        <row r="385">
          <cell r="J385">
            <v>0</v>
          </cell>
          <cell r="S385">
            <v>509.9</v>
          </cell>
        </row>
        <row r="386">
          <cell r="J386">
            <v>0</v>
          </cell>
          <cell r="S386">
            <v>505.1</v>
          </cell>
        </row>
        <row r="387">
          <cell r="J387">
            <v>0.3</v>
          </cell>
          <cell r="S387">
            <v>402.4</v>
          </cell>
        </row>
        <row r="388">
          <cell r="J388">
            <v>21</v>
          </cell>
          <cell r="S388">
            <v>228.3</v>
          </cell>
        </row>
        <row r="389">
          <cell r="J389">
            <v>50.6</v>
          </cell>
          <cell r="S389">
            <v>110.7</v>
          </cell>
        </row>
        <row r="390">
          <cell r="J390">
            <v>100.1</v>
          </cell>
          <cell r="S390">
            <v>82.1</v>
          </cell>
        </row>
        <row r="391">
          <cell r="J391">
            <v>97.8</v>
          </cell>
          <cell r="S391">
            <v>53.1</v>
          </cell>
        </row>
        <row r="392">
          <cell r="J392">
            <v>70.400000000000006</v>
          </cell>
          <cell r="S392">
            <v>75.5</v>
          </cell>
        </row>
        <row r="393">
          <cell r="J393">
            <v>38.6</v>
          </cell>
          <cell r="S393">
            <v>128.4</v>
          </cell>
        </row>
        <row r="394">
          <cell r="J394">
            <v>14.9</v>
          </cell>
          <cell r="S394">
            <v>211.1</v>
          </cell>
        </row>
        <row r="395">
          <cell r="J395">
            <v>0.9</v>
          </cell>
          <cell r="S395">
            <v>400.2</v>
          </cell>
        </row>
        <row r="396">
          <cell r="J396">
            <v>0</v>
          </cell>
          <cell r="S396">
            <v>433.6</v>
          </cell>
        </row>
        <row r="397">
          <cell r="J397">
            <v>0</v>
          </cell>
          <cell r="S397">
            <v>465.4</v>
          </cell>
        </row>
        <row r="398">
          <cell r="J398">
            <v>0</v>
          </cell>
          <cell r="S398">
            <v>486.9</v>
          </cell>
        </row>
        <row r="399">
          <cell r="J399">
            <v>1.2</v>
          </cell>
          <cell r="S399">
            <v>376.9</v>
          </cell>
        </row>
        <row r="400">
          <cell r="J400">
            <v>37.5</v>
          </cell>
          <cell r="S400">
            <v>179.4</v>
          </cell>
        </row>
        <row r="401">
          <cell r="J401">
            <v>118.3</v>
          </cell>
          <cell r="S401">
            <v>58.7</v>
          </cell>
        </row>
        <row r="402">
          <cell r="J402">
            <v>90.9</v>
          </cell>
          <cell r="S402">
            <v>65.599999999999994</v>
          </cell>
        </row>
        <row r="403">
          <cell r="J403">
            <v>195.6</v>
          </cell>
          <cell r="S403">
            <v>29.7</v>
          </cell>
        </row>
        <row r="404">
          <cell r="J404">
            <v>114.2</v>
          </cell>
          <cell r="S404">
            <v>57.7</v>
          </cell>
        </row>
        <row r="405">
          <cell r="J405">
            <v>24.5</v>
          </cell>
          <cell r="S405">
            <v>152.6</v>
          </cell>
        </row>
        <row r="406">
          <cell r="J406">
            <v>8.6</v>
          </cell>
          <cell r="S406">
            <v>252.5</v>
          </cell>
        </row>
        <row r="407">
          <cell r="J407">
            <v>0.3</v>
          </cell>
          <cell r="S407">
            <v>365.8</v>
          </cell>
        </row>
        <row r="408">
          <cell r="J408">
            <v>0</v>
          </cell>
          <cell r="S408">
            <v>477.6</v>
          </cell>
        </row>
        <row r="409">
          <cell r="J409">
            <v>0</v>
          </cell>
          <cell r="S409">
            <v>471.2</v>
          </cell>
        </row>
        <row r="410">
          <cell r="J410">
            <v>0</v>
          </cell>
          <cell r="S410">
            <v>459.2</v>
          </cell>
        </row>
        <row r="411">
          <cell r="J411">
            <v>2.6</v>
          </cell>
          <cell r="S411">
            <v>423.2</v>
          </cell>
        </row>
        <row r="412">
          <cell r="J412">
            <v>14.6</v>
          </cell>
          <cell r="S412">
            <v>264.8</v>
          </cell>
        </row>
        <row r="413">
          <cell r="J413">
            <v>52.5</v>
          </cell>
          <cell r="S413">
            <v>110.2</v>
          </cell>
        </row>
        <row r="414">
          <cell r="J414">
            <v>256.8</v>
          </cell>
          <cell r="S414">
            <v>35.299999999999997</v>
          </cell>
        </row>
        <row r="415">
          <cell r="J415">
            <v>218.6</v>
          </cell>
          <cell r="S415">
            <v>18.600000000000001</v>
          </cell>
        </row>
        <row r="416">
          <cell r="J416">
            <v>231.4</v>
          </cell>
          <cell r="S416">
            <v>8.6</v>
          </cell>
        </row>
        <row r="417">
          <cell r="J417">
            <v>60.7</v>
          </cell>
          <cell r="S417">
            <v>70.8</v>
          </cell>
        </row>
        <row r="418">
          <cell r="J418">
            <v>5.6</v>
          </cell>
          <cell r="S418">
            <v>242.3</v>
          </cell>
        </row>
        <row r="419">
          <cell r="J419">
            <v>0.2</v>
          </cell>
          <cell r="S419">
            <v>429.1</v>
          </cell>
        </row>
        <row r="420">
          <cell r="J420">
            <v>0</v>
          </cell>
          <cell r="S420">
            <v>511.2</v>
          </cell>
        </row>
        <row r="421">
          <cell r="J421">
            <v>0</v>
          </cell>
          <cell r="S421">
            <v>537.20000000000005</v>
          </cell>
        </row>
        <row r="422">
          <cell r="J422">
            <v>0</v>
          </cell>
          <cell r="S422">
            <v>500.3</v>
          </cell>
        </row>
        <row r="423">
          <cell r="J423">
            <v>1.9</v>
          </cell>
          <cell r="S423">
            <v>391</v>
          </cell>
        </row>
        <row r="424">
          <cell r="J424">
            <v>20.5</v>
          </cell>
          <cell r="S424">
            <v>230.3</v>
          </cell>
        </row>
        <row r="425">
          <cell r="J425">
            <v>122.8</v>
          </cell>
          <cell r="S425">
            <v>94.7</v>
          </cell>
        </row>
        <row r="426">
          <cell r="J426">
            <v>270.2</v>
          </cell>
          <cell r="S426">
            <v>14.5</v>
          </cell>
        </row>
        <row r="427">
          <cell r="J427">
            <v>164.2</v>
          </cell>
          <cell r="S427">
            <v>27</v>
          </cell>
        </row>
        <row r="428">
          <cell r="J428">
            <v>62.7</v>
          </cell>
          <cell r="S428">
            <v>84.6</v>
          </cell>
        </row>
        <row r="429">
          <cell r="J429">
            <v>23.4</v>
          </cell>
          <cell r="S429">
            <v>154.80000000000001</v>
          </cell>
        </row>
        <row r="430">
          <cell r="J430">
            <v>4.5999999999999996</v>
          </cell>
          <cell r="S430">
            <v>303.5</v>
          </cell>
        </row>
        <row r="431">
          <cell r="J431">
            <v>1.5</v>
          </cell>
          <cell r="S431">
            <v>391.5</v>
          </cell>
        </row>
        <row r="432">
          <cell r="J432">
            <v>0.1</v>
          </cell>
          <cell r="S432">
            <v>481.9</v>
          </cell>
        </row>
        <row r="433">
          <cell r="J433">
            <v>0</v>
          </cell>
          <cell r="S433">
            <v>527.9</v>
          </cell>
        </row>
        <row r="434">
          <cell r="J434">
            <v>0.1</v>
          </cell>
          <cell r="S434">
            <v>486.9</v>
          </cell>
        </row>
        <row r="435">
          <cell r="J435">
            <v>2</v>
          </cell>
          <cell r="S435">
            <v>374.6</v>
          </cell>
        </row>
        <row r="436">
          <cell r="J436">
            <v>20.3</v>
          </cell>
          <cell r="S436">
            <v>156.80000000000001</v>
          </cell>
        </row>
        <row r="437">
          <cell r="J437">
            <v>41.7</v>
          </cell>
          <cell r="S437">
            <v>106</v>
          </cell>
        </row>
        <row r="438">
          <cell r="J438">
            <v>103.1</v>
          </cell>
          <cell r="S438">
            <v>58.5</v>
          </cell>
        </row>
        <row r="439">
          <cell r="J439">
            <v>90.5</v>
          </cell>
          <cell r="S439">
            <v>58</v>
          </cell>
        </row>
        <row r="440">
          <cell r="J440">
            <v>45.2</v>
          </cell>
          <cell r="S440">
            <v>112.8</v>
          </cell>
        </row>
        <row r="441">
          <cell r="J441">
            <v>6.7</v>
          </cell>
          <cell r="S441">
            <v>208.7</v>
          </cell>
        </row>
        <row r="442">
          <cell r="J442">
            <v>7.3</v>
          </cell>
          <cell r="S442">
            <v>242.3</v>
          </cell>
        </row>
        <row r="443">
          <cell r="J443">
            <v>0.3</v>
          </cell>
          <cell r="S443">
            <v>380.4</v>
          </cell>
        </row>
        <row r="444">
          <cell r="J444">
            <v>0</v>
          </cell>
          <cell r="S444">
            <v>425.7</v>
          </cell>
        </row>
        <row r="445">
          <cell r="J445">
            <v>0</v>
          </cell>
          <cell r="S445">
            <v>495.5</v>
          </cell>
        </row>
        <row r="446">
          <cell r="J446">
            <v>0</v>
          </cell>
          <cell r="S446">
            <v>456.6</v>
          </cell>
        </row>
        <row r="447">
          <cell r="J447">
            <v>0.2</v>
          </cell>
          <cell r="S447">
            <v>396.8</v>
          </cell>
        </row>
        <row r="448">
          <cell r="J448">
            <v>20.3</v>
          </cell>
          <cell r="S448">
            <v>209.7</v>
          </cell>
        </row>
        <row r="449">
          <cell r="J449">
            <v>54</v>
          </cell>
          <cell r="S449">
            <v>70.599999999999994</v>
          </cell>
        </row>
        <row r="450">
          <cell r="J450">
            <v>89.3</v>
          </cell>
          <cell r="S450">
            <v>75</v>
          </cell>
        </row>
        <row r="451">
          <cell r="J451">
            <v>76.099999999999994</v>
          </cell>
          <cell r="S451">
            <v>70.599999999999994</v>
          </cell>
        </row>
        <row r="452">
          <cell r="J452">
            <v>107</v>
          </cell>
          <cell r="S452">
            <v>63.9</v>
          </cell>
        </row>
        <row r="453">
          <cell r="J453">
            <v>82.9</v>
          </cell>
          <cell r="S453">
            <v>100</v>
          </cell>
        </row>
        <row r="454">
          <cell r="J454">
            <v>7.3</v>
          </cell>
          <cell r="S454">
            <v>235.2</v>
          </cell>
        </row>
        <row r="455">
          <cell r="J455">
            <v>1.5</v>
          </cell>
          <cell r="S455">
            <v>360.8</v>
          </cell>
        </row>
        <row r="456">
          <cell r="J456">
            <v>0</v>
          </cell>
          <cell r="S456">
            <v>454.6</v>
          </cell>
        </row>
        <row r="457">
          <cell r="J457">
            <v>0</v>
          </cell>
          <cell r="S457">
            <v>473.2</v>
          </cell>
        </row>
        <row r="458">
          <cell r="J458">
            <v>0</v>
          </cell>
          <cell r="S458">
            <v>493.2</v>
          </cell>
        </row>
        <row r="459">
          <cell r="J459">
            <v>0.1</v>
          </cell>
          <cell r="S459">
            <v>394.5</v>
          </cell>
        </row>
        <row r="460">
          <cell r="J460">
            <v>7.6</v>
          </cell>
          <cell r="S460">
            <v>251.8</v>
          </cell>
        </row>
        <row r="461">
          <cell r="J461">
            <v>35.5</v>
          </cell>
          <cell r="S461">
            <v>144.1</v>
          </cell>
        </row>
      </sheetData>
      <sheetData sheetId="1">
        <row r="102">
          <cell r="J102">
            <v>132.80000000000001</v>
          </cell>
          <cell r="S102">
            <v>47.4</v>
          </cell>
        </row>
        <row r="103">
          <cell r="J103">
            <v>77.099999999999994</v>
          </cell>
          <cell r="S103">
            <v>54.8</v>
          </cell>
        </row>
        <row r="104">
          <cell r="J104">
            <v>47.8</v>
          </cell>
          <cell r="S104">
            <v>81.400000000000006</v>
          </cell>
        </row>
        <row r="105">
          <cell r="J105">
            <v>15.1</v>
          </cell>
          <cell r="S105">
            <v>127.7</v>
          </cell>
        </row>
        <row r="106">
          <cell r="J106">
            <v>3.5</v>
          </cell>
          <cell r="S106">
            <v>264.7</v>
          </cell>
        </row>
        <row r="107">
          <cell r="J107">
            <v>0.5</v>
          </cell>
          <cell r="S107">
            <v>366.4</v>
          </cell>
        </row>
        <row r="108">
          <cell r="J108">
            <v>0.1</v>
          </cell>
          <cell r="S108">
            <v>471.5</v>
          </cell>
        </row>
        <row r="109">
          <cell r="J109">
            <v>0</v>
          </cell>
          <cell r="S109">
            <v>523.79999999999995</v>
          </cell>
        </row>
        <row r="110">
          <cell r="J110">
            <v>0</v>
          </cell>
          <cell r="S110">
            <v>525.20000000000005</v>
          </cell>
        </row>
        <row r="111">
          <cell r="J111">
            <v>0.5</v>
          </cell>
          <cell r="S111">
            <v>373.1</v>
          </cell>
        </row>
        <row r="112">
          <cell r="J112">
            <v>7.3</v>
          </cell>
          <cell r="S112">
            <v>302.10000000000002</v>
          </cell>
        </row>
        <row r="113">
          <cell r="J113">
            <v>34.4</v>
          </cell>
          <cell r="S113">
            <v>112.9</v>
          </cell>
        </row>
        <row r="114">
          <cell r="J114">
            <v>53.7</v>
          </cell>
          <cell r="S114">
            <v>127.3</v>
          </cell>
        </row>
        <row r="115">
          <cell r="J115">
            <v>131.80000000000001</v>
          </cell>
          <cell r="S115">
            <v>48.9</v>
          </cell>
        </row>
        <row r="116">
          <cell r="J116">
            <v>36.200000000000003</v>
          </cell>
          <cell r="S116">
            <v>131</v>
          </cell>
        </row>
        <row r="117">
          <cell r="J117">
            <v>9.4</v>
          </cell>
          <cell r="S117">
            <v>157.9</v>
          </cell>
        </row>
        <row r="118">
          <cell r="J118">
            <v>1.5</v>
          </cell>
          <cell r="S118">
            <v>293.5</v>
          </cell>
        </row>
        <row r="119">
          <cell r="J119">
            <v>0</v>
          </cell>
          <cell r="S119">
            <v>473.6</v>
          </cell>
        </row>
        <row r="120">
          <cell r="J120">
            <v>0</v>
          </cell>
          <cell r="S120">
            <v>523</v>
          </cell>
        </row>
        <row r="121">
          <cell r="J121">
            <v>0</v>
          </cell>
          <cell r="S121">
            <v>530.9</v>
          </cell>
        </row>
        <row r="122">
          <cell r="J122">
            <v>0</v>
          </cell>
          <cell r="S122">
            <v>512.29999999999995</v>
          </cell>
        </row>
        <row r="123">
          <cell r="J123">
            <v>0.2</v>
          </cell>
          <cell r="S123">
            <v>437.2</v>
          </cell>
        </row>
        <row r="124">
          <cell r="J124">
            <v>2.2999999999999998</v>
          </cell>
          <cell r="S124">
            <v>366.4</v>
          </cell>
        </row>
        <row r="125">
          <cell r="J125">
            <v>16.899999999999999</v>
          </cell>
          <cell r="S125">
            <v>250</v>
          </cell>
        </row>
        <row r="126">
          <cell r="J126">
            <v>96.4</v>
          </cell>
          <cell r="S126">
            <v>60.1</v>
          </cell>
        </row>
        <row r="127">
          <cell r="J127">
            <v>67.599999999999994</v>
          </cell>
          <cell r="S127">
            <v>65.8</v>
          </cell>
        </row>
        <row r="128">
          <cell r="J128">
            <v>44.5</v>
          </cell>
          <cell r="S128">
            <v>100.2</v>
          </cell>
        </row>
        <row r="129">
          <cell r="J129">
            <v>18.5</v>
          </cell>
          <cell r="S129">
            <v>165.8</v>
          </cell>
        </row>
        <row r="130">
          <cell r="J130">
            <v>5.0999999999999996</v>
          </cell>
          <cell r="S130">
            <v>238.1</v>
          </cell>
        </row>
        <row r="131">
          <cell r="J131">
            <v>0.1</v>
          </cell>
          <cell r="S131">
            <v>446.2</v>
          </cell>
        </row>
        <row r="132">
          <cell r="J132">
            <v>0</v>
          </cell>
          <cell r="S132">
            <v>506</v>
          </cell>
        </row>
        <row r="133">
          <cell r="J133">
            <v>0</v>
          </cell>
          <cell r="S133">
            <v>555.20000000000005</v>
          </cell>
        </row>
        <row r="134">
          <cell r="J134">
            <v>0</v>
          </cell>
          <cell r="S134">
            <v>534.1</v>
          </cell>
        </row>
        <row r="135">
          <cell r="J135">
            <v>0.2</v>
          </cell>
          <cell r="S135">
            <v>480.2</v>
          </cell>
        </row>
        <row r="136">
          <cell r="J136">
            <v>1.5</v>
          </cell>
          <cell r="S136">
            <v>318.7</v>
          </cell>
        </row>
        <row r="137">
          <cell r="J137">
            <v>5.6</v>
          </cell>
          <cell r="S137">
            <v>266.7</v>
          </cell>
        </row>
        <row r="138">
          <cell r="J138">
            <v>35.5</v>
          </cell>
          <cell r="S138">
            <v>84.1</v>
          </cell>
        </row>
        <row r="139">
          <cell r="J139">
            <v>69.400000000000006</v>
          </cell>
          <cell r="S139">
            <v>48.5</v>
          </cell>
        </row>
        <row r="140">
          <cell r="J140">
            <v>22.7</v>
          </cell>
          <cell r="S140">
            <v>78.7</v>
          </cell>
        </row>
        <row r="141">
          <cell r="J141">
            <v>25</v>
          </cell>
          <cell r="S141">
            <v>114.8</v>
          </cell>
        </row>
        <row r="142">
          <cell r="J142">
            <v>7</v>
          </cell>
          <cell r="S142">
            <v>242</v>
          </cell>
        </row>
        <row r="143">
          <cell r="J143">
            <v>0</v>
          </cell>
          <cell r="S143">
            <v>435.4</v>
          </cell>
        </row>
        <row r="144">
          <cell r="J144">
            <v>0</v>
          </cell>
          <cell r="S144">
            <v>553.29999999999995</v>
          </cell>
        </row>
        <row r="145">
          <cell r="J145">
            <v>0</v>
          </cell>
          <cell r="S145">
            <v>568.5</v>
          </cell>
        </row>
        <row r="146">
          <cell r="J146">
            <v>0</v>
          </cell>
          <cell r="S146">
            <v>551</v>
          </cell>
        </row>
        <row r="147">
          <cell r="J147">
            <v>1.2</v>
          </cell>
          <cell r="S147">
            <v>395.1</v>
          </cell>
        </row>
        <row r="148">
          <cell r="J148">
            <v>7.5</v>
          </cell>
          <cell r="S148">
            <v>195</v>
          </cell>
        </row>
        <row r="149">
          <cell r="J149">
            <v>30.2</v>
          </cell>
          <cell r="S149">
            <v>119.3</v>
          </cell>
        </row>
        <row r="150">
          <cell r="J150">
            <v>53.7</v>
          </cell>
          <cell r="S150">
            <v>82</v>
          </cell>
        </row>
        <row r="151">
          <cell r="J151">
            <v>91.7</v>
          </cell>
          <cell r="S151">
            <v>45.6</v>
          </cell>
        </row>
        <row r="152">
          <cell r="J152">
            <v>57.4</v>
          </cell>
          <cell r="S152">
            <v>59.2</v>
          </cell>
        </row>
        <row r="153">
          <cell r="J153">
            <v>21.5</v>
          </cell>
          <cell r="S153">
            <v>160.9</v>
          </cell>
        </row>
        <row r="154">
          <cell r="J154">
            <v>2.8</v>
          </cell>
          <cell r="S154">
            <v>238.5</v>
          </cell>
        </row>
        <row r="155">
          <cell r="J155">
            <v>0.2</v>
          </cell>
          <cell r="S155">
            <v>379.7</v>
          </cell>
        </row>
        <row r="156">
          <cell r="J156">
            <v>0</v>
          </cell>
          <cell r="S156">
            <v>499</v>
          </cell>
        </row>
        <row r="157">
          <cell r="J157">
            <v>0</v>
          </cell>
          <cell r="S157">
            <v>510.2</v>
          </cell>
        </row>
        <row r="158">
          <cell r="J158">
            <v>0</v>
          </cell>
          <cell r="S158">
            <v>562.20000000000005</v>
          </cell>
        </row>
        <row r="159">
          <cell r="J159">
            <v>0.9</v>
          </cell>
          <cell r="S159">
            <v>419.4</v>
          </cell>
        </row>
        <row r="160">
          <cell r="J160">
            <v>4</v>
          </cell>
          <cell r="S160">
            <v>224.5</v>
          </cell>
        </row>
        <row r="161">
          <cell r="J161">
            <v>30.7</v>
          </cell>
          <cell r="S161">
            <v>148.4</v>
          </cell>
        </row>
        <row r="162">
          <cell r="J162">
            <v>36.4</v>
          </cell>
          <cell r="S162">
            <v>120.6</v>
          </cell>
        </row>
        <row r="163">
          <cell r="J163">
            <v>16.3</v>
          </cell>
          <cell r="S163">
            <v>134.1</v>
          </cell>
        </row>
        <row r="164">
          <cell r="J164">
            <v>60.9</v>
          </cell>
          <cell r="S164">
            <v>126.9</v>
          </cell>
        </row>
        <row r="165">
          <cell r="J165">
            <v>11.3</v>
          </cell>
          <cell r="S165">
            <v>226.9</v>
          </cell>
        </row>
        <row r="166">
          <cell r="J166">
            <v>1.6</v>
          </cell>
          <cell r="S166">
            <v>289.39999999999998</v>
          </cell>
        </row>
        <row r="167">
          <cell r="J167">
            <v>0.3</v>
          </cell>
          <cell r="S167">
            <v>476.1</v>
          </cell>
        </row>
        <row r="168">
          <cell r="J168">
            <v>0</v>
          </cell>
          <cell r="S168">
            <v>528.4</v>
          </cell>
        </row>
        <row r="169">
          <cell r="J169">
            <v>0</v>
          </cell>
          <cell r="S169">
            <v>540.70000000000005</v>
          </cell>
        </row>
        <row r="170">
          <cell r="J170">
            <v>0</v>
          </cell>
          <cell r="S170">
            <v>575.5</v>
          </cell>
        </row>
        <row r="171">
          <cell r="J171">
            <v>1.3</v>
          </cell>
          <cell r="S171">
            <v>454</v>
          </cell>
        </row>
        <row r="172">
          <cell r="J172">
            <v>9.6</v>
          </cell>
          <cell r="S172">
            <v>241.5</v>
          </cell>
        </row>
        <row r="173">
          <cell r="J173">
            <v>47.2</v>
          </cell>
          <cell r="S173">
            <v>106.5</v>
          </cell>
        </row>
        <row r="174">
          <cell r="J174">
            <v>124.2</v>
          </cell>
          <cell r="S174">
            <v>50.4</v>
          </cell>
        </row>
        <row r="175">
          <cell r="J175">
            <v>21.4</v>
          </cell>
          <cell r="S175">
            <v>147.1</v>
          </cell>
        </row>
        <row r="176">
          <cell r="J176">
            <v>9.3000000000000007</v>
          </cell>
          <cell r="S176">
            <v>141.1</v>
          </cell>
        </row>
        <row r="177">
          <cell r="J177">
            <v>7.1</v>
          </cell>
          <cell r="S177">
            <v>180.6</v>
          </cell>
        </row>
        <row r="178">
          <cell r="J178">
            <v>1.6</v>
          </cell>
          <cell r="S178">
            <v>306.3</v>
          </cell>
        </row>
        <row r="179">
          <cell r="J179">
            <v>0</v>
          </cell>
          <cell r="S179">
            <v>470.9</v>
          </cell>
        </row>
        <row r="180">
          <cell r="J180">
            <v>0</v>
          </cell>
          <cell r="S180">
            <v>512.5</v>
          </cell>
        </row>
        <row r="181">
          <cell r="J181">
            <v>0</v>
          </cell>
          <cell r="S181">
            <v>555.6</v>
          </cell>
        </row>
        <row r="182">
          <cell r="J182">
            <v>0</v>
          </cell>
          <cell r="S182">
            <v>536.9</v>
          </cell>
        </row>
        <row r="183">
          <cell r="J183">
            <v>0.1</v>
          </cell>
          <cell r="S183">
            <v>461.6</v>
          </cell>
        </row>
        <row r="184">
          <cell r="J184">
            <v>5.7</v>
          </cell>
          <cell r="S184">
            <v>267.60000000000002</v>
          </cell>
        </row>
        <row r="185">
          <cell r="J185">
            <v>20.7</v>
          </cell>
          <cell r="S185">
            <v>134</v>
          </cell>
        </row>
        <row r="186">
          <cell r="J186">
            <v>21.6</v>
          </cell>
          <cell r="S186">
            <v>156.4</v>
          </cell>
        </row>
        <row r="187">
          <cell r="J187">
            <v>31</v>
          </cell>
          <cell r="S187">
            <v>94.2</v>
          </cell>
        </row>
        <row r="188">
          <cell r="J188">
            <v>29.6</v>
          </cell>
          <cell r="S188">
            <v>101.6</v>
          </cell>
        </row>
        <row r="189">
          <cell r="J189">
            <v>6.4</v>
          </cell>
          <cell r="S189">
            <v>219.1</v>
          </cell>
        </row>
        <row r="190">
          <cell r="J190">
            <v>0.2</v>
          </cell>
          <cell r="S190">
            <v>382.4</v>
          </cell>
        </row>
        <row r="191">
          <cell r="J191">
            <v>0</v>
          </cell>
          <cell r="S191">
            <v>462.6</v>
          </cell>
        </row>
        <row r="192">
          <cell r="J192">
            <v>0</v>
          </cell>
          <cell r="S192">
            <v>529.29999999999995</v>
          </cell>
        </row>
        <row r="193">
          <cell r="J193">
            <v>0</v>
          </cell>
          <cell r="S193">
            <v>561.1</v>
          </cell>
        </row>
        <row r="194">
          <cell r="J194">
            <v>0</v>
          </cell>
          <cell r="S194">
            <v>543.5</v>
          </cell>
        </row>
        <row r="195">
          <cell r="J195">
            <v>0.5</v>
          </cell>
          <cell r="S195">
            <v>417.9</v>
          </cell>
        </row>
        <row r="196">
          <cell r="J196">
            <v>11.6</v>
          </cell>
          <cell r="S196">
            <v>232.7</v>
          </cell>
        </row>
        <row r="197">
          <cell r="J197">
            <v>31.1</v>
          </cell>
          <cell r="S197">
            <v>147.6</v>
          </cell>
        </row>
        <row r="198">
          <cell r="J198">
            <v>42.1</v>
          </cell>
          <cell r="S198">
            <v>69.5</v>
          </cell>
        </row>
        <row r="199">
          <cell r="J199">
            <v>58.7</v>
          </cell>
          <cell r="S199">
            <v>42.9</v>
          </cell>
        </row>
        <row r="200">
          <cell r="J200">
            <v>17.8</v>
          </cell>
          <cell r="S200">
            <v>110.7</v>
          </cell>
        </row>
        <row r="201">
          <cell r="J201">
            <v>14.5</v>
          </cell>
          <cell r="S201">
            <v>116</v>
          </cell>
        </row>
        <row r="202">
          <cell r="J202">
            <v>4.8</v>
          </cell>
          <cell r="S202">
            <v>213.1</v>
          </cell>
        </row>
        <row r="203">
          <cell r="J203">
            <v>0.8</v>
          </cell>
          <cell r="S203">
            <v>393.9</v>
          </cell>
        </row>
        <row r="204">
          <cell r="J204">
            <v>0</v>
          </cell>
          <cell r="S204">
            <v>530.70000000000005</v>
          </cell>
        </row>
        <row r="205">
          <cell r="J205">
            <v>0</v>
          </cell>
          <cell r="S205">
            <v>556.9</v>
          </cell>
        </row>
        <row r="206">
          <cell r="J206">
            <v>0</v>
          </cell>
          <cell r="S206">
            <v>509.2</v>
          </cell>
        </row>
        <row r="207">
          <cell r="J207">
            <v>0.4</v>
          </cell>
          <cell r="S207">
            <v>403.1</v>
          </cell>
        </row>
        <row r="208">
          <cell r="J208">
            <v>3.1</v>
          </cell>
          <cell r="S208">
            <v>228.8</v>
          </cell>
        </row>
        <row r="209">
          <cell r="J209">
            <v>30.4</v>
          </cell>
          <cell r="S209">
            <v>152.30000000000001</v>
          </cell>
        </row>
        <row r="210">
          <cell r="J210">
            <v>15.7</v>
          </cell>
          <cell r="S210">
            <v>126</v>
          </cell>
        </row>
        <row r="211">
          <cell r="J211">
            <v>30.1</v>
          </cell>
          <cell r="S211">
            <v>67.599999999999994</v>
          </cell>
        </row>
        <row r="212">
          <cell r="J212">
            <v>45.1</v>
          </cell>
          <cell r="S212">
            <v>44</v>
          </cell>
        </row>
        <row r="213">
          <cell r="J213">
            <v>18.8</v>
          </cell>
          <cell r="S213">
            <v>118.1</v>
          </cell>
        </row>
        <row r="214">
          <cell r="J214">
            <v>4.3</v>
          </cell>
          <cell r="S214">
            <v>203.1</v>
          </cell>
        </row>
        <row r="215">
          <cell r="J215">
            <v>0.2</v>
          </cell>
          <cell r="S215">
            <v>395.5</v>
          </cell>
        </row>
        <row r="216">
          <cell r="J216">
            <v>0</v>
          </cell>
          <cell r="S216">
            <v>519.70000000000005</v>
          </cell>
        </row>
        <row r="217">
          <cell r="J217">
            <v>0</v>
          </cell>
          <cell r="S217">
            <v>592.70000000000005</v>
          </cell>
        </row>
        <row r="218">
          <cell r="J218">
            <v>0</v>
          </cell>
          <cell r="S218">
            <v>526.70000000000005</v>
          </cell>
        </row>
        <row r="219">
          <cell r="J219">
            <v>0.4</v>
          </cell>
          <cell r="S219">
            <v>427.4</v>
          </cell>
        </row>
        <row r="220">
          <cell r="J220">
            <v>11.7</v>
          </cell>
          <cell r="S220">
            <v>254.4</v>
          </cell>
        </row>
        <row r="221">
          <cell r="J221">
            <v>25.6</v>
          </cell>
          <cell r="S221">
            <v>126.5</v>
          </cell>
        </row>
        <row r="222">
          <cell r="J222">
            <v>83.6</v>
          </cell>
          <cell r="S222">
            <v>28.4</v>
          </cell>
        </row>
        <row r="223">
          <cell r="J223">
            <v>54.1</v>
          </cell>
          <cell r="S223">
            <v>70.7</v>
          </cell>
        </row>
        <row r="224">
          <cell r="J224">
            <v>16.3</v>
          </cell>
          <cell r="S224">
            <v>115.4</v>
          </cell>
        </row>
        <row r="225">
          <cell r="J225">
            <v>9.6999999999999993</v>
          </cell>
          <cell r="S225">
            <v>221.9</v>
          </cell>
        </row>
        <row r="226">
          <cell r="J226">
            <v>0.5</v>
          </cell>
          <cell r="S226">
            <v>339.7</v>
          </cell>
        </row>
        <row r="227">
          <cell r="J227">
            <v>0.1</v>
          </cell>
          <cell r="S227">
            <v>419.1</v>
          </cell>
        </row>
        <row r="228">
          <cell r="J228">
            <v>0</v>
          </cell>
          <cell r="S228">
            <v>531.5</v>
          </cell>
        </row>
        <row r="229">
          <cell r="J229">
            <v>0</v>
          </cell>
          <cell r="S229">
            <v>490.2</v>
          </cell>
        </row>
        <row r="230">
          <cell r="J230">
            <v>0</v>
          </cell>
          <cell r="S230">
            <v>498</v>
          </cell>
        </row>
        <row r="231">
          <cell r="J231">
            <v>0</v>
          </cell>
          <cell r="S231">
            <v>383.2</v>
          </cell>
        </row>
        <row r="232">
          <cell r="J232">
            <v>0.9</v>
          </cell>
          <cell r="S232">
            <v>279.89999999999998</v>
          </cell>
        </row>
        <row r="233">
          <cell r="J233">
            <v>6.7</v>
          </cell>
          <cell r="S233">
            <v>190.7</v>
          </cell>
        </row>
        <row r="234">
          <cell r="J234">
            <v>35</v>
          </cell>
          <cell r="S234">
            <v>50.4</v>
          </cell>
        </row>
        <row r="235">
          <cell r="J235">
            <v>82.1</v>
          </cell>
          <cell r="S235">
            <v>33.200000000000003</v>
          </cell>
        </row>
        <row r="236">
          <cell r="J236">
            <v>30.4</v>
          </cell>
          <cell r="S236">
            <v>93.3</v>
          </cell>
        </row>
        <row r="237">
          <cell r="J237">
            <v>4.4000000000000004</v>
          </cell>
          <cell r="S237">
            <v>183.5</v>
          </cell>
        </row>
        <row r="238">
          <cell r="J238">
            <v>0.8</v>
          </cell>
          <cell r="S238">
            <v>342.8</v>
          </cell>
        </row>
        <row r="239">
          <cell r="J239">
            <v>0</v>
          </cell>
          <cell r="S239">
            <v>478.5</v>
          </cell>
        </row>
        <row r="240">
          <cell r="J240">
            <v>0</v>
          </cell>
          <cell r="S240">
            <v>489.1</v>
          </cell>
        </row>
        <row r="241">
          <cell r="J241">
            <v>0</v>
          </cell>
          <cell r="S241">
            <v>510.2</v>
          </cell>
        </row>
        <row r="242">
          <cell r="J242">
            <v>0</v>
          </cell>
          <cell r="S242">
            <v>543.20000000000005</v>
          </cell>
        </row>
        <row r="243">
          <cell r="J243">
            <v>0.2</v>
          </cell>
          <cell r="S243">
            <v>463.5</v>
          </cell>
        </row>
        <row r="244">
          <cell r="J244">
            <v>9.6</v>
          </cell>
          <cell r="S244">
            <v>258</v>
          </cell>
        </row>
        <row r="245">
          <cell r="J245">
            <v>35.6</v>
          </cell>
          <cell r="S245">
            <v>87</v>
          </cell>
        </row>
        <row r="246">
          <cell r="J246">
            <v>122.5</v>
          </cell>
          <cell r="S246">
            <v>48.4</v>
          </cell>
        </row>
        <row r="247">
          <cell r="J247">
            <v>94.4</v>
          </cell>
          <cell r="S247">
            <v>52.6</v>
          </cell>
        </row>
        <row r="248">
          <cell r="J248">
            <v>66.8</v>
          </cell>
          <cell r="S248">
            <v>79.7</v>
          </cell>
        </row>
        <row r="249">
          <cell r="J249">
            <v>36.200000000000003</v>
          </cell>
          <cell r="S249">
            <v>112.6</v>
          </cell>
        </row>
        <row r="250">
          <cell r="J250">
            <v>3.7</v>
          </cell>
          <cell r="S250">
            <v>287.3</v>
          </cell>
        </row>
        <row r="251">
          <cell r="J251">
            <v>0</v>
          </cell>
          <cell r="S251">
            <v>466.7</v>
          </cell>
        </row>
        <row r="252">
          <cell r="J252">
            <v>0</v>
          </cell>
          <cell r="S252">
            <v>504.1</v>
          </cell>
        </row>
        <row r="253">
          <cell r="J253">
            <v>0</v>
          </cell>
          <cell r="S253">
            <v>557.9</v>
          </cell>
        </row>
        <row r="254">
          <cell r="J254">
            <v>0</v>
          </cell>
          <cell r="S254">
            <v>512.79999999999995</v>
          </cell>
        </row>
        <row r="255">
          <cell r="J255">
            <v>0.5</v>
          </cell>
          <cell r="S255">
            <v>394.6</v>
          </cell>
        </row>
        <row r="256">
          <cell r="J256">
            <v>7.1</v>
          </cell>
          <cell r="S256">
            <v>246.7</v>
          </cell>
        </row>
        <row r="257">
          <cell r="J257">
            <v>24.7</v>
          </cell>
          <cell r="S257">
            <v>102.6</v>
          </cell>
        </row>
        <row r="258">
          <cell r="J258">
            <v>55.7</v>
          </cell>
          <cell r="S258">
            <v>87.1</v>
          </cell>
        </row>
        <row r="259">
          <cell r="J259">
            <v>50.9</v>
          </cell>
          <cell r="S259">
            <v>75.2</v>
          </cell>
        </row>
        <row r="260">
          <cell r="J260">
            <v>7.6</v>
          </cell>
          <cell r="S260">
            <v>190.8</v>
          </cell>
        </row>
        <row r="261">
          <cell r="J261">
            <v>3</v>
          </cell>
          <cell r="S261">
            <v>209.8</v>
          </cell>
        </row>
        <row r="262">
          <cell r="J262">
            <v>2.2999999999999998</v>
          </cell>
          <cell r="S262">
            <v>230.8</v>
          </cell>
        </row>
        <row r="263">
          <cell r="J263">
            <v>0.2</v>
          </cell>
          <cell r="S263">
            <v>397.1</v>
          </cell>
        </row>
        <row r="264">
          <cell r="J264">
            <v>0</v>
          </cell>
          <cell r="S264">
            <v>512.1</v>
          </cell>
        </row>
        <row r="265">
          <cell r="J265">
            <v>0</v>
          </cell>
          <cell r="S265">
            <v>521.9</v>
          </cell>
        </row>
        <row r="266">
          <cell r="J266">
            <v>0</v>
          </cell>
          <cell r="S266">
            <v>529.29999999999995</v>
          </cell>
        </row>
        <row r="267">
          <cell r="J267">
            <v>0.2</v>
          </cell>
          <cell r="S267">
            <v>456.1</v>
          </cell>
        </row>
        <row r="268">
          <cell r="J268">
            <v>8.1</v>
          </cell>
          <cell r="S268">
            <v>197.9</v>
          </cell>
        </row>
        <row r="269">
          <cell r="J269">
            <v>30.6</v>
          </cell>
          <cell r="S269">
            <v>95.5</v>
          </cell>
        </row>
        <row r="270">
          <cell r="J270">
            <v>50.4</v>
          </cell>
          <cell r="S270">
            <v>81.400000000000006</v>
          </cell>
        </row>
        <row r="271">
          <cell r="J271">
            <v>41.3</v>
          </cell>
          <cell r="S271">
            <v>39.6</v>
          </cell>
        </row>
        <row r="272">
          <cell r="J272">
            <v>37.6</v>
          </cell>
          <cell r="S272">
            <v>70.400000000000006</v>
          </cell>
        </row>
        <row r="273">
          <cell r="J273">
            <v>19.7</v>
          </cell>
          <cell r="S273">
            <v>167.8</v>
          </cell>
        </row>
        <row r="274">
          <cell r="J274">
            <v>2.1</v>
          </cell>
          <cell r="S274">
            <v>277.2</v>
          </cell>
        </row>
        <row r="275">
          <cell r="J275">
            <v>0</v>
          </cell>
          <cell r="S275">
            <v>508</v>
          </cell>
        </row>
        <row r="276">
          <cell r="J276">
            <v>0</v>
          </cell>
          <cell r="S276">
            <v>580.1</v>
          </cell>
        </row>
        <row r="277">
          <cell r="J277">
            <v>0</v>
          </cell>
          <cell r="S277">
            <v>572.4</v>
          </cell>
        </row>
        <row r="278">
          <cell r="J278">
            <v>0</v>
          </cell>
          <cell r="S278">
            <v>544.20000000000005</v>
          </cell>
        </row>
        <row r="279">
          <cell r="J279">
            <v>0</v>
          </cell>
          <cell r="S279">
            <v>474.5</v>
          </cell>
        </row>
        <row r="280">
          <cell r="J280">
            <v>1.5</v>
          </cell>
          <cell r="S280">
            <v>292.39999999999998</v>
          </cell>
        </row>
        <row r="281">
          <cell r="J281">
            <v>5.8</v>
          </cell>
          <cell r="S281">
            <v>229.7</v>
          </cell>
        </row>
        <row r="282">
          <cell r="J282">
            <v>55.8</v>
          </cell>
          <cell r="S282">
            <v>107.7</v>
          </cell>
        </row>
        <row r="283">
          <cell r="J283">
            <v>25.5</v>
          </cell>
          <cell r="S283">
            <v>119.6</v>
          </cell>
        </row>
        <row r="284">
          <cell r="J284">
            <v>40.299999999999997</v>
          </cell>
          <cell r="S284">
            <v>76.2</v>
          </cell>
        </row>
        <row r="285">
          <cell r="J285">
            <v>12</v>
          </cell>
          <cell r="S285">
            <v>192.8</v>
          </cell>
        </row>
        <row r="286">
          <cell r="J286">
            <v>2.2000000000000002</v>
          </cell>
          <cell r="S286">
            <v>290.2</v>
          </cell>
        </row>
        <row r="287">
          <cell r="J287">
            <v>0.1</v>
          </cell>
          <cell r="S287">
            <v>420.1</v>
          </cell>
        </row>
        <row r="288">
          <cell r="J288">
            <v>0</v>
          </cell>
          <cell r="S288">
            <v>494.9</v>
          </cell>
        </row>
        <row r="289">
          <cell r="J289">
            <v>0</v>
          </cell>
          <cell r="S289">
            <v>583.70000000000005</v>
          </cell>
        </row>
        <row r="290">
          <cell r="J290">
            <v>0</v>
          </cell>
          <cell r="S290">
            <v>525.29999999999995</v>
          </cell>
        </row>
        <row r="291">
          <cell r="J291">
            <v>0.1</v>
          </cell>
          <cell r="S291">
            <v>421.7</v>
          </cell>
        </row>
        <row r="292">
          <cell r="J292">
            <v>6.5</v>
          </cell>
          <cell r="S292">
            <v>230.7</v>
          </cell>
        </row>
        <row r="293">
          <cell r="J293">
            <v>20.7</v>
          </cell>
          <cell r="S293">
            <v>120.2</v>
          </cell>
        </row>
        <row r="294">
          <cell r="J294">
            <v>43.3</v>
          </cell>
          <cell r="S294">
            <v>67.7</v>
          </cell>
        </row>
        <row r="295">
          <cell r="J295">
            <v>82</v>
          </cell>
          <cell r="S295">
            <v>43.7</v>
          </cell>
        </row>
        <row r="296">
          <cell r="J296">
            <v>16.2</v>
          </cell>
          <cell r="S296">
            <v>121.9</v>
          </cell>
        </row>
        <row r="297">
          <cell r="J297">
            <v>6.6</v>
          </cell>
          <cell r="S297">
            <v>194.3</v>
          </cell>
        </row>
        <row r="298">
          <cell r="J298">
            <v>3</v>
          </cell>
          <cell r="S298">
            <v>271.60000000000002</v>
          </cell>
        </row>
        <row r="299">
          <cell r="J299">
            <v>0</v>
          </cell>
          <cell r="S299">
            <v>485.6</v>
          </cell>
        </row>
        <row r="300">
          <cell r="J300">
            <v>0</v>
          </cell>
          <cell r="S300">
            <v>539.70000000000005</v>
          </cell>
        </row>
        <row r="301">
          <cell r="J301">
            <v>0</v>
          </cell>
          <cell r="S301">
            <v>528.20000000000005</v>
          </cell>
        </row>
        <row r="302">
          <cell r="J302">
            <v>0</v>
          </cell>
          <cell r="S302">
            <v>554.29999999999995</v>
          </cell>
        </row>
        <row r="303">
          <cell r="J303">
            <v>1.5</v>
          </cell>
          <cell r="S303">
            <v>390.6</v>
          </cell>
        </row>
        <row r="304">
          <cell r="J304">
            <v>6.8</v>
          </cell>
          <cell r="S304">
            <v>209.2</v>
          </cell>
        </row>
        <row r="305">
          <cell r="J305">
            <v>48.5</v>
          </cell>
          <cell r="S305">
            <v>92.5</v>
          </cell>
        </row>
        <row r="306">
          <cell r="J306">
            <v>152.69999999999999</v>
          </cell>
          <cell r="S306">
            <v>45</v>
          </cell>
        </row>
        <row r="307">
          <cell r="J307">
            <v>68.599999999999994</v>
          </cell>
          <cell r="S307">
            <v>67</v>
          </cell>
        </row>
        <row r="308">
          <cell r="J308">
            <v>13.2</v>
          </cell>
          <cell r="S308">
            <v>145.30000000000001</v>
          </cell>
        </row>
        <row r="309">
          <cell r="J309">
            <v>10.8</v>
          </cell>
          <cell r="S309">
            <v>159.6</v>
          </cell>
        </row>
        <row r="310">
          <cell r="J310">
            <v>3.8</v>
          </cell>
          <cell r="S310">
            <v>252.6</v>
          </cell>
        </row>
        <row r="311">
          <cell r="J311">
            <v>0</v>
          </cell>
          <cell r="S311">
            <v>442.8</v>
          </cell>
        </row>
        <row r="312">
          <cell r="J312">
            <v>0</v>
          </cell>
          <cell r="S312">
            <v>498.2</v>
          </cell>
        </row>
        <row r="313">
          <cell r="J313">
            <v>0</v>
          </cell>
          <cell r="S313">
            <v>493</v>
          </cell>
        </row>
        <row r="314">
          <cell r="J314">
            <v>0</v>
          </cell>
          <cell r="S314">
            <v>540.79999999999995</v>
          </cell>
        </row>
        <row r="315">
          <cell r="J315">
            <v>0.8</v>
          </cell>
          <cell r="S315">
            <v>349</v>
          </cell>
        </row>
        <row r="316">
          <cell r="J316">
            <v>5.8</v>
          </cell>
          <cell r="S316">
            <v>232.9</v>
          </cell>
        </row>
        <row r="317">
          <cell r="J317">
            <v>5.9</v>
          </cell>
          <cell r="S317">
            <v>192.8</v>
          </cell>
        </row>
        <row r="318">
          <cell r="J318">
            <v>84</v>
          </cell>
          <cell r="S318">
            <v>80.400000000000006</v>
          </cell>
        </row>
        <row r="319">
          <cell r="J319">
            <v>30.9</v>
          </cell>
          <cell r="S319">
            <v>109.1</v>
          </cell>
        </row>
        <row r="320">
          <cell r="J320">
            <v>44.6</v>
          </cell>
          <cell r="S320">
            <v>89.5</v>
          </cell>
        </row>
        <row r="321">
          <cell r="J321">
            <v>4.8</v>
          </cell>
          <cell r="S321">
            <v>248.8</v>
          </cell>
        </row>
        <row r="322">
          <cell r="J322">
            <v>0.2</v>
          </cell>
          <cell r="S322">
            <v>384.7</v>
          </cell>
        </row>
        <row r="323">
          <cell r="J323">
            <v>0.1</v>
          </cell>
          <cell r="S323">
            <v>429.6</v>
          </cell>
        </row>
        <row r="324">
          <cell r="J324">
            <v>0</v>
          </cell>
          <cell r="S324">
            <v>468</v>
          </cell>
        </row>
        <row r="325">
          <cell r="J325">
            <v>0</v>
          </cell>
          <cell r="S325">
            <v>514.9</v>
          </cell>
        </row>
        <row r="326">
          <cell r="J326">
            <v>0</v>
          </cell>
          <cell r="S326">
            <v>516.5</v>
          </cell>
        </row>
        <row r="327">
          <cell r="J327">
            <v>0.1</v>
          </cell>
          <cell r="S327">
            <v>479.4</v>
          </cell>
        </row>
        <row r="328">
          <cell r="J328">
            <v>4.8</v>
          </cell>
          <cell r="S328">
            <v>313.10000000000002</v>
          </cell>
        </row>
        <row r="329">
          <cell r="J329">
            <v>47.4</v>
          </cell>
          <cell r="S329">
            <v>73</v>
          </cell>
        </row>
        <row r="330">
          <cell r="J330">
            <v>98.6</v>
          </cell>
          <cell r="S330">
            <v>28.3</v>
          </cell>
        </row>
        <row r="331">
          <cell r="J331">
            <v>99.6</v>
          </cell>
          <cell r="S331">
            <v>28.7</v>
          </cell>
        </row>
        <row r="332">
          <cell r="J332">
            <v>11.2</v>
          </cell>
          <cell r="S332">
            <v>154</v>
          </cell>
        </row>
        <row r="333">
          <cell r="J333">
            <v>8.8000000000000007</v>
          </cell>
          <cell r="S333">
            <v>202.1</v>
          </cell>
        </row>
        <row r="334">
          <cell r="J334">
            <v>1.2</v>
          </cell>
          <cell r="S334">
            <v>335</v>
          </cell>
        </row>
        <row r="335">
          <cell r="J335">
            <v>0</v>
          </cell>
          <cell r="S335">
            <v>462.5</v>
          </cell>
        </row>
        <row r="336">
          <cell r="J336">
            <v>0</v>
          </cell>
          <cell r="S336">
            <v>506.8</v>
          </cell>
        </row>
        <row r="337">
          <cell r="J337">
            <v>0</v>
          </cell>
          <cell r="S337">
            <v>495.5</v>
          </cell>
        </row>
        <row r="338">
          <cell r="J338">
            <v>0</v>
          </cell>
          <cell r="S338">
            <v>518.29999999999995</v>
          </cell>
        </row>
        <row r="339">
          <cell r="J339">
            <v>0.1</v>
          </cell>
          <cell r="S339">
            <v>395.5</v>
          </cell>
        </row>
        <row r="340">
          <cell r="J340">
            <v>1.2</v>
          </cell>
          <cell r="S340">
            <v>299.10000000000002</v>
          </cell>
        </row>
        <row r="341">
          <cell r="J341">
            <v>38.9</v>
          </cell>
          <cell r="S341">
            <v>120.5</v>
          </cell>
        </row>
        <row r="342">
          <cell r="J342">
            <v>67.099999999999994</v>
          </cell>
          <cell r="S342">
            <v>50.8</v>
          </cell>
        </row>
        <row r="343">
          <cell r="J343">
            <v>55</v>
          </cell>
          <cell r="S343">
            <v>45.9</v>
          </cell>
        </row>
        <row r="344">
          <cell r="J344">
            <v>33</v>
          </cell>
          <cell r="S344">
            <v>92.7</v>
          </cell>
        </row>
        <row r="345">
          <cell r="J345">
            <v>9.8000000000000007</v>
          </cell>
          <cell r="S345">
            <v>136.19999999999999</v>
          </cell>
        </row>
        <row r="346">
          <cell r="J346">
            <v>2.9</v>
          </cell>
          <cell r="S346">
            <v>258.60000000000002</v>
          </cell>
        </row>
        <row r="347">
          <cell r="J347">
            <v>0.1</v>
          </cell>
          <cell r="S347">
            <v>465.6</v>
          </cell>
        </row>
        <row r="348">
          <cell r="J348">
            <v>0</v>
          </cell>
          <cell r="S348">
            <v>547.1</v>
          </cell>
        </row>
        <row r="349">
          <cell r="J349">
            <v>0</v>
          </cell>
          <cell r="S349">
            <v>513.6</v>
          </cell>
        </row>
        <row r="350">
          <cell r="J350">
            <v>0</v>
          </cell>
          <cell r="S350">
            <v>520</v>
          </cell>
        </row>
        <row r="351">
          <cell r="J351">
            <v>0.1</v>
          </cell>
          <cell r="S351">
            <v>435.2</v>
          </cell>
        </row>
        <row r="352">
          <cell r="J352">
            <v>1.2</v>
          </cell>
          <cell r="S352">
            <v>281.89999999999998</v>
          </cell>
        </row>
        <row r="353">
          <cell r="J353">
            <v>23.1</v>
          </cell>
          <cell r="S353">
            <v>141.69999999999999</v>
          </cell>
        </row>
        <row r="354">
          <cell r="J354">
            <v>59.7</v>
          </cell>
          <cell r="S354">
            <v>69.8</v>
          </cell>
        </row>
        <row r="355">
          <cell r="J355">
            <v>55.3</v>
          </cell>
          <cell r="S355">
            <v>51.2</v>
          </cell>
        </row>
        <row r="356">
          <cell r="J356">
            <v>33.299999999999997</v>
          </cell>
          <cell r="S356">
            <v>73.2</v>
          </cell>
        </row>
        <row r="357">
          <cell r="J357">
            <v>12.9</v>
          </cell>
          <cell r="S357">
            <v>160.4</v>
          </cell>
        </row>
        <row r="358">
          <cell r="J358">
            <v>3.2</v>
          </cell>
          <cell r="S358">
            <v>199.6</v>
          </cell>
        </row>
        <row r="359">
          <cell r="J359">
            <v>0</v>
          </cell>
          <cell r="S359">
            <v>402.8</v>
          </cell>
        </row>
        <row r="360">
          <cell r="J360">
            <v>0</v>
          </cell>
          <cell r="S360">
            <v>522.9</v>
          </cell>
        </row>
        <row r="361">
          <cell r="J361">
            <v>0</v>
          </cell>
          <cell r="S361">
            <v>602.5</v>
          </cell>
        </row>
        <row r="362">
          <cell r="J362">
            <v>0</v>
          </cell>
          <cell r="S362">
            <v>580.5</v>
          </cell>
        </row>
        <row r="363">
          <cell r="J363">
            <v>0.1</v>
          </cell>
          <cell r="S363">
            <v>482.9</v>
          </cell>
        </row>
        <row r="364">
          <cell r="J364">
            <v>5.3</v>
          </cell>
          <cell r="S364">
            <v>254.3</v>
          </cell>
        </row>
        <row r="365">
          <cell r="J365">
            <v>22.4</v>
          </cell>
          <cell r="S365">
            <v>114.1</v>
          </cell>
        </row>
        <row r="366">
          <cell r="J366">
            <v>54</v>
          </cell>
          <cell r="S366">
            <v>49.1</v>
          </cell>
        </row>
        <row r="367">
          <cell r="J367">
            <v>48.3</v>
          </cell>
          <cell r="S367">
            <v>65</v>
          </cell>
        </row>
        <row r="368">
          <cell r="J368">
            <v>31.5</v>
          </cell>
          <cell r="S368">
            <v>107.4</v>
          </cell>
        </row>
        <row r="369">
          <cell r="J369">
            <v>10.6</v>
          </cell>
          <cell r="S369">
            <v>184.1</v>
          </cell>
        </row>
        <row r="370">
          <cell r="J370">
            <v>0.4</v>
          </cell>
          <cell r="S370">
            <v>310.89999999999998</v>
          </cell>
        </row>
        <row r="371">
          <cell r="J371">
            <v>0.1</v>
          </cell>
          <cell r="S371">
            <v>438.3</v>
          </cell>
        </row>
        <row r="372">
          <cell r="J372">
            <v>0</v>
          </cell>
          <cell r="S372">
            <v>506.9</v>
          </cell>
        </row>
        <row r="373">
          <cell r="J373">
            <v>0</v>
          </cell>
          <cell r="S373">
            <v>563.9</v>
          </cell>
        </row>
        <row r="374">
          <cell r="J374">
            <v>0</v>
          </cell>
          <cell r="S374">
            <v>525.4</v>
          </cell>
        </row>
        <row r="375">
          <cell r="J375">
            <v>0.5</v>
          </cell>
          <cell r="S375">
            <v>408</v>
          </cell>
        </row>
        <row r="376">
          <cell r="J376">
            <v>8.6999999999999993</v>
          </cell>
          <cell r="S376">
            <v>224.4</v>
          </cell>
        </row>
        <row r="377">
          <cell r="J377">
            <v>27.2</v>
          </cell>
          <cell r="S377">
            <v>114.3</v>
          </cell>
        </row>
        <row r="378">
          <cell r="J378">
            <v>17.2</v>
          </cell>
          <cell r="S378">
            <v>135</v>
          </cell>
        </row>
        <row r="379">
          <cell r="J379">
            <v>56.3</v>
          </cell>
          <cell r="S379">
            <v>46.6</v>
          </cell>
        </row>
        <row r="380">
          <cell r="J380">
            <v>39.200000000000003</v>
          </cell>
          <cell r="S380">
            <v>91.5</v>
          </cell>
        </row>
        <row r="381">
          <cell r="J381">
            <v>8</v>
          </cell>
          <cell r="S381">
            <v>169.1</v>
          </cell>
        </row>
        <row r="382">
          <cell r="J382">
            <v>2.2999999999999998</v>
          </cell>
          <cell r="S382">
            <v>262.2</v>
          </cell>
        </row>
        <row r="383">
          <cell r="J383">
            <v>0.1</v>
          </cell>
          <cell r="S383">
            <v>391.1</v>
          </cell>
        </row>
        <row r="384">
          <cell r="J384">
            <v>0</v>
          </cell>
          <cell r="S384">
            <v>521</v>
          </cell>
        </row>
        <row r="385">
          <cell r="J385">
            <v>0</v>
          </cell>
          <cell r="S385">
            <v>572.1</v>
          </cell>
        </row>
        <row r="386">
          <cell r="J386">
            <v>0</v>
          </cell>
          <cell r="S386">
            <v>566.20000000000005</v>
          </cell>
        </row>
        <row r="387">
          <cell r="J387">
            <v>0</v>
          </cell>
          <cell r="S387">
            <v>461.3</v>
          </cell>
        </row>
        <row r="388">
          <cell r="J388">
            <v>5.9</v>
          </cell>
          <cell r="S388">
            <v>277.60000000000002</v>
          </cell>
        </row>
        <row r="389">
          <cell r="J389">
            <v>16.5</v>
          </cell>
          <cell r="S389">
            <v>149.4</v>
          </cell>
        </row>
        <row r="390">
          <cell r="J390">
            <v>45.5</v>
          </cell>
          <cell r="S390">
            <v>113.9</v>
          </cell>
        </row>
        <row r="391">
          <cell r="J391">
            <v>36.799999999999997</v>
          </cell>
          <cell r="S391">
            <v>76.3</v>
          </cell>
        </row>
        <row r="392">
          <cell r="J392">
            <v>25.6</v>
          </cell>
          <cell r="S392">
            <v>106.1</v>
          </cell>
        </row>
        <row r="393">
          <cell r="J393">
            <v>11.3</v>
          </cell>
          <cell r="S393">
            <v>168.6</v>
          </cell>
        </row>
        <row r="394">
          <cell r="J394">
            <v>3.5</v>
          </cell>
          <cell r="S394">
            <v>258.89999999999998</v>
          </cell>
        </row>
        <row r="395">
          <cell r="J395">
            <v>0.1</v>
          </cell>
          <cell r="S395">
            <v>460.5</v>
          </cell>
        </row>
        <row r="396">
          <cell r="J396">
            <v>0</v>
          </cell>
          <cell r="S396">
            <v>494.3</v>
          </cell>
        </row>
        <row r="397">
          <cell r="J397">
            <v>0</v>
          </cell>
          <cell r="S397">
            <v>527.9</v>
          </cell>
        </row>
        <row r="398">
          <cell r="J398">
            <v>0</v>
          </cell>
          <cell r="S398">
            <v>550.79999999999995</v>
          </cell>
        </row>
        <row r="399">
          <cell r="J399">
            <v>0.1</v>
          </cell>
          <cell r="S399">
            <v>434.8</v>
          </cell>
        </row>
        <row r="400">
          <cell r="J400">
            <v>12.6</v>
          </cell>
          <cell r="S400">
            <v>222.4</v>
          </cell>
        </row>
        <row r="401">
          <cell r="J401">
            <v>43.6</v>
          </cell>
          <cell r="S401">
            <v>81.5</v>
          </cell>
        </row>
        <row r="402">
          <cell r="J402">
            <v>33.9</v>
          </cell>
          <cell r="S402">
            <v>95.2</v>
          </cell>
        </row>
        <row r="403">
          <cell r="J403">
            <v>93.6</v>
          </cell>
          <cell r="S403">
            <v>44.1</v>
          </cell>
        </row>
        <row r="404">
          <cell r="J404">
            <v>45.5</v>
          </cell>
          <cell r="S404">
            <v>80.7</v>
          </cell>
        </row>
        <row r="405">
          <cell r="J405">
            <v>6.3</v>
          </cell>
          <cell r="S405">
            <v>195.6</v>
          </cell>
        </row>
        <row r="406">
          <cell r="J406">
            <v>1.7</v>
          </cell>
          <cell r="S406">
            <v>304.89999999999998</v>
          </cell>
        </row>
        <row r="407">
          <cell r="J407">
            <v>0</v>
          </cell>
          <cell r="S407">
            <v>426.5</v>
          </cell>
        </row>
        <row r="408">
          <cell r="J408">
            <v>0</v>
          </cell>
          <cell r="S408">
            <v>538.5</v>
          </cell>
        </row>
        <row r="409">
          <cell r="J409">
            <v>0</v>
          </cell>
          <cell r="S409">
            <v>530.70000000000005</v>
          </cell>
        </row>
        <row r="410">
          <cell r="J410">
            <v>0</v>
          </cell>
          <cell r="S410">
            <v>519.6</v>
          </cell>
        </row>
        <row r="411">
          <cell r="J411">
            <v>0.6</v>
          </cell>
          <cell r="S411">
            <v>481.5</v>
          </cell>
        </row>
        <row r="412">
          <cell r="J412">
            <v>3.2</v>
          </cell>
          <cell r="S412">
            <v>315.2</v>
          </cell>
        </row>
        <row r="413">
          <cell r="J413">
            <v>15.4</v>
          </cell>
          <cell r="S413">
            <v>147.4</v>
          </cell>
        </row>
        <row r="414">
          <cell r="J414">
            <v>134.30000000000001</v>
          </cell>
          <cell r="S414">
            <v>51.1</v>
          </cell>
        </row>
        <row r="415">
          <cell r="J415">
            <v>105.7</v>
          </cell>
          <cell r="S415">
            <v>29.8</v>
          </cell>
        </row>
        <row r="416">
          <cell r="J416">
            <v>101.5</v>
          </cell>
          <cell r="S416">
            <v>15.7</v>
          </cell>
        </row>
        <row r="417">
          <cell r="J417">
            <v>15.9</v>
          </cell>
          <cell r="S417">
            <v>99.1</v>
          </cell>
        </row>
        <row r="418">
          <cell r="J418">
            <v>0.8</v>
          </cell>
          <cell r="S418">
            <v>294.8</v>
          </cell>
        </row>
        <row r="419">
          <cell r="J419">
            <v>0</v>
          </cell>
          <cell r="S419">
            <v>489.9</v>
          </cell>
        </row>
        <row r="420">
          <cell r="J420">
            <v>0</v>
          </cell>
          <cell r="S420">
            <v>572.29999999999995</v>
          </cell>
        </row>
        <row r="421">
          <cell r="J421">
            <v>0</v>
          </cell>
          <cell r="S421">
            <v>597</v>
          </cell>
        </row>
        <row r="422">
          <cell r="J422">
            <v>0</v>
          </cell>
          <cell r="S422">
            <v>560.70000000000005</v>
          </cell>
        </row>
        <row r="423">
          <cell r="J423">
            <v>0.3</v>
          </cell>
          <cell r="S423">
            <v>448.6</v>
          </cell>
        </row>
        <row r="424">
          <cell r="J424">
            <v>5.7</v>
          </cell>
          <cell r="S424">
            <v>278.7</v>
          </cell>
        </row>
        <row r="425">
          <cell r="J425">
            <v>56.6</v>
          </cell>
          <cell r="S425">
            <v>125.4</v>
          </cell>
        </row>
        <row r="426">
          <cell r="J426">
            <v>135.1</v>
          </cell>
          <cell r="S426">
            <v>23.4</v>
          </cell>
        </row>
        <row r="427">
          <cell r="J427">
            <v>68.2</v>
          </cell>
          <cell r="S427">
            <v>41.7</v>
          </cell>
        </row>
        <row r="428">
          <cell r="J428">
            <v>20.3</v>
          </cell>
          <cell r="S428">
            <v>118.7</v>
          </cell>
        </row>
        <row r="429">
          <cell r="J429">
            <v>5.7</v>
          </cell>
          <cell r="S429">
            <v>197.8</v>
          </cell>
        </row>
        <row r="430">
          <cell r="J430">
            <v>0.8</v>
          </cell>
          <cell r="S430">
            <v>359.9</v>
          </cell>
        </row>
        <row r="431">
          <cell r="J431">
            <v>0.2</v>
          </cell>
          <cell r="S431">
            <v>450.7</v>
          </cell>
        </row>
        <row r="432">
          <cell r="J432">
            <v>0</v>
          </cell>
          <cell r="S432">
            <v>542.79999999999995</v>
          </cell>
        </row>
        <row r="433">
          <cell r="J433">
            <v>0</v>
          </cell>
          <cell r="S433">
            <v>590.5</v>
          </cell>
        </row>
        <row r="434">
          <cell r="J434">
            <v>0</v>
          </cell>
          <cell r="S434">
            <v>547.29999999999995</v>
          </cell>
        </row>
        <row r="435">
          <cell r="J435">
            <v>0.4</v>
          </cell>
          <cell r="S435">
            <v>432.8</v>
          </cell>
        </row>
        <row r="436">
          <cell r="J436">
            <v>4.8</v>
          </cell>
          <cell r="S436">
            <v>201.7</v>
          </cell>
        </row>
        <row r="437">
          <cell r="J437">
            <v>12</v>
          </cell>
          <cell r="S437">
            <v>144.9</v>
          </cell>
        </row>
        <row r="438">
          <cell r="J438">
            <v>42</v>
          </cell>
          <cell r="S438">
            <v>86.3</v>
          </cell>
        </row>
        <row r="439">
          <cell r="J439">
            <v>35.700000000000003</v>
          </cell>
          <cell r="S439">
            <v>84.5</v>
          </cell>
        </row>
        <row r="440">
          <cell r="J440">
            <v>17.5</v>
          </cell>
          <cell r="S440">
            <v>151.30000000000001</v>
          </cell>
        </row>
        <row r="441">
          <cell r="J441">
            <v>1.2</v>
          </cell>
          <cell r="S441">
            <v>260.7</v>
          </cell>
        </row>
        <row r="442">
          <cell r="J442">
            <v>1.3</v>
          </cell>
          <cell r="S442">
            <v>294.7</v>
          </cell>
        </row>
        <row r="443">
          <cell r="J443">
            <v>0</v>
          </cell>
          <cell r="S443">
            <v>440.8</v>
          </cell>
        </row>
        <row r="444">
          <cell r="J444">
            <v>0</v>
          </cell>
          <cell r="S444">
            <v>486.6</v>
          </cell>
        </row>
        <row r="445">
          <cell r="J445">
            <v>0</v>
          </cell>
          <cell r="S445">
            <v>557.9</v>
          </cell>
        </row>
        <row r="446">
          <cell r="J446">
            <v>0</v>
          </cell>
          <cell r="S446">
            <v>517.1</v>
          </cell>
        </row>
        <row r="447">
          <cell r="J447">
            <v>0</v>
          </cell>
          <cell r="S447">
            <v>456.3</v>
          </cell>
        </row>
        <row r="448">
          <cell r="J448">
            <v>4.5999999999999996</v>
          </cell>
          <cell r="S448">
            <v>256</v>
          </cell>
        </row>
        <row r="449">
          <cell r="J449">
            <v>13.5</v>
          </cell>
          <cell r="S449">
            <v>102.3</v>
          </cell>
        </row>
        <row r="450">
          <cell r="J450">
            <v>32.700000000000003</v>
          </cell>
          <cell r="S450">
            <v>105</v>
          </cell>
        </row>
        <row r="451">
          <cell r="J451">
            <v>26.8</v>
          </cell>
          <cell r="S451">
            <v>98.7</v>
          </cell>
        </row>
        <row r="452">
          <cell r="J452">
            <v>43.6</v>
          </cell>
          <cell r="S452">
            <v>88.5</v>
          </cell>
        </row>
        <row r="453">
          <cell r="J453">
            <v>29.6</v>
          </cell>
          <cell r="S453">
            <v>131.6</v>
          </cell>
        </row>
        <row r="454">
          <cell r="J454">
            <v>1.5</v>
          </cell>
          <cell r="S454">
            <v>289.3</v>
          </cell>
        </row>
        <row r="455">
          <cell r="J455">
            <v>0.2</v>
          </cell>
          <cell r="S455">
            <v>420</v>
          </cell>
        </row>
        <row r="456">
          <cell r="J456">
            <v>0</v>
          </cell>
          <cell r="S456">
            <v>515.4</v>
          </cell>
        </row>
        <row r="457">
          <cell r="J457">
            <v>0</v>
          </cell>
          <cell r="S457">
            <v>532.79999999999995</v>
          </cell>
        </row>
        <row r="458">
          <cell r="J458">
            <v>0</v>
          </cell>
          <cell r="S458">
            <v>554.1</v>
          </cell>
        </row>
        <row r="459">
          <cell r="J459">
            <v>0</v>
          </cell>
          <cell r="S459">
            <v>453.7</v>
          </cell>
        </row>
        <row r="460">
          <cell r="J460">
            <v>1.6</v>
          </cell>
          <cell r="S460">
            <v>304.89999999999998</v>
          </cell>
        </row>
        <row r="461">
          <cell r="J461">
            <v>12.2</v>
          </cell>
          <cell r="S461">
            <v>188.1</v>
          </cell>
        </row>
      </sheetData>
      <sheetData sheetId="2">
        <row r="102">
          <cell r="B102">
            <v>31.95</v>
          </cell>
          <cell r="J102">
            <v>308.7</v>
          </cell>
          <cell r="S102">
            <v>16.899999999999999</v>
          </cell>
        </row>
        <row r="103">
          <cell r="B103">
            <v>29.65</v>
          </cell>
          <cell r="J103">
            <v>232.8</v>
          </cell>
          <cell r="S103">
            <v>21.1</v>
          </cell>
        </row>
        <row r="104">
          <cell r="B104">
            <v>29.4</v>
          </cell>
          <cell r="J104">
            <v>161.80000000000001</v>
          </cell>
          <cell r="S104">
            <v>31.5</v>
          </cell>
        </row>
        <row r="105">
          <cell r="B105">
            <v>29.6</v>
          </cell>
          <cell r="J105">
            <v>81.5</v>
          </cell>
          <cell r="S105">
            <v>56.2</v>
          </cell>
        </row>
        <row r="106">
          <cell r="B106">
            <v>30.6</v>
          </cell>
          <cell r="J106">
            <v>34.4</v>
          </cell>
          <cell r="S106">
            <v>155</v>
          </cell>
        </row>
        <row r="107">
          <cell r="B107">
            <v>30.65</v>
          </cell>
          <cell r="J107">
            <v>8.8000000000000007</v>
          </cell>
          <cell r="S107">
            <v>230.3</v>
          </cell>
        </row>
        <row r="108">
          <cell r="B108">
            <v>30.55</v>
          </cell>
          <cell r="J108">
            <v>1</v>
          </cell>
          <cell r="S108">
            <v>321.8</v>
          </cell>
        </row>
        <row r="109">
          <cell r="B109">
            <v>31.2</v>
          </cell>
          <cell r="J109">
            <v>0</v>
          </cell>
          <cell r="S109">
            <v>368.2</v>
          </cell>
        </row>
        <row r="110">
          <cell r="B110">
            <v>31.9</v>
          </cell>
          <cell r="J110">
            <v>0</v>
          </cell>
          <cell r="S110">
            <v>366.7</v>
          </cell>
        </row>
        <row r="111">
          <cell r="B111">
            <v>29.7</v>
          </cell>
          <cell r="J111">
            <v>4.8</v>
          </cell>
          <cell r="S111">
            <v>235.5</v>
          </cell>
        </row>
        <row r="112">
          <cell r="B112">
            <v>30.15</v>
          </cell>
          <cell r="J112">
            <v>32.700000000000003</v>
          </cell>
          <cell r="S112">
            <v>180.6</v>
          </cell>
        </row>
        <row r="113">
          <cell r="B113">
            <v>30.15</v>
          </cell>
          <cell r="J113">
            <v>126</v>
          </cell>
          <cell r="S113">
            <v>48.9</v>
          </cell>
        </row>
        <row r="114">
          <cell r="B114">
            <v>31.85</v>
          </cell>
          <cell r="J114">
            <v>151</v>
          </cell>
          <cell r="S114">
            <v>55.3</v>
          </cell>
        </row>
        <row r="115">
          <cell r="B115">
            <v>29.65</v>
          </cell>
          <cell r="J115">
            <v>306.39999999999998</v>
          </cell>
          <cell r="S115">
            <v>20.3</v>
          </cell>
        </row>
        <row r="116">
          <cell r="B116">
            <v>29.4</v>
          </cell>
          <cell r="J116">
            <v>120.4</v>
          </cell>
          <cell r="S116">
            <v>62.9</v>
          </cell>
        </row>
        <row r="117">
          <cell r="B117">
            <v>30.35</v>
          </cell>
          <cell r="J117">
            <v>61.1</v>
          </cell>
          <cell r="S117">
            <v>74.3</v>
          </cell>
        </row>
        <row r="118">
          <cell r="B118">
            <v>29.85</v>
          </cell>
          <cell r="J118">
            <v>14.2</v>
          </cell>
          <cell r="S118">
            <v>173.7</v>
          </cell>
        </row>
        <row r="119">
          <cell r="B119">
            <v>30.8</v>
          </cell>
          <cell r="J119">
            <v>1.2</v>
          </cell>
          <cell r="S119">
            <v>326.39999999999998</v>
          </cell>
        </row>
        <row r="120">
          <cell r="B120">
            <v>30.4</v>
          </cell>
          <cell r="J120">
            <v>0.1</v>
          </cell>
          <cell r="S120">
            <v>371.5</v>
          </cell>
        </row>
        <row r="121">
          <cell r="B121">
            <v>31.2</v>
          </cell>
          <cell r="J121">
            <v>0</v>
          </cell>
          <cell r="S121">
            <v>375.1</v>
          </cell>
        </row>
        <row r="122">
          <cell r="B122">
            <v>30.5</v>
          </cell>
          <cell r="J122">
            <v>0</v>
          </cell>
          <cell r="S122">
            <v>360.1</v>
          </cell>
        </row>
        <row r="123">
          <cell r="B123">
            <v>29.7</v>
          </cell>
          <cell r="J123">
            <v>1.4</v>
          </cell>
          <cell r="S123">
            <v>292.10000000000002</v>
          </cell>
        </row>
        <row r="124">
          <cell r="B124">
            <v>29.95</v>
          </cell>
          <cell r="J124">
            <v>14.1</v>
          </cell>
          <cell r="S124">
            <v>232.6</v>
          </cell>
        </row>
        <row r="125">
          <cell r="B125">
            <v>31.65</v>
          </cell>
          <cell r="J125">
            <v>62.9</v>
          </cell>
          <cell r="S125">
            <v>139.30000000000001</v>
          </cell>
        </row>
        <row r="126">
          <cell r="B126">
            <v>31.95</v>
          </cell>
          <cell r="J126">
            <v>259.8</v>
          </cell>
          <cell r="S126">
            <v>23.3</v>
          </cell>
        </row>
        <row r="127">
          <cell r="B127">
            <v>29.65</v>
          </cell>
          <cell r="J127">
            <v>194.2</v>
          </cell>
          <cell r="S127">
            <v>22.7</v>
          </cell>
        </row>
        <row r="128">
          <cell r="B128">
            <v>29.4</v>
          </cell>
          <cell r="J128">
            <v>146.1</v>
          </cell>
          <cell r="S128">
            <v>42.8</v>
          </cell>
        </row>
        <row r="129">
          <cell r="B129">
            <v>30.75</v>
          </cell>
          <cell r="J129">
            <v>81.900000000000006</v>
          </cell>
          <cell r="S129">
            <v>81.7</v>
          </cell>
        </row>
        <row r="130">
          <cell r="B130">
            <v>29.45</v>
          </cell>
          <cell r="J130">
            <v>39.200000000000003</v>
          </cell>
          <cell r="S130">
            <v>137.4</v>
          </cell>
        </row>
        <row r="131">
          <cell r="B131">
            <v>30.8</v>
          </cell>
          <cell r="J131">
            <v>3.1</v>
          </cell>
          <cell r="S131">
            <v>302.60000000000002</v>
          </cell>
        </row>
        <row r="132">
          <cell r="B132">
            <v>30.4</v>
          </cell>
          <cell r="J132">
            <v>0</v>
          </cell>
          <cell r="S132">
            <v>354.5</v>
          </cell>
        </row>
        <row r="133">
          <cell r="B133">
            <v>31.2</v>
          </cell>
          <cell r="J133">
            <v>0</v>
          </cell>
          <cell r="S133">
            <v>399.3</v>
          </cell>
        </row>
        <row r="134">
          <cell r="B134">
            <v>30.55</v>
          </cell>
          <cell r="J134">
            <v>0.1</v>
          </cell>
          <cell r="S134">
            <v>381.8</v>
          </cell>
        </row>
        <row r="135">
          <cell r="B135">
            <v>29.65</v>
          </cell>
          <cell r="J135">
            <v>1.6</v>
          </cell>
          <cell r="S135">
            <v>335</v>
          </cell>
        </row>
        <row r="136">
          <cell r="B136">
            <v>30.05</v>
          </cell>
          <cell r="J136">
            <v>10.7</v>
          </cell>
          <cell r="S136">
            <v>188.8</v>
          </cell>
        </row>
        <row r="137">
          <cell r="B137">
            <v>31.6</v>
          </cell>
          <cell r="J137">
            <v>35.6</v>
          </cell>
          <cell r="S137">
            <v>147.1</v>
          </cell>
        </row>
        <row r="138">
          <cell r="B138">
            <v>32</v>
          </cell>
          <cell r="J138">
            <v>157.1</v>
          </cell>
          <cell r="S138">
            <v>32.299999999999997</v>
          </cell>
        </row>
        <row r="139">
          <cell r="B139">
            <v>29.55</v>
          </cell>
          <cell r="J139">
            <v>215</v>
          </cell>
          <cell r="S139">
            <v>15.4</v>
          </cell>
        </row>
        <row r="140">
          <cell r="B140">
            <v>29.4</v>
          </cell>
          <cell r="J140">
            <v>119.9</v>
          </cell>
          <cell r="S140">
            <v>28</v>
          </cell>
        </row>
        <row r="141">
          <cell r="B141">
            <v>29.75</v>
          </cell>
          <cell r="J141">
            <v>106.7</v>
          </cell>
          <cell r="S141">
            <v>47.7</v>
          </cell>
        </row>
        <row r="142">
          <cell r="B142">
            <v>30.5</v>
          </cell>
          <cell r="J142">
            <v>43.7</v>
          </cell>
          <cell r="S142">
            <v>137.1</v>
          </cell>
        </row>
        <row r="143">
          <cell r="B143">
            <v>30.75</v>
          </cell>
          <cell r="J143">
            <v>1.2</v>
          </cell>
          <cell r="S143">
            <v>287.3</v>
          </cell>
        </row>
        <row r="144">
          <cell r="B144">
            <v>30.8</v>
          </cell>
          <cell r="J144">
            <v>0</v>
          </cell>
          <cell r="S144">
            <v>399.8</v>
          </cell>
        </row>
        <row r="145">
          <cell r="B145">
            <v>30.8</v>
          </cell>
          <cell r="J145">
            <v>0</v>
          </cell>
          <cell r="S145">
            <v>414.7</v>
          </cell>
        </row>
        <row r="146">
          <cell r="B146">
            <v>30.25</v>
          </cell>
          <cell r="J146">
            <v>0</v>
          </cell>
          <cell r="S146">
            <v>400</v>
          </cell>
        </row>
        <row r="147">
          <cell r="B147">
            <v>29.95</v>
          </cell>
          <cell r="J147">
            <v>10.199999999999999</v>
          </cell>
          <cell r="S147">
            <v>260.89999999999998</v>
          </cell>
        </row>
        <row r="148">
          <cell r="B148">
            <v>30.05</v>
          </cell>
          <cell r="J148">
            <v>41.6</v>
          </cell>
          <cell r="S148">
            <v>92.1</v>
          </cell>
        </row>
        <row r="149">
          <cell r="B149">
            <v>31.75</v>
          </cell>
          <cell r="J149">
            <v>115.2</v>
          </cell>
          <cell r="S149">
            <v>46.2</v>
          </cell>
        </row>
        <row r="150">
          <cell r="B150">
            <v>31.85</v>
          </cell>
          <cell r="J150">
            <v>181.9</v>
          </cell>
          <cell r="S150">
            <v>30</v>
          </cell>
        </row>
        <row r="151">
          <cell r="B151">
            <v>29.55</v>
          </cell>
          <cell r="J151">
            <v>267.60000000000002</v>
          </cell>
          <cell r="S151">
            <v>18</v>
          </cell>
        </row>
        <row r="152">
          <cell r="B152">
            <v>29.4</v>
          </cell>
          <cell r="J152">
            <v>196.6</v>
          </cell>
          <cell r="S152">
            <v>22.3</v>
          </cell>
        </row>
        <row r="153">
          <cell r="B153">
            <v>32.049999999999997</v>
          </cell>
          <cell r="J153">
            <v>95.4</v>
          </cell>
          <cell r="S153">
            <v>78.099999999999994</v>
          </cell>
        </row>
        <row r="154">
          <cell r="B154">
            <v>29.55</v>
          </cell>
          <cell r="J154">
            <v>29.6</v>
          </cell>
          <cell r="S154">
            <v>132.9</v>
          </cell>
        </row>
        <row r="155">
          <cell r="B155">
            <v>30.65</v>
          </cell>
          <cell r="J155">
            <v>5.8</v>
          </cell>
          <cell r="S155">
            <v>241.3</v>
          </cell>
        </row>
        <row r="156">
          <cell r="B156">
            <v>30.65</v>
          </cell>
          <cell r="J156">
            <v>0.3</v>
          </cell>
          <cell r="S156">
            <v>347.3</v>
          </cell>
        </row>
        <row r="157">
          <cell r="B157">
            <v>29.7</v>
          </cell>
          <cell r="J157">
            <v>0</v>
          </cell>
          <cell r="S157">
            <v>362</v>
          </cell>
        </row>
        <row r="158">
          <cell r="B158">
            <v>31.85</v>
          </cell>
          <cell r="J158">
            <v>0</v>
          </cell>
          <cell r="S158">
            <v>403.2</v>
          </cell>
        </row>
        <row r="159">
          <cell r="B159">
            <v>29.75</v>
          </cell>
          <cell r="J159">
            <v>7.3</v>
          </cell>
          <cell r="S159">
            <v>283</v>
          </cell>
        </row>
        <row r="160">
          <cell r="B160">
            <v>30.1</v>
          </cell>
          <cell r="J160">
            <v>31.9</v>
          </cell>
          <cell r="S160">
            <v>117.6</v>
          </cell>
        </row>
        <row r="161">
          <cell r="B161">
            <v>31.55</v>
          </cell>
          <cell r="J161">
            <v>113.4</v>
          </cell>
          <cell r="S161">
            <v>71.3</v>
          </cell>
        </row>
        <row r="162">
          <cell r="B162">
            <v>30.5</v>
          </cell>
          <cell r="J162">
            <v>118.9</v>
          </cell>
          <cell r="S162">
            <v>51.1</v>
          </cell>
        </row>
        <row r="163">
          <cell r="B163">
            <v>29.65</v>
          </cell>
          <cell r="J163">
            <v>82.4</v>
          </cell>
          <cell r="S163">
            <v>60.1</v>
          </cell>
        </row>
        <row r="164">
          <cell r="B164">
            <v>29.55</v>
          </cell>
          <cell r="J164">
            <v>162.6</v>
          </cell>
          <cell r="S164">
            <v>62.5</v>
          </cell>
        </row>
        <row r="165">
          <cell r="B165">
            <v>32.049999999999997</v>
          </cell>
          <cell r="J165">
            <v>55.6</v>
          </cell>
          <cell r="S165">
            <v>121.4</v>
          </cell>
        </row>
        <row r="166">
          <cell r="B166">
            <v>29.4</v>
          </cell>
          <cell r="J166">
            <v>17.600000000000001</v>
          </cell>
          <cell r="S166">
            <v>171.3</v>
          </cell>
        </row>
        <row r="167">
          <cell r="B167">
            <v>30.8</v>
          </cell>
          <cell r="J167">
            <v>3.4</v>
          </cell>
          <cell r="S167">
            <v>328.9</v>
          </cell>
        </row>
        <row r="168">
          <cell r="B168">
            <v>30.5</v>
          </cell>
          <cell r="J168">
            <v>0</v>
          </cell>
          <cell r="S168">
            <v>376.3</v>
          </cell>
        </row>
        <row r="169">
          <cell r="B169">
            <v>29.7</v>
          </cell>
          <cell r="J169">
            <v>0</v>
          </cell>
          <cell r="S169">
            <v>392.3</v>
          </cell>
        </row>
        <row r="170">
          <cell r="B170">
            <v>31.9</v>
          </cell>
          <cell r="J170">
            <v>0</v>
          </cell>
          <cell r="S170">
            <v>416.3</v>
          </cell>
        </row>
        <row r="171">
          <cell r="B171">
            <v>29.7</v>
          </cell>
          <cell r="J171">
            <v>5.9</v>
          </cell>
          <cell r="S171">
            <v>311.10000000000002</v>
          </cell>
        </row>
        <row r="172">
          <cell r="B172">
            <v>29.45</v>
          </cell>
          <cell r="J172">
            <v>43.7</v>
          </cell>
          <cell r="S172">
            <v>135.69999999999999</v>
          </cell>
        </row>
        <row r="173">
          <cell r="B173">
            <v>30.8</v>
          </cell>
          <cell r="J173">
            <v>156.69999999999999</v>
          </cell>
          <cell r="S173">
            <v>46.3</v>
          </cell>
        </row>
        <row r="174">
          <cell r="B174">
            <v>30.5</v>
          </cell>
          <cell r="J174">
            <v>291.2</v>
          </cell>
          <cell r="S174">
            <v>18.5</v>
          </cell>
        </row>
        <row r="175">
          <cell r="B175">
            <v>31.05</v>
          </cell>
          <cell r="J175">
            <v>92.9</v>
          </cell>
          <cell r="S175">
            <v>67.8</v>
          </cell>
        </row>
        <row r="176">
          <cell r="B176">
            <v>29.4</v>
          </cell>
          <cell r="J176">
            <v>65.599999999999994</v>
          </cell>
          <cell r="S176">
            <v>64.400000000000006</v>
          </cell>
        </row>
        <row r="177">
          <cell r="B177">
            <v>30</v>
          </cell>
          <cell r="J177">
            <v>47.9</v>
          </cell>
          <cell r="S177">
            <v>87.4</v>
          </cell>
        </row>
        <row r="178">
          <cell r="B178">
            <v>30.2</v>
          </cell>
          <cell r="J178">
            <v>15.4</v>
          </cell>
          <cell r="S178">
            <v>182.8</v>
          </cell>
        </row>
        <row r="179">
          <cell r="B179">
            <v>30.8</v>
          </cell>
          <cell r="J179">
            <v>1.2</v>
          </cell>
          <cell r="S179">
            <v>321.10000000000002</v>
          </cell>
        </row>
        <row r="180">
          <cell r="B180">
            <v>30.45</v>
          </cell>
          <cell r="J180">
            <v>0.1</v>
          </cell>
          <cell r="S180">
            <v>361.5</v>
          </cell>
        </row>
        <row r="181">
          <cell r="B181">
            <v>31.15</v>
          </cell>
          <cell r="J181">
            <v>0</v>
          </cell>
          <cell r="S181">
            <v>400.1</v>
          </cell>
        </row>
        <row r="182">
          <cell r="B182">
            <v>30.5</v>
          </cell>
          <cell r="J182">
            <v>0.1</v>
          </cell>
          <cell r="S182">
            <v>384.8</v>
          </cell>
        </row>
        <row r="183">
          <cell r="B183">
            <v>29.7</v>
          </cell>
          <cell r="J183">
            <v>1.2</v>
          </cell>
          <cell r="S183">
            <v>316.3</v>
          </cell>
        </row>
        <row r="184">
          <cell r="B184">
            <v>30.15</v>
          </cell>
          <cell r="J184">
            <v>35.4</v>
          </cell>
          <cell r="S184">
            <v>156.1</v>
          </cell>
        </row>
        <row r="185">
          <cell r="B185">
            <v>31.65</v>
          </cell>
          <cell r="J185">
            <v>96.7</v>
          </cell>
          <cell r="S185">
            <v>57.3</v>
          </cell>
        </row>
        <row r="186">
          <cell r="B186">
            <v>31.8</v>
          </cell>
          <cell r="J186">
            <v>89.9</v>
          </cell>
          <cell r="S186">
            <v>71.400000000000006</v>
          </cell>
        </row>
        <row r="187">
          <cell r="B187">
            <v>29.6</v>
          </cell>
          <cell r="J187">
            <v>123.4</v>
          </cell>
          <cell r="S187">
            <v>37.4</v>
          </cell>
        </row>
        <row r="188">
          <cell r="B188">
            <v>29.4</v>
          </cell>
          <cell r="J188">
            <v>116.5</v>
          </cell>
          <cell r="S188">
            <v>43.1</v>
          </cell>
        </row>
        <row r="189">
          <cell r="B189">
            <v>30.75</v>
          </cell>
          <cell r="J189">
            <v>42</v>
          </cell>
          <cell r="S189">
            <v>115.5</v>
          </cell>
        </row>
        <row r="190">
          <cell r="B190">
            <v>29.45</v>
          </cell>
          <cell r="J190">
            <v>2.9</v>
          </cell>
          <cell r="S190">
            <v>244.9</v>
          </cell>
        </row>
        <row r="191">
          <cell r="B191">
            <v>30.8</v>
          </cell>
          <cell r="J191">
            <v>0.2</v>
          </cell>
          <cell r="S191">
            <v>310.5</v>
          </cell>
        </row>
        <row r="192">
          <cell r="B192">
            <v>30.45</v>
          </cell>
          <cell r="J192">
            <v>0.1</v>
          </cell>
          <cell r="S192">
            <v>377.8</v>
          </cell>
        </row>
        <row r="193">
          <cell r="B193">
            <v>31.15</v>
          </cell>
          <cell r="J193">
            <v>0</v>
          </cell>
          <cell r="S193">
            <v>405.4</v>
          </cell>
        </row>
        <row r="194">
          <cell r="B194">
            <v>30.55</v>
          </cell>
          <cell r="J194">
            <v>0</v>
          </cell>
          <cell r="S194">
            <v>390.9</v>
          </cell>
        </row>
        <row r="195">
          <cell r="B195">
            <v>29.65</v>
          </cell>
          <cell r="J195">
            <v>4.5</v>
          </cell>
          <cell r="S195">
            <v>278.39999999999998</v>
          </cell>
        </row>
        <row r="196">
          <cell r="B196">
            <v>30.1</v>
          </cell>
          <cell r="J196">
            <v>55.4</v>
          </cell>
          <cell r="S196">
            <v>128.1</v>
          </cell>
        </row>
        <row r="197">
          <cell r="B197">
            <v>31.65</v>
          </cell>
          <cell r="J197">
            <v>118.8</v>
          </cell>
          <cell r="S197">
            <v>69.2</v>
          </cell>
        </row>
        <row r="198">
          <cell r="B198">
            <v>31.95</v>
          </cell>
          <cell r="J198">
            <v>171.9</v>
          </cell>
          <cell r="S198">
            <v>24.4</v>
          </cell>
        </row>
        <row r="199">
          <cell r="B199">
            <v>29.5</v>
          </cell>
          <cell r="J199">
            <v>204.1</v>
          </cell>
          <cell r="S199">
            <v>12.6</v>
          </cell>
        </row>
        <row r="200">
          <cell r="B200">
            <v>29.4</v>
          </cell>
          <cell r="J200">
            <v>95.3</v>
          </cell>
          <cell r="S200">
            <v>44.8</v>
          </cell>
        </row>
        <row r="201">
          <cell r="B201">
            <v>29.75</v>
          </cell>
          <cell r="J201">
            <v>88.2</v>
          </cell>
          <cell r="S201">
            <v>48.9</v>
          </cell>
        </row>
        <row r="202">
          <cell r="B202">
            <v>30.5</v>
          </cell>
          <cell r="J202">
            <v>40.1</v>
          </cell>
          <cell r="S202">
            <v>111.6</v>
          </cell>
        </row>
        <row r="203">
          <cell r="B203">
            <v>30.75</v>
          </cell>
          <cell r="J203">
            <v>7.7</v>
          </cell>
          <cell r="S203">
            <v>253.4</v>
          </cell>
        </row>
        <row r="204">
          <cell r="B204">
            <v>30.8</v>
          </cell>
          <cell r="J204">
            <v>0</v>
          </cell>
          <cell r="S204">
            <v>376.9</v>
          </cell>
        </row>
        <row r="205">
          <cell r="B205">
            <v>30.8</v>
          </cell>
          <cell r="J205">
            <v>0</v>
          </cell>
          <cell r="S205">
            <v>403</v>
          </cell>
        </row>
        <row r="206">
          <cell r="B206">
            <v>30.25</v>
          </cell>
          <cell r="J206">
            <v>0.1</v>
          </cell>
          <cell r="S206">
            <v>358.3</v>
          </cell>
        </row>
        <row r="207">
          <cell r="B207">
            <v>29.95</v>
          </cell>
          <cell r="J207">
            <v>4.2</v>
          </cell>
          <cell r="S207">
            <v>263.3</v>
          </cell>
        </row>
        <row r="208">
          <cell r="B208">
            <v>30</v>
          </cell>
          <cell r="J208">
            <v>27.1</v>
          </cell>
          <cell r="S208">
            <v>118.9</v>
          </cell>
        </row>
        <row r="209">
          <cell r="B209">
            <v>31.8</v>
          </cell>
          <cell r="J209">
            <v>127.1</v>
          </cell>
          <cell r="S209">
            <v>76.2</v>
          </cell>
        </row>
        <row r="210">
          <cell r="B210">
            <v>31.85</v>
          </cell>
          <cell r="J210">
            <v>87.3</v>
          </cell>
          <cell r="S210">
            <v>48.9</v>
          </cell>
        </row>
        <row r="211">
          <cell r="B211">
            <v>29.55</v>
          </cell>
          <cell r="J211">
            <v>139.9</v>
          </cell>
          <cell r="S211">
            <v>23.2</v>
          </cell>
        </row>
        <row r="212">
          <cell r="B212">
            <v>29.4</v>
          </cell>
          <cell r="J212">
            <v>176.5</v>
          </cell>
          <cell r="S212">
            <v>12.6</v>
          </cell>
        </row>
        <row r="213">
          <cell r="B213">
            <v>30.25</v>
          </cell>
          <cell r="J213">
            <v>87.4</v>
          </cell>
          <cell r="S213">
            <v>48.6</v>
          </cell>
        </row>
        <row r="214">
          <cell r="B214">
            <v>29.95</v>
          </cell>
          <cell r="J214">
            <v>39.299999999999997</v>
          </cell>
          <cell r="S214">
            <v>104.9</v>
          </cell>
        </row>
        <row r="215">
          <cell r="B215">
            <v>30.6</v>
          </cell>
          <cell r="J215">
            <v>3.8</v>
          </cell>
          <cell r="S215">
            <v>254.6</v>
          </cell>
        </row>
        <row r="216">
          <cell r="B216">
            <v>30.65</v>
          </cell>
          <cell r="J216">
            <v>0</v>
          </cell>
          <cell r="S216">
            <v>367</v>
          </cell>
        </row>
        <row r="217">
          <cell r="B217">
            <v>31.15</v>
          </cell>
          <cell r="J217">
            <v>0</v>
          </cell>
          <cell r="S217">
            <v>437.1</v>
          </cell>
        </row>
        <row r="218">
          <cell r="B218">
            <v>30.3</v>
          </cell>
          <cell r="J218">
            <v>0</v>
          </cell>
          <cell r="S218">
            <v>375.2</v>
          </cell>
        </row>
        <row r="219">
          <cell r="B219">
            <v>29.9</v>
          </cell>
          <cell r="J219">
            <v>3.1</v>
          </cell>
          <cell r="S219">
            <v>283.8</v>
          </cell>
        </row>
        <row r="220">
          <cell r="B220">
            <v>30.05</v>
          </cell>
          <cell r="J220">
            <v>43.7</v>
          </cell>
          <cell r="S220">
            <v>140.9</v>
          </cell>
        </row>
        <row r="221">
          <cell r="B221">
            <v>31.7</v>
          </cell>
          <cell r="J221">
            <v>106.6</v>
          </cell>
          <cell r="S221">
            <v>53.9</v>
          </cell>
        </row>
        <row r="222">
          <cell r="B222">
            <v>30.65</v>
          </cell>
          <cell r="J222">
            <v>264.7</v>
          </cell>
          <cell r="S222">
            <v>6.5</v>
          </cell>
        </row>
        <row r="223">
          <cell r="B223">
            <v>29.4</v>
          </cell>
          <cell r="J223">
            <v>182.8</v>
          </cell>
          <cell r="S223">
            <v>26.8</v>
          </cell>
        </row>
        <row r="224">
          <cell r="B224">
            <v>29.4</v>
          </cell>
          <cell r="J224">
            <v>86.3</v>
          </cell>
          <cell r="S224">
            <v>47.1</v>
          </cell>
        </row>
        <row r="225">
          <cell r="B225">
            <v>32.049999999999997</v>
          </cell>
          <cell r="J225">
            <v>58</v>
          </cell>
          <cell r="S225">
            <v>118.3</v>
          </cell>
        </row>
        <row r="226">
          <cell r="B226">
            <v>29.55</v>
          </cell>
          <cell r="J226">
            <v>6.1</v>
          </cell>
          <cell r="S226">
            <v>206.1</v>
          </cell>
        </row>
        <row r="227">
          <cell r="B227">
            <v>30.65</v>
          </cell>
          <cell r="J227">
            <v>3.8</v>
          </cell>
          <cell r="S227">
            <v>275.5</v>
          </cell>
        </row>
        <row r="228">
          <cell r="B228">
            <v>30.65</v>
          </cell>
          <cell r="J228">
            <v>0</v>
          </cell>
          <cell r="S228">
            <v>378.3</v>
          </cell>
        </row>
        <row r="229">
          <cell r="B229">
            <v>29.7</v>
          </cell>
          <cell r="J229">
            <v>0</v>
          </cell>
          <cell r="S229">
            <v>341.8</v>
          </cell>
        </row>
        <row r="230">
          <cell r="B230">
            <v>31.85</v>
          </cell>
          <cell r="J230">
            <v>0.1</v>
          </cell>
          <cell r="S230">
            <v>339.4</v>
          </cell>
        </row>
        <row r="231">
          <cell r="B231">
            <v>29.75</v>
          </cell>
          <cell r="J231">
            <v>1.2</v>
          </cell>
          <cell r="S231">
            <v>239.3</v>
          </cell>
        </row>
        <row r="232">
          <cell r="B232">
            <v>30.1</v>
          </cell>
          <cell r="J232">
            <v>10.199999999999999</v>
          </cell>
          <cell r="S232">
            <v>152.5</v>
          </cell>
        </row>
        <row r="233">
          <cell r="B233">
            <v>31.55</v>
          </cell>
          <cell r="J233">
            <v>50.1</v>
          </cell>
          <cell r="S233">
            <v>90.5</v>
          </cell>
        </row>
        <row r="234">
          <cell r="B234">
            <v>30.5</v>
          </cell>
          <cell r="J234">
            <v>171.9</v>
          </cell>
          <cell r="S234">
            <v>16.3</v>
          </cell>
        </row>
        <row r="235">
          <cell r="B235">
            <v>29.65</v>
          </cell>
          <cell r="J235">
            <v>254.7</v>
          </cell>
          <cell r="S235">
            <v>9.6</v>
          </cell>
        </row>
        <row r="236">
          <cell r="B236">
            <v>29.4</v>
          </cell>
          <cell r="J236">
            <v>120</v>
          </cell>
          <cell r="S236">
            <v>36.6</v>
          </cell>
        </row>
        <row r="237">
          <cell r="B237">
            <v>31.4</v>
          </cell>
          <cell r="J237">
            <v>40.6</v>
          </cell>
          <cell r="S237">
            <v>86.1</v>
          </cell>
        </row>
        <row r="238">
          <cell r="B238">
            <v>30.2</v>
          </cell>
          <cell r="J238">
            <v>9.8000000000000007</v>
          </cell>
          <cell r="S238">
            <v>212.3</v>
          </cell>
        </row>
        <row r="239">
          <cell r="B239">
            <v>30.8</v>
          </cell>
          <cell r="J239">
            <v>0.6</v>
          </cell>
          <cell r="S239">
            <v>327</v>
          </cell>
        </row>
        <row r="240">
          <cell r="B240">
            <v>30.5</v>
          </cell>
          <cell r="J240">
            <v>0.2</v>
          </cell>
          <cell r="S240">
            <v>337.8</v>
          </cell>
        </row>
        <row r="241">
          <cell r="B241">
            <v>29.7</v>
          </cell>
          <cell r="J241">
            <v>0</v>
          </cell>
          <cell r="S241">
            <v>361.8</v>
          </cell>
        </row>
        <row r="242">
          <cell r="B242">
            <v>31.9</v>
          </cell>
          <cell r="J242">
            <v>0</v>
          </cell>
          <cell r="S242">
            <v>383.8</v>
          </cell>
        </row>
        <row r="243">
          <cell r="B243">
            <v>29.7</v>
          </cell>
          <cell r="J243">
            <v>1.3</v>
          </cell>
          <cell r="S243">
            <v>317.60000000000002</v>
          </cell>
        </row>
        <row r="244">
          <cell r="B244">
            <v>29.6</v>
          </cell>
          <cell r="J244">
            <v>43.9</v>
          </cell>
          <cell r="S244">
            <v>148.4</v>
          </cell>
        </row>
        <row r="245">
          <cell r="B245">
            <v>30.65</v>
          </cell>
          <cell r="J245">
            <v>140.1</v>
          </cell>
          <cell r="S245">
            <v>33</v>
          </cell>
        </row>
        <row r="246">
          <cell r="B246">
            <v>30.5</v>
          </cell>
          <cell r="J246">
            <v>298.2</v>
          </cell>
          <cell r="S246">
            <v>15.9</v>
          </cell>
        </row>
        <row r="247">
          <cell r="B247">
            <v>31.05</v>
          </cell>
          <cell r="J247">
            <v>253.9</v>
          </cell>
          <cell r="S247">
            <v>17.8</v>
          </cell>
        </row>
        <row r="248">
          <cell r="B248">
            <v>29.4</v>
          </cell>
          <cell r="J248">
            <v>192.5</v>
          </cell>
          <cell r="S248">
            <v>33.4</v>
          </cell>
        </row>
        <row r="249">
          <cell r="B249">
            <v>30.35</v>
          </cell>
          <cell r="J249">
            <v>131.19999999999999</v>
          </cell>
          <cell r="S249">
            <v>49.3</v>
          </cell>
        </row>
        <row r="250">
          <cell r="B250">
            <v>29.85</v>
          </cell>
          <cell r="J250">
            <v>24.8</v>
          </cell>
          <cell r="S250">
            <v>170.5</v>
          </cell>
        </row>
        <row r="251">
          <cell r="B251">
            <v>32.200000000000003</v>
          </cell>
          <cell r="J251">
            <v>1.1000000000000001</v>
          </cell>
          <cell r="S251">
            <v>310</v>
          </cell>
        </row>
        <row r="252">
          <cell r="B252">
            <v>30.45</v>
          </cell>
          <cell r="J252">
            <v>0</v>
          </cell>
          <cell r="S252">
            <v>352.3</v>
          </cell>
        </row>
        <row r="253">
          <cell r="B253">
            <v>31.15</v>
          </cell>
          <cell r="J253">
            <v>0</v>
          </cell>
          <cell r="S253">
            <v>402.3</v>
          </cell>
        </row>
        <row r="254">
          <cell r="B254">
            <v>30.55</v>
          </cell>
          <cell r="J254">
            <v>0.1</v>
          </cell>
          <cell r="S254">
            <v>360.6</v>
          </cell>
        </row>
        <row r="255">
          <cell r="B255">
            <v>29.65</v>
          </cell>
          <cell r="J255">
            <v>4.7</v>
          </cell>
          <cell r="S255">
            <v>255.1</v>
          </cell>
        </row>
        <row r="256">
          <cell r="B256">
            <v>30.1</v>
          </cell>
          <cell r="J256">
            <v>40.200000000000003</v>
          </cell>
          <cell r="S256">
            <v>136.9</v>
          </cell>
        </row>
        <row r="257">
          <cell r="B257">
            <v>31.5</v>
          </cell>
          <cell r="J257">
            <v>114.7</v>
          </cell>
          <cell r="S257">
            <v>40</v>
          </cell>
        </row>
        <row r="258">
          <cell r="B258">
            <v>32.1</v>
          </cell>
          <cell r="J258">
            <v>169.4</v>
          </cell>
          <cell r="S258">
            <v>31.7</v>
          </cell>
        </row>
        <row r="259">
          <cell r="B259">
            <v>29.5</v>
          </cell>
          <cell r="J259">
            <v>169.2</v>
          </cell>
          <cell r="S259">
            <v>29.5</v>
          </cell>
        </row>
        <row r="260">
          <cell r="B260">
            <v>29.4</v>
          </cell>
          <cell r="J260">
            <v>46.8</v>
          </cell>
          <cell r="S260">
            <v>96.2</v>
          </cell>
        </row>
        <row r="261">
          <cell r="B261">
            <v>30.8</v>
          </cell>
          <cell r="J261">
            <v>28.5</v>
          </cell>
          <cell r="S261">
            <v>102.1</v>
          </cell>
        </row>
        <row r="262">
          <cell r="B262">
            <v>29.45</v>
          </cell>
          <cell r="J262">
            <v>24.8</v>
          </cell>
          <cell r="S262">
            <v>122.4</v>
          </cell>
        </row>
        <row r="263">
          <cell r="B263">
            <v>30.75</v>
          </cell>
          <cell r="J263">
            <v>2.6</v>
          </cell>
          <cell r="S263">
            <v>251.6</v>
          </cell>
        </row>
        <row r="264">
          <cell r="B264">
            <v>30.45</v>
          </cell>
          <cell r="J264">
            <v>0.1</v>
          </cell>
          <cell r="S264">
            <v>360.6</v>
          </cell>
        </row>
        <row r="265">
          <cell r="B265">
            <v>29.75</v>
          </cell>
          <cell r="J265">
            <v>0</v>
          </cell>
          <cell r="S265">
            <v>373.2</v>
          </cell>
        </row>
        <row r="266">
          <cell r="B266">
            <v>30.55</v>
          </cell>
          <cell r="J266">
            <v>0.1</v>
          </cell>
          <cell r="S266">
            <v>377.4</v>
          </cell>
        </row>
        <row r="267">
          <cell r="B267">
            <v>31.05</v>
          </cell>
          <cell r="J267">
            <v>2.2999999999999998</v>
          </cell>
          <cell r="S267">
            <v>306</v>
          </cell>
        </row>
        <row r="268">
          <cell r="B268">
            <v>30.1</v>
          </cell>
          <cell r="J268">
            <v>52.3</v>
          </cell>
          <cell r="S268">
            <v>102.7</v>
          </cell>
        </row>
        <row r="269">
          <cell r="B269">
            <v>31.7</v>
          </cell>
          <cell r="J269">
            <v>128.5</v>
          </cell>
          <cell r="S269">
            <v>33.700000000000003</v>
          </cell>
        </row>
        <row r="270">
          <cell r="B270">
            <v>31.9</v>
          </cell>
          <cell r="J270">
            <v>177.4</v>
          </cell>
          <cell r="S270">
            <v>28.2</v>
          </cell>
        </row>
        <row r="271">
          <cell r="B271">
            <v>29.5</v>
          </cell>
          <cell r="J271">
            <v>183.4</v>
          </cell>
          <cell r="S271">
            <v>10</v>
          </cell>
        </row>
        <row r="272">
          <cell r="B272">
            <v>29.35</v>
          </cell>
          <cell r="J272">
            <v>155</v>
          </cell>
          <cell r="S272">
            <v>24.9</v>
          </cell>
        </row>
        <row r="273">
          <cell r="B273">
            <v>30.3</v>
          </cell>
          <cell r="J273">
            <v>85.2</v>
          </cell>
          <cell r="S273">
            <v>83.1</v>
          </cell>
        </row>
        <row r="274">
          <cell r="B274">
            <v>30.05</v>
          </cell>
          <cell r="J274">
            <v>21.4</v>
          </cell>
          <cell r="S274">
            <v>158.69999999999999</v>
          </cell>
        </row>
        <row r="275">
          <cell r="B275">
            <v>30.7</v>
          </cell>
          <cell r="J275">
            <v>1.2</v>
          </cell>
          <cell r="S275">
            <v>358.6</v>
          </cell>
        </row>
        <row r="276">
          <cell r="B276">
            <v>29.4</v>
          </cell>
          <cell r="J276">
            <v>0</v>
          </cell>
          <cell r="S276">
            <v>433.2</v>
          </cell>
        </row>
        <row r="277">
          <cell r="B277">
            <v>30.8</v>
          </cell>
          <cell r="J277">
            <v>0</v>
          </cell>
          <cell r="S277">
            <v>418.4</v>
          </cell>
        </row>
        <row r="278">
          <cell r="B278">
            <v>30.25</v>
          </cell>
          <cell r="J278">
            <v>0</v>
          </cell>
          <cell r="S278">
            <v>393.2</v>
          </cell>
        </row>
        <row r="279">
          <cell r="B279">
            <v>29.95</v>
          </cell>
          <cell r="J279">
            <v>0.5</v>
          </cell>
          <cell r="S279">
            <v>326</v>
          </cell>
        </row>
        <row r="280">
          <cell r="B280">
            <v>30.05</v>
          </cell>
          <cell r="J280">
            <v>16.3</v>
          </cell>
          <cell r="S280">
            <v>170.5</v>
          </cell>
        </row>
        <row r="281">
          <cell r="B281">
            <v>31.65</v>
          </cell>
          <cell r="J281">
            <v>35.9</v>
          </cell>
          <cell r="S281">
            <v>115.7</v>
          </cell>
        </row>
        <row r="282">
          <cell r="B282">
            <v>31.95</v>
          </cell>
          <cell r="J282">
            <v>167</v>
          </cell>
          <cell r="S282">
            <v>45.2</v>
          </cell>
        </row>
        <row r="283">
          <cell r="B283">
            <v>29.55</v>
          </cell>
          <cell r="J283">
            <v>95.5</v>
          </cell>
          <cell r="S283">
            <v>48</v>
          </cell>
        </row>
        <row r="284">
          <cell r="B284">
            <v>29.4</v>
          </cell>
          <cell r="J284">
            <v>154</v>
          </cell>
          <cell r="S284">
            <v>27.9</v>
          </cell>
        </row>
        <row r="285">
          <cell r="B285">
            <v>30.6</v>
          </cell>
          <cell r="J285">
            <v>68.8</v>
          </cell>
          <cell r="S285">
            <v>102.8</v>
          </cell>
        </row>
        <row r="286">
          <cell r="B286">
            <v>29.6</v>
          </cell>
          <cell r="J286">
            <v>26.4</v>
          </cell>
          <cell r="S286">
            <v>175.7</v>
          </cell>
        </row>
        <row r="287">
          <cell r="B287">
            <v>30.6</v>
          </cell>
          <cell r="J287">
            <v>3</v>
          </cell>
          <cell r="S287">
            <v>275.39999999999998</v>
          </cell>
        </row>
        <row r="288">
          <cell r="B288">
            <v>30.65</v>
          </cell>
          <cell r="J288">
            <v>0</v>
          </cell>
          <cell r="S288">
            <v>341.9</v>
          </cell>
        </row>
        <row r="289">
          <cell r="B289">
            <v>31.15</v>
          </cell>
          <cell r="J289">
            <v>0</v>
          </cell>
          <cell r="S289">
            <v>428</v>
          </cell>
        </row>
        <row r="290">
          <cell r="B290">
            <v>30.3</v>
          </cell>
          <cell r="J290">
            <v>0.1</v>
          </cell>
          <cell r="S290">
            <v>374.6</v>
          </cell>
        </row>
        <row r="291">
          <cell r="B291">
            <v>29.9</v>
          </cell>
          <cell r="J291">
            <v>1.5</v>
          </cell>
          <cell r="S291">
            <v>275.60000000000002</v>
          </cell>
        </row>
        <row r="292">
          <cell r="B292">
            <v>30.05</v>
          </cell>
          <cell r="J292">
            <v>39.4</v>
          </cell>
          <cell r="S292">
            <v>124.8</v>
          </cell>
        </row>
        <row r="293">
          <cell r="B293">
            <v>31.7</v>
          </cell>
          <cell r="J293">
            <v>91.3</v>
          </cell>
          <cell r="S293">
            <v>45.1</v>
          </cell>
        </row>
        <row r="294">
          <cell r="B294">
            <v>30.65</v>
          </cell>
          <cell r="J294">
            <v>162.6</v>
          </cell>
          <cell r="S294">
            <v>23</v>
          </cell>
        </row>
        <row r="295">
          <cell r="B295">
            <v>30.8</v>
          </cell>
          <cell r="J295">
            <v>250.7</v>
          </cell>
          <cell r="S295">
            <v>14.1</v>
          </cell>
        </row>
        <row r="296">
          <cell r="B296">
            <v>29.4</v>
          </cell>
          <cell r="J296">
            <v>85.5</v>
          </cell>
          <cell r="S296">
            <v>51.8</v>
          </cell>
        </row>
        <row r="297">
          <cell r="B297">
            <v>31.05</v>
          </cell>
          <cell r="J297">
            <v>44.3</v>
          </cell>
          <cell r="S297">
            <v>93.9</v>
          </cell>
        </row>
        <row r="298">
          <cell r="B298">
            <v>30.55</v>
          </cell>
          <cell r="J298">
            <v>24.2</v>
          </cell>
          <cell r="S298">
            <v>154.9</v>
          </cell>
        </row>
        <row r="299">
          <cell r="B299">
            <v>30.8</v>
          </cell>
          <cell r="J299">
            <v>1.4</v>
          </cell>
          <cell r="S299">
            <v>337.3</v>
          </cell>
        </row>
        <row r="300">
          <cell r="B300">
            <v>31.95</v>
          </cell>
          <cell r="J300">
            <v>0.1</v>
          </cell>
          <cell r="S300">
            <v>380.7</v>
          </cell>
        </row>
        <row r="301">
          <cell r="B301">
            <v>29.65</v>
          </cell>
          <cell r="J301">
            <v>0</v>
          </cell>
          <cell r="S301">
            <v>380.1</v>
          </cell>
        </row>
        <row r="302">
          <cell r="B302">
            <v>31.95</v>
          </cell>
          <cell r="J302">
            <v>0</v>
          </cell>
          <cell r="S302">
            <v>394.9</v>
          </cell>
        </row>
        <row r="303">
          <cell r="B303">
            <v>29.65</v>
          </cell>
          <cell r="J303">
            <v>11.5</v>
          </cell>
          <cell r="S303">
            <v>257.10000000000002</v>
          </cell>
        </row>
        <row r="304">
          <cell r="B304">
            <v>29.8</v>
          </cell>
          <cell r="J304">
            <v>41.2</v>
          </cell>
          <cell r="S304">
            <v>107.6</v>
          </cell>
        </row>
        <row r="305">
          <cell r="B305">
            <v>30.6</v>
          </cell>
          <cell r="J305">
            <v>167.7</v>
          </cell>
          <cell r="S305">
            <v>39.5</v>
          </cell>
        </row>
        <row r="306">
          <cell r="B306">
            <v>31.85</v>
          </cell>
          <cell r="J306">
            <v>354.2</v>
          </cell>
          <cell r="S306">
            <v>17.7</v>
          </cell>
        </row>
        <row r="307">
          <cell r="B307">
            <v>29.55</v>
          </cell>
          <cell r="J307">
            <v>209.6</v>
          </cell>
          <cell r="S307">
            <v>26.7</v>
          </cell>
        </row>
        <row r="308">
          <cell r="B308">
            <v>29.4</v>
          </cell>
          <cell r="J308">
            <v>73.8</v>
          </cell>
          <cell r="S308">
            <v>67.599999999999994</v>
          </cell>
        </row>
        <row r="309">
          <cell r="B309">
            <v>30.05</v>
          </cell>
          <cell r="J309">
            <v>69</v>
          </cell>
          <cell r="S309">
            <v>78.400000000000006</v>
          </cell>
        </row>
        <row r="310">
          <cell r="B310">
            <v>30.15</v>
          </cell>
          <cell r="J310">
            <v>25.1</v>
          </cell>
          <cell r="S310">
            <v>138.19999999999999</v>
          </cell>
        </row>
        <row r="311">
          <cell r="B311">
            <v>30.8</v>
          </cell>
          <cell r="J311">
            <v>2.6</v>
          </cell>
          <cell r="S311">
            <v>296.8</v>
          </cell>
        </row>
        <row r="312">
          <cell r="B312">
            <v>30.5</v>
          </cell>
          <cell r="J312">
            <v>0</v>
          </cell>
          <cell r="S312">
            <v>346.2</v>
          </cell>
        </row>
        <row r="313">
          <cell r="B313">
            <v>29.7</v>
          </cell>
          <cell r="J313">
            <v>0</v>
          </cell>
          <cell r="S313">
            <v>344.5</v>
          </cell>
        </row>
        <row r="314">
          <cell r="B314">
            <v>31.95</v>
          </cell>
          <cell r="J314">
            <v>0.2</v>
          </cell>
          <cell r="S314">
            <v>382</v>
          </cell>
        </row>
        <row r="315">
          <cell r="B315">
            <v>29.65</v>
          </cell>
          <cell r="J315">
            <v>6.9</v>
          </cell>
          <cell r="S315">
            <v>213.2</v>
          </cell>
        </row>
        <row r="316">
          <cell r="B316">
            <v>30.6</v>
          </cell>
          <cell r="J316">
            <v>36.6</v>
          </cell>
          <cell r="S316">
            <v>124.6</v>
          </cell>
        </row>
        <row r="317">
          <cell r="B317">
            <v>31.3</v>
          </cell>
          <cell r="J317">
            <v>34.9</v>
          </cell>
          <cell r="S317">
            <v>87.3</v>
          </cell>
        </row>
        <row r="318">
          <cell r="B318">
            <v>31.85</v>
          </cell>
          <cell r="J318">
            <v>238.3</v>
          </cell>
          <cell r="S318">
            <v>34.6</v>
          </cell>
        </row>
        <row r="319">
          <cell r="B319">
            <v>29.45</v>
          </cell>
          <cell r="J319">
            <v>119.3</v>
          </cell>
          <cell r="S319">
            <v>47.3</v>
          </cell>
        </row>
        <row r="320">
          <cell r="B320">
            <v>29.4</v>
          </cell>
          <cell r="J320">
            <v>155.30000000000001</v>
          </cell>
          <cell r="S320">
            <v>39.799999999999997</v>
          </cell>
        </row>
        <row r="321">
          <cell r="B321">
            <v>30.8</v>
          </cell>
          <cell r="J321">
            <v>28.2</v>
          </cell>
          <cell r="S321">
            <v>134.69999999999999</v>
          </cell>
        </row>
        <row r="322">
          <cell r="B322">
            <v>29.5</v>
          </cell>
          <cell r="J322">
            <v>3.2</v>
          </cell>
          <cell r="S322">
            <v>248.3</v>
          </cell>
        </row>
        <row r="323">
          <cell r="B323">
            <v>29.25</v>
          </cell>
          <cell r="J323">
            <v>2.9</v>
          </cell>
          <cell r="S323">
            <v>284.60000000000002</v>
          </cell>
        </row>
        <row r="324">
          <cell r="B324">
            <v>30.5</v>
          </cell>
          <cell r="J324">
            <v>0</v>
          </cell>
          <cell r="S324">
            <v>315.8</v>
          </cell>
        </row>
        <row r="325">
          <cell r="B325">
            <v>29.7</v>
          </cell>
          <cell r="J325">
            <v>0</v>
          </cell>
          <cell r="S325">
            <v>366.7</v>
          </cell>
        </row>
        <row r="326">
          <cell r="B326">
            <v>30.55</v>
          </cell>
          <cell r="J326">
            <v>0</v>
          </cell>
          <cell r="S326">
            <v>363.9</v>
          </cell>
        </row>
        <row r="327">
          <cell r="B327">
            <v>29.65</v>
          </cell>
          <cell r="J327">
            <v>1.1000000000000001</v>
          </cell>
          <cell r="S327">
            <v>333.4</v>
          </cell>
        </row>
        <row r="328">
          <cell r="B328">
            <v>31.55</v>
          </cell>
          <cell r="J328">
            <v>28.8</v>
          </cell>
          <cell r="S328">
            <v>187.3</v>
          </cell>
        </row>
        <row r="329">
          <cell r="B329">
            <v>31.75</v>
          </cell>
          <cell r="J329">
            <v>179.7</v>
          </cell>
          <cell r="S329">
            <v>28.2</v>
          </cell>
        </row>
        <row r="330">
          <cell r="B330">
            <v>31.85</v>
          </cell>
          <cell r="J330">
            <v>292.89999999999998</v>
          </cell>
          <cell r="S330">
            <v>7</v>
          </cell>
        </row>
        <row r="331">
          <cell r="B331">
            <v>29.45</v>
          </cell>
          <cell r="J331">
            <v>280.60000000000002</v>
          </cell>
          <cell r="S331">
            <v>8.1999999999999993</v>
          </cell>
        </row>
        <row r="332">
          <cell r="B332">
            <v>29.4</v>
          </cell>
          <cell r="J332">
            <v>67.099999999999994</v>
          </cell>
          <cell r="S332">
            <v>72.8</v>
          </cell>
        </row>
        <row r="333">
          <cell r="B333">
            <v>29.9</v>
          </cell>
          <cell r="J333">
            <v>49.9</v>
          </cell>
          <cell r="S333">
            <v>104.8</v>
          </cell>
        </row>
        <row r="334">
          <cell r="B334">
            <v>30.4</v>
          </cell>
          <cell r="J334">
            <v>12.9</v>
          </cell>
          <cell r="S334">
            <v>205.9</v>
          </cell>
        </row>
        <row r="335">
          <cell r="B335">
            <v>30.7</v>
          </cell>
          <cell r="J335">
            <v>0.4</v>
          </cell>
          <cell r="S335">
            <v>311.5</v>
          </cell>
        </row>
        <row r="336">
          <cell r="B336">
            <v>30.6</v>
          </cell>
          <cell r="J336">
            <v>0</v>
          </cell>
          <cell r="S336">
            <v>354</v>
          </cell>
        </row>
        <row r="337">
          <cell r="B337">
            <v>29.6</v>
          </cell>
          <cell r="J337">
            <v>0</v>
          </cell>
          <cell r="S337">
            <v>347.5</v>
          </cell>
        </row>
        <row r="338">
          <cell r="B338">
            <v>32.049999999999997</v>
          </cell>
          <cell r="J338">
            <v>0.1</v>
          </cell>
          <cell r="S338">
            <v>358.6</v>
          </cell>
        </row>
        <row r="339">
          <cell r="B339">
            <v>29.55</v>
          </cell>
          <cell r="J339">
            <v>2</v>
          </cell>
          <cell r="S339">
            <v>253.1</v>
          </cell>
        </row>
        <row r="340">
          <cell r="B340">
            <v>30.15</v>
          </cell>
          <cell r="J340">
            <v>12.9</v>
          </cell>
          <cell r="S340">
            <v>169.8</v>
          </cell>
        </row>
        <row r="341">
          <cell r="B341">
            <v>31.95</v>
          </cell>
          <cell r="J341">
            <v>146.6</v>
          </cell>
          <cell r="S341">
            <v>54.2</v>
          </cell>
        </row>
        <row r="342">
          <cell r="B342">
            <v>31.65</v>
          </cell>
          <cell r="J342">
            <v>225.8</v>
          </cell>
          <cell r="S342">
            <v>16.2</v>
          </cell>
        </row>
        <row r="343">
          <cell r="B343">
            <v>29.45</v>
          </cell>
          <cell r="J343">
            <v>200.9</v>
          </cell>
          <cell r="S343">
            <v>15.2</v>
          </cell>
        </row>
        <row r="344">
          <cell r="B344">
            <v>29.35</v>
          </cell>
          <cell r="J344">
            <v>128.9</v>
          </cell>
          <cell r="S344">
            <v>36.5</v>
          </cell>
        </row>
        <row r="345">
          <cell r="B345">
            <v>28.9</v>
          </cell>
          <cell r="J345">
            <v>69.900000000000006</v>
          </cell>
          <cell r="S345">
            <v>58.7</v>
          </cell>
        </row>
        <row r="346">
          <cell r="B346">
            <v>29.9</v>
          </cell>
          <cell r="J346">
            <v>25.8</v>
          </cell>
          <cell r="S346">
            <v>144.30000000000001</v>
          </cell>
        </row>
        <row r="347">
          <cell r="B347">
            <v>30.65</v>
          </cell>
          <cell r="J347">
            <v>1</v>
          </cell>
          <cell r="S347">
            <v>317.39999999999998</v>
          </cell>
        </row>
        <row r="348">
          <cell r="B348">
            <v>30.65</v>
          </cell>
          <cell r="J348">
            <v>0</v>
          </cell>
          <cell r="S348">
            <v>394</v>
          </cell>
        </row>
        <row r="349">
          <cell r="B349">
            <v>29.7</v>
          </cell>
          <cell r="J349">
            <v>0</v>
          </cell>
          <cell r="S349">
            <v>365.1</v>
          </cell>
        </row>
        <row r="350">
          <cell r="B350">
            <v>30.3</v>
          </cell>
          <cell r="J350">
            <v>0</v>
          </cell>
          <cell r="S350">
            <v>368.6</v>
          </cell>
        </row>
        <row r="351">
          <cell r="B351">
            <v>29.8</v>
          </cell>
          <cell r="J351">
            <v>1.9</v>
          </cell>
          <cell r="S351">
            <v>290</v>
          </cell>
        </row>
        <row r="352">
          <cell r="B352">
            <v>30.15</v>
          </cell>
          <cell r="J352">
            <v>14.4</v>
          </cell>
          <cell r="S352">
            <v>157.9</v>
          </cell>
        </row>
        <row r="353">
          <cell r="B353">
            <v>31.75</v>
          </cell>
          <cell r="J353">
            <v>95.1</v>
          </cell>
          <cell r="S353">
            <v>60.6</v>
          </cell>
        </row>
        <row r="354">
          <cell r="B354">
            <v>31.75</v>
          </cell>
          <cell r="J354">
            <v>198.9</v>
          </cell>
          <cell r="S354">
            <v>25.3</v>
          </cell>
        </row>
        <row r="355">
          <cell r="B355">
            <v>29.65</v>
          </cell>
          <cell r="J355">
            <v>191.8</v>
          </cell>
          <cell r="S355">
            <v>15.9</v>
          </cell>
        </row>
        <row r="356">
          <cell r="B356">
            <v>29.55</v>
          </cell>
          <cell r="J356">
            <v>139</v>
          </cell>
          <cell r="S356">
            <v>24.2</v>
          </cell>
        </row>
        <row r="357">
          <cell r="B357">
            <v>30.65</v>
          </cell>
          <cell r="J357">
            <v>71.2</v>
          </cell>
          <cell r="S357">
            <v>74.099999999999994</v>
          </cell>
        </row>
        <row r="358">
          <cell r="B358">
            <v>29.4</v>
          </cell>
          <cell r="J358">
            <v>35</v>
          </cell>
          <cell r="S358">
            <v>101.5</v>
          </cell>
        </row>
        <row r="359">
          <cell r="B359">
            <v>30.65</v>
          </cell>
          <cell r="J359">
            <v>2.6</v>
          </cell>
          <cell r="S359">
            <v>257.8</v>
          </cell>
        </row>
        <row r="360">
          <cell r="B360">
            <v>30.65</v>
          </cell>
          <cell r="J360">
            <v>0</v>
          </cell>
          <cell r="S360">
            <v>369.8</v>
          </cell>
        </row>
        <row r="361">
          <cell r="B361">
            <v>31.1</v>
          </cell>
          <cell r="J361">
            <v>0</v>
          </cell>
          <cell r="S361">
            <v>447</v>
          </cell>
        </row>
        <row r="362">
          <cell r="B362">
            <v>30.45</v>
          </cell>
          <cell r="J362">
            <v>0</v>
          </cell>
          <cell r="S362">
            <v>428.5</v>
          </cell>
        </row>
        <row r="363">
          <cell r="B363">
            <v>29.75</v>
          </cell>
          <cell r="J363">
            <v>1.5</v>
          </cell>
          <cell r="S363">
            <v>336.7</v>
          </cell>
        </row>
        <row r="364">
          <cell r="B364">
            <v>30.25</v>
          </cell>
          <cell r="J364">
            <v>37.5</v>
          </cell>
          <cell r="S364">
            <v>146.80000000000001</v>
          </cell>
        </row>
        <row r="365">
          <cell r="B365">
            <v>31.65</v>
          </cell>
          <cell r="J365">
            <v>112</v>
          </cell>
          <cell r="S365">
            <v>47.7</v>
          </cell>
        </row>
        <row r="366">
          <cell r="B366">
            <v>31.7</v>
          </cell>
          <cell r="J366">
            <v>208.3</v>
          </cell>
          <cell r="S366">
            <v>15.3</v>
          </cell>
        </row>
        <row r="367">
          <cell r="B367">
            <v>29.6</v>
          </cell>
          <cell r="J367">
            <v>170.1</v>
          </cell>
          <cell r="S367">
            <v>22.1</v>
          </cell>
        </row>
        <row r="368">
          <cell r="B368">
            <v>29.4</v>
          </cell>
          <cell r="J368">
            <v>119.7</v>
          </cell>
          <cell r="S368">
            <v>45.3</v>
          </cell>
        </row>
        <row r="369">
          <cell r="B369">
            <v>30</v>
          </cell>
          <cell r="J369">
            <v>60.6</v>
          </cell>
          <cell r="S369">
            <v>93.4</v>
          </cell>
        </row>
        <row r="370">
          <cell r="B370">
            <v>30.2</v>
          </cell>
          <cell r="J370">
            <v>10.1</v>
          </cell>
          <cell r="S370">
            <v>182.4</v>
          </cell>
        </row>
        <row r="371">
          <cell r="B371">
            <v>30.8</v>
          </cell>
          <cell r="J371">
            <v>2.6</v>
          </cell>
          <cell r="S371">
            <v>291.7</v>
          </cell>
        </row>
        <row r="372">
          <cell r="B372">
            <v>30.5</v>
          </cell>
          <cell r="J372">
            <v>0.1</v>
          </cell>
          <cell r="S372">
            <v>355</v>
          </cell>
        </row>
        <row r="373">
          <cell r="B373">
            <v>31.1</v>
          </cell>
          <cell r="J373">
            <v>0</v>
          </cell>
          <cell r="S373">
            <v>408.5</v>
          </cell>
        </row>
        <row r="374">
          <cell r="B374">
            <v>30.5</v>
          </cell>
          <cell r="J374">
            <v>0</v>
          </cell>
          <cell r="S374">
            <v>373.1</v>
          </cell>
        </row>
        <row r="375">
          <cell r="B375">
            <v>29.7</v>
          </cell>
          <cell r="J375">
            <v>4.5999999999999996</v>
          </cell>
          <cell r="S375">
            <v>268.39999999999998</v>
          </cell>
        </row>
        <row r="376">
          <cell r="B376">
            <v>30.5</v>
          </cell>
          <cell r="J376">
            <v>48.6</v>
          </cell>
          <cell r="S376">
            <v>121.1</v>
          </cell>
        </row>
        <row r="377">
          <cell r="B377">
            <v>31.3</v>
          </cell>
          <cell r="J377">
            <v>115.1</v>
          </cell>
          <cell r="S377">
            <v>43.7</v>
          </cell>
        </row>
        <row r="378">
          <cell r="B378">
            <v>31.85</v>
          </cell>
          <cell r="J378">
            <v>82.5</v>
          </cell>
          <cell r="S378">
            <v>51.9</v>
          </cell>
        </row>
        <row r="379">
          <cell r="B379">
            <v>29.55</v>
          </cell>
          <cell r="J379">
            <v>206.9</v>
          </cell>
          <cell r="S379">
            <v>14.9</v>
          </cell>
        </row>
        <row r="380">
          <cell r="B380">
            <v>29.4</v>
          </cell>
          <cell r="J380">
            <v>145.80000000000001</v>
          </cell>
          <cell r="S380">
            <v>37.4</v>
          </cell>
        </row>
        <row r="381">
          <cell r="B381">
            <v>30.4</v>
          </cell>
          <cell r="J381">
            <v>56.8</v>
          </cell>
          <cell r="S381">
            <v>81.400000000000006</v>
          </cell>
        </row>
        <row r="382">
          <cell r="B382">
            <v>29.8</v>
          </cell>
          <cell r="J382">
            <v>23.7</v>
          </cell>
          <cell r="S382">
            <v>148.69999999999999</v>
          </cell>
        </row>
        <row r="383">
          <cell r="B383">
            <v>30.8</v>
          </cell>
          <cell r="J383">
            <v>2.6</v>
          </cell>
          <cell r="S383">
            <v>246.6</v>
          </cell>
        </row>
        <row r="384">
          <cell r="B384">
            <v>30.5</v>
          </cell>
          <cell r="J384">
            <v>0</v>
          </cell>
          <cell r="S384">
            <v>369</v>
          </cell>
        </row>
        <row r="385">
          <cell r="B385">
            <v>31.1</v>
          </cell>
          <cell r="J385">
            <v>0</v>
          </cell>
          <cell r="S385">
            <v>416.6</v>
          </cell>
        </row>
        <row r="386">
          <cell r="B386">
            <v>30.55</v>
          </cell>
          <cell r="J386">
            <v>0</v>
          </cell>
          <cell r="S386">
            <v>413.5</v>
          </cell>
        </row>
        <row r="387">
          <cell r="B387">
            <v>29.65</v>
          </cell>
          <cell r="J387">
            <v>0.5</v>
          </cell>
          <cell r="S387">
            <v>314.60000000000002</v>
          </cell>
        </row>
        <row r="388">
          <cell r="B388">
            <v>30.55</v>
          </cell>
          <cell r="J388">
            <v>33.9</v>
          </cell>
          <cell r="S388">
            <v>160.5</v>
          </cell>
        </row>
        <row r="389">
          <cell r="B389">
            <v>31.35</v>
          </cell>
          <cell r="J389">
            <v>77.400000000000006</v>
          </cell>
          <cell r="S389">
            <v>64</v>
          </cell>
        </row>
        <row r="390">
          <cell r="B390">
            <v>31.85</v>
          </cell>
          <cell r="J390">
            <v>138.1</v>
          </cell>
          <cell r="S390">
            <v>45</v>
          </cell>
        </row>
        <row r="391">
          <cell r="B391">
            <v>29.65</v>
          </cell>
          <cell r="J391">
            <v>141.19999999999999</v>
          </cell>
          <cell r="S391">
            <v>27.6</v>
          </cell>
        </row>
        <row r="392">
          <cell r="B392">
            <v>29.6</v>
          </cell>
          <cell r="J392">
            <v>103.4</v>
          </cell>
          <cell r="S392">
            <v>40.700000000000003</v>
          </cell>
        </row>
        <row r="393">
          <cell r="B393">
            <v>30.6</v>
          </cell>
          <cell r="J393">
            <v>61.6</v>
          </cell>
          <cell r="S393">
            <v>79.2</v>
          </cell>
        </row>
        <row r="394">
          <cell r="B394">
            <v>29.35</v>
          </cell>
          <cell r="J394">
            <v>26</v>
          </cell>
          <cell r="S394">
            <v>146.6</v>
          </cell>
        </row>
        <row r="395">
          <cell r="B395">
            <v>30.85</v>
          </cell>
          <cell r="J395">
            <v>2.1</v>
          </cell>
          <cell r="S395">
            <v>311.8</v>
          </cell>
        </row>
        <row r="396">
          <cell r="B396">
            <v>30.35</v>
          </cell>
          <cell r="J396">
            <v>0</v>
          </cell>
          <cell r="S396">
            <v>342.9</v>
          </cell>
        </row>
        <row r="397">
          <cell r="B397">
            <v>31.25</v>
          </cell>
          <cell r="J397">
            <v>0</v>
          </cell>
          <cell r="S397">
            <v>371.7</v>
          </cell>
        </row>
        <row r="398">
          <cell r="B398">
            <v>31.95</v>
          </cell>
          <cell r="J398">
            <v>0</v>
          </cell>
          <cell r="S398">
            <v>391.1</v>
          </cell>
        </row>
        <row r="399">
          <cell r="B399">
            <v>29.65</v>
          </cell>
          <cell r="J399">
            <v>2.5</v>
          </cell>
          <cell r="S399">
            <v>291.7</v>
          </cell>
        </row>
        <row r="400">
          <cell r="B400">
            <v>30.05</v>
          </cell>
          <cell r="J400">
            <v>56.5</v>
          </cell>
          <cell r="S400">
            <v>122.8</v>
          </cell>
        </row>
        <row r="401">
          <cell r="B401">
            <v>31.45</v>
          </cell>
          <cell r="J401">
            <v>168.4</v>
          </cell>
          <cell r="S401">
            <v>33.9</v>
          </cell>
        </row>
        <row r="402">
          <cell r="B402">
            <v>32.15</v>
          </cell>
          <cell r="J402">
            <v>132</v>
          </cell>
          <cell r="S402">
            <v>32.799999999999997</v>
          </cell>
        </row>
        <row r="403">
          <cell r="B403">
            <v>29.55</v>
          </cell>
          <cell r="J403">
            <v>255</v>
          </cell>
          <cell r="S403">
            <v>14.6</v>
          </cell>
        </row>
        <row r="404">
          <cell r="B404">
            <v>29.45</v>
          </cell>
          <cell r="J404">
            <v>159.30000000000001</v>
          </cell>
          <cell r="S404">
            <v>31.9</v>
          </cell>
        </row>
        <row r="405">
          <cell r="B405">
            <v>28.65</v>
          </cell>
          <cell r="J405">
            <v>42</v>
          </cell>
          <cell r="S405">
            <v>98</v>
          </cell>
        </row>
        <row r="406">
          <cell r="B406">
            <v>30.15</v>
          </cell>
          <cell r="J406">
            <v>16</v>
          </cell>
          <cell r="S406">
            <v>180.5</v>
          </cell>
        </row>
        <row r="407">
          <cell r="B407">
            <v>30.75</v>
          </cell>
          <cell r="J407">
            <v>0.9</v>
          </cell>
          <cell r="S407">
            <v>277</v>
          </cell>
        </row>
        <row r="408">
          <cell r="B408">
            <v>30.45</v>
          </cell>
          <cell r="J408">
            <v>0</v>
          </cell>
          <cell r="S408">
            <v>386.3</v>
          </cell>
        </row>
        <row r="409">
          <cell r="B409">
            <v>29.75</v>
          </cell>
          <cell r="J409">
            <v>0</v>
          </cell>
          <cell r="S409">
            <v>382</v>
          </cell>
        </row>
        <row r="410">
          <cell r="B410">
            <v>30.2</v>
          </cell>
          <cell r="J410">
            <v>0</v>
          </cell>
          <cell r="S410">
            <v>368.8</v>
          </cell>
        </row>
        <row r="411">
          <cell r="B411">
            <v>30</v>
          </cell>
          <cell r="J411">
            <v>4.4000000000000004</v>
          </cell>
          <cell r="S411">
            <v>336.7</v>
          </cell>
        </row>
        <row r="412">
          <cell r="B412">
            <v>30</v>
          </cell>
          <cell r="J412">
            <v>25.1</v>
          </cell>
          <cell r="S412">
            <v>194.6</v>
          </cell>
        </row>
        <row r="413">
          <cell r="B413">
            <v>31.4</v>
          </cell>
          <cell r="J413">
            <v>82.3</v>
          </cell>
          <cell r="S413">
            <v>64.599999999999994</v>
          </cell>
        </row>
        <row r="414">
          <cell r="B414">
            <v>32.200000000000003</v>
          </cell>
          <cell r="J414">
            <v>323.3</v>
          </cell>
          <cell r="S414">
            <v>18</v>
          </cell>
        </row>
        <row r="415">
          <cell r="B415">
            <v>29.6</v>
          </cell>
          <cell r="J415">
            <v>283.3</v>
          </cell>
          <cell r="S415">
            <v>7.9</v>
          </cell>
        </row>
        <row r="416">
          <cell r="B416">
            <v>29.4</v>
          </cell>
          <cell r="J416">
            <v>302.2</v>
          </cell>
          <cell r="S416">
            <v>2.8</v>
          </cell>
        </row>
        <row r="417">
          <cell r="B417">
            <v>30.45</v>
          </cell>
          <cell r="J417">
            <v>98.2</v>
          </cell>
          <cell r="S417">
            <v>39.299999999999997</v>
          </cell>
        </row>
        <row r="418">
          <cell r="B418">
            <v>29.75</v>
          </cell>
          <cell r="J418">
            <v>11.7</v>
          </cell>
          <cell r="S418">
            <v>170.4</v>
          </cell>
        </row>
        <row r="419">
          <cell r="B419">
            <v>30.55</v>
          </cell>
          <cell r="J419">
            <v>0.5</v>
          </cell>
          <cell r="S419">
            <v>339</v>
          </cell>
        </row>
        <row r="420">
          <cell r="B420">
            <v>30.55</v>
          </cell>
          <cell r="J420">
            <v>0</v>
          </cell>
          <cell r="S420">
            <v>419.6</v>
          </cell>
        </row>
        <row r="421">
          <cell r="B421">
            <v>29.9</v>
          </cell>
          <cell r="J421">
            <v>0</v>
          </cell>
          <cell r="S421">
            <v>447.5</v>
          </cell>
        </row>
        <row r="422">
          <cell r="B422">
            <v>30.2</v>
          </cell>
          <cell r="J422">
            <v>0</v>
          </cell>
          <cell r="S422">
            <v>409.8</v>
          </cell>
        </row>
        <row r="423">
          <cell r="B423">
            <v>30</v>
          </cell>
          <cell r="J423">
            <v>4</v>
          </cell>
          <cell r="S423">
            <v>306.7</v>
          </cell>
        </row>
        <row r="424">
          <cell r="B424">
            <v>30.05</v>
          </cell>
          <cell r="J424">
            <v>33.1</v>
          </cell>
          <cell r="S424">
            <v>164</v>
          </cell>
        </row>
        <row r="425">
          <cell r="B425">
            <v>31.35</v>
          </cell>
          <cell r="J425">
            <v>163.5</v>
          </cell>
          <cell r="S425">
            <v>56.5</v>
          </cell>
        </row>
        <row r="426">
          <cell r="B426">
            <v>31.85</v>
          </cell>
          <cell r="J426">
            <v>345.3</v>
          </cell>
          <cell r="S426">
            <v>6.3</v>
          </cell>
        </row>
        <row r="427">
          <cell r="B427">
            <v>29.95</v>
          </cell>
          <cell r="J427">
            <v>223.6</v>
          </cell>
          <cell r="S427">
            <v>12.6</v>
          </cell>
        </row>
        <row r="428">
          <cell r="B428">
            <v>29.4</v>
          </cell>
          <cell r="J428">
            <v>94.7</v>
          </cell>
          <cell r="S428">
            <v>50.4</v>
          </cell>
        </row>
        <row r="429">
          <cell r="B429">
            <v>29.4</v>
          </cell>
          <cell r="J429">
            <v>39.6</v>
          </cell>
          <cell r="S429">
            <v>100.1</v>
          </cell>
        </row>
        <row r="430">
          <cell r="B430">
            <v>30.8</v>
          </cell>
          <cell r="J430">
            <v>9</v>
          </cell>
          <cell r="S430">
            <v>223.8</v>
          </cell>
        </row>
        <row r="431">
          <cell r="B431">
            <v>30.55</v>
          </cell>
          <cell r="J431">
            <v>3.1</v>
          </cell>
          <cell r="S431">
            <v>305.2</v>
          </cell>
        </row>
        <row r="432">
          <cell r="B432">
            <v>30.55</v>
          </cell>
          <cell r="J432">
            <v>0.3</v>
          </cell>
          <cell r="S432">
            <v>390.7</v>
          </cell>
        </row>
        <row r="433">
          <cell r="B433">
            <v>31.3</v>
          </cell>
          <cell r="J433">
            <v>0</v>
          </cell>
          <cell r="S433">
            <v>434.1</v>
          </cell>
        </row>
        <row r="434">
          <cell r="B434">
            <v>30.25</v>
          </cell>
          <cell r="J434">
            <v>0.2</v>
          </cell>
          <cell r="S434">
            <v>396.6</v>
          </cell>
        </row>
        <row r="435">
          <cell r="B435">
            <v>29.95</v>
          </cell>
          <cell r="J435">
            <v>3.6</v>
          </cell>
          <cell r="S435">
            <v>289.10000000000002</v>
          </cell>
        </row>
        <row r="436">
          <cell r="B436">
            <v>29.95</v>
          </cell>
          <cell r="J436">
            <v>35.6</v>
          </cell>
          <cell r="S436">
            <v>98.7</v>
          </cell>
        </row>
        <row r="437">
          <cell r="B437">
            <v>31.55</v>
          </cell>
          <cell r="J437">
            <v>67.8</v>
          </cell>
          <cell r="S437">
            <v>59.2</v>
          </cell>
        </row>
        <row r="438">
          <cell r="B438">
            <v>31.7</v>
          </cell>
          <cell r="J438">
            <v>145.5</v>
          </cell>
          <cell r="S438">
            <v>28.7</v>
          </cell>
        </row>
        <row r="439">
          <cell r="B439">
            <v>30</v>
          </cell>
          <cell r="J439">
            <v>130.30000000000001</v>
          </cell>
          <cell r="S439">
            <v>29.4</v>
          </cell>
        </row>
        <row r="440">
          <cell r="B440">
            <v>29.4</v>
          </cell>
          <cell r="J440">
            <v>67.3</v>
          </cell>
          <cell r="S440">
            <v>67.3</v>
          </cell>
        </row>
        <row r="441">
          <cell r="B441">
            <v>30.25</v>
          </cell>
          <cell r="J441">
            <v>14</v>
          </cell>
          <cell r="S441">
            <v>138.9</v>
          </cell>
        </row>
        <row r="442">
          <cell r="B442">
            <v>29.95</v>
          </cell>
          <cell r="J442">
            <v>14.2</v>
          </cell>
          <cell r="S442">
            <v>170.6</v>
          </cell>
        </row>
        <row r="443">
          <cell r="B443">
            <v>30.6</v>
          </cell>
          <cell r="J443">
            <v>0.7</v>
          </cell>
          <cell r="S443">
            <v>291.60000000000002</v>
          </cell>
        </row>
        <row r="444">
          <cell r="B444">
            <v>30.55</v>
          </cell>
          <cell r="J444">
            <v>0</v>
          </cell>
          <cell r="S444">
            <v>334.5</v>
          </cell>
        </row>
        <row r="445">
          <cell r="B445">
            <v>31.25</v>
          </cell>
          <cell r="J445">
            <v>0</v>
          </cell>
          <cell r="S445">
            <v>401.8</v>
          </cell>
        </row>
        <row r="446">
          <cell r="B446">
            <v>30.3</v>
          </cell>
          <cell r="J446">
            <v>0</v>
          </cell>
          <cell r="S446">
            <v>365.7</v>
          </cell>
        </row>
        <row r="447">
          <cell r="B447">
            <v>29.9</v>
          </cell>
          <cell r="J447">
            <v>0.4</v>
          </cell>
          <cell r="S447">
            <v>308.3</v>
          </cell>
        </row>
        <row r="448">
          <cell r="B448">
            <v>29.85</v>
          </cell>
          <cell r="J448">
            <v>34.6</v>
          </cell>
          <cell r="S448">
            <v>146.80000000000001</v>
          </cell>
        </row>
        <row r="449">
          <cell r="B449">
            <v>31.75</v>
          </cell>
          <cell r="J449">
            <v>89.5</v>
          </cell>
          <cell r="S449">
            <v>35.700000000000003</v>
          </cell>
        </row>
        <row r="450">
          <cell r="B450">
            <v>31.9</v>
          </cell>
          <cell r="J450">
            <v>130.1</v>
          </cell>
          <cell r="S450">
            <v>40.4</v>
          </cell>
        </row>
        <row r="451">
          <cell r="B451">
            <v>29.7</v>
          </cell>
          <cell r="J451">
            <v>113.1</v>
          </cell>
          <cell r="S451">
            <v>38.700000000000003</v>
          </cell>
        </row>
        <row r="452">
          <cell r="B452">
            <v>29.4</v>
          </cell>
          <cell r="J452">
            <v>149.30000000000001</v>
          </cell>
          <cell r="S452">
            <v>35.700000000000003</v>
          </cell>
        </row>
        <row r="453">
          <cell r="B453">
            <v>30.65</v>
          </cell>
          <cell r="J453">
            <v>119</v>
          </cell>
          <cell r="S453">
            <v>61.9</v>
          </cell>
        </row>
        <row r="454">
          <cell r="B454">
            <v>30.95</v>
          </cell>
          <cell r="J454">
            <v>14.2</v>
          </cell>
          <cell r="S454">
            <v>161.69999999999999</v>
          </cell>
        </row>
        <row r="455">
          <cell r="B455">
            <v>30.8</v>
          </cell>
          <cell r="J455">
            <v>3.6</v>
          </cell>
          <cell r="S455">
            <v>274.60000000000002</v>
          </cell>
        </row>
        <row r="456">
          <cell r="B456">
            <v>30.4</v>
          </cell>
          <cell r="J456">
            <v>0</v>
          </cell>
          <cell r="S456">
            <v>363.4</v>
          </cell>
        </row>
        <row r="457">
          <cell r="B457">
            <v>29.8</v>
          </cell>
          <cell r="J457">
            <v>0</v>
          </cell>
          <cell r="S457">
            <v>383.8</v>
          </cell>
        </row>
        <row r="458">
          <cell r="B458">
            <v>30.45</v>
          </cell>
          <cell r="J458">
            <v>0</v>
          </cell>
          <cell r="S458">
            <v>401.9</v>
          </cell>
        </row>
        <row r="459">
          <cell r="B459">
            <v>29.75</v>
          </cell>
          <cell r="J459">
            <v>0.3</v>
          </cell>
          <cell r="S459">
            <v>306.5</v>
          </cell>
        </row>
        <row r="460">
          <cell r="B460">
            <v>30.05</v>
          </cell>
          <cell r="J460">
            <v>14.2</v>
          </cell>
          <cell r="S460">
            <v>178</v>
          </cell>
        </row>
        <row r="461">
          <cell r="B461">
            <v>31.05</v>
          </cell>
          <cell r="J461">
            <v>54.7</v>
          </cell>
          <cell r="S461">
            <v>87.7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6">
          <cell r="S6">
            <v>131.6</v>
          </cell>
          <cell r="T6">
            <v>49.5</v>
          </cell>
        </row>
        <row r="7">
          <cell r="S7">
            <v>127.9</v>
          </cell>
          <cell r="T7">
            <v>43.3</v>
          </cell>
        </row>
        <row r="8">
          <cell r="S8">
            <v>82.3</v>
          </cell>
          <cell r="T8">
            <v>77.2</v>
          </cell>
        </row>
        <row r="9">
          <cell r="S9">
            <v>37.299999999999997</v>
          </cell>
          <cell r="T9">
            <v>138.1</v>
          </cell>
        </row>
        <row r="10">
          <cell r="S10">
            <v>11.2</v>
          </cell>
          <cell r="T10">
            <v>224.4</v>
          </cell>
        </row>
        <row r="11">
          <cell r="S11">
            <v>0.9</v>
          </cell>
          <cell r="T11">
            <v>382.8</v>
          </cell>
        </row>
        <row r="12">
          <cell r="S12">
            <v>0</v>
          </cell>
          <cell r="T12">
            <v>454.9</v>
          </cell>
        </row>
        <row r="13">
          <cell r="S13">
            <v>0</v>
          </cell>
          <cell r="T13">
            <v>481.4</v>
          </cell>
        </row>
        <row r="14">
          <cell r="S14">
            <v>0</v>
          </cell>
          <cell r="T14">
            <v>473.7</v>
          </cell>
        </row>
        <row r="15">
          <cell r="S15">
            <v>1.3</v>
          </cell>
          <cell r="T15">
            <v>373.2</v>
          </cell>
        </row>
        <row r="16">
          <cell r="S16">
            <v>24.1</v>
          </cell>
          <cell r="T16">
            <v>204.3</v>
          </cell>
        </row>
        <row r="17">
          <cell r="S17">
            <v>83.9</v>
          </cell>
          <cell r="T17">
            <v>88</v>
          </cell>
        </row>
      </sheetData>
      <sheetData sheetId="12">
        <row r="6">
          <cell r="S6">
            <v>54.9</v>
          </cell>
          <cell r="T6">
            <v>70.8</v>
          </cell>
        </row>
        <row r="7">
          <cell r="S7">
            <v>46.9</v>
          </cell>
          <cell r="T7">
            <v>62.7</v>
          </cell>
        </row>
        <row r="8">
          <cell r="S8">
            <v>26.8</v>
          </cell>
          <cell r="T8">
            <v>105.4</v>
          </cell>
        </row>
        <row r="9">
          <cell r="S9">
            <v>9.5</v>
          </cell>
          <cell r="T9">
            <v>178.4</v>
          </cell>
        </row>
        <row r="10">
          <cell r="S10">
            <v>2</v>
          </cell>
          <cell r="T10">
            <v>273.89999999999998</v>
          </cell>
        </row>
        <row r="11">
          <cell r="S11">
            <v>0.1</v>
          </cell>
          <cell r="T11">
            <v>442.7</v>
          </cell>
        </row>
        <row r="12">
          <cell r="S12">
            <v>0</v>
          </cell>
          <cell r="T12">
            <v>516.1</v>
          </cell>
        </row>
        <row r="13">
          <cell r="S13">
            <v>0</v>
          </cell>
          <cell r="T13">
            <v>542</v>
          </cell>
        </row>
        <row r="14">
          <cell r="S14">
            <v>0</v>
          </cell>
          <cell r="T14">
            <v>531.20000000000005</v>
          </cell>
        </row>
        <row r="15">
          <cell r="S15">
            <v>0.2</v>
          </cell>
          <cell r="T15">
            <v>431.2</v>
          </cell>
        </row>
        <row r="16">
          <cell r="S16">
            <v>6.3</v>
          </cell>
          <cell r="T16">
            <v>251.9</v>
          </cell>
        </row>
        <row r="17">
          <cell r="S17">
            <v>30.1</v>
          </cell>
          <cell r="T17">
            <v>119.4</v>
          </cell>
        </row>
      </sheetData>
      <sheetData sheetId="13">
        <row r="6">
          <cell r="S6">
            <v>192.9</v>
          </cell>
          <cell r="T6">
            <v>28.7</v>
          </cell>
        </row>
        <row r="7">
          <cell r="S7">
            <v>177.2</v>
          </cell>
          <cell r="T7">
            <v>22.6</v>
          </cell>
        </row>
        <row r="8">
          <cell r="S8">
            <v>119.5</v>
          </cell>
          <cell r="T8">
            <v>44.5</v>
          </cell>
        </row>
        <row r="9">
          <cell r="S9">
            <v>60.3</v>
          </cell>
          <cell r="T9">
            <v>87.7</v>
          </cell>
        </row>
        <row r="10">
          <cell r="S10">
            <v>18.600000000000001</v>
          </cell>
          <cell r="T10">
            <v>157.69999999999999</v>
          </cell>
        </row>
        <row r="11">
          <cell r="S11">
            <v>2.2000000000000002</v>
          </cell>
          <cell r="T11">
            <v>295.39999999999998</v>
          </cell>
        </row>
        <row r="12">
          <cell r="S12">
            <v>0</v>
          </cell>
          <cell r="T12">
            <v>363.4</v>
          </cell>
        </row>
        <row r="13">
          <cell r="S13">
            <v>0</v>
          </cell>
          <cell r="T13">
            <v>390.1</v>
          </cell>
        </row>
        <row r="14">
          <cell r="S14">
            <v>0</v>
          </cell>
          <cell r="T14">
            <v>381.2</v>
          </cell>
        </row>
        <row r="15">
          <cell r="S15">
            <v>2.5</v>
          </cell>
          <cell r="T15">
            <v>287.8</v>
          </cell>
        </row>
        <row r="16">
          <cell r="S16">
            <v>38.6</v>
          </cell>
          <cell r="T16">
            <v>140.19999999999999</v>
          </cell>
        </row>
        <row r="17">
          <cell r="S17">
            <v>121.8</v>
          </cell>
          <cell r="T17">
            <v>50.8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RES 62 &amp; 67"/>
      <sheetName val="System"/>
      <sheetName val="Albert Whitted"/>
      <sheetName val="Tampa"/>
      <sheetName val="Orlando"/>
      <sheetName val="Winter Haven"/>
      <sheetName val="Daytona"/>
      <sheetName val="Gainesville"/>
      <sheetName val="Tallahassee"/>
      <sheetName val="COM 55 &amp; 65"/>
      <sheetName val="Gov 65 &amp; 70"/>
      <sheetName val="Rank Order"/>
      <sheetName val="Res20Yr"/>
      <sheetName val="Com20Yr"/>
      <sheetName val="Gov20Yr"/>
      <sheetName val="Charts"/>
    </sheetNames>
    <sheetDataSet>
      <sheetData sheetId="0">
        <row r="102">
          <cell r="J102">
            <v>212.9</v>
          </cell>
          <cell r="S102">
            <v>31.4</v>
          </cell>
        </row>
        <row r="103">
          <cell r="J103">
            <v>130.30000000000001</v>
          </cell>
          <cell r="S103">
            <v>44.1</v>
          </cell>
        </row>
        <row r="104">
          <cell r="J104">
            <v>84.2</v>
          </cell>
          <cell r="S104">
            <v>90.2</v>
          </cell>
        </row>
        <row r="105">
          <cell r="J105">
            <v>29.6</v>
          </cell>
          <cell r="S105">
            <v>144.19999999999999</v>
          </cell>
        </row>
        <row r="106">
          <cell r="J106">
            <v>4.3</v>
          </cell>
          <cell r="S106">
            <v>309.5</v>
          </cell>
        </row>
        <row r="107">
          <cell r="J107">
            <v>2.1</v>
          </cell>
          <cell r="S107">
            <v>374.8</v>
          </cell>
        </row>
        <row r="108">
          <cell r="J108">
            <v>0</v>
          </cell>
          <cell r="S108">
            <v>435.7</v>
          </cell>
        </row>
        <row r="109">
          <cell r="J109">
            <v>0</v>
          </cell>
          <cell r="S109">
            <v>479.4</v>
          </cell>
        </row>
        <row r="110">
          <cell r="J110">
            <v>0</v>
          </cell>
          <cell r="S110">
            <v>382.8</v>
          </cell>
        </row>
        <row r="111">
          <cell r="J111">
            <v>3</v>
          </cell>
          <cell r="S111">
            <v>291.5</v>
          </cell>
        </row>
        <row r="112">
          <cell r="J112">
            <v>78.400000000000006</v>
          </cell>
          <cell r="S112">
            <v>97.8</v>
          </cell>
        </row>
        <row r="113">
          <cell r="J113">
            <v>63.8</v>
          </cell>
          <cell r="S113">
            <v>106.9</v>
          </cell>
        </row>
        <row r="114">
          <cell r="J114">
            <v>277.3</v>
          </cell>
          <cell r="S114">
            <v>31.4</v>
          </cell>
        </row>
        <row r="115">
          <cell r="J115">
            <v>124.7</v>
          </cell>
          <cell r="S115">
            <v>67.099999999999994</v>
          </cell>
        </row>
        <row r="116">
          <cell r="J116">
            <v>33.5</v>
          </cell>
          <cell r="S116">
            <v>132</v>
          </cell>
        </row>
        <row r="117">
          <cell r="J117">
            <v>18.600000000000001</v>
          </cell>
          <cell r="S117">
            <v>177.2</v>
          </cell>
        </row>
        <row r="118">
          <cell r="J118">
            <v>0.5</v>
          </cell>
          <cell r="S118">
            <v>350.5</v>
          </cell>
        </row>
        <row r="119">
          <cell r="J119">
            <v>0</v>
          </cell>
          <cell r="S119">
            <v>472.3</v>
          </cell>
        </row>
        <row r="120">
          <cell r="J120">
            <v>0</v>
          </cell>
          <cell r="S120">
            <v>467.8</v>
          </cell>
        </row>
        <row r="121">
          <cell r="J121">
            <v>0</v>
          </cell>
          <cell r="S121">
            <v>473.2</v>
          </cell>
        </row>
        <row r="122">
          <cell r="J122">
            <v>0.2</v>
          </cell>
          <cell r="S122">
            <v>397.7</v>
          </cell>
        </row>
        <row r="123">
          <cell r="J123">
            <v>0.9</v>
          </cell>
          <cell r="S123">
            <v>379.4</v>
          </cell>
        </row>
        <row r="124">
          <cell r="J124">
            <v>14.5</v>
          </cell>
          <cell r="S124">
            <v>225.4</v>
          </cell>
        </row>
        <row r="125">
          <cell r="J125">
            <v>197.1</v>
          </cell>
          <cell r="S125">
            <v>54.2</v>
          </cell>
        </row>
        <row r="126">
          <cell r="J126">
            <v>161.5</v>
          </cell>
          <cell r="S126">
            <v>34</v>
          </cell>
        </row>
        <row r="127">
          <cell r="J127">
            <v>79.400000000000006</v>
          </cell>
          <cell r="S127">
            <v>70.3</v>
          </cell>
        </row>
        <row r="128">
          <cell r="J128">
            <v>94.6</v>
          </cell>
          <cell r="S128">
            <v>106</v>
          </cell>
        </row>
        <row r="129">
          <cell r="J129">
            <v>31.5</v>
          </cell>
          <cell r="S129">
            <v>147.9</v>
          </cell>
        </row>
        <row r="130">
          <cell r="J130">
            <v>1.9</v>
          </cell>
          <cell r="S130">
            <v>328.8</v>
          </cell>
        </row>
        <row r="131">
          <cell r="J131">
            <v>0</v>
          </cell>
          <cell r="S131">
            <v>438.9</v>
          </cell>
        </row>
        <row r="132">
          <cell r="J132">
            <v>0</v>
          </cell>
          <cell r="S132">
            <v>484</v>
          </cell>
        </row>
        <row r="133">
          <cell r="J133">
            <v>0</v>
          </cell>
          <cell r="S133">
            <v>490</v>
          </cell>
        </row>
        <row r="134">
          <cell r="J134">
            <v>0</v>
          </cell>
          <cell r="S134">
            <v>445.1</v>
          </cell>
        </row>
        <row r="135">
          <cell r="J135">
            <v>5.3</v>
          </cell>
          <cell r="S135">
            <v>313.89999999999998</v>
          </cell>
        </row>
        <row r="136">
          <cell r="J136">
            <v>6.8</v>
          </cell>
          <cell r="S136">
            <v>261.3</v>
          </cell>
        </row>
        <row r="137">
          <cell r="J137">
            <v>57</v>
          </cell>
          <cell r="S137">
            <v>86.3</v>
          </cell>
        </row>
        <row r="138">
          <cell r="J138">
            <v>184.1</v>
          </cell>
          <cell r="S138">
            <v>33</v>
          </cell>
        </row>
        <row r="139">
          <cell r="J139">
            <v>93.9</v>
          </cell>
          <cell r="S139">
            <v>44.6</v>
          </cell>
        </row>
        <row r="140">
          <cell r="J140">
            <v>55.9</v>
          </cell>
          <cell r="S140">
            <v>81.900000000000006</v>
          </cell>
        </row>
        <row r="141">
          <cell r="J141">
            <v>67.900000000000006</v>
          </cell>
          <cell r="S141">
            <v>116.1</v>
          </cell>
        </row>
        <row r="142">
          <cell r="J142">
            <v>1.9</v>
          </cell>
          <cell r="S142">
            <v>319.8</v>
          </cell>
        </row>
        <row r="143">
          <cell r="J143">
            <v>0</v>
          </cell>
          <cell r="S143">
            <v>460.1</v>
          </cell>
        </row>
        <row r="144">
          <cell r="J144">
            <v>0</v>
          </cell>
          <cell r="S144">
            <v>506.9</v>
          </cell>
        </row>
        <row r="145">
          <cell r="J145">
            <v>0</v>
          </cell>
          <cell r="S145">
            <v>523.4</v>
          </cell>
        </row>
        <row r="146">
          <cell r="J146">
            <v>0.3</v>
          </cell>
          <cell r="S146">
            <v>433.9</v>
          </cell>
        </row>
        <row r="147">
          <cell r="J147">
            <v>20.399999999999999</v>
          </cell>
          <cell r="S147">
            <v>167.1</v>
          </cell>
        </row>
        <row r="148">
          <cell r="J148">
            <v>47</v>
          </cell>
          <cell r="S148">
            <v>114.6</v>
          </cell>
        </row>
        <row r="149">
          <cell r="J149">
            <v>103</v>
          </cell>
          <cell r="S149">
            <v>64.3</v>
          </cell>
        </row>
        <row r="150">
          <cell r="J150">
            <v>217.9</v>
          </cell>
          <cell r="S150">
            <v>25.6</v>
          </cell>
        </row>
        <row r="151">
          <cell r="J151">
            <v>172.3</v>
          </cell>
          <cell r="S151">
            <v>37.6</v>
          </cell>
        </row>
        <row r="152">
          <cell r="J152">
            <v>83.5</v>
          </cell>
          <cell r="S152">
            <v>84.1</v>
          </cell>
        </row>
        <row r="153">
          <cell r="J153">
            <v>23.8</v>
          </cell>
          <cell r="S153">
            <v>172.7</v>
          </cell>
        </row>
        <row r="154">
          <cell r="J154">
            <v>5.5</v>
          </cell>
          <cell r="S154">
            <v>264.3</v>
          </cell>
        </row>
        <row r="155">
          <cell r="J155">
            <v>0.2</v>
          </cell>
          <cell r="S155">
            <v>404.8</v>
          </cell>
        </row>
        <row r="156">
          <cell r="J156">
            <v>0</v>
          </cell>
          <cell r="S156">
            <v>456.6</v>
          </cell>
        </row>
        <row r="157">
          <cell r="J157">
            <v>0</v>
          </cell>
          <cell r="S157">
            <v>492</v>
          </cell>
        </row>
        <row r="158">
          <cell r="J158">
            <v>0</v>
          </cell>
          <cell r="S158">
            <v>449</v>
          </cell>
        </row>
        <row r="159">
          <cell r="J159">
            <v>12.9</v>
          </cell>
          <cell r="S159">
            <v>215.3</v>
          </cell>
        </row>
        <row r="160">
          <cell r="J160">
            <v>26.4</v>
          </cell>
          <cell r="S160">
            <v>152.80000000000001</v>
          </cell>
        </row>
        <row r="161">
          <cell r="J161">
            <v>130.4</v>
          </cell>
          <cell r="S161">
            <v>57.7</v>
          </cell>
        </row>
        <row r="162">
          <cell r="J162">
            <v>48.6</v>
          </cell>
          <cell r="S162">
            <v>102</v>
          </cell>
        </row>
        <row r="163">
          <cell r="J163">
            <v>115.1</v>
          </cell>
          <cell r="S163">
            <v>91.7</v>
          </cell>
        </row>
        <row r="164">
          <cell r="J164">
            <v>52.6</v>
          </cell>
          <cell r="S164">
            <v>163.30000000000001</v>
          </cell>
        </row>
        <row r="165">
          <cell r="J165">
            <v>19.399999999999999</v>
          </cell>
          <cell r="S165">
            <v>195.1</v>
          </cell>
        </row>
        <row r="166">
          <cell r="J166">
            <v>4.3</v>
          </cell>
          <cell r="S166">
            <v>346.7</v>
          </cell>
        </row>
        <row r="167">
          <cell r="J167">
            <v>0</v>
          </cell>
          <cell r="S167">
            <v>443.7</v>
          </cell>
        </row>
        <row r="168">
          <cell r="J168">
            <v>0</v>
          </cell>
          <cell r="S168">
            <v>505.7</v>
          </cell>
        </row>
        <row r="169">
          <cell r="J169">
            <v>0</v>
          </cell>
          <cell r="S169">
            <v>504.7</v>
          </cell>
        </row>
        <row r="170">
          <cell r="J170">
            <v>0</v>
          </cell>
          <cell r="S170">
            <v>447</v>
          </cell>
        </row>
        <row r="171">
          <cell r="J171">
            <v>23.2</v>
          </cell>
          <cell r="S171">
            <v>276.5</v>
          </cell>
        </row>
        <row r="172">
          <cell r="J172">
            <v>46.3</v>
          </cell>
          <cell r="S172">
            <v>125.3</v>
          </cell>
        </row>
        <row r="173">
          <cell r="J173">
            <v>276.60000000000002</v>
          </cell>
          <cell r="S173">
            <v>21.3</v>
          </cell>
        </row>
        <row r="174">
          <cell r="J174">
            <v>84</v>
          </cell>
          <cell r="S174">
            <v>82.3</v>
          </cell>
        </row>
        <row r="175">
          <cell r="J175">
            <v>37.1</v>
          </cell>
          <cell r="S175">
            <v>114.5</v>
          </cell>
        </row>
        <row r="176">
          <cell r="J176">
            <v>30.5</v>
          </cell>
          <cell r="S176">
            <v>132.80000000000001</v>
          </cell>
        </row>
        <row r="177">
          <cell r="J177">
            <v>16.7</v>
          </cell>
          <cell r="S177">
            <v>174.2</v>
          </cell>
        </row>
        <row r="178">
          <cell r="J178">
            <v>1</v>
          </cell>
          <cell r="S178">
            <v>378.1</v>
          </cell>
        </row>
        <row r="179">
          <cell r="J179">
            <v>0</v>
          </cell>
          <cell r="S179">
            <v>442</v>
          </cell>
        </row>
        <row r="180">
          <cell r="J180">
            <v>0</v>
          </cell>
          <cell r="S180">
            <v>477.7</v>
          </cell>
        </row>
        <row r="181">
          <cell r="J181">
            <v>0</v>
          </cell>
          <cell r="S181">
            <v>490.5</v>
          </cell>
        </row>
        <row r="182">
          <cell r="J182">
            <v>0.5</v>
          </cell>
          <cell r="S182">
            <v>435</v>
          </cell>
        </row>
        <row r="183">
          <cell r="J183">
            <v>12.7</v>
          </cell>
          <cell r="S183">
            <v>316.3</v>
          </cell>
        </row>
        <row r="184">
          <cell r="J184">
            <v>34</v>
          </cell>
          <cell r="S184">
            <v>119.4</v>
          </cell>
        </row>
        <row r="185">
          <cell r="J185">
            <v>77.3</v>
          </cell>
          <cell r="S185">
            <v>99.2</v>
          </cell>
        </row>
        <row r="186">
          <cell r="J186">
            <v>77.5</v>
          </cell>
          <cell r="S186">
            <v>89.5</v>
          </cell>
        </row>
        <row r="187">
          <cell r="J187">
            <v>82.2</v>
          </cell>
          <cell r="S187">
            <v>60</v>
          </cell>
        </row>
        <row r="188">
          <cell r="J188">
            <v>46.9</v>
          </cell>
          <cell r="S188">
            <v>119.7</v>
          </cell>
        </row>
        <row r="189">
          <cell r="J189">
            <v>5.6</v>
          </cell>
          <cell r="S189">
            <v>270.2</v>
          </cell>
        </row>
        <row r="190">
          <cell r="J190">
            <v>0</v>
          </cell>
          <cell r="S190">
            <v>399.1</v>
          </cell>
        </row>
        <row r="191">
          <cell r="J191">
            <v>0</v>
          </cell>
          <cell r="S191">
            <v>429.6</v>
          </cell>
        </row>
        <row r="192">
          <cell r="J192">
            <v>0</v>
          </cell>
          <cell r="S192">
            <v>486.5</v>
          </cell>
        </row>
        <row r="193">
          <cell r="J193">
            <v>0</v>
          </cell>
          <cell r="S193">
            <v>500</v>
          </cell>
        </row>
        <row r="194">
          <cell r="J194">
            <v>0.3</v>
          </cell>
          <cell r="S194">
            <v>442.1</v>
          </cell>
        </row>
        <row r="195">
          <cell r="J195">
            <v>7.3</v>
          </cell>
          <cell r="S195">
            <v>264</v>
          </cell>
        </row>
        <row r="196">
          <cell r="J196">
            <v>86</v>
          </cell>
          <cell r="S196">
            <v>92.3</v>
          </cell>
        </row>
        <row r="197">
          <cell r="J197">
            <v>83.7</v>
          </cell>
          <cell r="S197">
            <v>82.6</v>
          </cell>
        </row>
        <row r="198">
          <cell r="J198">
            <v>166.1</v>
          </cell>
          <cell r="S198">
            <v>23.6</v>
          </cell>
        </row>
        <row r="199">
          <cell r="J199">
            <v>83.7</v>
          </cell>
          <cell r="S199">
            <v>55.2</v>
          </cell>
        </row>
        <row r="200">
          <cell r="J200">
            <v>67.3</v>
          </cell>
          <cell r="S200">
            <v>83.5</v>
          </cell>
        </row>
        <row r="201">
          <cell r="J201">
            <v>30</v>
          </cell>
          <cell r="S201">
            <v>137.30000000000001</v>
          </cell>
        </row>
        <row r="202">
          <cell r="J202">
            <v>10.1</v>
          </cell>
          <cell r="S202">
            <v>256.10000000000002</v>
          </cell>
        </row>
        <row r="203">
          <cell r="J203">
            <v>0</v>
          </cell>
          <cell r="S203">
            <v>419.5</v>
          </cell>
        </row>
        <row r="204">
          <cell r="J204">
            <v>0</v>
          </cell>
          <cell r="S204">
            <v>526.5</v>
          </cell>
        </row>
        <row r="205">
          <cell r="J205">
            <v>0</v>
          </cell>
          <cell r="S205">
            <v>463.4</v>
          </cell>
        </row>
        <row r="206">
          <cell r="J206">
            <v>0</v>
          </cell>
          <cell r="S206">
            <v>429.7</v>
          </cell>
        </row>
        <row r="207">
          <cell r="J207">
            <v>7.6</v>
          </cell>
          <cell r="S207">
            <v>197.7</v>
          </cell>
        </row>
        <row r="208">
          <cell r="J208">
            <v>49.8</v>
          </cell>
          <cell r="S208">
            <v>161</v>
          </cell>
        </row>
        <row r="209">
          <cell r="J209">
            <v>93.4</v>
          </cell>
          <cell r="S209">
            <v>56.3</v>
          </cell>
        </row>
        <row r="210">
          <cell r="J210">
            <v>62.6</v>
          </cell>
          <cell r="S210">
            <v>86.9</v>
          </cell>
        </row>
        <row r="211">
          <cell r="J211">
            <v>120.5</v>
          </cell>
          <cell r="S211">
            <v>17.2</v>
          </cell>
        </row>
        <row r="212">
          <cell r="J212">
            <v>86.7</v>
          </cell>
          <cell r="S212">
            <v>66.2</v>
          </cell>
        </row>
        <row r="213">
          <cell r="J213">
            <v>34.200000000000003</v>
          </cell>
          <cell r="S213">
            <v>102.9</v>
          </cell>
        </row>
        <row r="214">
          <cell r="J214">
            <v>2.1</v>
          </cell>
          <cell r="S214">
            <v>268.3</v>
          </cell>
        </row>
        <row r="215">
          <cell r="J215">
            <v>0</v>
          </cell>
          <cell r="S215">
            <v>438.1</v>
          </cell>
        </row>
        <row r="216">
          <cell r="J216">
            <v>0</v>
          </cell>
          <cell r="S216">
            <v>513.70000000000005</v>
          </cell>
        </row>
        <row r="217">
          <cell r="J217">
            <v>0</v>
          </cell>
          <cell r="S217">
            <v>502.2</v>
          </cell>
        </row>
        <row r="218">
          <cell r="J218">
            <v>0.7</v>
          </cell>
          <cell r="S218">
            <v>430.9</v>
          </cell>
        </row>
        <row r="219">
          <cell r="J219">
            <v>8.6999999999999993</v>
          </cell>
          <cell r="S219">
            <v>268.3</v>
          </cell>
        </row>
        <row r="220">
          <cell r="J220">
            <v>50</v>
          </cell>
          <cell r="S220">
            <v>117.9</v>
          </cell>
        </row>
        <row r="221">
          <cell r="J221">
            <v>180.8</v>
          </cell>
          <cell r="S221">
            <v>25.6</v>
          </cell>
        </row>
        <row r="222">
          <cell r="J222">
            <v>157</v>
          </cell>
          <cell r="S222">
            <v>30.5</v>
          </cell>
        </row>
        <row r="223">
          <cell r="J223">
            <v>68.3</v>
          </cell>
          <cell r="S223">
            <v>82.8</v>
          </cell>
        </row>
        <row r="224">
          <cell r="J224">
            <v>54.5</v>
          </cell>
          <cell r="S224">
            <v>122.9</v>
          </cell>
        </row>
        <row r="225">
          <cell r="J225">
            <v>10</v>
          </cell>
          <cell r="S225">
            <v>238</v>
          </cell>
        </row>
        <row r="226">
          <cell r="J226">
            <v>2.1</v>
          </cell>
          <cell r="S226">
            <v>330.3</v>
          </cell>
        </row>
        <row r="227">
          <cell r="J227">
            <v>0</v>
          </cell>
          <cell r="S227">
            <v>446.3</v>
          </cell>
        </row>
        <row r="228">
          <cell r="J228">
            <v>0</v>
          </cell>
          <cell r="S228">
            <v>458.5</v>
          </cell>
        </row>
        <row r="229">
          <cell r="J229">
            <v>0</v>
          </cell>
          <cell r="S229">
            <v>434.8</v>
          </cell>
        </row>
        <row r="230">
          <cell r="J230">
            <v>0.1</v>
          </cell>
          <cell r="S230">
            <v>365.6</v>
          </cell>
        </row>
        <row r="231">
          <cell r="J231">
            <v>1.8</v>
          </cell>
          <cell r="S231">
            <v>273</v>
          </cell>
        </row>
        <row r="232">
          <cell r="J232">
            <v>14.7</v>
          </cell>
          <cell r="S232">
            <v>172.7</v>
          </cell>
        </row>
        <row r="233">
          <cell r="J233">
            <v>78.099999999999994</v>
          </cell>
          <cell r="S233">
            <v>65.900000000000006</v>
          </cell>
        </row>
        <row r="234">
          <cell r="J234">
            <v>175</v>
          </cell>
          <cell r="S234">
            <v>18.3</v>
          </cell>
        </row>
        <row r="235">
          <cell r="J235">
            <v>136.6</v>
          </cell>
          <cell r="S235">
            <v>46.1</v>
          </cell>
        </row>
        <row r="236">
          <cell r="J236">
            <v>32.4</v>
          </cell>
          <cell r="S236">
            <v>109.1</v>
          </cell>
        </row>
        <row r="237">
          <cell r="J237">
            <v>11.2</v>
          </cell>
          <cell r="S237">
            <v>193.3</v>
          </cell>
        </row>
        <row r="238">
          <cell r="J238">
            <v>0.5</v>
          </cell>
          <cell r="S238">
            <v>415.5</v>
          </cell>
        </row>
        <row r="239">
          <cell r="J239">
            <v>0.1</v>
          </cell>
          <cell r="S239">
            <v>388.2</v>
          </cell>
        </row>
        <row r="240">
          <cell r="J240">
            <v>0</v>
          </cell>
          <cell r="S240">
            <v>478.4</v>
          </cell>
        </row>
        <row r="241">
          <cell r="J241">
            <v>0</v>
          </cell>
          <cell r="S241">
            <v>484.4</v>
          </cell>
        </row>
        <row r="242">
          <cell r="J242">
            <v>0</v>
          </cell>
          <cell r="S242">
            <v>426.5</v>
          </cell>
        </row>
        <row r="243">
          <cell r="J243">
            <v>5.3</v>
          </cell>
          <cell r="S243">
            <v>311.5</v>
          </cell>
        </row>
        <row r="244">
          <cell r="J244">
            <v>89</v>
          </cell>
          <cell r="S244">
            <v>82.9</v>
          </cell>
        </row>
        <row r="245">
          <cell r="J245">
            <v>184.1</v>
          </cell>
          <cell r="S245">
            <v>47.9</v>
          </cell>
        </row>
        <row r="246">
          <cell r="J246">
            <v>195.2</v>
          </cell>
          <cell r="S246">
            <v>32</v>
          </cell>
        </row>
        <row r="247">
          <cell r="J247">
            <v>164.7</v>
          </cell>
          <cell r="S247">
            <v>53.6</v>
          </cell>
        </row>
        <row r="248">
          <cell r="J248">
            <v>141.80000000000001</v>
          </cell>
          <cell r="S248">
            <v>67.599999999999994</v>
          </cell>
        </row>
        <row r="249">
          <cell r="J249">
            <v>29.4</v>
          </cell>
          <cell r="S249">
            <v>159.69999999999999</v>
          </cell>
        </row>
        <row r="250">
          <cell r="J250">
            <v>1.2</v>
          </cell>
          <cell r="S250">
            <v>372.1</v>
          </cell>
        </row>
        <row r="251">
          <cell r="J251">
            <v>0.1</v>
          </cell>
          <cell r="S251">
            <v>406.3</v>
          </cell>
        </row>
        <row r="252">
          <cell r="J252">
            <v>0</v>
          </cell>
          <cell r="S252">
            <v>494.1</v>
          </cell>
        </row>
        <row r="253">
          <cell r="J253">
            <v>0</v>
          </cell>
          <cell r="S253">
            <v>460.7</v>
          </cell>
        </row>
        <row r="254">
          <cell r="J254">
            <v>0.2</v>
          </cell>
          <cell r="S254">
            <v>415.4</v>
          </cell>
        </row>
        <row r="255">
          <cell r="J255">
            <v>10.3</v>
          </cell>
          <cell r="S255">
            <v>249.4</v>
          </cell>
        </row>
        <row r="256">
          <cell r="J256">
            <v>50</v>
          </cell>
          <cell r="S256">
            <v>101.7</v>
          </cell>
        </row>
        <row r="257">
          <cell r="J257">
            <v>118.9</v>
          </cell>
          <cell r="S257">
            <v>48.9</v>
          </cell>
        </row>
        <row r="258">
          <cell r="J258">
            <v>141.19999999999999</v>
          </cell>
          <cell r="S258">
            <v>51.7</v>
          </cell>
        </row>
        <row r="259">
          <cell r="J259">
            <v>51.1</v>
          </cell>
          <cell r="S259">
            <v>97.4</v>
          </cell>
        </row>
        <row r="260">
          <cell r="J260">
            <v>10.199999999999999</v>
          </cell>
          <cell r="S260">
            <v>188.8</v>
          </cell>
        </row>
        <row r="261">
          <cell r="J261">
            <v>20.9</v>
          </cell>
          <cell r="S261">
            <v>140.5</v>
          </cell>
        </row>
        <row r="262">
          <cell r="J262">
            <v>3.5</v>
          </cell>
          <cell r="S262">
            <v>299.60000000000002</v>
          </cell>
        </row>
        <row r="263">
          <cell r="J263">
            <v>0</v>
          </cell>
          <cell r="S263">
            <v>398.4</v>
          </cell>
        </row>
        <row r="264">
          <cell r="J264">
            <v>0</v>
          </cell>
          <cell r="S264">
            <v>481.6</v>
          </cell>
        </row>
        <row r="265">
          <cell r="J265">
            <v>0</v>
          </cell>
          <cell r="S265">
            <v>489.8</v>
          </cell>
        </row>
        <row r="266">
          <cell r="J266">
            <v>0</v>
          </cell>
          <cell r="S266">
            <v>423.2</v>
          </cell>
        </row>
        <row r="267">
          <cell r="J267">
            <v>11.9</v>
          </cell>
          <cell r="S267">
            <v>248.1</v>
          </cell>
        </row>
        <row r="268">
          <cell r="J268">
            <v>54.1</v>
          </cell>
          <cell r="S268">
            <v>77.2</v>
          </cell>
        </row>
        <row r="269">
          <cell r="J269">
            <v>145.5</v>
          </cell>
          <cell r="S269">
            <v>45.1</v>
          </cell>
        </row>
        <row r="270">
          <cell r="J270">
            <v>108.5</v>
          </cell>
          <cell r="S270">
            <v>43</v>
          </cell>
        </row>
        <row r="271">
          <cell r="J271">
            <v>106.6</v>
          </cell>
          <cell r="S271">
            <v>35.700000000000003</v>
          </cell>
        </row>
        <row r="272">
          <cell r="J272">
            <v>109.1</v>
          </cell>
          <cell r="S272">
            <v>79.599999999999994</v>
          </cell>
        </row>
        <row r="273">
          <cell r="J273">
            <v>18.100000000000001</v>
          </cell>
          <cell r="S273">
            <v>174.1</v>
          </cell>
        </row>
        <row r="274">
          <cell r="J274">
            <v>1.2</v>
          </cell>
          <cell r="S274">
            <v>357.5</v>
          </cell>
        </row>
        <row r="275">
          <cell r="J275">
            <v>0</v>
          </cell>
          <cell r="S275">
            <v>538.9</v>
          </cell>
        </row>
        <row r="276">
          <cell r="J276">
            <v>0</v>
          </cell>
          <cell r="S276">
            <v>526.4</v>
          </cell>
        </row>
        <row r="277">
          <cell r="J277">
            <v>0</v>
          </cell>
          <cell r="S277">
            <v>517.79999999999995</v>
          </cell>
        </row>
        <row r="278">
          <cell r="J278">
            <v>0</v>
          </cell>
          <cell r="S278">
            <v>423.8</v>
          </cell>
        </row>
        <row r="279">
          <cell r="J279">
            <v>3.4</v>
          </cell>
          <cell r="S279">
            <v>328.4</v>
          </cell>
        </row>
        <row r="280">
          <cell r="J280">
            <v>14.6</v>
          </cell>
          <cell r="S280">
            <v>177.6</v>
          </cell>
        </row>
        <row r="281">
          <cell r="J281">
            <v>58.6</v>
          </cell>
          <cell r="S281">
            <v>115.4</v>
          </cell>
        </row>
        <row r="282">
          <cell r="J282">
            <v>121.1</v>
          </cell>
          <cell r="S282">
            <v>72</v>
          </cell>
        </row>
        <row r="283">
          <cell r="J283">
            <v>93.3</v>
          </cell>
          <cell r="S283">
            <v>65.2</v>
          </cell>
        </row>
        <row r="284">
          <cell r="J284">
            <v>76.8</v>
          </cell>
          <cell r="S284">
            <v>73.7</v>
          </cell>
        </row>
        <row r="285">
          <cell r="J285">
            <v>13.8</v>
          </cell>
          <cell r="S285">
            <v>251.4</v>
          </cell>
        </row>
        <row r="286">
          <cell r="J286">
            <v>5.8</v>
          </cell>
          <cell r="S286">
            <v>306.10000000000002</v>
          </cell>
        </row>
        <row r="287">
          <cell r="J287">
            <v>0</v>
          </cell>
          <cell r="S287">
            <v>406.3</v>
          </cell>
        </row>
        <row r="288">
          <cell r="J288">
            <v>0</v>
          </cell>
          <cell r="S288">
            <v>502.3</v>
          </cell>
        </row>
        <row r="289">
          <cell r="J289">
            <v>0</v>
          </cell>
          <cell r="S289">
            <v>506.6</v>
          </cell>
        </row>
        <row r="290">
          <cell r="J290">
            <v>0.3</v>
          </cell>
          <cell r="S290">
            <v>394.3</v>
          </cell>
        </row>
        <row r="291">
          <cell r="J291">
            <v>10.5</v>
          </cell>
          <cell r="S291">
            <v>271.5</v>
          </cell>
        </row>
        <row r="292">
          <cell r="J292">
            <v>35.9</v>
          </cell>
          <cell r="S292">
            <v>99.2</v>
          </cell>
        </row>
        <row r="293">
          <cell r="J293">
            <v>124.1</v>
          </cell>
          <cell r="S293">
            <v>41.5</v>
          </cell>
        </row>
        <row r="294">
          <cell r="J294">
            <v>154.4</v>
          </cell>
          <cell r="S294">
            <v>42.9</v>
          </cell>
        </row>
        <row r="295">
          <cell r="J295">
            <v>104.5</v>
          </cell>
          <cell r="S295">
            <v>54.5</v>
          </cell>
        </row>
        <row r="296">
          <cell r="J296">
            <v>23.5</v>
          </cell>
          <cell r="S296">
            <v>138.9</v>
          </cell>
        </row>
        <row r="297">
          <cell r="J297">
            <v>25.9</v>
          </cell>
          <cell r="S297">
            <v>156.4</v>
          </cell>
        </row>
        <row r="298">
          <cell r="J298">
            <v>1.6</v>
          </cell>
          <cell r="S298">
            <v>370</v>
          </cell>
        </row>
        <row r="299">
          <cell r="J299">
            <v>0</v>
          </cell>
          <cell r="S299">
            <v>438.8</v>
          </cell>
        </row>
        <row r="300">
          <cell r="J300">
            <v>0</v>
          </cell>
          <cell r="S300">
            <v>483.3</v>
          </cell>
        </row>
        <row r="301">
          <cell r="J301">
            <v>0</v>
          </cell>
          <cell r="S301">
            <v>489.4</v>
          </cell>
        </row>
        <row r="302">
          <cell r="J302">
            <v>0.1</v>
          </cell>
          <cell r="S302">
            <v>431.9</v>
          </cell>
        </row>
        <row r="303">
          <cell r="J303">
            <v>14.3</v>
          </cell>
          <cell r="S303">
            <v>218.2</v>
          </cell>
        </row>
        <row r="304">
          <cell r="J304">
            <v>78.599999999999994</v>
          </cell>
          <cell r="S304">
            <v>94.9</v>
          </cell>
        </row>
        <row r="305">
          <cell r="J305">
            <v>201.7</v>
          </cell>
          <cell r="S305">
            <v>50.6</v>
          </cell>
        </row>
        <row r="306">
          <cell r="J306">
            <v>264</v>
          </cell>
          <cell r="S306">
            <v>24.9</v>
          </cell>
        </row>
        <row r="307">
          <cell r="J307">
            <v>52.9</v>
          </cell>
          <cell r="S307">
            <v>99.5</v>
          </cell>
        </row>
        <row r="308">
          <cell r="J308">
            <v>63.7</v>
          </cell>
          <cell r="S308">
            <v>84.1</v>
          </cell>
        </row>
        <row r="309">
          <cell r="J309">
            <v>21.8</v>
          </cell>
          <cell r="S309">
            <v>185.9</v>
          </cell>
        </row>
        <row r="310">
          <cell r="J310">
            <v>2.1</v>
          </cell>
          <cell r="S310">
            <v>301.2</v>
          </cell>
        </row>
        <row r="311">
          <cell r="J311">
            <v>0</v>
          </cell>
          <cell r="S311">
            <v>424.8</v>
          </cell>
        </row>
        <row r="312">
          <cell r="J312">
            <v>0</v>
          </cell>
          <cell r="S312">
            <v>458.5</v>
          </cell>
        </row>
        <row r="313">
          <cell r="J313">
            <v>0</v>
          </cell>
          <cell r="S313">
            <v>481.6</v>
          </cell>
        </row>
        <row r="314">
          <cell r="J314">
            <v>1.1000000000000001</v>
          </cell>
          <cell r="S314">
            <v>349.8</v>
          </cell>
        </row>
        <row r="315">
          <cell r="J315">
            <v>16.7</v>
          </cell>
          <cell r="S315">
            <v>242.7</v>
          </cell>
        </row>
        <row r="316">
          <cell r="J316">
            <v>16</v>
          </cell>
          <cell r="S316">
            <v>125.4</v>
          </cell>
        </row>
        <row r="317">
          <cell r="J317">
            <v>78</v>
          </cell>
          <cell r="S317">
            <v>119.1</v>
          </cell>
        </row>
        <row r="318">
          <cell r="J318">
            <v>158.5</v>
          </cell>
          <cell r="S318">
            <v>71.8</v>
          </cell>
        </row>
        <row r="319">
          <cell r="J319">
            <v>111</v>
          </cell>
          <cell r="S319">
            <v>34.4</v>
          </cell>
        </row>
        <row r="320">
          <cell r="J320">
            <v>53.6</v>
          </cell>
          <cell r="S320">
            <v>154.5</v>
          </cell>
        </row>
        <row r="321">
          <cell r="J321">
            <v>3.3</v>
          </cell>
          <cell r="S321">
            <v>259.39999999999998</v>
          </cell>
        </row>
        <row r="322">
          <cell r="J322">
            <v>1.8</v>
          </cell>
          <cell r="S322">
            <v>355.9</v>
          </cell>
        </row>
        <row r="323">
          <cell r="J323">
            <v>0</v>
          </cell>
          <cell r="S323">
            <v>399.9</v>
          </cell>
        </row>
        <row r="324">
          <cell r="J324">
            <v>0</v>
          </cell>
          <cell r="S324">
            <v>466.6</v>
          </cell>
        </row>
        <row r="325">
          <cell r="J325">
            <v>0</v>
          </cell>
          <cell r="S325">
            <v>457.7</v>
          </cell>
        </row>
        <row r="326">
          <cell r="J326">
            <v>0</v>
          </cell>
          <cell r="S326">
            <v>453.6</v>
          </cell>
        </row>
        <row r="327">
          <cell r="J327">
            <v>2.2999999999999998</v>
          </cell>
          <cell r="S327">
            <v>349.9</v>
          </cell>
        </row>
        <row r="328">
          <cell r="J328">
            <v>81.400000000000006</v>
          </cell>
          <cell r="S328">
            <v>89.7</v>
          </cell>
        </row>
        <row r="329">
          <cell r="J329">
            <v>160.6</v>
          </cell>
          <cell r="S329">
            <v>25.1</v>
          </cell>
        </row>
        <row r="330">
          <cell r="J330">
            <v>282.39999999999998</v>
          </cell>
          <cell r="S330">
            <v>9</v>
          </cell>
        </row>
        <row r="331">
          <cell r="J331">
            <v>93.2</v>
          </cell>
          <cell r="S331">
            <v>48.8</v>
          </cell>
        </row>
        <row r="332">
          <cell r="J332">
            <v>19.2</v>
          </cell>
          <cell r="S332">
            <v>173.4</v>
          </cell>
        </row>
        <row r="333">
          <cell r="J333">
            <v>22.8</v>
          </cell>
          <cell r="S333">
            <v>180.6</v>
          </cell>
        </row>
        <row r="334">
          <cell r="J334">
            <v>0.2</v>
          </cell>
          <cell r="S334">
            <v>386.8</v>
          </cell>
        </row>
        <row r="335">
          <cell r="J335">
            <v>0</v>
          </cell>
          <cell r="S335">
            <v>413.5</v>
          </cell>
        </row>
        <row r="336">
          <cell r="J336">
            <v>0</v>
          </cell>
          <cell r="S336">
            <v>477.4</v>
          </cell>
        </row>
        <row r="337">
          <cell r="J337">
            <v>0</v>
          </cell>
          <cell r="S337">
            <v>448.6</v>
          </cell>
        </row>
        <row r="338">
          <cell r="J338">
            <v>0.1</v>
          </cell>
          <cell r="S338">
            <v>394.1</v>
          </cell>
        </row>
        <row r="339">
          <cell r="J339">
            <v>3</v>
          </cell>
          <cell r="S339">
            <v>276.3</v>
          </cell>
        </row>
        <row r="340">
          <cell r="J340">
            <v>34.700000000000003</v>
          </cell>
          <cell r="S340">
            <v>172.2</v>
          </cell>
        </row>
        <row r="341">
          <cell r="J341">
            <v>168.2</v>
          </cell>
          <cell r="S341">
            <v>24.1</v>
          </cell>
        </row>
        <row r="342">
          <cell r="J342">
            <v>171.8</v>
          </cell>
          <cell r="S342">
            <v>29.1</v>
          </cell>
        </row>
        <row r="343">
          <cell r="J343">
            <v>112.1</v>
          </cell>
          <cell r="S343">
            <v>44.5</v>
          </cell>
        </row>
        <row r="344">
          <cell r="J344">
            <v>44.5</v>
          </cell>
          <cell r="S344">
            <v>99.5</v>
          </cell>
        </row>
        <row r="345">
          <cell r="J345">
            <v>31.6</v>
          </cell>
          <cell r="S345">
            <v>139.6</v>
          </cell>
        </row>
        <row r="346">
          <cell r="J346">
            <v>1.7</v>
          </cell>
          <cell r="S346">
            <v>334.6</v>
          </cell>
        </row>
        <row r="347">
          <cell r="J347">
            <v>0</v>
          </cell>
          <cell r="S347">
            <v>467.5</v>
          </cell>
        </row>
        <row r="348">
          <cell r="J348">
            <v>0</v>
          </cell>
          <cell r="S348">
            <v>482.3</v>
          </cell>
        </row>
        <row r="349">
          <cell r="J349">
            <v>0</v>
          </cell>
          <cell r="S349">
            <v>473.4</v>
          </cell>
        </row>
        <row r="350">
          <cell r="J350">
            <v>0</v>
          </cell>
          <cell r="S350">
            <v>422.2</v>
          </cell>
        </row>
        <row r="351">
          <cell r="J351">
            <v>3.3</v>
          </cell>
          <cell r="S351">
            <v>290.8</v>
          </cell>
        </row>
        <row r="352">
          <cell r="J352">
            <v>23.8</v>
          </cell>
          <cell r="S352">
            <v>135.6</v>
          </cell>
        </row>
        <row r="353">
          <cell r="J353">
            <v>158.19999999999999</v>
          </cell>
          <cell r="S353">
            <v>42.6</v>
          </cell>
        </row>
        <row r="354">
          <cell r="J354">
            <v>125.9</v>
          </cell>
          <cell r="S354">
            <v>51.8</v>
          </cell>
        </row>
        <row r="355">
          <cell r="J355">
            <v>84.2</v>
          </cell>
          <cell r="S355">
            <v>46.1</v>
          </cell>
        </row>
        <row r="356">
          <cell r="J356">
            <v>89.7</v>
          </cell>
          <cell r="S356">
            <v>86.4</v>
          </cell>
        </row>
        <row r="357">
          <cell r="J357">
            <v>28.3</v>
          </cell>
          <cell r="S357">
            <v>122.8</v>
          </cell>
        </row>
        <row r="358">
          <cell r="J358">
            <v>2.6</v>
          </cell>
          <cell r="S358">
            <v>284.5</v>
          </cell>
        </row>
        <row r="359">
          <cell r="J359">
            <v>0</v>
          </cell>
          <cell r="S359">
            <v>401.8</v>
          </cell>
        </row>
        <row r="360">
          <cell r="J360">
            <v>0</v>
          </cell>
          <cell r="S360">
            <v>536.20000000000005</v>
          </cell>
        </row>
        <row r="361">
          <cell r="J361">
            <v>0</v>
          </cell>
          <cell r="S361">
            <v>549.79999999999995</v>
          </cell>
        </row>
        <row r="362">
          <cell r="J362">
            <v>0.3</v>
          </cell>
          <cell r="S362">
            <v>455.6</v>
          </cell>
        </row>
        <row r="363">
          <cell r="J363">
            <v>17.600000000000001</v>
          </cell>
          <cell r="S363">
            <v>299.60000000000002</v>
          </cell>
        </row>
        <row r="364">
          <cell r="J364">
            <v>28.2</v>
          </cell>
          <cell r="S364">
            <v>130.30000000000001</v>
          </cell>
        </row>
        <row r="365">
          <cell r="J365">
            <v>149.4</v>
          </cell>
          <cell r="S365">
            <v>16.8</v>
          </cell>
        </row>
        <row r="366">
          <cell r="J366">
            <v>106.1</v>
          </cell>
          <cell r="S366">
            <v>57.4</v>
          </cell>
        </row>
        <row r="367">
          <cell r="J367">
            <v>128.5</v>
          </cell>
          <cell r="S367">
            <v>41.3</v>
          </cell>
        </row>
        <row r="368">
          <cell r="J368">
            <v>54.2</v>
          </cell>
          <cell r="S368">
            <v>112</v>
          </cell>
        </row>
        <row r="369">
          <cell r="J369">
            <v>5.8</v>
          </cell>
          <cell r="S369">
            <v>229.1</v>
          </cell>
        </row>
        <row r="370">
          <cell r="J370">
            <v>3.1</v>
          </cell>
          <cell r="S370">
            <v>324.5</v>
          </cell>
        </row>
        <row r="371">
          <cell r="J371">
            <v>0</v>
          </cell>
          <cell r="S371">
            <v>424.4</v>
          </cell>
        </row>
        <row r="372">
          <cell r="J372">
            <v>0</v>
          </cell>
          <cell r="S372">
            <v>474.8</v>
          </cell>
        </row>
        <row r="373">
          <cell r="J373">
            <v>0</v>
          </cell>
          <cell r="S373">
            <v>502.8</v>
          </cell>
        </row>
        <row r="374">
          <cell r="J374">
            <v>0.5</v>
          </cell>
          <cell r="S374">
            <v>409.8</v>
          </cell>
        </row>
        <row r="375">
          <cell r="J375">
            <v>14.7</v>
          </cell>
          <cell r="S375">
            <v>256.5</v>
          </cell>
        </row>
        <row r="376">
          <cell r="J376">
            <v>70.900000000000006</v>
          </cell>
          <cell r="S376">
            <v>84.6</v>
          </cell>
        </row>
        <row r="377">
          <cell r="J377">
            <v>58.5</v>
          </cell>
          <cell r="S377">
            <v>91.9</v>
          </cell>
        </row>
        <row r="378">
          <cell r="J378">
            <v>105.3</v>
          </cell>
          <cell r="S378">
            <v>62.4</v>
          </cell>
        </row>
        <row r="379">
          <cell r="J379">
            <v>143.80000000000001</v>
          </cell>
          <cell r="S379">
            <v>32.200000000000003</v>
          </cell>
        </row>
        <row r="380">
          <cell r="J380">
            <v>44.2</v>
          </cell>
          <cell r="S380">
            <v>117.6</v>
          </cell>
        </row>
        <row r="381">
          <cell r="J381">
            <v>27.1</v>
          </cell>
          <cell r="S381">
            <v>152.80000000000001</v>
          </cell>
        </row>
        <row r="382">
          <cell r="J382">
            <v>2</v>
          </cell>
          <cell r="S382">
            <v>290.2</v>
          </cell>
        </row>
        <row r="383">
          <cell r="J383">
            <v>0</v>
          </cell>
          <cell r="S383">
            <v>411.4</v>
          </cell>
        </row>
        <row r="384">
          <cell r="J384">
            <v>0</v>
          </cell>
          <cell r="S384">
            <v>492.3</v>
          </cell>
        </row>
        <row r="385">
          <cell r="J385">
            <v>0</v>
          </cell>
          <cell r="S385">
            <v>537</v>
          </cell>
        </row>
        <row r="386">
          <cell r="J386">
            <v>0</v>
          </cell>
          <cell r="S386">
            <v>438.6</v>
          </cell>
        </row>
        <row r="387">
          <cell r="J387">
            <v>1</v>
          </cell>
          <cell r="S387">
            <v>347.9</v>
          </cell>
        </row>
        <row r="388">
          <cell r="J388">
            <v>46</v>
          </cell>
          <cell r="S388">
            <v>97.7</v>
          </cell>
        </row>
        <row r="389">
          <cell r="J389">
            <v>55.9</v>
          </cell>
          <cell r="S389">
            <v>106.9</v>
          </cell>
        </row>
        <row r="390">
          <cell r="J390">
            <v>143.1</v>
          </cell>
          <cell r="S390">
            <v>39.5</v>
          </cell>
        </row>
        <row r="391">
          <cell r="J391">
            <v>73.400000000000006</v>
          </cell>
          <cell r="S391">
            <v>75.8</v>
          </cell>
        </row>
        <row r="392">
          <cell r="J392">
            <v>48.1</v>
          </cell>
          <cell r="S392">
            <v>92.7</v>
          </cell>
        </row>
        <row r="393">
          <cell r="J393">
            <v>19.600000000000001</v>
          </cell>
          <cell r="S393">
            <v>179.9</v>
          </cell>
        </row>
        <row r="394">
          <cell r="J394">
            <v>1.7</v>
          </cell>
          <cell r="S394">
            <v>355</v>
          </cell>
        </row>
        <row r="395">
          <cell r="J395">
            <v>0</v>
          </cell>
          <cell r="S395">
            <v>441.7</v>
          </cell>
        </row>
        <row r="396">
          <cell r="J396">
            <v>0</v>
          </cell>
          <cell r="S396">
            <v>453.1</v>
          </cell>
        </row>
        <row r="397">
          <cell r="J397">
            <v>0</v>
          </cell>
          <cell r="S397">
            <v>459.9</v>
          </cell>
        </row>
        <row r="398">
          <cell r="J398">
            <v>0.5</v>
          </cell>
          <cell r="S398">
            <v>435.2</v>
          </cell>
        </row>
        <row r="399">
          <cell r="J399">
            <v>24.1</v>
          </cell>
          <cell r="S399">
            <v>257.8</v>
          </cell>
        </row>
        <row r="400">
          <cell r="J400">
            <v>94.8</v>
          </cell>
          <cell r="S400">
            <v>76.599999999999994</v>
          </cell>
        </row>
        <row r="401">
          <cell r="J401">
            <v>81.099999999999994</v>
          </cell>
          <cell r="S401">
            <v>64.7</v>
          </cell>
        </row>
        <row r="402">
          <cell r="J402">
            <v>172.2</v>
          </cell>
          <cell r="S402">
            <v>36.1</v>
          </cell>
        </row>
        <row r="403">
          <cell r="J403">
            <v>144.5</v>
          </cell>
          <cell r="S403">
            <v>33</v>
          </cell>
        </row>
        <row r="404">
          <cell r="J404">
            <v>56.2</v>
          </cell>
          <cell r="S404">
            <v>123.9</v>
          </cell>
        </row>
        <row r="405">
          <cell r="J405">
            <v>17.3</v>
          </cell>
          <cell r="S405">
            <v>189.3</v>
          </cell>
        </row>
        <row r="406">
          <cell r="J406">
            <v>0.5</v>
          </cell>
          <cell r="S406">
            <v>342</v>
          </cell>
        </row>
        <row r="407">
          <cell r="J407">
            <v>0</v>
          </cell>
          <cell r="S407">
            <v>461.6</v>
          </cell>
        </row>
        <row r="408">
          <cell r="J408">
            <v>0</v>
          </cell>
          <cell r="S408">
            <v>473.2</v>
          </cell>
        </row>
        <row r="409">
          <cell r="J409">
            <v>0</v>
          </cell>
          <cell r="S409">
            <v>495.7</v>
          </cell>
        </row>
        <row r="410">
          <cell r="J410">
            <v>0.3</v>
          </cell>
          <cell r="S410">
            <v>433.6</v>
          </cell>
        </row>
        <row r="411">
          <cell r="J411">
            <v>11.6</v>
          </cell>
          <cell r="S411">
            <v>346.2</v>
          </cell>
        </row>
        <row r="412">
          <cell r="J412">
            <v>35.6</v>
          </cell>
          <cell r="S412">
            <v>117.4</v>
          </cell>
        </row>
        <row r="413">
          <cell r="J413">
            <v>115.5</v>
          </cell>
          <cell r="S413">
            <v>61.8</v>
          </cell>
        </row>
        <row r="414">
          <cell r="J414">
            <v>306.5</v>
          </cell>
          <cell r="S414">
            <v>18.5</v>
          </cell>
        </row>
        <row r="415">
          <cell r="J415">
            <v>247.7</v>
          </cell>
          <cell r="S415">
            <v>7.4</v>
          </cell>
        </row>
        <row r="416">
          <cell r="J416">
            <v>117</v>
          </cell>
          <cell r="S416">
            <v>22.2</v>
          </cell>
        </row>
        <row r="417">
          <cell r="J417">
            <v>8.6999999999999993</v>
          </cell>
          <cell r="S417">
            <v>163.9</v>
          </cell>
        </row>
        <row r="418">
          <cell r="J418">
            <v>0.1</v>
          </cell>
          <cell r="S418">
            <v>400.9</v>
          </cell>
        </row>
        <row r="419">
          <cell r="J419">
            <v>0</v>
          </cell>
          <cell r="S419">
            <v>516.29999999999995</v>
          </cell>
        </row>
        <row r="420">
          <cell r="J420">
            <v>0</v>
          </cell>
          <cell r="S420">
            <v>533.79999999999995</v>
          </cell>
        </row>
        <row r="421">
          <cell r="J421">
            <v>0</v>
          </cell>
          <cell r="S421">
            <v>527.1</v>
          </cell>
        </row>
        <row r="422">
          <cell r="J422">
            <v>0</v>
          </cell>
          <cell r="S422">
            <v>459.1</v>
          </cell>
        </row>
        <row r="423">
          <cell r="J423">
            <v>6.7</v>
          </cell>
          <cell r="S423">
            <v>272.10000000000002</v>
          </cell>
        </row>
        <row r="424">
          <cell r="J424">
            <v>43.8</v>
          </cell>
          <cell r="S424">
            <v>117.1</v>
          </cell>
        </row>
        <row r="425">
          <cell r="J425">
            <v>315.89999999999998</v>
          </cell>
          <cell r="S425">
            <v>6.1</v>
          </cell>
        </row>
        <row r="426">
          <cell r="J426">
            <v>184.8</v>
          </cell>
          <cell r="S426">
            <v>17.600000000000001</v>
          </cell>
        </row>
        <row r="427">
          <cell r="J427">
            <v>75.900000000000006</v>
          </cell>
          <cell r="S427">
            <v>76.599999999999994</v>
          </cell>
        </row>
        <row r="428">
          <cell r="J428">
            <v>34.700000000000003</v>
          </cell>
          <cell r="S428">
            <v>123.2</v>
          </cell>
        </row>
        <row r="429">
          <cell r="J429">
            <v>7.7</v>
          </cell>
          <cell r="S429">
            <v>270.3</v>
          </cell>
        </row>
        <row r="430">
          <cell r="J430">
            <v>2</v>
          </cell>
          <cell r="S430">
            <v>356.3</v>
          </cell>
        </row>
        <row r="431">
          <cell r="J431">
            <v>0.2</v>
          </cell>
          <cell r="S431">
            <v>466.1</v>
          </cell>
        </row>
        <row r="432">
          <cell r="J432">
            <v>0</v>
          </cell>
          <cell r="S432">
            <v>507.9</v>
          </cell>
        </row>
        <row r="433">
          <cell r="J433">
            <v>0</v>
          </cell>
          <cell r="S433">
            <v>530.4</v>
          </cell>
        </row>
        <row r="434">
          <cell r="J434">
            <v>0.1</v>
          </cell>
          <cell r="S434">
            <v>429.4</v>
          </cell>
        </row>
        <row r="435">
          <cell r="J435">
            <v>14.4</v>
          </cell>
          <cell r="S435">
            <v>197.2</v>
          </cell>
        </row>
        <row r="436">
          <cell r="J436">
            <v>30.8</v>
          </cell>
          <cell r="S436">
            <v>110.1</v>
          </cell>
        </row>
        <row r="437">
          <cell r="J437">
            <v>61.1</v>
          </cell>
          <cell r="S437">
            <v>69.400000000000006</v>
          </cell>
        </row>
        <row r="438">
          <cell r="J438">
            <v>132.5</v>
          </cell>
          <cell r="S438">
            <v>42.5</v>
          </cell>
        </row>
        <row r="439">
          <cell r="J439">
            <v>57.4</v>
          </cell>
          <cell r="S439">
            <v>87.7</v>
          </cell>
        </row>
        <row r="440">
          <cell r="J440">
            <v>12.1</v>
          </cell>
          <cell r="S440">
            <v>194.7</v>
          </cell>
        </row>
        <row r="441">
          <cell r="J441">
            <v>8.6</v>
          </cell>
          <cell r="S441">
            <v>210.1</v>
          </cell>
        </row>
        <row r="442">
          <cell r="J442">
            <v>0.3</v>
          </cell>
          <cell r="S442">
            <v>373.4</v>
          </cell>
        </row>
        <row r="443">
          <cell r="J443">
            <v>0</v>
          </cell>
          <cell r="S443">
            <v>389.8</v>
          </cell>
        </row>
        <row r="444">
          <cell r="J444">
            <v>0</v>
          </cell>
          <cell r="S444">
            <v>494.8</v>
          </cell>
        </row>
        <row r="445">
          <cell r="J445">
            <v>0</v>
          </cell>
          <cell r="S445">
            <v>478.4</v>
          </cell>
        </row>
        <row r="446">
          <cell r="J446">
            <v>0</v>
          </cell>
          <cell r="S446">
            <v>419.1</v>
          </cell>
        </row>
        <row r="447">
          <cell r="J447">
            <v>11.9</v>
          </cell>
          <cell r="S447">
            <v>287.5</v>
          </cell>
        </row>
        <row r="448">
          <cell r="J448">
            <v>57.6</v>
          </cell>
          <cell r="S448">
            <v>55.8</v>
          </cell>
        </row>
        <row r="449">
          <cell r="J449">
            <v>86.1</v>
          </cell>
          <cell r="S449">
            <v>76.5</v>
          </cell>
        </row>
        <row r="450">
          <cell r="J450">
            <v>54.3</v>
          </cell>
          <cell r="S450">
            <v>87.2</v>
          </cell>
        </row>
        <row r="451">
          <cell r="J451">
            <v>80.5</v>
          </cell>
          <cell r="S451">
            <v>69.900000000000006</v>
          </cell>
        </row>
        <row r="452">
          <cell r="J452">
            <v>139.19999999999999</v>
          </cell>
          <cell r="S452">
            <v>43.4</v>
          </cell>
        </row>
        <row r="453">
          <cell r="J453">
            <v>5.8</v>
          </cell>
          <cell r="S453">
            <v>228.5</v>
          </cell>
        </row>
        <row r="454">
          <cell r="J454">
            <v>3.2</v>
          </cell>
          <cell r="S454">
            <v>291</v>
          </cell>
        </row>
        <row r="455">
          <cell r="J455">
            <v>0</v>
          </cell>
          <cell r="S455">
            <v>447.9</v>
          </cell>
        </row>
        <row r="456">
          <cell r="J456">
            <v>0</v>
          </cell>
          <cell r="S456">
            <v>463.5</v>
          </cell>
        </row>
        <row r="457">
          <cell r="J457">
            <v>0</v>
          </cell>
          <cell r="S457">
            <v>518.5</v>
          </cell>
        </row>
        <row r="458">
          <cell r="J458">
            <v>0</v>
          </cell>
          <cell r="S458">
            <v>426.8</v>
          </cell>
        </row>
        <row r="459">
          <cell r="J459">
            <v>4.9000000000000004</v>
          </cell>
          <cell r="S459">
            <v>310</v>
          </cell>
        </row>
        <row r="460">
          <cell r="J460">
            <v>32</v>
          </cell>
          <cell r="S460">
            <v>147.80000000000001</v>
          </cell>
        </row>
        <row r="461">
          <cell r="J461">
            <v>47.6</v>
          </cell>
          <cell r="S461">
            <v>106.3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02">
          <cell r="J102">
            <v>93.9</v>
          </cell>
          <cell r="S102">
            <v>44.4</v>
          </cell>
        </row>
        <row r="103">
          <cell r="J103">
            <v>54.6</v>
          </cell>
          <cell r="S103">
            <v>64.599999999999994</v>
          </cell>
        </row>
        <row r="104">
          <cell r="J104">
            <v>32</v>
          </cell>
          <cell r="S104">
            <v>121</v>
          </cell>
        </row>
        <row r="105">
          <cell r="J105">
            <v>5.7</v>
          </cell>
          <cell r="S105">
            <v>183.9</v>
          </cell>
        </row>
        <row r="106">
          <cell r="J106">
            <v>0.5</v>
          </cell>
          <cell r="S106">
            <v>366.5</v>
          </cell>
        </row>
        <row r="107">
          <cell r="J107">
            <v>0.3</v>
          </cell>
          <cell r="S107">
            <v>433</v>
          </cell>
        </row>
        <row r="108">
          <cell r="J108">
            <v>0</v>
          </cell>
          <cell r="S108">
            <v>497.6</v>
          </cell>
        </row>
        <row r="109">
          <cell r="J109">
            <v>0</v>
          </cell>
          <cell r="S109">
            <v>541.29999999999995</v>
          </cell>
        </row>
        <row r="110">
          <cell r="J110">
            <v>0</v>
          </cell>
          <cell r="S110">
            <v>442.5</v>
          </cell>
        </row>
        <row r="111">
          <cell r="J111">
            <v>0.6</v>
          </cell>
          <cell r="S111">
            <v>349.3</v>
          </cell>
        </row>
        <row r="112">
          <cell r="J112">
            <v>27.1</v>
          </cell>
          <cell r="S112">
            <v>128.4</v>
          </cell>
        </row>
        <row r="113">
          <cell r="J113">
            <v>27.1</v>
          </cell>
          <cell r="S113">
            <v>144</v>
          </cell>
        </row>
        <row r="114">
          <cell r="J114">
            <v>151.80000000000001</v>
          </cell>
          <cell r="S114">
            <v>44.5</v>
          </cell>
        </row>
        <row r="115">
          <cell r="J115">
            <v>55.2</v>
          </cell>
          <cell r="S115">
            <v>89.3</v>
          </cell>
        </row>
        <row r="116">
          <cell r="J116">
            <v>8.4</v>
          </cell>
          <cell r="S116">
            <v>171.4</v>
          </cell>
        </row>
        <row r="117">
          <cell r="J117">
            <v>4.5999999999999996</v>
          </cell>
          <cell r="S117">
            <v>222.6</v>
          </cell>
        </row>
        <row r="118">
          <cell r="J118">
            <v>0</v>
          </cell>
          <cell r="S118">
            <v>409.6</v>
          </cell>
        </row>
        <row r="119">
          <cell r="J119">
            <v>0</v>
          </cell>
          <cell r="S119">
            <v>532.20000000000005</v>
          </cell>
        </row>
        <row r="120">
          <cell r="J120">
            <v>0</v>
          </cell>
          <cell r="S120">
            <v>529.79999999999995</v>
          </cell>
        </row>
        <row r="121">
          <cell r="J121">
            <v>0</v>
          </cell>
          <cell r="S121">
            <v>535.20000000000005</v>
          </cell>
        </row>
        <row r="122">
          <cell r="J122">
            <v>0</v>
          </cell>
          <cell r="S122">
            <v>457.4</v>
          </cell>
        </row>
        <row r="123">
          <cell r="J123">
            <v>0.2</v>
          </cell>
          <cell r="S123">
            <v>440.3</v>
          </cell>
        </row>
        <row r="124">
          <cell r="J124">
            <v>3.7</v>
          </cell>
          <cell r="S124">
            <v>276.2</v>
          </cell>
        </row>
        <row r="125">
          <cell r="J125">
            <v>96.3</v>
          </cell>
          <cell r="S125">
            <v>73</v>
          </cell>
        </row>
        <row r="126">
          <cell r="J126">
            <v>74.8</v>
          </cell>
          <cell r="S126">
            <v>52.2</v>
          </cell>
        </row>
        <row r="127">
          <cell r="J127">
            <v>30.4</v>
          </cell>
          <cell r="S127">
            <v>97.5</v>
          </cell>
        </row>
        <row r="128">
          <cell r="J128">
            <v>39.1</v>
          </cell>
          <cell r="S128">
            <v>138.30000000000001</v>
          </cell>
        </row>
        <row r="129">
          <cell r="J129">
            <v>6.8</v>
          </cell>
          <cell r="S129">
            <v>187.2</v>
          </cell>
        </row>
        <row r="130">
          <cell r="J130">
            <v>0.1</v>
          </cell>
          <cell r="S130">
            <v>386.1</v>
          </cell>
        </row>
        <row r="131">
          <cell r="J131">
            <v>0</v>
          </cell>
          <cell r="S131">
            <v>498.9</v>
          </cell>
        </row>
        <row r="132">
          <cell r="J132">
            <v>0</v>
          </cell>
          <cell r="S132">
            <v>546</v>
          </cell>
        </row>
        <row r="133">
          <cell r="J133">
            <v>0</v>
          </cell>
          <cell r="S133">
            <v>551.9</v>
          </cell>
        </row>
        <row r="134">
          <cell r="J134">
            <v>0</v>
          </cell>
          <cell r="S134">
            <v>505.1</v>
          </cell>
        </row>
        <row r="135">
          <cell r="J135">
            <v>1.5</v>
          </cell>
          <cell r="S135">
            <v>370.6</v>
          </cell>
        </row>
        <row r="136">
          <cell r="J136">
            <v>1.6</v>
          </cell>
          <cell r="S136">
            <v>316.3</v>
          </cell>
        </row>
        <row r="137">
          <cell r="J137">
            <v>13.3</v>
          </cell>
          <cell r="S137">
            <v>118.3</v>
          </cell>
        </row>
        <row r="138">
          <cell r="J138">
            <v>80.099999999999994</v>
          </cell>
          <cell r="S138">
            <v>48.1</v>
          </cell>
        </row>
        <row r="139">
          <cell r="J139">
            <v>31.8</v>
          </cell>
          <cell r="S139">
            <v>65.3</v>
          </cell>
        </row>
        <row r="140">
          <cell r="J140">
            <v>15</v>
          </cell>
          <cell r="S140">
            <v>115</v>
          </cell>
        </row>
        <row r="141">
          <cell r="J141">
            <v>23.6</v>
          </cell>
          <cell r="S141">
            <v>149.1</v>
          </cell>
        </row>
        <row r="142">
          <cell r="J142">
            <v>0.1</v>
          </cell>
          <cell r="S142">
            <v>379</v>
          </cell>
        </row>
        <row r="143">
          <cell r="J143">
            <v>0</v>
          </cell>
          <cell r="S143">
            <v>520</v>
          </cell>
        </row>
        <row r="144">
          <cell r="J144">
            <v>0</v>
          </cell>
          <cell r="S144">
            <v>568.9</v>
          </cell>
        </row>
        <row r="145">
          <cell r="J145">
            <v>0</v>
          </cell>
          <cell r="S145">
            <v>585.4</v>
          </cell>
        </row>
        <row r="146">
          <cell r="J146">
            <v>0</v>
          </cell>
          <cell r="S146">
            <v>493.4</v>
          </cell>
        </row>
        <row r="147">
          <cell r="J147">
            <v>5.0999999999999996</v>
          </cell>
          <cell r="S147">
            <v>213.8</v>
          </cell>
        </row>
        <row r="148">
          <cell r="J148">
            <v>16.5</v>
          </cell>
          <cell r="S148">
            <v>154.4</v>
          </cell>
        </row>
        <row r="149">
          <cell r="J149">
            <v>41.8</v>
          </cell>
          <cell r="S149">
            <v>91.9</v>
          </cell>
        </row>
        <row r="150">
          <cell r="J150">
            <v>95.4</v>
          </cell>
          <cell r="S150">
            <v>38.200000000000003</v>
          </cell>
        </row>
        <row r="151">
          <cell r="J151">
            <v>73.099999999999994</v>
          </cell>
          <cell r="S151">
            <v>52.3</v>
          </cell>
        </row>
        <row r="152">
          <cell r="J152">
            <v>29</v>
          </cell>
          <cell r="S152">
            <v>113.4</v>
          </cell>
        </row>
        <row r="153">
          <cell r="J153">
            <v>4.9000000000000004</v>
          </cell>
          <cell r="S153">
            <v>215.7</v>
          </cell>
        </row>
        <row r="154">
          <cell r="J154">
            <v>0.5</v>
          </cell>
          <cell r="S154">
            <v>318.60000000000002</v>
          </cell>
        </row>
        <row r="155">
          <cell r="J155">
            <v>0</v>
          </cell>
          <cell r="S155">
            <v>464.1</v>
          </cell>
        </row>
        <row r="156">
          <cell r="J156">
            <v>0</v>
          </cell>
          <cell r="S156">
            <v>518.5</v>
          </cell>
        </row>
        <row r="157">
          <cell r="J157">
            <v>0</v>
          </cell>
          <cell r="S157">
            <v>554</v>
          </cell>
        </row>
        <row r="158">
          <cell r="J158">
            <v>0</v>
          </cell>
          <cell r="S158">
            <v>508.8</v>
          </cell>
        </row>
        <row r="159">
          <cell r="J159">
            <v>2.9</v>
          </cell>
          <cell r="S159">
            <v>265.89999999999998</v>
          </cell>
        </row>
        <row r="160">
          <cell r="J160">
            <v>6.7</v>
          </cell>
          <cell r="S160">
            <v>195.8</v>
          </cell>
        </row>
        <row r="161">
          <cell r="J161">
            <v>57.2</v>
          </cell>
          <cell r="S161">
            <v>81.8</v>
          </cell>
        </row>
        <row r="162">
          <cell r="J162">
            <v>13.7</v>
          </cell>
          <cell r="S162">
            <v>137.6</v>
          </cell>
        </row>
        <row r="163">
          <cell r="J163">
            <v>57</v>
          </cell>
          <cell r="S163">
            <v>119.3</v>
          </cell>
        </row>
        <row r="164">
          <cell r="J164">
            <v>19.899999999999999</v>
          </cell>
          <cell r="S164">
            <v>205.3</v>
          </cell>
        </row>
        <row r="165">
          <cell r="J165">
            <v>4.3</v>
          </cell>
          <cell r="S165">
            <v>240.8</v>
          </cell>
        </row>
        <row r="166">
          <cell r="J166">
            <v>0.7</v>
          </cell>
          <cell r="S166">
            <v>404.1</v>
          </cell>
        </row>
        <row r="167">
          <cell r="J167">
            <v>0</v>
          </cell>
          <cell r="S167">
            <v>503.7</v>
          </cell>
        </row>
        <row r="168">
          <cell r="J168">
            <v>0</v>
          </cell>
          <cell r="S168">
            <v>567.70000000000005</v>
          </cell>
        </row>
        <row r="169">
          <cell r="J169">
            <v>0</v>
          </cell>
          <cell r="S169">
            <v>566.6</v>
          </cell>
        </row>
        <row r="170">
          <cell r="J170">
            <v>0</v>
          </cell>
          <cell r="S170">
            <v>506.8</v>
          </cell>
        </row>
        <row r="171">
          <cell r="J171">
            <v>7.9</v>
          </cell>
          <cell r="S171">
            <v>328.7</v>
          </cell>
        </row>
        <row r="172">
          <cell r="J172">
            <v>14.3</v>
          </cell>
          <cell r="S172">
            <v>163.5</v>
          </cell>
        </row>
        <row r="173">
          <cell r="J173">
            <v>149.4</v>
          </cell>
          <cell r="S173">
            <v>32</v>
          </cell>
        </row>
        <row r="174">
          <cell r="J174">
            <v>30.2</v>
          </cell>
          <cell r="S174">
            <v>112.4</v>
          </cell>
        </row>
        <row r="175">
          <cell r="J175">
            <v>9</v>
          </cell>
          <cell r="S175">
            <v>149.19999999999999</v>
          </cell>
        </row>
        <row r="176">
          <cell r="J176">
            <v>7.1</v>
          </cell>
          <cell r="S176">
            <v>173.9</v>
          </cell>
        </row>
        <row r="177">
          <cell r="J177">
            <v>3.8</v>
          </cell>
          <cell r="S177">
            <v>220.3</v>
          </cell>
        </row>
        <row r="178">
          <cell r="J178">
            <v>0.1</v>
          </cell>
          <cell r="S178">
            <v>438.2</v>
          </cell>
        </row>
        <row r="179">
          <cell r="J179">
            <v>0</v>
          </cell>
          <cell r="S179">
            <v>501.6</v>
          </cell>
        </row>
        <row r="180">
          <cell r="J180">
            <v>0</v>
          </cell>
          <cell r="S180">
            <v>539.70000000000005</v>
          </cell>
        </row>
        <row r="181">
          <cell r="J181">
            <v>0</v>
          </cell>
          <cell r="S181">
            <v>552.5</v>
          </cell>
        </row>
        <row r="182">
          <cell r="J182">
            <v>0.1</v>
          </cell>
          <cell r="S182">
            <v>494.3</v>
          </cell>
        </row>
        <row r="183">
          <cell r="J183">
            <v>3.4</v>
          </cell>
          <cell r="S183">
            <v>370.9</v>
          </cell>
        </row>
        <row r="184">
          <cell r="J184">
            <v>8.8000000000000007</v>
          </cell>
          <cell r="S184">
            <v>158.69999999999999</v>
          </cell>
        </row>
        <row r="185">
          <cell r="J185">
            <v>28</v>
          </cell>
          <cell r="S185">
            <v>132.4</v>
          </cell>
        </row>
        <row r="186">
          <cell r="J186">
            <v>27.6</v>
          </cell>
          <cell r="S186">
            <v>121.3</v>
          </cell>
        </row>
        <row r="187">
          <cell r="J187">
            <v>32.700000000000003</v>
          </cell>
          <cell r="S187">
            <v>84.8</v>
          </cell>
        </row>
        <row r="188">
          <cell r="J188">
            <v>13.5</v>
          </cell>
          <cell r="S188">
            <v>156.1</v>
          </cell>
        </row>
        <row r="189">
          <cell r="J189">
            <v>1.2</v>
          </cell>
          <cell r="S189">
            <v>324.89999999999998</v>
          </cell>
        </row>
        <row r="190">
          <cell r="J190">
            <v>0</v>
          </cell>
          <cell r="S190">
            <v>460.8</v>
          </cell>
        </row>
        <row r="191">
          <cell r="J191">
            <v>0</v>
          </cell>
          <cell r="S191">
            <v>489.2</v>
          </cell>
        </row>
        <row r="192">
          <cell r="J192">
            <v>0</v>
          </cell>
          <cell r="S192">
            <v>548.5</v>
          </cell>
        </row>
        <row r="193">
          <cell r="J193">
            <v>0</v>
          </cell>
          <cell r="S193">
            <v>562</v>
          </cell>
        </row>
        <row r="194">
          <cell r="J194">
            <v>0</v>
          </cell>
          <cell r="S194">
            <v>501.6</v>
          </cell>
        </row>
        <row r="195">
          <cell r="J195">
            <v>1.7</v>
          </cell>
          <cell r="S195">
            <v>319.7</v>
          </cell>
        </row>
        <row r="196">
          <cell r="J196">
            <v>30.9</v>
          </cell>
          <cell r="S196">
            <v>123.1</v>
          </cell>
        </row>
        <row r="197">
          <cell r="J197">
            <v>27.7</v>
          </cell>
          <cell r="S197">
            <v>111.6</v>
          </cell>
        </row>
        <row r="198">
          <cell r="J198">
            <v>68.099999999999994</v>
          </cell>
          <cell r="S198">
            <v>38.200000000000003</v>
          </cell>
        </row>
        <row r="199">
          <cell r="J199">
            <v>26.2</v>
          </cell>
          <cell r="S199">
            <v>79.7</v>
          </cell>
        </row>
        <row r="200">
          <cell r="J200">
            <v>18.600000000000001</v>
          </cell>
          <cell r="S200">
            <v>114.2</v>
          </cell>
        </row>
        <row r="201">
          <cell r="J201">
            <v>7</v>
          </cell>
          <cell r="S201">
            <v>177.8</v>
          </cell>
        </row>
        <row r="202">
          <cell r="J202">
            <v>1.9</v>
          </cell>
          <cell r="S202">
            <v>309.5</v>
          </cell>
        </row>
        <row r="203">
          <cell r="J203">
            <v>0</v>
          </cell>
          <cell r="S203">
            <v>479.4</v>
          </cell>
        </row>
        <row r="204">
          <cell r="J204">
            <v>0</v>
          </cell>
          <cell r="S204">
            <v>588.5</v>
          </cell>
        </row>
        <row r="205">
          <cell r="J205">
            <v>0</v>
          </cell>
          <cell r="S205">
            <v>525.4</v>
          </cell>
        </row>
        <row r="206">
          <cell r="J206">
            <v>0</v>
          </cell>
          <cell r="S206">
            <v>489.6</v>
          </cell>
        </row>
        <row r="207">
          <cell r="J207">
            <v>1.4</v>
          </cell>
          <cell r="S207">
            <v>249.7</v>
          </cell>
        </row>
        <row r="208">
          <cell r="J208">
            <v>15.2</v>
          </cell>
          <cell r="S208">
            <v>201.3</v>
          </cell>
        </row>
        <row r="209">
          <cell r="J209">
            <v>30.3</v>
          </cell>
          <cell r="S209">
            <v>81.2</v>
          </cell>
        </row>
        <row r="210">
          <cell r="J210">
            <v>20.8</v>
          </cell>
          <cell r="S210">
            <v>121.2</v>
          </cell>
        </row>
        <row r="211">
          <cell r="J211">
            <v>40.299999999999997</v>
          </cell>
          <cell r="S211">
            <v>29.8</v>
          </cell>
        </row>
        <row r="212">
          <cell r="J212">
            <v>33.4</v>
          </cell>
          <cell r="S212">
            <v>94</v>
          </cell>
        </row>
        <row r="213">
          <cell r="J213">
            <v>6.6</v>
          </cell>
          <cell r="S213">
            <v>138.30000000000001</v>
          </cell>
        </row>
        <row r="214">
          <cell r="J214">
            <v>0.2</v>
          </cell>
          <cell r="S214">
            <v>325.3</v>
          </cell>
        </row>
        <row r="215">
          <cell r="J215">
            <v>0</v>
          </cell>
          <cell r="S215">
            <v>497.9</v>
          </cell>
        </row>
        <row r="216">
          <cell r="J216">
            <v>0</v>
          </cell>
          <cell r="S216">
            <v>575.70000000000005</v>
          </cell>
        </row>
        <row r="217">
          <cell r="J217">
            <v>0</v>
          </cell>
          <cell r="S217">
            <v>564.20000000000005</v>
          </cell>
        </row>
        <row r="218">
          <cell r="J218">
            <v>0.1</v>
          </cell>
          <cell r="S218">
            <v>490.5</v>
          </cell>
        </row>
        <row r="219">
          <cell r="J219">
            <v>2.9</v>
          </cell>
          <cell r="S219">
            <v>325</v>
          </cell>
        </row>
        <row r="220">
          <cell r="J220">
            <v>18.100000000000001</v>
          </cell>
          <cell r="S220">
            <v>155.6</v>
          </cell>
        </row>
        <row r="221">
          <cell r="J221">
            <v>74.7</v>
          </cell>
          <cell r="S221">
            <v>40.200000000000003</v>
          </cell>
        </row>
        <row r="222">
          <cell r="J222">
            <v>63.2</v>
          </cell>
          <cell r="S222">
            <v>47</v>
          </cell>
        </row>
        <row r="223">
          <cell r="J223">
            <v>25.7</v>
          </cell>
          <cell r="S223">
            <v>112.9</v>
          </cell>
        </row>
        <row r="224">
          <cell r="J224">
            <v>15</v>
          </cell>
          <cell r="S224">
            <v>159.1</v>
          </cell>
        </row>
        <row r="225">
          <cell r="J225">
            <v>2.2999999999999998</v>
          </cell>
          <cell r="S225">
            <v>290.5</v>
          </cell>
        </row>
        <row r="226">
          <cell r="J226">
            <v>0.2</v>
          </cell>
          <cell r="S226">
            <v>388.5</v>
          </cell>
        </row>
        <row r="227">
          <cell r="J227">
            <v>0</v>
          </cell>
          <cell r="S227">
            <v>506.3</v>
          </cell>
        </row>
        <row r="228">
          <cell r="J228">
            <v>0</v>
          </cell>
          <cell r="S228">
            <v>520.5</v>
          </cell>
        </row>
        <row r="229">
          <cell r="J229">
            <v>0</v>
          </cell>
          <cell r="S229">
            <v>496.8</v>
          </cell>
        </row>
        <row r="230">
          <cell r="J230">
            <v>0</v>
          </cell>
          <cell r="S230">
            <v>425.2</v>
          </cell>
        </row>
        <row r="231">
          <cell r="J231">
            <v>0.2</v>
          </cell>
          <cell r="S231">
            <v>331.4</v>
          </cell>
        </row>
        <row r="232">
          <cell r="J232">
            <v>3.1</v>
          </cell>
          <cell r="S232">
            <v>220.1</v>
          </cell>
        </row>
        <row r="233">
          <cell r="J233">
            <v>19.600000000000001</v>
          </cell>
          <cell r="S233">
            <v>91.3</v>
          </cell>
        </row>
        <row r="234">
          <cell r="J234">
            <v>67.2</v>
          </cell>
          <cell r="S234">
            <v>31</v>
          </cell>
        </row>
        <row r="235">
          <cell r="J235">
            <v>61</v>
          </cell>
          <cell r="S235">
            <v>65.099999999999994</v>
          </cell>
        </row>
        <row r="236">
          <cell r="J236">
            <v>7.1</v>
          </cell>
          <cell r="S236">
            <v>147.30000000000001</v>
          </cell>
        </row>
        <row r="237">
          <cell r="J237">
            <v>2.1</v>
          </cell>
          <cell r="S237">
            <v>241.9</v>
          </cell>
        </row>
        <row r="238">
          <cell r="J238">
            <v>0.1</v>
          </cell>
          <cell r="S238">
            <v>476.6</v>
          </cell>
        </row>
        <row r="239">
          <cell r="J239">
            <v>0</v>
          </cell>
          <cell r="S239">
            <v>447.9</v>
          </cell>
        </row>
        <row r="240">
          <cell r="J240">
            <v>0</v>
          </cell>
          <cell r="S240">
            <v>540.4</v>
          </cell>
        </row>
        <row r="241">
          <cell r="J241">
            <v>0</v>
          </cell>
          <cell r="S241">
            <v>546.4</v>
          </cell>
        </row>
        <row r="242">
          <cell r="J242">
            <v>0</v>
          </cell>
          <cell r="S242">
            <v>486.4</v>
          </cell>
        </row>
        <row r="243">
          <cell r="J243">
            <v>1.3</v>
          </cell>
          <cell r="S243">
            <v>368.7</v>
          </cell>
        </row>
        <row r="244">
          <cell r="J244">
            <v>30.1</v>
          </cell>
          <cell r="S244">
            <v>110</v>
          </cell>
        </row>
        <row r="245">
          <cell r="J245">
            <v>93.3</v>
          </cell>
          <cell r="S245">
            <v>69.599999999999994</v>
          </cell>
        </row>
        <row r="246">
          <cell r="J246">
            <v>90.6</v>
          </cell>
          <cell r="S246">
            <v>48</v>
          </cell>
        </row>
        <row r="247">
          <cell r="J247">
            <v>86</v>
          </cell>
          <cell r="S247">
            <v>74.2</v>
          </cell>
        </row>
        <row r="248">
          <cell r="J248">
            <v>60</v>
          </cell>
          <cell r="S248">
            <v>91.7</v>
          </cell>
        </row>
        <row r="249">
          <cell r="J249">
            <v>7.3</v>
          </cell>
          <cell r="S249">
            <v>201.1</v>
          </cell>
        </row>
        <row r="250">
          <cell r="J250">
            <v>0.2</v>
          </cell>
          <cell r="S250">
            <v>432.5</v>
          </cell>
        </row>
        <row r="251">
          <cell r="J251">
            <v>0</v>
          </cell>
          <cell r="S251">
            <v>465.9</v>
          </cell>
        </row>
        <row r="252">
          <cell r="J252">
            <v>0</v>
          </cell>
          <cell r="S252">
            <v>556.1</v>
          </cell>
        </row>
        <row r="253">
          <cell r="J253">
            <v>0</v>
          </cell>
          <cell r="S253">
            <v>522.70000000000005</v>
          </cell>
        </row>
        <row r="254">
          <cell r="J254">
            <v>0</v>
          </cell>
          <cell r="S254">
            <v>474.8</v>
          </cell>
        </row>
        <row r="255">
          <cell r="J255">
            <v>2.6</v>
          </cell>
          <cell r="S255">
            <v>304.10000000000002</v>
          </cell>
        </row>
        <row r="256">
          <cell r="J256">
            <v>13.1</v>
          </cell>
          <cell r="S256">
            <v>135.30000000000001</v>
          </cell>
        </row>
        <row r="257">
          <cell r="J257">
            <v>51.4</v>
          </cell>
          <cell r="S257">
            <v>72.400000000000006</v>
          </cell>
        </row>
        <row r="258">
          <cell r="J258">
            <v>63.3</v>
          </cell>
          <cell r="S258">
            <v>73.5</v>
          </cell>
        </row>
        <row r="259">
          <cell r="J259">
            <v>14.7</v>
          </cell>
          <cell r="S259">
            <v>128.6</v>
          </cell>
        </row>
        <row r="260">
          <cell r="J260">
            <v>2.2999999999999998</v>
          </cell>
          <cell r="S260">
            <v>240.3</v>
          </cell>
        </row>
        <row r="261">
          <cell r="J261">
            <v>3.8</v>
          </cell>
          <cell r="S261">
            <v>183.4</v>
          </cell>
        </row>
        <row r="262">
          <cell r="J262">
            <v>0.5</v>
          </cell>
          <cell r="S262">
            <v>357.1</v>
          </cell>
        </row>
        <row r="263">
          <cell r="J263">
            <v>0</v>
          </cell>
          <cell r="S263">
            <v>457.8</v>
          </cell>
        </row>
        <row r="264">
          <cell r="J264">
            <v>0</v>
          </cell>
          <cell r="S264">
            <v>543.6</v>
          </cell>
        </row>
        <row r="265">
          <cell r="J265">
            <v>0</v>
          </cell>
          <cell r="S265">
            <v>551.70000000000005</v>
          </cell>
        </row>
        <row r="266">
          <cell r="J266">
            <v>0</v>
          </cell>
          <cell r="S266">
            <v>483</v>
          </cell>
        </row>
        <row r="267">
          <cell r="J267">
            <v>2.4</v>
          </cell>
          <cell r="S267">
            <v>300.89999999999998</v>
          </cell>
        </row>
        <row r="268">
          <cell r="J268">
            <v>15.3</v>
          </cell>
          <cell r="S268">
            <v>108.6</v>
          </cell>
        </row>
        <row r="269">
          <cell r="J269">
            <v>57.5</v>
          </cell>
          <cell r="S269">
            <v>66.900000000000006</v>
          </cell>
        </row>
        <row r="270">
          <cell r="J270">
            <v>36.200000000000003</v>
          </cell>
          <cell r="S270">
            <v>64.400000000000006</v>
          </cell>
        </row>
        <row r="271">
          <cell r="J271">
            <v>33.9</v>
          </cell>
          <cell r="S271">
            <v>54.5</v>
          </cell>
        </row>
        <row r="272">
          <cell r="J272">
            <v>41.1</v>
          </cell>
          <cell r="S272">
            <v>106.7</v>
          </cell>
        </row>
        <row r="273">
          <cell r="J273">
            <v>3.6</v>
          </cell>
          <cell r="S273">
            <v>220.5</v>
          </cell>
        </row>
        <row r="274">
          <cell r="J274">
            <v>0</v>
          </cell>
          <cell r="S274">
            <v>416.6</v>
          </cell>
        </row>
        <row r="275">
          <cell r="J275">
            <v>0</v>
          </cell>
          <cell r="S275">
            <v>598.9</v>
          </cell>
        </row>
        <row r="276">
          <cell r="J276">
            <v>0</v>
          </cell>
          <cell r="S276">
            <v>588.4</v>
          </cell>
        </row>
        <row r="277">
          <cell r="J277">
            <v>0</v>
          </cell>
          <cell r="S277">
            <v>579.79999999999995</v>
          </cell>
        </row>
        <row r="278">
          <cell r="J278">
            <v>0</v>
          </cell>
          <cell r="S278">
            <v>483.7</v>
          </cell>
        </row>
        <row r="279">
          <cell r="J279">
            <v>0.5</v>
          </cell>
          <cell r="S279">
            <v>385.8</v>
          </cell>
        </row>
        <row r="280">
          <cell r="J280">
            <v>3.2</v>
          </cell>
          <cell r="S280">
            <v>225.8</v>
          </cell>
        </row>
        <row r="281">
          <cell r="J281">
            <v>20</v>
          </cell>
          <cell r="S281">
            <v>152.19999999999999</v>
          </cell>
        </row>
        <row r="282">
          <cell r="J282">
            <v>56.9</v>
          </cell>
          <cell r="S282">
            <v>100</v>
          </cell>
        </row>
        <row r="283">
          <cell r="J283">
            <v>36.700000000000003</v>
          </cell>
          <cell r="S283">
            <v>91.2</v>
          </cell>
        </row>
        <row r="284">
          <cell r="J284">
            <v>23.1</v>
          </cell>
          <cell r="S284">
            <v>102.1</v>
          </cell>
        </row>
        <row r="285">
          <cell r="J285">
            <v>2.6</v>
          </cell>
          <cell r="S285">
            <v>301.7</v>
          </cell>
        </row>
        <row r="286">
          <cell r="J286">
            <v>0.4</v>
          </cell>
          <cell r="S286">
            <v>362</v>
          </cell>
        </row>
        <row r="287">
          <cell r="J287">
            <v>0</v>
          </cell>
          <cell r="S287">
            <v>466.2</v>
          </cell>
        </row>
        <row r="288">
          <cell r="J288">
            <v>0</v>
          </cell>
          <cell r="S288">
            <v>564.29999999999995</v>
          </cell>
        </row>
        <row r="289">
          <cell r="J289">
            <v>0</v>
          </cell>
          <cell r="S289">
            <v>568.6</v>
          </cell>
        </row>
        <row r="290">
          <cell r="J290">
            <v>0</v>
          </cell>
          <cell r="S290">
            <v>453.6</v>
          </cell>
        </row>
        <row r="291">
          <cell r="J291">
            <v>2.6</v>
          </cell>
          <cell r="S291">
            <v>326.10000000000002</v>
          </cell>
        </row>
        <row r="292">
          <cell r="J292">
            <v>10</v>
          </cell>
          <cell r="S292">
            <v>137</v>
          </cell>
        </row>
        <row r="293">
          <cell r="J293">
            <v>49.5</v>
          </cell>
          <cell r="S293">
            <v>61.8</v>
          </cell>
        </row>
        <row r="294">
          <cell r="J294">
            <v>67.3</v>
          </cell>
          <cell r="S294">
            <v>62.8</v>
          </cell>
        </row>
        <row r="295">
          <cell r="J295">
            <v>37</v>
          </cell>
          <cell r="S295">
            <v>76.599999999999994</v>
          </cell>
        </row>
        <row r="296">
          <cell r="J296">
            <v>4.8</v>
          </cell>
          <cell r="S296">
            <v>182.4</v>
          </cell>
        </row>
        <row r="297">
          <cell r="J297">
            <v>7.1</v>
          </cell>
          <cell r="S297">
            <v>200.5</v>
          </cell>
        </row>
        <row r="298">
          <cell r="J298">
            <v>0.1</v>
          </cell>
          <cell r="S298">
            <v>428.7</v>
          </cell>
        </row>
        <row r="299">
          <cell r="J299">
            <v>0</v>
          </cell>
          <cell r="S299">
            <v>498.5</v>
          </cell>
        </row>
        <row r="300">
          <cell r="J300">
            <v>0</v>
          </cell>
          <cell r="S300">
            <v>545.20000000000005</v>
          </cell>
        </row>
        <row r="301">
          <cell r="J301">
            <v>0</v>
          </cell>
          <cell r="S301">
            <v>551.4</v>
          </cell>
        </row>
        <row r="302">
          <cell r="J302">
            <v>0</v>
          </cell>
          <cell r="S302">
            <v>491.6</v>
          </cell>
        </row>
        <row r="303">
          <cell r="J303">
            <v>2.9</v>
          </cell>
          <cell r="S303">
            <v>268.8</v>
          </cell>
        </row>
        <row r="304">
          <cell r="J304">
            <v>28</v>
          </cell>
          <cell r="S304">
            <v>125.5</v>
          </cell>
        </row>
        <row r="305">
          <cell r="J305">
            <v>101.4</v>
          </cell>
          <cell r="S305">
            <v>69.5</v>
          </cell>
        </row>
        <row r="306">
          <cell r="J306">
            <v>135.6</v>
          </cell>
          <cell r="S306">
            <v>37.1</v>
          </cell>
        </row>
        <row r="307">
          <cell r="J307">
            <v>14.5</v>
          </cell>
          <cell r="S307">
            <v>131.4</v>
          </cell>
        </row>
        <row r="308">
          <cell r="J308">
            <v>17.399999999999999</v>
          </cell>
          <cell r="S308">
            <v>114.6</v>
          </cell>
        </row>
        <row r="309">
          <cell r="J309">
            <v>6.1</v>
          </cell>
          <cell r="S309">
            <v>232.2</v>
          </cell>
        </row>
        <row r="310">
          <cell r="J310">
            <v>0.1</v>
          </cell>
          <cell r="S310">
            <v>358.3</v>
          </cell>
        </row>
        <row r="311">
          <cell r="J311">
            <v>0</v>
          </cell>
          <cell r="S311">
            <v>484.7</v>
          </cell>
        </row>
        <row r="312">
          <cell r="J312">
            <v>0</v>
          </cell>
          <cell r="S312">
            <v>520.5</v>
          </cell>
        </row>
        <row r="313">
          <cell r="J313">
            <v>0</v>
          </cell>
          <cell r="S313">
            <v>543.6</v>
          </cell>
        </row>
        <row r="314">
          <cell r="J314">
            <v>0.1</v>
          </cell>
          <cell r="S314">
            <v>408.5</v>
          </cell>
        </row>
        <row r="315">
          <cell r="J315">
            <v>4.5999999999999996</v>
          </cell>
          <cell r="S315">
            <v>294</v>
          </cell>
        </row>
        <row r="316">
          <cell r="J316">
            <v>3.7</v>
          </cell>
          <cell r="S316">
            <v>169</v>
          </cell>
        </row>
        <row r="317">
          <cell r="J317">
            <v>29.9</v>
          </cell>
          <cell r="S317">
            <v>155.69999999999999</v>
          </cell>
        </row>
        <row r="318">
          <cell r="J318">
            <v>76.7</v>
          </cell>
          <cell r="S318">
            <v>96.8</v>
          </cell>
        </row>
        <row r="319">
          <cell r="J319">
            <v>39.9</v>
          </cell>
          <cell r="S319">
            <v>51.4</v>
          </cell>
        </row>
        <row r="320">
          <cell r="J320">
            <v>21.4</v>
          </cell>
          <cell r="S320">
            <v>195</v>
          </cell>
        </row>
        <row r="321">
          <cell r="J321">
            <v>0.6</v>
          </cell>
          <cell r="S321">
            <v>314</v>
          </cell>
        </row>
        <row r="322">
          <cell r="J322">
            <v>0.2</v>
          </cell>
          <cell r="S322">
            <v>414.9</v>
          </cell>
        </row>
        <row r="323">
          <cell r="J323">
            <v>0</v>
          </cell>
          <cell r="S323">
            <v>459.8</v>
          </cell>
        </row>
        <row r="324">
          <cell r="J324">
            <v>0</v>
          </cell>
          <cell r="S324">
            <v>528.6</v>
          </cell>
        </row>
        <row r="325">
          <cell r="J325">
            <v>0</v>
          </cell>
          <cell r="S325">
            <v>519.6</v>
          </cell>
        </row>
        <row r="326">
          <cell r="J326">
            <v>0</v>
          </cell>
          <cell r="S326">
            <v>513.6</v>
          </cell>
        </row>
        <row r="327">
          <cell r="J327">
            <v>0.4</v>
          </cell>
          <cell r="S327">
            <v>409.3</v>
          </cell>
        </row>
        <row r="328">
          <cell r="J328">
            <v>28.7</v>
          </cell>
          <cell r="S328">
            <v>119.5</v>
          </cell>
        </row>
        <row r="329">
          <cell r="J329">
            <v>63.5</v>
          </cell>
          <cell r="S329">
            <v>39.6</v>
          </cell>
        </row>
        <row r="330">
          <cell r="J330">
            <v>140.9</v>
          </cell>
          <cell r="S330">
            <v>16</v>
          </cell>
        </row>
        <row r="331">
          <cell r="J331">
            <v>27.9</v>
          </cell>
          <cell r="S331">
            <v>70</v>
          </cell>
        </row>
        <row r="332">
          <cell r="J332">
            <v>4.5999999999999996</v>
          </cell>
          <cell r="S332">
            <v>220.7</v>
          </cell>
        </row>
        <row r="333">
          <cell r="J333">
            <v>5.7</v>
          </cell>
          <cell r="S333">
            <v>225.5</v>
          </cell>
        </row>
        <row r="334">
          <cell r="J334">
            <v>0</v>
          </cell>
          <cell r="S334">
            <v>447.9</v>
          </cell>
        </row>
        <row r="335">
          <cell r="J335">
            <v>0</v>
          </cell>
          <cell r="S335">
            <v>473.5</v>
          </cell>
        </row>
        <row r="336">
          <cell r="J336">
            <v>0</v>
          </cell>
          <cell r="S336">
            <v>539.4</v>
          </cell>
        </row>
        <row r="337">
          <cell r="J337">
            <v>0</v>
          </cell>
          <cell r="S337">
            <v>510.6</v>
          </cell>
        </row>
        <row r="338">
          <cell r="J338">
            <v>0</v>
          </cell>
          <cell r="S338">
            <v>453.7</v>
          </cell>
        </row>
        <row r="339">
          <cell r="J339">
            <v>0.3</v>
          </cell>
          <cell r="S339">
            <v>334.1</v>
          </cell>
        </row>
        <row r="340">
          <cell r="J340">
            <v>11.3</v>
          </cell>
          <cell r="S340">
            <v>216.5</v>
          </cell>
        </row>
        <row r="341">
          <cell r="J341">
            <v>66.2</v>
          </cell>
          <cell r="S341">
            <v>38.9</v>
          </cell>
        </row>
        <row r="342">
          <cell r="J342">
            <v>69.3</v>
          </cell>
          <cell r="S342">
            <v>43.4</v>
          </cell>
        </row>
        <row r="343">
          <cell r="J343">
            <v>42.2</v>
          </cell>
          <cell r="S343">
            <v>65.099999999999994</v>
          </cell>
        </row>
        <row r="344">
          <cell r="J344">
            <v>11.3</v>
          </cell>
          <cell r="S344">
            <v>136</v>
          </cell>
        </row>
        <row r="345">
          <cell r="J345">
            <v>6.9</v>
          </cell>
          <cell r="S345">
            <v>179.7</v>
          </cell>
        </row>
        <row r="346">
          <cell r="J346">
            <v>0.3</v>
          </cell>
          <cell r="S346">
            <v>393.4</v>
          </cell>
        </row>
        <row r="347">
          <cell r="J347">
            <v>0</v>
          </cell>
          <cell r="S347">
            <v>527.5</v>
          </cell>
        </row>
        <row r="348">
          <cell r="J348">
            <v>0</v>
          </cell>
          <cell r="S348">
            <v>544.29999999999995</v>
          </cell>
        </row>
        <row r="349">
          <cell r="J349">
            <v>0</v>
          </cell>
          <cell r="S349">
            <v>535.4</v>
          </cell>
        </row>
        <row r="350">
          <cell r="J350">
            <v>0</v>
          </cell>
          <cell r="S350">
            <v>482.1</v>
          </cell>
        </row>
        <row r="351">
          <cell r="J351">
            <v>0.4</v>
          </cell>
          <cell r="S351">
            <v>348.5</v>
          </cell>
        </row>
        <row r="352">
          <cell r="J352">
            <v>5.7</v>
          </cell>
          <cell r="S352">
            <v>177.8</v>
          </cell>
        </row>
        <row r="353">
          <cell r="J353">
            <v>65.8</v>
          </cell>
          <cell r="S353">
            <v>61.3</v>
          </cell>
        </row>
        <row r="354">
          <cell r="J354">
            <v>52.4</v>
          </cell>
          <cell r="S354">
            <v>74.400000000000006</v>
          </cell>
        </row>
        <row r="355">
          <cell r="J355">
            <v>28.8</v>
          </cell>
          <cell r="S355">
            <v>68.8</v>
          </cell>
        </row>
        <row r="356">
          <cell r="J356">
            <v>30.4</v>
          </cell>
          <cell r="S356">
            <v>116.7</v>
          </cell>
        </row>
        <row r="357">
          <cell r="J357">
            <v>5.0999999999999996</v>
          </cell>
          <cell r="S357">
            <v>162</v>
          </cell>
        </row>
        <row r="358">
          <cell r="J358">
            <v>0.1</v>
          </cell>
          <cell r="S358">
            <v>341.1</v>
          </cell>
        </row>
        <row r="359">
          <cell r="J359">
            <v>0</v>
          </cell>
          <cell r="S359">
            <v>461.8</v>
          </cell>
        </row>
        <row r="360">
          <cell r="J360">
            <v>0</v>
          </cell>
          <cell r="S360">
            <v>598.20000000000005</v>
          </cell>
        </row>
        <row r="361">
          <cell r="J361">
            <v>0</v>
          </cell>
          <cell r="S361">
            <v>611.79999999999995</v>
          </cell>
        </row>
        <row r="362">
          <cell r="J362">
            <v>0</v>
          </cell>
          <cell r="S362">
            <v>515.4</v>
          </cell>
        </row>
        <row r="363">
          <cell r="J363">
            <v>4.3</v>
          </cell>
          <cell r="S363">
            <v>351.2</v>
          </cell>
        </row>
        <row r="364">
          <cell r="J364">
            <v>7.2</v>
          </cell>
          <cell r="S364">
            <v>171.9</v>
          </cell>
        </row>
        <row r="365">
          <cell r="J365">
            <v>51.4</v>
          </cell>
          <cell r="S365">
            <v>28.6</v>
          </cell>
        </row>
        <row r="366">
          <cell r="J366">
            <v>39.200000000000003</v>
          </cell>
          <cell r="S366">
            <v>83.1</v>
          </cell>
        </row>
        <row r="367">
          <cell r="J367">
            <v>54.1</v>
          </cell>
          <cell r="S367">
            <v>60.1</v>
          </cell>
        </row>
        <row r="368">
          <cell r="J368">
            <v>15.4</v>
          </cell>
          <cell r="S368">
            <v>147.6</v>
          </cell>
        </row>
        <row r="369">
          <cell r="J369">
            <v>0.6</v>
          </cell>
          <cell r="S369">
            <v>281</v>
          </cell>
        </row>
        <row r="370">
          <cell r="J370">
            <v>0.3</v>
          </cell>
          <cell r="S370">
            <v>382.4</v>
          </cell>
        </row>
        <row r="371">
          <cell r="J371">
            <v>0</v>
          </cell>
          <cell r="S371">
            <v>484.2</v>
          </cell>
        </row>
        <row r="372">
          <cell r="J372">
            <v>0</v>
          </cell>
          <cell r="S372">
            <v>536.70000000000005</v>
          </cell>
        </row>
        <row r="373">
          <cell r="J373">
            <v>0</v>
          </cell>
          <cell r="S373">
            <v>564.79999999999995</v>
          </cell>
        </row>
        <row r="374">
          <cell r="J374">
            <v>0</v>
          </cell>
          <cell r="S374">
            <v>469.1</v>
          </cell>
        </row>
        <row r="375">
          <cell r="J375">
            <v>3.7</v>
          </cell>
          <cell r="S375">
            <v>308.89999999999998</v>
          </cell>
        </row>
        <row r="376">
          <cell r="J376">
            <v>23.4</v>
          </cell>
          <cell r="S376">
            <v>117.7</v>
          </cell>
        </row>
        <row r="377">
          <cell r="J377">
            <v>20.2</v>
          </cell>
          <cell r="S377">
            <v>128.80000000000001</v>
          </cell>
        </row>
        <row r="378">
          <cell r="J378">
            <v>38.299999999999997</v>
          </cell>
          <cell r="S378">
            <v>88.4</v>
          </cell>
        </row>
        <row r="379">
          <cell r="J379">
            <v>55.5</v>
          </cell>
          <cell r="S379">
            <v>47.8</v>
          </cell>
        </row>
        <row r="380">
          <cell r="J380">
            <v>12.5</v>
          </cell>
          <cell r="S380">
            <v>155.9</v>
          </cell>
        </row>
        <row r="381">
          <cell r="J381">
            <v>5.5</v>
          </cell>
          <cell r="S381">
            <v>193.1</v>
          </cell>
        </row>
        <row r="382">
          <cell r="J382">
            <v>0.1</v>
          </cell>
          <cell r="S382">
            <v>348.2</v>
          </cell>
        </row>
        <row r="383">
          <cell r="J383">
            <v>0</v>
          </cell>
          <cell r="S383">
            <v>471.2</v>
          </cell>
        </row>
        <row r="384">
          <cell r="J384">
            <v>0</v>
          </cell>
          <cell r="S384">
            <v>554.29999999999995</v>
          </cell>
        </row>
        <row r="385">
          <cell r="J385">
            <v>0</v>
          </cell>
          <cell r="S385">
            <v>599</v>
          </cell>
        </row>
        <row r="386">
          <cell r="J386">
            <v>0</v>
          </cell>
          <cell r="S386">
            <v>498.6</v>
          </cell>
        </row>
        <row r="387">
          <cell r="J387">
            <v>0.1</v>
          </cell>
          <cell r="S387">
            <v>408</v>
          </cell>
        </row>
        <row r="388">
          <cell r="J388">
            <v>13.6</v>
          </cell>
          <cell r="S388">
            <v>134.1</v>
          </cell>
        </row>
        <row r="389">
          <cell r="J389">
            <v>20.100000000000001</v>
          </cell>
          <cell r="S389">
            <v>144</v>
          </cell>
        </row>
        <row r="390">
          <cell r="J390">
            <v>62.8</v>
          </cell>
          <cell r="S390">
            <v>59</v>
          </cell>
        </row>
        <row r="391">
          <cell r="J391">
            <v>28</v>
          </cell>
          <cell r="S391">
            <v>105.8</v>
          </cell>
        </row>
        <row r="392">
          <cell r="J392">
            <v>13.7</v>
          </cell>
          <cell r="S392">
            <v>128</v>
          </cell>
        </row>
        <row r="393">
          <cell r="J393">
            <v>5</v>
          </cell>
          <cell r="S393">
            <v>226.8</v>
          </cell>
        </row>
        <row r="394">
          <cell r="J394">
            <v>0.1</v>
          </cell>
          <cell r="S394">
            <v>414.1</v>
          </cell>
        </row>
        <row r="395">
          <cell r="J395">
            <v>0</v>
          </cell>
          <cell r="S395">
            <v>501.7</v>
          </cell>
        </row>
        <row r="396">
          <cell r="J396">
            <v>0</v>
          </cell>
          <cell r="S396">
            <v>515.1</v>
          </cell>
        </row>
        <row r="397">
          <cell r="J397">
            <v>0</v>
          </cell>
          <cell r="S397">
            <v>521.9</v>
          </cell>
        </row>
        <row r="398">
          <cell r="J398">
            <v>0</v>
          </cell>
          <cell r="S398">
            <v>494.6</v>
          </cell>
        </row>
        <row r="399">
          <cell r="J399">
            <v>7.9</v>
          </cell>
          <cell r="S399">
            <v>309.39999999999998</v>
          </cell>
        </row>
        <row r="400">
          <cell r="J400">
            <v>34.9</v>
          </cell>
          <cell r="S400">
            <v>102.7</v>
          </cell>
        </row>
        <row r="401">
          <cell r="J401">
            <v>27.7</v>
          </cell>
          <cell r="S401">
            <v>93.3</v>
          </cell>
        </row>
        <row r="402">
          <cell r="J402">
            <v>78.5</v>
          </cell>
          <cell r="S402">
            <v>54.1</v>
          </cell>
        </row>
        <row r="403">
          <cell r="J403">
            <v>64.599999999999994</v>
          </cell>
          <cell r="S403">
            <v>49.7</v>
          </cell>
        </row>
        <row r="404">
          <cell r="J404">
            <v>19.8</v>
          </cell>
          <cell r="S404">
            <v>161.80000000000001</v>
          </cell>
        </row>
        <row r="405">
          <cell r="J405">
            <v>4</v>
          </cell>
          <cell r="S405">
            <v>236.6</v>
          </cell>
        </row>
        <row r="406">
          <cell r="J406">
            <v>0</v>
          </cell>
          <cell r="S406">
            <v>402.6</v>
          </cell>
        </row>
        <row r="407">
          <cell r="J407">
            <v>0</v>
          </cell>
          <cell r="S407">
            <v>521.6</v>
          </cell>
        </row>
        <row r="408">
          <cell r="J408">
            <v>0</v>
          </cell>
          <cell r="S408">
            <v>535.1</v>
          </cell>
        </row>
        <row r="409">
          <cell r="J409">
            <v>0</v>
          </cell>
          <cell r="S409">
            <v>557.6</v>
          </cell>
        </row>
        <row r="410">
          <cell r="J410">
            <v>0</v>
          </cell>
          <cell r="S410">
            <v>493.3</v>
          </cell>
        </row>
        <row r="411">
          <cell r="J411">
            <v>2.7</v>
          </cell>
          <cell r="S411">
            <v>401.3</v>
          </cell>
        </row>
        <row r="412">
          <cell r="J412">
            <v>9.3000000000000007</v>
          </cell>
          <cell r="S412">
            <v>156.5</v>
          </cell>
        </row>
        <row r="413">
          <cell r="J413">
            <v>39.799999999999997</v>
          </cell>
          <cell r="S413">
            <v>86.5</v>
          </cell>
        </row>
        <row r="414">
          <cell r="J414">
            <v>175.2</v>
          </cell>
          <cell r="S414">
            <v>29.3</v>
          </cell>
        </row>
        <row r="415">
          <cell r="J415">
            <v>112</v>
          </cell>
          <cell r="S415">
            <v>12.8</v>
          </cell>
        </row>
        <row r="416">
          <cell r="J416">
            <v>37.4</v>
          </cell>
          <cell r="S416">
            <v>37.799999999999997</v>
          </cell>
        </row>
        <row r="417">
          <cell r="J417">
            <v>1.1000000000000001</v>
          </cell>
          <cell r="S417">
            <v>212.7</v>
          </cell>
        </row>
        <row r="418">
          <cell r="J418">
            <v>0</v>
          </cell>
          <cell r="S418">
            <v>462.5</v>
          </cell>
        </row>
        <row r="419">
          <cell r="J419">
            <v>0</v>
          </cell>
          <cell r="S419">
            <v>576.29999999999995</v>
          </cell>
        </row>
        <row r="420">
          <cell r="J420">
            <v>0</v>
          </cell>
          <cell r="S420">
            <v>595.79999999999995</v>
          </cell>
        </row>
        <row r="421">
          <cell r="J421">
            <v>0</v>
          </cell>
          <cell r="S421">
            <v>589.1</v>
          </cell>
        </row>
        <row r="422">
          <cell r="J422">
            <v>0</v>
          </cell>
          <cell r="S422">
            <v>519</v>
          </cell>
        </row>
        <row r="423">
          <cell r="J423">
            <v>1.2</v>
          </cell>
          <cell r="S423">
            <v>326.8</v>
          </cell>
        </row>
        <row r="424">
          <cell r="J424">
            <v>13</v>
          </cell>
          <cell r="S424">
            <v>155.30000000000001</v>
          </cell>
        </row>
        <row r="425">
          <cell r="J425">
            <v>162.9</v>
          </cell>
          <cell r="S425">
            <v>11.1</v>
          </cell>
        </row>
        <row r="426">
          <cell r="J426">
            <v>78.8</v>
          </cell>
          <cell r="S426">
            <v>29.6</v>
          </cell>
        </row>
        <row r="427">
          <cell r="J427">
            <v>26.5</v>
          </cell>
          <cell r="S427">
            <v>104.3</v>
          </cell>
        </row>
        <row r="428">
          <cell r="J428">
            <v>8.6999999999999993</v>
          </cell>
          <cell r="S428">
            <v>163.5</v>
          </cell>
        </row>
        <row r="429">
          <cell r="J429">
            <v>1.5</v>
          </cell>
          <cell r="S429">
            <v>323.10000000000002</v>
          </cell>
        </row>
        <row r="430">
          <cell r="J430">
            <v>0.2</v>
          </cell>
          <cell r="S430">
            <v>415.4</v>
          </cell>
        </row>
        <row r="431">
          <cell r="J431">
            <v>0</v>
          </cell>
          <cell r="S431">
            <v>525.79999999999995</v>
          </cell>
        </row>
        <row r="432">
          <cell r="J432">
            <v>0</v>
          </cell>
          <cell r="S432">
            <v>569.9</v>
          </cell>
        </row>
        <row r="433">
          <cell r="J433">
            <v>0</v>
          </cell>
          <cell r="S433">
            <v>592.4</v>
          </cell>
        </row>
        <row r="434">
          <cell r="J434">
            <v>0</v>
          </cell>
          <cell r="S434">
            <v>489.2</v>
          </cell>
        </row>
        <row r="435">
          <cell r="J435">
            <v>3.4</v>
          </cell>
          <cell r="S435">
            <v>248.5</v>
          </cell>
        </row>
        <row r="436">
          <cell r="J436">
            <v>7.6</v>
          </cell>
          <cell r="S436">
            <v>148.9</v>
          </cell>
        </row>
        <row r="437">
          <cell r="J437">
            <v>19.600000000000001</v>
          </cell>
          <cell r="S437">
            <v>101.5</v>
          </cell>
        </row>
        <row r="438">
          <cell r="J438">
            <v>55.8</v>
          </cell>
          <cell r="S438">
            <v>63.5</v>
          </cell>
        </row>
        <row r="439">
          <cell r="J439">
            <v>24.1</v>
          </cell>
          <cell r="S439">
            <v>122.3</v>
          </cell>
        </row>
        <row r="440">
          <cell r="J440">
            <v>3</v>
          </cell>
          <cell r="S440">
            <v>245.9</v>
          </cell>
        </row>
        <row r="441">
          <cell r="J441">
            <v>1.4</v>
          </cell>
          <cell r="S441">
            <v>260.8</v>
          </cell>
        </row>
        <row r="442">
          <cell r="J442">
            <v>0</v>
          </cell>
          <cell r="S442">
            <v>434.4</v>
          </cell>
        </row>
        <row r="443">
          <cell r="J443">
            <v>0</v>
          </cell>
          <cell r="S443">
            <v>449.7</v>
          </cell>
        </row>
        <row r="444">
          <cell r="J444">
            <v>0</v>
          </cell>
          <cell r="S444">
            <v>556.79999999999995</v>
          </cell>
        </row>
        <row r="445">
          <cell r="J445">
            <v>0</v>
          </cell>
          <cell r="S445">
            <v>540.4</v>
          </cell>
        </row>
        <row r="446">
          <cell r="J446">
            <v>0</v>
          </cell>
          <cell r="S446">
            <v>479</v>
          </cell>
        </row>
        <row r="447">
          <cell r="J447">
            <v>3</v>
          </cell>
          <cell r="S447">
            <v>342.1</v>
          </cell>
        </row>
        <row r="448">
          <cell r="J448">
            <v>14.2</v>
          </cell>
          <cell r="S448">
            <v>82.9</v>
          </cell>
        </row>
        <row r="449">
          <cell r="J449">
            <v>32.9</v>
          </cell>
          <cell r="S449">
            <v>107.4</v>
          </cell>
        </row>
        <row r="450">
          <cell r="J450">
            <v>15.1</v>
          </cell>
          <cell r="S450">
            <v>120.3</v>
          </cell>
        </row>
        <row r="451">
          <cell r="J451">
            <v>33.200000000000003</v>
          </cell>
          <cell r="S451">
            <v>96.6</v>
          </cell>
        </row>
        <row r="452">
          <cell r="J452">
            <v>52.9</v>
          </cell>
          <cell r="S452">
            <v>63.1</v>
          </cell>
        </row>
        <row r="453">
          <cell r="J453">
            <v>0.8</v>
          </cell>
          <cell r="S453">
            <v>280.5</v>
          </cell>
        </row>
        <row r="454">
          <cell r="J454">
            <v>0.4</v>
          </cell>
          <cell r="S454">
            <v>348.4</v>
          </cell>
        </row>
        <row r="455">
          <cell r="J455">
            <v>0</v>
          </cell>
          <cell r="S455">
            <v>507.9</v>
          </cell>
        </row>
        <row r="456">
          <cell r="J456">
            <v>0</v>
          </cell>
          <cell r="S456">
            <v>525.5</v>
          </cell>
        </row>
        <row r="457">
          <cell r="J457">
            <v>0</v>
          </cell>
          <cell r="S457">
            <v>580.5</v>
          </cell>
        </row>
        <row r="458">
          <cell r="J458">
            <v>0</v>
          </cell>
          <cell r="S458">
            <v>486.8</v>
          </cell>
        </row>
        <row r="459">
          <cell r="J459">
            <v>1.1000000000000001</v>
          </cell>
          <cell r="S459">
            <v>367.4</v>
          </cell>
        </row>
        <row r="460">
          <cell r="J460">
            <v>11.3</v>
          </cell>
          <cell r="S460">
            <v>192.3</v>
          </cell>
        </row>
        <row r="461">
          <cell r="J461">
            <v>14.6</v>
          </cell>
          <cell r="S461">
            <v>142.6</v>
          </cell>
        </row>
      </sheetData>
      <sheetData sheetId="10">
        <row r="102">
          <cell r="J102">
            <v>279.3</v>
          </cell>
          <cell r="S102">
            <v>17.899999999999999</v>
          </cell>
        </row>
        <row r="103">
          <cell r="J103">
            <v>178.2</v>
          </cell>
          <cell r="S103">
            <v>21.9</v>
          </cell>
        </row>
        <row r="104">
          <cell r="J104">
            <v>121.5</v>
          </cell>
          <cell r="S104">
            <v>53.8</v>
          </cell>
        </row>
        <row r="105">
          <cell r="J105">
            <v>51.7</v>
          </cell>
          <cell r="S105">
            <v>94.2</v>
          </cell>
        </row>
        <row r="106">
          <cell r="J106">
            <v>8.8000000000000007</v>
          </cell>
          <cell r="S106">
            <v>229.3</v>
          </cell>
        </row>
        <row r="107">
          <cell r="J107">
            <v>3.9</v>
          </cell>
          <cell r="S107">
            <v>290.10000000000002</v>
          </cell>
        </row>
        <row r="108">
          <cell r="J108">
            <v>0</v>
          </cell>
          <cell r="S108">
            <v>343.4</v>
          </cell>
        </row>
        <row r="109">
          <cell r="J109">
            <v>0</v>
          </cell>
          <cell r="S109">
            <v>386.8</v>
          </cell>
        </row>
        <row r="110">
          <cell r="J110">
            <v>0.1</v>
          </cell>
          <cell r="S110">
            <v>294.3</v>
          </cell>
        </row>
        <row r="111">
          <cell r="J111">
            <v>6.3</v>
          </cell>
          <cell r="S111">
            <v>210.4</v>
          </cell>
        </row>
        <row r="112">
          <cell r="J112">
            <v>114.4</v>
          </cell>
          <cell r="S112">
            <v>60.3</v>
          </cell>
        </row>
        <row r="113">
          <cell r="J113">
            <v>91.9</v>
          </cell>
          <cell r="S113">
            <v>62</v>
          </cell>
        </row>
        <row r="114">
          <cell r="J114">
            <v>344.5</v>
          </cell>
          <cell r="S114">
            <v>17.399999999999999</v>
          </cell>
        </row>
        <row r="115">
          <cell r="J115">
            <v>168</v>
          </cell>
          <cell r="S115">
            <v>40.700000000000003</v>
          </cell>
        </row>
        <row r="116">
          <cell r="J116">
            <v>57.5</v>
          </cell>
          <cell r="S116">
            <v>83.5</v>
          </cell>
        </row>
        <row r="117">
          <cell r="J117">
            <v>32.9</v>
          </cell>
          <cell r="S117">
            <v>118.9</v>
          </cell>
        </row>
        <row r="118">
          <cell r="J118">
            <v>2.2000000000000002</v>
          </cell>
          <cell r="S118">
            <v>266.7</v>
          </cell>
        </row>
        <row r="119">
          <cell r="J119">
            <v>0.1</v>
          </cell>
          <cell r="S119">
            <v>382.7</v>
          </cell>
        </row>
        <row r="120">
          <cell r="J120">
            <v>0</v>
          </cell>
          <cell r="S120">
            <v>375</v>
          </cell>
        </row>
        <row r="121">
          <cell r="J121">
            <v>0</v>
          </cell>
          <cell r="S121">
            <v>380.2</v>
          </cell>
        </row>
        <row r="122">
          <cell r="J122">
            <v>0.4</v>
          </cell>
          <cell r="S122">
            <v>308.89999999999998</v>
          </cell>
        </row>
        <row r="123">
          <cell r="J123">
            <v>1.7</v>
          </cell>
          <cell r="S123">
            <v>289.89999999999998</v>
          </cell>
        </row>
        <row r="124">
          <cell r="J124">
            <v>24.1</v>
          </cell>
          <cell r="S124">
            <v>155.5</v>
          </cell>
        </row>
        <row r="125">
          <cell r="J125">
            <v>254.8</v>
          </cell>
          <cell r="S125">
            <v>32.6</v>
          </cell>
        </row>
        <row r="126">
          <cell r="J126">
            <v>217.4</v>
          </cell>
          <cell r="S126">
            <v>15.7</v>
          </cell>
        </row>
        <row r="127">
          <cell r="J127">
            <v>113.8</v>
          </cell>
          <cell r="S127">
            <v>38.9</v>
          </cell>
        </row>
        <row r="128">
          <cell r="J128">
            <v>130.69999999999999</v>
          </cell>
          <cell r="S128">
            <v>66.5</v>
          </cell>
        </row>
        <row r="129">
          <cell r="J129">
            <v>54.2</v>
          </cell>
          <cell r="S129">
            <v>98.3</v>
          </cell>
        </row>
        <row r="130">
          <cell r="J130">
            <v>5.5</v>
          </cell>
          <cell r="S130">
            <v>248.5</v>
          </cell>
        </row>
        <row r="131">
          <cell r="J131">
            <v>0</v>
          </cell>
          <cell r="S131">
            <v>349.4</v>
          </cell>
        </row>
        <row r="132">
          <cell r="J132">
            <v>0</v>
          </cell>
          <cell r="S132">
            <v>391.2</v>
          </cell>
        </row>
        <row r="133">
          <cell r="J133">
            <v>0.1</v>
          </cell>
          <cell r="S133">
            <v>397.3</v>
          </cell>
        </row>
        <row r="134">
          <cell r="J134">
            <v>0</v>
          </cell>
          <cell r="S134">
            <v>355.5</v>
          </cell>
        </row>
        <row r="135">
          <cell r="J135">
            <v>9.9</v>
          </cell>
          <cell r="S135">
            <v>233.9</v>
          </cell>
        </row>
        <row r="136">
          <cell r="J136">
            <v>11.6</v>
          </cell>
          <cell r="S136">
            <v>183.9</v>
          </cell>
        </row>
        <row r="137">
          <cell r="J137">
            <v>92.1</v>
          </cell>
          <cell r="S137">
            <v>49.1</v>
          </cell>
        </row>
        <row r="138">
          <cell r="J138">
            <v>246.9</v>
          </cell>
          <cell r="S138">
            <v>17</v>
          </cell>
        </row>
        <row r="139">
          <cell r="J139">
            <v>137.5</v>
          </cell>
          <cell r="S139">
            <v>22.5</v>
          </cell>
        </row>
        <row r="140">
          <cell r="J140">
            <v>89</v>
          </cell>
          <cell r="S140">
            <v>44.1</v>
          </cell>
        </row>
        <row r="141">
          <cell r="J141">
            <v>100.2</v>
          </cell>
          <cell r="S141">
            <v>75.2</v>
          </cell>
        </row>
        <row r="142">
          <cell r="J142">
            <v>4.0999999999999996</v>
          </cell>
          <cell r="S142">
            <v>236</v>
          </cell>
        </row>
        <row r="143">
          <cell r="J143">
            <v>0.1</v>
          </cell>
          <cell r="S143">
            <v>370.9</v>
          </cell>
        </row>
        <row r="144">
          <cell r="J144">
            <v>0</v>
          </cell>
          <cell r="S144">
            <v>414</v>
          </cell>
        </row>
        <row r="145">
          <cell r="J145">
            <v>0</v>
          </cell>
          <cell r="S145">
            <v>430.5</v>
          </cell>
        </row>
        <row r="146">
          <cell r="J146">
            <v>0.6</v>
          </cell>
          <cell r="S146">
            <v>345.2</v>
          </cell>
        </row>
        <row r="147">
          <cell r="J147">
            <v>35.700000000000003</v>
          </cell>
          <cell r="S147">
            <v>106.6</v>
          </cell>
        </row>
        <row r="148">
          <cell r="J148">
            <v>70.099999999999994</v>
          </cell>
          <cell r="S148">
            <v>64.7</v>
          </cell>
        </row>
        <row r="149">
          <cell r="J149">
            <v>144.4</v>
          </cell>
          <cell r="S149">
            <v>33.4</v>
          </cell>
        </row>
        <row r="150">
          <cell r="J150">
            <v>285.39999999999998</v>
          </cell>
          <cell r="S150">
            <v>12.6</v>
          </cell>
        </row>
        <row r="151">
          <cell r="J151">
            <v>230.5</v>
          </cell>
          <cell r="S151">
            <v>21.4</v>
          </cell>
        </row>
        <row r="152">
          <cell r="J152">
            <v>122.6</v>
          </cell>
          <cell r="S152">
            <v>49.7</v>
          </cell>
        </row>
        <row r="153">
          <cell r="J153">
            <v>41.6</v>
          </cell>
          <cell r="S153">
            <v>117</v>
          </cell>
        </row>
        <row r="154">
          <cell r="J154">
            <v>12.4</v>
          </cell>
          <cell r="S154">
            <v>190.2</v>
          </cell>
        </row>
        <row r="155">
          <cell r="J155">
            <v>0.6</v>
          </cell>
          <cell r="S155">
            <v>317.2</v>
          </cell>
        </row>
        <row r="156">
          <cell r="J156">
            <v>0</v>
          </cell>
          <cell r="S156">
            <v>364</v>
          </cell>
        </row>
        <row r="157">
          <cell r="J157">
            <v>0</v>
          </cell>
          <cell r="S157">
            <v>399</v>
          </cell>
        </row>
        <row r="158">
          <cell r="J158">
            <v>0.1</v>
          </cell>
          <cell r="S158">
            <v>359.7</v>
          </cell>
        </row>
        <row r="159">
          <cell r="J159">
            <v>23.8</v>
          </cell>
          <cell r="S159">
            <v>147.9</v>
          </cell>
        </row>
        <row r="160">
          <cell r="J160">
            <v>44.2</v>
          </cell>
          <cell r="S160">
            <v>97.6</v>
          </cell>
        </row>
        <row r="161">
          <cell r="J161">
            <v>177.3</v>
          </cell>
          <cell r="S161">
            <v>31</v>
          </cell>
        </row>
        <row r="162">
          <cell r="J162">
            <v>78.5</v>
          </cell>
          <cell r="S162">
            <v>59.5</v>
          </cell>
        </row>
        <row r="163">
          <cell r="J163">
            <v>150.9</v>
          </cell>
          <cell r="S163">
            <v>57.7</v>
          </cell>
        </row>
        <row r="164">
          <cell r="J164">
            <v>75.400000000000006</v>
          </cell>
          <cell r="S164">
            <v>109.3</v>
          </cell>
        </row>
        <row r="165">
          <cell r="J165">
            <v>34.299999999999997</v>
          </cell>
          <cell r="S165">
            <v>134.6</v>
          </cell>
        </row>
        <row r="166">
          <cell r="J166">
            <v>8.5</v>
          </cell>
          <cell r="S166">
            <v>264.7</v>
          </cell>
        </row>
        <row r="167">
          <cell r="J167">
            <v>0</v>
          </cell>
          <cell r="S167">
            <v>354.4</v>
          </cell>
        </row>
        <row r="168">
          <cell r="J168">
            <v>0</v>
          </cell>
          <cell r="S168">
            <v>412.8</v>
          </cell>
        </row>
        <row r="169">
          <cell r="J169">
            <v>0</v>
          </cell>
          <cell r="S169">
            <v>411.8</v>
          </cell>
        </row>
        <row r="170">
          <cell r="J170">
            <v>0.2</v>
          </cell>
          <cell r="S170">
            <v>357.9</v>
          </cell>
        </row>
        <row r="171">
          <cell r="J171">
            <v>34</v>
          </cell>
          <cell r="S171">
            <v>203.4</v>
          </cell>
        </row>
        <row r="172">
          <cell r="J172">
            <v>70.8</v>
          </cell>
          <cell r="S172">
            <v>77.900000000000006</v>
          </cell>
        </row>
        <row r="173">
          <cell r="J173">
            <v>347</v>
          </cell>
          <cell r="S173">
            <v>10.4</v>
          </cell>
        </row>
        <row r="174">
          <cell r="J174">
            <v>121.8</v>
          </cell>
          <cell r="S174">
            <v>47.7</v>
          </cell>
        </row>
        <row r="175">
          <cell r="J175">
            <v>61.1</v>
          </cell>
          <cell r="S175">
            <v>71.400000000000006</v>
          </cell>
        </row>
        <row r="176">
          <cell r="J176">
            <v>52.7</v>
          </cell>
          <cell r="S176">
            <v>82</v>
          </cell>
        </row>
        <row r="177">
          <cell r="J177">
            <v>30.5</v>
          </cell>
          <cell r="S177">
            <v>114.6</v>
          </cell>
        </row>
        <row r="178">
          <cell r="J178">
            <v>2.2999999999999998</v>
          </cell>
          <cell r="S178">
            <v>290.5</v>
          </cell>
        </row>
        <row r="179">
          <cell r="J179">
            <v>0.2</v>
          </cell>
          <cell r="S179">
            <v>353.4</v>
          </cell>
        </row>
        <row r="180">
          <cell r="J180">
            <v>0</v>
          </cell>
          <cell r="S180">
            <v>384.9</v>
          </cell>
        </row>
        <row r="181">
          <cell r="J181">
            <v>0</v>
          </cell>
          <cell r="S181">
            <v>397.8</v>
          </cell>
        </row>
        <row r="182">
          <cell r="J182">
            <v>1</v>
          </cell>
          <cell r="S182">
            <v>346.9</v>
          </cell>
        </row>
        <row r="183">
          <cell r="J183">
            <v>20.8</v>
          </cell>
          <cell r="S183">
            <v>238.1</v>
          </cell>
        </row>
        <row r="184">
          <cell r="J184">
            <v>56</v>
          </cell>
          <cell r="S184">
            <v>71.2</v>
          </cell>
        </row>
        <row r="185">
          <cell r="J185">
            <v>111.7</v>
          </cell>
          <cell r="S185">
            <v>59.2</v>
          </cell>
        </row>
        <row r="186">
          <cell r="J186">
            <v>113.4</v>
          </cell>
          <cell r="S186">
            <v>52.4</v>
          </cell>
        </row>
        <row r="187">
          <cell r="J187">
            <v>119.2</v>
          </cell>
          <cell r="S187">
            <v>32.5</v>
          </cell>
        </row>
        <row r="188">
          <cell r="J188">
            <v>75.400000000000006</v>
          </cell>
          <cell r="S188">
            <v>75.400000000000006</v>
          </cell>
        </row>
        <row r="189">
          <cell r="J189">
            <v>10.4</v>
          </cell>
          <cell r="S189">
            <v>194.3</v>
          </cell>
        </row>
        <row r="190">
          <cell r="J190">
            <v>0.1</v>
          </cell>
          <cell r="S190">
            <v>308</v>
          </cell>
        </row>
        <row r="191">
          <cell r="J191">
            <v>0.2</v>
          </cell>
          <cell r="S191">
            <v>340.9</v>
          </cell>
        </row>
        <row r="192">
          <cell r="J192">
            <v>0</v>
          </cell>
          <cell r="S192">
            <v>393.5</v>
          </cell>
        </row>
        <row r="193">
          <cell r="J193">
            <v>0</v>
          </cell>
          <cell r="S193">
            <v>407.1</v>
          </cell>
        </row>
        <row r="194">
          <cell r="J194">
            <v>0.6</v>
          </cell>
          <cell r="S194">
            <v>353.5</v>
          </cell>
        </row>
        <row r="195">
          <cell r="J195">
            <v>13.3</v>
          </cell>
          <cell r="S195">
            <v>185.9</v>
          </cell>
        </row>
        <row r="196">
          <cell r="J196">
            <v>122.6</v>
          </cell>
          <cell r="S196">
            <v>54.5</v>
          </cell>
        </row>
        <row r="197">
          <cell r="J197">
            <v>123.7</v>
          </cell>
          <cell r="S197">
            <v>48.7</v>
          </cell>
        </row>
        <row r="198">
          <cell r="J198">
            <v>227.6</v>
          </cell>
          <cell r="S198">
            <v>9.9</v>
          </cell>
        </row>
        <row r="199">
          <cell r="J199">
            <v>124.5</v>
          </cell>
          <cell r="S199">
            <v>28.4</v>
          </cell>
        </row>
        <row r="200">
          <cell r="J200">
            <v>104.4</v>
          </cell>
          <cell r="S200">
            <v>47.6</v>
          </cell>
        </row>
        <row r="201">
          <cell r="J201">
            <v>50.9</v>
          </cell>
          <cell r="S201">
            <v>86.9</v>
          </cell>
        </row>
        <row r="202">
          <cell r="J202">
            <v>18.5</v>
          </cell>
          <cell r="S202">
            <v>182.8</v>
          </cell>
        </row>
        <row r="203">
          <cell r="J203">
            <v>0.1</v>
          </cell>
          <cell r="S203">
            <v>329.8</v>
          </cell>
        </row>
        <row r="204">
          <cell r="J204">
            <v>0</v>
          </cell>
          <cell r="S204">
            <v>433.5</v>
          </cell>
        </row>
        <row r="205">
          <cell r="J205">
            <v>0.1</v>
          </cell>
          <cell r="S205">
            <v>370.6</v>
          </cell>
        </row>
        <row r="206">
          <cell r="J206">
            <v>0</v>
          </cell>
          <cell r="S206">
            <v>340.2</v>
          </cell>
        </row>
        <row r="207">
          <cell r="J207">
            <v>16.100000000000001</v>
          </cell>
          <cell r="S207">
            <v>128.80000000000001</v>
          </cell>
        </row>
        <row r="208">
          <cell r="J208">
            <v>73.900000000000006</v>
          </cell>
          <cell r="S208">
            <v>107</v>
          </cell>
        </row>
        <row r="209">
          <cell r="J209">
            <v>138.69999999999999</v>
          </cell>
          <cell r="S209">
            <v>28.9</v>
          </cell>
        </row>
        <row r="210">
          <cell r="J210">
            <v>94.5</v>
          </cell>
          <cell r="S210">
            <v>47</v>
          </cell>
        </row>
        <row r="211">
          <cell r="J211">
            <v>175.5</v>
          </cell>
          <cell r="S211">
            <v>6.4</v>
          </cell>
        </row>
        <row r="212">
          <cell r="J212">
            <v>127.2</v>
          </cell>
          <cell r="S212">
            <v>36</v>
          </cell>
        </row>
        <row r="213">
          <cell r="J213">
            <v>60.9</v>
          </cell>
          <cell r="S213">
            <v>60.7</v>
          </cell>
        </row>
        <row r="214">
          <cell r="J214">
            <v>5.7</v>
          </cell>
          <cell r="S214">
            <v>189.4</v>
          </cell>
        </row>
        <row r="215">
          <cell r="J215">
            <v>0.1</v>
          </cell>
          <cell r="S215">
            <v>348.9</v>
          </cell>
        </row>
        <row r="216">
          <cell r="J216">
            <v>0</v>
          </cell>
          <cell r="S216">
            <v>420.8</v>
          </cell>
        </row>
        <row r="217">
          <cell r="J217">
            <v>0</v>
          </cell>
          <cell r="S217">
            <v>409.3</v>
          </cell>
        </row>
        <row r="218">
          <cell r="J218">
            <v>1.2</v>
          </cell>
          <cell r="S218">
            <v>342.1</v>
          </cell>
        </row>
        <row r="219">
          <cell r="J219">
            <v>13.8</v>
          </cell>
          <cell r="S219">
            <v>188.1</v>
          </cell>
        </row>
        <row r="220">
          <cell r="J220">
            <v>74.599999999999994</v>
          </cell>
          <cell r="S220">
            <v>72.3</v>
          </cell>
        </row>
        <row r="221">
          <cell r="J221">
            <v>243.5</v>
          </cell>
          <cell r="S221">
            <v>11.1</v>
          </cell>
        </row>
        <row r="222">
          <cell r="J222">
            <v>215.9</v>
          </cell>
          <cell r="S222">
            <v>13.8</v>
          </cell>
        </row>
        <row r="223">
          <cell r="J223">
            <v>98.4</v>
          </cell>
          <cell r="S223">
            <v>47.6</v>
          </cell>
        </row>
        <row r="224">
          <cell r="J224">
            <v>84.9</v>
          </cell>
          <cell r="S224">
            <v>78.099999999999994</v>
          </cell>
        </row>
        <row r="225">
          <cell r="J225">
            <v>17.600000000000001</v>
          </cell>
          <cell r="S225">
            <v>166.1</v>
          </cell>
        </row>
        <row r="226">
          <cell r="J226">
            <v>5.2</v>
          </cell>
          <cell r="S226">
            <v>247.2</v>
          </cell>
        </row>
        <row r="227">
          <cell r="J227">
            <v>0</v>
          </cell>
          <cell r="S227">
            <v>356.5</v>
          </cell>
        </row>
        <row r="228">
          <cell r="J228">
            <v>0</v>
          </cell>
          <cell r="S228">
            <v>365.6</v>
          </cell>
        </row>
        <row r="229">
          <cell r="J229">
            <v>0</v>
          </cell>
          <cell r="S229">
            <v>342</v>
          </cell>
        </row>
        <row r="230">
          <cell r="J230">
            <v>0.3</v>
          </cell>
          <cell r="S230">
            <v>277.2</v>
          </cell>
        </row>
        <row r="231">
          <cell r="J231">
            <v>4.3</v>
          </cell>
          <cell r="S231">
            <v>191.2</v>
          </cell>
        </row>
        <row r="232">
          <cell r="J232">
            <v>26.9</v>
          </cell>
          <cell r="S232">
            <v>110.1</v>
          </cell>
        </row>
        <row r="233">
          <cell r="J233">
            <v>122.9</v>
          </cell>
          <cell r="S233">
            <v>36.299999999999997</v>
          </cell>
        </row>
        <row r="234">
          <cell r="J234">
            <v>240.2</v>
          </cell>
          <cell r="S234">
            <v>6.8</v>
          </cell>
        </row>
        <row r="235">
          <cell r="J235">
            <v>184</v>
          </cell>
          <cell r="S235">
            <v>25.2</v>
          </cell>
        </row>
        <row r="236">
          <cell r="J236">
            <v>57.6</v>
          </cell>
          <cell r="S236">
            <v>63.6</v>
          </cell>
        </row>
        <row r="237">
          <cell r="J237">
            <v>21.4</v>
          </cell>
          <cell r="S237">
            <v>130.30000000000001</v>
          </cell>
        </row>
        <row r="238">
          <cell r="J238">
            <v>1.2</v>
          </cell>
          <cell r="S238">
            <v>325.60000000000002</v>
          </cell>
        </row>
        <row r="239">
          <cell r="J239">
            <v>0.3</v>
          </cell>
          <cell r="S239">
            <v>299.7</v>
          </cell>
        </row>
        <row r="240">
          <cell r="J240">
            <v>0</v>
          </cell>
          <cell r="S240">
            <v>385.4</v>
          </cell>
        </row>
        <row r="241">
          <cell r="J241">
            <v>0</v>
          </cell>
          <cell r="S241">
            <v>391.5</v>
          </cell>
        </row>
        <row r="242">
          <cell r="J242">
            <v>0</v>
          </cell>
          <cell r="S242">
            <v>336.9</v>
          </cell>
        </row>
        <row r="243">
          <cell r="J243">
            <v>9.6999999999999993</v>
          </cell>
          <cell r="S243">
            <v>229.6</v>
          </cell>
        </row>
        <row r="244">
          <cell r="J244">
            <v>129.69999999999999</v>
          </cell>
          <cell r="S244">
            <v>50.6</v>
          </cell>
        </row>
        <row r="245">
          <cell r="J245">
            <v>236.1</v>
          </cell>
          <cell r="S245">
            <v>24</v>
          </cell>
        </row>
        <row r="246">
          <cell r="J246">
            <v>256</v>
          </cell>
          <cell r="S246">
            <v>15.5</v>
          </cell>
        </row>
        <row r="247">
          <cell r="J247">
            <v>212.7</v>
          </cell>
          <cell r="S247">
            <v>30.1</v>
          </cell>
        </row>
        <row r="248">
          <cell r="J248">
            <v>190.6</v>
          </cell>
          <cell r="S248">
            <v>39.6</v>
          </cell>
        </row>
        <row r="249">
          <cell r="J249">
            <v>49.4</v>
          </cell>
          <cell r="S249">
            <v>107</v>
          </cell>
        </row>
        <row r="250">
          <cell r="J250">
            <v>2.4</v>
          </cell>
          <cell r="S250">
            <v>283.89999999999998</v>
          </cell>
        </row>
        <row r="251">
          <cell r="J251">
            <v>0.3</v>
          </cell>
          <cell r="S251">
            <v>318</v>
          </cell>
        </row>
        <row r="252">
          <cell r="J252">
            <v>0</v>
          </cell>
          <cell r="S252">
            <v>401.2</v>
          </cell>
        </row>
        <row r="253">
          <cell r="J253">
            <v>0</v>
          </cell>
          <cell r="S253">
            <v>367.9</v>
          </cell>
        </row>
        <row r="254">
          <cell r="J254">
            <v>0.6</v>
          </cell>
          <cell r="S254">
            <v>327.2</v>
          </cell>
        </row>
        <row r="255">
          <cell r="J255">
            <v>17.5</v>
          </cell>
          <cell r="S255">
            <v>172.8</v>
          </cell>
        </row>
        <row r="256">
          <cell r="J256">
            <v>79.8</v>
          </cell>
          <cell r="S256">
            <v>61.5</v>
          </cell>
        </row>
        <row r="257">
          <cell r="J257">
            <v>166</v>
          </cell>
          <cell r="S257">
            <v>23.7</v>
          </cell>
        </row>
        <row r="258">
          <cell r="J258">
            <v>192.3</v>
          </cell>
          <cell r="S258">
            <v>27.6</v>
          </cell>
        </row>
        <row r="259">
          <cell r="J259">
            <v>79.900000000000006</v>
          </cell>
          <cell r="S259">
            <v>59.9</v>
          </cell>
        </row>
        <row r="260">
          <cell r="J260">
            <v>19.3</v>
          </cell>
          <cell r="S260">
            <v>121.9</v>
          </cell>
        </row>
        <row r="261">
          <cell r="J261">
            <v>38.1</v>
          </cell>
          <cell r="S261">
            <v>86.8</v>
          </cell>
        </row>
        <row r="262">
          <cell r="J262">
            <v>7.3</v>
          </cell>
          <cell r="S262">
            <v>218</v>
          </cell>
        </row>
        <row r="263">
          <cell r="J263">
            <v>0.4</v>
          </cell>
          <cell r="S263">
            <v>310.7</v>
          </cell>
        </row>
        <row r="264">
          <cell r="J264">
            <v>0</v>
          </cell>
          <cell r="S264">
            <v>388.7</v>
          </cell>
        </row>
        <row r="265">
          <cell r="J265">
            <v>0</v>
          </cell>
          <cell r="S265">
            <v>397.1</v>
          </cell>
        </row>
        <row r="266">
          <cell r="J266">
            <v>0.1</v>
          </cell>
          <cell r="S266">
            <v>334.3</v>
          </cell>
        </row>
        <row r="267">
          <cell r="J267">
            <v>21.2</v>
          </cell>
          <cell r="S267">
            <v>175.8</v>
          </cell>
        </row>
        <row r="268">
          <cell r="J268">
            <v>86.5</v>
          </cell>
          <cell r="S268">
            <v>41.1</v>
          </cell>
        </row>
        <row r="269">
          <cell r="J269">
            <v>197.6</v>
          </cell>
          <cell r="S269">
            <v>21.3</v>
          </cell>
        </row>
        <row r="270">
          <cell r="J270">
            <v>158.6</v>
          </cell>
          <cell r="S270">
            <v>21.5</v>
          </cell>
        </row>
        <row r="271">
          <cell r="J271">
            <v>153.80000000000001</v>
          </cell>
          <cell r="S271">
            <v>16.100000000000001</v>
          </cell>
        </row>
        <row r="272">
          <cell r="J272">
            <v>152.9</v>
          </cell>
          <cell r="S272">
            <v>47.6</v>
          </cell>
        </row>
        <row r="273">
          <cell r="J273">
            <v>32.299999999999997</v>
          </cell>
          <cell r="S273">
            <v>113.2</v>
          </cell>
        </row>
        <row r="274">
          <cell r="J274">
            <v>3.7</v>
          </cell>
          <cell r="S274">
            <v>272.3</v>
          </cell>
        </row>
        <row r="275">
          <cell r="J275">
            <v>0</v>
          </cell>
          <cell r="S275">
            <v>449.1</v>
          </cell>
        </row>
        <row r="276">
          <cell r="J276">
            <v>0</v>
          </cell>
          <cell r="S276">
            <v>433.4</v>
          </cell>
        </row>
        <row r="277">
          <cell r="J277">
            <v>0</v>
          </cell>
          <cell r="S277">
            <v>424.9</v>
          </cell>
        </row>
        <row r="278">
          <cell r="J278">
            <v>0</v>
          </cell>
          <cell r="S278">
            <v>334.1</v>
          </cell>
        </row>
        <row r="279">
          <cell r="J279">
            <v>7.3</v>
          </cell>
          <cell r="S279">
            <v>246.4</v>
          </cell>
        </row>
        <row r="280">
          <cell r="J280">
            <v>26.3</v>
          </cell>
          <cell r="S280">
            <v>114.3</v>
          </cell>
        </row>
        <row r="281">
          <cell r="J281">
            <v>87.7</v>
          </cell>
          <cell r="S281">
            <v>70.099999999999994</v>
          </cell>
        </row>
        <row r="282">
          <cell r="J282">
            <v>163.1</v>
          </cell>
          <cell r="S282">
            <v>39.6</v>
          </cell>
        </row>
        <row r="283">
          <cell r="J283">
            <v>129.80000000000001</v>
          </cell>
          <cell r="S283">
            <v>35.200000000000003</v>
          </cell>
        </row>
        <row r="284">
          <cell r="J284">
            <v>117.5</v>
          </cell>
          <cell r="S284">
            <v>40.799999999999997</v>
          </cell>
        </row>
        <row r="285">
          <cell r="J285">
            <v>24</v>
          </cell>
          <cell r="S285">
            <v>182.6</v>
          </cell>
        </row>
        <row r="286">
          <cell r="J286">
            <v>11.7</v>
          </cell>
          <cell r="S286">
            <v>227.3</v>
          </cell>
        </row>
        <row r="287">
          <cell r="J287">
            <v>0</v>
          </cell>
          <cell r="S287">
            <v>316.8</v>
          </cell>
        </row>
        <row r="288">
          <cell r="J288">
            <v>0</v>
          </cell>
          <cell r="S288">
            <v>409.3</v>
          </cell>
        </row>
        <row r="289">
          <cell r="J289">
            <v>0</v>
          </cell>
          <cell r="S289">
            <v>413.6</v>
          </cell>
        </row>
        <row r="290">
          <cell r="J290">
            <v>0.8</v>
          </cell>
          <cell r="S290">
            <v>306.2</v>
          </cell>
        </row>
        <row r="291">
          <cell r="J291">
            <v>18.100000000000001</v>
          </cell>
          <cell r="S291">
            <v>194.2</v>
          </cell>
        </row>
        <row r="292">
          <cell r="J292">
            <v>59.1</v>
          </cell>
          <cell r="S292">
            <v>54.4</v>
          </cell>
        </row>
        <row r="293">
          <cell r="J293">
            <v>175.7</v>
          </cell>
          <cell r="S293">
            <v>19.899999999999999</v>
          </cell>
        </row>
        <row r="294">
          <cell r="J294">
            <v>208.3</v>
          </cell>
          <cell r="S294">
            <v>21.3</v>
          </cell>
        </row>
        <row r="295">
          <cell r="J295">
            <v>149.6</v>
          </cell>
          <cell r="S295">
            <v>30</v>
          </cell>
        </row>
        <row r="296">
          <cell r="J296">
            <v>42.6</v>
          </cell>
          <cell r="S296">
            <v>84.8</v>
          </cell>
        </row>
        <row r="297">
          <cell r="J297">
            <v>42.3</v>
          </cell>
          <cell r="S297">
            <v>100.5</v>
          </cell>
        </row>
        <row r="298">
          <cell r="J298">
            <v>4.3</v>
          </cell>
          <cell r="S298">
            <v>285.60000000000002</v>
          </cell>
        </row>
        <row r="299">
          <cell r="J299">
            <v>0.2</v>
          </cell>
          <cell r="S299">
            <v>350</v>
          </cell>
        </row>
        <row r="300">
          <cell r="J300">
            <v>0</v>
          </cell>
          <cell r="S300">
            <v>390.6</v>
          </cell>
        </row>
        <row r="301">
          <cell r="J301">
            <v>0</v>
          </cell>
          <cell r="S301">
            <v>396.6</v>
          </cell>
        </row>
        <row r="302">
          <cell r="J302">
            <v>0.3</v>
          </cell>
          <cell r="S302">
            <v>342.9</v>
          </cell>
        </row>
        <row r="303">
          <cell r="J303">
            <v>25.6</v>
          </cell>
          <cell r="S303">
            <v>150.30000000000001</v>
          </cell>
        </row>
        <row r="304">
          <cell r="J304">
            <v>114.7</v>
          </cell>
          <cell r="S304">
            <v>57.6</v>
          </cell>
        </row>
        <row r="305">
          <cell r="J305">
            <v>258.89999999999998</v>
          </cell>
          <cell r="S305">
            <v>29.1</v>
          </cell>
        </row>
        <row r="306">
          <cell r="J306">
            <v>332.4</v>
          </cell>
          <cell r="S306">
            <v>12.2</v>
          </cell>
        </row>
        <row r="307">
          <cell r="J307">
            <v>80.7</v>
          </cell>
          <cell r="S307">
            <v>60.9</v>
          </cell>
        </row>
        <row r="308">
          <cell r="J308">
            <v>100.5</v>
          </cell>
          <cell r="S308">
            <v>48.5</v>
          </cell>
        </row>
        <row r="309">
          <cell r="J309">
            <v>35.9</v>
          </cell>
          <cell r="S309">
            <v>125.1</v>
          </cell>
        </row>
        <row r="310">
          <cell r="J310">
            <v>5.7</v>
          </cell>
          <cell r="S310">
            <v>221.8</v>
          </cell>
        </row>
        <row r="311">
          <cell r="J311">
            <v>0</v>
          </cell>
          <cell r="S311">
            <v>335.4</v>
          </cell>
        </row>
        <row r="312">
          <cell r="J312">
            <v>0</v>
          </cell>
          <cell r="S312">
            <v>365.6</v>
          </cell>
        </row>
        <row r="313">
          <cell r="J313">
            <v>0</v>
          </cell>
          <cell r="S313">
            <v>388.7</v>
          </cell>
        </row>
        <row r="314">
          <cell r="J314">
            <v>2.1</v>
          </cell>
          <cell r="S314">
            <v>263.60000000000002</v>
          </cell>
        </row>
        <row r="315">
          <cell r="J315">
            <v>28.1</v>
          </cell>
          <cell r="S315">
            <v>171.1</v>
          </cell>
        </row>
        <row r="316">
          <cell r="J316">
            <v>30.8</v>
          </cell>
          <cell r="S316">
            <v>72.3</v>
          </cell>
        </row>
        <row r="317">
          <cell r="J317">
            <v>109</v>
          </cell>
          <cell r="S317">
            <v>73</v>
          </cell>
        </row>
        <row r="318">
          <cell r="J318">
            <v>206.6</v>
          </cell>
          <cell r="S318">
            <v>42.7</v>
          </cell>
        </row>
        <row r="319">
          <cell r="J319">
            <v>159.9</v>
          </cell>
          <cell r="S319">
            <v>17.3</v>
          </cell>
        </row>
        <row r="320">
          <cell r="J320">
            <v>78</v>
          </cell>
          <cell r="S320">
            <v>102.6</v>
          </cell>
        </row>
        <row r="321">
          <cell r="J321">
            <v>7.2</v>
          </cell>
          <cell r="S321">
            <v>184.5</v>
          </cell>
        </row>
        <row r="322">
          <cell r="J322">
            <v>4</v>
          </cell>
          <cell r="S322">
            <v>271.5</v>
          </cell>
        </row>
        <row r="323">
          <cell r="J323">
            <v>0</v>
          </cell>
          <cell r="S323">
            <v>310.39999999999998</v>
          </cell>
        </row>
        <row r="324">
          <cell r="J324">
            <v>0</v>
          </cell>
          <cell r="S324">
            <v>373.7</v>
          </cell>
        </row>
        <row r="325">
          <cell r="J325">
            <v>0.1</v>
          </cell>
          <cell r="S325">
            <v>364.9</v>
          </cell>
        </row>
        <row r="326">
          <cell r="J326">
            <v>0</v>
          </cell>
          <cell r="S326">
            <v>363.7</v>
          </cell>
        </row>
        <row r="327">
          <cell r="J327">
            <v>4.5999999999999996</v>
          </cell>
          <cell r="S327">
            <v>263.60000000000002</v>
          </cell>
        </row>
        <row r="328">
          <cell r="J328">
            <v>118.1</v>
          </cell>
          <cell r="S328">
            <v>54.5</v>
          </cell>
        </row>
        <row r="329">
          <cell r="J329">
            <v>222</v>
          </cell>
          <cell r="S329">
            <v>11.2</v>
          </cell>
        </row>
        <row r="330">
          <cell r="J330">
            <v>359.1</v>
          </cell>
          <cell r="S330">
            <v>2.9</v>
          </cell>
        </row>
        <row r="331">
          <cell r="J331">
            <v>136.5</v>
          </cell>
          <cell r="S331">
            <v>26.4</v>
          </cell>
        </row>
        <row r="332">
          <cell r="J332">
            <v>33.799999999999997</v>
          </cell>
          <cell r="S332">
            <v>112.3</v>
          </cell>
        </row>
        <row r="333">
          <cell r="J333">
            <v>38.6</v>
          </cell>
          <cell r="S333">
            <v>121.6</v>
          </cell>
        </row>
        <row r="334">
          <cell r="J334">
            <v>0.7</v>
          </cell>
          <cell r="S334">
            <v>297.2</v>
          </cell>
        </row>
        <row r="335">
          <cell r="J335">
            <v>0</v>
          </cell>
          <cell r="S335">
            <v>323.8</v>
          </cell>
        </row>
        <row r="336">
          <cell r="J336">
            <v>0</v>
          </cell>
          <cell r="S336">
            <v>384.5</v>
          </cell>
        </row>
        <row r="337">
          <cell r="J337">
            <v>0</v>
          </cell>
          <cell r="S337">
            <v>355.6</v>
          </cell>
        </row>
        <row r="338">
          <cell r="J338">
            <v>0.3</v>
          </cell>
          <cell r="S338">
            <v>305.39999999999998</v>
          </cell>
        </row>
        <row r="339">
          <cell r="J339">
            <v>6.9</v>
          </cell>
          <cell r="S339">
            <v>194.5</v>
          </cell>
        </row>
        <row r="340">
          <cell r="J340">
            <v>52.4</v>
          </cell>
          <cell r="S340">
            <v>113.5</v>
          </cell>
        </row>
        <row r="341">
          <cell r="J341">
            <v>230.7</v>
          </cell>
          <cell r="S341">
            <v>9.8000000000000007</v>
          </cell>
        </row>
        <row r="342">
          <cell r="J342">
            <v>234.8</v>
          </cell>
          <cell r="S342">
            <v>14.5</v>
          </cell>
        </row>
        <row r="343">
          <cell r="J343">
            <v>158.69999999999999</v>
          </cell>
          <cell r="S343">
            <v>22.7</v>
          </cell>
        </row>
        <row r="344">
          <cell r="J344">
            <v>72.599999999999994</v>
          </cell>
          <cell r="S344">
            <v>56.7</v>
          </cell>
        </row>
        <row r="345">
          <cell r="J345">
            <v>53.5</v>
          </cell>
          <cell r="S345">
            <v>89.1</v>
          </cell>
        </row>
        <row r="346">
          <cell r="J346">
            <v>4</v>
          </cell>
          <cell r="S346">
            <v>250.5</v>
          </cell>
        </row>
        <row r="347">
          <cell r="J347">
            <v>0</v>
          </cell>
          <cell r="S347">
            <v>377.8</v>
          </cell>
        </row>
        <row r="348">
          <cell r="J348">
            <v>0</v>
          </cell>
          <cell r="S348">
            <v>389.3</v>
          </cell>
        </row>
        <row r="349">
          <cell r="J349">
            <v>0</v>
          </cell>
          <cell r="S349">
            <v>380.5</v>
          </cell>
        </row>
        <row r="350">
          <cell r="J350">
            <v>0</v>
          </cell>
          <cell r="S350">
            <v>332.7</v>
          </cell>
        </row>
        <row r="351">
          <cell r="J351">
            <v>7</v>
          </cell>
          <cell r="S351">
            <v>208.9</v>
          </cell>
        </row>
        <row r="352">
          <cell r="J352">
            <v>42.1</v>
          </cell>
          <cell r="S352">
            <v>82.5</v>
          </cell>
        </row>
        <row r="353">
          <cell r="J353">
            <v>214.7</v>
          </cell>
          <cell r="S353">
            <v>22.4</v>
          </cell>
        </row>
        <row r="354">
          <cell r="J354">
            <v>175.4</v>
          </cell>
          <cell r="S354">
            <v>26.9</v>
          </cell>
        </row>
        <row r="355">
          <cell r="J355">
            <v>124.4</v>
          </cell>
          <cell r="S355">
            <v>21.8</v>
          </cell>
        </row>
        <row r="356">
          <cell r="J356">
            <v>128.80000000000001</v>
          </cell>
          <cell r="S356">
            <v>50.8</v>
          </cell>
        </row>
        <row r="357">
          <cell r="J357">
            <v>50.7</v>
          </cell>
          <cell r="S357">
            <v>74.900000000000006</v>
          </cell>
        </row>
        <row r="358">
          <cell r="J358">
            <v>6.8</v>
          </cell>
          <cell r="S358">
            <v>205.2</v>
          </cell>
        </row>
        <row r="359">
          <cell r="J359">
            <v>0</v>
          </cell>
          <cell r="S359">
            <v>312.10000000000002</v>
          </cell>
        </row>
        <row r="360">
          <cell r="J360">
            <v>0</v>
          </cell>
          <cell r="S360">
            <v>443.2</v>
          </cell>
        </row>
        <row r="361">
          <cell r="J361">
            <v>0</v>
          </cell>
          <cell r="S361">
            <v>456.8</v>
          </cell>
        </row>
        <row r="362">
          <cell r="J362">
            <v>0.6</v>
          </cell>
          <cell r="S362">
            <v>366.3</v>
          </cell>
        </row>
        <row r="363">
          <cell r="J363">
            <v>29.3</v>
          </cell>
          <cell r="S363">
            <v>226.4</v>
          </cell>
        </row>
        <row r="364">
          <cell r="J364">
            <v>47.1</v>
          </cell>
          <cell r="S364">
            <v>78.599999999999994</v>
          </cell>
        </row>
        <row r="365">
          <cell r="J365">
            <v>214.3</v>
          </cell>
          <cell r="S365">
            <v>6.7</v>
          </cell>
        </row>
        <row r="366">
          <cell r="J366">
            <v>150.80000000000001</v>
          </cell>
          <cell r="S366">
            <v>29.3</v>
          </cell>
        </row>
        <row r="367">
          <cell r="J367">
            <v>175.9</v>
          </cell>
          <cell r="S367">
            <v>21.5</v>
          </cell>
        </row>
        <row r="368">
          <cell r="J368">
            <v>84.7</v>
          </cell>
          <cell r="S368">
            <v>68.2</v>
          </cell>
        </row>
        <row r="369">
          <cell r="J369">
            <v>12.9</v>
          </cell>
          <cell r="S369">
            <v>158.80000000000001</v>
          </cell>
        </row>
        <row r="370">
          <cell r="J370">
            <v>6.6</v>
          </cell>
          <cell r="S370">
            <v>242.3</v>
          </cell>
        </row>
        <row r="371">
          <cell r="J371">
            <v>0.2</v>
          </cell>
          <cell r="S371">
            <v>335.3</v>
          </cell>
        </row>
        <row r="372">
          <cell r="J372">
            <v>0</v>
          </cell>
          <cell r="S372">
            <v>382</v>
          </cell>
        </row>
        <row r="373">
          <cell r="J373">
            <v>0</v>
          </cell>
          <cell r="S373">
            <v>409.8</v>
          </cell>
        </row>
        <row r="374">
          <cell r="J374">
            <v>1.1000000000000001</v>
          </cell>
          <cell r="S374">
            <v>321.8</v>
          </cell>
        </row>
        <row r="375">
          <cell r="J375">
            <v>24.5</v>
          </cell>
          <cell r="S375">
            <v>184.3</v>
          </cell>
        </row>
        <row r="376">
          <cell r="J376">
            <v>103.3</v>
          </cell>
          <cell r="S376">
            <v>45.5</v>
          </cell>
        </row>
        <row r="377">
          <cell r="J377">
            <v>86.8</v>
          </cell>
          <cell r="S377">
            <v>49</v>
          </cell>
        </row>
        <row r="378">
          <cell r="J378">
            <v>149.69999999999999</v>
          </cell>
          <cell r="S378">
            <v>33.1</v>
          </cell>
        </row>
        <row r="379">
          <cell r="J379">
            <v>197</v>
          </cell>
          <cell r="S379">
            <v>15.9</v>
          </cell>
        </row>
        <row r="380">
          <cell r="J380">
            <v>70.599999999999994</v>
          </cell>
          <cell r="S380">
            <v>70.8</v>
          </cell>
        </row>
        <row r="381">
          <cell r="J381">
            <v>48.4</v>
          </cell>
          <cell r="S381">
            <v>101.1</v>
          </cell>
        </row>
        <row r="382">
          <cell r="J382">
            <v>5</v>
          </cell>
          <cell r="S382">
            <v>208.6</v>
          </cell>
        </row>
        <row r="383">
          <cell r="J383">
            <v>0.1</v>
          </cell>
          <cell r="S383">
            <v>323</v>
          </cell>
        </row>
        <row r="384">
          <cell r="J384">
            <v>0</v>
          </cell>
          <cell r="S384">
            <v>399.4</v>
          </cell>
        </row>
        <row r="385">
          <cell r="J385">
            <v>0</v>
          </cell>
          <cell r="S385">
            <v>444.1</v>
          </cell>
        </row>
        <row r="386">
          <cell r="J386">
            <v>0</v>
          </cell>
          <cell r="S386">
            <v>348.9</v>
          </cell>
        </row>
        <row r="387">
          <cell r="J387">
            <v>2.6</v>
          </cell>
          <cell r="S387">
            <v>260.3</v>
          </cell>
        </row>
        <row r="388">
          <cell r="J388">
            <v>72.400000000000006</v>
          </cell>
          <cell r="S388">
            <v>54.4</v>
          </cell>
        </row>
        <row r="389">
          <cell r="J389">
            <v>83.9</v>
          </cell>
          <cell r="S389">
            <v>62.2</v>
          </cell>
        </row>
        <row r="390">
          <cell r="J390">
            <v>196.2</v>
          </cell>
          <cell r="S390">
            <v>18.7</v>
          </cell>
        </row>
        <row r="391">
          <cell r="J391">
            <v>105.9</v>
          </cell>
          <cell r="S391">
            <v>41.6</v>
          </cell>
        </row>
        <row r="392">
          <cell r="J392">
            <v>77.599999999999994</v>
          </cell>
          <cell r="S392">
            <v>52</v>
          </cell>
        </row>
        <row r="393">
          <cell r="J393">
            <v>33</v>
          </cell>
          <cell r="S393">
            <v>118.2</v>
          </cell>
        </row>
        <row r="394">
          <cell r="J394">
            <v>4.2</v>
          </cell>
          <cell r="S394">
            <v>269.39999999999998</v>
          </cell>
        </row>
        <row r="395">
          <cell r="J395">
            <v>0</v>
          </cell>
          <cell r="S395">
            <v>352.1</v>
          </cell>
        </row>
        <row r="396">
          <cell r="J396">
            <v>0</v>
          </cell>
          <cell r="S396">
            <v>360.1</v>
          </cell>
        </row>
        <row r="397">
          <cell r="J397">
            <v>0</v>
          </cell>
          <cell r="S397">
            <v>367</v>
          </cell>
        </row>
        <row r="398">
          <cell r="J398">
            <v>1</v>
          </cell>
          <cell r="S398">
            <v>347</v>
          </cell>
        </row>
        <row r="399">
          <cell r="J399">
            <v>36.1</v>
          </cell>
          <cell r="S399">
            <v>185.2</v>
          </cell>
        </row>
        <row r="400">
          <cell r="J400">
            <v>135.69999999999999</v>
          </cell>
          <cell r="S400">
            <v>47.3</v>
          </cell>
        </row>
        <row r="401">
          <cell r="J401">
            <v>120.5</v>
          </cell>
          <cell r="S401">
            <v>32.799999999999997</v>
          </cell>
        </row>
        <row r="402">
          <cell r="J402">
            <v>229.1</v>
          </cell>
          <cell r="S402">
            <v>17.100000000000001</v>
          </cell>
        </row>
        <row r="403">
          <cell r="J403">
            <v>194.9</v>
          </cell>
          <cell r="S403">
            <v>15.9</v>
          </cell>
        </row>
        <row r="404">
          <cell r="J404">
            <v>83.5</v>
          </cell>
          <cell r="S404">
            <v>77.099999999999994</v>
          </cell>
        </row>
        <row r="405">
          <cell r="J405">
            <v>30.2</v>
          </cell>
          <cell r="S405">
            <v>126.9</v>
          </cell>
        </row>
        <row r="406">
          <cell r="J406">
            <v>1.5</v>
          </cell>
          <cell r="S406">
            <v>254.5</v>
          </cell>
        </row>
        <row r="407">
          <cell r="J407">
            <v>0</v>
          </cell>
          <cell r="S407">
            <v>371.8</v>
          </cell>
        </row>
        <row r="408">
          <cell r="J408">
            <v>0</v>
          </cell>
          <cell r="S408">
            <v>380.3</v>
          </cell>
        </row>
        <row r="409">
          <cell r="J409">
            <v>0</v>
          </cell>
          <cell r="S409">
            <v>402.8</v>
          </cell>
        </row>
        <row r="410">
          <cell r="J410">
            <v>0.5</v>
          </cell>
          <cell r="S410">
            <v>344.4</v>
          </cell>
        </row>
        <row r="411">
          <cell r="J411">
            <v>19.3</v>
          </cell>
          <cell r="S411">
            <v>266.89999999999998</v>
          </cell>
        </row>
        <row r="412">
          <cell r="J412">
            <v>58.7</v>
          </cell>
          <cell r="S412">
            <v>68.7</v>
          </cell>
        </row>
        <row r="413">
          <cell r="J413">
            <v>164</v>
          </cell>
          <cell r="S413">
            <v>33.4</v>
          </cell>
        </row>
        <row r="414">
          <cell r="J414">
            <v>376.6</v>
          </cell>
          <cell r="S414">
            <v>8</v>
          </cell>
        </row>
        <row r="415">
          <cell r="J415">
            <v>318.89999999999998</v>
          </cell>
          <cell r="S415">
            <v>2.5</v>
          </cell>
        </row>
        <row r="416">
          <cell r="J416">
            <v>173.9</v>
          </cell>
          <cell r="S416">
            <v>8.6999999999999993</v>
          </cell>
        </row>
        <row r="417">
          <cell r="J417">
            <v>18.7</v>
          </cell>
          <cell r="S417">
            <v>101</v>
          </cell>
        </row>
        <row r="418">
          <cell r="J418">
            <v>0.3</v>
          </cell>
          <cell r="S418">
            <v>309.7</v>
          </cell>
        </row>
        <row r="419">
          <cell r="J419">
            <v>0</v>
          </cell>
          <cell r="S419">
            <v>426.5</v>
          </cell>
        </row>
        <row r="420">
          <cell r="J420">
            <v>0</v>
          </cell>
          <cell r="S420">
            <v>440.9</v>
          </cell>
        </row>
        <row r="421">
          <cell r="J421">
            <v>0</v>
          </cell>
          <cell r="S421">
            <v>434.1</v>
          </cell>
        </row>
        <row r="422">
          <cell r="J422">
            <v>0.1</v>
          </cell>
          <cell r="S422">
            <v>369.6</v>
          </cell>
        </row>
        <row r="423">
          <cell r="J423">
            <v>13.4</v>
          </cell>
          <cell r="S423">
            <v>196.1</v>
          </cell>
        </row>
        <row r="424">
          <cell r="J424">
            <v>68.8</v>
          </cell>
          <cell r="S424">
            <v>69.400000000000006</v>
          </cell>
        </row>
        <row r="425">
          <cell r="J425">
            <v>396.1</v>
          </cell>
          <cell r="S425">
            <v>1.9</v>
          </cell>
        </row>
        <row r="426">
          <cell r="J426">
            <v>250.6</v>
          </cell>
          <cell r="S426">
            <v>6.9</v>
          </cell>
        </row>
        <row r="427">
          <cell r="J427">
            <v>110.2</v>
          </cell>
          <cell r="S427">
            <v>44</v>
          </cell>
        </row>
        <row r="428">
          <cell r="J428">
            <v>57.8</v>
          </cell>
          <cell r="S428">
            <v>74.2</v>
          </cell>
        </row>
        <row r="429">
          <cell r="J429">
            <v>14.6</v>
          </cell>
          <cell r="S429">
            <v>196.9</v>
          </cell>
        </row>
        <row r="430">
          <cell r="J430">
            <v>4.3</v>
          </cell>
          <cell r="S430">
            <v>271.2</v>
          </cell>
        </row>
        <row r="431">
          <cell r="J431">
            <v>0.4</v>
          </cell>
          <cell r="S431">
            <v>376.8</v>
          </cell>
        </row>
        <row r="432">
          <cell r="J432">
            <v>0</v>
          </cell>
          <cell r="S432">
            <v>415</v>
          </cell>
        </row>
        <row r="433">
          <cell r="J433">
            <v>0</v>
          </cell>
          <cell r="S433">
            <v>437.5</v>
          </cell>
        </row>
        <row r="434">
          <cell r="J434">
            <v>0.3</v>
          </cell>
          <cell r="S434">
            <v>340.2</v>
          </cell>
        </row>
        <row r="435">
          <cell r="J435">
            <v>25.3</v>
          </cell>
          <cell r="S435">
            <v>127.9</v>
          </cell>
        </row>
        <row r="436">
          <cell r="J436">
            <v>53</v>
          </cell>
          <cell r="S436">
            <v>62.9</v>
          </cell>
        </row>
        <row r="437">
          <cell r="J437">
            <v>94.2</v>
          </cell>
          <cell r="S437">
            <v>34.299999999999997</v>
          </cell>
        </row>
        <row r="438">
          <cell r="J438">
            <v>183.5</v>
          </cell>
          <cell r="S438">
            <v>20.6</v>
          </cell>
        </row>
        <row r="439">
          <cell r="J439">
            <v>83.1</v>
          </cell>
          <cell r="S439">
            <v>48</v>
          </cell>
        </row>
        <row r="440">
          <cell r="J440">
            <v>22.1</v>
          </cell>
          <cell r="S440">
            <v>126.9</v>
          </cell>
        </row>
        <row r="441">
          <cell r="J441">
            <v>17</v>
          </cell>
          <cell r="S441">
            <v>142.1</v>
          </cell>
        </row>
        <row r="442">
          <cell r="J442">
            <v>0.8</v>
          </cell>
          <cell r="S442">
            <v>284.2</v>
          </cell>
        </row>
        <row r="443">
          <cell r="J443">
            <v>0.1</v>
          </cell>
          <cell r="S443">
            <v>300.5</v>
          </cell>
        </row>
        <row r="444">
          <cell r="J444">
            <v>0</v>
          </cell>
          <cell r="S444">
            <v>401.8</v>
          </cell>
        </row>
        <row r="445">
          <cell r="J445">
            <v>0</v>
          </cell>
          <cell r="S445">
            <v>385.4</v>
          </cell>
        </row>
        <row r="446">
          <cell r="J446">
            <v>0.1</v>
          </cell>
          <cell r="S446">
            <v>329.6</v>
          </cell>
        </row>
        <row r="447">
          <cell r="J447">
            <v>19.7</v>
          </cell>
          <cell r="S447">
            <v>210</v>
          </cell>
        </row>
        <row r="448">
          <cell r="J448">
            <v>94.9</v>
          </cell>
          <cell r="S448">
            <v>27</v>
          </cell>
        </row>
        <row r="449">
          <cell r="J449">
            <v>123.3</v>
          </cell>
          <cell r="S449">
            <v>40.700000000000003</v>
          </cell>
        </row>
        <row r="450">
          <cell r="J450">
            <v>87.4</v>
          </cell>
          <cell r="S450">
            <v>48.5</v>
          </cell>
        </row>
        <row r="451">
          <cell r="J451">
            <v>115</v>
          </cell>
          <cell r="S451">
            <v>39.4</v>
          </cell>
        </row>
        <row r="452">
          <cell r="J452">
            <v>193.5</v>
          </cell>
          <cell r="S452">
            <v>22.3</v>
          </cell>
        </row>
        <row r="453">
          <cell r="J453">
            <v>12.7</v>
          </cell>
          <cell r="S453">
            <v>158.19999999999999</v>
          </cell>
        </row>
        <row r="454">
          <cell r="J454">
            <v>7.2</v>
          </cell>
          <cell r="S454">
            <v>210.2</v>
          </cell>
        </row>
        <row r="455">
          <cell r="J455">
            <v>0</v>
          </cell>
          <cell r="S455">
            <v>357.9</v>
          </cell>
        </row>
        <row r="456">
          <cell r="J456">
            <v>0</v>
          </cell>
          <cell r="S456">
            <v>370.5</v>
          </cell>
        </row>
        <row r="457">
          <cell r="J457">
            <v>0</v>
          </cell>
          <cell r="S457">
            <v>425.5</v>
          </cell>
        </row>
        <row r="458">
          <cell r="J458">
            <v>0</v>
          </cell>
          <cell r="S458">
            <v>337.2</v>
          </cell>
        </row>
        <row r="459">
          <cell r="J459">
            <v>9.4</v>
          </cell>
          <cell r="S459">
            <v>228.3</v>
          </cell>
        </row>
        <row r="460">
          <cell r="J460">
            <v>48.6</v>
          </cell>
          <cell r="S460">
            <v>89.9</v>
          </cell>
        </row>
        <row r="461">
          <cell r="J461">
            <v>75.599999999999994</v>
          </cell>
          <cell r="S461">
            <v>63.1</v>
          </cell>
        </row>
      </sheetData>
      <sheetData sheetId="11" refreshError="1"/>
      <sheetData sheetId="12">
        <row r="6">
          <cell r="X6">
            <v>127.9</v>
          </cell>
          <cell r="Y6">
            <v>50.5</v>
          </cell>
        </row>
        <row r="7">
          <cell r="X7">
            <v>97.8</v>
          </cell>
          <cell r="Y7">
            <v>59.2</v>
          </cell>
        </row>
        <row r="8">
          <cell r="X8">
            <v>49.9</v>
          </cell>
          <cell r="Y8">
            <v>105.8</v>
          </cell>
        </row>
        <row r="9">
          <cell r="X9">
            <v>21.5</v>
          </cell>
          <cell r="Y9">
            <v>181.7</v>
          </cell>
        </row>
        <row r="10">
          <cell r="X10">
            <v>2.1</v>
          </cell>
          <cell r="Y10">
            <v>336.7</v>
          </cell>
        </row>
        <row r="11">
          <cell r="X11">
            <v>0</v>
          </cell>
          <cell r="Y11">
            <v>425.2</v>
          </cell>
        </row>
        <row r="12">
          <cell r="X12">
            <v>0</v>
          </cell>
          <cell r="Y12">
            <v>484.1</v>
          </cell>
        </row>
        <row r="13">
          <cell r="X13">
            <v>0</v>
          </cell>
          <cell r="Y13">
            <v>487.3</v>
          </cell>
        </row>
        <row r="14">
          <cell r="X14">
            <v>0</v>
          </cell>
          <cell r="Y14">
            <v>428.3</v>
          </cell>
        </row>
        <row r="15">
          <cell r="X15">
            <v>8.5</v>
          </cell>
          <cell r="Y15">
            <v>277.60000000000002</v>
          </cell>
        </row>
        <row r="16">
          <cell r="X16">
            <v>45.3</v>
          </cell>
          <cell r="Y16">
            <v>110.2</v>
          </cell>
        </row>
        <row r="17">
          <cell r="X17">
            <v>114.1</v>
          </cell>
          <cell r="Y17">
            <v>53.2</v>
          </cell>
        </row>
      </sheetData>
      <sheetData sheetId="13">
        <row r="6">
          <cell r="S6">
            <v>52.4</v>
          </cell>
          <cell r="T6">
            <v>72.3</v>
          </cell>
        </row>
        <row r="7">
          <cell r="S7">
            <v>36.5</v>
          </cell>
          <cell r="T7">
            <v>82.6</v>
          </cell>
        </row>
        <row r="8">
          <cell r="S8">
            <v>15.1</v>
          </cell>
          <cell r="T8">
            <v>140.4</v>
          </cell>
        </row>
        <row r="9">
          <cell r="S9">
            <v>4.8</v>
          </cell>
          <cell r="T9">
            <v>227.4</v>
          </cell>
        </row>
        <row r="10">
          <cell r="S10">
            <v>0.2</v>
          </cell>
          <cell r="T10">
            <v>395.2</v>
          </cell>
        </row>
        <row r="11">
          <cell r="S11">
            <v>0</v>
          </cell>
          <cell r="T11">
            <v>485.1</v>
          </cell>
        </row>
        <row r="12">
          <cell r="S12">
            <v>0</v>
          </cell>
          <cell r="T12">
            <v>546.1</v>
          </cell>
        </row>
        <row r="13">
          <cell r="S13">
            <v>0</v>
          </cell>
          <cell r="T13">
            <v>549</v>
          </cell>
        </row>
        <row r="14">
          <cell r="S14">
            <v>0</v>
          </cell>
          <cell r="T14">
            <v>487.9</v>
          </cell>
        </row>
        <row r="15">
          <cell r="S15">
            <v>2</v>
          </cell>
          <cell r="T15">
            <v>332.5</v>
          </cell>
        </row>
        <row r="16">
          <cell r="S16">
            <v>14</v>
          </cell>
          <cell r="T16">
            <v>146</v>
          </cell>
        </row>
        <row r="17">
          <cell r="S17">
            <v>44.3</v>
          </cell>
          <cell r="T17">
            <v>75.7</v>
          </cell>
        </row>
      </sheetData>
      <sheetData sheetId="14">
        <row r="6">
          <cell r="S6">
            <v>176.9</v>
          </cell>
          <cell r="T6">
            <v>23.9</v>
          </cell>
        </row>
        <row r="7">
          <cell r="S7">
            <v>139.1</v>
          </cell>
          <cell r="T7">
            <v>32.799999999999997</v>
          </cell>
        </row>
        <row r="8">
          <cell r="S8">
            <v>85.4</v>
          </cell>
          <cell r="T8">
            <v>64.099999999999994</v>
          </cell>
        </row>
        <row r="9">
          <cell r="S9">
            <v>34.700000000000003</v>
          </cell>
          <cell r="T9">
            <v>122</v>
          </cell>
        </row>
        <row r="10">
          <cell r="S10">
            <v>4.3</v>
          </cell>
          <cell r="T10">
            <v>253</v>
          </cell>
        </row>
        <row r="11">
          <cell r="S11">
            <v>0</v>
          </cell>
          <cell r="T11">
            <v>336.1</v>
          </cell>
        </row>
        <row r="12">
          <cell r="S12">
            <v>0</v>
          </cell>
          <cell r="T12">
            <v>391.2</v>
          </cell>
        </row>
        <row r="13">
          <cell r="S13">
            <v>0</v>
          </cell>
          <cell r="T13">
            <v>394.4</v>
          </cell>
        </row>
        <row r="14">
          <cell r="S14">
            <v>0</v>
          </cell>
          <cell r="T14">
            <v>339.3</v>
          </cell>
        </row>
        <row r="15">
          <cell r="S15">
            <v>15</v>
          </cell>
          <cell r="T15">
            <v>200.4</v>
          </cell>
        </row>
        <row r="16">
          <cell r="S16">
            <v>69.900000000000006</v>
          </cell>
          <cell r="T16">
            <v>66.3</v>
          </cell>
        </row>
        <row r="17">
          <cell r="S17">
            <v>170</v>
          </cell>
          <cell r="T17">
            <v>28.2</v>
          </cell>
        </row>
      </sheetData>
      <sheetData sheetId="15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TMWh"/>
      <sheetName val="RMWh"/>
      <sheetName val="CMWh"/>
      <sheetName val="IMWh"/>
      <sheetName val="SHLMWh"/>
      <sheetName val="SPAMWh"/>
      <sheetName val="1996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2006"/>
      <sheetName val="2007"/>
      <sheetName val="2008"/>
      <sheetName val="Charts"/>
    </sheetNames>
    <sheetDataSet>
      <sheetData sheetId="0">
        <row r="89">
          <cell r="B89">
            <v>2421535</v>
          </cell>
        </row>
      </sheetData>
      <sheetData sheetId="1">
        <row r="89">
          <cell r="B89">
            <v>1166783</v>
          </cell>
          <cell r="L89">
            <v>1303181</v>
          </cell>
        </row>
        <row r="90">
          <cell r="L90">
            <v>1323209</v>
          </cell>
        </row>
        <row r="91">
          <cell r="L91">
            <v>1140277</v>
          </cell>
        </row>
        <row r="92">
          <cell r="L92">
            <v>1104547</v>
          </cell>
        </row>
        <row r="93">
          <cell r="L93">
            <v>1241813</v>
          </cell>
        </row>
        <row r="94">
          <cell r="L94">
            <v>1623329</v>
          </cell>
        </row>
        <row r="95">
          <cell r="L95">
            <v>1782839</v>
          </cell>
        </row>
        <row r="96">
          <cell r="L96">
            <v>1788630</v>
          </cell>
        </row>
        <row r="97">
          <cell r="L97">
            <v>1816946</v>
          </cell>
        </row>
        <row r="98">
          <cell r="L98">
            <v>1556815</v>
          </cell>
        </row>
        <row r="99">
          <cell r="L99">
            <v>1177423</v>
          </cell>
        </row>
        <row r="100">
          <cell r="L100">
            <v>1215635</v>
          </cell>
        </row>
        <row r="101">
          <cell r="L101">
            <v>1436438</v>
          </cell>
        </row>
        <row r="102">
          <cell r="L102">
            <v>1295148</v>
          </cell>
        </row>
        <row r="103">
          <cell r="L103">
            <v>1173760</v>
          </cell>
        </row>
        <row r="104">
          <cell r="L104">
            <v>1169545</v>
          </cell>
        </row>
        <row r="105">
          <cell r="L105">
            <v>1241338</v>
          </cell>
        </row>
        <row r="106">
          <cell r="L106">
            <v>1657425</v>
          </cell>
        </row>
        <row r="107">
          <cell r="L107">
            <v>1797057</v>
          </cell>
        </row>
        <row r="108">
          <cell r="L108">
            <v>1858498</v>
          </cell>
        </row>
        <row r="109">
          <cell r="L109">
            <v>1878539</v>
          </cell>
        </row>
        <row r="110">
          <cell r="L110">
            <v>1599792</v>
          </cell>
        </row>
        <row r="111">
          <cell r="L111">
            <v>1245854</v>
          </cell>
        </row>
        <row r="112">
          <cell r="L112">
            <v>1283622</v>
          </cell>
        </row>
        <row r="113">
          <cell r="L113">
            <v>1408997</v>
          </cell>
        </row>
        <row r="114">
          <cell r="L114">
            <v>1282790</v>
          </cell>
        </row>
        <row r="115">
          <cell r="L115">
            <v>1177500</v>
          </cell>
        </row>
        <row r="116">
          <cell r="L116">
            <v>1251144</v>
          </cell>
        </row>
        <row r="117">
          <cell r="L117">
            <v>1338911</v>
          </cell>
        </row>
        <row r="118">
          <cell r="L118">
            <v>1709877</v>
          </cell>
        </row>
        <row r="119">
          <cell r="L119">
            <v>1860234</v>
          </cell>
        </row>
        <row r="120">
          <cell r="L120">
            <v>1904023</v>
          </cell>
        </row>
        <row r="121">
          <cell r="L121">
            <v>1925313</v>
          </cell>
        </row>
        <row r="122">
          <cell r="L122">
            <v>1643826</v>
          </cell>
        </row>
        <row r="123">
          <cell r="L123">
            <v>1349589</v>
          </cell>
        </row>
        <row r="124">
          <cell r="L124">
            <v>1344329</v>
          </cell>
        </row>
        <row r="125">
          <cell r="L125">
            <v>1503324</v>
          </cell>
        </row>
        <row r="126">
          <cell r="L126">
            <v>1364305</v>
          </cell>
        </row>
        <row r="127">
          <cell r="L127">
            <v>1274273</v>
          </cell>
        </row>
        <row r="128">
          <cell r="L128">
            <v>1265228</v>
          </cell>
        </row>
        <row r="129">
          <cell r="L129">
            <v>1412988</v>
          </cell>
        </row>
        <row r="130">
          <cell r="L130">
            <v>1805962</v>
          </cell>
        </row>
        <row r="131">
          <cell r="L131">
            <v>1929344</v>
          </cell>
        </row>
        <row r="132">
          <cell r="L132">
            <v>1993797</v>
          </cell>
        </row>
        <row r="133">
          <cell r="L133">
            <v>2000626</v>
          </cell>
        </row>
        <row r="134">
          <cell r="L134">
            <v>1716331</v>
          </cell>
        </row>
        <row r="135">
          <cell r="L135">
            <v>1335804</v>
          </cell>
        </row>
        <row r="136">
          <cell r="L136">
            <v>1349125</v>
          </cell>
        </row>
        <row r="137">
          <cell r="L137">
            <v>1519489</v>
          </cell>
        </row>
        <row r="138">
          <cell r="L138">
            <v>1392933</v>
          </cell>
        </row>
        <row r="139">
          <cell r="L139">
            <v>1271936</v>
          </cell>
        </row>
        <row r="140">
          <cell r="L140">
            <v>1251441</v>
          </cell>
        </row>
        <row r="141">
          <cell r="L141">
            <v>1410647</v>
          </cell>
        </row>
        <row r="142">
          <cell r="L142">
            <v>1855610</v>
          </cell>
        </row>
        <row r="143">
          <cell r="L143">
            <v>2014727</v>
          </cell>
        </row>
        <row r="144">
          <cell r="L144">
            <v>2121179</v>
          </cell>
        </row>
        <row r="145">
          <cell r="L145">
            <v>2034723</v>
          </cell>
        </row>
        <row r="146">
          <cell r="L146">
            <v>1765267</v>
          </cell>
        </row>
        <row r="147">
          <cell r="L147">
            <v>1396582</v>
          </cell>
        </row>
        <row r="148">
          <cell r="L148">
            <v>1396550</v>
          </cell>
        </row>
        <row r="149">
          <cell r="L149">
            <v>1555685</v>
          </cell>
        </row>
        <row r="150">
          <cell r="L150">
            <v>1430380</v>
          </cell>
        </row>
        <row r="151">
          <cell r="L151">
            <v>1325161</v>
          </cell>
        </row>
        <row r="152">
          <cell r="L152">
            <v>1322440</v>
          </cell>
        </row>
        <row r="153">
          <cell r="L153">
            <v>1447925</v>
          </cell>
        </row>
        <row r="154">
          <cell r="L154">
            <v>1887686</v>
          </cell>
        </row>
        <row r="155">
          <cell r="L155">
            <v>2037498</v>
          </cell>
        </row>
        <row r="156">
          <cell r="L156">
            <v>2036035</v>
          </cell>
        </row>
        <row r="157">
          <cell r="L157">
            <v>2078209</v>
          </cell>
        </row>
        <row r="158">
          <cell r="L158">
            <v>1712195</v>
          </cell>
        </row>
        <row r="159">
          <cell r="L159">
            <v>1399970</v>
          </cell>
        </row>
        <row r="160">
          <cell r="L160">
            <v>1402983</v>
          </cell>
        </row>
        <row r="161">
          <cell r="L161">
            <v>1575219</v>
          </cell>
        </row>
        <row r="162">
          <cell r="L162">
            <v>1437543</v>
          </cell>
        </row>
        <row r="163">
          <cell r="L163">
            <v>1306273</v>
          </cell>
        </row>
        <row r="164">
          <cell r="L164">
            <v>1271830</v>
          </cell>
        </row>
        <row r="165">
          <cell r="L165">
            <v>1480536</v>
          </cell>
        </row>
        <row r="166">
          <cell r="L166">
            <v>1834070</v>
          </cell>
        </row>
        <row r="167">
          <cell r="L167">
            <v>2087830</v>
          </cell>
        </row>
        <row r="168">
          <cell r="L168">
            <v>2160096</v>
          </cell>
        </row>
        <row r="169">
          <cell r="L169">
            <v>2114305</v>
          </cell>
        </row>
        <row r="170">
          <cell r="L170">
            <v>1872194</v>
          </cell>
        </row>
        <row r="171">
          <cell r="L171">
            <v>1478310</v>
          </cell>
        </row>
        <row r="172">
          <cell r="L172">
            <v>1399237</v>
          </cell>
        </row>
        <row r="173">
          <cell r="L173">
            <v>1745211</v>
          </cell>
        </row>
        <row r="174">
          <cell r="L174">
            <v>1389646</v>
          </cell>
        </row>
        <row r="175">
          <cell r="L175">
            <v>1344955</v>
          </cell>
        </row>
        <row r="176">
          <cell r="L176">
            <v>1354307</v>
          </cell>
        </row>
        <row r="177">
          <cell r="L177">
            <v>1467205</v>
          </cell>
        </row>
        <row r="178">
          <cell r="L178">
            <v>1843567</v>
          </cell>
        </row>
        <row r="179">
          <cell r="L179">
            <v>2087428</v>
          </cell>
        </row>
        <row r="180">
          <cell r="L180">
            <v>2148204</v>
          </cell>
        </row>
        <row r="181">
          <cell r="L181">
            <v>2112908</v>
          </cell>
        </row>
        <row r="182">
          <cell r="L182">
            <v>1852725</v>
          </cell>
        </row>
        <row r="183">
          <cell r="L183">
            <v>1443280</v>
          </cell>
        </row>
        <row r="184">
          <cell r="L184">
            <v>1386319</v>
          </cell>
        </row>
        <row r="185">
          <cell r="L185">
            <v>1496973</v>
          </cell>
        </row>
        <row r="186">
          <cell r="L186">
            <v>1408687</v>
          </cell>
        </row>
        <row r="187">
          <cell r="L187">
            <v>1337529</v>
          </cell>
        </row>
        <row r="188">
          <cell r="L188">
            <v>1350991</v>
          </cell>
        </row>
        <row r="189">
          <cell r="L189">
            <v>1442476</v>
          </cell>
        </row>
        <row r="190">
          <cell r="L190">
            <v>1840526</v>
          </cell>
        </row>
        <row r="191">
          <cell r="L191">
            <v>2000634</v>
          </cell>
        </row>
        <row r="192">
          <cell r="L192">
            <v>2072125</v>
          </cell>
        </row>
        <row r="193">
          <cell r="L193">
            <v>2084131</v>
          </cell>
        </row>
        <row r="194">
          <cell r="L194">
            <v>1747155</v>
          </cell>
        </row>
        <row r="195">
          <cell r="L195">
            <v>1363998</v>
          </cell>
        </row>
        <row r="196">
          <cell r="L196">
            <v>1367038</v>
          </cell>
        </row>
        <row r="197">
          <cell r="L197">
            <v>1508554</v>
          </cell>
        </row>
        <row r="198">
          <cell r="L198">
            <v>1340659</v>
          </cell>
        </row>
        <row r="199">
          <cell r="L199">
            <v>1245392</v>
          </cell>
        </row>
        <row r="200">
          <cell r="L200">
            <v>1251269</v>
          </cell>
        </row>
        <row r="201">
          <cell r="L201">
            <v>1374448</v>
          </cell>
        </row>
        <row r="202">
          <cell r="L202">
            <v>1802939</v>
          </cell>
        </row>
        <row r="203">
          <cell r="L203">
            <v>1979687</v>
          </cell>
        </row>
        <row r="204">
          <cell r="L204">
            <v>2041015</v>
          </cell>
        </row>
        <row r="205">
          <cell r="L205">
            <v>2020555</v>
          </cell>
        </row>
        <row r="206">
          <cell r="L206">
            <v>1724923</v>
          </cell>
        </row>
        <row r="207">
          <cell r="L207">
            <v>1337712</v>
          </cell>
        </row>
        <row r="208">
          <cell r="L208">
            <v>1309558</v>
          </cell>
        </row>
        <row r="209">
          <cell r="L209">
            <v>1332298</v>
          </cell>
        </row>
        <row r="210">
          <cell r="L210">
            <v>1326517</v>
          </cell>
        </row>
        <row r="211">
          <cell r="L211">
            <v>1190677</v>
          </cell>
        </row>
        <row r="212">
          <cell r="L212">
            <v>1309509</v>
          </cell>
        </row>
        <row r="213">
          <cell r="L213">
            <v>1399456</v>
          </cell>
        </row>
        <row r="214">
          <cell r="L214">
            <v>1721441</v>
          </cell>
        </row>
        <row r="215">
          <cell r="L215">
            <v>1910694</v>
          </cell>
        </row>
        <row r="216">
          <cell r="L216">
            <v>2029848</v>
          </cell>
        </row>
        <row r="217">
          <cell r="L217">
            <v>1904295</v>
          </cell>
        </row>
        <row r="218">
          <cell r="L218">
            <v>1644216</v>
          </cell>
        </row>
        <row r="219">
          <cell r="L219">
            <v>1288936</v>
          </cell>
        </row>
        <row r="220">
          <cell r="L220">
            <v>1199467</v>
          </cell>
        </row>
        <row r="221">
          <cell r="L221">
            <v>1333256</v>
          </cell>
        </row>
        <row r="222">
          <cell r="L222">
            <v>1345452</v>
          </cell>
        </row>
        <row r="223">
          <cell r="L223">
            <v>1260652</v>
          </cell>
        </row>
        <row r="224">
          <cell r="L224">
            <v>1264850</v>
          </cell>
        </row>
        <row r="225">
          <cell r="L225">
            <v>1360510</v>
          </cell>
        </row>
        <row r="226">
          <cell r="L226">
            <v>1772402</v>
          </cell>
        </row>
        <row r="227">
          <cell r="L227">
            <v>1914615</v>
          </cell>
        </row>
        <row r="228">
          <cell r="L228">
            <v>1921388</v>
          </cell>
        </row>
        <row r="229">
          <cell r="L229">
            <v>1975306</v>
          </cell>
        </row>
        <row r="230">
          <cell r="L230">
            <v>1718858</v>
          </cell>
        </row>
        <row r="231">
          <cell r="L231">
            <v>1378575</v>
          </cell>
        </row>
        <row r="232">
          <cell r="L232">
            <v>1310052</v>
          </cell>
        </row>
        <row r="233">
          <cell r="L233">
            <v>1426857</v>
          </cell>
        </row>
        <row r="234">
          <cell r="L234">
            <v>1351214</v>
          </cell>
        </row>
        <row r="235">
          <cell r="L235">
            <v>1287572</v>
          </cell>
        </row>
        <row r="236">
          <cell r="L236">
            <v>1278805</v>
          </cell>
        </row>
        <row r="237">
          <cell r="L237">
            <v>1386218</v>
          </cell>
        </row>
        <row r="238">
          <cell r="L238">
            <v>1742494</v>
          </cell>
        </row>
        <row r="239">
          <cell r="L239">
            <v>1925949</v>
          </cell>
        </row>
        <row r="240">
          <cell r="L240">
            <v>2002714</v>
          </cell>
        </row>
        <row r="241">
          <cell r="L241">
            <v>1957611</v>
          </cell>
        </row>
        <row r="242">
          <cell r="L242">
            <v>1674231</v>
          </cell>
        </row>
        <row r="243">
          <cell r="L243">
            <v>1301251</v>
          </cell>
        </row>
        <row r="244">
          <cell r="L244">
            <v>1307591</v>
          </cell>
        </row>
        <row r="245">
          <cell r="L245">
            <v>1419742</v>
          </cell>
        </row>
        <row r="246">
          <cell r="L246">
            <v>1407920</v>
          </cell>
        </row>
        <row r="247">
          <cell r="L247">
            <v>1249973</v>
          </cell>
        </row>
        <row r="248">
          <cell r="L248">
            <v>1231978</v>
          </cell>
        </row>
        <row r="249">
          <cell r="L249">
            <v>1390101</v>
          </cell>
        </row>
        <row r="250">
          <cell r="L250">
            <v>1754096</v>
          </cell>
        </row>
        <row r="251">
          <cell r="L251">
            <v>1894832</v>
          </cell>
        </row>
        <row r="252">
          <cell r="L252">
            <v>1936532</v>
          </cell>
        </row>
        <row r="253">
          <cell r="L253">
            <v>1922405</v>
          </cell>
        </row>
        <row r="254">
          <cell r="L254">
            <v>1703245</v>
          </cell>
        </row>
        <row r="255">
          <cell r="L255">
            <v>1286296</v>
          </cell>
        </row>
        <row r="256">
          <cell r="L256">
            <v>1255003</v>
          </cell>
        </row>
      </sheetData>
      <sheetData sheetId="2">
        <row r="89">
          <cell r="B89">
            <v>699317</v>
          </cell>
          <cell r="L89">
            <v>755866</v>
          </cell>
        </row>
        <row r="90">
          <cell r="L90">
            <v>782590</v>
          </cell>
        </row>
        <row r="91">
          <cell r="L91">
            <v>767554</v>
          </cell>
        </row>
        <row r="92">
          <cell r="L92">
            <v>842979</v>
          </cell>
        </row>
        <row r="93">
          <cell r="L93">
            <v>897106</v>
          </cell>
        </row>
        <row r="94">
          <cell r="L94">
            <v>985497</v>
          </cell>
        </row>
        <row r="95">
          <cell r="L95">
            <v>1058971</v>
          </cell>
        </row>
        <row r="96">
          <cell r="L96">
            <v>1034932</v>
          </cell>
        </row>
        <row r="97">
          <cell r="L97">
            <v>1058502</v>
          </cell>
        </row>
        <row r="98">
          <cell r="L98">
            <v>984721</v>
          </cell>
        </row>
        <row r="99">
          <cell r="L99">
            <v>860073</v>
          </cell>
        </row>
        <row r="100">
          <cell r="L100">
            <v>827468</v>
          </cell>
        </row>
        <row r="101">
          <cell r="L101">
            <v>803065</v>
          </cell>
        </row>
        <row r="102">
          <cell r="L102">
            <v>769670</v>
          </cell>
        </row>
        <row r="103">
          <cell r="L103">
            <v>790682</v>
          </cell>
        </row>
        <row r="104">
          <cell r="L104">
            <v>856291</v>
          </cell>
        </row>
        <row r="105">
          <cell r="L105">
            <v>890160</v>
          </cell>
        </row>
        <row r="106">
          <cell r="L106">
            <v>1018561</v>
          </cell>
        </row>
        <row r="107">
          <cell r="L107">
            <v>1052111</v>
          </cell>
        </row>
        <row r="108">
          <cell r="L108">
            <v>1070365</v>
          </cell>
        </row>
        <row r="109">
          <cell r="L109">
            <v>1088038</v>
          </cell>
        </row>
        <row r="110">
          <cell r="L110">
            <v>978691</v>
          </cell>
        </row>
        <row r="111">
          <cell r="L111">
            <v>885887</v>
          </cell>
        </row>
        <row r="112">
          <cell r="L112">
            <v>855122</v>
          </cell>
        </row>
        <row r="113">
          <cell r="L113">
            <v>836636</v>
          </cell>
        </row>
        <row r="114">
          <cell r="L114">
            <v>770777</v>
          </cell>
        </row>
        <row r="115">
          <cell r="L115">
            <v>794245</v>
          </cell>
        </row>
        <row r="116">
          <cell r="L116">
            <v>863367</v>
          </cell>
        </row>
        <row r="117">
          <cell r="L117">
            <v>924215</v>
          </cell>
        </row>
        <row r="118">
          <cell r="L118">
            <v>1006233</v>
          </cell>
        </row>
        <row r="119">
          <cell r="L119">
            <v>1066186</v>
          </cell>
        </row>
        <row r="120">
          <cell r="L120">
            <v>1079642</v>
          </cell>
        </row>
        <row r="121">
          <cell r="L121">
            <v>1081256</v>
          </cell>
        </row>
        <row r="122">
          <cell r="L122">
            <v>1009603</v>
          </cell>
        </row>
        <row r="123">
          <cell r="L123">
            <v>936823</v>
          </cell>
        </row>
        <row r="124">
          <cell r="L124">
            <v>891117</v>
          </cell>
        </row>
        <row r="125">
          <cell r="L125">
            <v>832148</v>
          </cell>
        </row>
        <row r="126">
          <cell r="L126">
            <v>781949</v>
          </cell>
        </row>
        <row r="127">
          <cell r="L127">
            <v>822540</v>
          </cell>
        </row>
        <row r="128">
          <cell r="L128">
            <v>874195</v>
          </cell>
        </row>
        <row r="129">
          <cell r="L129">
            <v>943961</v>
          </cell>
        </row>
        <row r="130">
          <cell r="L130">
            <v>1065321</v>
          </cell>
        </row>
        <row r="131">
          <cell r="L131">
            <v>1103528</v>
          </cell>
        </row>
        <row r="132">
          <cell r="L132">
            <v>1115471</v>
          </cell>
        </row>
        <row r="133">
          <cell r="L133">
            <v>1147539</v>
          </cell>
        </row>
        <row r="134">
          <cell r="L134">
            <v>1012928</v>
          </cell>
        </row>
        <row r="135">
          <cell r="L135">
            <v>914118</v>
          </cell>
        </row>
        <row r="136">
          <cell r="L136">
            <v>889018</v>
          </cell>
        </row>
        <row r="137">
          <cell r="L137">
            <v>874192</v>
          </cell>
        </row>
        <row r="138">
          <cell r="L138">
            <v>813643</v>
          </cell>
        </row>
        <row r="139">
          <cell r="L139">
            <v>824407</v>
          </cell>
        </row>
        <row r="140">
          <cell r="L140">
            <v>901753</v>
          </cell>
        </row>
        <row r="141">
          <cell r="L141">
            <v>955525</v>
          </cell>
        </row>
        <row r="142">
          <cell r="L142">
            <v>1091146</v>
          </cell>
        </row>
        <row r="143">
          <cell r="L143">
            <v>1140746</v>
          </cell>
        </row>
        <row r="144">
          <cell r="L144">
            <v>1136853</v>
          </cell>
        </row>
        <row r="145">
          <cell r="L145">
            <v>1079316</v>
          </cell>
        </row>
        <row r="146">
          <cell r="L146">
            <v>1032108</v>
          </cell>
        </row>
        <row r="147">
          <cell r="L147">
            <v>964026</v>
          </cell>
        </row>
        <row r="148">
          <cell r="L148">
            <v>923901</v>
          </cell>
        </row>
        <row r="149">
          <cell r="L149">
            <v>904452</v>
          </cell>
        </row>
        <row r="150">
          <cell r="L150">
            <v>844763</v>
          </cell>
        </row>
        <row r="151">
          <cell r="L151">
            <v>864201</v>
          </cell>
        </row>
        <row r="152">
          <cell r="L152">
            <v>925681</v>
          </cell>
        </row>
        <row r="153">
          <cell r="L153">
            <v>966610</v>
          </cell>
        </row>
        <row r="154">
          <cell r="L154">
            <v>1097093</v>
          </cell>
        </row>
        <row r="155">
          <cell r="L155">
            <v>1144251</v>
          </cell>
        </row>
        <row r="156">
          <cell r="L156">
            <v>1113579</v>
          </cell>
        </row>
        <row r="157">
          <cell r="L157">
            <v>1166240</v>
          </cell>
        </row>
        <row r="158">
          <cell r="L158">
            <v>1026547</v>
          </cell>
        </row>
        <row r="159">
          <cell r="L159">
            <v>959985</v>
          </cell>
        </row>
        <row r="160">
          <cell r="L160">
            <v>917486</v>
          </cell>
        </row>
        <row r="161">
          <cell r="L161">
            <v>888928</v>
          </cell>
        </row>
        <row r="162">
          <cell r="L162">
            <v>827999</v>
          </cell>
        </row>
        <row r="163">
          <cell r="L163">
            <v>846927</v>
          </cell>
        </row>
        <row r="164">
          <cell r="L164">
            <v>900161</v>
          </cell>
        </row>
        <row r="165">
          <cell r="L165">
            <v>984918</v>
          </cell>
        </row>
        <row r="166">
          <cell r="L166">
            <v>1080786</v>
          </cell>
        </row>
        <row r="167">
          <cell r="L167">
            <v>1143012</v>
          </cell>
        </row>
        <row r="168">
          <cell r="L168">
            <v>1170563</v>
          </cell>
        </row>
        <row r="169">
          <cell r="L169">
            <v>1163740</v>
          </cell>
        </row>
        <row r="170">
          <cell r="L170">
            <v>1067354</v>
          </cell>
        </row>
        <row r="171">
          <cell r="L171">
            <v>986374</v>
          </cell>
        </row>
        <row r="172">
          <cell r="L172">
            <v>926177</v>
          </cell>
        </row>
        <row r="173">
          <cell r="L173">
            <v>908036</v>
          </cell>
        </row>
        <row r="174">
          <cell r="L174">
            <v>843241</v>
          </cell>
        </row>
        <row r="175">
          <cell r="L175">
            <v>866021</v>
          </cell>
        </row>
        <row r="176">
          <cell r="L176">
            <v>932303</v>
          </cell>
        </row>
        <row r="177">
          <cell r="L177">
            <v>978529</v>
          </cell>
        </row>
        <row r="178">
          <cell r="L178">
            <v>1068414</v>
          </cell>
        </row>
        <row r="179">
          <cell r="L179">
            <v>1150242</v>
          </cell>
        </row>
        <row r="180">
          <cell r="L180">
            <v>1188595</v>
          </cell>
        </row>
        <row r="181">
          <cell r="L181">
            <v>1180771</v>
          </cell>
        </row>
        <row r="182">
          <cell r="L182">
            <v>1086247</v>
          </cell>
        </row>
        <row r="183">
          <cell r="L183">
            <v>994936</v>
          </cell>
        </row>
        <row r="184">
          <cell r="L184">
            <v>926107</v>
          </cell>
        </row>
        <row r="185">
          <cell r="L185">
            <v>905294</v>
          </cell>
        </row>
        <row r="186">
          <cell r="L186">
            <v>869646</v>
          </cell>
        </row>
        <row r="187">
          <cell r="L187">
            <v>882900</v>
          </cell>
        </row>
        <row r="188">
          <cell r="L188">
            <v>937133</v>
          </cell>
        </row>
        <row r="189">
          <cell r="L189">
            <v>971197</v>
          </cell>
        </row>
        <row r="190">
          <cell r="L190">
            <v>1145189</v>
          </cell>
        </row>
        <row r="191">
          <cell r="L191">
            <v>1144257</v>
          </cell>
        </row>
        <row r="192">
          <cell r="L192">
            <v>1181492</v>
          </cell>
        </row>
        <row r="193">
          <cell r="L193">
            <v>1203733</v>
          </cell>
        </row>
        <row r="194">
          <cell r="L194">
            <v>1055817</v>
          </cell>
        </row>
        <row r="195">
          <cell r="L195">
            <v>962891</v>
          </cell>
        </row>
        <row r="196">
          <cell r="L196">
            <v>913213</v>
          </cell>
        </row>
        <row r="197">
          <cell r="L197">
            <v>886350</v>
          </cell>
        </row>
        <row r="198">
          <cell r="L198">
            <v>813808</v>
          </cell>
        </row>
        <row r="199">
          <cell r="L199">
            <v>852075</v>
          </cell>
        </row>
        <row r="200">
          <cell r="L200">
            <v>900564</v>
          </cell>
        </row>
        <row r="201">
          <cell r="L201">
            <v>945668</v>
          </cell>
        </row>
        <row r="202">
          <cell r="L202">
            <v>1071880</v>
          </cell>
        </row>
        <row r="203">
          <cell r="L203">
            <v>1128558</v>
          </cell>
        </row>
        <row r="204">
          <cell r="L204">
            <v>1130135</v>
          </cell>
        </row>
        <row r="205">
          <cell r="L205">
            <v>1140291</v>
          </cell>
        </row>
        <row r="206">
          <cell r="L206">
            <v>1041226</v>
          </cell>
        </row>
        <row r="207">
          <cell r="L207">
            <v>930044</v>
          </cell>
        </row>
        <row r="208">
          <cell r="L208">
            <v>903114</v>
          </cell>
        </row>
        <row r="209">
          <cell r="E209">
            <v>919540</v>
          </cell>
          <cell r="L209">
            <v>885067</v>
          </cell>
        </row>
        <row r="210">
          <cell r="E210">
            <v>849321</v>
          </cell>
          <cell r="L210">
            <v>836646</v>
          </cell>
        </row>
        <row r="211">
          <cell r="E211">
            <v>834577</v>
          </cell>
          <cell r="L211">
            <v>852104</v>
          </cell>
        </row>
        <row r="212">
          <cell r="E212">
            <v>861565</v>
          </cell>
          <cell r="L212">
            <v>913341</v>
          </cell>
        </row>
        <row r="213">
          <cell r="E213">
            <v>951627</v>
          </cell>
          <cell r="L213">
            <v>937685</v>
          </cell>
        </row>
        <row r="214">
          <cell r="E214">
            <v>1110753</v>
          </cell>
          <cell r="L214">
            <v>1077679</v>
          </cell>
        </row>
        <row r="215">
          <cell r="E215">
            <v>1153593</v>
          </cell>
          <cell r="L215">
            <v>1114140</v>
          </cell>
        </row>
        <row r="216">
          <cell r="E216">
            <v>1161682</v>
          </cell>
          <cell r="L216">
            <v>1123071</v>
          </cell>
        </row>
        <row r="217">
          <cell r="E217">
            <v>1154376</v>
          </cell>
          <cell r="L217">
            <v>1133667</v>
          </cell>
        </row>
        <row r="218">
          <cell r="E218">
            <v>1054790</v>
          </cell>
          <cell r="L218">
            <v>1042514</v>
          </cell>
        </row>
        <row r="219">
          <cell r="E219">
            <v>927453</v>
          </cell>
          <cell r="L219">
            <v>909004</v>
          </cell>
        </row>
        <row r="220">
          <cell r="E220">
            <v>909215</v>
          </cell>
          <cell r="L220">
            <v>888882</v>
          </cell>
        </row>
        <row r="221">
          <cell r="E221">
            <v>912173</v>
          </cell>
          <cell r="L221">
            <v>896659</v>
          </cell>
        </row>
        <row r="222">
          <cell r="E222">
            <v>819066</v>
          </cell>
          <cell r="L222">
            <v>820850</v>
          </cell>
        </row>
        <row r="223">
          <cell r="E223">
            <v>838740</v>
          </cell>
          <cell r="L223">
            <v>833357</v>
          </cell>
        </row>
        <row r="224">
          <cell r="E224">
            <v>904938</v>
          </cell>
          <cell r="L224">
            <v>893631</v>
          </cell>
        </row>
        <row r="225">
          <cell r="E225">
            <v>1021790</v>
          </cell>
          <cell r="L225">
            <v>962147</v>
          </cell>
        </row>
        <row r="226">
          <cell r="E226">
            <v>1086842</v>
          </cell>
          <cell r="L226">
            <v>1081165</v>
          </cell>
        </row>
        <row r="227">
          <cell r="E227">
            <v>1135355</v>
          </cell>
          <cell r="L227">
            <v>1116611</v>
          </cell>
        </row>
        <row r="228">
          <cell r="E228">
            <v>1196310</v>
          </cell>
          <cell r="L228">
            <v>1162262</v>
          </cell>
        </row>
        <row r="229">
          <cell r="E229">
            <v>1142214</v>
          </cell>
          <cell r="L229">
            <v>1130912</v>
          </cell>
        </row>
        <row r="230">
          <cell r="E230">
            <v>1053964</v>
          </cell>
          <cell r="L230">
            <v>1052719</v>
          </cell>
        </row>
        <row r="231">
          <cell r="E231">
            <v>903314</v>
          </cell>
          <cell r="L231">
            <v>939468</v>
          </cell>
        </row>
        <row r="232">
          <cell r="E232">
            <v>899178</v>
          </cell>
          <cell r="L232">
            <v>892288</v>
          </cell>
        </row>
        <row r="233">
          <cell r="E233">
            <v>886166</v>
          </cell>
          <cell r="L233">
            <v>885172</v>
          </cell>
        </row>
        <row r="234">
          <cell r="E234">
            <v>809301</v>
          </cell>
          <cell r="L234">
            <v>802458</v>
          </cell>
        </row>
        <row r="235">
          <cell r="E235">
            <v>868359</v>
          </cell>
          <cell r="L235">
            <v>842752</v>
          </cell>
        </row>
        <row r="236">
          <cell r="E236">
            <v>949465</v>
          </cell>
          <cell r="L236">
            <v>896983</v>
          </cell>
        </row>
        <row r="237">
          <cell r="E237">
            <v>961956</v>
          </cell>
          <cell r="L237">
            <v>947596</v>
          </cell>
        </row>
        <row r="238">
          <cell r="E238">
            <v>1055573</v>
          </cell>
          <cell r="L238">
            <v>1057013</v>
          </cell>
        </row>
        <row r="239">
          <cell r="E239">
            <v>1077932</v>
          </cell>
          <cell r="L239">
            <v>1099077</v>
          </cell>
        </row>
        <row r="240">
          <cell r="E240">
            <v>1159304</v>
          </cell>
          <cell r="L240">
            <v>1147907</v>
          </cell>
        </row>
        <row r="241">
          <cell r="E241">
            <v>1111552</v>
          </cell>
          <cell r="L241">
            <v>1121659</v>
          </cell>
        </row>
        <row r="242">
          <cell r="E242">
            <v>1039844</v>
          </cell>
          <cell r="L242">
            <v>1022010</v>
          </cell>
        </row>
        <row r="243">
          <cell r="E243">
            <v>934271</v>
          </cell>
          <cell r="L243">
            <v>932665</v>
          </cell>
        </row>
        <row r="244">
          <cell r="E244">
            <v>862467</v>
          </cell>
          <cell r="L244">
            <v>887741</v>
          </cell>
        </row>
        <row r="245">
          <cell r="E245">
            <v>875707</v>
          </cell>
          <cell r="L245">
            <v>869735</v>
          </cell>
        </row>
        <row r="246">
          <cell r="E246">
            <v>820802</v>
          </cell>
          <cell r="L246">
            <v>811730</v>
          </cell>
        </row>
        <row r="247">
          <cell r="L247">
            <v>827286</v>
          </cell>
        </row>
        <row r="248">
          <cell r="L248">
            <v>895556</v>
          </cell>
        </row>
        <row r="249">
          <cell r="L249">
            <v>963013</v>
          </cell>
        </row>
        <row r="250">
          <cell r="L250">
            <v>1072618</v>
          </cell>
        </row>
        <row r="251">
          <cell r="L251">
            <v>1095748</v>
          </cell>
        </row>
        <row r="252">
          <cell r="L252">
            <v>1112916</v>
          </cell>
        </row>
        <row r="253">
          <cell r="L253">
            <v>1112615</v>
          </cell>
        </row>
        <row r="254">
          <cell r="L254">
            <v>1047161</v>
          </cell>
        </row>
        <row r="255">
          <cell r="L255">
            <v>888117</v>
          </cell>
        </row>
        <row r="256">
          <cell r="L256">
            <v>878828</v>
          </cell>
        </row>
      </sheetData>
      <sheetData sheetId="3">
        <row r="89">
          <cell r="B89">
            <v>376396</v>
          </cell>
          <cell r="E89">
            <v>363251</v>
          </cell>
        </row>
        <row r="90">
          <cell r="E90">
            <v>320699</v>
          </cell>
        </row>
        <row r="91">
          <cell r="E91">
            <v>385835</v>
          </cell>
        </row>
        <row r="92">
          <cell r="E92">
            <v>375397</v>
          </cell>
        </row>
        <row r="93">
          <cell r="E93">
            <v>343331</v>
          </cell>
        </row>
        <row r="94">
          <cell r="E94">
            <v>383672</v>
          </cell>
        </row>
        <row r="95">
          <cell r="E95">
            <v>371309</v>
          </cell>
        </row>
        <row r="96">
          <cell r="E96">
            <v>331821</v>
          </cell>
        </row>
        <row r="97">
          <cell r="E97">
            <v>372083</v>
          </cell>
        </row>
        <row r="98">
          <cell r="E98">
            <v>342581</v>
          </cell>
        </row>
        <row r="99">
          <cell r="E99">
            <v>345827</v>
          </cell>
        </row>
        <row r="100">
          <cell r="E100">
            <v>317132</v>
          </cell>
        </row>
        <row r="101">
          <cell r="E101">
            <v>330908</v>
          </cell>
        </row>
        <row r="102">
          <cell r="E102">
            <v>295304</v>
          </cell>
        </row>
        <row r="103">
          <cell r="E103">
            <v>355685</v>
          </cell>
        </row>
        <row r="104">
          <cell r="E104">
            <v>332965</v>
          </cell>
        </row>
        <row r="105">
          <cell r="E105">
            <v>328164</v>
          </cell>
        </row>
        <row r="106">
          <cell r="E106">
            <v>344161</v>
          </cell>
        </row>
        <row r="107">
          <cell r="E107">
            <v>307594</v>
          </cell>
        </row>
        <row r="108">
          <cell r="E108">
            <v>299264</v>
          </cell>
        </row>
        <row r="109">
          <cell r="E109">
            <v>325191</v>
          </cell>
        </row>
        <row r="110">
          <cell r="E110">
            <v>313055</v>
          </cell>
        </row>
        <row r="111">
          <cell r="E111">
            <v>326558</v>
          </cell>
        </row>
        <row r="112">
          <cell r="E112">
            <v>312071</v>
          </cell>
        </row>
        <row r="113">
          <cell r="E113">
            <v>271158</v>
          </cell>
        </row>
        <row r="114">
          <cell r="E114">
            <v>318374</v>
          </cell>
        </row>
        <row r="115">
          <cell r="E115">
            <v>293776</v>
          </cell>
        </row>
        <row r="116">
          <cell r="E116">
            <v>313469</v>
          </cell>
        </row>
        <row r="117">
          <cell r="E117">
            <v>351077</v>
          </cell>
        </row>
        <row r="118">
          <cell r="E118">
            <v>332117</v>
          </cell>
        </row>
        <row r="119">
          <cell r="E119">
            <v>335987</v>
          </cell>
        </row>
        <row r="120">
          <cell r="E120">
            <v>315853</v>
          </cell>
        </row>
        <row r="121">
          <cell r="E121">
            <v>326953</v>
          </cell>
        </row>
        <row r="122">
          <cell r="E122">
            <v>318748</v>
          </cell>
        </row>
        <row r="123">
          <cell r="E123">
            <v>301469</v>
          </cell>
        </row>
        <row r="124">
          <cell r="E124">
            <v>336322</v>
          </cell>
        </row>
        <row r="125">
          <cell r="E125">
            <v>316983</v>
          </cell>
        </row>
        <row r="126">
          <cell r="E126">
            <v>324334</v>
          </cell>
        </row>
        <row r="127">
          <cell r="E127">
            <v>296401</v>
          </cell>
        </row>
        <row r="128">
          <cell r="E128">
            <v>324866</v>
          </cell>
        </row>
        <row r="129">
          <cell r="E129">
            <v>305247</v>
          </cell>
        </row>
        <row r="130">
          <cell r="E130">
            <v>376443</v>
          </cell>
        </row>
        <row r="131">
          <cell r="E131">
            <v>337265</v>
          </cell>
        </row>
        <row r="132">
          <cell r="E132">
            <v>342881</v>
          </cell>
        </row>
        <row r="133">
          <cell r="E133">
            <v>347283</v>
          </cell>
        </row>
        <row r="134">
          <cell r="E134">
            <v>376925</v>
          </cell>
        </row>
        <row r="135">
          <cell r="E135">
            <v>356262</v>
          </cell>
        </row>
        <row r="136">
          <cell r="E136">
            <v>315437</v>
          </cell>
        </row>
        <row r="137">
          <cell r="E137">
            <v>326432</v>
          </cell>
        </row>
        <row r="138">
          <cell r="E138">
            <v>329313</v>
          </cell>
        </row>
        <row r="139">
          <cell r="E139">
            <v>346611</v>
          </cell>
        </row>
        <row r="140">
          <cell r="E140">
            <v>362409</v>
          </cell>
        </row>
        <row r="141">
          <cell r="E141">
            <v>334034</v>
          </cell>
        </row>
        <row r="142">
          <cell r="E142">
            <v>352464</v>
          </cell>
        </row>
        <row r="143">
          <cell r="E143">
            <v>335077</v>
          </cell>
        </row>
        <row r="144">
          <cell r="E144">
            <v>356821</v>
          </cell>
        </row>
        <row r="145">
          <cell r="E145">
            <v>327583</v>
          </cell>
        </row>
        <row r="146">
          <cell r="E146">
            <v>303307</v>
          </cell>
        </row>
        <row r="147">
          <cell r="E147">
            <v>322342</v>
          </cell>
        </row>
        <row r="148">
          <cell r="E148">
            <v>350778</v>
          </cell>
        </row>
        <row r="149">
          <cell r="E149">
            <v>330799</v>
          </cell>
        </row>
        <row r="150">
          <cell r="E150">
            <v>321211</v>
          </cell>
        </row>
        <row r="151">
          <cell r="E151">
            <v>301444</v>
          </cell>
        </row>
        <row r="152">
          <cell r="E152">
            <v>346889</v>
          </cell>
        </row>
        <row r="153">
          <cell r="E153">
            <v>319115</v>
          </cell>
        </row>
        <row r="154">
          <cell r="E154">
            <v>358344</v>
          </cell>
        </row>
        <row r="155">
          <cell r="E155">
            <v>356305</v>
          </cell>
        </row>
        <row r="156">
          <cell r="E156">
            <v>385211</v>
          </cell>
        </row>
        <row r="157">
          <cell r="E157">
            <v>367732</v>
          </cell>
        </row>
        <row r="158">
          <cell r="E158">
            <v>361030</v>
          </cell>
        </row>
        <row r="159">
          <cell r="E159">
            <v>359454</v>
          </cell>
        </row>
        <row r="160">
          <cell r="E160">
            <v>332613</v>
          </cell>
        </row>
        <row r="161">
          <cell r="E161">
            <v>349884</v>
          </cell>
        </row>
        <row r="162">
          <cell r="E162">
            <v>331625</v>
          </cell>
        </row>
        <row r="163">
          <cell r="E163">
            <v>321889</v>
          </cell>
        </row>
        <row r="164">
          <cell r="E164">
            <v>362109</v>
          </cell>
        </row>
        <row r="165">
          <cell r="E165">
            <v>355618</v>
          </cell>
        </row>
        <row r="166">
          <cell r="E166">
            <v>378422</v>
          </cell>
        </row>
        <row r="167">
          <cell r="E167">
            <v>339052</v>
          </cell>
        </row>
        <row r="168">
          <cell r="E168">
            <v>365319</v>
          </cell>
        </row>
        <row r="169">
          <cell r="E169">
            <v>362348</v>
          </cell>
        </row>
        <row r="170">
          <cell r="E170">
            <v>349030</v>
          </cell>
        </row>
        <row r="171">
          <cell r="E171">
            <v>305569</v>
          </cell>
        </row>
        <row r="172">
          <cell r="E172">
            <v>321253</v>
          </cell>
        </row>
        <row r="173">
          <cell r="E173">
            <v>312453</v>
          </cell>
        </row>
        <row r="174">
          <cell r="E174">
            <v>307687</v>
          </cell>
        </row>
        <row r="175">
          <cell r="E175">
            <v>297306</v>
          </cell>
        </row>
        <row r="176">
          <cell r="E176">
            <v>311319</v>
          </cell>
        </row>
        <row r="177">
          <cell r="E177">
            <v>305720</v>
          </cell>
        </row>
        <row r="178">
          <cell r="E178">
            <v>319600</v>
          </cell>
        </row>
        <row r="179">
          <cell r="E179">
            <v>335736</v>
          </cell>
        </row>
        <row r="180">
          <cell r="E180">
            <v>336535</v>
          </cell>
        </row>
        <row r="181">
          <cell r="E181">
            <v>332291</v>
          </cell>
        </row>
        <row r="182">
          <cell r="E182">
            <v>316519</v>
          </cell>
        </row>
        <row r="183">
          <cell r="E183">
            <v>317246</v>
          </cell>
        </row>
        <row r="184">
          <cell r="E184">
            <v>315071</v>
          </cell>
        </row>
        <row r="185">
          <cell r="E185">
            <v>304978</v>
          </cell>
        </row>
        <row r="186">
          <cell r="E186">
            <v>299988</v>
          </cell>
        </row>
        <row r="187">
          <cell r="E187">
            <v>309787</v>
          </cell>
        </row>
        <row r="188">
          <cell r="E188">
            <v>311511</v>
          </cell>
        </row>
        <row r="189">
          <cell r="E189">
            <v>325642</v>
          </cell>
        </row>
        <row r="190">
          <cell r="E190">
            <v>346404</v>
          </cell>
        </row>
        <row r="191">
          <cell r="E191">
            <v>327436</v>
          </cell>
        </row>
        <row r="192">
          <cell r="E192">
            <v>331795</v>
          </cell>
        </row>
        <row r="193">
          <cell r="E193">
            <v>336591</v>
          </cell>
        </row>
        <row r="194">
          <cell r="E194">
            <v>314594</v>
          </cell>
        </row>
        <row r="195">
          <cell r="E195">
            <v>311155</v>
          </cell>
        </row>
        <row r="196">
          <cell r="E196">
            <v>281555</v>
          </cell>
        </row>
        <row r="197">
          <cell r="E197">
            <v>276236</v>
          </cell>
        </row>
        <row r="198">
          <cell r="E198">
            <v>249657</v>
          </cell>
        </row>
        <row r="199">
          <cell r="E199">
            <v>264552</v>
          </cell>
        </row>
        <row r="200">
          <cell r="E200">
            <v>273999</v>
          </cell>
        </row>
        <row r="201">
          <cell r="E201">
            <v>274335</v>
          </cell>
        </row>
        <row r="202">
          <cell r="E202">
            <v>288209</v>
          </cell>
        </row>
        <row r="203">
          <cell r="E203">
            <v>285092</v>
          </cell>
        </row>
        <row r="204">
          <cell r="E204">
            <v>290414</v>
          </cell>
        </row>
        <row r="205">
          <cell r="E205">
            <v>290528</v>
          </cell>
        </row>
        <row r="206">
          <cell r="E206">
            <v>235858</v>
          </cell>
        </row>
        <row r="207">
          <cell r="E207">
            <v>298839</v>
          </cell>
        </row>
        <row r="208">
          <cell r="E208">
            <v>259114</v>
          </cell>
        </row>
        <row r="209">
          <cell r="E209">
            <v>251583</v>
          </cell>
        </row>
        <row r="210">
          <cell r="E210">
            <v>251486</v>
          </cell>
        </row>
        <row r="211">
          <cell r="E211">
            <v>259784</v>
          </cell>
        </row>
        <row r="212">
          <cell r="E212">
            <v>284717</v>
          </cell>
        </row>
        <row r="213">
          <cell r="E213">
            <v>292841</v>
          </cell>
        </row>
        <row r="214">
          <cell r="E214">
            <v>293511</v>
          </cell>
        </row>
        <row r="215">
          <cell r="E215">
            <v>297938</v>
          </cell>
        </row>
        <row r="216">
          <cell r="E216">
            <v>282098</v>
          </cell>
        </row>
        <row r="217">
          <cell r="E217">
            <v>273995</v>
          </cell>
        </row>
        <row r="218">
          <cell r="E218">
            <v>253635</v>
          </cell>
        </row>
        <row r="219">
          <cell r="E219">
            <v>255511</v>
          </cell>
        </row>
        <row r="220">
          <cell r="E220">
            <v>233061</v>
          </cell>
        </row>
        <row r="221">
          <cell r="E221">
            <v>251518</v>
          </cell>
        </row>
        <row r="222">
          <cell r="E222">
            <v>264392</v>
          </cell>
        </row>
        <row r="223">
          <cell r="E223">
            <v>244349</v>
          </cell>
        </row>
        <row r="224">
          <cell r="E224">
            <v>266179</v>
          </cell>
        </row>
        <row r="225">
          <cell r="E225">
            <v>299662</v>
          </cell>
        </row>
        <row r="226">
          <cell r="E226">
            <v>289502</v>
          </cell>
        </row>
        <row r="227">
          <cell r="E227">
            <v>268592</v>
          </cell>
        </row>
        <row r="228">
          <cell r="E228">
            <v>294236</v>
          </cell>
        </row>
        <row r="229">
          <cell r="E229">
            <v>270418</v>
          </cell>
        </row>
        <row r="230">
          <cell r="E230">
            <v>272315</v>
          </cell>
        </row>
        <row r="231">
          <cell r="E231">
            <v>256818</v>
          </cell>
        </row>
        <row r="232">
          <cell r="E232">
            <v>255313</v>
          </cell>
        </row>
        <row r="233">
          <cell r="E233">
            <v>256948</v>
          </cell>
        </row>
        <row r="234">
          <cell r="E234">
            <v>251387</v>
          </cell>
        </row>
        <row r="235">
          <cell r="E235">
            <v>254306</v>
          </cell>
        </row>
        <row r="236">
          <cell r="E236">
            <v>263303</v>
          </cell>
        </row>
        <row r="237">
          <cell r="E237">
            <v>268931</v>
          </cell>
        </row>
        <row r="238">
          <cell r="E238">
            <v>267411</v>
          </cell>
        </row>
        <row r="239">
          <cell r="E239">
            <v>272203</v>
          </cell>
        </row>
        <row r="240">
          <cell r="E240">
            <v>276251</v>
          </cell>
        </row>
        <row r="241">
          <cell r="E241">
            <v>274478</v>
          </cell>
        </row>
        <row r="242">
          <cell r="E242">
            <v>283437</v>
          </cell>
        </row>
        <row r="243">
          <cell r="E243">
            <v>226467</v>
          </cell>
        </row>
        <row r="244">
          <cell r="E244">
            <v>256578</v>
          </cell>
        </row>
        <row r="245">
          <cell r="E245">
            <v>259787</v>
          </cell>
        </row>
        <row r="246">
          <cell r="E246">
            <v>258406</v>
          </cell>
        </row>
        <row r="247">
          <cell r="E247">
            <v>250400</v>
          </cell>
        </row>
        <row r="248">
          <cell r="E248">
            <v>295108</v>
          </cell>
        </row>
        <row r="249">
          <cell r="E249">
            <v>272556</v>
          </cell>
        </row>
        <row r="250">
          <cell r="E250">
            <v>285855</v>
          </cell>
        </row>
        <row r="251">
          <cell r="E251">
            <v>273164</v>
          </cell>
        </row>
        <row r="252">
          <cell r="E252">
            <v>279333</v>
          </cell>
        </row>
        <row r="253">
          <cell r="E253">
            <v>274079</v>
          </cell>
        </row>
        <row r="254">
          <cell r="E254">
            <v>250247</v>
          </cell>
        </row>
        <row r="255">
          <cell r="E255">
            <v>283727</v>
          </cell>
        </row>
        <row r="256">
          <cell r="E256">
            <v>259576</v>
          </cell>
        </row>
      </sheetData>
      <sheetData sheetId="4">
        <row r="89">
          <cell r="B89">
            <v>2255</v>
          </cell>
          <cell r="E89">
            <v>2259</v>
          </cell>
        </row>
        <row r="90">
          <cell r="E90">
            <v>2197</v>
          </cell>
        </row>
        <row r="91">
          <cell r="E91">
            <v>2219</v>
          </cell>
        </row>
        <row r="92">
          <cell r="E92">
            <v>3008</v>
          </cell>
        </row>
        <row r="93">
          <cell r="E93">
            <v>2258</v>
          </cell>
        </row>
        <row r="94">
          <cell r="E94">
            <v>2292</v>
          </cell>
        </row>
        <row r="95">
          <cell r="E95">
            <v>2181</v>
          </cell>
        </row>
        <row r="96">
          <cell r="E96">
            <v>2255</v>
          </cell>
        </row>
        <row r="97">
          <cell r="E97">
            <v>2318</v>
          </cell>
        </row>
        <row r="98">
          <cell r="E98">
            <v>2311</v>
          </cell>
        </row>
        <row r="99">
          <cell r="E99">
            <v>2319</v>
          </cell>
        </row>
        <row r="100">
          <cell r="E100">
            <v>2304</v>
          </cell>
        </row>
        <row r="101">
          <cell r="E101">
            <v>2330</v>
          </cell>
        </row>
        <row r="102">
          <cell r="E102">
            <v>2358</v>
          </cell>
        </row>
        <row r="103">
          <cell r="E103">
            <v>2228</v>
          </cell>
        </row>
        <row r="104">
          <cell r="E104">
            <v>2546</v>
          </cell>
        </row>
        <row r="105">
          <cell r="E105">
            <v>2208</v>
          </cell>
        </row>
        <row r="106">
          <cell r="E106">
            <v>2458</v>
          </cell>
        </row>
        <row r="107">
          <cell r="E107">
            <v>2350</v>
          </cell>
        </row>
        <row r="108">
          <cell r="E108">
            <v>2297</v>
          </cell>
        </row>
        <row r="109">
          <cell r="E109">
            <v>2397</v>
          </cell>
        </row>
        <row r="110">
          <cell r="E110">
            <v>2352</v>
          </cell>
        </row>
        <row r="111">
          <cell r="E111">
            <v>2348</v>
          </cell>
        </row>
        <row r="112">
          <cell r="E112">
            <v>2267</v>
          </cell>
        </row>
        <row r="113">
          <cell r="E113">
            <v>2348</v>
          </cell>
        </row>
        <row r="114">
          <cell r="E114">
            <v>2351</v>
          </cell>
        </row>
        <row r="115">
          <cell r="E115">
            <v>2394</v>
          </cell>
        </row>
        <row r="116">
          <cell r="E116">
            <v>1721</v>
          </cell>
        </row>
        <row r="117">
          <cell r="E117">
            <v>2953</v>
          </cell>
        </row>
        <row r="118">
          <cell r="E118">
            <v>2338</v>
          </cell>
        </row>
        <row r="119">
          <cell r="E119">
            <v>2489</v>
          </cell>
        </row>
        <row r="120">
          <cell r="E120">
            <v>2305</v>
          </cell>
        </row>
        <row r="121">
          <cell r="E121">
            <v>2342</v>
          </cell>
        </row>
        <row r="122">
          <cell r="E122">
            <v>2309</v>
          </cell>
        </row>
        <row r="123">
          <cell r="E123">
            <v>2086</v>
          </cell>
        </row>
        <row r="124">
          <cell r="E124">
            <v>2661</v>
          </cell>
        </row>
        <row r="125">
          <cell r="E125">
            <v>2355</v>
          </cell>
        </row>
        <row r="126">
          <cell r="E126">
            <v>2465</v>
          </cell>
        </row>
        <row r="127">
          <cell r="E127">
            <v>2286</v>
          </cell>
        </row>
        <row r="128">
          <cell r="E128">
            <v>2430</v>
          </cell>
        </row>
        <row r="129">
          <cell r="E129">
            <v>2365</v>
          </cell>
        </row>
        <row r="130">
          <cell r="E130">
            <v>2393</v>
          </cell>
        </row>
        <row r="131">
          <cell r="E131">
            <v>2378</v>
          </cell>
        </row>
        <row r="132">
          <cell r="E132">
            <v>2443</v>
          </cell>
        </row>
        <row r="133">
          <cell r="E133">
            <v>2421</v>
          </cell>
        </row>
        <row r="134">
          <cell r="E134">
            <v>2317</v>
          </cell>
        </row>
        <row r="135">
          <cell r="E135">
            <v>2267</v>
          </cell>
        </row>
        <row r="136">
          <cell r="E136">
            <v>2507</v>
          </cell>
        </row>
        <row r="137">
          <cell r="E137">
            <v>2340</v>
          </cell>
        </row>
        <row r="138">
          <cell r="E138">
            <v>2180</v>
          </cell>
        </row>
        <row r="139">
          <cell r="E139">
            <v>2532</v>
          </cell>
        </row>
        <row r="140">
          <cell r="E140">
            <v>2353</v>
          </cell>
        </row>
        <row r="141">
          <cell r="E141">
            <v>2216</v>
          </cell>
        </row>
        <row r="142">
          <cell r="E142">
            <v>2396</v>
          </cell>
        </row>
        <row r="143">
          <cell r="E143">
            <v>2351</v>
          </cell>
        </row>
        <row r="144">
          <cell r="E144">
            <v>2309</v>
          </cell>
        </row>
        <row r="145">
          <cell r="E145">
            <v>2313</v>
          </cell>
        </row>
        <row r="146">
          <cell r="E146">
            <v>2301</v>
          </cell>
        </row>
        <row r="147">
          <cell r="E147">
            <v>2179</v>
          </cell>
        </row>
        <row r="148">
          <cell r="E148">
            <v>2457</v>
          </cell>
        </row>
        <row r="149">
          <cell r="E149">
            <v>1620</v>
          </cell>
        </row>
        <row r="150">
          <cell r="E150">
            <v>2981</v>
          </cell>
        </row>
        <row r="151">
          <cell r="E151">
            <v>2330</v>
          </cell>
        </row>
        <row r="152">
          <cell r="E152">
            <v>2300</v>
          </cell>
        </row>
        <row r="153">
          <cell r="E153">
            <v>2284</v>
          </cell>
        </row>
        <row r="154">
          <cell r="E154">
            <v>2271</v>
          </cell>
        </row>
        <row r="155">
          <cell r="E155">
            <v>2284</v>
          </cell>
        </row>
        <row r="156">
          <cell r="E156">
            <v>2268</v>
          </cell>
        </row>
        <row r="157">
          <cell r="E157">
            <v>2270</v>
          </cell>
        </row>
        <row r="158">
          <cell r="E158">
            <v>2259</v>
          </cell>
        </row>
        <row r="159">
          <cell r="E159">
            <v>2264</v>
          </cell>
        </row>
        <row r="160">
          <cell r="E160">
            <v>2258</v>
          </cell>
        </row>
        <row r="161">
          <cell r="E161">
            <v>2290</v>
          </cell>
        </row>
        <row r="162">
          <cell r="E162">
            <v>2119</v>
          </cell>
        </row>
        <row r="163">
          <cell r="E163">
            <v>2244</v>
          </cell>
        </row>
        <row r="164">
          <cell r="E164">
            <v>2225</v>
          </cell>
        </row>
        <row r="165">
          <cell r="E165">
            <v>2219</v>
          </cell>
        </row>
        <row r="166">
          <cell r="E166">
            <v>2199</v>
          </cell>
        </row>
        <row r="167">
          <cell r="E167">
            <v>2237</v>
          </cell>
        </row>
        <row r="168">
          <cell r="E168">
            <v>2221</v>
          </cell>
        </row>
        <row r="169">
          <cell r="E169">
            <v>2128</v>
          </cell>
        </row>
        <row r="170">
          <cell r="E170">
            <v>2347</v>
          </cell>
        </row>
        <row r="171">
          <cell r="E171">
            <v>2206</v>
          </cell>
        </row>
        <row r="172">
          <cell r="E172">
            <v>2215</v>
          </cell>
        </row>
        <row r="173">
          <cell r="E173">
            <v>2200</v>
          </cell>
        </row>
        <row r="174">
          <cell r="E174">
            <v>2189</v>
          </cell>
        </row>
        <row r="175">
          <cell r="E175">
            <v>2188</v>
          </cell>
        </row>
        <row r="176">
          <cell r="E176">
            <v>2196</v>
          </cell>
        </row>
        <row r="177">
          <cell r="E177">
            <v>2181</v>
          </cell>
        </row>
        <row r="178">
          <cell r="E178">
            <v>2194</v>
          </cell>
        </row>
        <row r="179">
          <cell r="E179">
            <v>2004</v>
          </cell>
        </row>
        <row r="180">
          <cell r="E180">
            <v>2330</v>
          </cell>
        </row>
        <row r="181">
          <cell r="E181">
            <v>2142</v>
          </cell>
        </row>
        <row r="182">
          <cell r="E182">
            <v>2191</v>
          </cell>
        </row>
        <row r="183">
          <cell r="E183">
            <v>2088</v>
          </cell>
        </row>
        <row r="184">
          <cell r="E184">
            <v>2199</v>
          </cell>
        </row>
        <row r="185">
          <cell r="E185">
            <v>2170</v>
          </cell>
        </row>
        <row r="186">
          <cell r="E186">
            <v>2166</v>
          </cell>
        </row>
        <row r="187">
          <cell r="E187">
            <v>2286</v>
          </cell>
        </row>
        <row r="188">
          <cell r="E188">
            <v>2197</v>
          </cell>
        </row>
        <row r="189">
          <cell r="E189">
            <v>2132</v>
          </cell>
        </row>
        <row r="190">
          <cell r="E190">
            <v>2216</v>
          </cell>
        </row>
        <row r="191">
          <cell r="E191">
            <v>2174</v>
          </cell>
        </row>
        <row r="192">
          <cell r="E192">
            <v>2186</v>
          </cell>
        </row>
        <row r="193">
          <cell r="E193">
            <v>2166</v>
          </cell>
        </row>
        <row r="194">
          <cell r="E194">
            <v>2181</v>
          </cell>
        </row>
        <row r="195">
          <cell r="E195">
            <v>2203</v>
          </cell>
        </row>
        <row r="196">
          <cell r="E196">
            <v>2187</v>
          </cell>
        </row>
        <row r="197">
          <cell r="E197">
            <v>2206</v>
          </cell>
        </row>
        <row r="198">
          <cell r="E198">
            <v>2143</v>
          </cell>
        </row>
        <row r="199">
          <cell r="E199">
            <v>2208</v>
          </cell>
        </row>
        <row r="200">
          <cell r="E200">
            <v>2161</v>
          </cell>
        </row>
        <row r="201">
          <cell r="E201">
            <v>2145</v>
          </cell>
        </row>
        <row r="202">
          <cell r="E202">
            <v>2147</v>
          </cell>
        </row>
        <row r="203">
          <cell r="E203">
            <v>2162</v>
          </cell>
        </row>
        <row r="204">
          <cell r="E204">
            <v>2141</v>
          </cell>
        </row>
        <row r="205">
          <cell r="E205">
            <v>2153</v>
          </cell>
        </row>
        <row r="206">
          <cell r="E206">
            <v>2160</v>
          </cell>
        </row>
        <row r="207">
          <cell r="E207">
            <v>2159</v>
          </cell>
        </row>
        <row r="208">
          <cell r="E208">
            <v>2169</v>
          </cell>
        </row>
        <row r="209">
          <cell r="E209">
            <v>2128</v>
          </cell>
        </row>
        <row r="210">
          <cell r="E210">
            <v>2176</v>
          </cell>
        </row>
        <row r="211">
          <cell r="E211">
            <v>2170</v>
          </cell>
        </row>
        <row r="212">
          <cell r="E212">
            <v>2153</v>
          </cell>
        </row>
        <row r="213">
          <cell r="E213">
            <v>2128</v>
          </cell>
        </row>
        <row r="214">
          <cell r="E214">
            <v>2121</v>
          </cell>
        </row>
        <row r="215">
          <cell r="E215">
            <v>2152</v>
          </cell>
        </row>
        <row r="216">
          <cell r="E216">
            <v>2139</v>
          </cell>
        </row>
        <row r="217">
          <cell r="E217">
            <v>2154</v>
          </cell>
        </row>
        <row r="218">
          <cell r="E218">
            <v>2154</v>
          </cell>
        </row>
        <row r="219">
          <cell r="E219">
            <v>2152</v>
          </cell>
        </row>
        <row r="220">
          <cell r="E220">
            <v>2157</v>
          </cell>
        </row>
        <row r="221">
          <cell r="E221">
            <v>2153</v>
          </cell>
        </row>
        <row r="222">
          <cell r="E222">
            <v>2122</v>
          </cell>
        </row>
        <row r="223">
          <cell r="E223">
            <v>2082</v>
          </cell>
        </row>
        <row r="224">
          <cell r="E224">
            <v>1986</v>
          </cell>
        </row>
        <row r="225">
          <cell r="E225">
            <v>2110</v>
          </cell>
        </row>
        <row r="226">
          <cell r="E226">
            <v>2069</v>
          </cell>
        </row>
        <row r="227">
          <cell r="E227">
            <v>2042</v>
          </cell>
        </row>
        <row r="228">
          <cell r="E228">
            <v>2079</v>
          </cell>
        </row>
        <row r="229">
          <cell r="E229">
            <v>2063</v>
          </cell>
        </row>
        <row r="230">
          <cell r="E230">
            <v>2038</v>
          </cell>
        </row>
        <row r="231">
          <cell r="E231">
            <v>2078</v>
          </cell>
        </row>
        <row r="232">
          <cell r="E232">
            <v>2073</v>
          </cell>
        </row>
        <row r="233">
          <cell r="E233">
            <v>2068</v>
          </cell>
        </row>
        <row r="234">
          <cell r="E234">
            <v>2083</v>
          </cell>
        </row>
        <row r="235">
          <cell r="E235">
            <v>2072</v>
          </cell>
        </row>
        <row r="236">
          <cell r="E236">
            <v>2096</v>
          </cell>
        </row>
        <row r="237">
          <cell r="E237">
            <v>2069</v>
          </cell>
        </row>
        <row r="238">
          <cell r="E238">
            <v>2081</v>
          </cell>
        </row>
        <row r="239">
          <cell r="E239">
            <v>2067</v>
          </cell>
        </row>
        <row r="240">
          <cell r="E240">
            <v>2074</v>
          </cell>
        </row>
        <row r="241">
          <cell r="E241">
            <v>2083</v>
          </cell>
        </row>
        <row r="242">
          <cell r="E242">
            <v>2090</v>
          </cell>
        </row>
        <row r="243">
          <cell r="E243">
            <v>2104</v>
          </cell>
        </row>
        <row r="244">
          <cell r="E244">
            <v>2114</v>
          </cell>
        </row>
        <row r="245">
          <cell r="E245">
            <v>2114</v>
          </cell>
        </row>
        <row r="246">
          <cell r="E246">
            <v>2100</v>
          </cell>
        </row>
        <row r="247">
          <cell r="E247">
            <v>2085</v>
          </cell>
        </row>
        <row r="248">
          <cell r="E248">
            <v>2078</v>
          </cell>
        </row>
        <row r="249">
          <cell r="E249">
            <v>2059</v>
          </cell>
        </row>
        <row r="250">
          <cell r="E250">
            <v>2054</v>
          </cell>
        </row>
        <row r="251">
          <cell r="E251">
            <v>2047</v>
          </cell>
        </row>
        <row r="252">
          <cell r="E252">
            <v>2037</v>
          </cell>
        </row>
        <row r="253">
          <cell r="E253">
            <v>2046</v>
          </cell>
        </row>
        <row r="254">
          <cell r="E254">
            <v>2098</v>
          </cell>
        </row>
        <row r="255">
          <cell r="E255">
            <v>2044</v>
          </cell>
        </row>
        <row r="256">
          <cell r="E256">
            <v>2124</v>
          </cell>
        </row>
      </sheetData>
      <sheetData sheetId="5">
        <row r="89">
          <cell r="B89">
            <v>176784</v>
          </cell>
          <cell r="L89">
            <v>185795</v>
          </cell>
        </row>
        <row r="90">
          <cell r="L90">
            <v>197377</v>
          </cell>
        </row>
        <row r="91">
          <cell r="L91">
            <v>196911</v>
          </cell>
        </row>
        <row r="92">
          <cell r="L92">
            <v>208860</v>
          </cell>
        </row>
        <row r="93">
          <cell r="L93">
            <v>203091</v>
          </cell>
        </row>
        <row r="94">
          <cell r="L94">
            <v>242087</v>
          </cell>
        </row>
        <row r="95">
          <cell r="L95">
            <v>232792</v>
          </cell>
        </row>
        <row r="96">
          <cell r="L96">
            <v>231913</v>
          </cell>
        </row>
        <row r="97">
          <cell r="L97">
            <v>260027</v>
          </cell>
        </row>
        <row r="98">
          <cell r="L98">
            <v>244283</v>
          </cell>
        </row>
        <row r="99">
          <cell r="L99">
            <v>226443</v>
          </cell>
        </row>
        <row r="100">
          <cell r="L100">
            <v>204437</v>
          </cell>
        </row>
        <row r="101">
          <cell r="L101">
            <v>203280</v>
          </cell>
        </row>
        <row r="102">
          <cell r="L102">
            <v>197105</v>
          </cell>
        </row>
        <row r="103">
          <cell r="L103">
            <v>200984</v>
          </cell>
        </row>
        <row r="104">
          <cell r="L104">
            <v>212554</v>
          </cell>
        </row>
        <row r="105">
          <cell r="L105">
            <v>223522</v>
          </cell>
        </row>
        <row r="106">
          <cell r="L106">
            <v>234296</v>
          </cell>
        </row>
        <row r="107">
          <cell r="L107">
            <v>235216</v>
          </cell>
        </row>
        <row r="108">
          <cell r="L108">
            <v>247176</v>
          </cell>
        </row>
        <row r="109">
          <cell r="L109">
            <v>274956</v>
          </cell>
        </row>
        <row r="110">
          <cell r="L110">
            <v>244884</v>
          </cell>
        </row>
        <row r="111">
          <cell r="L111">
            <v>222617</v>
          </cell>
        </row>
        <row r="112">
          <cell r="L112">
            <v>225807</v>
          </cell>
        </row>
        <row r="113">
          <cell r="L113">
            <v>204829</v>
          </cell>
        </row>
        <row r="114">
          <cell r="L114">
            <v>200974</v>
          </cell>
        </row>
        <row r="115">
          <cell r="L115">
            <v>200826</v>
          </cell>
        </row>
        <row r="116">
          <cell r="L116">
            <v>214568</v>
          </cell>
        </row>
        <row r="117">
          <cell r="L117">
            <v>224831</v>
          </cell>
        </row>
        <row r="118">
          <cell r="L118">
            <v>245315</v>
          </cell>
        </row>
        <row r="119">
          <cell r="L119">
            <v>244246</v>
          </cell>
        </row>
        <row r="120">
          <cell r="L120">
            <v>251754</v>
          </cell>
        </row>
        <row r="121">
          <cell r="L121">
            <v>272655</v>
          </cell>
        </row>
        <row r="122">
          <cell r="L122">
            <v>254800</v>
          </cell>
        </row>
        <row r="123">
          <cell r="L123">
            <v>245419</v>
          </cell>
        </row>
        <row r="124">
          <cell r="L124">
            <v>228441</v>
          </cell>
        </row>
        <row r="125">
          <cell r="L125">
            <v>216496</v>
          </cell>
        </row>
        <row r="126">
          <cell r="L126">
            <v>217114</v>
          </cell>
        </row>
        <row r="127">
          <cell r="L127">
            <v>215088</v>
          </cell>
        </row>
        <row r="128">
          <cell r="L128">
            <v>221232</v>
          </cell>
        </row>
        <row r="129">
          <cell r="L129">
            <v>236443</v>
          </cell>
        </row>
        <row r="130">
          <cell r="L130">
            <v>258882</v>
          </cell>
        </row>
        <row r="131">
          <cell r="L131">
            <v>254532</v>
          </cell>
        </row>
        <row r="132">
          <cell r="L132">
            <v>254572</v>
          </cell>
        </row>
        <row r="133">
          <cell r="L133">
            <v>304861</v>
          </cell>
        </row>
        <row r="134">
          <cell r="L134">
            <v>277151</v>
          </cell>
        </row>
        <row r="135">
          <cell r="L135">
            <v>251510</v>
          </cell>
        </row>
        <row r="136">
          <cell r="L136">
            <v>235532</v>
          </cell>
        </row>
        <row r="137">
          <cell r="L137">
            <v>224706</v>
          </cell>
        </row>
        <row r="138">
          <cell r="L138">
            <v>222093</v>
          </cell>
        </row>
        <row r="139">
          <cell r="L139">
            <v>222969</v>
          </cell>
        </row>
        <row r="140">
          <cell r="L140">
            <v>241434</v>
          </cell>
        </row>
        <row r="141">
          <cell r="L141">
            <v>251475</v>
          </cell>
        </row>
        <row r="142">
          <cell r="L142">
            <v>254942</v>
          </cell>
        </row>
        <row r="143">
          <cell r="L143">
            <v>259847</v>
          </cell>
        </row>
        <row r="144">
          <cell r="L144">
            <v>276185</v>
          </cell>
        </row>
        <row r="145">
          <cell r="L145">
            <v>276441</v>
          </cell>
        </row>
        <row r="146">
          <cell r="L146">
            <v>276349</v>
          </cell>
        </row>
        <row r="147">
          <cell r="L147">
            <v>263793</v>
          </cell>
        </row>
        <row r="148">
          <cell r="L148">
            <v>248120</v>
          </cell>
        </row>
        <row r="149">
          <cell r="L149">
            <v>240550</v>
          </cell>
        </row>
        <row r="150">
          <cell r="L150">
            <v>231178</v>
          </cell>
        </row>
        <row r="151">
          <cell r="L151">
            <v>237866</v>
          </cell>
        </row>
        <row r="152">
          <cell r="L152">
            <v>247983</v>
          </cell>
        </row>
        <row r="153">
          <cell r="L153">
            <v>257021</v>
          </cell>
        </row>
        <row r="154">
          <cell r="L154">
            <v>276857</v>
          </cell>
        </row>
        <row r="155">
          <cell r="L155">
            <v>272762</v>
          </cell>
        </row>
        <row r="156">
          <cell r="L156">
            <v>278384</v>
          </cell>
        </row>
        <row r="157">
          <cell r="L157">
            <v>307886</v>
          </cell>
        </row>
        <row r="158">
          <cell r="L158">
            <v>288077</v>
          </cell>
        </row>
        <row r="159">
          <cell r="L159">
            <v>265638</v>
          </cell>
        </row>
        <row r="160">
          <cell r="L160">
            <v>257126</v>
          </cell>
        </row>
        <row r="161">
          <cell r="L161">
            <v>239947</v>
          </cell>
        </row>
        <row r="162">
          <cell r="L162">
            <v>241153</v>
          </cell>
        </row>
        <row r="163">
          <cell r="L163">
            <v>236656</v>
          </cell>
        </row>
        <row r="164">
          <cell r="L164">
            <v>250274</v>
          </cell>
        </row>
        <row r="165">
          <cell r="L165">
            <v>265779</v>
          </cell>
        </row>
        <row r="166">
          <cell r="L166">
            <v>275611</v>
          </cell>
        </row>
        <row r="167">
          <cell r="L167">
            <v>285401</v>
          </cell>
        </row>
        <row r="168">
          <cell r="L168">
            <v>292462</v>
          </cell>
        </row>
        <row r="169">
          <cell r="L169">
            <v>318795</v>
          </cell>
        </row>
        <row r="170">
          <cell r="L170">
            <v>300087</v>
          </cell>
        </row>
        <row r="171">
          <cell r="L171">
            <v>284420</v>
          </cell>
        </row>
        <row r="172">
          <cell r="L172">
            <v>263825</v>
          </cell>
        </row>
        <row r="173">
          <cell r="L173">
            <v>247653</v>
          </cell>
        </row>
        <row r="174">
          <cell r="L174">
            <v>246084</v>
          </cell>
        </row>
        <row r="175">
          <cell r="L175">
            <v>247691</v>
          </cell>
        </row>
        <row r="176">
          <cell r="L176">
            <v>259397</v>
          </cell>
        </row>
        <row r="177">
          <cell r="L177">
            <v>272222</v>
          </cell>
        </row>
        <row r="178">
          <cell r="L178">
            <v>285607</v>
          </cell>
        </row>
        <row r="179">
          <cell r="L179">
            <v>288010</v>
          </cell>
        </row>
        <row r="180">
          <cell r="L180">
            <v>295338</v>
          </cell>
        </row>
        <row r="181">
          <cell r="L181">
            <v>322516</v>
          </cell>
        </row>
        <row r="182">
          <cell r="L182">
            <v>301991</v>
          </cell>
        </row>
        <row r="183">
          <cell r="L183">
            <v>293421</v>
          </cell>
        </row>
        <row r="184">
          <cell r="L184">
            <v>261729</v>
          </cell>
        </row>
        <row r="185">
          <cell r="L185">
            <v>252029</v>
          </cell>
        </row>
        <row r="186">
          <cell r="L186">
            <v>249224</v>
          </cell>
        </row>
        <row r="187">
          <cell r="L187">
            <v>261520</v>
          </cell>
        </row>
        <row r="188">
          <cell r="L188">
            <v>257496</v>
          </cell>
        </row>
        <row r="189">
          <cell r="L189">
            <v>271579</v>
          </cell>
        </row>
        <row r="190">
          <cell r="L190">
            <v>265435</v>
          </cell>
        </row>
        <row r="191">
          <cell r="L191">
            <v>281409</v>
          </cell>
        </row>
        <row r="192">
          <cell r="L192">
            <v>292181</v>
          </cell>
        </row>
        <row r="193">
          <cell r="L193">
            <v>324090</v>
          </cell>
        </row>
        <row r="194">
          <cell r="L194">
            <v>297706</v>
          </cell>
        </row>
        <row r="195">
          <cell r="L195">
            <v>283512</v>
          </cell>
        </row>
        <row r="196">
          <cell r="L196">
            <v>255314</v>
          </cell>
        </row>
        <row r="197">
          <cell r="L197">
            <v>243388</v>
          </cell>
        </row>
        <row r="198">
          <cell r="L198">
            <v>245791</v>
          </cell>
        </row>
        <row r="199">
          <cell r="L199">
            <v>239493</v>
          </cell>
        </row>
        <row r="200">
          <cell r="L200">
            <v>247693</v>
          </cell>
        </row>
        <row r="201">
          <cell r="L201">
            <v>257730</v>
          </cell>
        </row>
        <row r="202">
          <cell r="L202">
            <v>286505</v>
          </cell>
        </row>
        <row r="203">
          <cell r="L203">
            <v>275311</v>
          </cell>
        </row>
        <row r="204">
          <cell r="L204">
            <v>277144</v>
          </cell>
        </row>
        <row r="205">
          <cell r="L205">
            <v>310618</v>
          </cell>
        </row>
        <row r="206">
          <cell r="L206">
            <v>291320</v>
          </cell>
        </row>
        <row r="207">
          <cell r="L207">
            <v>273680</v>
          </cell>
        </row>
        <row r="208">
          <cell r="L208">
            <v>249662</v>
          </cell>
        </row>
        <row r="209">
          <cell r="E209">
            <v>254288</v>
          </cell>
          <cell r="L209">
            <v>252820</v>
          </cell>
        </row>
        <row r="210">
          <cell r="E210">
            <v>239075</v>
          </cell>
          <cell r="L210">
            <v>239122</v>
          </cell>
        </row>
        <row r="211">
          <cell r="E211">
            <v>234945</v>
          </cell>
          <cell r="L211">
            <v>238499</v>
          </cell>
        </row>
        <row r="212">
          <cell r="E212">
            <v>244308</v>
          </cell>
          <cell r="L212">
            <v>253398</v>
          </cell>
        </row>
        <row r="213">
          <cell r="E213">
            <v>265119</v>
          </cell>
          <cell r="L213">
            <v>262671</v>
          </cell>
        </row>
        <row r="214">
          <cell r="E214">
            <v>305889</v>
          </cell>
          <cell r="L214">
            <v>296772</v>
          </cell>
        </row>
        <row r="215">
          <cell r="E215">
            <v>285143</v>
          </cell>
          <cell r="L215">
            <v>273496</v>
          </cell>
        </row>
        <row r="216">
          <cell r="E216">
            <v>290129</v>
          </cell>
          <cell r="L216">
            <v>278127</v>
          </cell>
        </row>
        <row r="217">
          <cell r="E217">
            <v>310342</v>
          </cell>
          <cell r="L217">
            <v>304357</v>
          </cell>
        </row>
        <row r="218">
          <cell r="E218">
            <v>304375</v>
          </cell>
          <cell r="L218">
            <v>300505</v>
          </cell>
        </row>
        <row r="219">
          <cell r="E219">
            <v>269843</v>
          </cell>
          <cell r="L219">
            <v>264683</v>
          </cell>
        </row>
        <row r="220">
          <cell r="E220">
            <v>254063</v>
          </cell>
          <cell r="L220">
            <v>251627</v>
          </cell>
        </row>
        <row r="221">
          <cell r="E221">
            <v>249964</v>
          </cell>
          <cell r="L221">
            <v>250294</v>
          </cell>
        </row>
        <row r="222">
          <cell r="E222">
            <v>235797</v>
          </cell>
          <cell r="L222">
            <v>236573</v>
          </cell>
        </row>
        <row r="223">
          <cell r="E223">
            <v>242331</v>
          </cell>
          <cell r="L223">
            <v>241816</v>
          </cell>
        </row>
        <row r="224">
          <cell r="E224">
            <v>249133</v>
          </cell>
          <cell r="L224">
            <v>247116</v>
          </cell>
        </row>
        <row r="225">
          <cell r="E225">
            <v>278144</v>
          </cell>
          <cell r="L225">
            <v>264534</v>
          </cell>
        </row>
        <row r="226">
          <cell r="E226">
            <v>285758</v>
          </cell>
          <cell r="L226">
            <v>283675</v>
          </cell>
        </row>
        <row r="227">
          <cell r="E227">
            <v>279832</v>
          </cell>
          <cell r="L227">
            <v>274156</v>
          </cell>
        </row>
        <row r="228">
          <cell r="E228">
            <v>275331</v>
          </cell>
          <cell r="L228">
            <v>265752</v>
          </cell>
        </row>
        <row r="229">
          <cell r="E229">
            <v>306650</v>
          </cell>
          <cell r="L229">
            <v>303420</v>
          </cell>
        </row>
        <row r="230">
          <cell r="E230">
            <v>293527</v>
          </cell>
          <cell r="L230">
            <v>293227</v>
          </cell>
        </row>
        <row r="231">
          <cell r="E231">
            <v>258374</v>
          </cell>
          <cell r="L231">
            <v>267643</v>
          </cell>
        </row>
        <row r="232">
          <cell r="E232">
            <v>249290</v>
          </cell>
          <cell r="L232">
            <v>249070</v>
          </cell>
        </row>
        <row r="233">
          <cell r="E233">
            <v>238826</v>
          </cell>
          <cell r="L233">
            <v>241060</v>
          </cell>
        </row>
        <row r="234">
          <cell r="E234">
            <v>262767</v>
          </cell>
          <cell r="L234">
            <v>263351</v>
          </cell>
        </row>
        <row r="235">
          <cell r="E235">
            <v>247014</v>
          </cell>
          <cell r="L235">
            <v>243933</v>
          </cell>
        </row>
        <row r="236">
          <cell r="E236">
            <v>261816</v>
          </cell>
          <cell r="L236">
            <v>251535</v>
          </cell>
        </row>
        <row r="237">
          <cell r="E237">
            <v>264551</v>
          </cell>
          <cell r="L237">
            <v>261583</v>
          </cell>
        </row>
        <row r="238">
          <cell r="E238">
            <v>281720</v>
          </cell>
          <cell r="L238">
            <v>282728</v>
          </cell>
        </row>
        <row r="239">
          <cell r="E239">
            <v>270378</v>
          </cell>
          <cell r="L239">
            <v>277319</v>
          </cell>
        </row>
        <row r="240">
          <cell r="E240">
            <v>286097</v>
          </cell>
          <cell r="L240">
            <v>283090</v>
          </cell>
        </row>
        <row r="241">
          <cell r="E241">
            <v>306133</v>
          </cell>
          <cell r="L241">
            <v>309873</v>
          </cell>
        </row>
        <row r="242">
          <cell r="E242">
            <v>283948</v>
          </cell>
          <cell r="L242">
            <v>278934</v>
          </cell>
        </row>
        <row r="243">
          <cell r="E243">
            <v>269490</v>
          </cell>
          <cell r="L243">
            <v>267960</v>
          </cell>
        </row>
        <row r="244">
          <cell r="E244">
            <v>247264</v>
          </cell>
          <cell r="L244">
            <v>252550</v>
          </cell>
        </row>
        <row r="245">
          <cell r="L245">
            <v>235414</v>
          </cell>
        </row>
        <row r="246">
          <cell r="L246">
            <v>234924</v>
          </cell>
        </row>
        <row r="247">
          <cell r="L247">
            <v>234752</v>
          </cell>
        </row>
        <row r="248">
          <cell r="L248">
            <v>241212</v>
          </cell>
        </row>
        <row r="249">
          <cell r="L249">
            <v>262855</v>
          </cell>
        </row>
        <row r="250">
          <cell r="L250">
            <v>286206</v>
          </cell>
        </row>
        <row r="251">
          <cell r="L251">
            <v>268194</v>
          </cell>
        </row>
        <row r="252">
          <cell r="L252">
            <v>280359</v>
          </cell>
        </row>
        <row r="253">
          <cell r="L253">
            <v>305798</v>
          </cell>
        </row>
        <row r="254">
          <cell r="L254">
            <v>284498</v>
          </cell>
        </row>
        <row r="255">
          <cell r="L255">
            <v>258315</v>
          </cell>
        </row>
        <row r="256">
          <cell r="L256">
            <v>248032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O377"/>
  <sheetViews>
    <sheetView tabSelected="1" zoomScale="80" zoomScaleNormal="80" workbookViewId="0">
      <selection activeCell="AW37" sqref="AW37"/>
    </sheetView>
  </sheetViews>
  <sheetFormatPr defaultColWidth="8.88671875" defaultRowHeight="12.75"/>
  <cols>
    <col min="1" max="1" width="6.5546875" style="4" customWidth="1"/>
    <col min="2" max="2" width="3.5546875" style="4" bestFit="1" customWidth="1"/>
    <col min="3" max="4" width="10.109375" style="4" bestFit="1" customWidth="1"/>
    <col min="5" max="5" width="5.33203125" style="4" customWidth="1"/>
    <col min="6" max="24" width="1.5546875" style="4" customWidth="1"/>
    <col min="25" max="25" width="9" style="4" customWidth="1"/>
    <col min="26" max="26" width="10.109375" style="4" bestFit="1" customWidth="1"/>
    <col min="27" max="27" width="9.44140625" style="4" bestFit="1" customWidth="1"/>
    <col min="28" max="28" width="9.5546875" style="4" bestFit="1" customWidth="1"/>
    <col min="29" max="37" width="1.5546875" style="4" customWidth="1"/>
    <col min="38" max="38" width="5.21875" style="4" bestFit="1" customWidth="1"/>
    <col min="39" max="39" width="9.44140625" style="4" bestFit="1" customWidth="1"/>
    <col min="40" max="40" width="6.109375" style="4" bestFit="1" customWidth="1"/>
    <col min="41" max="41" width="2" style="4" customWidth="1"/>
    <col min="42" max="42" width="9.44140625" style="4" bestFit="1" customWidth="1"/>
    <col min="43" max="43" width="5.77734375" style="4" bestFit="1" customWidth="1"/>
    <col min="44" max="44" width="8.6640625" style="4" bestFit="1" customWidth="1"/>
    <col min="45" max="45" width="7.21875" style="4" customWidth="1"/>
    <col min="46" max="48" width="1.77734375" style="4" customWidth="1"/>
    <col min="49" max="49" width="8.33203125" style="4" bestFit="1" customWidth="1"/>
    <col min="50" max="50" width="5.77734375" style="4" bestFit="1" customWidth="1"/>
    <col min="51" max="65" width="1.109375" style="4" customWidth="1"/>
    <col min="66" max="66" width="5.88671875" style="4" customWidth="1"/>
    <col min="67" max="67" width="3.21875" style="4" bestFit="1" customWidth="1"/>
    <col min="68" max="68" width="10.109375" style="4" bestFit="1" customWidth="1"/>
    <col min="69" max="71" width="2.88671875" style="4" customWidth="1"/>
    <col min="72" max="72" width="10.109375" style="6" bestFit="1" customWidth="1"/>
    <col min="73" max="73" width="10.5546875" style="4" bestFit="1" customWidth="1"/>
    <col min="74" max="74" width="7.33203125" style="4" customWidth="1"/>
    <col min="75" max="75" width="9.44140625" style="4" bestFit="1" customWidth="1"/>
    <col min="76" max="76" width="9.44140625" style="4" customWidth="1"/>
    <col min="77" max="86" width="1.77734375" style="4" customWidth="1"/>
    <col min="87" max="87" width="8.88671875" style="4"/>
    <col min="88" max="88" width="12.6640625" style="4" bestFit="1" customWidth="1"/>
    <col min="89" max="89" width="8.88671875" style="4"/>
    <col min="90" max="90" width="12.6640625" style="4" bestFit="1" customWidth="1"/>
    <col min="91" max="91" width="8.88671875" style="4"/>
    <col min="92" max="92" width="9.5546875" style="4" bestFit="1" customWidth="1"/>
    <col min="93" max="16384" width="8.88671875" style="4"/>
  </cols>
  <sheetData>
    <row r="1" spans="1:93" ht="18">
      <c r="A1" s="445" t="s">
        <v>271</v>
      </c>
      <c r="AL1" s="7" t="s">
        <v>272</v>
      </c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</row>
    <row r="2" spans="1:93">
      <c r="AL2" s="7" t="s">
        <v>244</v>
      </c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</row>
    <row r="5" spans="1:93">
      <c r="AN5" s="15"/>
      <c r="AP5" s="16"/>
      <c r="AQ5" s="17"/>
      <c r="AR5" s="18"/>
      <c r="AS5" s="17"/>
      <c r="AT5" s="19"/>
      <c r="AU5" s="18"/>
      <c r="AV5" s="17"/>
      <c r="AW5" s="20"/>
      <c r="AX5" s="21"/>
      <c r="CI5" s="22" t="s">
        <v>130</v>
      </c>
      <c r="CJ5" s="23"/>
    </row>
    <row r="6" spans="1:93">
      <c r="AM6" s="122" t="s">
        <v>12</v>
      </c>
      <c r="AN6" s="15" t="s">
        <v>4</v>
      </c>
      <c r="AP6" s="25" t="s">
        <v>3</v>
      </c>
      <c r="AQ6" s="26"/>
      <c r="AR6" s="27" t="s">
        <v>44</v>
      </c>
      <c r="AS6" s="26"/>
      <c r="AT6" s="162" t="s">
        <v>124</v>
      </c>
      <c r="AW6" s="27" t="s">
        <v>3</v>
      </c>
      <c r="AX6" s="26"/>
      <c r="CJ6" s="29" t="s">
        <v>40</v>
      </c>
      <c r="CL6" s="30" t="s">
        <v>3</v>
      </c>
      <c r="CN6" s="30" t="s">
        <v>3</v>
      </c>
    </row>
    <row r="7" spans="1:93">
      <c r="AL7" s="31" t="s">
        <v>8</v>
      </c>
      <c r="AM7" s="32" t="s">
        <v>4</v>
      </c>
      <c r="AN7" s="31" t="s">
        <v>9</v>
      </c>
      <c r="AO7" s="69"/>
      <c r="AP7" s="163" t="s">
        <v>122</v>
      </c>
      <c r="AQ7" s="33" t="s">
        <v>9</v>
      </c>
      <c r="AR7" s="164" t="s">
        <v>273</v>
      </c>
      <c r="AS7" s="33" t="s">
        <v>9</v>
      </c>
      <c r="AT7" s="164" t="s">
        <v>123</v>
      </c>
      <c r="AU7" s="33" t="s">
        <v>9</v>
      </c>
      <c r="AW7" s="164" t="s">
        <v>38</v>
      </c>
      <c r="AX7" s="33" t="s">
        <v>9</v>
      </c>
      <c r="CI7" s="34" t="s">
        <v>8</v>
      </c>
      <c r="CJ7" s="123" t="s">
        <v>275</v>
      </c>
      <c r="CK7" s="36" t="s">
        <v>42</v>
      </c>
      <c r="CL7" s="124" t="str">
        <f>CJ7</f>
        <v>GovSALES</v>
      </c>
      <c r="CM7" s="36" t="s">
        <v>42</v>
      </c>
      <c r="CN7" s="37" t="s">
        <v>276</v>
      </c>
      <c r="CO7" s="36" t="s">
        <v>42</v>
      </c>
    </row>
    <row r="8" spans="1:93">
      <c r="AL8" s="4">
        <v>1984</v>
      </c>
      <c r="AM8" s="108">
        <f>ROUND(SUM(C17:C28),0)</f>
        <v>1188743</v>
      </c>
      <c r="AP8" s="39">
        <f>ROUND(SUM(Z17:Z28),0)</f>
        <v>1228062</v>
      </c>
      <c r="AQ8" s="26"/>
      <c r="AR8" s="39">
        <f>ROUND(AVERAGE(D17:D28),0)</f>
        <v>7316</v>
      </c>
      <c r="AS8" s="26"/>
      <c r="AT8" s="39"/>
      <c r="AW8" s="39">
        <f t="shared" ref="AW8:AW34" si="0">ROUND((AP8/AR8*1000),0)</f>
        <v>167860</v>
      </c>
      <c r="AX8" s="26"/>
      <c r="CI8" s="22">
        <v>1984</v>
      </c>
    </row>
    <row r="9" spans="1:93">
      <c r="AL9" s="4">
        <v>1985</v>
      </c>
      <c r="AM9" s="108">
        <f>ROUND(SUM(C29:C40),0)</f>
        <v>1268356</v>
      </c>
      <c r="AN9" s="42">
        <f t="shared" ref="AN9:AN34" si="1">(AM9/AM8-1)*100</f>
        <v>6.6972423812379889</v>
      </c>
      <c r="AP9" s="39">
        <f>ROUND(SUM(Z29:Z40),0)</f>
        <v>1214877</v>
      </c>
      <c r="AQ9" s="43">
        <f t="shared" ref="AQ9:AQ34" si="2">(AP9/AP8-1)*100</f>
        <v>-1.0736428616796245</v>
      </c>
      <c r="AR9" s="39">
        <f>ROUND(AVERAGE(D29:D40),0)</f>
        <v>7854</v>
      </c>
      <c r="AS9" s="43">
        <f t="shared" ref="AS9:AS34" si="3">(AR9/AR8-1)*100</f>
        <v>7.353745215965013</v>
      </c>
      <c r="AT9" s="39"/>
      <c r="AW9" s="39">
        <f t="shared" si="0"/>
        <v>154683</v>
      </c>
      <c r="AX9" s="43">
        <f t="shared" ref="AX9:AX34" si="4">(AW9/AW8-1)*100</f>
        <v>-7.8499940426545951</v>
      </c>
      <c r="CI9" s="22">
        <v>1985</v>
      </c>
    </row>
    <row r="10" spans="1:93">
      <c r="AL10" s="4">
        <v>1986</v>
      </c>
      <c r="AM10" s="108">
        <f>ROUND(SUM(C41:C52),0)</f>
        <v>1319234</v>
      </c>
      <c r="AN10" s="42">
        <f t="shared" si="1"/>
        <v>4.0113343572309335</v>
      </c>
      <c r="AP10" s="39">
        <f>ROUND(SUM(Z41:Z52),0)</f>
        <v>1279413</v>
      </c>
      <c r="AQ10" s="43">
        <f t="shared" si="2"/>
        <v>5.3121427107435615</v>
      </c>
      <c r="AR10" s="39">
        <f>ROUND(AVERAGE(D41:D52),0)</f>
        <v>8421</v>
      </c>
      <c r="AS10" s="43">
        <f t="shared" si="3"/>
        <v>7.2192513368984024</v>
      </c>
      <c r="AT10" s="39"/>
      <c r="AW10" s="39">
        <f t="shared" si="0"/>
        <v>151931</v>
      </c>
      <c r="AX10" s="43">
        <f t="shared" si="4"/>
        <v>-1.7791224633605496</v>
      </c>
      <c r="CI10" s="22">
        <v>1986</v>
      </c>
    </row>
    <row r="11" spans="1:93">
      <c r="AL11" s="4">
        <v>1987</v>
      </c>
      <c r="AM11" s="108">
        <f>ROUND(SUM(C53:C64),0)</f>
        <v>1355006</v>
      </c>
      <c r="AN11" s="42">
        <f t="shared" si="1"/>
        <v>2.7115735343388625</v>
      </c>
      <c r="AP11" s="39">
        <f>ROUND(SUM(Z53:Z64),0)</f>
        <v>1372186</v>
      </c>
      <c r="AQ11" s="43">
        <f t="shared" si="2"/>
        <v>7.2512159873316939</v>
      </c>
      <c r="AR11" s="39">
        <f>ROUND(AVERAGE(D53:D64),0)</f>
        <v>9032</v>
      </c>
      <c r="AS11" s="43">
        <f t="shared" si="3"/>
        <v>7.25567034793968</v>
      </c>
      <c r="AT11" s="39"/>
      <c r="AW11" s="39">
        <f t="shared" si="0"/>
        <v>151925</v>
      </c>
      <c r="AX11" s="43">
        <f t="shared" si="4"/>
        <v>-3.9491611323549947E-3</v>
      </c>
      <c r="CI11" s="22">
        <v>1987</v>
      </c>
    </row>
    <row r="12" spans="1:93">
      <c r="AB12" s="550" t="s">
        <v>305</v>
      </c>
      <c r="AL12" s="4">
        <v>1988</v>
      </c>
      <c r="AM12" s="108">
        <f>ROUND(SUM(C65:C76),0)</f>
        <v>1466060</v>
      </c>
      <c r="AN12" s="42">
        <f t="shared" si="1"/>
        <v>8.1958308671695956</v>
      </c>
      <c r="AP12" s="39">
        <f>ROUND(SUM(Z65:Z76),0)</f>
        <v>1490894</v>
      </c>
      <c r="AQ12" s="43">
        <f t="shared" si="2"/>
        <v>8.6510137838456291</v>
      </c>
      <c r="AR12" s="39">
        <f>ROUND(AVERAGE(D65:D76),0)</f>
        <v>9674</v>
      </c>
      <c r="AS12" s="43">
        <f t="shared" si="3"/>
        <v>7.1080602302922902</v>
      </c>
      <c r="AT12" s="39"/>
      <c r="AW12" s="39">
        <f t="shared" si="0"/>
        <v>154114</v>
      </c>
      <c r="AX12" s="43">
        <f t="shared" si="4"/>
        <v>1.4408425209807563</v>
      </c>
      <c r="CI12" s="22">
        <v>1988</v>
      </c>
    </row>
    <row r="13" spans="1:93">
      <c r="AB13" s="551" t="s">
        <v>304</v>
      </c>
      <c r="AL13" s="23">
        <v>1989</v>
      </c>
      <c r="AM13" s="50">
        <f>ROUND(SUM(C77:C88),0)</f>
        <v>1580499</v>
      </c>
      <c r="AN13" s="47">
        <f t="shared" si="1"/>
        <v>7.805887889990859</v>
      </c>
      <c r="AO13" s="23"/>
      <c r="AP13" s="48">
        <f>ROUND(SUM(Z77:Z88),0)</f>
        <v>1532869</v>
      </c>
      <c r="AQ13" s="47">
        <f t="shared" si="2"/>
        <v>2.8154248390563019</v>
      </c>
      <c r="AR13" s="48">
        <f>ROUND(AVERAGE(D77:D88),0)</f>
        <v>10253</v>
      </c>
      <c r="AS13" s="49">
        <f t="shared" si="3"/>
        <v>5.9851147405416638</v>
      </c>
      <c r="AT13" s="50"/>
      <c r="AV13" s="28"/>
      <c r="AW13" s="50">
        <f t="shared" si="0"/>
        <v>149504</v>
      </c>
      <c r="AX13" s="43">
        <f t="shared" si="4"/>
        <v>-2.9912921603488352</v>
      </c>
      <c r="CI13" s="51">
        <v>1989</v>
      </c>
    </row>
    <row r="14" spans="1:93">
      <c r="C14" s="52" t="s">
        <v>12</v>
      </c>
      <c r="D14" s="52" t="s">
        <v>12</v>
      </c>
      <c r="Z14" s="52" t="s">
        <v>118</v>
      </c>
      <c r="AB14" s="552" t="s">
        <v>303</v>
      </c>
      <c r="AL14" s="4">
        <v>1990</v>
      </c>
      <c r="AM14" s="108">
        <f>ROUND(SUM(C89:C100),0)</f>
        <v>1678359</v>
      </c>
      <c r="AN14" s="42">
        <f t="shared" si="1"/>
        <v>6.1917154012751663</v>
      </c>
      <c r="AP14" s="39">
        <f>ROUND(SUM(Z89:Z100),0)</f>
        <v>1643343</v>
      </c>
      <c r="AQ14" s="43">
        <f t="shared" si="2"/>
        <v>7.2070085571565468</v>
      </c>
      <c r="AR14" s="39">
        <f>ROUND(AVERAGE(D89:D100),0)</f>
        <v>10966</v>
      </c>
      <c r="AS14" s="43">
        <f t="shared" si="3"/>
        <v>6.9540622256900386</v>
      </c>
      <c r="AT14" s="39"/>
      <c r="AW14" s="39">
        <f t="shared" si="0"/>
        <v>149858</v>
      </c>
      <c r="AX14" s="43">
        <f t="shared" si="4"/>
        <v>0.23678296232876317</v>
      </c>
      <c r="BP14" s="13" t="s">
        <v>12</v>
      </c>
      <c r="BQ14" s="52"/>
      <c r="BR14" s="63"/>
      <c r="BS14" s="64"/>
      <c r="BT14" s="171" t="s">
        <v>17</v>
      </c>
      <c r="CI14" s="22">
        <v>1990</v>
      </c>
    </row>
    <row r="15" spans="1:93">
      <c r="C15" s="52" t="s">
        <v>4</v>
      </c>
      <c r="D15" s="52" t="s">
        <v>4</v>
      </c>
      <c r="E15" s="354"/>
      <c r="Y15" s="4" t="s">
        <v>127</v>
      </c>
      <c r="Z15" s="52" t="s">
        <v>4</v>
      </c>
      <c r="AA15" s="15" t="s">
        <v>126</v>
      </c>
      <c r="AB15" s="552" t="s">
        <v>4</v>
      </c>
      <c r="AL15" s="4">
        <v>1991</v>
      </c>
      <c r="AM15" s="108">
        <f>ROUND(SUM(C101:C112),0)</f>
        <v>1763002</v>
      </c>
      <c r="AN15" s="42">
        <f t="shared" si="1"/>
        <v>5.0431999351747692</v>
      </c>
      <c r="AP15" s="39">
        <f>ROUND(SUM(Z101:Z112),0)</f>
        <v>1719311</v>
      </c>
      <c r="AQ15" s="43">
        <f t="shared" si="2"/>
        <v>4.6227719958645164</v>
      </c>
      <c r="AR15" s="39">
        <f>ROUND(AVERAGE(D101:D112),0)</f>
        <v>11538</v>
      </c>
      <c r="AS15" s="43">
        <f t="shared" si="3"/>
        <v>5.2161225606419892</v>
      </c>
      <c r="AT15" s="39"/>
      <c r="AW15" s="39">
        <f t="shared" si="0"/>
        <v>149013</v>
      </c>
      <c r="AX15" s="43">
        <f t="shared" si="4"/>
        <v>-0.56386712754741275</v>
      </c>
      <c r="BP15" s="13" t="s">
        <v>28</v>
      </c>
      <c r="BQ15" s="52"/>
      <c r="BR15" s="63"/>
      <c r="BS15" s="63"/>
      <c r="BT15" s="283" t="s">
        <v>28</v>
      </c>
      <c r="BW15" s="15" t="s">
        <v>41</v>
      </c>
      <c r="CI15" s="22">
        <v>1991</v>
      </c>
    </row>
    <row r="16" spans="1:93">
      <c r="A16" s="31" t="s">
        <v>8</v>
      </c>
      <c r="B16" s="31" t="s">
        <v>29</v>
      </c>
      <c r="C16" s="66" t="s">
        <v>140</v>
      </c>
      <c r="D16" s="66" t="s">
        <v>141</v>
      </c>
      <c r="E16" s="354"/>
      <c r="Y16" s="36" t="s">
        <v>17</v>
      </c>
      <c r="Z16" s="66" t="s">
        <v>111</v>
      </c>
      <c r="AA16" s="66" t="s">
        <v>111</v>
      </c>
      <c r="AB16" s="553" t="s">
        <v>37</v>
      </c>
      <c r="AL16" s="4">
        <v>1992</v>
      </c>
      <c r="AM16" s="108">
        <f>ROUND(SUM(C113:C124),0)</f>
        <v>1789651</v>
      </c>
      <c r="AN16" s="42">
        <f t="shared" si="1"/>
        <v>1.5115694707096283</v>
      </c>
      <c r="AP16" s="39">
        <f>ROUND(SUM(Z113:Z124),0)</f>
        <v>1824509</v>
      </c>
      <c r="AQ16" s="43">
        <f t="shared" si="2"/>
        <v>6.1186137935486995</v>
      </c>
      <c r="AR16" s="39">
        <f>ROUND(AVERAGE(D113:D124),0)</f>
        <v>12214</v>
      </c>
      <c r="AS16" s="43">
        <f t="shared" si="3"/>
        <v>5.8589010227075855</v>
      </c>
      <c r="AT16" s="39"/>
      <c r="AW16" s="39">
        <f t="shared" si="0"/>
        <v>149379</v>
      </c>
      <c r="AX16" s="43">
        <f t="shared" si="4"/>
        <v>0.2456161542952584</v>
      </c>
      <c r="BN16" s="31" t="s">
        <v>8</v>
      </c>
      <c r="BO16" s="31" t="s">
        <v>29</v>
      </c>
      <c r="BP16" s="129" t="s">
        <v>274</v>
      </c>
      <c r="BQ16" s="38"/>
      <c r="BR16" s="72"/>
      <c r="BS16" s="72"/>
      <c r="BT16" s="238" t="s">
        <v>274</v>
      </c>
      <c r="BW16" s="15" t="s">
        <v>143</v>
      </c>
      <c r="CI16" s="22">
        <v>1992</v>
      </c>
    </row>
    <row r="17" spans="1:93">
      <c r="A17" s="4">
        <v>1984</v>
      </c>
      <c r="B17" s="4">
        <v>1</v>
      </c>
      <c r="C17" s="108">
        <f>SHL!C17+SPA!C17</f>
        <v>87670</v>
      </c>
      <c r="D17" s="108">
        <f>SHL!D17+SPA!D17</f>
        <v>7095</v>
      </c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75">
        <f>SHL!Z17+SPA!Z17</f>
        <v>85675</v>
      </c>
      <c r="AA17" s="108">
        <f t="shared" ref="AA17:AA80" si="5">Z17-C17</f>
        <v>-1995</v>
      </c>
      <c r="AB17" s="547">
        <f>SPA!AB17+SHL!AB17</f>
        <v>85675</v>
      </c>
      <c r="AL17" s="4">
        <v>1993</v>
      </c>
      <c r="AM17" s="108">
        <f>ROUND(SUM(C125:C136),0)</f>
        <v>1890127</v>
      </c>
      <c r="AN17" s="42">
        <f t="shared" si="1"/>
        <v>5.6142789851205688</v>
      </c>
      <c r="AP17" s="39">
        <f>ROUND(SUM(Z125:Z136),0)</f>
        <v>1914775</v>
      </c>
      <c r="AQ17" s="43">
        <f t="shared" si="2"/>
        <v>4.9474132492632217</v>
      </c>
      <c r="AR17" s="39">
        <f>ROUND(AVERAGE(D125:D136),0)</f>
        <v>15061</v>
      </c>
      <c r="AS17" s="43">
        <f t="shared" si="3"/>
        <v>23.309317177009991</v>
      </c>
      <c r="AT17" s="39"/>
      <c r="AW17" s="39">
        <f t="shared" si="0"/>
        <v>127135</v>
      </c>
      <c r="AX17" s="43">
        <f t="shared" si="4"/>
        <v>-14.890981998808394</v>
      </c>
      <c r="BN17" s="4">
        <v>1984</v>
      </c>
      <c r="BO17" s="4">
        <v>1</v>
      </c>
      <c r="CI17" s="22">
        <v>1993</v>
      </c>
    </row>
    <row r="18" spans="1:93">
      <c r="A18" s="4">
        <v>1984</v>
      </c>
      <c r="B18" s="4">
        <v>2</v>
      </c>
      <c r="C18" s="108">
        <f>SHL!C18+SPA!C18</f>
        <v>90082</v>
      </c>
      <c r="D18" s="108">
        <f>SHL!D18+SPA!D18</f>
        <v>7129</v>
      </c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75">
        <f>SHL!Z18+SPA!Z18</f>
        <v>88170</v>
      </c>
      <c r="AA18" s="108">
        <f t="shared" si="5"/>
        <v>-1912</v>
      </c>
      <c r="AB18" s="547">
        <f>SPA!AB18+SHL!AB18</f>
        <v>88170</v>
      </c>
      <c r="AL18" s="23">
        <v>1994</v>
      </c>
      <c r="AM18" s="50">
        <f>ROUND(SUM(C137:C148),0)</f>
        <v>1980153</v>
      </c>
      <c r="AN18" s="47">
        <f t="shared" si="1"/>
        <v>4.762960372504077</v>
      </c>
      <c r="AO18" s="23"/>
      <c r="AP18" s="39">
        <f>ROUND(SUM(Z137:Z148),0)</f>
        <v>1989422</v>
      </c>
      <c r="AQ18" s="43">
        <f t="shared" si="2"/>
        <v>3.8984737110104417</v>
      </c>
      <c r="AR18" s="39">
        <f>ROUND(AVERAGE(D137:D148),0)</f>
        <v>17166</v>
      </c>
      <c r="AS18" s="43">
        <f t="shared" si="3"/>
        <v>13.976495584622528</v>
      </c>
      <c r="AT18" s="39"/>
      <c r="AW18" s="39">
        <f t="shared" si="0"/>
        <v>115893</v>
      </c>
      <c r="AX18" s="43">
        <f t="shared" si="4"/>
        <v>-8.8425689227985984</v>
      </c>
      <c r="BN18" s="4">
        <v>1984</v>
      </c>
      <c r="BO18" s="4">
        <v>2</v>
      </c>
      <c r="CI18" s="51">
        <v>1994</v>
      </c>
    </row>
    <row r="19" spans="1:93">
      <c r="A19" s="4">
        <v>1984</v>
      </c>
      <c r="B19" s="4">
        <v>3</v>
      </c>
      <c r="C19" s="108">
        <f>SHL!C19+SPA!C19</f>
        <v>88001</v>
      </c>
      <c r="D19" s="108">
        <f>SHL!D19+SPA!D19</f>
        <v>7181</v>
      </c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75">
        <f>SHL!Z19+SPA!Z19</f>
        <v>89264</v>
      </c>
      <c r="AA19" s="108">
        <f t="shared" si="5"/>
        <v>1263</v>
      </c>
      <c r="AB19" s="547">
        <f>SPA!AB19+SHL!AB19</f>
        <v>89264</v>
      </c>
      <c r="AL19" s="4">
        <v>1995</v>
      </c>
      <c r="AM19" s="50">
        <f>ROUND(SUM(C149:C160),0)</f>
        <v>2084947</v>
      </c>
      <c r="AN19" s="47">
        <f t="shared" si="1"/>
        <v>5.2922173185607324</v>
      </c>
      <c r="AO19" s="23"/>
      <c r="AP19" s="39">
        <f>ROUND(SUM(Z149:Z160),0)</f>
        <v>2078309</v>
      </c>
      <c r="AQ19" s="43">
        <f t="shared" si="2"/>
        <v>4.4679811523145929</v>
      </c>
      <c r="AR19" s="39">
        <f>ROUND(AVERAGE(D149:D160),0)</f>
        <v>17757</v>
      </c>
      <c r="AS19" s="43">
        <f t="shared" si="3"/>
        <v>3.4428521495980524</v>
      </c>
      <c r="AT19" s="39"/>
      <c r="AW19" s="39">
        <f t="shared" si="0"/>
        <v>117042</v>
      </c>
      <c r="AX19" s="43">
        <f t="shared" si="4"/>
        <v>0.99143175170199882</v>
      </c>
      <c r="BN19" s="4">
        <v>1984</v>
      </c>
      <c r="BO19" s="4">
        <v>3</v>
      </c>
      <c r="CI19" s="22">
        <v>1995</v>
      </c>
    </row>
    <row r="20" spans="1:93">
      <c r="A20" s="4">
        <v>1984</v>
      </c>
      <c r="B20" s="4">
        <v>4</v>
      </c>
      <c r="C20" s="108">
        <f>SHL!C20+SPA!C20</f>
        <v>89027</v>
      </c>
      <c r="D20" s="108">
        <f>SHL!D20+SPA!D20</f>
        <v>7239</v>
      </c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75">
        <f>SHL!Z20+SPA!Z20</f>
        <v>95386</v>
      </c>
      <c r="AA20" s="108">
        <f t="shared" si="5"/>
        <v>6359</v>
      </c>
      <c r="AB20" s="547">
        <f>SPA!AB20+SHL!AB20</f>
        <v>95386</v>
      </c>
      <c r="AL20" s="23">
        <v>1996</v>
      </c>
      <c r="AM20" s="50">
        <f>ROUND(SUM(C161:C172),0)</f>
        <v>2231714</v>
      </c>
      <c r="AN20" s="47">
        <f t="shared" si="1"/>
        <v>7.0393635905373175</v>
      </c>
      <c r="AP20" s="39">
        <f>ROUND(SUM(Z161:Z172),0)</f>
        <v>2242705</v>
      </c>
      <c r="AQ20" s="43">
        <f t="shared" si="2"/>
        <v>7.9100845928107955</v>
      </c>
      <c r="AR20" s="39">
        <f>ROUND(AVERAGE(D161:D172),0)</f>
        <v>18018</v>
      </c>
      <c r="AS20" s="43">
        <f t="shared" si="3"/>
        <v>1.4698428788646689</v>
      </c>
      <c r="AT20" s="39"/>
      <c r="AW20" s="39">
        <f t="shared" si="0"/>
        <v>124470</v>
      </c>
      <c r="AX20" s="43">
        <f t="shared" si="4"/>
        <v>6.3464397395806671</v>
      </c>
      <c r="BN20" s="4">
        <v>1984</v>
      </c>
      <c r="BO20" s="4">
        <v>4</v>
      </c>
      <c r="CI20" s="51">
        <v>1996</v>
      </c>
    </row>
    <row r="21" spans="1:93">
      <c r="A21" s="4">
        <v>1984</v>
      </c>
      <c r="B21" s="4">
        <v>5</v>
      </c>
      <c r="C21" s="108">
        <f>SHL!C21+SPA!C21</f>
        <v>99987</v>
      </c>
      <c r="D21" s="108">
        <f>SHL!D21+SPA!D21</f>
        <v>7290</v>
      </c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75">
        <f>SHL!Z21+SPA!Z21</f>
        <v>99965</v>
      </c>
      <c r="AA21" s="108">
        <f t="shared" si="5"/>
        <v>-22</v>
      </c>
      <c r="AB21" s="547">
        <f>SPA!AB21+SHL!AB21</f>
        <v>99965</v>
      </c>
      <c r="AL21" s="4">
        <v>1997</v>
      </c>
      <c r="AM21" s="50">
        <f>ROUND(SUM(C173:C184),0)</f>
        <v>2325389</v>
      </c>
      <c r="AN21" s="47">
        <f t="shared" si="1"/>
        <v>4.19744644699096</v>
      </c>
      <c r="AP21" s="39">
        <f>ROUND(SUM(Z173:Z184),0)</f>
        <v>2344250</v>
      </c>
      <c r="AQ21" s="43">
        <f t="shared" si="2"/>
        <v>4.5277912164105372</v>
      </c>
      <c r="AR21" s="39">
        <f>ROUND(AVERAGE(D173:D184),0)</f>
        <v>18547</v>
      </c>
      <c r="AS21" s="43">
        <f t="shared" si="3"/>
        <v>2.9359529359529457</v>
      </c>
      <c r="AT21" s="39"/>
      <c r="AW21" s="39">
        <f t="shared" si="0"/>
        <v>126395</v>
      </c>
      <c r="AX21" s="43">
        <f t="shared" si="4"/>
        <v>1.5465574033903806</v>
      </c>
      <c r="BN21" s="4">
        <v>1984</v>
      </c>
      <c r="BO21" s="4">
        <v>5</v>
      </c>
      <c r="CI21" s="22">
        <v>1997</v>
      </c>
      <c r="CJ21" s="84">
        <f>ROUND(SUM(BP173:BP184),0)</f>
        <v>2325644</v>
      </c>
      <c r="CK21" s="47"/>
      <c r="CL21" s="84">
        <f>ROUND(SUM(BT173:BT184),0)</f>
        <v>2343478</v>
      </c>
      <c r="CN21" s="108">
        <f>CL21/AR21*1000</f>
        <v>126353.48034722597</v>
      </c>
    </row>
    <row r="22" spans="1:93">
      <c r="A22" s="4">
        <v>1984</v>
      </c>
      <c r="B22" s="4">
        <v>6</v>
      </c>
      <c r="C22" s="108">
        <f>SHL!C22+SPA!C22</f>
        <v>104855</v>
      </c>
      <c r="D22" s="108">
        <f>SHL!D22+SPA!D22</f>
        <v>7327</v>
      </c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75">
        <f>SHL!Z22+SPA!Z22</f>
        <v>119507</v>
      </c>
      <c r="AA22" s="108">
        <f t="shared" si="5"/>
        <v>14652</v>
      </c>
      <c r="AB22" s="547">
        <f>SPA!AB22+SHL!AB22</f>
        <v>119507</v>
      </c>
      <c r="AL22" s="23">
        <v>1998</v>
      </c>
      <c r="AM22" s="50">
        <f>ROUND(SUM(C185:C196),0)</f>
        <v>2485604</v>
      </c>
      <c r="AN22" s="47">
        <f t="shared" si="1"/>
        <v>6.8898149943944942</v>
      </c>
      <c r="AP22" s="39">
        <f>ROUND(SUM(Z185:Z196),0)</f>
        <v>2425958</v>
      </c>
      <c r="AQ22" s="43">
        <f t="shared" si="2"/>
        <v>3.4854644342540153</v>
      </c>
      <c r="AR22" s="39">
        <f>ROUND(AVERAGE(D185:D196),0)</f>
        <v>18997</v>
      </c>
      <c r="AS22" s="43">
        <f t="shared" si="3"/>
        <v>2.4262683992020362</v>
      </c>
      <c r="AT22" s="39"/>
      <c r="AW22" s="39">
        <f t="shared" si="0"/>
        <v>127702</v>
      </c>
      <c r="AX22" s="43">
        <f t="shared" si="4"/>
        <v>1.0340598916096289</v>
      </c>
      <c r="BN22" s="4">
        <v>1984</v>
      </c>
      <c r="BO22" s="4">
        <v>6</v>
      </c>
      <c r="CI22" s="51">
        <v>1998</v>
      </c>
      <c r="CJ22" s="84">
        <f>ROUND(SUM(BP185:BP196),0)</f>
        <v>2492322</v>
      </c>
      <c r="CK22" s="47">
        <f t="shared" ref="CK22:CK34" si="6">(CJ22/CJ21-1)*100</f>
        <v>7.1669610654081284</v>
      </c>
      <c r="CL22" s="84">
        <f>ROUND(SUM(BT185:BT196),0)</f>
        <v>2428513</v>
      </c>
      <c r="CM22" s="47">
        <f t="shared" ref="CM22:CO34" si="7">(CL22/CL21-1)*100</f>
        <v>3.62858110893296</v>
      </c>
      <c r="CN22" s="108">
        <f t="shared" ref="CN22:CN34" si="8">CL22/AR22*1000</f>
        <v>127836.65841975049</v>
      </c>
      <c r="CO22" s="47">
        <f t="shared" si="7"/>
        <v>1.1738323855019051</v>
      </c>
    </row>
    <row r="23" spans="1:93">
      <c r="A23" s="4">
        <v>1984</v>
      </c>
      <c r="B23" s="4">
        <v>7</v>
      </c>
      <c r="C23" s="108">
        <f>SHL!C23+SPA!C23</f>
        <v>101280</v>
      </c>
      <c r="D23" s="108">
        <f>SHL!D23+SPA!D23</f>
        <v>7338</v>
      </c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75">
        <f>SHL!Z23+SPA!Z23</f>
        <v>110773</v>
      </c>
      <c r="AA23" s="108">
        <f t="shared" si="5"/>
        <v>9493</v>
      </c>
      <c r="AB23" s="547">
        <f>SPA!AB23+SHL!AB23</f>
        <v>110773</v>
      </c>
      <c r="AL23" s="4">
        <v>1999</v>
      </c>
      <c r="AM23" s="50">
        <f>ROUND(SUM(C197:C208),0)</f>
        <v>2535701</v>
      </c>
      <c r="AN23" s="47">
        <f t="shared" si="1"/>
        <v>2.0154859744351938</v>
      </c>
      <c r="AP23" s="39">
        <f>ROUND(SUM(Z197:Z208),0)</f>
        <v>2535800</v>
      </c>
      <c r="AQ23" s="43">
        <f t="shared" si="2"/>
        <v>4.5277783044883613</v>
      </c>
      <c r="AR23" s="39">
        <f>ROUND(AVERAGE(D197:D208),0)</f>
        <v>19582</v>
      </c>
      <c r="AS23" s="43">
        <f t="shared" si="3"/>
        <v>3.0794335947781137</v>
      </c>
      <c r="AT23" s="39"/>
      <c r="AW23" s="39">
        <f t="shared" si="0"/>
        <v>129496</v>
      </c>
      <c r="AX23" s="43">
        <f t="shared" si="4"/>
        <v>1.4048331271240944</v>
      </c>
      <c r="BN23" s="4">
        <v>1984</v>
      </c>
      <c r="BO23" s="4">
        <v>7</v>
      </c>
      <c r="CI23" s="22">
        <v>1999</v>
      </c>
      <c r="CJ23" s="84">
        <f>ROUND(SUM(BP197:BP208),0)</f>
        <v>2545459</v>
      </c>
      <c r="CK23" s="47">
        <f t="shared" si="6"/>
        <v>2.1320278840374574</v>
      </c>
      <c r="CL23" s="84">
        <f>ROUND(SUM(BT197:BT208),0)</f>
        <v>2547981</v>
      </c>
      <c r="CM23" s="47">
        <f t="shared" si="7"/>
        <v>4.919388942945746</v>
      </c>
      <c r="CN23" s="108">
        <f t="shared" si="8"/>
        <v>130118.52721887447</v>
      </c>
      <c r="CO23" s="47">
        <f t="shared" si="7"/>
        <v>1.7849878331702707</v>
      </c>
    </row>
    <row r="24" spans="1:93">
      <c r="A24" s="4">
        <v>1984</v>
      </c>
      <c r="B24" s="4">
        <v>8</v>
      </c>
      <c r="C24" s="108">
        <f>SHL!C24+SPA!C24</f>
        <v>100560</v>
      </c>
      <c r="D24" s="108">
        <f>SHL!D24+SPA!D24</f>
        <v>7365</v>
      </c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75">
        <f>SHL!Z24+SPA!Z24</f>
        <v>105579</v>
      </c>
      <c r="AA24" s="108">
        <f t="shared" si="5"/>
        <v>5019</v>
      </c>
      <c r="AB24" s="547">
        <f>SPA!AB24+SHL!AB24</f>
        <v>105579</v>
      </c>
      <c r="AL24" s="23">
        <v>2000</v>
      </c>
      <c r="AM24" s="50">
        <f>ROUND(SUM(C209:C220),0)</f>
        <v>2654150</v>
      </c>
      <c r="AN24" s="47">
        <f t="shared" si="1"/>
        <v>4.6712526437462376</v>
      </c>
      <c r="AP24" s="555">
        <f>ROUND(SUM(AB209:AB220),0)</f>
        <v>2661937</v>
      </c>
      <c r="AQ24" s="43">
        <f t="shared" si="2"/>
        <v>4.9742487577884686</v>
      </c>
      <c r="AR24" s="39">
        <f>ROUND(AVERAGE(D209:D220),0)</f>
        <v>19986</v>
      </c>
      <c r="AS24" s="43">
        <f t="shared" si="3"/>
        <v>2.063119191093854</v>
      </c>
      <c r="AT24" s="39"/>
      <c r="AW24" s="555">
        <f t="shared" si="0"/>
        <v>133190</v>
      </c>
      <c r="AX24" s="43">
        <f t="shared" si="4"/>
        <v>2.8525977636374877</v>
      </c>
      <c r="BN24" s="4">
        <v>1984</v>
      </c>
      <c r="BO24" s="4">
        <v>8</v>
      </c>
      <c r="CI24" s="51">
        <v>2000</v>
      </c>
      <c r="CJ24" s="84">
        <f>ROUND(SUM(BP209:BP220),0)</f>
        <v>2665973</v>
      </c>
      <c r="CK24" s="47">
        <f t="shared" si="6"/>
        <v>4.7344702861055632</v>
      </c>
      <c r="CL24" s="84">
        <f>ROUND(SUM(BT209:BT220),0)</f>
        <v>2662669</v>
      </c>
      <c r="CM24" s="47">
        <f t="shared" si="7"/>
        <v>4.501132465273483</v>
      </c>
      <c r="CN24" s="108">
        <f t="shared" si="8"/>
        <v>133226.70869608727</v>
      </c>
      <c r="CO24" s="47">
        <f t="shared" si="7"/>
        <v>2.3887309083851394</v>
      </c>
    </row>
    <row r="25" spans="1:93">
      <c r="A25" s="4">
        <v>1984</v>
      </c>
      <c r="B25" s="4">
        <v>9</v>
      </c>
      <c r="C25" s="108">
        <f>SHL!C25+SPA!C25</f>
        <v>115455</v>
      </c>
      <c r="D25" s="108">
        <f>SHL!D25+SPA!D25</f>
        <v>7410</v>
      </c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75">
        <f>SHL!Z25+SPA!Z25</f>
        <v>118778</v>
      </c>
      <c r="AA25" s="108">
        <f t="shared" si="5"/>
        <v>3323</v>
      </c>
      <c r="AB25" s="547">
        <f>SPA!AB25+SHL!AB25</f>
        <v>118778</v>
      </c>
      <c r="AL25" s="4">
        <v>2001</v>
      </c>
      <c r="AM25" s="50">
        <f>ROUND(SUM(C221:C232),0)</f>
        <v>2726182</v>
      </c>
      <c r="AN25" s="47">
        <f t="shared" si="1"/>
        <v>2.7139385490646761</v>
      </c>
      <c r="AP25" s="555">
        <f>ROUND(SUM(AB221:AB232),0)</f>
        <v>2750536</v>
      </c>
      <c r="AQ25" s="43">
        <f t="shared" si="2"/>
        <v>3.3283657727436911</v>
      </c>
      <c r="AR25" s="39">
        <f>ROUND(AVERAGE(D221:D232),0)</f>
        <v>20732</v>
      </c>
      <c r="AS25" s="43">
        <f t="shared" si="3"/>
        <v>3.7326128289802751</v>
      </c>
      <c r="AT25" s="39"/>
      <c r="AW25" s="555">
        <f t="shared" si="0"/>
        <v>132671</v>
      </c>
      <c r="AX25" s="43">
        <f t="shared" si="4"/>
        <v>-0.3896688940611126</v>
      </c>
      <c r="BN25" s="4">
        <v>1984</v>
      </c>
      <c r="BO25" s="4">
        <v>9</v>
      </c>
      <c r="CI25" s="22">
        <v>2001</v>
      </c>
      <c r="CJ25" s="84">
        <f>ROUND(SUM(BP221:BP232),0)</f>
        <v>2714005</v>
      </c>
      <c r="CK25" s="47">
        <f t="shared" si="6"/>
        <v>1.8016686590599296</v>
      </c>
      <c r="CL25" s="84">
        <f>ROUND(SUM(BT221:BT232),0)</f>
        <v>2738803</v>
      </c>
      <c r="CM25" s="47">
        <f t="shared" si="7"/>
        <v>2.8593114653004292</v>
      </c>
      <c r="CN25" s="108">
        <f t="shared" si="8"/>
        <v>132105.10322207215</v>
      </c>
      <c r="CO25" s="47">
        <f t="shared" si="7"/>
        <v>-0.84187734200781295</v>
      </c>
    </row>
    <row r="26" spans="1:93">
      <c r="A26" s="4">
        <v>1984</v>
      </c>
      <c r="B26" s="4">
        <v>10</v>
      </c>
      <c r="C26" s="108">
        <f>SHL!C26+SPA!C26</f>
        <v>110429</v>
      </c>
      <c r="D26" s="108">
        <f>SHL!D26+SPA!D26</f>
        <v>7428</v>
      </c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75">
        <f>SHL!Z26+SPA!Z26</f>
        <v>122322</v>
      </c>
      <c r="AA26" s="108">
        <f t="shared" si="5"/>
        <v>11893</v>
      </c>
      <c r="AB26" s="547">
        <f>SPA!AB26+SHL!AB26</f>
        <v>122322</v>
      </c>
      <c r="AL26" s="23">
        <v>2002</v>
      </c>
      <c r="AM26" s="50">
        <f>ROUND(SUM(C233:C244),0)</f>
        <v>2850384</v>
      </c>
      <c r="AN26" s="47">
        <f t="shared" si="1"/>
        <v>4.5558953877620878</v>
      </c>
      <c r="AP26" s="555">
        <f>ROUND(SUM(AB233:AB244),0)</f>
        <v>2816955</v>
      </c>
      <c r="AQ26" s="43">
        <f t="shared" si="2"/>
        <v>2.4147657038482651</v>
      </c>
      <c r="AR26" s="39">
        <f>ROUND(AVERAGE(D233:D244),0)</f>
        <v>21134</v>
      </c>
      <c r="AS26" s="43">
        <f t="shared" si="3"/>
        <v>1.9390314489677873</v>
      </c>
      <c r="AT26" s="39"/>
      <c r="AW26" s="555">
        <f t="shared" si="0"/>
        <v>133290</v>
      </c>
      <c r="AX26" s="43">
        <f t="shared" si="4"/>
        <v>0.46656767492518902</v>
      </c>
      <c r="BN26" s="4">
        <v>1984</v>
      </c>
      <c r="BO26" s="4">
        <v>10</v>
      </c>
      <c r="CI26" s="51">
        <v>2002</v>
      </c>
      <c r="CJ26" s="84">
        <f>ROUND(SUM(BP233:BP244),0)</f>
        <v>2834787</v>
      </c>
      <c r="CK26" s="47">
        <f t="shared" si="6"/>
        <v>4.4503234150268689</v>
      </c>
      <c r="CL26" s="84">
        <f>ROUND(SUM(BT233:BT244),0)</f>
        <v>2805560</v>
      </c>
      <c r="CM26" s="47">
        <f t="shared" si="7"/>
        <v>2.4374516896614962</v>
      </c>
      <c r="CN26" s="108">
        <f t="shared" si="8"/>
        <v>132751.01731806566</v>
      </c>
      <c r="CO26" s="47">
        <f t="shared" si="7"/>
        <v>0.48893954907078818</v>
      </c>
    </row>
    <row r="27" spans="1:93">
      <c r="A27" s="4">
        <v>1984</v>
      </c>
      <c r="B27" s="4">
        <v>11</v>
      </c>
      <c r="C27" s="108">
        <f>SHL!C27+SPA!C27</f>
        <v>106738</v>
      </c>
      <c r="D27" s="108">
        <f>SHL!D27+SPA!D27</f>
        <v>7473</v>
      </c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75">
        <f>SHL!Z27+SPA!Z27</f>
        <v>97719</v>
      </c>
      <c r="AA27" s="108">
        <f t="shared" si="5"/>
        <v>-9019</v>
      </c>
      <c r="AB27" s="547">
        <f>SPA!AB27+SHL!AB27</f>
        <v>97719</v>
      </c>
      <c r="AL27" s="4">
        <v>2003</v>
      </c>
      <c r="AM27" s="50">
        <f>ROUND(SUM(C245:C256),0)</f>
        <v>2974231</v>
      </c>
      <c r="AN27" s="47">
        <f t="shared" si="1"/>
        <v>4.3449233506783758</v>
      </c>
      <c r="AP27" s="555">
        <f>ROUND(SUM(AB245:AB256),0)</f>
        <v>2972040</v>
      </c>
      <c r="AQ27" s="43">
        <f t="shared" si="2"/>
        <v>5.5054127595222546</v>
      </c>
      <c r="AR27" s="39">
        <f>ROUND(AVERAGE(D245:D256),0)</f>
        <v>21643</v>
      </c>
      <c r="AS27" s="43">
        <f t="shared" si="3"/>
        <v>2.4084413740891542</v>
      </c>
      <c r="AT27" s="39"/>
      <c r="AW27" s="555">
        <f t="shared" si="0"/>
        <v>137321</v>
      </c>
      <c r="AX27" s="43">
        <f t="shared" si="4"/>
        <v>3.0242328756846071</v>
      </c>
      <c r="BN27" s="4">
        <v>1984</v>
      </c>
      <c r="BO27" s="4">
        <v>11</v>
      </c>
      <c r="CI27" s="51">
        <v>2003</v>
      </c>
      <c r="CJ27" s="84">
        <f>ROUND(SUM(BP245:BP256),0)</f>
        <v>2993998</v>
      </c>
      <c r="CK27" s="47">
        <f t="shared" si="6"/>
        <v>5.6163302569117279</v>
      </c>
      <c r="CL27" s="84">
        <f>ROUND(SUM(BT245:BT256),0)</f>
        <v>2988317</v>
      </c>
      <c r="CM27" s="47">
        <f t="shared" si="7"/>
        <v>6.5141005717218592</v>
      </c>
      <c r="CN27" s="108">
        <f t="shared" si="8"/>
        <v>138073.14143140969</v>
      </c>
      <c r="CO27" s="47">
        <f t="shared" si="7"/>
        <v>4.0091023186605401</v>
      </c>
    </row>
    <row r="28" spans="1:93">
      <c r="A28" s="4">
        <v>1984</v>
      </c>
      <c r="B28" s="4">
        <v>12</v>
      </c>
      <c r="C28" s="108">
        <f>SHL!C28+SPA!C28</f>
        <v>94659</v>
      </c>
      <c r="D28" s="108">
        <f>SHL!D28+SPA!D28</f>
        <v>7519</v>
      </c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75">
        <f>SHL!Z28+SPA!Z28</f>
        <v>94924</v>
      </c>
      <c r="AA28" s="108">
        <f t="shared" si="5"/>
        <v>265</v>
      </c>
      <c r="AB28" s="547">
        <f>SPA!AB28+SHL!AB28</f>
        <v>94924</v>
      </c>
      <c r="AL28" s="4">
        <v>2004</v>
      </c>
      <c r="AM28" s="50">
        <f>ROUND(SUM(C257:C268),0)</f>
        <v>3043673</v>
      </c>
      <c r="AN28" s="47">
        <f t="shared" si="1"/>
        <v>2.334788387317599</v>
      </c>
      <c r="AP28" s="555">
        <f>ROUND(SUM(AB257:AB268),0)</f>
        <v>3056113</v>
      </c>
      <c r="AQ28" s="43">
        <f t="shared" si="2"/>
        <v>2.828797728159782</v>
      </c>
      <c r="AR28" s="39">
        <f>ROUND(AVERAGE(D257:D268),0)</f>
        <v>22413</v>
      </c>
      <c r="AS28" s="43">
        <f t="shared" si="3"/>
        <v>3.5577322921960919</v>
      </c>
      <c r="AT28" s="39"/>
      <c r="AW28" s="555">
        <f t="shared" si="0"/>
        <v>136354</v>
      </c>
      <c r="AX28" s="43">
        <f t="shared" si="4"/>
        <v>-0.70418945390726684</v>
      </c>
      <c r="BN28" s="4">
        <v>1984</v>
      </c>
      <c r="BO28" s="4">
        <v>12</v>
      </c>
      <c r="CI28" s="51">
        <v>2004</v>
      </c>
      <c r="CJ28" s="84">
        <f>ROUND(SUM(BP257:BP268),0)</f>
        <v>3071954</v>
      </c>
      <c r="CK28" s="47">
        <f t="shared" si="6"/>
        <v>2.6037425542702497</v>
      </c>
      <c r="CL28" s="182">
        <f>ROUND(SUM(BT257:BT268),0)</f>
        <v>3083571</v>
      </c>
      <c r="CM28" s="47">
        <f t="shared" si="7"/>
        <v>3.187546702709243</v>
      </c>
      <c r="CN28" s="108">
        <f t="shared" si="8"/>
        <v>137579.57435416945</v>
      </c>
      <c r="CO28" s="47">
        <f t="shared" si="7"/>
        <v>-0.35746784068458881</v>
      </c>
    </row>
    <row r="29" spans="1:93">
      <c r="A29" s="4">
        <v>1985</v>
      </c>
      <c r="B29" s="4">
        <v>1</v>
      </c>
      <c r="C29" s="108">
        <f>SHL!C29+SPA!C29</f>
        <v>91538</v>
      </c>
      <c r="D29" s="108">
        <f>SHL!D29+SPA!D29</f>
        <v>7607</v>
      </c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>
        <f t="shared" ref="Y29:Y92" si="9">Z29-Z17</f>
        <v>1467</v>
      </c>
      <c r="Z29" s="175">
        <f>SHL!Z29+SPA!Z29</f>
        <v>87142</v>
      </c>
      <c r="AA29" s="108">
        <f t="shared" si="5"/>
        <v>-4396</v>
      </c>
      <c r="AB29" s="547">
        <f>SPA!AB29+SHL!AB29</f>
        <v>87142</v>
      </c>
      <c r="AL29" s="4">
        <v>2005</v>
      </c>
      <c r="AM29" s="50">
        <f>ROUND(SUM(C269:C280),0)</f>
        <v>3198466</v>
      </c>
      <c r="AN29" s="47">
        <f t="shared" si="1"/>
        <v>5.0857303001997867</v>
      </c>
      <c r="AP29" s="555">
        <f>ROUND(SUM(AB269:AB280),0)</f>
        <v>3188717</v>
      </c>
      <c r="AQ29" s="43">
        <f t="shared" si="2"/>
        <v>4.3389756857812545</v>
      </c>
      <c r="AR29" s="39">
        <f>ROUND(AVERAGE(D269:D280),0)</f>
        <v>22674</v>
      </c>
      <c r="AS29" s="43">
        <f t="shared" si="3"/>
        <v>1.1645027439432409</v>
      </c>
      <c r="AT29" s="39"/>
      <c r="AW29" s="555">
        <f t="shared" si="0"/>
        <v>140633</v>
      </c>
      <c r="AX29" s="43">
        <f t="shared" si="4"/>
        <v>3.1381550962934712</v>
      </c>
      <c r="BN29" s="4">
        <v>1985</v>
      </c>
      <c r="BO29" s="4">
        <v>1</v>
      </c>
      <c r="CI29" s="51">
        <v>2005</v>
      </c>
      <c r="CJ29" s="84">
        <f>ROUND(SUM(BP269:BP280),0)</f>
        <v>3183896</v>
      </c>
      <c r="CK29" s="47">
        <f t="shared" si="6"/>
        <v>3.643999877602333</v>
      </c>
      <c r="CL29" s="84">
        <f>ROUND(SUM(BT269:BT280),0)</f>
        <v>3176439</v>
      </c>
      <c r="CM29" s="47">
        <f t="shared" si="7"/>
        <v>3.0117029898127923</v>
      </c>
      <c r="CN29" s="108">
        <f t="shared" si="8"/>
        <v>140091.69092352473</v>
      </c>
      <c r="CO29" s="47">
        <f t="shared" si="7"/>
        <v>1.8259371575669814</v>
      </c>
    </row>
    <row r="30" spans="1:93">
      <c r="A30" s="4">
        <v>1985</v>
      </c>
      <c r="B30" s="4">
        <v>2</v>
      </c>
      <c r="C30" s="108">
        <f>SHL!C30+SPA!C30</f>
        <v>96414</v>
      </c>
      <c r="D30" s="108">
        <f>SHL!D30+SPA!D30</f>
        <v>7653</v>
      </c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>
        <f t="shared" si="9"/>
        <v>3528</v>
      </c>
      <c r="Z30" s="175">
        <f>SHL!Z30+SPA!Z30</f>
        <v>91698</v>
      </c>
      <c r="AA30" s="108">
        <f t="shared" si="5"/>
        <v>-4716</v>
      </c>
      <c r="AB30" s="547">
        <f>SPA!AB30+SHL!AB30</f>
        <v>91698</v>
      </c>
      <c r="AL30" s="4">
        <v>2006</v>
      </c>
      <c r="AM30" s="50">
        <f>ROUND(SUM(C281:C292),0)</f>
        <v>3276072</v>
      </c>
      <c r="AN30" s="47">
        <f t="shared" si="1"/>
        <v>2.4263506318341399</v>
      </c>
      <c r="AP30" s="555">
        <f>ROUND(SUM(AB281:AB292),0)</f>
        <v>3281060</v>
      </c>
      <c r="AQ30" s="43">
        <f t="shared" si="2"/>
        <v>2.8959296168333593</v>
      </c>
      <c r="AR30" s="39">
        <f>ROUND(AVERAGE(D281:D292),0)</f>
        <v>23160</v>
      </c>
      <c r="AS30" s="43">
        <f t="shared" si="3"/>
        <v>2.1434241862926751</v>
      </c>
      <c r="AT30" s="39"/>
      <c r="AW30" s="555">
        <f t="shared" si="0"/>
        <v>141669</v>
      </c>
      <c r="AX30" s="43">
        <f t="shared" si="4"/>
        <v>0.73666920281867387</v>
      </c>
      <c r="BN30" s="4">
        <v>1985</v>
      </c>
      <c r="BO30" s="4">
        <v>2</v>
      </c>
      <c r="CI30" s="51">
        <v>2006</v>
      </c>
      <c r="CJ30" s="84">
        <f>ROUND(SUM(BP281:BP292),0)</f>
        <v>3264625</v>
      </c>
      <c r="CK30" s="47">
        <f t="shared" si="6"/>
        <v>2.5355413619037703</v>
      </c>
      <c r="CL30" s="84">
        <f>ROUND(SUM(BT281:BT292),0)</f>
        <v>3267487</v>
      </c>
      <c r="CM30" s="47">
        <f t="shared" si="7"/>
        <v>2.8663544302283128</v>
      </c>
      <c r="CN30" s="108">
        <f t="shared" si="8"/>
        <v>141083.20379965456</v>
      </c>
      <c r="CO30" s="47">
        <f t="shared" si="7"/>
        <v>0.70775994607066295</v>
      </c>
    </row>
    <row r="31" spans="1:93">
      <c r="A31" s="4">
        <v>1985</v>
      </c>
      <c r="B31" s="4">
        <v>3</v>
      </c>
      <c r="C31" s="108">
        <f>SHL!C31+SPA!C31</f>
        <v>97807</v>
      </c>
      <c r="D31" s="108">
        <f>SHL!D31+SPA!D31</f>
        <v>7727</v>
      </c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>
        <f t="shared" si="9"/>
        <v>4290</v>
      </c>
      <c r="Z31" s="175">
        <f>SHL!Z31+SPA!Z31</f>
        <v>93554</v>
      </c>
      <c r="AA31" s="108">
        <f t="shared" si="5"/>
        <v>-4253</v>
      </c>
      <c r="AB31" s="547">
        <f>SPA!AB31+SHL!AB31</f>
        <v>93554</v>
      </c>
      <c r="AL31" s="4">
        <v>2007</v>
      </c>
      <c r="AM31" s="50">
        <f>ROUND(SUM(C293:C304),0)</f>
        <v>3366716</v>
      </c>
      <c r="AN31" s="47">
        <f t="shared" si="1"/>
        <v>2.7668500570195098</v>
      </c>
      <c r="AP31" s="555">
        <f>ROUND(SUM(AB293:AB304),0)</f>
        <v>3347761</v>
      </c>
      <c r="AQ31" s="43">
        <f t="shared" si="2"/>
        <v>2.0329100961274715</v>
      </c>
      <c r="AR31" s="39">
        <f>ROUND(AVERAGE(D293:D304),0)</f>
        <v>23988</v>
      </c>
      <c r="AS31" s="43">
        <f t="shared" si="3"/>
        <v>3.5751295336787559</v>
      </c>
      <c r="AT31" s="39"/>
      <c r="AW31" s="555">
        <f t="shared" si="0"/>
        <v>139560</v>
      </c>
      <c r="AX31" s="43">
        <f t="shared" si="4"/>
        <v>-1.4886813628951945</v>
      </c>
      <c r="BN31" s="4">
        <v>1985</v>
      </c>
      <c r="BO31" s="4">
        <v>3</v>
      </c>
      <c r="CI31" s="22">
        <v>2007</v>
      </c>
      <c r="CJ31" s="84">
        <f>ROUND(SUM(BP293:BP304),0)</f>
        <v>3370879</v>
      </c>
      <c r="CK31" s="47">
        <f t="shared" si="6"/>
        <v>3.2547076616763038</v>
      </c>
      <c r="CL31" s="84">
        <f>ROUND(SUM(BT293:BT304),0)</f>
        <v>3355323</v>
      </c>
      <c r="CM31" s="47">
        <f t="shared" si="7"/>
        <v>2.6881820799899092</v>
      </c>
      <c r="CN31" s="108">
        <f t="shared" si="8"/>
        <v>139875.06253126563</v>
      </c>
      <c r="CO31" s="47">
        <f t="shared" si="7"/>
        <v>-0.85633245903923294</v>
      </c>
    </row>
    <row r="32" spans="1:93">
      <c r="A32" s="4">
        <v>1985</v>
      </c>
      <c r="B32" s="4">
        <v>4</v>
      </c>
      <c r="C32" s="108">
        <f>SHL!C32+SPA!C32</f>
        <v>94662</v>
      </c>
      <c r="D32" s="108">
        <f>SHL!D32+SPA!D32</f>
        <v>7787</v>
      </c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>
        <f t="shared" si="9"/>
        <v>2315</v>
      </c>
      <c r="Z32" s="175">
        <f>SHL!Z32+SPA!Z32</f>
        <v>97701</v>
      </c>
      <c r="AA32" s="108">
        <f t="shared" si="5"/>
        <v>3039</v>
      </c>
      <c r="AB32" s="547">
        <f>SPA!AB32+SHL!AB32</f>
        <v>97701</v>
      </c>
      <c r="AL32" s="4">
        <v>2008</v>
      </c>
      <c r="AM32" s="50">
        <f>ROUND(SUM(C305:C316),0)</f>
        <v>3302083</v>
      </c>
      <c r="AN32" s="47">
        <f t="shared" si="1"/>
        <v>-1.919763948013431</v>
      </c>
      <c r="AP32" s="555">
        <f>ROUND(SUM(AB305:AB316),0)</f>
        <v>3317759</v>
      </c>
      <c r="AQ32" s="43">
        <f t="shared" si="2"/>
        <v>-0.89618105952008476</v>
      </c>
      <c r="AR32" s="39">
        <f>ROUND(AVERAGE(D305:D316),0)</f>
        <v>24714</v>
      </c>
      <c r="AS32" s="43">
        <f t="shared" si="3"/>
        <v>3.0265132566283048</v>
      </c>
      <c r="AT32" s="39"/>
      <c r="AW32" s="555">
        <f t="shared" si="0"/>
        <v>134246</v>
      </c>
      <c r="AX32" s="43">
        <f t="shared" si="4"/>
        <v>-3.8076812840355356</v>
      </c>
      <c r="BN32" s="4">
        <v>1985</v>
      </c>
      <c r="BO32" s="4">
        <v>4</v>
      </c>
      <c r="CI32" s="22">
        <v>2008</v>
      </c>
      <c r="CJ32" s="84">
        <f>ROUND(SUM(BP305:BP316),0)</f>
        <v>3281091</v>
      </c>
      <c r="CK32" s="47">
        <f t="shared" si="6"/>
        <v>-2.6636375853301142</v>
      </c>
      <c r="CL32" s="84">
        <f>ROUND(SUM(BT305:BT316),0)</f>
        <v>3295220</v>
      </c>
      <c r="CM32" s="47">
        <f t="shared" si="7"/>
        <v>-1.7912731501557366</v>
      </c>
      <c r="CN32" s="108">
        <f t="shared" si="8"/>
        <v>133334.14259124381</v>
      </c>
      <c r="CO32" s="47">
        <f t="shared" si="7"/>
        <v>-4.6762588138680954</v>
      </c>
    </row>
    <row r="33" spans="1:93">
      <c r="A33" s="4">
        <v>1985</v>
      </c>
      <c r="B33" s="4">
        <v>5</v>
      </c>
      <c r="C33" s="108">
        <f>SHL!C33+SPA!C33</f>
        <v>104619</v>
      </c>
      <c r="D33" s="108">
        <f>SHL!D33+SPA!D33</f>
        <v>7808</v>
      </c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>
        <f t="shared" si="9"/>
        <v>1166</v>
      </c>
      <c r="Z33" s="175">
        <f>SHL!Z33+SPA!Z33</f>
        <v>101131</v>
      </c>
      <c r="AA33" s="108">
        <f t="shared" si="5"/>
        <v>-3488</v>
      </c>
      <c r="AB33" s="547">
        <f>SPA!AB33+SHL!AB33</f>
        <v>101131</v>
      </c>
      <c r="AL33" s="4">
        <v>2009</v>
      </c>
      <c r="AM33" s="50">
        <f>ROUND(SUM(C317:C328),0)</f>
        <v>3256189</v>
      </c>
      <c r="AN33" s="47">
        <f t="shared" si="1"/>
        <v>-1.3898499825716115</v>
      </c>
      <c r="AP33" s="555">
        <f>ROUND(SUM(AB317:AB328),0)</f>
        <v>3224289</v>
      </c>
      <c r="AQ33" s="43">
        <f t="shared" si="2"/>
        <v>-2.8172630983745339</v>
      </c>
      <c r="AR33" s="39">
        <f>ROUND(AVERAGE(D317:D328),0)</f>
        <v>24970</v>
      </c>
      <c r="AS33" s="43">
        <f t="shared" si="3"/>
        <v>1.0358501254349672</v>
      </c>
      <c r="AT33" s="39"/>
      <c r="AW33" s="555">
        <f t="shared" si="0"/>
        <v>129127</v>
      </c>
      <c r="AX33" s="43">
        <f t="shared" si="4"/>
        <v>-3.8131489951283459</v>
      </c>
      <c r="BN33" s="4">
        <v>1985</v>
      </c>
      <c r="BO33" s="4">
        <v>5</v>
      </c>
      <c r="CI33" s="22">
        <v>2009</v>
      </c>
      <c r="CJ33" s="84">
        <f>ROUND(SUM(BP317:BP328),0)</f>
        <v>3282480</v>
      </c>
      <c r="CK33" s="47">
        <f t="shared" si="6"/>
        <v>4.2333479930922735E-2</v>
      </c>
      <c r="CL33" s="84">
        <f>ROUND(SUM(BT317:BT328),0)</f>
        <v>3250367</v>
      </c>
      <c r="CM33" s="47">
        <f t="shared" si="7"/>
        <v>-1.3611534282991777</v>
      </c>
      <c r="CN33" s="108">
        <f t="shared" si="8"/>
        <v>130170.88506207449</v>
      </c>
      <c r="CO33" s="47">
        <f t="shared" si="7"/>
        <v>-2.3724287475765049</v>
      </c>
    </row>
    <row r="34" spans="1:93">
      <c r="A34" s="4">
        <v>1985</v>
      </c>
      <c r="B34" s="4">
        <v>6</v>
      </c>
      <c r="C34" s="108">
        <f>SHL!C34+SPA!C34</f>
        <v>116641</v>
      </c>
      <c r="D34" s="108">
        <f>SHL!D34+SPA!D34</f>
        <v>7845</v>
      </c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>
        <f t="shared" si="9"/>
        <v>-9930</v>
      </c>
      <c r="Z34" s="175">
        <f>SHL!Z34+SPA!Z34</f>
        <v>109577</v>
      </c>
      <c r="AA34" s="108">
        <f t="shared" si="5"/>
        <v>-7064</v>
      </c>
      <c r="AB34" s="547">
        <f>SPA!AB34+SHL!AB34</f>
        <v>109577</v>
      </c>
      <c r="AL34" s="4">
        <v>2010</v>
      </c>
      <c r="AM34" s="50">
        <f>ROUND(SUM(C329:C340),0)</f>
        <v>3285772</v>
      </c>
      <c r="AN34" s="47">
        <f t="shared" si="1"/>
        <v>0.90851605972503968</v>
      </c>
      <c r="AP34" s="555">
        <f>ROUND(SUM(AB329:AB340),0)</f>
        <v>3241861</v>
      </c>
      <c r="AQ34" s="43">
        <f t="shared" si="2"/>
        <v>0.54498836797818306</v>
      </c>
      <c r="AR34" s="39">
        <f>ROUND(AVERAGE(D329:D340),0)</f>
        <v>25193</v>
      </c>
      <c r="AS34" s="43">
        <f t="shared" si="3"/>
        <v>0.89307168602321685</v>
      </c>
      <c r="AT34" s="39"/>
      <c r="AW34" s="555">
        <f t="shared" si="0"/>
        <v>128681</v>
      </c>
      <c r="AX34" s="43">
        <f t="shared" si="4"/>
        <v>-0.34539639269866029</v>
      </c>
      <c r="BN34" s="4">
        <v>1985</v>
      </c>
      <c r="BO34" s="4">
        <v>6</v>
      </c>
      <c r="CI34" s="22">
        <v>2010</v>
      </c>
      <c r="CJ34" s="84">
        <f>ROUND(SUM(BP329:BP340),0)</f>
        <v>3314464</v>
      </c>
      <c r="CK34" s="47">
        <f t="shared" si="6"/>
        <v>0.97438522093051816</v>
      </c>
      <c r="CL34" s="84">
        <f>ROUND(SUM(BT329:BT340),0)</f>
        <v>3270999</v>
      </c>
      <c r="CM34" s="47">
        <f t="shared" si="7"/>
        <v>0.63475909028118949</v>
      </c>
      <c r="CN34" s="108">
        <f t="shared" si="8"/>
        <v>129837.61362283172</v>
      </c>
      <c r="CO34" s="47">
        <f t="shared" si="7"/>
        <v>-0.25602609914179286</v>
      </c>
    </row>
    <row r="35" spans="1:93">
      <c r="A35" s="4">
        <v>1985</v>
      </c>
      <c r="B35" s="4">
        <v>7</v>
      </c>
      <c r="C35" s="108">
        <f>SHL!C35+SPA!C35</f>
        <v>105781</v>
      </c>
      <c r="D35" s="108">
        <f>SHL!D35+SPA!D35</f>
        <v>7879</v>
      </c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>
        <f t="shared" si="9"/>
        <v>-6852</v>
      </c>
      <c r="Z35" s="175">
        <f>SHL!Z35+SPA!Z35</f>
        <v>103921</v>
      </c>
      <c r="AA35" s="108">
        <f t="shared" si="5"/>
        <v>-1860</v>
      </c>
      <c r="AB35" s="547">
        <f>SPA!AB35+SHL!AB35</f>
        <v>103921</v>
      </c>
      <c r="AL35" s="4">
        <v>2011</v>
      </c>
      <c r="AM35" s="50">
        <f>ROUND(SUM(C341:C352),0)</f>
        <v>3224554</v>
      </c>
      <c r="AN35" s="47">
        <f t="shared" ref="AN35" si="10">(AM35/AM34-1)*100</f>
        <v>-1.8631237955646363</v>
      </c>
      <c r="AP35" s="555">
        <f>ROUND(SUM(AB341:AB352),0)</f>
        <v>3202171</v>
      </c>
      <c r="AQ35" s="43">
        <f t="shared" ref="AQ35" si="11">(AP35/AP34-1)*100</f>
        <v>-1.224296785087331</v>
      </c>
      <c r="AR35" s="39">
        <f>ROUND(AVERAGE(D341:D352),0)</f>
        <v>25212</v>
      </c>
      <c r="AS35" s="43">
        <f t="shared" ref="AS35" si="12">(AR35/AR34-1)*100</f>
        <v>7.5417774778707702E-2</v>
      </c>
      <c r="AT35" s="39"/>
      <c r="AW35" s="555">
        <f t="shared" ref="AW35" si="13">ROUND((AP35/AR35*1000),0)</f>
        <v>127010</v>
      </c>
      <c r="AX35" s="43">
        <f t="shared" ref="AX35" si="14">(AW35/AW34-1)*100</f>
        <v>-1.2985600049735369</v>
      </c>
      <c r="BN35" s="4">
        <v>1985</v>
      </c>
      <c r="BO35" s="4">
        <v>7</v>
      </c>
      <c r="CI35" s="22">
        <v>2011</v>
      </c>
      <c r="CJ35" s="84">
        <f>ROUND(SUM(BP341:BP352),0)</f>
        <v>3182804</v>
      </c>
      <c r="CK35" s="47">
        <f t="shared" ref="CK35" si="15">(CJ35/CJ34-1)*100</f>
        <v>-3.9722863183911494</v>
      </c>
      <c r="CL35" s="84">
        <f>ROUND(SUM(BT341:BT352),0)</f>
        <v>3156156</v>
      </c>
      <c r="CM35" s="47">
        <f t="shared" ref="CM35" si="16">(CL35/CL34-1)*100</f>
        <v>-3.5109457385954612</v>
      </c>
      <c r="CN35" s="108">
        <f t="shared" ref="CN35" si="17">CL35/AR35*1000</f>
        <v>125184.67396477869</v>
      </c>
      <c r="CO35" s="47">
        <f t="shared" ref="CO35" si="18">(CN35/CN34-1)*100</f>
        <v>-3.5836607961460709</v>
      </c>
    </row>
    <row r="36" spans="1:93">
      <c r="A36" s="4">
        <v>1985</v>
      </c>
      <c r="B36" s="4">
        <v>8</v>
      </c>
      <c r="C36" s="108">
        <f>SHL!C36+SPA!C36</f>
        <v>105234</v>
      </c>
      <c r="D36" s="108">
        <f>SHL!D36+SPA!D36</f>
        <v>7911</v>
      </c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>
        <f t="shared" si="9"/>
        <v>3093</v>
      </c>
      <c r="Z36" s="175">
        <f>SHL!Z36+SPA!Z36</f>
        <v>108672</v>
      </c>
      <c r="AA36" s="108">
        <f t="shared" si="5"/>
        <v>3438</v>
      </c>
      <c r="AB36" s="547">
        <f>SPA!AB36+SHL!AB36</f>
        <v>108672</v>
      </c>
      <c r="AL36" s="4">
        <v>2012</v>
      </c>
      <c r="AM36" s="50">
        <f>ROUND(SUM(C353:C364),0)</f>
        <v>3246412</v>
      </c>
      <c r="AN36" s="47">
        <f t="shared" ref="AN36" si="19">(AM36/AM35-1)*100</f>
        <v>0.67786118638422099</v>
      </c>
      <c r="AP36" s="555">
        <f>ROUND(SUM(AB353:AB364),0)</f>
        <v>3238917</v>
      </c>
      <c r="AQ36" s="43">
        <f t="shared" ref="AQ36" si="20">(AP36/AP35-1)*100</f>
        <v>1.1475339699222875</v>
      </c>
      <c r="AR36" s="39">
        <f>ROUND(AVERAGE(D353:D364),0)</f>
        <v>25465</v>
      </c>
      <c r="AS36" s="43">
        <f t="shared" ref="AS36" si="21">(AR36/AR35-1)*100</f>
        <v>1.0034904013961565</v>
      </c>
      <c r="AT36" s="39"/>
      <c r="AW36" s="555">
        <f t="shared" ref="AW36" si="22">ROUND((AP36/AR36*1000),0)</f>
        <v>127191</v>
      </c>
      <c r="AX36" s="43">
        <f t="shared" ref="AX36" si="23">(AW36/AW35-1)*100</f>
        <v>0.14250846390047034</v>
      </c>
      <c r="BN36" s="4">
        <v>1985</v>
      </c>
      <c r="BO36" s="4">
        <v>8</v>
      </c>
      <c r="CI36" s="22">
        <v>2012</v>
      </c>
      <c r="CJ36" s="84">
        <f>ROUND(SUM(BP353:BP364),0)</f>
        <v>3276843</v>
      </c>
      <c r="CK36" s="47">
        <f t="shared" ref="CK36" si="24">(CJ36/CJ35-1)*100</f>
        <v>2.9545960103104063</v>
      </c>
      <c r="CL36" s="84">
        <f>ROUND(SUM(BT353:BT364),0)</f>
        <v>3268825</v>
      </c>
      <c r="CM36" s="47">
        <f t="shared" ref="CM36" si="25">(CL36/CL35-1)*100</f>
        <v>3.5698172080214086</v>
      </c>
      <c r="CN36" s="108">
        <f t="shared" ref="CN36" si="26">CL36/AR36*1000</f>
        <v>128365.40349499314</v>
      </c>
      <c r="CO36" s="47">
        <f t="shared" ref="CO36" si="27">(CN36/CN35-1)*100</f>
        <v>2.5408298232332927</v>
      </c>
    </row>
    <row r="37" spans="1:93">
      <c r="A37" s="4">
        <v>1985</v>
      </c>
      <c r="B37" s="4">
        <v>9</v>
      </c>
      <c r="C37" s="108">
        <f>SHL!C37+SPA!C37</f>
        <v>116813</v>
      </c>
      <c r="D37" s="108">
        <f>SHL!D37+SPA!D37</f>
        <v>7962</v>
      </c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>
        <f t="shared" si="9"/>
        <v>2871</v>
      </c>
      <c r="Z37" s="175">
        <f>SHL!Z37+SPA!Z37</f>
        <v>121649</v>
      </c>
      <c r="AA37" s="108">
        <f t="shared" si="5"/>
        <v>4836</v>
      </c>
      <c r="AB37" s="547">
        <f>SPA!AB37+SHL!AB37</f>
        <v>121649</v>
      </c>
      <c r="AL37" s="4">
        <v>2013</v>
      </c>
      <c r="AM37" s="50">
        <f>ROUND(SUM(C365:C376),0)</f>
        <v>3183786</v>
      </c>
      <c r="AN37" s="47">
        <f t="shared" ref="AN37" si="28">(AM37/AM36-1)*100</f>
        <v>-1.9290835543979035</v>
      </c>
      <c r="AP37" s="555">
        <f>ROUND(SUM(AB365:AB376),0)</f>
        <v>3165445</v>
      </c>
      <c r="AQ37" s="43">
        <f t="shared" ref="AQ37" si="29">(AP37/AP36-1)*100</f>
        <v>-2.2684125588892878</v>
      </c>
      <c r="AR37" s="39">
        <f>ROUND(AVERAGE(D365:D376),0)</f>
        <v>25744</v>
      </c>
      <c r="AS37" s="43">
        <f t="shared" ref="AS37" si="30">(AR37/AR36-1)*100</f>
        <v>1.0956214411937948</v>
      </c>
      <c r="AT37" s="39"/>
      <c r="AW37" s="555">
        <f>ROUND((AP37/AR37*1000),0)</f>
        <v>122959</v>
      </c>
      <c r="AX37" s="43">
        <f t="shared" ref="AX37" si="31">(AW37/AW36-1)*100</f>
        <v>-3.3272794458727439</v>
      </c>
      <c r="BN37" s="4">
        <v>1985</v>
      </c>
      <c r="BO37" s="4">
        <v>9</v>
      </c>
    </row>
    <row r="38" spans="1:93">
      <c r="A38" s="4">
        <v>1985</v>
      </c>
      <c r="B38" s="4">
        <v>10</v>
      </c>
      <c r="C38" s="108">
        <f>SHL!C38+SPA!C38</f>
        <v>116226</v>
      </c>
      <c r="D38" s="108">
        <f>SHL!D38+SPA!D38</f>
        <v>7984</v>
      </c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>
        <f t="shared" si="9"/>
        <v>-7037</v>
      </c>
      <c r="Z38" s="175">
        <f>SHL!Z38+SPA!Z38</f>
        <v>115285</v>
      </c>
      <c r="AA38" s="108">
        <f t="shared" si="5"/>
        <v>-941</v>
      </c>
      <c r="AB38" s="547">
        <f>SPA!AB38+SHL!AB38</f>
        <v>115285</v>
      </c>
      <c r="BN38" s="4">
        <v>1985</v>
      </c>
      <c r="BO38" s="4">
        <v>10</v>
      </c>
    </row>
    <row r="39" spans="1:93">
      <c r="A39" s="4">
        <v>1985</v>
      </c>
      <c r="B39" s="4">
        <v>11</v>
      </c>
      <c r="C39" s="108">
        <f>SHL!C39+SPA!C39</f>
        <v>112881</v>
      </c>
      <c r="D39" s="108">
        <f>SHL!D39+SPA!D39</f>
        <v>8010</v>
      </c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>
        <f t="shared" si="9"/>
        <v>-5020</v>
      </c>
      <c r="Z39" s="175">
        <f>SHL!Z39+SPA!Z39</f>
        <v>92699</v>
      </c>
      <c r="AA39" s="108">
        <f t="shared" si="5"/>
        <v>-20182</v>
      </c>
      <c r="AB39" s="547">
        <f>SPA!AB39+SHL!AB39</f>
        <v>92699</v>
      </c>
      <c r="BN39" s="4">
        <v>1985</v>
      </c>
      <c r="BO39" s="4">
        <v>11</v>
      </c>
    </row>
    <row r="40" spans="1:93">
      <c r="A40" s="4">
        <v>1985</v>
      </c>
      <c r="B40" s="4">
        <v>12</v>
      </c>
      <c r="C40" s="108">
        <f>SHL!C40+SPA!C40</f>
        <v>109740</v>
      </c>
      <c r="D40" s="108">
        <f>SHL!D40+SPA!D40</f>
        <v>8073</v>
      </c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>
        <f t="shared" si="9"/>
        <v>-3076</v>
      </c>
      <c r="Z40" s="175">
        <f>SHL!Z40+SPA!Z40</f>
        <v>91848</v>
      </c>
      <c r="AA40" s="108">
        <f t="shared" si="5"/>
        <v>-17892</v>
      </c>
      <c r="AB40" s="547">
        <f>SPA!AB40+SHL!AB40</f>
        <v>91848</v>
      </c>
      <c r="BN40" s="4">
        <v>1985</v>
      </c>
      <c r="BO40" s="4">
        <v>12</v>
      </c>
    </row>
    <row r="41" spans="1:93">
      <c r="A41" s="4">
        <v>1986</v>
      </c>
      <c r="B41" s="4">
        <v>1</v>
      </c>
      <c r="C41" s="108">
        <f>SHL!C41+SPA!C41</f>
        <v>97180</v>
      </c>
      <c r="D41" s="108">
        <f>SHL!D41+SPA!D41</f>
        <v>8152</v>
      </c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>
        <f t="shared" si="9"/>
        <v>8561</v>
      </c>
      <c r="Z41" s="175">
        <f>SHL!Z41+SPA!Z41</f>
        <v>95703</v>
      </c>
      <c r="AA41" s="108">
        <f t="shared" si="5"/>
        <v>-1477</v>
      </c>
      <c r="AB41" s="547">
        <f>SPA!AB41+SHL!AB41</f>
        <v>95703</v>
      </c>
      <c r="BN41" s="4">
        <v>1986</v>
      </c>
      <c r="BO41" s="4">
        <v>1</v>
      </c>
    </row>
    <row r="42" spans="1:93">
      <c r="A42" s="4">
        <v>1986</v>
      </c>
      <c r="B42" s="4">
        <v>2</v>
      </c>
      <c r="C42" s="108">
        <f>SHL!C42+SPA!C42</f>
        <v>97145</v>
      </c>
      <c r="D42" s="108">
        <f>SHL!D42+SPA!D42</f>
        <v>8187</v>
      </c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>
        <f t="shared" si="9"/>
        <v>4734</v>
      </c>
      <c r="Z42" s="175">
        <f>SHL!Z42+SPA!Z42</f>
        <v>96432</v>
      </c>
      <c r="AA42" s="108">
        <f t="shared" si="5"/>
        <v>-713</v>
      </c>
      <c r="AB42" s="547">
        <f>SPA!AB42+SHL!AB42</f>
        <v>96432</v>
      </c>
      <c r="BN42" s="4">
        <v>1986</v>
      </c>
      <c r="BO42" s="4">
        <v>2</v>
      </c>
    </row>
    <row r="43" spans="1:93">
      <c r="A43" s="4">
        <v>1986</v>
      </c>
      <c r="B43" s="4">
        <v>3</v>
      </c>
      <c r="C43" s="108">
        <f>SHL!C43+SPA!C43</f>
        <v>97141</v>
      </c>
      <c r="D43" s="108">
        <f>SHL!D43+SPA!D43</f>
        <v>8252</v>
      </c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>
        <f t="shared" si="9"/>
        <v>2897</v>
      </c>
      <c r="Z43" s="175">
        <f>SHL!Z43+SPA!Z43</f>
        <v>96451</v>
      </c>
      <c r="AA43" s="108">
        <f t="shared" si="5"/>
        <v>-690</v>
      </c>
      <c r="AB43" s="547">
        <f>SPA!AB43+SHL!AB43</f>
        <v>96451</v>
      </c>
      <c r="BN43" s="4">
        <v>1986</v>
      </c>
      <c r="BO43" s="4">
        <v>3</v>
      </c>
    </row>
    <row r="44" spans="1:93">
      <c r="A44" s="4">
        <v>1986</v>
      </c>
      <c r="B44" s="4">
        <v>4</v>
      </c>
      <c r="C44" s="108">
        <f>SHL!C44+SPA!C44</f>
        <v>101332</v>
      </c>
      <c r="D44" s="108">
        <f>SHL!D44+SPA!D44</f>
        <v>8294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>
        <f t="shared" si="9"/>
        <v>4130</v>
      </c>
      <c r="Z44" s="175">
        <f>SHL!Z44+SPA!Z44</f>
        <v>101831</v>
      </c>
      <c r="AA44" s="108">
        <f t="shared" si="5"/>
        <v>499</v>
      </c>
      <c r="AB44" s="547">
        <f>SPA!AB44+SHL!AB44</f>
        <v>101831</v>
      </c>
      <c r="BN44" s="4">
        <v>1986</v>
      </c>
      <c r="BO44" s="4">
        <v>4</v>
      </c>
    </row>
    <row r="45" spans="1:93">
      <c r="A45" s="4">
        <v>1986</v>
      </c>
      <c r="B45" s="4">
        <v>5</v>
      </c>
      <c r="C45" s="108">
        <f>SHL!C45+SPA!C45</f>
        <v>105171</v>
      </c>
      <c r="D45" s="108">
        <f>SHL!D45+SPA!D45</f>
        <v>8360</v>
      </c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>
        <f t="shared" si="9"/>
        <v>7856</v>
      </c>
      <c r="Z45" s="175">
        <f>SHL!Z45+SPA!Z45</f>
        <v>108987</v>
      </c>
      <c r="AA45" s="108">
        <f t="shared" si="5"/>
        <v>3816</v>
      </c>
      <c r="AB45" s="547">
        <f>SPA!AB45+SHL!AB45</f>
        <v>108987</v>
      </c>
      <c r="BN45" s="4">
        <v>1986</v>
      </c>
      <c r="BO45" s="4">
        <v>5</v>
      </c>
    </row>
    <row r="46" spans="1:93">
      <c r="A46" s="4">
        <v>1986</v>
      </c>
      <c r="B46" s="4">
        <v>6</v>
      </c>
      <c r="C46" s="108">
        <f>SHL!C46+SPA!C46</f>
        <v>117447</v>
      </c>
      <c r="D46" s="108">
        <f>SHL!D46+SPA!D46</f>
        <v>8410</v>
      </c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>
        <f t="shared" si="9"/>
        <v>6183</v>
      </c>
      <c r="Z46" s="175">
        <f>SHL!Z46+SPA!Z46</f>
        <v>115760</v>
      </c>
      <c r="AA46" s="108">
        <f t="shared" si="5"/>
        <v>-1687</v>
      </c>
      <c r="AB46" s="547">
        <f>SPA!AB46+SHL!AB46</f>
        <v>115760</v>
      </c>
      <c r="BN46" s="4">
        <v>1986</v>
      </c>
      <c r="BO46" s="4">
        <v>6</v>
      </c>
    </row>
    <row r="47" spans="1:93">
      <c r="A47" s="4">
        <v>1986</v>
      </c>
      <c r="B47" s="4">
        <v>7</v>
      </c>
      <c r="C47" s="108">
        <f>SHL!C47+SPA!C47</f>
        <v>110085</v>
      </c>
      <c r="D47" s="108">
        <f>SHL!D47+SPA!D47</f>
        <v>8421</v>
      </c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>
        <f t="shared" si="9"/>
        <v>8204</v>
      </c>
      <c r="Z47" s="175">
        <f>SHL!Z47+SPA!Z47</f>
        <v>112125</v>
      </c>
      <c r="AA47" s="108">
        <f t="shared" si="5"/>
        <v>2040</v>
      </c>
      <c r="AB47" s="547">
        <f>SPA!AB47+SHL!AB47</f>
        <v>112125</v>
      </c>
      <c r="BN47" s="4">
        <v>1986</v>
      </c>
      <c r="BO47" s="4">
        <v>7</v>
      </c>
    </row>
    <row r="48" spans="1:93">
      <c r="A48" s="4">
        <v>1986</v>
      </c>
      <c r="B48" s="4">
        <v>8</v>
      </c>
      <c r="C48" s="108">
        <f>SHL!C48+SPA!C48</f>
        <v>114723</v>
      </c>
      <c r="D48" s="108">
        <f>SHL!D48+SPA!D48</f>
        <v>8463</v>
      </c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>
        <f t="shared" si="9"/>
        <v>3943</v>
      </c>
      <c r="Z48" s="175">
        <f>SHL!Z48+SPA!Z48</f>
        <v>112615</v>
      </c>
      <c r="AA48" s="108">
        <f t="shared" si="5"/>
        <v>-2108</v>
      </c>
      <c r="AB48" s="547">
        <f>SPA!AB48+SHL!AB48</f>
        <v>112615</v>
      </c>
      <c r="BN48" s="4">
        <v>1986</v>
      </c>
      <c r="BO48" s="4">
        <v>8</v>
      </c>
    </row>
    <row r="49" spans="1:67">
      <c r="A49" s="4">
        <v>1986</v>
      </c>
      <c r="B49" s="4">
        <v>9</v>
      </c>
      <c r="C49" s="108">
        <f>SHL!C49+SPA!C49</f>
        <v>121785</v>
      </c>
      <c r="D49" s="108">
        <f>SHL!D49+SPA!D49</f>
        <v>8550</v>
      </c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>
        <f t="shared" si="9"/>
        <v>-6</v>
      </c>
      <c r="Z49" s="175">
        <f>SHL!Z49+SPA!Z49</f>
        <v>121643</v>
      </c>
      <c r="AA49" s="108">
        <f t="shared" si="5"/>
        <v>-142</v>
      </c>
      <c r="AB49" s="547">
        <f>SPA!AB49+SHL!AB49</f>
        <v>121643</v>
      </c>
      <c r="BN49" s="4">
        <v>1986</v>
      </c>
      <c r="BO49" s="4">
        <v>9</v>
      </c>
    </row>
    <row r="50" spans="1:67">
      <c r="A50" s="4">
        <v>1986</v>
      </c>
      <c r="B50" s="4">
        <v>10</v>
      </c>
      <c r="C50" s="108">
        <f>SHL!C50+SPA!C50</f>
        <v>126920</v>
      </c>
      <c r="D50" s="108">
        <f>SHL!D50+SPA!D50</f>
        <v>8604</v>
      </c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>
        <f t="shared" si="9"/>
        <v>854</v>
      </c>
      <c r="Z50" s="175">
        <f>SHL!Z50+SPA!Z50</f>
        <v>116139</v>
      </c>
      <c r="AA50" s="108">
        <f t="shared" si="5"/>
        <v>-10781</v>
      </c>
      <c r="AB50" s="547">
        <f>SPA!AB50+SHL!AB50</f>
        <v>116139</v>
      </c>
      <c r="BN50" s="4">
        <v>1986</v>
      </c>
      <c r="BO50" s="4">
        <v>10</v>
      </c>
    </row>
    <row r="51" spans="1:67">
      <c r="A51" s="4">
        <v>1986</v>
      </c>
      <c r="B51" s="4">
        <v>11</v>
      </c>
      <c r="C51" s="108">
        <f>SHL!C51+SPA!C51</f>
        <v>114647</v>
      </c>
      <c r="D51" s="108">
        <f>SHL!D51+SPA!D51</f>
        <v>8655</v>
      </c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>
        <f t="shared" si="9"/>
        <v>11942</v>
      </c>
      <c r="Z51" s="175">
        <f>SHL!Z51+SPA!Z51</f>
        <v>104641</v>
      </c>
      <c r="AA51" s="108">
        <f t="shared" si="5"/>
        <v>-10006</v>
      </c>
      <c r="AB51" s="547">
        <f>SPA!AB51+SHL!AB51</f>
        <v>104641</v>
      </c>
      <c r="BN51" s="4">
        <v>1986</v>
      </c>
      <c r="BO51" s="4">
        <v>11</v>
      </c>
    </row>
    <row r="52" spans="1:67">
      <c r="A52" s="4">
        <v>1986</v>
      </c>
      <c r="B52" s="4">
        <v>12</v>
      </c>
      <c r="C52" s="108">
        <f>SHL!C52+SPA!C52</f>
        <v>115658</v>
      </c>
      <c r="D52" s="108">
        <f>SHL!D52+SPA!D52</f>
        <v>8701</v>
      </c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>
        <f t="shared" si="9"/>
        <v>5238</v>
      </c>
      <c r="Z52" s="175">
        <f>SHL!Z52+SPA!Z52</f>
        <v>97086</v>
      </c>
      <c r="AA52" s="108">
        <f t="shared" si="5"/>
        <v>-18572</v>
      </c>
      <c r="AB52" s="547">
        <f>SPA!AB52+SHL!AB52</f>
        <v>97086</v>
      </c>
      <c r="BN52" s="4">
        <v>1986</v>
      </c>
      <c r="BO52" s="4">
        <v>12</v>
      </c>
    </row>
    <row r="53" spans="1:67">
      <c r="A53" s="4">
        <v>1987</v>
      </c>
      <c r="B53" s="4">
        <v>1</v>
      </c>
      <c r="C53" s="108">
        <f>SHL!C53+SPA!C53</f>
        <v>99047</v>
      </c>
      <c r="D53" s="108">
        <f>SHL!D53+SPA!D53</f>
        <v>8747</v>
      </c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>
        <f t="shared" si="9"/>
        <v>3972</v>
      </c>
      <c r="Z53" s="175">
        <f>SHL!Z53+SPA!Z53</f>
        <v>99675</v>
      </c>
      <c r="AA53" s="108">
        <f t="shared" si="5"/>
        <v>628</v>
      </c>
      <c r="AB53" s="547">
        <f>SPA!AB53+SHL!AB53</f>
        <v>99675</v>
      </c>
      <c r="BN53" s="4">
        <v>1987</v>
      </c>
      <c r="BO53" s="4">
        <v>1</v>
      </c>
    </row>
    <row r="54" spans="1:67">
      <c r="A54" s="4">
        <v>1987</v>
      </c>
      <c r="B54" s="4">
        <v>2</v>
      </c>
      <c r="C54" s="108">
        <f>SHL!C54+SPA!C54</f>
        <v>98655</v>
      </c>
      <c r="D54" s="108">
        <f>SHL!D54+SPA!D54</f>
        <v>8788</v>
      </c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>
        <f t="shared" si="9"/>
        <v>2339</v>
      </c>
      <c r="Z54" s="175">
        <f>SHL!Z54+SPA!Z54</f>
        <v>98771</v>
      </c>
      <c r="AA54" s="108">
        <f t="shared" si="5"/>
        <v>116</v>
      </c>
      <c r="AB54" s="547">
        <f>SPA!AB54+SHL!AB54</f>
        <v>98771</v>
      </c>
      <c r="BN54" s="4">
        <v>1987</v>
      </c>
      <c r="BO54" s="4">
        <v>2</v>
      </c>
    </row>
    <row r="55" spans="1:67">
      <c r="A55" s="4">
        <v>1987</v>
      </c>
      <c r="B55" s="4">
        <v>3</v>
      </c>
      <c r="C55" s="108">
        <f>SHL!C55+SPA!C55</f>
        <v>99352</v>
      </c>
      <c r="D55" s="108">
        <f>SHL!D55+SPA!D55</f>
        <v>8817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>
        <f t="shared" si="9"/>
        <v>6666</v>
      </c>
      <c r="Z55" s="175">
        <f>SHL!Z55+SPA!Z55</f>
        <v>103117</v>
      </c>
      <c r="AA55" s="108">
        <f t="shared" si="5"/>
        <v>3765</v>
      </c>
      <c r="AB55" s="547">
        <f>SPA!AB55+SHL!AB55</f>
        <v>103117</v>
      </c>
      <c r="BN55" s="4">
        <v>1987</v>
      </c>
      <c r="BO55" s="4">
        <v>3</v>
      </c>
    </row>
    <row r="56" spans="1:67">
      <c r="A56" s="4">
        <v>1987</v>
      </c>
      <c r="B56" s="4">
        <v>4</v>
      </c>
      <c r="C56" s="108">
        <f>SHL!C56+SPA!C56</f>
        <v>100626</v>
      </c>
      <c r="D56" s="108">
        <f>SHL!D56+SPA!D56</f>
        <v>8899</v>
      </c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>
        <f t="shared" si="9"/>
        <v>6079</v>
      </c>
      <c r="Z56" s="175">
        <f>SHL!Z56+SPA!Z56</f>
        <v>107910</v>
      </c>
      <c r="AA56" s="108">
        <f t="shared" si="5"/>
        <v>7284</v>
      </c>
      <c r="AB56" s="547">
        <f>SPA!AB56+SHL!AB56</f>
        <v>107910</v>
      </c>
      <c r="BN56" s="4">
        <v>1987</v>
      </c>
      <c r="BO56" s="4">
        <v>4</v>
      </c>
    </row>
    <row r="57" spans="1:67">
      <c r="A57" s="4">
        <v>1987</v>
      </c>
      <c r="B57" s="4">
        <v>5</v>
      </c>
      <c r="C57" s="108">
        <f>SHL!C57+SPA!C57</f>
        <v>111112</v>
      </c>
      <c r="D57" s="108">
        <f>SHL!D57+SPA!D57</f>
        <v>8933</v>
      </c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>
        <f t="shared" si="9"/>
        <v>5828</v>
      </c>
      <c r="Z57" s="175">
        <f>SHL!Z57+SPA!Z57</f>
        <v>114815</v>
      </c>
      <c r="AA57" s="108">
        <f t="shared" si="5"/>
        <v>3703</v>
      </c>
      <c r="AB57" s="547">
        <f>SPA!AB57+SHL!AB57</f>
        <v>114815</v>
      </c>
      <c r="BN57" s="4">
        <v>1987</v>
      </c>
      <c r="BO57" s="4">
        <v>5</v>
      </c>
    </row>
    <row r="58" spans="1:67">
      <c r="A58" s="4">
        <v>1987</v>
      </c>
      <c r="B58" s="4">
        <v>6</v>
      </c>
      <c r="C58" s="108">
        <f>SHL!C58+SPA!C58</f>
        <v>123110</v>
      </c>
      <c r="D58" s="108">
        <f>SHL!D58+SPA!D58</f>
        <v>9011</v>
      </c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>
        <f t="shared" si="9"/>
        <v>9247</v>
      </c>
      <c r="Z58" s="175">
        <f>SHL!Z58+SPA!Z58</f>
        <v>125007</v>
      </c>
      <c r="AA58" s="108">
        <f t="shared" si="5"/>
        <v>1897</v>
      </c>
      <c r="AB58" s="547">
        <f>SPA!AB58+SHL!AB58</f>
        <v>125007</v>
      </c>
      <c r="BN58" s="4">
        <v>1987</v>
      </c>
      <c r="BO58" s="4">
        <v>6</v>
      </c>
    </row>
    <row r="59" spans="1:67">
      <c r="A59" s="4">
        <v>1987</v>
      </c>
      <c r="B59" s="4">
        <v>7</v>
      </c>
      <c r="C59" s="108">
        <f>SHL!C59+SPA!C59</f>
        <v>120941</v>
      </c>
      <c r="D59" s="108">
        <f>SHL!D59+SPA!D59</f>
        <v>9034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>
        <f t="shared" si="9"/>
        <v>474</v>
      </c>
      <c r="Z59" s="175">
        <f>SHL!Z59+SPA!Z59</f>
        <v>112599</v>
      </c>
      <c r="AA59" s="108">
        <f t="shared" si="5"/>
        <v>-8342</v>
      </c>
      <c r="AB59" s="547">
        <f>SPA!AB59+SHL!AB59</f>
        <v>112599</v>
      </c>
      <c r="BN59" s="4">
        <v>1987</v>
      </c>
      <c r="BO59" s="4">
        <v>7</v>
      </c>
    </row>
    <row r="60" spans="1:67">
      <c r="A60" s="4">
        <v>1987</v>
      </c>
      <c r="B60" s="4">
        <v>8</v>
      </c>
      <c r="C60" s="108">
        <f>SHL!C60+SPA!C60</f>
        <v>119959</v>
      </c>
      <c r="D60" s="108">
        <f>SHL!D60+SPA!D60</f>
        <v>9094</v>
      </c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>
        <f t="shared" si="9"/>
        <v>1706</v>
      </c>
      <c r="Z60" s="175">
        <f>SHL!Z60+SPA!Z60</f>
        <v>114321</v>
      </c>
      <c r="AA60" s="108">
        <f t="shared" si="5"/>
        <v>-5638</v>
      </c>
      <c r="AB60" s="547">
        <f>SPA!AB60+SHL!AB60</f>
        <v>114321</v>
      </c>
      <c r="BN60" s="4">
        <v>1987</v>
      </c>
      <c r="BO60" s="4">
        <v>8</v>
      </c>
    </row>
    <row r="61" spans="1:67">
      <c r="A61" s="4">
        <v>1987</v>
      </c>
      <c r="B61" s="4">
        <v>9</v>
      </c>
      <c r="C61" s="108">
        <f>SHL!C61+SPA!C61</f>
        <v>131058</v>
      </c>
      <c r="D61" s="108">
        <f>SHL!D61+SPA!D61</f>
        <v>9171</v>
      </c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>
        <f t="shared" si="9"/>
        <v>5106</v>
      </c>
      <c r="Z61" s="175">
        <f>SHL!Z61+SPA!Z61</f>
        <v>126749</v>
      </c>
      <c r="AA61" s="108">
        <f t="shared" si="5"/>
        <v>-4309</v>
      </c>
      <c r="AB61" s="547">
        <f>SPA!AB61+SHL!AB61</f>
        <v>126749</v>
      </c>
      <c r="BN61" s="4">
        <v>1987</v>
      </c>
      <c r="BO61" s="4">
        <v>9</v>
      </c>
    </row>
    <row r="62" spans="1:67">
      <c r="A62" s="4">
        <v>1987</v>
      </c>
      <c r="B62" s="4">
        <v>10</v>
      </c>
      <c r="C62" s="108">
        <f>SHL!C62+SPA!C62</f>
        <v>127708</v>
      </c>
      <c r="D62" s="108">
        <f>SHL!D62+SPA!D62</f>
        <v>9191</v>
      </c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>
        <f t="shared" si="9"/>
        <v>17421</v>
      </c>
      <c r="Z62" s="175">
        <f>SHL!Z62+SPA!Z62</f>
        <v>133560</v>
      </c>
      <c r="AA62" s="108">
        <f t="shared" si="5"/>
        <v>5852</v>
      </c>
      <c r="AB62" s="547">
        <f>SPA!AB62+SHL!AB62</f>
        <v>133560</v>
      </c>
      <c r="BN62" s="4">
        <v>1987</v>
      </c>
      <c r="BO62" s="4">
        <v>10</v>
      </c>
    </row>
    <row r="63" spans="1:67">
      <c r="A63" s="4">
        <v>1987</v>
      </c>
      <c r="B63" s="4">
        <v>11</v>
      </c>
      <c r="C63" s="108">
        <f>SHL!C63+SPA!C63</f>
        <v>113435</v>
      </c>
      <c r="D63" s="108">
        <f>SHL!D63+SPA!D63</f>
        <v>9286</v>
      </c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>
        <f t="shared" si="9"/>
        <v>19696</v>
      </c>
      <c r="Z63" s="175">
        <f>SHL!Z63+SPA!Z63</f>
        <v>124337</v>
      </c>
      <c r="AA63" s="108">
        <f t="shared" si="5"/>
        <v>10902</v>
      </c>
      <c r="AB63" s="547">
        <f>SPA!AB63+SHL!AB63</f>
        <v>124337</v>
      </c>
      <c r="BN63" s="4">
        <v>1987</v>
      </c>
      <c r="BO63" s="4">
        <v>11</v>
      </c>
    </row>
    <row r="64" spans="1:67">
      <c r="A64" s="4">
        <v>1987</v>
      </c>
      <c r="B64" s="4">
        <v>12</v>
      </c>
      <c r="C64" s="108">
        <f>SHL!C64+SPA!C64</f>
        <v>110003</v>
      </c>
      <c r="D64" s="108">
        <f>SHL!D64+SPA!D64</f>
        <v>9407</v>
      </c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>
        <f t="shared" si="9"/>
        <v>14239</v>
      </c>
      <c r="Z64" s="175">
        <f>SHL!Z64+SPA!Z64</f>
        <v>111325</v>
      </c>
      <c r="AA64" s="108">
        <f t="shared" si="5"/>
        <v>1322</v>
      </c>
      <c r="AB64" s="547">
        <f>SPA!AB64+SHL!AB64</f>
        <v>111325</v>
      </c>
      <c r="BN64" s="4">
        <v>1987</v>
      </c>
      <c r="BO64" s="4">
        <v>12</v>
      </c>
    </row>
    <row r="65" spans="1:67">
      <c r="A65" s="4">
        <v>1988</v>
      </c>
      <c r="B65" s="4">
        <v>1</v>
      </c>
      <c r="C65" s="108">
        <f>SHL!C65+SPA!C65</f>
        <v>107127</v>
      </c>
      <c r="D65" s="108">
        <f>SHL!D65+SPA!D65</f>
        <v>9370</v>
      </c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>
        <f t="shared" si="9"/>
        <v>7600</v>
      </c>
      <c r="Z65" s="175">
        <f>SHL!Z65+SPA!Z65</f>
        <v>107275</v>
      </c>
      <c r="AA65" s="108">
        <f t="shared" si="5"/>
        <v>148</v>
      </c>
      <c r="AB65" s="547">
        <f>SPA!AB65+SHL!AB65</f>
        <v>107275</v>
      </c>
      <c r="BN65" s="4">
        <v>1988</v>
      </c>
      <c r="BO65" s="4">
        <v>1</v>
      </c>
    </row>
    <row r="66" spans="1:67">
      <c r="A66" s="4">
        <v>1988</v>
      </c>
      <c r="B66" s="4">
        <v>2</v>
      </c>
      <c r="C66" s="108">
        <f>SHL!C66+SPA!C66</f>
        <v>108887</v>
      </c>
      <c r="D66" s="108">
        <f>SHL!D66+SPA!D66</f>
        <v>9460</v>
      </c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>
        <f t="shared" si="9"/>
        <v>7502</v>
      </c>
      <c r="Z66" s="175">
        <f>SHL!Z66+SPA!Z66</f>
        <v>106273</v>
      </c>
      <c r="AA66" s="108">
        <f t="shared" si="5"/>
        <v>-2614</v>
      </c>
      <c r="AB66" s="547">
        <f>SPA!AB66+SHL!AB66</f>
        <v>106273</v>
      </c>
      <c r="BN66" s="4">
        <v>1988</v>
      </c>
      <c r="BO66" s="4">
        <v>2</v>
      </c>
    </row>
    <row r="67" spans="1:67">
      <c r="A67" s="4">
        <v>1988</v>
      </c>
      <c r="B67" s="4">
        <v>3</v>
      </c>
      <c r="C67" s="108">
        <f>SHL!C67+SPA!C67</f>
        <v>107111</v>
      </c>
      <c r="D67" s="108">
        <f>SHL!D67+SPA!D67</f>
        <v>9518</v>
      </c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>
        <f t="shared" si="9"/>
        <v>5953</v>
      </c>
      <c r="Z67" s="175">
        <f>SHL!Z67+SPA!Z67</f>
        <v>109070</v>
      </c>
      <c r="AA67" s="108">
        <f t="shared" si="5"/>
        <v>1959</v>
      </c>
      <c r="AB67" s="547">
        <f>SPA!AB67+SHL!AB67</f>
        <v>109070</v>
      </c>
      <c r="BN67" s="4">
        <v>1988</v>
      </c>
      <c r="BO67" s="4">
        <v>3</v>
      </c>
    </row>
    <row r="68" spans="1:67">
      <c r="A68" s="4">
        <v>1988</v>
      </c>
      <c r="B68" s="4">
        <v>4</v>
      </c>
      <c r="C68" s="108">
        <f>SHL!C68+SPA!C68</f>
        <v>115964</v>
      </c>
      <c r="D68" s="108">
        <f>SHL!D68+SPA!D68</f>
        <v>9587</v>
      </c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>
        <f t="shared" si="9"/>
        <v>8830</v>
      </c>
      <c r="Z68" s="175">
        <f>SHL!Z68+SPA!Z68</f>
        <v>116740</v>
      </c>
      <c r="AA68" s="108">
        <f t="shared" si="5"/>
        <v>776</v>
      </c>
      <c r="AB68" s="547">
        <f>SPA!AB68+SHL!AB68</f>
        <v>116740</v>
      </c>
      <c r="BN68" s="4">
        <v>1988</v>
      </c>
      <c r="BO68" s="4">
        <v>4</v>
      </c>
    </row>
    <row r="69" spans="1:67">
      <c r="A69" s="4">
        <v>1988</v>
      </c>
      <c r="B69" s="4">
        <v>5</v>
      </c>
      <c r="C69" s="108">
        <f>SHL!C69+SPA!C69</f>
        <v>116322</v>
      </c>
      <c r="D69" s="108">
        <f>SHL!D69+SPA!D69</f>
        <v>9640</v>
      </c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>
        <f t="shared" si="9"/>
        <v>6744</v>
      </c>
      <c r="Z69" s="175">
        <f>SHL!Z69+SPA!Z69</f>
        <v>121559</v>
      </c>
      <c r="AA69" s="108">
        <f t="shared" si="5"/>
        <v>5237</v>
      </c>
      <c r="AB69" s="547">
        <f>SPA!AB69+SHL!AB69</f>
        <v>121559</v>
      </c>
      <c r="BN69" s="4">
        <v>1988</v>
      </c>
      <c r="BO69" s="4">
        <v>5</v>
      </c>
    </row>
    <row r="70" spans="1:67">
      <c r="A70" s="4">
        <v>1988</v>
      </c>
      <c r="B70" s="4">
        <v>6</v>
      </c>
      <c r="C70" s="108">
        <f>SHL!C70+SPA!C70</f>
        <v>125607</v>
      </c>
      <c r="D70" s="108">
        <f>SHL!D70+SPA!D70</f>
        <v>9652</v>
      </c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>
        <f t="shared" si="9"/>
        <v>12853</v>
      </c>
      <c r="Z70" s="175">
        <f>SHL!Z70+SPA!Z70</f>
        <v>137860</v>
      </c>
      <c r="AA70" s="108">
        <f t="shared" si="5"/>
        <v>12253</v>
      </c>
      <c r="AB70" s="547">
        <f>SPA!AB70+SHL!AB70</f>
        <v>137860</v>
      </c>
      <c r="BN70" s="4">
        <v>1988</v>
      </c>
      <c r="BO70" s="4">
        <v>6</v>
      </c>
    </row>
    <row r="71" spans="1:67">
      <c r="A71" s="4">
        <v>1988</v>
      </c>
      <c r="B71" s="4">
        <v>7</v>
      </c>
      <c r="C71" s="108">
        <f>SHL!C71+SPA!C71</f>
        <v>125874</v>
      </c>
      <c r="D71" s="108">
        <f>SHL!D71+SPA!D71</f>
        <v>9683</v>
      </c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>
        <f t="shared" si="9"/>
        <v>16953</v>
      </c>
      <c r="Z71" s="175">
        <f>SHL!Z71+SPA!Z71</f>
        <v>129552</v>
      </c>
      <c r="AA71" s="108">
        <f t="shared" si="5"/>
        <v>3678</v>
      </c>
      <c r="AB71" s="547">
        <f>SPA!AB71+SHL!AB71</f>
        <v>129552</v>
      </c>
      <c r="BN71" s="4">
        <v>1988</v>
      </c>
      <c r="BO71" s="4">
        <v>7</v>
      </c>
    </row>
    <row r="72" spans="1:67">
      <c r="A72" s="4">
        <v>1988</v>
      </c>
      <c r="B72" s="4">
        <v>8</v>
      </c>
      <c r="C72" s="108">
        <f>SHL!C72+SPA!C72</f>
        <v>121682</v>
      </c>
      <c r="D72" s="108">
        <f>SHL!D72+SPA!D72</f>
        <v>9733</v>
      </c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>
        <f t="shared" si="9"/>
        <v>13801</v>
      </c>
      <c r="Z72" s="175">
        <f>SHL!Z72+SPA!Z72</f>
        <v>128122</v>
      </c>
      <c r="AA72" s="108">
        <f t="shared" si="5"/>
        <v>6440</v>
      </c>
      <c r="AB72" s="547">
        <f>SPA!AB72+SHL!AB72</f>
        <v>128122</v>
      </c>
      <c r="BN72" s="4">
        <v>1988</v>
      </c>
      <c r="BO72" s="4">
        <v>8</v>
      </c>
    </row>
    <row r="73" spans="1:67">
      <c r="A73" s="4">
        <v>1988</v>
      </c>
      <c r="B73" s="4">
        <v>9</v>
      </c>
      <c r="C73" s="108">
        <f>SHL!C73+SPA!C73</f>
        <v>148171</v>
      </c>
      <c r="D73" s="108">
        <f>SHL!D73+SPA!D73</f>
        <v>9792</v>
      </c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>
        <f t="shared" si="9"/>
        <v>16380</v>
      </c>
      <c r="Z73" s="175">
        <f>SHL!Z73+SPA!Z73</f>
        <v>143129</v>
      </c>
      <c r="AA73" s="108">
        <f t="shared" si="5"/>
        <v>-5042</v>
      </c>
      <c r="AB73" s="547">
        <f>SPA!AB73+SHL!AB73</f>
        <v>143129</v>
      </c>
      <c r="BN73" s="4">
        <v>1988</v>
      </c>
      <c r="BO73" s="4">
        <v>9</v>
      </c>
    </row>
    <row r="74" spans="1:67">
      <c r="A74" s="4">
        <v>1988</v>
      </c>
      <c r="B74" s="4">
        <v>10</v>
      </c>
      <c r="C74" s="108">
        <f>SHL!C74+SPA!C74</f>
        <v>144568</v>
      </c>
      <c r="D74" s="108">
        <f>SHL!D74+SPA!D74</f>
        <v>9851</v>
      </c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>
        <f t="shared" si="9"/>
        <v>11913</v>
      </c>
      <c r="Z74" s="175">
        <f>SHL!Z74+SPA!Z74</f>
        <v>145473</v>
      </c>
      <c r="AA74" s="108">
        <f t="shared" si="5"/>
        <v>905</v>
      </c>
      <c r="AB74" s="547">
        <f>SPA!AB74+SHL!AB74</f>
        <v>145473</v>
      </c>
      <c r="BN74" s="4">
        <v>1988</v>
      </c>
      <c r="BO74" s="4">
        <v>10</v>
      </c>
    </row>
    <row r="75" spans="1:67">
      <c r="A75" s="4">
        <v>1988</v>
      </c>
      <c r="B75" s="4">
        <v>11</v>
      </c>
      <c r="C75" s="108">
        <f>SHL!C75+SPA!C75</f>
        <v>121136</v>
      </c>
      <c r="D75" s="108">
        <f>SHL!D75+SPA!D75</f>
        <v>9905</v>
      </c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>
        <f t="shared" si="9"/>
        <v>2250</v>
      </c>
      <c r="Z75" s="175">
        <f>SHL!Z75+SPA!Z75</f>
        <v>126587</v>
      </c>
      <c r="AA75" s="108">
        <f t="shared" si="5"/>
        <v>5451</v>
      </c>
      <c r="AB75" s="547">
        <f>SPA!AB75+SHL!AB75</f>
        <v>126587</v>
      </c>
      <c r="BN75" s="4">
        <v>1988</v>
      </c>
      <c r="BO75" s="4">
        <v>11</v>
      </c>
    </row>
    <row r="76" spans="1:67">
      <c r="A76" s="4">
        <v>1988</v>
      </c>
      <c r="B76" s="4">
        <v>12</v>
      </c>
      <c r="C76" s="108">
        <f>SHL!C76+SPA!C76</f>
        <v>123611</v>
      </c>
      <c r="D76" s="108">
        <f>SHL!D76+SPA!D76</f>
        <v>9899</v>
      </c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>
        <f t="shared" si="9"/>
        <v>7929</v>
      </c>
      <c r="Z76" s="175">
        <f>SHL!Z76+SPA!Z76</f>
        <v>119254</v>
      </c>
      <c r="AA76" s="108">
        <f t="shared" si="5"/>
        <v>-4357</v>
      </c>
      <c r="AB76" s="547">
        <f>SPA!AB76+SHL!AB76</f>
        <v>119254</v>
      </c>
      <c r="BN76" s="4">
        <v>1988</v>
      </c>
      <c r="BO76" s="4">
        <v>12</v>
      </c>
    </row>
    <row r="77" spans="1:67">
      <c r="A77" s="4">
        <v>1989</v>
      </c>
      <c r="B77" s="4">
        <v>1</v>
      </c>
      <c r="C77" s="108">
        <f>SHL!C77+SPA!C77</f>
        <v>108670</v>
      </c>
      <c r="D77" s="108">
        <f>SHL!D77+SPA!D77</f>
        <v>9962</v>
      </c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>
        <f t="shared" si="9"/>
        <v>-736</v>
      </c>
      <c r="Z77" s="175">
        <f>SHL!Z77+SPA!Z77</f>
        <v>106539</v>
      </c>
      <c r="AA77" s="108">
        <f t="shared" si="5"/>
        <v>-2131</v>
      </c>
      <c r="AB77" s="547">
        <f>SPA!AB77+SHL!AB77</f>
        <v>106539</v>
      </c>
      <c r="BN77" s="4">
        <v>1989</v>
      </c>
      <c r="BO77" s="4">
        <v>1</v>
      </c>
    </row>
    <row r="78" spans="1:67">
      <c r="A78" s="4">
        <v>1989</v>
      </c>
      <c r="B78" s="4">
        <v>2</v>
      </c>
      <c r="C78" s="108">
        <f>SHL!C78+SPA!C78</f>
        <v>116535</v>
      </c>
      <c r="D78" s="108">
        <f>SHL!D78+SPA!D78</f>
        <v>10004</v>
      </c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>
        <f t="shared" si="9"/>
        <v>5515</v>
      </c>
      <c r="Z78" s="175">
        <f>SHL!Z78+SPA!Z78</f>
        <v>111788</v>
      </c>
      <c r="AA78" s="108">
        <f t="shared" si="5"/>
        <v>-4747</v>
      </c>
      <c r="AB78" s="547">
        <f>SPA!AB78+SHL!AB78</f>
        <v>111788</v>
      </c>
      <c r="BN78" s="4">
        <v>1989</v>
      </c>
      <c r="BO78" s="4">
        <v>2</v>
      </c>
    </row>
    <row r="79" spans="1:67">
      <c r="A79" s="4">
        <v>1989</v>
      </c>
      <c r="B79" s="4">
        <v>3</v>
      </c>
      <c r="C79" s="108">
        <f>SHL!C79+SPA!C79</f>
        <v>119015</v>
      </c>
      <c r="D79" s="108">
        <f>SHL!D79+SPA!D79</f>
        <v>10073</v>
      </c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>
        <f t="shared" si="9"/>
        <v>4071</v>
      </c>
      <c r="Z79" s="175">
        <f>SHL!Z79+SPA!Z79</f>
        <v>113141</v>
      </c>
      <c r="AA79" s="108">
        <f t="shared" si="5"/>
        <v>-5874</v>
      </c>
      <c r="AB79" s="547">
        <f>SPA!AB79+SHL!AB79</f>
        <v>113141</v>
      </c>
      <c r="BN79" s="4">
        <v>1989</v>
      </c>
      <c r="BO79" s="4">
        <v>3</v>
      </c>
    </row>
    <row r="80" spans="1:67">
      <c r="A80" s="4">
        <v>1989</v>
      </c>
      <c r="B80" s="4">
        <v>4</v>
      </c>
      <c r="C80" s="108">
        <f>SHL!C80+SPA!C80</f>
        <v>131016</v>
      </c>
      <c r="D80" s="108">
        <f>SHL!D80+SPA!D80</f>
        <v>10117</v>
      </c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>
        <f t="shared" si="9"/>
        <v>6743</v>
      </c>
      <c r="Z80" s="175">
        <f>SHL!Z80+SPA!Z80</f>
        <v>123483</v>
      </c>
      <c r="AA80" s="108">
        <f t="shared" si="5"/>
        <v>-7533</v>
      </c>
      <c r="AB80" s="547">
        <f>SPA!AB80+SHL!AB80</f>
        <v>123483</v>
      </c>
      <c r="BN80" s="4">
        <v>1989</v>
      </c>
      <c r="BO80" s="4">
        <v>4</v>
      </c>
    </row>
    <row r="81" spans="1:67">
      <c r="A81" s="4">
        <v>1989</v>
      </c>
      <c r="B81" s="4">
        <v>5</v>
      </c>
      <c r="C81" s="108">
        <f>SHL!C81+SPA!C81</f>
        <v>127045</v>
      </c>
      <c r="D81" s="108">
        <f>SHL!D81+SPA!D81</f>
        <v>10171</v>
      </c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>
        <f t="shared" si="9"/>
        <v>2410</v>
      </c>
      <c r="Z81" s="175">
        <f>SHL!Z81+SPA!Z81</f>
        <v>123969</v>
      </c>
      <c r="AA81" s="108">
        <f t="shared" ref="AA81:AA144" si="32">Z81-C81</f>
        <v>-3076</v>
      </c>
      <c r="AB81" s="547">
        <f>SPA!AB81+SHL!AB81</f>
        <v>123969</v>
      </c>
      <c r="BN81" s="4">
        <v>1989</v>
      </c>
      <c r="BO81" s="4">
        <v>5</v>
      </c>
    </row>
    <row r="82" spans="1:67">
      <c r="A82" s="4">
        <v>1989</v>
      </c>
      <c r="B82" s="4">
        <v>6</v>
      </c>
      <c r="C82" s="108">
        <f>SHL!C82+SPA!C82</f>
        <v>142033</v>
      </c>
      <c r="D82" s="108">
        <f>SHL!D82+SPA!D82</f>
        <v>10192</v>
      </c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>
        <f t="shared" si="9"/>
        <v>-3553</v>
      </c>
      <c r="Z82" s="175">
        <f>SHL!Z82+SPA!Z82</f>
        <v>134307</v>
      </c>
      <c r="AA82" s="108">
        <f t="shared" si="32"/>
        <v>-7726</v>
      </c>
      <c r="AB82" s="547">
        <f>SPA!AB82+SHL!AB82</f>
        <v>134307</v>
      </c>
      <c r="BN82" s="4">
        <v>1989</v>
      </c>
      <c r="BO82" s="4">
        <v>6</v>
      </c>
    </row>
    <row r="83" spans="1:67">
      <c r="A83" s="4">
        <v>1989</v>
      </c>
      <c r="B83" s="4">
        <v>7</v>
      </c>
      <c r="C83" s="108">
        <f>SHL!C83+SPA!C83</f>
        <v>136093</v>
      </c>
      <c r="D83" s="108">
        <f>SHL!D83+SPA!D83</f>
        <v>10241</v>
      </c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>
        <f t="shared" si="9"/>
        <v>3585</v>
      </c>
      <c r="Z83" s="175">
        <f>SHL!Z83+SPA!Z83</f>
        <v>133137</v>
      </c>
      <c r="AA83" s="108">
        <f t="shared" si="32"/>
        <v>-2956</v>
      </c>
      <c r="AB83" s="547">
        <f>SPA!AB83+SHL!AB83</f>
        <v>133137</v>
      </c>
      <c r="BN83" s="4">
        <v>1989</v>
      </c>
      <c r="BO83" s="4">
        <v>7</v>
      </c>
    </row>
    <row r="84" spans="1:67">
      <c r="A84" s="4">
        <v>1989</v>
      </c>
      <c r="B84" s="4">
        <v>8</v>
      </c>
      <c r="C84" s="108">
        <f>SHL!C84+SPA!C84</f>
        <v>132716</v>
      </c>
      <c r="D84" s="108">
        <f>SHL!D84+SPA!D84</f>
        <v>10311</v>
      </c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>
        <f t="shared" si="9"/>
        <v>4090</v>
      </c>
      <c r="Z84" s="175">
        <f>SHL!Z84+SPA!Z84</f>
        <v>132212</v>
      </c>
      <c r="AA84" s="108">
        <f t="shared" si="32"/>
        <v>-504</v>
      </c>
      <c r="AB84" s="547">
        <f>SPA!AB84+SHL!AB84</f>
        <v>132212</v>
      </c>
      <c r="BN84" s="4">
        <v>1989</v>
      </c>
      <c r="BO84" s="4">
        <v>8</v>
      </c>
    </row>
    <row r="85" spans="1:67">
      <c r="A85" s="4">
        <v>1989</v>
      </c>
      <c r="B85" s="4">
        <v>9</v>
      </c>
      <c r="C85" s="108">
        <f>SHL!C85+SPA!C85</f>
        <v>159333</v>
      </c>
      <c r="D85" s="108">
        <f>SHL!D85+SPA!D85</f>
        <v>10440</v>
      </c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>
        <f t="shared" si="9"/>
        <v>8160</v>
      </c>
      <c r="Z85" s="175">
        <f>SHL!Z85+SPA!Z85</f>
        <v>151289</v>
      </c>
      <c r="AA85" s="108">
        <f t="shared" si="32"/>
        <v>-8044</v>
      </c>
      <c r="AB85" s="547">
        <f>SPA!AB85+SHL!AB85</f>
        <v>151289</v>
      </c>
      <c r="BN85" s="4">
        <v>1989</v>
      </c>
      <c r="BO85" s="4">
        <v>9</v>
      </c>
    </row>
    <row r="86" spans="1:67">
      <c r="A86" s="4">
        <v>1989</v>
      </c>
      <c r="B86" s="4">
        <v>10</v>
      </c>
      <c r="C86" s="108">
        <f>SHL!C86+SPA!C86</f>
        <v>148958</v>
      </c>
      <c r="D86" s="108">
        <f>SHL!D86+SPA!D86</f>
        <v>10452</v>
      </c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>
        <f t="shared" si="9"/>
        <v>-1993</v>
      </c>
      <c r="Z86" s="175">
        <f>SHL!Z86+SPA!Z86</f>
        <v>143480</v>
      </c>
      <c r="AA86" s="108">
        <f t="shared" si="32"/>
        <v>-5478</v>
      </c>
      <c r="AB86" s="547">
        <f>SPA!AB86+SHL!AB86</f>
        <v>143480</v>
      </c>
      <c r="BN86" s="4">
        <v>1989</v>
      </c>
      <c r="BO86" s="4">
        <v>10</v>
      </c>
    </row>
    <row r="87" spans="1:67">
      <c r="A87" s="4">
        <v>1989</v>
      </c>
      <c r="B87" s="4">
        <v>11</v>
      </c>
      <c r="C87" s="108">
        <f>SHL!C87+SPA!C87</f>
        <v>133214</v>
      </c>
      <c r="D87" s="108">
        <f>SHL!D87+SPA!D87</f>
        <v>10494</v>
      </c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>
        <f t="shared" si="9"/>
        <v>7451</v>
      </c>
      <c r="Z87" s="175">
        <f>SHL!Z87+SPA!Z87</f>
        <v>134038</v>
      </c>
      <c r="AA87" s="108">
        <f t="shared" si="32"/>
        <v>824</v>
      </c>
      <c r="AB87" s="547">
        <f>SPA!AB87+SHL!AB87</f>
        <v>134038</v>
      </c>
      <c r="BN87" s="4">
        <v>1989</v>
      </c>
      <c r="BO87" s="4">
        <v>11</v>
      </c>
    </row>
    <row r="88" spans="1:67">
      <c r="A88" s="85">
        <v>1989</v>
      </c>
      <c r="B88" s="85">
        <v>12</v>
      </c>
      <c r="C88" s="108">
        <f>SHL!C88+SPA!C88</f>
        <v>125871</v>
      </c>
      <c r="D88" s="108">
        <f>SHL!D88+SPA!D88</f>
        <v>10577</v>
      </c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>
        <f t="shared" si="9"/>
        <v>6232</v>
      </c>
      <c r="Z88" s="175">
        <f>SHL!Z88+SPA!Z88</f>
        <v>125486</v>
      </c>
      <c r="AA88" s="108">
        <f t="shared" si="32"/>
        <v>-385</v>
      </c>
      <c r="AB88" s="547">
        <f>SPA!AB88+SHL!AB88</f>
        <v>125486</v>
      </c>
      <c r="BN88" s="85">
        <v>1989</v>
      </c>
      <c r="BO88" s="85">
        <v>12</v>
      </c>
    </row>
    <row r="89" spans="1:67">
      <c r="A89" s="4">
        <v>1990</v>
      </c>
      <c r="B89" s="4">
        <v>1</v>
      </c>
      <c r="C89" s="108">
        <f>SHL!C89+SPA!C89</f>
        <v>117883</v>
      </c>
      <c r="D89" s="108">
        <f>SHL!D89+SPA!D89</f>
        <v>10637</v>
      </c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>
        <f t="shared" si="9"/>
        <v>9693</v>
      </c>
      <c r="Z89" s="175">
        <f>SHL!Z89+SPA!Z89</f>
        <v>116232</v>
      </c>
      <c r="AA89" s="108">
        <f t="shared" si="32"/>
        <v>-1651</v>
      </c>
      <c r="AB89" s="547">
        <f>SPA!AB89+SHL!AB89</f>
        <v>116232</v>
      </c>
      <c r="BN89" s="4">
        <v>1990</v>
      </c>
      <c r="BO89" s="4">
        <v>1</v>
      </c>
    </row>
    <row r="90" spans="1:67">
      <c r="A90" s="4">
        <v>1990</v>
      </c>
      <c r="B90" s="4">
        <v>2</v>
      </c>
      <c r="C90" s="108">
        <f>SHL!C90+SPA!C90</f>
        <v>125747</v>
      </c>
      <c r="D90" s="108">
        <f>SHL!D90+SPA!D90</f>
        <v>10711</v>
      </c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>
        <f t="shared" si="9"/>
        <v>7021</v>
      </c>
      <c r="Z90" s="175">
        <f>SHL!Z90+SPA!Z90</f>
        <v>118809</v>
      </c>
      <c r="AA90" s="108">
        <f t="shared" si="32"/>
        <v>-6938</v>
      </c>
      <c r="AB90" s="547">
        <f>SPA!AB90+SHL!AB90</f>
        <v>118809</v>
      </c>
      <c r="BN90" s="4">
        <v>1990</v>
      </c>
      <c r="BO90" s="4">
        <v>2</v>
      </c>
    </row>
    <row r="91" spans="1:67">
      <c r="A91" s="4">
        <v>1990</v>
      </c>
      <c r="B91" s="4">
        <v>3</v>
      </c>
      <c r="C91" s="108">
        <f>SHL!C91+SPA!C91</f>
        <v>122639</v>
      </c>
      <c r="D91" s="108">
        <f>SHL!D91+SPA!D91</f>
        <v>10784</v>
      </c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>
        <f t="shared" si="9"/>
        <v>7125</v>
      </c>
      <c r="Z91" s="175">
        <f>SHL!Z91+SPA!Z91</f>
        <v>120266</v>
      </c>
      <c r="AA91" s="108">
        <f t="shared" si="32"/>
        <v>-2373</v>
      </c>
      <c r="AB91" s="547">
        <f>SPA!AB91+SHL!AB91</f>
        <v>120266</v>
      </c>
      <c r="BN91" s="4">
        <v>1990</v>
      </c>
      <c r="BO91" s="4">
        <v>3</v>
      </c>
    </row>
    <row r="92" spans="1:67">
      <c r="A92" s="4">
        <v>1990</v>
      </c>
      <c r="B92" s="4">
        <v>4</v>
      </c>
      <c r="C92" s="108">
        <f>SHL!C92+SPA!C92</f>
        <v>127101</v>
      </c>
      <c r="D92" s="108">
        <f>SHL!D92+SPA!D92</f>
        <v>10837</v>
      </c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>
        <f t="shared" si="9"/>
        <v>4190</v>
      </c>
      <c r="Z92" s="175">
        <f>SHL!Z92+SPA!Z92</f>
        <v>127673</v>
      </c>
      <c r="AA92" s="108">
        <f t="shared" si="32"/>
        <v>572</v>
      </c>
      <c r="AB92" s="547">
        <f>SPA!AB92+SHL!AB92</f>
        <v>127673</v>
      </c>
      <c r="BN92" s="4">
        <v>1990</v>
      </c>
      <c r="BO92" s="4">
        <v>4</v>
      </c>
    </row>
    <row r="93" spans="1:67">
      <c r="A93" s="4">
        <v>1990</v>
      </c>
      <c r="B93" s="4">
        <v>5</v>
      </c>
      <c r="C93" s="108">
        <f>SHL!C93+SPA!C93</f>
        <v>138598</v>
      </c>
      <c r="D93" s="108">
        <f>SHL!D93+SPA!D93</f>
        <v>10919</v>
      </c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>
        <f t="shared" ref="Y93:Y156" si="33">Z93-Z81</f>
        <v>9006</v>
      </c>
      <c r="Z93" s="175">
        <f>SHL!Z93+SPA!Z93</f>
        <v>132975</v>
      </c>
      <c r="AA93" s="108">
        <f t="shared" si="32"/>
        <v>-5623</v>
      </c>
      <c r="AB93" s="547">
        <f>SPA!AB93+SHL!AB93</f>
        <v>132975</v>
      </c>
      <c r="BN93" s="4">
        <v>1990</v>
      </c>
      <c r="BO93" s="4">
        <v>5</v>
      </c>
    </row>
    <row r="94" spans="1:67">
      <c r="A94" s="4">
        <v>1990</v>
      </c>
      <c r="B94" s="4">
        <v>6</v>
      </c>
      <c r="C94" s="108">
        <f>SHL!C94+SPA!C94</f>
        <v>152641</v>
      </c>
      <c r="D94" s="108">
        <f>SHL!D94+SPA!D94</f>
        <v>10952</v>
      </c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>
        <f t="shared" si="33"/>
        <v>12485</v>
      </c>
      <c r="Z94" s="175">
        <f>SHL!Z94+SPA!Z94</f>
        <v>146792</v>
      </c>
      <c r="AA94" s="108">
        <f t="shared" si="32"/>
        <v>-5849</v>
      </c>
      <c r="AB94" s="547">
        <f>SPA!AB94+SHL!AB94</f>
        <v>146792</v>
      </c>
      <c r="BN94" s="4">
        <v>1990</v>
      </c>
      <c r="BO94" s="4">
        <v>6</v>
      </c>
    </row>
    <row r="95" spans="1:67">
      <c r="A95" s="4">
        <v>1990</v>
      </c>
      <c r="B95" s="4">
        <v>7</v>
      </c>
      <c r="C95" s="108">
        <f>SHL!C95+SPA!C95</f>
        <v>142465</v>
      </c>
      <c r="D95" s="108">
        <f>SHL!D95+SPA!D95</f>
        <v>10942</v>
      </c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>
        <f t="shared" si="33"/>
        <v>9759</v>
      </c>
      <c r="Z95" s="175">
        <f>SHL!Z95+SPA!Z95</f>
        <v>142896</v>
      </c>
      <c r="AA95" s="108">
        <f t="shared" si="32"/>
        <v>431</v>
      </c>
      <c r="AB95" s="547">
        <f>SPA!AB95+SHL!AB95</f>
        <v>142896</v>
      </c>
      <c r="BN95" s="4">
        <v>1990</v>
      </c>
      <c r="BO95" s="4">
        <v>7</v>
      </c>
    </row>
    <row r="96" spans="1:67">
      <c r="A96" s="4">
        <v>1990</v>
      </c>
      <c r="B96" s="4">
        <v>8</v>
      </c>
      <c r="C96" s="108">
        <f>SHL!C96+SPA!C96</f>
        <v>145790</v>
      </c>
      <c r="D96" s="108">
        <f>SHL!D96+SPA!D96</f>
        <v>11040</v>
      </c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>
        <f t="shared" si="33"/>
        <v>11286</v>
      </c>
      <c r="Z96" s="175">
        <f>SHL!Z96+SPA!Z96</f>
        <v>143498</v>
      </c>
      <c r="AA96" s="108">
        <f t="shared" si="32"/>
        <v>-2292</v>
      </c>
      <c r="AB96" s="547">
        <f>SPA!AB96+SHL!AB96</f>
        <v>143498</v>
      </c>
      <c r="BN96" s="4">
        <v>1990</v>
      </c>
      <c r="BO96" s="4">
        <v>8</v>
      </c>
    </row>
    <row r="97" spans="1:67">
      <c r="A97" s="4">
        <v>1990</v>
      </c>
      <c r="B97" s="4">
        <v>9</v>
      </c>
      <c r="C97" s="108">
        <f>SHL!C97+SPA!C97</f>
        <v>164154</v>
      </c>
      <c r="D97" s="108">
        <f>SHL!D97+SPA!D97</f>
        <v>11123</v>
      </c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>
        <f t="shared" si="33"/>
        <v>12036</v>
      </c>
      <c r="Z97" s="175">
        <f>SHL!Z97+SPA!Z97</f>
        <v>163325</v>
      </c>
      <c r="AA97" s="108">
        <f t="shared" si="32"/>
        <v>-829</v>
      </c>
      <c r="AB97" s="547">
        <f>SPA!AB97+SHL!AB97</f>
        <v>163325</v>
      </c>
      <c r="BN97" s="4">
        <v>1990</v>
      </c>
      <c r="BO97" s="4">
        <v>9</v>
      </c>
    </row>
    <row r="98" spans="1:67">
      <c r="A98" s="4">
        <v>1990</v>
      </c>
      <c r="B98" s="4">
        <v>10</v>
      </c>
      <c r="C98" s="108">
        <f>SHL!C98+SPA!C98</f>
        <v>159434</v>
      </c>
      <c r="D98" s="108">
        <f>SHL!D98+SPA!D98</f>
        <v>11172</v>
      </c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>
        <f t="shared" si="33"/>
        <v>9475</v>
      </c>
      <c r="Z98" s="175">
        <f>SHL!Z98+SPA!Z98</f>
        <v>152955</v>
      </c>
      <c r="AA98" s="108">
        <f t="shared" si="32"/>
        <v>-6479</v>
      </c>
      <c r="AB98" s="547">
        <f>SPA!AB98+SHL!AB98</f>
        <v>152955</v>
      </c>
      <c r="BN98" s="4">
        <v>1990</v>
      </c>
      <c r="BO98" s="4">
        <v>10</v>
      </c>
    </row>
    <row r="99" spans="1:67">
      <c r="A99" s="4">
        <v>1990</v>
      </c>
      <c r="B99" s="4">
        <v>11</v>
      </c>
      <c r="C99" s="108">
        <f>SHL!C99+SPA!C99</f>
        <v>146806</v>
      </c>
      <c r="D99" s="108">
        <f>SHL!D99+SPA!D99</f>
        <v>11210</v>
      </c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>
        <f t="shared" si="33"/>
        <v>9254</v>
      </c>
      <c r="Z99" s="175">
        <f>SHL!Z99+SPA!Z99</f>
        <v>143292</v>
      </c>
      <c r="AA99" s="108">
        <f t="shared" si="32"/>
        <v>-3514</v>
      </c>
      <c r="AB99" s="547">
        <f>SPA!AB99+SHL!AB99</f>
        <v>143292</v>
      </c>
      <c r="BN99" s="4">
        <v>1990</v>
      </c>
      <c r="BO99" s="4">
        <v>11</v>
      </c>
    </row>
    <row r="100" spans="1:67">
      <c r="A100" s="85">
        <v>1990</v>
      </c>
      <c r="B100" s="85">
        <v>12</v>
      </c>
      <c r="C100" s="108">
        <f>SHL!C100+SPA!C100</f>
        <v>135101</v>
      </c>
      <c r="D100" s="108">
        <f>SHL!D100+SPA!D100</f>
        <v>11263</v>
      </c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>
        <f t="shared" si="33"/>
        <v>9144</v>
      </c>
      <c r="Z100" s="175">
        <f>SHL!Z100+SPA!Z100</f>
        <v>134630</v>
      </c>
      <c r="AA100" s="108">
        <f t="shared" si="32"/>
        <v>-471</v>
      </c>
      <c r="AB100" s="547">
        <f>SPA!AB100+SHL!AB100</f>
        <v>134630</v>
      </c>
      <c r="BN100" s="85">
        <v>1990</v>
      </c>
      <c r="BO100" s="85">
        <v>12</v>
      </c>
    </row>
    <row r="101" spans="1:67">
      <c r="A101" s="4">
        <v>1991</v>
      </c>
      <c r="B101" s="4">
        <v>1</v>
      </c>
      <c r="C101" s="108">
        <f>SHL!C101+SPA!C101</f>
        <v>130124</v>
      </c>
      <c r="D101" s="108">
        <f>SHL!D101+SPA!D101</f>
        <v>11299</v>
      </c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>
        <f t="shared" si="33"/>
        <v>8286</v>
      </c>
      <c r="Z101" s="175">
        <f>SHL!Z101+SPA!Z101</f>
        <v>124518</v>
      </c>
      <c r="AA101" s="108">
        <f t="shared" si="32"/>
        <v>-5606</v>
      </c>
      <c r="AB101" s="547">
        <f>SPA!AB101+SHL!AB101</f>
        <v>124518</v>
      </c>
      <c r="BN101" s="4">
        <v>1991</v>
      </c>
      <c r="BO101" s="4">
        <v>1</v>
      </c>
    </row>
    <row r="102" spans="1:67">
      <c r="A102" s="4">
        <v>1991</v>
      </c>
      <c r="B102" s="4">
        <v>2</v>
      </c>
      <c r="C102" s="108">
        <f>SHL!C102+SPA!C102</f>
        <v>128250</v>
      </c>
      <c r="D102" s="108">
        <f>SHL!D102+SPA!D102</f>
        <v>11343</v>
      </c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>
        <f t="shared" si="33"/>
        <v>8232</v>
      </c>
      <c r="Z102" s="175">
        <f>SHL!Z102+SPA!Z102</f>
        <v>127041</v>
      </c>
      <c r="AA102" s="108">
        <f t="shared" si="32"/>
        <v>-1209</v>
      </c>
      <c r="AB102" s="547">
        <f>SPA!AB102+SHL!AB102</f>
        <v>127041</v>
      </c>
      <c r="BN102" s="4">
        <v>1991</v>
      </c>
      <c r="BO102" s="4">
        <v>2</v>
      </c>
    </row>
    <row r="103" spans="1:67">
      <c r="A103" s="4">
        <v>1991</v>
      </c>
      <c r="B103" s="4">
        <v>3</v>
      </c>
      <c r="C103" s="108">
        <f>SHL!C103+SPA!C103</f>
        <v>130065</v>
      </c>
      <c r="D103" s="108">
        <f>SHL!D103+SPA!D103</f>
        <v>11395</v>
      </c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>
        <f t="shared" si="33"/>
        <v>10242</v>
      </c>
      <c r="Z103" s="175">
        <f>SHL!Z103+SPA!Z103</f>
        <v>130508</v>
      </c>
      <c r="AA103" s="108">
        <f t="shared" si="32"/>
        <v>443</v>
      </c>
      <c r="AB103" s="547">
        <f>SPA!AB103+SHL!AB103</f>
        <v>130508</v>
      </c>
      <c r="BN103" s="4">
        <v>1991</v>
      </c>
      <c r="BO103" s="4">
        <v>3</v>
      </c>
    </row>
    <row r="104" spans="1:67">
      <c r="A104" s="4">
        <v>1991</v>
      </c>
      <c r="B104" s="4">
        <v>4</v>
      </c>
      <c r="C104" s="108">
        <f>SHL!C104+SPA!C104</f>
        <v>134593</v>
      </c>
      <c r="D104" s="108">
        <f>SHL!D104+SPA!D104</f>
        <v>11437</v>
      </c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>
        <f t="shared" si="33"/>
        <v>1291</v>
      </c>
      <c r="Z104" s="175">
        <f>SHL!Z104+SPA!Z104</f>
        <v>128964</v>
      </c>
      <c r="AA104" s="108">
        <f t="shared" si="32"/>
        <v>-5629</v>
      </c>
      <c r="AB104" s="547">
        <f>SPA!AB104+SHL!AB104</f>
        <v>128964</v>
      </c>
      <c r="BN104" s="4">
        <v>1991</v>
      </c>
      <c r="BO104" s="4">
        <v>4</v>
      </c>
    </row>
    <row r="105" spans="1:67">
      <c r="A105" s="4">
        <v>1991</v>
      </c>
      <c r="B105" s="4">
        <v>5</v>
      </c>
      <c r="C105" s="108">
        <f>SHL!C105+SPA!C105</f>
        <v>151590</v>
      </c>
      <c r="D105" s="108">
        <f>SHL!D105+SPA!D105</f>
        <v>11479</v>
      </c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>
        <f t="shared" si="33"/>
        <v>-732</v>
      </c>
      <c r="Z105" s="175">
        <f>SHL!Z105+SPA!Z105</f>
        <v>132243</v>
      </c>
      <c r="AA105" s="108">
        <f t="shared" si="32"/>
        <v>-19347</v>
      </c>
      <c r="AB105" s="547">
        <f>SPA!AB105+SHL!AB105</f>
        <v>132243</v>
      </c>
      <c r="BN105" s="4">
        <v>1991</v>
      </c>
      <c r="BO105" s="4">
        <v>5</v>
      </c>
    </row>
    <row r="106" spans="1:67">
      <c r="A106" s="4">
        <v>1991</v>
      </c>
      <c r="B106" s="4">
        <v>6</v>
      </c>
      <c r="C106" s="108">
        <f>SHL!C106+SPA!C106</f>
        <v>158978</v>
      </c>
      <c r="D106" s="108">
        <f>SHL!D106+SPA!D106</f>
        <v>11487</v>
      </c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>
        <f t="shared" si="33"/>
        <v>8807</v>
      </c>
      <c r="Z106" s="175">
        <f>SHL!Z106+SPA!Z106</f>
        <v>155599</v>
      </c>
      <c r="AA106" s="108">
        <f t="shared" si="32"/>
        <v>-3379</v>
      </c>
      <c r="AB106" s="547">
        <f>SPA!AB106+SHL!AB106</f>
        <v>155599</v>
      </c>
      <c r="BN106" s="4">
        <v>1991</v>
      </c>
      <c r="BO106" s="4">
        <v>6</v>
      </c>
    </row>
    <row r="107" spans="1:67">
      <c r="A107" s="4">
        <v>1991</v>
      </c>
      <c r="B107" s="4">
        <v>7</v>
      </c>
      <c r="C107" s="108">
        <f>SHL!C107+SPA!C107</f>
        <v>150796</v>
      </c>
      <c r="D107" s="108">
        <f>SHL!D107+SPA!D107</f>
        <v>11513</v>
      </c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>
        <f t="shared" si="33"/>
        <v>4596</v>
      </c>
      <c r="Z107" s="175">
        <f>SHL!Z107+SPA!Z107</f>
        <v>147492</v>
      </c>
      <c r="AA107" s="108">
        <f t="shared" si="32"/>
        <v>-3304</v>
      </c>
      <c r="AB107" s="547">
        <f>SPA!AB107+SHL!AB107</f>
        <v>147492</v>
      </c>
      <c r="BN107" s="4">
        <v>1991</v>
      </c>
      <c r="BO107" s="4">
        <v>7</v>
      </c>
    </row>
    <row r="108" spans="1:67">
      <c r="A108" s="4">
        <v>1991</v>
      </c>
      <c r="B108" s="4">
        <v>8</v>
      </c>
      <c r="C108" s="108">
        <f>SHL!C108+SPA!C108</f>
        <v>157693</v>
      </c>
      <c r="D108" s="108">
        <f>SHL!D108+SPA!D108</f>
        <v>11578</v>
      </c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>
        <f t="shared" si="33"/>
        <v>10689</v>
      </c>
      <c r="Z108" s="175">
        <f>SHL!Z108+SPA!Z108</f>
        <v>154187</v>
      </c>
      <c r="AA108" s="108">
        <f t="shared" si="32"/>
        <v>-3506</v>
      </c>
      <c r="AB108" s="547">
        <f>SPA!AB108+SHL!AB108</f>
        <v>154187</v>
      </c>
      <c r="BN108" s="4">
        <v>1991</v>
      </c>
      <c r="BO108" s="4">
        <v>8</v>
      </c>
    </row>
    <row r="109" spans="1:67">
      <c r="A109" s="4">
        <v>1991</v>
      </c>
      <c r="B109" s="4">
        <v>9</v>
      </c>
      <c r="C109" s="108">
        <f>SHL!C109+SPA!C109</f>
        <v>169108</v>
      </c>
      <c r="D109" s="108">
        <f>SHL!D109+SPA!D109</f>
        <v>11652</v>
      </c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>
        <f t="shared" si="33"/>
        <v>3560</v>
      </c>
      <c r="Z109" s="175">
        <f>SHL!Z109+SPA!Z109</f>
        <v>166885</v>
      </c>
      <c r="AA109" s="108">
        <f t="shared" si="32"/>
        <v>-2223</v>
      </c>
      <c r="AB109" s="547">
        <f>SPA!AB109+SHL!AB109</f>
        <v>166885</v>
      </c>
      <c r="BN109" s="4">
        <v>1991</v>
      </c>
      <c r="BO109" s="4">
        <v>9</v>
      </c>
    </row>
    <row r="110" spans="1:67">
      <c r="A110" s="4">
        <v>1991</v>
      </c>
      <c r="B110" s="4">
        <v>10</v>
      </c>
      <c r="C110" s="108">
        <f>SHL!C110+SPA!C110</f>
        <v>163740</v>
      </c>
      <c r="D110" s="108">
        <f>SHL!D110+SPA!D110</f>
        <v>11681</v>
      </c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>
        <f t="shared" si="33"/>
        <v>12858</v>
      </c>
      <c r="Z110" s="175">
        <f>SHL!Z110+SPA!Z110</f>
        <v>165813</v>
      </c>
      <c r="AA110" s="108">
        <f t="shared" si="32"/>
        <v>2073</v>
      </c>
      <c r="AB110" s="547">
        <f>SPA!AB110+SHL!AB110</f>
        <v>165813</v>
      </c>
      <c r="BN110" s="4">
        <v>1991</v>
      </c>
      <c r="BO110" s="4">
        <v>10</v>
      </c>
    </row>
    <row r="111" spans="1:67">
      <c r="A111" s="4">
        <v>1991</v>
      </c>
      <c r="B111" s="4">
        <v>11</v>
      </c>
      <c r="C111" s="108">
        <f>SHL!C111+SPA!C111</f>
        <v>145192</v>
      </c>
      <c r="D111" s="108">
        <f>SHL!D111+SPA!D111</f>
        <v>11778</v>
      </c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>
        <f t="shared" si="33"/>
        <v>3991</v>
      </c>
      <c r="Z111" s="175">
        <f>SHL!Z111+SPA!Z111</f>
        <v>147283</v>
      </c>
      <c r="AA111" s="108">
        <f t="shared" si="32"/>
        <v>2091</v>
      </c>
      <c r="AB111" s="547">
        <f>SPA!AB111+SHL!AB111</f>
        <v>147283</v>
      </c>
      <c r="BN111" s="4">
        <v>1991</v>
      </c>
      <c r="BO111" s="4">
        <v>11</v>
      </c>
    </row>
    <row r="112" spans="1:67">
      <c r="A112" s="85">
        <v>1991</v>
      </c>
      <c r="B112" s="85">
        <v>12</v>
      </c>
      <c r="C112" s="108">
        <f>SHL!C112+SPA!C112</f>
        <v>142873</v>
      </c>
      <c r="D112" s="108">
        <f>SHL!D112+SPA!D112</f>
        <v>11816</v>
      </c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>
        <f t="shared" si="33"/>
        <v>4148</v>
      </c>
      <c r="Z112" s="175">
        <f>SHL!Z112+SPA!Z112</f>
        <v>138778</v>
      </c>
      <c r="AA112" s="108">
        <f t="shared" si="32"/>
        <v>-4095</v>
      </c>
      <c r="AB112" s="547">
        <f>SPA!AB112+SHL!AB112</f>
        <v>138778</v>
      </c>
      <c r="BN112" s="85">
        <v>1991</v>
      </c>
      <c r="BO112" s="85">
        <v>12</v>
      </c>
    </row>
    <row r="113" spans="1:72">
      <c r="A113" s="4">
        <v>1992</v>
      </c>
      <c r="B113" s="4">
        <v>1</v>
      </c>
      <c r="C113" s="108">
        <f>SHL!C113+SPA!C113</f>
        <v>133872</v>
      </c>
      <c r="D113" s="108">
        <f>SHL!D113+SPA!D113</f>
        <v>11864</v>
      </c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>
        <f t="shared" si="33"/>
        <v>11192</v>
      </c>
      <c r="Z113" s="175">
        <f>SHL!Z113+SPA!Z113</f>
        <v>135710</v>
      </c>
      <c r="AA113" s="108">
        <f t="shared" si="32"/>
        <v>1838</v>
      </c>
      <c r="AB113" s="547">
        <f>SPA!AB113+SHL!AB113</f>
        <v>135710</v>
      </c>
      <c r="BN113" s="4">
        <v>1992</v>
      </c>
      <c r="BO113" s="4">
        <v>1</v>
      </c>
    </row>
    <row r="114" spans="1:72">
      <c r="A114" s="4">
        <v>1992</v>
      </c>
      <c r="B114" s="4">
        <v>2</v>
      </c>
      <c r="C114" s="108">
        <f>SHL!C114+SPA!C114</f>
        <v>131003</v>
      </c>
      <c r="D114" s="108">
        <f>SHL!D114+SPA!D114</f>
        <v>11898</v>
      </c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>
        <f t="shared" si="33"/>
        <v>5162</v>
      </c>
      <c r="Z114" s="175">
        <f>SHL!Z114+SPA!Z114</f>
        <v>132203</v>
      </c>
      <c r="AA114" s="108">
        <f t="shared" si="32"/>
        <v>1200</v>
      </c>
      <c r="AB114" s="547">
        <f>SPA!AB114+SHL!AB114</f>
        <v>132203</v>
      </c>
      <c r="BN114" s="4">
        <v>1992</v>
      </c>
      <c r="BO114" s="4">
        <v>2</v>
      </c>
    </row>
    <row r="115" spans="1:72">
      <c r="A115" s="4">
        <v>1992</v>
      </c>
      <c r="B115" s="4">
        <v>3</v>
      </c>
      <c r="C115" s="108">
        <f>SHL!C115+SPA!C115</f>
        <v>133194</v>
      </c>
      <c r="D115" s="108">
        <f>SHL!D115+SPA!D115</f>
        <v>11938</v>
      </c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>
        <f t="shared" si="33"/>
        <v>3599</v>
      </c>
      <c r="Z115" s="175">
        <f>SHL!Z115+SPA!Z115</f>
        <v>134107</v>
      </c>
      <c r="AA115" s="108">
        <f t="shared" si="32"/>
        <v>913</v>
      </c>
      <c r="AB115" s="547">
        <f>SPA!AB115+SHL!AB115</f>
        <v>134107</v>
      </c>
      <c r="BN115" s="4">
        <v>1992</v>
      </c>
      <c r="BO115" s="4">
        <v>3</v>
      </c>
    </row>
    <row r="116" spans="1:72">
      <c r="A116" s="4">
        <v>1992</v>
      </c>
      <c r="B116" s="4">
        <v>4</v>
      </c>
      <c r="C116" s="108">
        <f>SHL!C116+SPA!C116</f>
        <v>133060</v>
      </c>
      <c r="D116" s="108">
        <f>SHL!D116+SPA!D116</f>
        <v>11992</v>
      </c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>
        <f t="shared" si="33"/>
        <v>11856</v>
      </c>
      <c r="Z116" s="175">
        <f>SHL!Z116+SPA!Z116</f>
        <v>140820</v>
      </c>
      <c r="AA116" s="108">
        <f t="shared" si="32"/>
        <v>7760</v>
      </c>
      <c r="AB116" s="547">
        <f>SPA!AB116+SHL!AB116</f>
        <v>140820</v>
      </c>
      <c r="BN116" s="4">
        <v>1992</v>
      </c>
      <c r="BO116" s="4">
        <v>4</v>
      </c>
    </row>
    <row r="117" spans="1:72">
      <c r="A117" s="4">
        <v>1992</v>
      </c>
      <c r="B117" s="4">
        <v>5</v>
      </c>
      <c r="C117" s="108">
        <f>SHL!C117+SPA!C117</f>
        <v>143367</v>
      </c>
      <c r="D117" s="108">
        <f>SHL!D117+SPA!D117</f>
        <v>12018</v>
      </c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>
        <f t="shared" si="33"/>
        <v>20817</v>
      </c>
      <c r="Z117" s="175">
        <f>SHL!Z117+SPA!Z117</f>
        <v>153060</v>
      </c>
      <c r="AA117" s="108">
        <f t="shared" si="32"/>
        <v>9693</v>
      </c>
      <c r="AB117" s="547">
        <f>SPA!AB117+SHL!AB117</f>
        <v>153060</v>
      </c>
      <c r="BN117" s="4">
        <v>1992</v>
      </c>
      <c r="BO117" s="4">
        <v>5</v>
      </c>
    </row>
    <row r="118" spans="1:72">
      <c r="A118" s="4">
        <v>1992</v>
      </c>
      <c r="B118" s="4">
        <v>6</v>
      </c>
      <c r="C118" s="108">
        <f>SHL!C118+SPA!C118</f>
        <v>153545</v>
      </c>
      <c r="D118" s="108">
        <f>SHL!D118+SPA!D118</f>
        <v>12031</v>
      </c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>
        <f t="shared" si="33"/>
        <v>7348</v>
      </c>
      <c r="Z118" s="175">
        <f>SHL!Z118+SPA!Z118</f>
        <v>162947</v>
      </c>
      <c r="AA118" s="108">
        <f t="shared" si="32"/>
        <v>9402</v>
      </c>
      <c r="AB118" s="547">
        <f>SPA!AB118+SHL!AB118</f>
        <v>162947</v>
      </c>
      <c r="BN118" s="4">
        <v>1992</v>
      </c>
      <c r="BO118" s="4">
        <v>6</v>
      </c>
    </row>
    <row r="119" spans="1:72">
      <c r="A119" s="4">
        <v>1992</v>
      </c>
      <c r="B119" s="4">
        <v>7</v>
      </c>
      <c r="C119" s="108">
        <f>SHL!C119+SPA!C119</f>
        <v>159971</v>
      </c>
      <c r="D119" s="108">
        <f>SHL!D119+SPA!D119</f>
        <v>12042</v>
      </c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>
        <f t="shared" si="33"/>
        <v>9385</v>
      </c>
      <c r="Z119" s="175">
        <f>SHL!Z119+SPA!Z119</f>
        <v>156877</v>
      </c>
      <c r="AA119" s="108">
        <f t="shared" si="32"/>
        <v>-3094</v>
      </c>
      <c r="AB119" s="547">
        <f>SPA!AB119+SHL!AB119</f>
        <v>156877</v>
      </c>
      <c r="BN119" s="4">
        <v>1992</v>
      </c>
      <c r="BO119" s="4">
        <v>7</v>
      </c>
    </row>
    <row r="120" spans="1:72">
      <c r="A120" s="4">
        <v>1992</v>
      </c>
      <c r="B120" s="4">
        <v>8</v>
      </c>
      <c r="C120" s="108">
        <f>SHL!C120+SPA!C120</f>
        <v>162871</v>
      </c>
      <c r="D120" s="108">
        <f>SHL!D120+SPA!D120</f>
        <v>12068</v>
      </c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>
        <f t="shared" si="33"/>
        <v>5728</v>
      </c>
      <c r="Z120" s="175">
        <f>SHL!Z120+SPA!Z120</f>
        <v>159915</v>
      </c>
      <c r="AA120" s="108">
        <f t="shared" si="32"/>
        <v>-2956</v>
      </c>
      <c r="AB120" s="547">
        <f>SPA!AB120+SHL!AB120</f>
        <v>159915</v>
      </c>
      <c r="BN120" s="4">
        <v>1992</v>
      </c>
      <c r="BO120" s="4">
        <v>8</v>
      </c>
    </row>
    <row r="121" spans="1:72">
      <c r="A121" s="4">
        <v>1992</v>
      </c>
      <c r="B121" s="4">
        <v>9</v>
      </c>
      <c r="C121" s="108">
        <f>SHL!C121+SPA!C121</f>
        <v>166644</v>
      </c>
      <c r="D121" s="108">
        <f>SHL!D121+SPA!D121</f>
        <v>12153</v>
      </c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>
        <f t="shared" si="33"/>
        <v>5003</v>
      </c>
      <c r="Z121" s="175">
        <f>SHL!Z121+SPA!Z121</f>
        <v>171888</v>
      </c>
      <c r="AA121" s="108">
        <f t="shared" si="32"/>
        <v>5244</v>
      </c>
      <c r="AB121" s="547">
        <f>SPA!AB121+SHL!AB121</f>
        <v>171888</v>
      </c>
      <c r="BN121" s="4">
        <v>1992</v>
      </c>
      <c r="BO121" s="4">
        <v>9</v>
      </c>
    </row>
    <row r="122" spans="1:72">
      <c r="A122" s="4">
        <v>1992</v>
      </c>
      <c r="B122" s="4">
        <v>10</v>
      </c>
      <c r="C122" s="108">
        <f>SHL!C122+SPA!C122</f>
        <v>169120</v>
      </c>
      <c r="D122" s="108">
        <f>SHL!D122+SPA!D122</f>
        <v>12217</v>
      </c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>
        <f t="shared" si="33"/>
        <v>8853</v>
      </c>
      <c r="Z122" s="175">
        <f>SHL!Z122+SPA!Z122</f>
        <v>174666</v>
      </c>
      <c r="AA122" s="108">
        <f t="shared" si="32"/>
        <v>5546</v>
      </c>
      <c r="AB122" s="547">
        <f>SPA!AB122+SHL!AB122</f>
        <v>174666</v>
      </c>
      <c r="BN122" s="4">
        <v>1992</v>
      </c>
      <c r="BO122" s="4">
        <v>10</v>
      </c>
    </row>
    <row r="123" spans="1:72">
      <c r="A123" s="4">
        <v>1992</v>
      </c>
      <c r="B123" s="4">
        <v>11</v>
      </c>
      <c r="C123" s="108">
        <f>SHL!C123+SPA!C123</f>
        <v>152914</v>
      </c>
      <c r="D123" s="108">
        <f>SHL!D123+SPA!D123</f>
        <v>12805</v>
      </c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>
        <f t="shared" si="33"/>
        <v>10979</v>
      </c>
      <c r="Z123" s="175">
        <f>SHL!Z123+SPA!Z123</f>
        <v>158262</v>
      </c>
      <c r="AA123" s="108">
        <f t="shared" si="32"/>
        <v>5348</v>
      </c>
      <c r="AB123" s="547">
        <f>SPA!AB123+SHL!AB123</f>
        <v>158262</v>
      </c>
      <c r="BN123" s="4">
        <v>1992</v>
      </c>
      <c r="BO123" s="4">
        <v>11</v>
      </c>
    </row>
    <row r="124" spans="1:72" s="89" customFormat="1">
      <c r="A124" s="89">
        <v>1992</v>
      </c>
      <c r="B124" s="89">
        <v>12</v>
      </c>
      <c r="C124" s="117">
        <f>SHL!C124+SPA!C124</f>
        <v>150090</v>
      </c>
      <c r="D124" s="117">
        <f>SHL!D124+SPA!D124</f>
        <v>13536</v>
      </c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  <c r="V124" s="117"/>
      <c r="W124" s="117"/>
      <c r="X124" s="117"/>
      <c r="Y124" s="117">
        <f t="shared" si="33"/>
        <v>5276</v>
      </c>
      <c r="Z124" s="176">
        <f>SHL!Z124+SPA!Z124</f>
        <v>144054</v>
      </c>
      <c r="AA124" s="117">
        <f t="shared" si="32"/>
        <v>-6036</v>
      </c>
      <c r="AB124" s="548">
        <f>SPA!AB124+SHL!AB124</f>
        <v>144054</v>
      </c>
      <c r="BN124" s="89">
        <v>1992</v>
      </c>
      <c r="BO124" s="89">
        <v>12</v>
      </c>
      <c r="BT124" s="96"/>
    </row>
    <row r="125" spans="1:72">
      <c r="A125" s="4">
        <v>1993</v>
      </c>
      <c r="B125" s="4">
        <v>1</v>
      </c>
      <c r="C125" s="108">
        <f>SHL!C125+SPA!C125</f>
        <v>137390</v>
      </c>
      <c r="D125" s="108">
        <f>SHL!D125+SPA!D125</f>
        <v>13736</v>
      </c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>
        <f t="shared" si="33"/>
        <v>1336</v>
      </c>
      <c r="Z125" s="175">
        <f>SHL!Z125+SPA!Z125</f>
        <v>137046</v>
      </c>
      <c r="AA125" s="108">
        <f t="shared" si="32"/>
        <v>-344</v>
      </c>
      <c r="AB125" s="547">
        <f>SPA!AB125+SHL!AB125</f>
        <v>137046</v>
      </c>
      <c r="BN125" s="4">
        <v>1993</v>
      </c>
      <c r="BO125" s="4">
        <v>1</v>
      </c>
    </row>
    <row r="126" spans="1:72">
      <c r="A126" s="4">
        <v>1993</v>
      </c>
      <c r="B126" s="4">
        <v>2</v>
      </c>
      <c r="C126" s="108">
        <f>SHL!C126+SPA!C126</f>
        <v>135897</v>
      </c>
      <c r="D126" s="108">
        <f>SHL!D126+SPA!D126</f>
        <v>13871</v>
      </c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>
        <f t="shared" si="33"/>
        <v>5070</v>
      </c>
      <c r="Z126" s="175">
        <f>SHL!Z126+SPA!Z126</f>
        <v>137273</v>
      </c>
      <c r="AA126" s="108">
        <f t="shared" si="32"/>
        <v>1376</v>
      </c>
      <c r="AB126" s="547">
        <f>SPA!AB126+SHL!AB126</f>
        <v>137273</v>
      </c>
      <c r="BN126" s="4">
        <v>1993</v>
      </c>
      <c r="BO126" s="4">
        <v>2</v>
      </c>
    </row>
    <row r="127" spans="1:72">
      <c r="A127" s="4">
        <v>1993</v>
      </c>
      <c r="B127" s="4">
        <v>3</v>
      </c>
      <c r="C127" s="108">
        <f>SHL!C127+SPA!C127</f>
        <v>134492</v>
      </c>
      <c r="D127" s="108">
        <f>SHL!D127+SPA!D127</f>
        <v>13897</v>
      </c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>
        <f t="shared" si="33"/>
        <v>5383</v>
      </c>
      <c r="Z127" s="175">
        <f>SHL!Z127+SPA!Z127</f>
        <v>139490</v>
      </c>
      <c r="AA127" s="108">
        <f t="shared" si="32"/>
        <v>4998</v>
      </c>
      <c r="AB127" s="547">
        <f>SPA!AB127+SHL!AB127</f>
        <v>139490</v>
      </c>
      <c r="BN127" s="4">
        <v>1993</v>
      </c>
      <c r="BO127" s="4">
        <v>3</v>
      </c>
    </row>
    <row r="128" spans="1:72">
      <c r="A128" s="4">
        <v>1993</v>
      </c>
      <c r="B128" s="4">
        <v>4</v>
      </c>
      <c r="C128" s="108">
        <f>SHL!C128+SPA!C128</f>
        <v>140168</v>
      </c>
      <c r="D128" s="108">
        <f>SHL!D128+SPA!D128</f>
        <v>14083</v>
      </c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>
        <f t="shared" si="33"/>
        <v>7209</v>
      </c>
      <c r="Z128" s="175">
        <f>SHL!Z128+SPA!Z128</f>
        <v>148029</v>
      </c>
      <c r="AA128" s="108">
        <f t="shared" si="32"/>
        <v>7861</v>
      </c>
      <c r="AB128" s="547">
        <f>SPA!AB128+SHL!AB128</f>
        <v>148029</v>
      </c>
      <c r="BN128" s="4">
        <v>1993</v>
      </c>
      <c r="BO128" s="4">
        <v>4</v>
      </c>
    </row>
    <row r="129" spans="1:72">
      <c r="A129" s="4">
        <v>1993</v>
      </c>
      <c r="B129" s="4">
        <v>5</v>
      </c>
      <c r="C129" s="108">
        <f>SHL!C129+SPA!C129</f>
        <v>149209</v>
      </c>
      <c r="D129" s="108">
        <f>SHL!D129+SPA!D129</f>
        <v>14019</v>
      </c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>
        <f t="shared" si="33"/>
        <v>7410</v>
      </c>
      <c r="Z129" s="175">
        <f>SHL!Z129+SPA!Z129</f>
        <v>160470</v>
      </c>
      <c r="AA129" s="108">
        <f t="shared" si="32"/>
        <v>11261</v>
      </c>
      <c r="AB129" s="547">
        <f>SPA!AB129+SHL!AB129</f>
        <v>160470</v>
      </c>
      <c r="BN129" s="4">
        <v>1993</v>
      </c>
      <c r="BO129" s="4">
        <v>5</v>
      </c>
    </row>
    <row r="130" spans="1:72">
      <c r="A130" s="4">
        <v>1993</v>
      </c>
      <c r="B130" s="4">
        <v>6</v>
      </c>
      <c r="C130" s="108">
        <f>SHL!C130+SPA!C130</f>
        <v>167392</v>
      </c>
      <c r="D130" s="108">
        <f>SHL!D130+SPA!D130</f>
        <v>14416</v>
      </c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>
        <f t="shared" si="33"/>
        <v>13731</v>
      </c>
      <c r="Z130" s="175">
        <f>SHL!Z130+SPA!Z130</f>
        <v>176678</v>
      </c>
      <c r="AA130" s="108">
        <f t="shared" si="32"/>
        <v>9286</v>
      </c>
      <c r="AB130" s="547">
        <f>SPA!AB130+SHL!AB130</f>
        <v>176678</v>
      </c>
      <c r="BN130" s="4">
        <v>1993</v>
      </c>
      <c r="BO130" s="4">
        <v>6</v>
      </c>
    </row>
    <row r="131" spans="1:72">
      <c r="A131" s="4">
        <v>1993</v>
      </c>
      <c r="B131" s="4">
        <v>7</v>
      </c>
      <c r="C131" s="108">
        <f>SHL!C131+SPA!C131</f>
        <v>164249</v>
      </c>
      <c r="D131" s="108">
        <f>SHL!D131+SPA!D131</f>
        <v>14631</v>
      </c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>
        <f t="shared" si="33"/>
        <v>6547</v>
      </c>
      <c r="Z131" s="175">
        <f>SHL!Z131+SPA!Z131</f>
        <v>163424</v>
      </c>
      <c r="AA131" s="108">
        <f t="shared" si="32"/>
        <v>-825</v>
      </c>
      <c r="AB131" s="547">
        <f>SPA!AB131+SHL!AB131</f>
        <v>163424</v>
      </c>
      <c r="BN131" s="4">
        <v>1993</v>
      </c>
      <c r="BO131" s="4">
        <v>7</v>
      </c>
    </row>
    <row r="132" spans="1:72">
      <c r="A132" s="4">
        <v>1993</v>
      </c>
      <c r="B132" s="4">
        <v>8</v>
      </c>
      <c r="C132" s="108">
        <f>SHL!C132+SPA!C132</f>
        <v>178238</v>
      </c>
      <c r="D132" s="108">
        <f>SHL!D132+SPA!D132</f>
        <v>15209</v>
      </c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>
        <f t="shared" si="33"/>
        <v>7552</v>
      </c>
      <c r="Z132" s="175">
        <f>SHL!Z132+SPA!Z132</f>
        <v>167467</v>
      </c>
      <c r="AA132" s="108">
        <f t="shared" si="32"/>
        <v>-10771</v>
      </c>
      <c r="AB132" s="547">
        <f>SPA!AB132+SHL!AB132</f>
        <v>167467</v>
      </c>
      <c r="BN132" s="4">
        <v>1993</v>
      </c>
      <c r="BO132" s="4">
        <v>8</v>
      </c>
    </row>
    <row r="133" spans="1:72">
      <c r="A133" s="4">
        <v>1993</v>
      </c>
      <c r="B133" s="4">
        <v>9</v>
      </c>
      <c r="C133" s="108">
        <f>SHL!C133+SPA!C133</f>
        <v>183784</v>
      </c>
      <c r="D133" s="108">
        <f>SHL!D133+SPA!D133</f>
        <v>16431</v>
      </c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>
        <f t="shared" si="33"/>
        <v>13271</v>
      </c>
      <c r="Z133" s="175">
        <f>SHL!Z133+SPA!Z133</f>
        <v>185159</v>
      </c>
      <c r="AA133" s="108">
        <f t="shared" si="32"/>
        <v>1375</v>
      </c>
      <c r="AB133" s="547">
        <f>SPA!AB133+SHL!AB133</f>
        <v>185159</v>
      </c>
      <c r="BN133" s="4">
        <v>1993</v>
      </c>
      <c r="BO133" s="4">
        <v>9</v>
      </c>
    </row>
    <row r="134" spans="1:72">
      <c r="A134" s="4">
        <v>1993</v>
      </c>
      <c r="B134" s="4">
        <v>10</v>
      </c>
      <c r="C134" s="108">
        <f>SHL!C134+SPA!C134</f>
        <v>181386</v>
      </c>
      <c r="D134" s="108">
        <f>SHL!D134+SPA!D134</f>
        <v>16816</v>
      </c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>
        <f t="shared" si="33"/>
        <v>7612</v>
      </c>
      <c r="Z134" s="175">
        <f>SHL!Z134+SPA!Z134</f>
        <v>182278</v>
      </c>
      <c r="AA134" s="108">
        <f t="shared" si="32"/>
        <v>892</v>
      </c>
      <c r="AB134" s="547">
        <f>SPA!AB134+SHL!AB134</f>
        <v>182278</v>
      </c>
      <c r="BN134" s="4">
        <v>1993</v>
      </c>
      <c r="BO134" s="4">
        <v>10</v>
      </c>
    </row>
    <row r="135" spans="1:72">
      <c r="A135" s="4">
        <v>1993</v>
      </c>
      <c r="B135" s="4">
        <v>11</v>
      </c>
      <c r="C135" s="108">
        <f>SHL!C135+SPA!C135</f>
        <v>161652</v>
      </c>
      <c r="D135" s="108">
        <f>SHL!D135+SPA!D135</f>
        <v>16763</v>
      </c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>
        <f t="shared" si="33"/>
        <v>3023</v>
      </c>
      <c r="Z135" s="175">
        <f>SHL!Z135+SPA!Z135</f>
        <v>161285</v>
      </c>
      <c r="AA135" s="108">
        <f t="shared" si="32"/>
        <v>-367</v>
      </c>
      <c r="AB135" s="547">
        <f>SPA!AB135+SHL!AB135</f>
        <v>161285</v>
      </c>
      <c r="BN135" s="4">
        <v>1993</v>
      </c>
      <c r="BO135" s="4">
        <v>11</v>
      </c>
    </row>
    <row r="136" spans="1:72" s="89" customFormat="1">
      <c r="A136" s="89">
        <v>1993</v>
      </c>
      <c r="B136" s="89">
        <v>12</v>
      </c>
      <c r="C136" s="117">
        <f>SHL!C136+SPA!C136</f>
        <v>156270</v>
      </c>
      <c r="D136" s="117">
        <f>SHL!D136+SPA!D136</f>
        <v>16861</v>
      </c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  <c r="V136" s="117"/>
      <c r="W136" s="117"/>
      <c r="X136" s="117"/>
      <c r="Y136" s="117">
        <f t="shared" si="33"/>
        <v>12122</v>
      </c>
      <c r="Z136" s="176">
        <f>SHL!Z136+SPA!Z136</f>
        <v>156176</v>
      </c>
      <c r="AA136" s="117">
        <f t="shared" si="32"/>
        <v>-94</v>
      </c>
      <c r="AB136" s="548">
        <f>SPA!AB136+SHL!AB136</f>
        <v>156176</v>
      </c>
      <c r="BN136" s="89">
        <v>1993</v>
      </c>
      <c r="BO136" s="89">
        <v>12</v>
      </c>
      <c r="BT136" s="96"/>
    </row>
    <row r="137" spans="1:72">
      <c r="A137" s="4">
        <v>1994</v>
      </c>
      <c r="B137" s="4">
        <v>1</v>
      </c>
      <c r="C137" s="108">
        <f>SHL!C137+SPA!C137</f>
        <v>139075</v>
      </c>
      <c r="D137" s="108">
        <f>SHL!D137+SPA!D137</f>
        <v>16900</v>
      </c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>
        <f t="shared" si="33"/>
        <v>4203</v>
      </c>
      <c r="Z137" s="175">
        <f>SHL!Z137+SPA!Z137</f>
        <v>141249</v>
      </c>
      <c r="AA137" s="108">
        <f t="shared" si="32"/>
        <v>2174</v>
      </c>
      <c r="AB137" s="547">
        <f>SPA!AB137+SHL!AB137</f>
        <v>141249</v>
      </c>
      <c r="BN137" s="4">
        <v>1994</v>
      </c>
      <c r="BO137" s="4">
        <v>1</v>
      </c>
    </row>
    <row r="138" spans="1:72">
      <c r="A138" s="4">
        <v>1994</v>
      </c>
      <c r="B138" s="4">
        <v>2</v>
      </c>
      <c r="C138" s="108">
        <f>SHL!C138+SPA!C138</f>
        <v>141616</v>
      </c>
      <c r="D138" s="108">
        <f>SHL!D138+SPA!D138</f>
        <v>16947</v>
      </c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>
        <f t="shared" si="33"/>
        <v>3153</v>
      </c>
      <c r="Z138" s="175">
        <f>SHL!Z138+SPA!Z138</f>
        <v>140426</v>
      </c>
      <c r="AA138" s="108">
        <f t="shared" si="32"/>
        <v>-1190</v>
      </c>
      <c r="AB138" s="547">
        <f>SPA!AB138+SHL!AB138</f>
        <v>140426</v>
      </c>
      <c r="BN138" s="4">
        <v>1994</v>
      </c>
      <c r="BO138" s="4">
        <v>2</v>
      </c>
    </row>
    <row r="139" spans="1:72">
      <c r="A139" s="4">
        <v>1994</v>
      </c>
      <c r="B139" s="4">
        <v>3</v>
      </c>
      <c r="C139" s="108">
        <f>SHL!C139+SPA!C139</f>
        <v>145561</v>
      </c>
      <c r="D139" s="108">
        <f>SHL!D139+SPA!D139</f>
        <v>16948</v>
      </c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>
        <f t="shared" si="33"/>
        <v>6822</v>
      </c>
      <c r="Z139" s="175">
        <f>SHL!Z139+SPA!Z139</f>
        <v>146312</v>
      </c>
      <c r="AA139" s="108">
        <f t="shared" si="32"/>
        <v>751</v>
      </c>
      <c r="AB139" s="547">
        <f>SPA!AB139+SHL!AB139</f>
        <v>146312</v>
      </c>
      <c r="BN139" s="4">
        <v>1994</v>
      </c>
      <c r="BO139" s="4">
        <v>3</v>
      </c>
    </row>
    <row r="140" spans="1:72">
      <c r="A140" s="4">
        <v>1994</v>
      </c>
      <c r="B140" s="4">
        <v>4</v>
      </c>
      <c r="C140" s="108">
        <f>SHL!C140+SPA!C140</f>
        <v>162498</v>
      </c>
      <c r="D140" s="108">
        <f>SHL!D140+SPA!D140</f>
        <v>16992</v>
      </c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>
        <f t="shared" si="33"/>
        <v>7549</v>
      </c>
      <c r="Z140" s="175">
        <f>SHL!Z140+SPA!Z140</f>
        <v>155578</v>
      </c>
      <c r="AA140" s="108">
        <f t="shared" si="32"/>
        <v>-6920</v>
      </c>
      <c r="AB140" s="547">
        <f>SPA!AB140+SHL!AB140</f>
        <v>155578</v>
      </c>
      <c r="BN140" s="4">
        <v>1994</v>
      </c>
      <c r="BO140" s="4">
        <v>4</v>
      </c>
    </row>
    <row r="141" spans="1:72">
      <c r="A141" s="4">
        <v>1994</v>
      </c>
      <c r="B141" s="4">
        <v>5</v>
      </c>
      <c r="C141" s="108">
        <f>SHL!C141+SPA!C141</f>
        <v>169577</v>
      </c>
      <c r="D141" s="108">
        <f>SHL!D141+SPA!D141</f>
        <v>17098</v>
      </c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>
        <f t="shared" si="33"/>
        <v>-1478</v>
      </c>
      <c r="Z141" s="175">
        <f>SHL!Z141+SPA!Z141</f>
        <v>158992</v>
      </c>
      <c r="AA141" s="108">
        <f t="shared" si="32"/>
        <v>-10585</v>
      </c>
      <c r="AB141" s="547">
        <f>SPA!AB141+SHL!AB141</f>
        <v>158992</v>
      </c>
      <c r="BN141" s="4">
        <v>1994</v>
      </c>
      <c r="BO141" s="4">
        <v>5</v>
      </c>
    </row>
    <row r="142" spans="1:72">
      <c r="A142" s="4">
        <v>1994</v>
      </c>
      <c r="B142" s="4">
        <v>6</v>
      </c>
      <c r="C142" s="108">
        <f>SHL!C142+SPA!C142</f>
        <v>172793</v>
      </c>
      <c r="D142" s="108">
        <f>SHL!D142+SPA!D142</f>
        <v>17177</v>
      </c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>
        <f t="shared" si="33"/>
        <v>611</v>
      </c>
      <c r="Z142" s="175">
        <f>SHL!Z142+SPA!Z142</f>
        <v>177289</v>
      </c>
      <c r="AA142" s="108">
        <f t="shared" si="32"/>
        <v>4496</v>
      </c>
      <c r="AB142" s="547">
        <f>SPA!AB142+SHL!AB142</f>
        <v>177289</v>
      </c>
      <c r="BN142" s="4">
        <v>1994</v>
      </c>
      <c r="BO142" s="4">
        <v>6</v>
      </c>
    </row>
    <row r="143" spans="1:72">
      <c r="A143" s="4">
        <v>1994</v>
      </c>
      <c r="B143" s="4">
        <v>7</v>
      </c>
      <c r="C143" s="108">
        <f>SHL!C143+SPA!C143</f>
        <v>174162</v>
      </c>
      <c r="D143" s="108">
        <f>SHL!D143+SPA!D143</f>
        <v>17187</v>
      </c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>
        <f t="shared" si="33"/>
        <v>7323</v>
      </c>
      <c r="Z143" s="175">
        <f>SHL!Z143+SPA!Z143</f>
        <v>170747</v>
      </c>
      <c r="AA143" s="108">
        <f t="shared" si="32"/>
        <v>-3415</v>
      </c>
      <c r="AB143" s="547">
        <f>SPA!AB143+SHL!AB143</f>
        <v>170747</v>
      </c>
      <c r="BN143" s="4">
        <v>1994</v>
      </c>
      <c r="BO143" s="4">
        <v>7</v>
      </c>
    </row>
    <row r="144" spans="1:72">
      <c r="A144" s="4">
        <v>1994</v>
      </c>
      <c r="B144" s="4">
        <v>8</v>
      </c>
      <c r="C144" s="108">
        <f>SHL!C144+SPA!C144</f>
        <v>167413</v>
      </c>
      <c r="D144" s="108">
        <f>SHL!D144+SPA!D144</f>
        <v>17225</v>
      </c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>
        <f t="shared" si="33"/>
        <v>11015</v>
      </c>
      <c r="Z144" s="175">
        <f>SHL!Z144+SPA!Z144</f>
        <v>178482</v>
      </c>
      <c r="AA144" s="108">
        <f t="shared" si="32"/>
        <v>11069</v>
      </c>
      <c r="AB144" s="547">
        <f>SPA!AB144+SHL!AB144</f>
        <v>178482</v>
      </c>
      <c r="BN144" s="4">
        <v>1994</v>
      </c>
      <c r="BO144" s="4">
        <v>8</v>
      </c>
    </row>
    <row r="145" spans="1:72">
      <c r="A145" s="4">
        <v>1994</v>
      </c>
      <c r="B145" s="4">
        <v>9</v>
      </c>
      <c r="C145" s="108">
        <f>SHL!C145+SPA!C145</f>
        <v>195784</v>
      </c>
      <c r="D145" s="108">
        <f>SHL!D145+SPA!D145</f>
        <v>17314</v>
      </c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>
        <f t="shared" si="33"/>
        <v>20201</v>
      </c>
      <c r="Z145" s="175">
        <f>SHL!Z145+SPA!Z145</f>
        <v>205360</v>
      </c>
      <c r="AA145" s="108">
        <f t="shared" ref="AA145:AA208" si="34">Z145-C145</f>
        <v>9576</v>
      </c>
      <c r="AB145" s="547">
        <f>SPA!AB145+SHL!AB145</f>
        <v>205360</v>
      </c>
      <c r="BN145" s="4">
        <v>1994</v>
      </c>
      <c r="BO145" s="4">
        <v>9</v>
      </c>
    </row>
    <row r="146" spans="1:72">
      <c r="A146" s="4">
        <v>1994</v>
      </c>
      <c r="B146" s="4">
        <v>10</v>
      </c>
      <c r="C146" s="108">
        <f>SHL!C146+SPA!C146</f>
        <v>179221</v>
      </c>
      <c r="D146" s="108">
        <f>SHL!D146+SPA!D146</f>
        <v>17360</v>
      </c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>
        <f t="shared" si="33"/>
        <v>8111</v>
      </c>
      <c r="Z146" s="175">
        <f>SHL!Z146+SPA!Z146</f>
        <v>190389</v>
      </c>
      <c r="AA146" s="108">
        <f t="shared" si="34"/>
        <v>11168</v>
      </c>
      <c r="AB146" s="547">
        <f>SPA!AB146+SHL!AB146</f>
        <v>190389</v>
      </c>
      <c r="BN146" s="4">
        <v>1994</v>
      </c>
      <c r="BO146" s="4">
        <v>10</v>
      </c>
    </row>
    <row r="147" spans="1:72">
      <c r="A147" s="4">
        <v>1994</v>
      </c>
      <c r="B147" s="4">
        <v>11</v>
      </c>
      <c r="C147" s="108">
        <f>SHL!C147+SPA!C147</f>
        <v>168940</v>
      </c>
      <c r="D147" s="108">
        <f>SHL!D147+SPA!D147</f>
        <v>17397</v>
      </c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>
        <f t="shared" si="33"/>
        <v>5989</v>
      </c>
      <c r="Z147" s="175">
        <f>SHL!Z147+SPA!Z147</f>
        <v>167274</v>
      </c>
      <c r="AA147" s="108">
        <f t="shared" si="34"/>
        <v>-1666</v>
      </c>
      <c r="AB147" s="547">
        <f>SPA!AB147+SHL!AB147</f>
        <v>167274</v>
      </c>
      <c r="BN147" s="4">
        <v>1994</v>
      </c>
      <c r="BO147" s="4">
        <v>11</v>
      </c>
    </row>
    <row r="148" spans="1:72" s="89" customFormat="1">
      <c r="A148" s="89">
        <v>1994</v>
      </c>
      <c r="B148" s="89">
        <v>12</v>
      </c>
      <c r="C148" s="117">
        <f>SHL!C148+SPA!C148</f>
        <v>163513</v>
      </c>
      <c r="D148" s="117">
        <f>SHL!D148+SPA!D148</f>
        <v>17441</v>
      </c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  <c r="V148" s="117"/>
      <c r="W148" s="117"/>
      <c r="X148" s="117"/>
      <c r="Y148" s="117">
        <f t="shared" si="33"/>
        <v>1148</v>
      </c>
      <c r="Z148" s="176">
        <f>SHL!Z148+SPA!Z148</f>
        <v>157324</v>
      </c>
      <c r="AA148" s="117">
        <f t="shared" si="34"/>
        <v>-6189</v>
      </c>
      <c r="AB148" s="548">
        <f>SPA!AB148+SHL!AB148</f>
        <v>157324</v>
      </c>
      <c r="BN148" s="89">
        <v>1994</v>
      </c>
      <c r="BO148" s="89">
        <v>12</v>
      </c>
      <c r="BT148" s="96"/>
    </row>
    <row r="149" spans="1:72">
      <c r="A149" s="4">
        <v>1995</v>
      </c>
      <c r="B149" s="4">
        <v>1</v>
      </c>
      <c r="C149" s="108">
        <f>SHL!C149+SPA!C149</f>
        <v>144080</v>
      </c>
      <c r="D149" s="108">
        <f>SHL!D149+SPA!D149</f>
        <v>17499</v>
      </c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>
        <f t="shared" si="33"/>
        <v>6525</v>
      </c>
      <c r="Z149" s="175">
        <f>SHL!Z149+SPA!Z149</f>
        <v>147774</v>
      </c>
      <c r="AA149" s="108">
        <f t="shared" si="34"/>
        <v>3694</v>
      </c>
      <c r="AB149" s="547">
        <f>SPA!AB149+SHL!AB149</f>
        <v>147774</v>
      </c>
      <c r="BN149" s="4">
        <v>1995</v>
      </c>
      <c r="BO149" s="4">
        <v>1</v>
      </c>
    </row>
    <row r="150" spans="1:72">
      <c r="A150" s="4">
        <v>1995</v>
      </c>
      <c r="B150" s="4">
        <v>2</v>
      </c>
      <c r="C150" s="108">
        <f>SHL!C150+SPA!C150</f>
        <v>147914</v>
      </c>
      <c r="D150" s="108">
        <f>SHL!D150+SPA!D150</f>
        <v>17558</v>
      </c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>
        <f t="shared" si="33"/>
        <v>7322</v>
      </c>
      <c r="Z150" s="175">
        <f>SHL!Z150+SPA!Z150</f>
        <v>147748</v>
      </c>
      <c r="AA150" s="108">
        <f t="shared" si="34"/>
        <v>-166</v>
      </c>
      <c r="AB150" s="547">
        <f>SPA!AB150+SHL!AB150</f>
        <v>147748</v>
      </c>
      <c r="BN150" s="4">
        <v>1995</v>
      </c>
      <c r="BO150" s="4">
        <v>2</v>
      </c>
    </row>
    <row r="151" spans="1:72">
      <c r="A151" s="4">
        <v>1995</v>
      </c>
      <c r="B151" s="4">
        <v>3</v>
      </c>
      <c r="C151" s="108">
        <f>SHL!C151+SPA!C151</f>
        <v>151195</v>
      </c>
      <c r="D151" s="108">
        <f>SHL!D151+SPA!D151</f>
        <v>17098</v>
      </c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>
        <f t="shared" si="33"/>
        <v>6673</v>
      </c>
      <c r="Z151" s="175">
        <f>SHL!Z151+SPA!Z151</f>
        <v>152985</v>
      </c>
      <c r="AA151" s="108">
        <f t="shared" si="34"/>
        <v>1790</v>
      </c>
      <c r="AB151" s="547">
        <f>SPA!AB151+SHL!AB151</f>
        <v>152985</v>
      </c>
      <c r="BN151" s="4">
        <v>1995</v>
      </c>
      <c r="BO151" s="4">
        <v>3</v>
      </c>
    </row>
    <row r="152" spans="1:72">
      <c r="A152" s="4">
        <v>1995</v>
      </c>
      <c r="B152" s="4">
        <v>4</v>
      </c>
      <c r="C152" s="108">
        <f>SHL!C152+SPA!C152</f>
        <v>168685</v>
      </c>
      <c r="D152" s="108">
        <f>SHL!D152+SPA!D152</f>
        <v>18427</v>
      </c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>
        <f t="shared" si="33"/>
        <v>14273</v>
      </c>
      <c r="Z152" s="175">
        <f>SHL!Z152+SPA!Z152</f>
        <v>169851</v>
      </c>
      <c r="AA152" s="108">
        <f t="shared" si="34"/>
        <v>1166</v>
      </c>
      <c r="AB152" s="547">
        <f>SPA!AB152+SHL!AB152</f>
        <v>169851</v>
      </c>
      <c r="BN152" s="4">
        <v>1995</v>
      </c>
      <c r="BO152" s="4">
        <v>4</v>
      </c>
    </row>
    <row r="153" spans="1:72">
      <c r="A153" s="4">
        <v>1995</v>
      </c>
      <c r="B153" s="4">
        <v>5</v>
      </c>
      <c r="C153" s="108">
        <f>SHL!C153+SPA!C153</f>
        <v>176485</v>
      </c>
      <c r="D153" s="108">
        <f>SHL!D153+SPA!D153</f>
        <v>17667</v>
      </c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>
        <f t="shared" si="33"/>
        <v>5337</v>
      </c>
      <c r="Z153" s="175">
        <f>SHL!Z153+SPA!Z153</f>
        <v>164329</v>
      </c>
      <c r="AA153" s="108">
        <f t="shared" si="34"/>
        <v>-12156</v>
      </c>
      <c r="AB153" s="547">
        <f>SPA!AB153+SHL!AB153</f>
        <v>164329</v>
      </c>
      <c r="BN153" s="4">
        <v>1995</v>
      </c>
      <c r="BO153" s="4">
        <v>5</v>
      </c>
    </row>
    <row r="154" spans="1:72">
      <c r="A154" s="4">
        <v>1995</v>
      </c>
      <c r="B154" s="4">
        <v>6</v>
      </c>
      <c r="C154" s="108">
        <f>SHL!C154+SPA!C154</f>
        <v>194324</v>
      </c>
      <c r="D154" s="108">
        <f>SHL!D154+SPA!D154</f>
        <v>17825</v>
      </c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>
        <f t="shared" si="33"/>
        <v>9858</v>
      </c>
      <c r="Z154" s="175">
        <f>SHL!Z154+SPA!Z154</f>
        <v>187147</v>
      </c>
      <c r="AA154" s="108">
        <f t="shared" si="34"/>
        <v>-7177</v>
      </c>
      <c r="AB154" s="547">
        <f>SPA!AB154+SHL!AB154</f>
        <v>187147</v>
      </c>
      <c r="BN154" s="4">
        <v>1995</v>
      </c>
      <c r="BO154" s="4">
        <v>6</v>
      </c>
    </row>
    <row r="155" spans="1:72">
      <c r="A155" s="4">
        <v>1995</v>
      </c>
      <c r="B155" s="4">
        <v>7</v>
      </c>
      <c r="C155" s="108">
        <f>SHL!C155+SPA!C155</f>
        <v>173440</v>
      </c>
      <c r="D155" s="108">
        <f>SHL!D155+SPA!D155</f>
        <v>17725</v>
      </c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>
        <f t="shared" si="33"/>
        <v>8552</v>
      </c>
      <c r="Z155" s="175">
        <f>SHL!Z155+SPA!Z155</f>
        <v>179299</v>
      </c>
      <c r="AA155" s="108">
        <f t="shared" si="34"/>
        <v>5859</v>
      </c>
      <c r="AB155" s="547">
        <f>SPA!AB155+SHL!AB155</f>
        <v>179299</v>
      </c>
      <c r="BN155" s="4">
        <v>1995</v>
      </c>
      <c r="BO155" s="4">
        <v>7</v>
      </c>
    </row>
    <row r="156" spans="1:72">
      <c r="A156" s="4">
        <v>1995</v>
      </c>
      <c r="B156" s="4">
        <v>8</v>
      </c>
      <c r="C156" s="108">
        <f>SHL!C156+SPA!C156</f>
        <v>178100</v>
      </c>
      <c r="D156" s="108">
        <f>SHL!D156+SPA!D156</f>
        <v>17524</v>
      </c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>
        <f t="shared" si="33"/>
        <v>6104</v>
      </c>
      <c r="Z156" s="175">
        <f>SHL!Z156+SPA!Z156</f>
        <v>184586</v>
      </c>
      <c r="AA156" s="108">
        <f t="shared" si="34"/>
        <v>6486</v>
      </c>
      <c r="AB156" s="547">
        <f>SPA!AB156+SHL!AB156</f>
        <v>184586</v>
      </c>
      <c r="BN156" s="4">
        <v>1995</v>
      </c>
      <c r="BO156" s="4">
        <v>8</v>
      </c>
    </row>
    <row r="157" spans="1:72">
      <c r="A157" s="4">
        <v>1995</v>
      </c>
      <c r="B157" s="4">
        <v>9</v>
      </c>
      <c r="C157" s="108">
        <f>SHL!C157+SPA!C157</f>
        <v>215377</v>
      </c>
      <c r="D157" s="108">
        <f>SHL!D157+SPA!D157</f>
        <v>18042</v>
      </c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>
        <f t="shared" ref="Y157:Y220" si="35">Z157-Z145</f>
        <v>9421</v>
      </c>
      <c r="Z157" s="175">
        <f>SHL!Z157+SPA!Z157</f>
        <v>214781</v>
      </c>
      <c r="AA157" s="108">
        <f t="shared" si="34"/>
        <v>-596</v>
      </c>
      <c r="AB157" s="547">
        <f>SPA!AB157+SHL!AB157</f>
        <v>214781</v>
      </c>
      <c r="BN157" s="4">
        <v>1995</v>
      </c>
      <c r="BO157" s="4">
        <v>9</v>
      </c>
    </row>
    <row r="158" spans="1:72">
      <c r="A158" s="4">
        <v>1995</v>
      </c>
      <c r="B158" s="4">
        <v>10</v>
      </c>
      <c r="C158" s="108">
        <f>SHL!C158+SPA!C158</f>
        <v>193586</v>
      </c>
      <c r="D158" s="108">
        <f>SHL!D158+SPA!D158</f>
        <v>17931</v>
      </c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>
        <f t="shared" si="35"/>
        <v>-3584</v>
      </c>
      <c r="Z158" s="175">
        <f>SHL!Z158+SPA!Z158</f>
        <v>186805</v>
      </c>
      <c r="AA158" s="108">
        <f t="shared" si="34"/>
        <v>-6781</v>
      </c>
      <c r="AB158" s="547">
        <f>SPA!AB158+SHL!AB158</f>
        <v>186805</v>
      </c>
      <c r="BN158" s="4">
        <v>1995</v>
      </c>
      <c r="BO158" s="4">
        <v>10</v>
      </c>
    </row>
    <row r="159" spans="1:72">
      <c r="A159" s="4">
        <v>1995</v>
      </c>
      <c r="B159" s="4">
        <v>11</v>
      </c>
      <c r="C159" s="108">
        <f>SHL!C159+SPA!C159</f>
        <v>185124</v>
      </c>
      <c r="D159" s="108">
        <f>SHL!D159+SPA!D159</f>
        <v>18110</v>
      </c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>
        <f t="shared" si="35"/>
        <v>15756</v>
      </c>
      <c r="Z159" s="175">
        <f>SHL!Z159+SPA!Z159</f>
        <v>183030</v>
      </c>
      <c r="AA159" s="108">
        <f t="shared" si="34"/>
        <v>-2094</v>
      </c>
      <c r="AB159" s="547">
        <f>SPA!AB159+SHL!AB159</f>
        <v>183030</v>
      </c>
      <c r="BN159" s="4">
        <v>1995</v>
      </c>
      <c r="BO159" s="4">
        <v>11</v>
      </c>
    </row>
    <row r="160" spans="1:72" s="89" customFormat="1">
      <c r="A160" s="89">
        <v>1995</v>
      </c>
      <c r="B160" s="89">
        <v>12</v>
      </c>
      <c r="C160" s="117">
        <f>SHL!C160+SPA!C160</f>
        <v>156637</v>
      </c>
      <c r="D160" s="117">
        <f>SHL!D160+SPA!D160</f>
        <v>17683</v>
      </c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>
        <f t="shared" si="35"/>
        <v>2650</v>
      </c>
      <c r="Z160" s="176">
        <f>SHL!Z160+SPA!Z160</f>
        <v>159974</v>
      </c>
      <c r="AA160" s="117">
        <f t="shared" si="34"/>
        <v>3337</v>
      </c>
      <c r="AB160" s="548">
        <f>SPA!AB160+SHL!AB160</f>
        <v>159974</v>
      </c>
      <c r="BN160" s="89">
        <v>1995</v>
      </c>
      <c r="BO160" s="89">
        <v>12</v>
      </c>
      <c r="BT160" s="96"/>
    </row>
    <row r="161" spans="1:75">
      <c r="A161" s="4">
        <v>1996</v>
      </c>
      <c r="B161" s="4">
        <v>1</v>
      </c>
      <c r="C161" s="108">
        <f>SHL!C161+SPA!C161</f>
        <v>150141</v>
      </c>
      <c r="D161" s="108">
        <f>SHL!D161+SPA!D161</f>
        <v>17729</v>
      </c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>
        <f t="shared" si="35"/>
        <v>1027</v>
      </c>
      <c r="Z161" s="175">
        <f>SHL!Z161+SPA!Z161</f>
        <v>148801</v>
      </c>
      <c r="AA161" s="108">
        <f t="shared" si="34"/>
        <v>-1340</v>
      </c>
      <c r="AB161" s="547">
        <f>SPA!AB161+SHL!AB161</f>
        <v>148801</v>
      </c>
      <c r="BN161" s="4">
        <v>1996</v>
      </c>
      <c r="BO161" s="4">
        <v>1</v>
      </c>
    </row>
    <row r="162" spans="1:75">
      <c r="A162" s="4">
        <v>1996</v>
      </c>
      <c r="B162" s="4">
        <v>2</v>
      </c>
      <c r="C162" s="108">
        <f>SHL!C162+SPA!C162</f>
        <v>166686</v>
      </c>
      <c r="D162" s="108">
        <f>SHL!D162+SPA!D162</f>
        <v>17891</v>
      </c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>
        <f t="shared" si="35"/>
        <v>16926</v>
      </c>
      <c r="Z162" s="175">
        <f>SHL!Z162+SPA!Z162</f>
        <v>164674</v>
      </c>
      <c r="AA162" s="108">
        <f t="shared" si="34"/>
        <v>-2012</v>
      </c>
      <c r="AB162" s="547">
        <f>SPA!AB162+SHL!AB162</f>
        <v>164674</v>
      </c>
      <c r="BN162" s="4">
        <v>1996</v>
      </c>
      <c r="BO162" s="4">
        <v>2</v>
      </c>
    </row>
    <row r="163" spans="1:75">
      <c r="A163" s="4">
        <v>1996</v>
      </c>
      <c r="B163" s="4">
        <v>3</v>
      </c>
      <c r="C163" s="108">
        <f>SHL!C163+SPA!C163</f>
        <v>164003</v>
      </c>
      <c r="D163" s="108">
        <f>SHL!D163+SPA!D163</f>
        <v>17923</v>
      </c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>
        <f t="shared" si="35"/>
        <v>10600</v>
      </c>
      <c r="Z163" s="175">
        <f>SHL!Z163+SPA!Z163</f>
        <v>163585</v>
      </c>
      <c r="AA163" s="108">
        <f t="shared" si="34"/>
        <v>-418</v>
      </c>
      <c r="AB163" s="547">
        <f>SPA!AB163+SHL!AB163</f>
        <v>163585</v>
      </c>
      <c r="BN163" s="4">
        <v>1996</v>
      </c>
      <c r="BO163" s="4">
        <v>3</v>
      </c>
    </row>
    <row r="164" spans="1:75">
      <c r="A164" s="4">
        <v>1996</v>
      </c>
      <c r="B164" s="4">
        <v>4</v>
      </c>
      <c r="C164" s="108">
        <f>SHL!C164+SPA!C164</f>
        <v>170257</v>
      </c>
      <c r="D164" s="108">
        <f>SHL!D164+SPA!D164</f>
        <v>17954</v>
      </c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>
        <f t="shared" si="35"/>
        <v>6329</v>
      </c>
      <c r="Z164" s="175">
        <f>SHL!Z164+SPA!Z164</f>
        <v>176180</v>
      </c>
      <c r="AA164" s="108">
        <f t="shared" si="34"/>
        <v>5923</v>
      </c>
      <c r="AB164" s="547">
        <f>SPA!AB164+SHL!AB164</f>
        <v>176180</v>
      </c>
      <c r="BN164" s="4">
        <v>1996</v>
      </c>
      <c r="BO164" s="4">
        <v>4</v>
      </c>
    </row>
    <row r="165" spans="1:75">
      <c r="A165" s="4">
        <v>1996</v>
      </c>
      <c r="B165" s="4">
        <v>5</v>
      </c>
      <c r="C165" s="108">
        <f>SHL!C165+SPA!C165</f>
        <v>182338</v>
      </c>
      <c r="D165" s="108">
        <f>SHL!D165+SPA!D165</f>
        <v>17542</v>
      </c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>
        <f t="shared" si="35"/>
        <v>14824</v>
      </c>
      <c r="Z165" s="175">
        <f>SHL!Z165+SPA!Z165</f>
        <v>179153</v>
      </c>
      <c r="AA165" s="108">
        <f t="shared" si="34"/>
        <v>-3185</v>
      </c>
      <c r="AB165" s="547">
        <f>SPA!AB165+SHL!AB165</f>
        <v>179153</v>
      </c>
      <c r="BN165" s="4">
        <v>1996</v>
      </c>
      <c r="BO165" s="4">
        <v>5</v>
      </c>
    </row>
    <row r="166" spans="1:75">
      <c r="A166" s="4">
        <v>1996</v>
      </c>
      <c r="B166" s="4">
        <v>6</v>
      </c>
      <c r="C166" s="108">
        <f>SHL!C166+SPA!C166</f>
        <v>205570</v>
      </c>
      <c r="D166" s="108">
        <f>SHL!D166+SPA!D166</f>
        <v>18255</v>
      </c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>
        <f t="shared" si="35"/>
        <v>15122</v>
      </c>
      <c r="Z166" s="175">
        <f>SHL!Z166+SPA!Z166</f>
        <v>202269</v>
      </c>
      <c r="AA166" s="108">
        <f t="shared" si="34"/>
        <v>-3301</v>
      </c>
      <c r="AB166" s="547">
        <f>SPA!AB166+SHL!AB166</f>
        <v>202269</v>
      </c>
      <c r="BN166" s="4">
        <v>1996</v>
      </c>
      <c r="BO166" s="4">
        <v>6</v>
      </c>
    </row>
    <row r="167" spans="1:75">
      <c r="A167" s="4">
        <v>1996</v>
      </c>
      <c r="B167" s="4">
        <v>7</v>
      </c>
      <c r="C167" s="108">
        <f>SHL!C167+SPA!C167</f>
        <v>190212</v>
      </c>
      <c r="D167" s="108">
        <f>SHL!D167+SPA!D167</f>
        <v>17543</v>
      </c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>
        <f t="shared" si="35"/>
        <v>13457</v>
      </c>
      <c r="Z167" s="175">
        <f>SHL!Z167+SPA!Z167</f>
        <v>192756</v>
      </c>
      <c r="AA167" s="108">
        <f t="shared" si="34"/>
        <v>2544</v>
      </c>
      <c r="AB167" s="547">
        <f>SPA!AB167+SHL!AB167</f>
        <v>192756</v>
      </c>
      <c r="BN167" s="4">
        <v>1996</v>
      </c>
      <c r="BO167" s="4">
        <v>7</v>
      </c>
    </row>
    <row r="168" spans="1:75">
      <c r="A168" s="4">
        <v>1996</v>
      </c>
      <c r="B168" s="4">
        <v>8</v>
      </c>
      <c r="C168" s="108">
        <f>SHL!C168+SPA!C168</f>
        <v>205306</v>
      </c>
      <c r="D168" s="108">
        <f>SHL!D168+SPA!D168</f>
        <v>18338</v>
      </c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>
        <f t="shared" si="35"/>
        <v>17924</v>
      </c>
      <c r="Z168" s="175">
        <f>SHL!Z168+SPA!Z168</f>
        <v>202510</v>
      </c>
      <c r="AA168" s="108">
        <f t="shared" si="34"/>
        <v>-2796</v>
      </c>
      <c r="AB168" s="547">
        <f>SPA!AB168+SHL!AB168</f>
        <v>202510</v>
      </c>
      <c r="BN168" s="4">
        <v>1996</v>
      </c>
      <c r="BO168" s="4">
        <v>8</v>
      </c>
    </row>
    <row r="169" spans="1:75">
      <c r="A169" s="4">
        <v>1996</v>
      </c>
      <c r="B169" s="4">
        <v>9</v>
      </c>
      <c r="C169" s="108">
        <f>SHL!C169+SPA!C169</f>
        <v>207284</v>
      </c>
      <c r="D169" s="108">
        <f>SHL!D169+SPA!D169</f>
        <v>18189</v>
      </c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>
        <f t="shared" si="35"/>
        <v>-2780</v>
      </c>
      <c r="Z169" s="175">
        <f>SHL!Z169+SPA!Z169</f>
        <v>212001</v>
      </c>
      <c r="AA169" s="108">
        <f t="shared" si="34"/>
        <v>4717</v>
      </c>
      <c r="AB169" s="547">
        <f>SPA!AB169+SHL!AB169</f>
        <v>212001</v>
      </c>
      <c r="BN169" s="4">
        <v>1996</v>
      </c>
      <c r="BO169" s="4">
        <v>9</v>
      </c>
    </row>
    <row r="170" spans="1:75">
      <c r="A170" s="4">
        <v>1996</v>
      </c>
      <c r="B170" s="4">
        <v>10</v>
      </c>
      <c r="C170" s="108">
        <f>SHL!C170+SPA!C170</f>
        <v>211943</v>
      </c>
      <c r="D170" s="108">
        <f>SHL!D170+SPA!D170</f>
        <v>17996</v>
      </c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>
        <f t="shared" si="35"/>
        <v>32543</v>
      </c>
      <c r="Z170" s="175">
        <f>SHL!Z170+SPA!Z170</f>
        <v>219348</v>
      </c>
      <c r="AA170" s="108">
        <f t="shared" si="34"/>
        <v>7405</v>
      </c>
      <c r="AB170" s="547">
        <f>SPA!AB170+SHL!AB170</f>
        <v>219348</v>
      </c>
      <c r="BN170" s="4">
        <v>1996</v>
      </c>
      <c r="BO170" s="4">
        <v>10</v>
      </c>
      <c r="BW170" s="13"/>
    </row>
    <row r="171" spans="1:75">
      <c r="A171" s="4">
        <v>1996</v>
      </c>
      <c r="B171" s="4">
        <v>11</v>
      </c>
      <c r="C171" s="108">
        <f>SHL!C171+SPA!C171</f>
        <v>196216</v>
      </c>
      <c r="D171" s="108">
        <f>SHL!D171+SPA!D171</f>
        <v>18534</v>
      </c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>
        <f t="shared" si="35"/>
        <v>13877</v>
      </c>
      <c r="Z171" s="175">
        <f>SHL!Z171+SPA!Z171</f>
        <v>196907</v>
      </c>
      <c r="AA171" s="108">
        <f t="shared" si="34"/>
        <v>691</v>
      </c>
      <c r="AB171" s="547">
        <f>SPA!AB171+SHL!AB171</f>
        <v>196907</v>
      </c>
      <c r="BN171" s="4">
        <v>1996</v>
      </c>
      <c r="BO171" s="4">
        <v>11</v>
      </c>
      <c r="BW171" s="4" t="s">
        <v>39</v>
      </c>
    </row>
    <row r="172" spans="1:75" s="89" customFormat="1">
      <c r="A172" s="89">
        <v>1996</v>
      </c>
      <c r="B172" s="89">
        <v>12</v>
      </c>
      <c r="C172" s="117">
        <f>SHL!C172+SPA!C172</f>
        <v>181758</v>
      </c>
      <c r="D172" s="117">
        <f>SHL!D172+SPA!D172</f>
        <v>18324</v>
      </c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>
        <f t="shared" si="35"/>
        <v>24547</v>
      </c>
      <c r="Z172" s="176">
        <f>SHL!Z172+SPA!Z172</f>
        <v>184521</v>
      </c>
      <c r="AA172" s="117">
        <f t="shared" si="34"/>
        <v>2763</v>
      </c>
      <c r="AB172" s="548">
        <f>SPA!AB172+SHL!AB172</f>
        <v>184521</v>
      </c>
      <c r="BN172" s="89">
        <v>1996</v>
      </c>
      <c r="BO172" s="89">
        <v>12</v>
      </c>
      <c r="BT172" s="96"/>
      <c r="BW172" s="90" t="s">
        <v>40</v>
      </c>
    </row>
    <row r="173" spans="1:75">
      <c r="A173" s="23">
        <v>1997</v>
      </c>
      <c r="B173" s="4">
        <v>1</v>
      </c>
      <c r="C173" s="108">
        <f>SHL!C173+SPA!C173</f>
        <v>168994</v>
      </c>
      <c r="D173" s="108">
        <f>SHL!D173+SPA!D173</f>
        <v>18174</v>
      </c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>
        <f t="shared" si="35"/>
        <v>20459</v>
      </c>
      <c r="Z173" s="175">
        <f>SHL!Z173+SPA!Z173</f>
        <v>169260</v>
      </c>
      <c r="AA173" s="108">
        <f t="shared" si="34"/>
        <v>266</v>
      </c>
      <c r="AB173" s="547">
        <f>SPA!AB173+SHL!AB173</f>
        <v>169260</v>
      </c>
      <c r="BN173" s="23">
        <v>1997</v>
      </c>
      <c r="BO173" s="4">
        <v>1</v>
      </c>
      <c r="BP173" s="108">
        <f>SHL!BP173+SPA!BP173</f>
        <v>149005.07642568875</v>
      </c>
      <c r="BQ173" s="108"/>
      <c r="BR173" s="108"/>
      <c r="BS173" s="108"/>
      <c r="BT173" s="175">
        <f>SHL!BT173+SPA!BT173</f>
        <v>147532.07642568875</v>
      </c>
      <c r="BU173" s="108"/>
      <c r="BV173" s="108"/>
      <c r="BW173" s="108">
        <f t="shared" ref="BW173:BW236" si="36">BT173-BP173</f>
        <v>-1473</v>
      </c>
    </row>
    <row r="174" spans="1:75">
      <c r="A174" s="23">
        <v>1997</v>
      </c>
      <c r="B174" s="4">
        <v>2</v>
      </c>
      <c r="C174" s="108">
        <f>SHL!C174+SPA!C174</f>
        <v>170878</v>
      </c>
      <c r="D174" s="108">
        <f>SHL!D174+SPA!D174</f>
        <v>18280</v>
      </c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>
        <f t="shared" si="35"/>
        <v>4947</v>
      </c>
      <c r="Z174" s="175">
        <f>SHL!Z174+SPA!Z174</f>
        <v>169621</v>
      </c>
      <c r="AA174" s="108">
        <f t="shared" si="34"/>
        <v>-1257</v>
      </c>
      <c r="AB174" s="547">
        <f>SPA!AB174+SHL!AB174</f>
        <v>169621</v>
      </c>
      <c r="BN174" s="23">
        <v>1997</v>
      </c>
      <c r="BO174" s="4">
        <v>2</v>
      </c>
      <c r="BP174" s="108">
        <f>SHL!BP174+SPA!BP174</f>
        <v>164373.57504173237</v>
      </c>
      <c r="BQ174" s="108"/>
      <c r="BR174" s="108"/>
      <c r="BS174" s="108"/>
      <c r="BT174" s="175">
        <f>SHL!BT174+SPA!BT174</f>
        <v>160565.57504173237</v>
      </c>
      <c r="BU174" s="108"/>
      <c r="BV174" s="108"/>
      <c r="BW174" s="108">
        <f t="shared" si="36"/>
        <v>-3808</v>
      </c>
    </row>
    <row r="175" spans="1:75">
      <c r="A175" s="23">
        <v>1997</v>
      </c>
      <c r="B175" s="4">
        <v>3</v>
      </c>
      <c r="C175" s="108">
        <f>SHL!C175+SPA!C175</f>
        <v>177529</v>
      </c>
      <c r="D175" s="108">
        <f>SHL!D175+SPA!D175</f>
        <v>18456</v>
      </c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>
        <f t="shared" si="35"/>
        <v>5046</v>
      </c>
      <c r="Z175" s="175">
        <f>SHL!Z175+SPA!Z175</f>
        <v>168631</v>
      </c>
      <c r="AA175" s="108">
        <f t="shared" si="34"/>
        <v>-8898</v>
      </c>
      <c r="AB175" s="547">
        <f>SPA!AB175+SHL!AB175</f>
        <v>168631</v>
      </c>
      <c r="BN175" s="23">
        <v>1997</v>
      </c>
      <c r="BO175" s="4">
        <v>3</v>
      </c>
      <c r="BP175" s="108">
        <f>SHL!BP175+SPA!BP175</f>
        <v>197139.98323625227</v>
      </c>
      <c r="BQ175" s="108"/>
      <c r="BR175" s="108"/>
      <c r="BS175" s="108"/>
      <c r="BT175" s="175">
        <f>SHL!BT175+SPA!BT175</f>
        <v>186575.98323625227</v>
      </c>
      <c r="BU175" s="108"/>
      <c r="BV175" s="108"/>
      <c r="BW175" s="108">
        <f t="shared" si="36"/>
        <v>-10564</v>
      </c>
    </row>
    <row r="176" spans="1:75">
      <c r="A176" s="23">
        <v>1997</v>
      </c>
      <c r="B176" s="4">
        <v>4</v>
      </c>
      <c r="C176" s="108">
        <f>SHL!C176+SPA!C176</f>
        <v>184422</v>
      </c>
      <c r="D176" s="108">
        <f>SHL!D176+SPA!D176</f>
        <v>18382</v>
      </c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>
        <f t="shared" si="35"/>
        <v>6232</v>
      </c>
      <c r="Z176" s="175">
        <f>SHL!Z176+SPA!Z176</f>
        <v>182412</v>
      </c>
      <c r="AA176" s="108">
        <f t="shared" si="34"/>
        <v>-2010</v>
      </c>
      <c r="AB176" s="547">
        <f>SPA!AB176+SHL!AB176</f>
        <v>182412</v>
      </c>
      <c r="BN176" s="23">
        <v>1997</v>
      </c>
      <c r="BO176" s="4">
        <v>4</v>
      </c>
      <c r="BP176" s="108">
        <f>SHL!BP176+SPA!BP176</f>
        <v>176954.70765466665</v>
      </c>
      <c r="BQ176" s="108"/>
      <c r="BR176" s="108"/>
      <c r="BS176" s="108"/>
      <c r="BT176" s="175">
        <f>SHL!BT176+SPA!BT176</f>
        <v>184883.70765466665</v>
      </c>
      <c r="BU176" s="108"/>
      <c r="BV176" s="108"/>
      <c r="BW176" s="108">
        <f t="shared" si="36"/>
        <v>7929</v>
      </c>
    </row>
    <row r="177" spans="1:75">
      <c r="A177" s="23">
        <v>1997</v>
      </c>
      <c r="B177" s="4">
        <v>5</v>
      </c>
      <c r="C177" s="108">
        <f>SHL!C177+SPA!C177</f>
        <v>183627</v>
      </c>
      <c r="D177" s="108">
        <f>SHL!D177+SPA!D177</f>
        <v>18641</v>
      </c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>
        <f t="shared" si="35"/>
        <v>12312</v>
      </c>
      <c r="Z177" s="175">
        <f>SHL!Z177+SPA!Z177</f>
        <v>191465</v>
      </c>
      <c r="AA177" s="108">
        <f t="shared" si="34"/>
        <v>7838</v>
      </c>
      <c r="AB177" s="547">
        <f>SPA!AB177+SHL!AB177</f>
        <v>191465</v>
      </c>
      <c r="BN177" s="23">
        <v>1997</v>
      </c>
      <c r="BO177" s="4">
        <v>5</v>
      </c>
      <c r="BP177" s="108">
        <f>SHL!BP177+SPA!BP177</f>
        <v>216084.59245441246</v>
      </c>
      <c r="BQ177" s="108"/>
      <c r="BR177" s="108"/>
      <c r="BS177" s="108"/>
      <c r="BT177" s="175">
        <f>SHL!BT177+SPA!BT177</f>
        <v>223984.59245441246</v>
      </c>
      <c r="BU177" s="108"/>
      <c r="BV177" s="108"/>
      <c r="BW177" s="108">
        <f t="shared" si="36"/>
        <v>7900</v>
      </c>
    </row>
    <row r="178" spans="1:75">
      <c r="A178" s="23">
        <v>1997</v>
      </c>
      <c r="B178" s="4">
        <v>6</v>
      </c>
      <c r="C178" s="108">
        <f>SHL!C178+SPA!C178</f>
        <v>201725</v>
      </c>
      <c r="D178" s="108">
        <f>SHL!D178+SPA!D178</f>
        <v>18515</v>
      </c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>
        <f t="shared" si="35"/>
        <v>9478</v>
      </c>
      <c r="Z178" s="175">
        <f>SHL!Z178+SPA!Z178</f>
        <v>211747</v>
      </c>
      <c r="AA178" s="108">
        <f t="shared" si="34"/>
        <v>10022</v>
      </c>
      <c r="AB178" s="547">
        <f>SPA!AB178+SHL!AB178</f>
        <v>211747</v>
      </c>
      <c r="BN178" s="23">
        <v>1997</v>
      </c>
      <c r="BO178" s="4">
        <v>6</v>
      </c>
      <c r="BP178" s="108">
        <f>SHL!BP178+SPA!BP178</f>
        <v>200603.27818258261</v>
      </c>
      <c r="BQ178" s="108"/>
      <c r="BR178" s="108"/>
      <c r="BS178" s="108"/>
      <c r="BT178" s="175">
        <f>SHL!BT178+SPA!BT178</f>
        <v>206408.27818258261</v>
      </c>
      <c r="BU178" s="108"/>
      <c r="BV178" s="108"/>
      <c r="BW178" s="108">
        <f t="shared" si="36"/>
        <v>5805</v>
      </c>
    </row>
    <row r="179" spans="1:75">
      <c r="A179" s="23">
        <v>1997</v>
      </c>
      <c r="B179" s="4">
        <v>7</v>
      </c>
      <c r="C179" s="108">
        <f>SHL!C179+SPA!C179</f>
        <v>200272</v>
      </c>
      <c r="D179" s="108">
        <f>SHL!D179+SPA!D179</f>
        <v>18362</v>
      </c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>
        <f t="shared" si="35"/>
        <v>8154</v>
      </c>
      <c r="Z179" s="175">
        <f>SHL!Z179+SPA!Z179</f>
        <v>200910</v>
      </c>
      <c r="AA179" s="108">
        <f t="shared" si="34"/>
        <v>638</v>
      </c>
      <c r="AB179" s="547">
        <f>SPA!AB179+SHL!AB179</f>
        <v>200910</v>
      </c>
      <c r="BN179" s="23">
        <v>1997</v>
      </c>
      <c r="BO179" s="4">
        <v>7</v>
      </c>
      <c r="BP179" s="108">
        <f>SHL!BP179+SPA!BP179</f>
        <v>189556.22209711489</v>
      </c>
      <c r="BQ179" s="108"/>
      <c r="BR179" s="108"/>
      <c r="BS179" s="108"/>
      <c r="BT179" s="175">
        <f>SHL!BT179+SPA!BT179</f>
        <v>190129.22209711489</v>
      </c>
      <c r="BU179" s="108"/>
      <c r="BV179" s="108"/>
      <c r="BW179" s="108">
        <f t="shared" si="36"/>
        <v>573</v>
      </c>
    </row>
    <row r="180" spans="1:75">
      <c r="A180" s="23">
        <v>1997</v>
      </c>
      <c r="B180" s="4">
        <v>8</v>
      </c>
      <c r="C180" s="108">
        <f>SHL!C180+SPA!C180</f>
        <v>206062</v>
      </c>
      <c r="D180" s="108">
        <f>SHL!D180+SPA!D180</f>
        <v>18754</v>
      </c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>
        <f t="shared" si="35"/>
        <v>7425</v>
      </c>
      <c r="Z180" s="175">
        <f>SHL!Z180+SPA!Z180</f>
        <v>209935</v>
      </c>
      <c r="AA180" s="108">
        <f t="shared" si="34"/>
        <v>3873</v>
      </c>
      <c r="AB180" s="547">
        <f>SPA!AB180+SHL!AB180</f>
        <v>209935</v>
      </c>
      <c r="BN180" s="23">
        <v>1997</v>
      </c>
      <c r="BO180" s="4">
        <v>8</v>
      </c>
      <c r="BP180" s="108">
        <f>SHL!BP180+SPA!BP180</f>
        <v>221863.461403714</v>
      </c>
      <c r="BQ180" s="108"/>
      <c r="BR180" s="108"/>
      <c r="BS180" s="108"/>
      <c r="BT180" s="175">
        <f>SHL!BT180+SPA!BT180</f>
        <v>221244.461403714</v>
      </c>
      <c r="BU180" s="108"/>
      <c r="BV180" s="108"/>
      <c r="BW180" s="108">
        <f t="shared" si="36"/>
        <v>-619</v>
      </c>
    </row>
    <row r="181" spans="1:75">
      <c r="A181" s="23">
        <v>1997</v>
      </c>
      <c r="B181" s="4">
        <v>9</v>
      </c>
      <c r="C181" s="108">
        <f>SHL!C181+SPA!C181</f>
        <v>223495</v>
      </c>
      <c r="D181" s="108">
        <f>SHL!D181+SPA!D181</f>
        <v>18534</v>
      </c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>
        <f t="shared" si="35"/>
        <v>12361</v>
      </c>
      <c r="Z181" s="175">
        <f>SHL!Z181+SPA!Z181</f>
        <v>224362</v>
      </c>
      <c r="AA181" s="108">
        <f t="shared" si="34"/>
        <v>867</v>
      </c>
      <c r="AB181" s="547">
        <f>SPA!AB181+SHL!AB181</f>
        <v>224362</v>
      </c>
      <c r="BN181" s="23">
        <v>1997</v>
      </c>
      <c r="BO181" s="4">
        <v>9</v>
      </c>
      <c r="BP181" s="108">
        <f>SHL!BP181+SPA!BP181</f>
        <v>221874.86721275942</v>
      </c>
      <c r="BQ181" s="108"/>
      <c r="BR181" s="108"/>
      <c r="BS181" s="108"/>
      <c r="BT181" s="175">
        <f>SHL!BT181+SPA!BT181</f>
        <v>223016.86721275942</v>
      </c>
      <c r="BU181" s="108"/>
      <c r="BV181" s="108"/>
      <c r="BW181" s="108">
        <f t="shared" si="36"/>
        <v>1142</v>
      </c>
    </row>
    <row r="182" spans="1:75">
      <c r="A182" s="23">
        <v>1997</v>
      </c>
      <c r="B182" s="4">
        <v>10</v>
      </c>
      <c r="C182" s="108">
        <f>SHL!C182+SPA!C182</f>
        <v>224592</v>
      </c>
      <c r="D182" s="108">
        <f>SHL!D182+SPA!D182</f>
        <v>18617</v>
      </c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>
        <f t="shared" si="35"/>
        <v>1081</v>
      </c>
      <c r="Z182" s="175">
        <f>SHL!Z182+SPA!Z182</f>
        <v>220429</v>
      </c>
      <c r="AA182" s="108">
        <f t="shared" si="34"/>
        <v>-4163</v>
      </c>
      <c r="AB182" s="547">
        <f>SPA!AB182+SHL!AB182</f>
        <v>220429</v>
      </c>
      <c r="BN182" s="23">
        <v>1997</v>
      </c>
      <c r="BO182" s="4">
        <v>10</v>
      </c>
      <c r="BP182" s="108">
        <f>SHL!BP182+SPA!BP182</f>
        <v>204379.05179959245</v>
      </c>
      <c r="BQ182" s="108"/>
      <c r="BR182" s="108"/>
      <c r="BS182" s="108"/>
      <c r="BT182" s="175">
        <f>SHL!BT182+SPA!BT182</f>
        <v>209765.05179959245</v>
      </c>
      <c r="BU182" s="108"/>
      <c r="BV182" s="108"/>
      <c r="BW182" s="108">
        <f t="shared" si="36"/>
        <v>5386</v>
      </c>
    </row>
    <row r="183" spans="1:75">
      <c r="A183" s="23">
        <v>1997</v>
      </c>
      <c r="B183" s="4">
        <v>11</v>
      </c>
      <c r="C183" s="108">
        <f>SHL!C183+SPA!C183</f>
        <v>198818</v>
      </c>
      <c r="D183" s="108">
        <f>SHL!D183+SPA!D183</f>
        <v>19131</v>
      </c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>
        <f t="shared" si="35"/>
        <v>9949</v>
      </c>
      <c r="Z183" s="175">
        <f>SHL!Z183+SPA!Z183</f>
        <v>206856</v>
      </c>
      <c r="AA183" s="108">
        <f t="shared" si="34"/>
        <v>8038</v>
      </c>
      <c r="AB183" s="547">
        <f>SPA!AB183+SHL!AB183</f>
        <v>206856</v>
      </c>
      <c r="BN183" s="23">
        <v>1997</v>
      </c>
      <c r="BO183" s="4">
        <v>11</v>
      </c>
      <c r="BP183" s="108">
        <f>SHL!BP183+SPA!BP183</f>
        <v>194283.87668513029</v>
      </c>
      <c r="BQ183" s="108"/>
      <c r="BR183" s="108"/>
      <c r="BS183" s="108"/>
      <c r="BT183" s="175">
        <f>SHL!BT183+SPA!BT183</f>
        <v>199385.87668513029</v>
      </c>
      <c r="BU183" s="108"/>
      <c r="BV183" s="108"/>
      <c r="BW183" s="108">
        <f t="shared" si="36"/>
        <v>5102</v>
      </c>
    </row>
    <row r="184" spans="1:75" s="89" customFormat="1">
      <c r="A184" s="89">
        <v>1997</v>
      </c>
      <c r="B184" s="89">
        <v>12</v>
      </c>
      <c r="C184" s="117">
        <f>SHL!C184+SPA!C184</f>
        <v>184975</v>
      </c>
      <c r="D184" s="117">
        <f>SHL!D184+SPA!D184</f>
        <v>18718</v>
      </c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>
        <f t="shared" si="35"/>
        <v>4101</v>
      </c>
      <c r="Z184" s="176">
        <f>SHL!Z184+SPA!Z184</f>
        <v>188622</v>
      </c>
      <c r="AA184" s="117">
        <f t="shared" si="34"/>
        <v>3647</v>
      </c>
      <c r="AB184" s="548">
        <f>SPA!AB184+SHL!AB184</f>
        <v>188622</v>
      </c>
      <c r="BN184" s="89">
        <v>1997</v>
      </c>
      <c r="BO184" s="89">
        <v>12</v>
      </c>
      <c r="BP184" s="117">
        <f>SHL!BP184+SPA!BP184</f>
        <v>189525.30577977744</v>
      </c>
      <c r="BQ184" s="117"/>
      <c r="BR184" s="117"/>
      <c r="BS184" s="117"/>
      <c r="BT184" s="176">
        <f>SHL!BT184+SPA!BT184</f>
        <v>189986.30577977744</v>
      </c>
      <c r="BU184" s="117"/>
      <c r="BV184" s="117"/>
      <c r="BW184" s="117">
        <f t="shared" si="36"/>
        <v>461</v>
      </c>
    </row>
    <row r="185" spans="1:75">
      <c r="A185" s="4">
        <v>1998</v>
      </c>
      <c r="B185" s="4">
        <v>1</v>
      </c>
      <c r="C185" s="108">
        <f>SHL!C185+SPA!C185</f>
        <v>177084</v>
      </c>
      <c r="D185" s="108">
        <f>SHL!D185+SPA!D185</f>
        <v>18640</v>
      </c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>
        <f t="shared" si="35"/>
        <v>8568</v>
      </c>
      <c r="Z185" s="175">
        <f>SHL!Z185+SPA!Z185</f>
        <v>177828</v>
      </c>
      <c r="AA185" s="108">
        <f t="shared" si="34"/>
        <v>744</v>
      </c>
      <c r="AB185" s="547">
        <f>SPA!AB185+SHL!AB185</f>
        <v>177828</v>
      </c>
      <c r="BN185" s="4">
        <v>1998</v>
      </c>
      <c r="BO185" s="4">
        <v>1</v>
      </c>
      <c r="BP185" s="108">
        <f>SHL!BP185+SPA!BP185</f>
        <v>154553.06933393778</v>
      </c>
      <c r="BQ185" s="108"/>
      <c r="BR185" s="108"/>
      <c r="BS185" s="108"/>
      <c r="BT185" s="175">
        <f>SHL!BT185+SPA!BT185</f>
        <v>155846.06933393778</v>
      </c>
      <c r="BU185" s="108">
        <f t="shared" ref="BU185:BU248" si="37">BT185-BT173</f>
        <v>8313.9929082490271</v>
      </c>
      <c r="BV185" s="108"/>
      <c r="BW185" s="108">
        <f t="shared" si="36"/>
        <v>1293</v>
      </c>
    </row>
    <row r="186" spans="1:75">
      <c r="A186" s="4">
        <v>1998</v>
      </c>
      <c r="B186" s="4">
        <v>2</v>
      </c>
      <c r="C186" s="108">
        <f>SHL!C186+SPA!C186</f>
        <v>171066</v>
      </c>
      <c r="D186" s="108">
        <f>SHL!D186+SPA!D186</f>
        <v>18840</v>
      </c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>
        <f t="shared" si="35"/>
        <v>4081</v>
      </c>
      <c r="Z186" s="175">
        <f>SHL!Z186+SPA!Z186</f>
        <v>173702</v>
      </c>
      <c r="AA186" s="108">
        <f t="shared" si="34"/>
        <v>2636</v>
      </c>
      <c r="AB186" s="547">
        <f>SPA!AB186+SHL!AB186</f>
        <v>173702</v>
      </c>
      <c r="BN186" s="4">
        <v>1998</v>
      </c>
      <c r="BO186" s="4">
        <v>2</v>
      </c>
      <c r="BP186" s="108">
        <f>SHL!BP186+SPA!BP186</f>
        <v>171094.64804131456</v>
      </c>
      <c r="BQ186" s="108"/>
      <c r="BR186" s="108"/>
      <c r="BS186" s="108"/>
      <c r="BT186" s="175">
        <f>SHL!BT186+SPA!BT186</f>
        <v>174325.64804131456</v>
      </c>
      <c r="BU186" s="108">
        <f t="shared" si="37"/>
        <v>13760.072999582189</v>
      </c>
      <c r="BV186" s="108"/>
      <c r="BW186" s="108">
        <f t="shared" si="36"/>
        <v>3231</v>
      </c>
    </row>
    <row r="187" spans="1:75">
      <c r="A187" s="4">
        <v>1998</v>
      </c>
      <c r="B187" s="4">
        <v>3</v>
      </c>
      <c r="C187" s="108">
        <f>SHL!C187+SPA!C187</f>
        <v>181827</v>
      </c>
      <c r="D187" s="108">
        <f>SHL!D187+SPA!D187</f>
        <v>18694</v>
      </c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>
        <f t="shared" si="35"/>
        <v>16247</v>
      </c>
      <c r="Z187" s="175">
        <f>SHL!Z187+SPA!Z187</f>
        <v>184878</v>
      </c>
      <c r="AA187" s="108">
        <f t="shared" si="34"/>
        <v>3051</v>
      </c>
      <c r="AB187" s="547">
        <f>SPA!AB187+SHL!AB187</f>
        <v>184878</v>
      </c>
      <c r="BN187" s="4">
        <v>1998</v>
      </c>
      <c r="BO187" s="4">
        <v>3</v>
      </c>
      <c r="BP187" s="108">
        <f>SHL!BP187+SPA!BP187</f>
        <v>201403.41410389316</v>
      </c>
      <c r="BQ187" s="108"/>
      <c r="BR187" s="108"/>
      <c r="BS187" s="108"/>
      <c r="BT187" s="175">
        <f>SHL!BT187+SPA!BT187</f>
        <v>202445.41410389316</v>
      </c>
      <c r="BU187" s="108">
        <f t="shared" si="37"/>
        <v>15869.430867640884</v>
      </c>
      <c r="BV187" s="108"/>
      <c r="BW187" s="108">
        <f t="shared" si="36"/>
        <v>1042</v>
      </c>
    </row>
    <row r="188" spans="1:75">
      <c r="A188" s="4">
        <v>1998</v>
      </c>
      <c r="B188" s="4">
        <v>4</v>
      </c>
      <c r="C188" s="108">
        <f>SHL!C188+SPA!C188</f>
        <v>188812</v>
      </c>
      <c r="D188" s="108">
        <f>SHL!D188+SPA!D188</f>
        <v>19136</v>
      </c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>
        <f t="shared" si="35"/>
        <v>6444</v>
      </c>
      <c r="Z188" s="175">
        <f>SHL!Z188+SPA!Z188</f>
        <v>188856</v>
      </c>
      <c r="AA188" s="108">
        <f t="shared" si="34"/>
        <v>44</v>
      </c>
      <c r="AB188" s="547">
        <f>SPA!AB188+SHL!AB188</f>
        <v>188856</v>
      </c>
      <c r="BN188" s="4">
        <v>1998</v>
      </c>
      <c r="BO188" s="4">
        <v>4</v>
      </c>
      <c r="BP188" s="108">
        <f>SHL!BP188+SPA!BP188</f>
        <v>181686.68742510799</v>
      </c>
      <c r="BQ188" s="108"/>
      <c r="BR188" s="108"/>
      <c r="BS188" s="108"/>
      <c r="BT188" s="175">
        <f>SHL!BT188+SPA!BT188</f>
        <v>183800.68742510799</v>
      </c>
      <c r="BU188" s="108">
        <f t="shared" si="37"/>
        <v>-1083.0202295586641</v>
      </c>
      <c r="BV188" s="108"/>
      <c r="BW188" s="108">
        <f t="shared" si="36"/>
        <v>2114</v>
      </c>
    </row>
    <row r="189" spans="1:75">
      <c r="A189" s="4">
        <v>1998</v>
      </c>
      <c r="B189" s="4">
        <v>5</v>
      </c>
      <c r="C189" s="108">
        <f>SHL!C189+SPA!C189</f>
        <v>195148</v>
      </c>
      <c r="D189" s="108">
        <f>SHL!D189+SPA!D189</f>
        <v>18800</v>
      </c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>
        <f t="shared" si="35"/>
        <v>3340</v>
      </c>
      <c r="Z189" s="175">
        <f>SHL!Z189+SPA!Z189</f>
        <v>194805</v>
      </c>
      <c r="AA189" s="108">
        <f t="shared" si="34"/>
        <v>-343</v>
      </c>
      <c r="AB189" s="547">
        <f>SPA!AB189+SHL!AB189</f>
        <v>194805</v>
      </c>
      <c r="BN189" s="4">
        <v>1998</v>
      </c>
      <c r="BO189" s="4">
        <v>5</v>
      </c>
      <c r="BP189" s="108">
        <f>SHL!BP189+SPA!BP189</f>
        <v>229051.64799951322</v>
      </c>
      <c r="BQ189" s="108"/>
      <c r="BR189" s="108"/>
      <c r="BS189" s="108"/>
      <c r="BT189" s="175">
        <f>SHL!BT189+SPA!BT189</f>
        <v>224652.64799951322</v>
      </c>
      <c r="BU189" s="108">
        <f t="shared" si="37"/>
        <v>668.05554510076763</v>
      </c>
      <c r="BV189" s="108"/>
      <c r="BW189" s="108">
        <f t="shared" si="36"/>
        <v>-4399</v>
      </c>
    </row>
    <row r="190" spans="1:75">
      <c r="A190" s="4">
        <v>1998</v>
      </c>
      <c r="B190" s="4">
        <v>6</v>
      </c>
      <c r="C190" s="108">
        <f>SHL!C190+SPA!C190</f>
        <v>223907</v>
      </c>
      <c r="D190" s="108">
        <f>SHL!D190+SPA!D190</f>
        <v>18828</v>
      </c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>
        <f t="shared" si="35"/>
        <v>-2284</v>
      </c>
      <c r="Z190" s="175">
        <f>SHL!Z190+SPA!Z190</f>
        <v>209463</v>
      </c>
      <c r="AA190" s="108">
        <f t="shared" si="34"/>
        <v>-14444</v>
      </c>
      <c r="AB190" s="547">
        <f>SPA!AB190+SHL!AB190</f>
        <v>209463</v>
      </c>
      <c r="BN190" s="4">
        <v>1998</v>
      </c>
      <c r="BO190" s="4">
        <v>6</v>
      </c>
      <c r="BP190" s="108">
        <f>SHL!BP190+SPA!BP190</f>
        <v>232398.35161954651</v>
      </c>
      <c r="BQ190" s="108"/>
      <c r="BR190" s="108"/>
      <c r="BS190" s="108"/>
      <c r="BT190" s="175">
        <f>SHL!BT190+SPA!BT190</f>
        <v>206501.35161954651</v>
      </c>
      <c r="BU190" s="108">
        <f t="shared" si="37"/>
        <v>93.073436963895801</v>
      </c>
      <c r="BV190" s="108"/>
      <c r="BW190" s="108">
        <f t="shared" si="36"/>
        <v>-25897</v>
      </c>
    </row>
    <row r="191" spans="1:75">
      <c r="A191" s="4">
        <v>1998</v>
      </c>
      <c r="B191" s="4">
        <v>7</v>
      </c>
      <c r="C191" s="108">
        <f>SHL!C191+SPA!C191</f>
        <v>218355</v>
      </c>
      <c r="D191" s="108">
        <f>SHL!D191+SPA!D191</f>
        <v>18866</v>
      </c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>
        <f t="shared" si="35"/>
        <v>1448</v>
      </c>
      <c r="Z191" s="175">
        <f>SHL!Z191+SPA!Z191</f>
        <v>202358</v>
      </c>
      <c r="AA191" s="108">
        <f t="shared" si="34"/>
        <v>-15997</v>
      </c>
      <c r="AB191" s="547">
        <f>SPA!AB191+SHL!AB191</f>
        <v>202358</v>
      </c>
      <c r="BN191" s="4">
        <v>1998</v>
      </c>
      <c r="BO191" s="4">
        <v>7</v>
      </c>
      <c r="BP191" s="108">
        <f>SHL!BP191+SPA!BP191</f>
        <v>200716.54118981038</v>
      </c>
      <c r="BQ191" s="108"/>
      <c r="BR191" s="108"/>
      <c r="BS191" s="108"/>
      <c r="BT191" s="175">
        <f>SHL!BT191+SPA!BT191</f>
        <v>191045.54118981038</v>
      </c>
      <c r="BU191" s="108">
        <f t="shared" si="37"/>
        <v>916.31909269548487</v>
      </c>
      <c r="BV191" s="108"/>
      <c r="BW191" s="108">
        <f t="shared" si="36"/>
        <v>-9671</v>
      </c>
    </row>
    <row r="192" spans="1:75">
      <c r="A192" s="4">
        <v>1998</v>
      </c>
      <c r="B192" s="4">
        <v>8</v>
      </c>
      <c r="C192" s="108">
        <f>SHL!C192+SPA!C192</f>
        <v>231402</v>
      </c>
      <c r="D192" s="108">
        <f>SHL!D192+SPA!D192</f>
        <v>19468</v>
      </c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>
        <f t="shared" si="35"/>
        <v>14981</v>
      </c>
      <c r="Z192" s="175">
        <f>SHL!Z192+SPA!Z192</f>
        <v>224916</v>
      </c>
      <c r="AA192" s="108">
        <f t="shared" si="34"/>
        <v>-6486</v>
      </c>
      <c r="AB192" s="547">
        <f>SPA!AB192+SHL!AB192</f>
        <v>224916</v>
      </c>
      <c r="BN192" s="4">
        <v>1998</v>
      </c>
      <c r="BO192" s="4">
        <v>8</v>
      </c>
      <c r="BP192" s="108">
        <f>SHL!BP192+SPA!BP192</f>
        <v>246315.27494777547</v>
      </c>
      <c r="BQ192" s="108"/>
      <c r="BR192" s="108"/>
      <c r="BS192" s="108"/>
      <c r="BT192" s="175">
        <f>SHL!BT192+SPA!BT192</f>
        <v>239325.27494777547</v>
      </c>
      <c r="BU192" s="108">
        <f t="shared" si="37"/>
        <v>18080.813544061471</v>
      </c>
      <c r="BV192" s="108"/>
      <c r="BW192" s="108">
        <f t="shared" si="36"/>
        <v>-6990</v>
      </c>
    </row>
    <row r="193" spans="1:75">
      <c r="A193" s="4">
        <v>1998</v>
      </c>
      <c r="B193" s="4">
        <v>9</v>
      </c>
      <c r="C193" s="108">
        <f>SHL!C193+SPA!C193</f>
        <v>232851</v>
      </c>
      <c r="D193" s="108">
        <f>SHL!D193+SPA!D193</f>
        <v>18608</v>
      </c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>
        <f t="shared" si="35"/>
        <v>5739</v>
      </c>
      <c r="Z193" s="175">
        <f>SHL!Z193+SPA!Z193</f>
        <v>230101</v>
      </c>
      <c r="AA193" s="108">
        <f t="shared" si="34"/>
        <v>-2750</v>
      </c>
      <c r="AB193" s="547">
        <f>SPA!AB193+SHL!AB193</f>
        <v>230101</v>
      </c>
      <c r="BN193" s="4">
        <v>1998</v>
      </c>
      <c r="BO193" s="4">
        <v>9</v>
      </c>
      <c r="BP193" s="108">
        <f>SHL!BP193+SPA!BP193</f>
        <v>234492.96367982673</v>
      </c>
      <c r="BQ193" s="108"/>
      <c r="BR193" s="108"/>
      <c r="BS193" s="108"/>
      <c r="BT193" s="175">
        <f>SHL!BT193+SPA!BT193</f>
        <v>235684.96367982673</v>
      </c>
      <c r="BU193" s="108">
        <f t="shared" si="37"/>
        <v>12668.096467067313</v>
      </c>
      <c r="BV193" s="108"/>
      <c r="BW193" s="108">
        <f t="shared" si="36"/>
        <v>1192</v>
      </c>
    </row>
    <row r="194" spans="1:75">
      <c r="A194" s="4">
        <v>1998</v>
      </c>
      <c r="B194" s="4">
        <v>10</v>
      </c>
      <c r="C194" s="108">
        <f>SHL!C194+SPA!C194</f>
        <v>239178</v>
      </c>
      <c r="D194" s="108">
        <f>SHL!D194+SPA!D194</f>
        <v>19708</v>
      </c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>
        <f t="shared" si="35"/>
        <v>10075</v>
      </c>
      <c r="Z194" s="175">
        <f>SHL!Z194+SPA!Z194</f>
        <v>230504</v>
      </c>
      <c r="AA194" s="108">
        <f t="shared" si="34"/>
        <v>-8674</v>
      </c>
      <c r="AB194" s="547">
        <f>SPA!AB194+SHL!AB194</f>
        <v>230504</v>
      </c>
      <c r="BN194" s="4">
        <v>1998</v>
      </c>
      <c r="BO194" s="4">
        <v>10</v>
      </c>
      <c r="BP194" s="108">
        <f>SHL!BP194+SPA!BP194</f>
        <v>231939.31756503266</v>
      </c>
      <c r="BQ194" s="108"/>
      <c r="BR194" s="108"/>
      <c r="BS194" s="108"/>
      <c r="BT194" s="175">
        <f>SHL!BT194+SPA!BT194</f>
        <v>221709.31756503266</v>
      </c>
      <c r="BU194" s="108">
        <f t="shared" si="37"/>
        <v>11944.265765440214</v>
      </c>
      <c r="BV194" s="108"/>
      <c r="BW194" s="108">
        <f t="shared" si="36"/>
        <v>-10230</v>
      </c>
    </row>
    <row r="195" spans="1:75">
      <c r="A195" s="4">
        <v>1998</v>
      </c>
      <c r="B195" s="4">
        <v>11</v>
      </c>
      <c r="C195" s="108">
        <f>SHL!C195+SPA!C195</f>
        <v>215036</v>
      </c>
      <c r="D195" s="108">
        <f>SHL!D195+SPA!D195</f>
        <v>19322</v>
      </c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>
        <f t="shared" si="35"/>
        <v>2141</v>
      </c>
      <c r="Z195" s="175">
        <f>SHL!Z195+SPA!Z195</f>
        <v>208997</v>
      </c>
      <c r="AA195" s="108">
        <f t="shared" si="34"/>
        <v>-6039</v>
      </c>
      <c r="AB195" s="547">
        <f>SPA!AB195+SHL!AB195</f>
        <v>208997</v>
      </c>
      <c r="BN195" s="4">
        <v>1998</v>
      </c>
      <c r="BO195" s="4">
        <v>11</v>
      </c>
      <c r="BP195" s="108">
        <f>SHL!BP195+SPA!BP195</f>
        <v>207825.13658106077</v>
      </c>
      <c r="BQ195" s="108"/>
      <c r="BR195" s="108"/>
      <c r="BS195" s="108"/>
      <c r="BT195" s="175">
        <f>SHL!BT195+SPA!BT195</f>
        <v>198594.13658106077</v>
      </c>
      <c r="BU195" s="108">
        <f t="shared" si="37"/>
        <v>-791.74010406952584</v>
      </c>
      <c r="BV195" s="108"/>
      <c r="BW195" s="108">
        <f t="shared" si="36"/>
        <v>-9231</v>
      </c>
    </row>
    <row r="196" spans="1:75" s="89" customFormat="1">
      <c r="A196" s="89">
        <v>1998</v>
      </c>
      <c r="B196" s="89">
        <v>12</v>
      </c>
      <c r="C196" s="117">
        <f>SHL!C196+SPA!C196</f>
        <v>210938</v>
      </c>
      <c r="D196" s="117">
        <f>SHL!D196+SPA!D196</f>
        <v>19054</v>
      </c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>
        <f t="shared" si="35"/>
        <v>10928</v>
      </c>
      <c r="Z196" s="176">
        <f>SHL!Z196+SPA!Z196</f>
        <v>199550</v>
      </c>
      <c r="AA196" s="117">
        <f t="shared" si="34"/>
        <v>-11388</v>
      </c>
      <c r="AB196" s="548">
        <f>SPA!AB196+SHL!AB196</f>
        <v>199550</v>
      </c>
      <c r="BN196" s="89">
        <v>1998</v>
      </c>
      <c r="BO196" s="89">
        <v>12</v>
      </c>
      <c r="BP196" s="117">
        <f>SHL!BP196+SPA!BP196</f>
        <v>200845.21404315636</v>
      </c>
      <c r="BQ196" s="117"/>
      <c r="BR196" s="117"/>
      <c r="BS196" s="117"/>
      <c r="BT196" s="176">
        <f>SHL!BT196+SPA!BT196</f>
        <v>194582.21404315636</v>
      </c>
      <c r="BU196" s="117">
        <f t="shared" si="37"/>
        <v>4595.9082633789221</v>
      </c>
      <c r="BV196" s="117"/>
      <c r="BW196" s="117">
        <f t="shared" si="36"/>
        <v>-6263</v>
      </c>
    </row>
    <row r="197" spans="1:75">
      <c r="A197" s="4">
        <v>1999</v>
      </c>
      <c r="B197" s="4">
        <v>1</v>
      </c>
      <c r="C197" s="108">
        <f>SHL!C197+SPA!C197</f>
        <v>190259</v>
      </c>
      <c r="D197" s="108">
        <f>SHL!D197+SPA!D197</f>
        <v>19298</v>
      </c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>
        <f t="shared" si="35"/>
        <v>9701</v>
      </c>
      <c r="Z197" s="175">
        <f>SHL!Z197+SPA!Z197</f>
        <v>187529</v>
      </c>
      <c r="AA197" s="108">
        <f t="shared" si="34"/>
        <v>-2730</v>
      </c>
      <c r="AB197" s="547">
        <f>SPA!AB197+SHL!AB197</f>
        <v>187529</v>
      </c>
      <c r="BN197" s="4">
        <v>1999</v>
      </c>
      <c r="BO197" s="4">
        <v>1</v>
      </c>
      <c r="BP197" s="108">
        <f>SHL!BP197+SPA!BP197</f>
        <v>179688.19347590097</v>
      </c>
      <c r="BQ197" s="108"/>
      <c r="BR197" s="108"/>
      <c r="BS197" s="108"/>
      <c r="BT197" s="175">
        <f>SHL!BT197+SPA!BT197</f>
        <v>176650.19347590097</v>
      </c>
      <c r="BU197" s="108">
        <f t="shared" si="37"/>
        <v>20804.124141963199</v>
      </c>
      <c r="BV197" s="108"/>
      <c r="BW197" s="108">
        <f t="shared" si="36"/>
        <v>-3038</v>
      </c>
    </row>
    <row r="198" spans="1:75">
      <c r="A198" s="4">
        <v>1999</v>
      </c>
      <c r="B198" s="4">
        <v>2</v>
      </c>
      <c r="C198" s="108">
        <f>SHL!C198+SPA!C198</f>
        <v>182216</v>
      </c>
      <c r="D198" s="108">
        <f>SHL!D198+SPA!D198</f>
        <v>19351</v>
      </c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>
        <f t="shared" si="35"/>
        <v>6008</v>
      </c>
      <c r="Z198" s="175">
        <f>SHL!Z198+SPA!Z198</f>
        <v>179710</v>
      </c>
      <c r="AA198" s="108">
        <f t="shared" si="34"/>
        <v>-2506</v>
      </c>
      <c r="AB198" s="547">
        <f>SPA!AB198+SHL!AB198</f>
        <v>179710</v>
      </c>
      <c r="BN198" s="4">
        <v>1999</v>
      </c>
      <c r="BO198" s="4">
        <v>2</v>
      </c>
      <c r="BP198" s="108">
        <f>SHL!BP198+SPA!BP198</f>
        <v>187520.5384196738</v>
      </c>
      <c r="BQ198" s="108"/>
      <c r="BR198" s="108"/>
      <c r="BS198" s="108"/>
      <c r="BT198" s="175">
        <f>SHL!BT198+SPA!BT198</f>
        <v>187347.5384196738</v>
      </c>
      <c r="BU198" s="108">
        <f t="shared" si="37"/>
        <v>13021.89037835924</v>
      </c>
      <c r="BV198" s="108"/>
      <c r="BW198" s="108">
        <f t="shared" si="36"/>
        <v>-173</v>
      </c>
    </row>
    <row r="199" spans="1:75">
      <c r="A199" s="4">
        <v>1999</v>
      </c>
      <c r="B199" s="4">
        <v>3</v>
      </c>
      <c r="C199" s="108">
        <f>SHL!C199+SPA!C199</f>
        <v>187298</v>
      </c>
      <c r="D199" s="108">
        <f>SHL!D199+SPA!D199</f>
        <v>19251</v>
      </c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>
        <f t="shared" si="35"/>
        <v>4824</v>
      </c>
      <c r="Z199" s="175">
        <f>SHL!Z199+SPA!Z199</f>
        <v>189702</v>
      </c>
      <c r="AA199" s="108">
        <f t="shared" si="34"/>
        <v>2404</v>
      </c>
      <c r="AB199" s="547">
        <f>SPA!AB199+SHL!AB199</f>
        <v>189702</v>
      </c>
      <c r="BN199" s="4">
        <v>1999</v>
      </c>
      <c r="BO199" s="4">
        <v>3</v>
      </c>
      <c r="BP199" s="108">
        <f>SHL!BP199+SPA!BP199</f>
        <v>192011.4421044203</v>
      </c>
      <c r="BQ199" s="108"/>
      <c r="BR199" s="108"/>
      <c r="BS199" s="108"/>
      <c r="BT199" s="175">
        <f>SHL!BT199+SPA!BT199</f>
        <v>196048.4421044203</v>
      </c>
      <c r="BU199" s="108">
        <f t="shared" si="37"/>
        <v>-6396.9719994728512</v>
      </c>
      <c r="BV199" s="108"/>
      <c r="BW199" s="108">
        <f t="shared" si="36"/>
        <v>4037</v>
      </c>
    </row>
    <row r="200" spans="1:75">
      <c r="A200" s="4">
        <v>1999</v>
      </c>
      <c r="B200" s="4">
        <v>4</v>
      </c>
      <c r="C200" s="108">
        <f>SHL!C200+SPA!C200</f>
        <v>194571</v>
      </c>
      <c r="D200" s="108">
        <f>SHL!D200+SPA!D200</f>
        <v>19386</v>
      </c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>
        <f t="shared" si="35"/>
        <v>1909</v>
      </c>
      <c r="Z200" s="175">
        <f>SHL!Z200+SPA!Z200</f>
        <v>190765</v>
      </c>
      <c r="AA200" s="108">
        <f t="shared" si="34"/>
        <v>-3806</v>
      </c>
      <c r="AB200" s="547">
        <f>SPA!AB200+SHL!AB200</f>
        <v>190765</v>
      </c>
      <c r="BN200" s="4">
        <v>1999</v>
      </c>
      <c r="BO200" s="4">
        <v>4</v>
      </c>
      <c r="BP200" s="108">
        <f>SHL!BP200+SPA!BP200</f>
        <v>199837.58860546985</v>
      </c>
      <c r="BQ200" s="108"/>
      <c r="BR200" s="108"/>
      <c r="BS200" s="108"/>
      <c r="BT200" s="175">
        <f>SHL!BT200+SPA!BT200</f>
        <v>186383.58860546985</v>
      </c>
      <c r="BU200" s="108">
        <f t="shared" si="37"/>
        <v>2582.9011803618632</v>
      </c>
      <c r="BV200" s="108"/>
      <c r="BW200" s="108">
        <f t="shared" si="36"/>
        <v>-13454</v>
      </c>
    </row>
    <row r="201" spans="1:75">
      <c r="A201" s="4">
        <v>1999</v>
      </c>
      <c r="B201" s="4">
        <v>5</v>
      </c>
      <c r="C201" s="108">
        <f>SHL!C201+SPA!C201</f>
        <v>211842</v>
      </c>
      <c r="D201" s="108">
        <f>SHL!D201+SPA!D201</f>
        <v>19882</v>
      </c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>
        <f t="shared" si="35"/>
        <v>12595</v>
      </c>
      <c r="Z201" s="175">
        <f>SHL!Z201+SPA!Z201</f>
        <v>207400</v>
      </c>
      <c r="AA201" s="108">
        <f t="shared" si="34"/>
        <v>-4442</v>
      </c>
      <c r="AB201" s="547">
        <f>SPA!AB201+SHL!AB201</f>
        <v>207400</v>
      </c>
      <c r="BN201" s="4">
        <v>1999</v>
      </c>
      <c r="BO201" s="4">
        <v>5</v>
      </c>
      <c r="BP201" s="108">
        <f>SHL!BP201+SPA!BP201</f>
        <v>233660.90459372054</v>
      </c>
      <c r="BQ201" s="108"/>
      <c r="BR201" s="108"/>
      <c r="BS201" s="108"/>
      <c r="BT201" s="175">
        <f>SHL!BT201+SPA!BT201</f>
        <v>239250.90459372054</v>
      </c>
      <c r="BU201" s="108">
        <f t="shared" si="37"/>
        <v>14598.256594207312</v>
      </c>
      <c r="BV201" s="108"/>
      <c r="BW201" s="108">
        <f t="shared" si="36"/>
        <v>5590</v>
      </c>
    </row>
    <row r="202" spans="1:75">
      <c r="A202" s="4">
        <v>1999</v>
      </c>
      <c r="B202" s="4">
        <v>6</v>
      </c>
      <c r="C202" s="108">
        <f>SHL!C202+SPA!C202</f>
        <v>212265</v>
      </c>
      <c r="D202" s="108">
        <f>SHL!D202+SPA!D202</f>
        <v>19111</v>
      </c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>
        <f t="shared" si="35"/>
        <v>7353</v>
      </c>
      <c r="Z202" s="175">
        <f>SHL!Z202+SPA!Z202</f>
        <v>216816</v>
      </c>
      <c r="AA202" s="108">
        <f t="shared" si="34"/>
        <v>4551</v>
      </c>
      <c r="AB202" s="547">
        <f>SPA!AB202+SHL!AB202</f>
        <v>216816</v>
      </c>
      <c r="BN202" s="4">
        <v>1999</v>
      </c>
      <c r="BO202" s="4">
        <v>6</v>
      </c>
      <c r="BP202" s="108">
        <f>SHL!BP202+SPA!BP202</f>
        <v>206497.27380160399</v>
      </c>
      <c r="BQ202" s="108"/>
      <c r="BR202" s="108"/>
      <c r="BS202" s="108"/>
      <c r="BT202" s="175">
        <f>SHL!BT202+SPA!BT202</f>
        <v>210920.27380160399</v>
      </c>
      <c r="BU202" s="108">
        <f t="shared" si="37"/>
        <v>4418.9221820574894</v>
      </c>
      <c r="BV202" s="108"/>
      <c r="BW202" s="108">
        <f t="shared" si="36"/>
        <v>4423</v>
      </c>
    </row>
    <row r="203" spans="1:75">
      <c r="A203" s="4">
        <v>1999</v>
      </c>
      <c r="B203" s="4">
        <v>7</v>
      </c>
      <c r="C203" s="108">
        <f>SHL!C203+SPA!C203</f>
        <v>215952</v>
      </c>
      <c r="D203" s="108">
        <f>SHL!D203+SPA!D203</f>
        <v>19444</v>
      </c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>
        <f t="shared" si="35"/>
        <v>18521</v>
      </c>
      <c r="Z203" s="175">
        <f>SHL!Z203+SPA!Z203</f>
        <v>220879</v>
      </c>
      <c r="AA203" s="108">
        <f t="shared" si="34"/>
        <v>4927</v>
      </c>
      <c r="AB203" s="547">
        <f>SPA!AB203+SHL!AB203</f>
        <v>220879</v>
      </c>
      <c r="BN203" s="4">
        <v>1999</v>
      </c>
      <c r="BO203" s="4">
        <v>7</v>
      </c>
      <c r="BP203" s="108">
        <f>SHL!BP203+SPA!BP203</f>
        <v>227442.81623844441</v>
      </c>
      <c r="BQ203" s="108"/>
      <c r="BR203" s="108"/>
      <c r="BS203" s="108"/>
      <c r="BT203" s="175">
        <f>SHL!BT203+SPA!BT203</f>
        <v>223294.81623844441</v>
      </c>
      <c r="BU203" s="108">
        <f t="shared" si="37"/>
        <v>32249.275048634037</v>
      </c>
      <c r="BV203" s="108"/>
      <c r="BW203" s="108">
        <f t="shared" si="36"/>
        <v>-4148</v>
      </c>
    </row>
    <row r="204" spans="1:75">
      <c r="A204" s="4">
        <v>1999</v>
      </c>
      <c r="B204" s="4">
        <v>8</v>
      </c>
      <c r="C204" s="108">
        <f>SHL!C204+SPA!C204</f>
        <v>239764</v>
      </c>
      <c r="D204" s="108">
        <f>SHL!D204+SPA!D204</f>
        <v>19729</v>
      </c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>
        <f t="shared" si="35"/>
        <v>6162</v>
      </c>
      <c r="Z204" s="175">
        <f>SHL!Z204+SPA!Z204</f>
        <v>231078</v>
      </c>
      <c r="AA204" s="108">
        <f t="shared" si="34"/>
        <v>-8686</v>
      </c>
      <c r="AB204" s="547">
        <f>SPA!AB204+SHL!AB204</f>
        <v>231078</v>
      </c>
      <c r="BN204" s="4">
        <v>1999</v>
      </c>
      <c r="BO204" s="4">
        <v>8</v>
      </c>
      <c r="BP204" s="108">
        <f>SHL!BP204+SPA!BP204</f>
        <v>227638.72113871915</v>
      </c>
      <c r="BQ204" s="108"/>
      <c r="BR204" s="108"/>
      <c r="BS204" s="108"/>
      <c r="BT204" s="175">
        <f>SHL!BT204+SPA!BT204</f>
        <v>223238.72113871915</v>
      </c>
      <c r="BU204" s="108">
        <f t="shared" si="37"/>
        <v>-16086.55380905632</v>
      </c>
      <c r="BV204" s="108"/>
      <c r="BW204" s="108">
        <f t="shared" si="36"/>
        <v>-4400</v>
      </c>
    </row>
    <row r="205" spans="1:75">
      <c r="A205" s="4">
        <v>1999</v>
      </c>
      <c r="B205" s="4">
        <v>9</v>
      </c>
      <c r="C205" s="108">
        <f>SHL!C205+SPA!C205</f>
        <v>249094</v>
      </c>
      <c r="D205" s="108">
        <f>SHL!D205+SPA!D205</f>
        <v>19645</v>
      </c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>
        <f t="shared" si="35"/>
        <v>20502</v>
      </c>
      <c r="Z205" s="175">
        <f>SHL!Z205+SPA!Z205</f>
        <v>250603</v>
      </c>
      <c r="AA205" s="108">
        <f t="shared" si="34"/>
        <v>1509</v>
      </c>
      <c r="AB205" s="547">
        <f>SPA!AB205+SHL!AB205</f>
        <v>250603</v>
      </c>
      <c r="BN205" s="4">
        <v>1999</v>
      </c>
      <c r="BO205" s="4">
        <v>9</v>
      </c>
      <c r="BP205" s="108">
        <f>SHL!BP205+SPA!BP205</f>
        <v>246400.76488540351</v>
      </c>
      <c r="BQ205" s="108"/>
      <c r="BR205" s="108"/>
      <c r="BS205" s="108"/>
      <c r="BT205" s="175">
        <f>SHL!BT205+SPA!BT205</f>
        <v>253953.76488540351</v>
      </c>
      <c r="BU205" s="108">
        <f t="shared" si="37"/>
        <v>18268.801205576776</v>
      </c>
      <c r="BV205" s="108"/>
      <c r="BW205" s="108">
        <f t="shared" si="36"/>
        <v>7553</v>
      </c>
    </row>
    <row r="206" spans="1:75">
      <c r="A206" s="4">
        <v>1999</v>
      </c>
      <c r="B206" s="4">
        <v>10</v>
      </c>
      <c r="C206" s="108">
        <f>SHL!C206+SPA!C206</f>
        <v>233258</v>
      </c>
      <c r="D206" s="108">
        <f>SHL!D206+SPA!D206</f>
        <v>19695</v>
      </c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>
        <f t="shared" si="35"/>
        <v>5591</v>
      </c>
      <c r="Z206" s="175">
        <f>SHL!Z206+SPA!Z206</f>
        <v>236095</v>
      </c>
      <c r="AA206" s="108">
        <f t="shared" si="34"/>
        <v>2837</v>
      </c>
      <c r="AB206" s="547">
        <f>SPA!AB206+SHL!AB206</f>
        <v>236095</v>
      </c>
      <c r="BN206" s="4">
        <v>1999</v>
      </c>
      <c r="BO206" s="4">
        <v>10</v>
      </c>
      <c r="BP206" s="108">
        <f>SHL!BP206+SPA!BP206</f>
        <v>227088.14730130648</v>
      </c>
      <c r="BQ206" s="108"/>
      <c r="BR206" s="108"/>
      <c r="BS206" s="108"/>
      <c r="BT206" s="175">
        <f>SHL!BT206+SPA!BT206</f>
        <v>228383.14730130648</v>
      </c>
      <c r="BU206" s="108">
        <f t="shared" si="37"/>
        <v>6673.8297362738231</v>
      </c>
      <c r="BV206" s="108"/>
      <c r="BW206" s="108">
        <f t="shared" si="36"/>
        <v>1295</v>
      </c>
    </row>
    <row r="207" spans="1:75">
      <c r="A207" s="4">
        <v>1999</v>
      </c>
      <c r="B207" s="4">
        <v>11</v>
      </c>
      <c r="C207" s="108">
        <f>SHL!C207+SPA!C207</f>
        <v>218080</v>
      </c>
      <c r="D207" s="108">
        <f>SHL!D207+SPA!D207</f>
        <v>20274</v>
      </c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>
        <f t="shared" si="35"/>
        <v>12580</v>
      </c>
      <c r="Z207" s="175">
        <f>SHL!Z207+SPA!Z207</f>
        <v>221577</v>
      </c>
      <c r="AA207" s="108">
        <f t="shared" si="34"/>
        <v>3497</v>
      </c>
      <c r="AB207" s="547">
        <f>SPA!AB207+SHL!AB207</f>
        <v>221577</v>
      </c>
      <c r="BN207" s="4">
        <v>1999</v>
      </c>
      <c r="BO207" s="4">
        <v>11</v>
      </c>
      <c r="BP207" s="108">
        <f>SHL!BP207+SPA!BP207</f>
        <v>209875.16035850786</v>
      </c>
      <c r="BQ207" s="108"/>
      <c r="BR207" s="108"/>
      <c r="BS207" s="108"/>
      <c r="BT207" s="175">
        <f>SHL!BT207+SPA!BT207</f>
        <v>213041.16035850786</v>
      </c>
      <c r="BU207" s="108">
        <f t="shared" si="37"/>
        <v>14447.023777447088</v>
      </c>
      <c r="BV207" s="108"/>
      <c r="BW207" s="108">
        <f t="shared" si="36"/>
        <v>3166</v>
      </c>
    </row>
    <row r="208" spans="1:75" s="89" customFormat="1">
      <c r="A208" s="89">
        <v>1999</v>
      </c>
      <c r="B208" s="89">
        <v>12</v>
      </c>
      <c r="C208" s="117">
        <f>SHL!C208+SPA!C208</f>
        <v>201102</v>
      </c>
      <c r="D208" s="117">
        <f>SHL!D208+SPA!D208</f>
        <v>19920</v>
      </c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>
        <f t="shared" si="35"/>
        <v>4096</v>
      </c>
      <c r="Z208" s="176">
        <f>SHL!Z208+SPA!Z208</f>
        <v>203646</v>
      </c>
      <c r="AA208" s="117">
        <f t="shared" si="34"/>
        <v>2544</v>
      </c>
      <c r="AB208" s="548">
        <f>SPA!AB208+SHL!AB208</f>
        <v>203646</v>
      </c>
      <c r="BN208" s="89">
        <v>1999</v>
      </c>
      <c r="BO208" s="89">
        <v>12</v>
      </c>
      <c r="BP208" s="117">
        <f>SHL!BP208+SPA!BP208</f>
        <v>207797.476511641</v>
      </c>
      <c r="BQ208" s="117"/>
      <c r="BR208" s="117"/>
      <c r="BS208" s="117"/>
      <c r="BT208" s="176">
        <f>SHL!BT208+SPA!BT208</f>
        <v>209468.476511641</v>
      </c>
      <c r="BU208" s="117">
        <f t="shared" si="37"/>
        <v>14886.262468484638</v>
      </c>
      <c r="BV208" s="117"/>
      <c r="BW208" s="117">
        <f t="shared" si="36"/>
        <v>1671</v>
      </c>
    </row>
    <row r="209" spans="1:75">
      <c r="A209" s="4">
        <v>2000</v>
      </c>
      <c r="B209" s="4">
        <v>1</v>
      </c>
      <c r="C209" s="108">
        <f>SHL!C209+SPA!C209</f>
        <v>179039</v>
      </c>
      <c r="D209" s="108">
        <f>SHL!D209+SPA!D209</f>
        <v>19016</v>
      </c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>
        <f t="shared" si="35"/>
        <v>-5954</v>
      </c>
      <c r="Z209" s="175">
        <f>SHL!Z209+SPA!Z209</f>
        <v>181575</v>
      </c>
      <c r="AA209" s="108">
        <f t="shared" ref="AA209:AA272" si="38">Z209-C209</f>
        <v>2536</v>
      </c>
      <c r="AB209" s="547">
        <f>SPA!AB209+SHL!AB209</f>
        <v>188054</v>
      </c>
      <c r="BN209" s="4">
        <v>2000</v>
      </c>
      <c r="BO209" s="4">
        <v>1</v>
      </c>
      <c r="BP209" s="108">
        <f>SHL!BP209+SPA!BP209</f>
        <v>181632.05524170419</v>
      </c>
      <c r="BQ209" s="108"/>
      <c r="BR209" s="108"/>
      <c r="BS209" s="108"/>
      <c r="BT209" s="175">
        <f>SHL!BT209+SPA!BT209</f>
        <v>180954.05524170419</v>
      </c>
      <c r="BU209" s="108">
        <f t="shared" si="37"/>
        <v>4303.8617658032163</v>
      </c>
      <c r="BV209" s="108"/>
      <c r="BW209" s="108">
        <f t="shared" si="36"/>
        <v>-678</v>
      </c>
    </row>
    <row r="210" spans="1:75">
      <c r="A210" s="4">
        <v>2000</v>
      </c>
      <c r="B210" s="4">
        <v>2</v>
      </c>
      <c r="C210" s="108">
        <f>SHL!C210+SPA!C210</f>
        <v>201533</v>
      </c>
      <c r="D210" s="108">
        <f>SHL!D210+SPA!D210</f>
        <v>19969</v>
      </c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>
        <f t="shared" si="35"/>
        <v>20788</v>
      </c>
      <c r="Z210" s="175">
        <f>SHL!Z210+SPA!Z210</f>
        <v>200498</v>
      </c>
      <c r="AA210" s="108">
        <f t="shared" si="38"/>
        <v>-1035</v>
      </c>
      <c r="AB210" s="547">
        <f>SPA!AB210+SHL!AB210</f>
        <v>199574</v>
      </c>
      <c r="BN210" s="4">
        <v>2000</v>
      </c>
      <c r="BO210" s="4">
        <v>2</v>
      </c>
      <c r="BP210" s="108">
        <f>SHL!BP210+SPA!BP210</f>
        <v>166467.56912151485</v>
      </c>
      <c r="BQ210" s="108"/>
      <c r="BR210" s="108"/>
      <c r="BS210" s="108"/>
      <c r="BT210" s="175">
        <f>SHL!BT210+SPA!BT210</f>
        <v>166683.56912151485</v>
      </c>
      <c r="BU210" s="108">
        <f t="shared" si="37"/>
        <v>-20663.969298158947</v>
      </c>
      <c r="BV210" s="108"/>
      <c r="BW210" s="108">
        <f t="shared" si="36"/>
        <v>216</v>
      </c>
    </row>
    <row r="211" spans="1:75">
      <c r="A211" s="4">
        <v>2000</v>
      </c>
      <c r="B211" s="4">
        <v>3</v>
      </c>
      <c r="C211" s="108">
        <f>SHL!C211+SPA!C211</f>
        <v>198629</v>
      </c>
      <c r="D211" s="108">
        <f>SHL!D211+SPA!D211</f>
        <v>19755</v>
      </c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>
        <f t="shared" si="35"/>
        <v>8634</v>
      </c>
      <c r="Z211" s="175">
        <f>SHL!Z211+SPA!Z211</f>
        <v>198336</v>
      </c>
      <c r="AA211" s="108">
        <f t="shared" si="38"/>
        <v>-293</v>
      </c>
      <c r="AB211" s="547">
        <f>SPA!AB211+SHL!AB211</f>
        <v>199130</v>
      </c>
      <c r="BN211" s="4">
        <v>2000</v>
      </c>
      <c r="BO211" s="4">
        <v>3</v>
      </c>
      <c r="BP211" s="108">
        <f>SHL!BP211+SPA!BP211</f>
        <v>233282.57720867771</v>
      </c>
      <c r="BQ211" s="108"/>
      <c r="BR211" s="108"/>
      <c r="BS211" s="108"/>
      <c r="BT211" s="175">
        <f>SHL!BT211+SPA!BT211</f>
        <v>230275.57720867771</v>
      </c>
      <c r="BU211" s="108">
        <f t="shared" si="37"/>
        <v>34227.13510425741</v>
      </c>
      <c r="BV211" s="108"/>
      <c r="BW211" s="108">
        <f t="shared" si="36"/>
        <v>-3007</v>
      </c>
    </row>
    <row r="212" spans="1:75">
      <c r="A212" s="4">
        <v>2000</v>
      </c>
      <c r="B212" s="4">
        <v>4</v>
      </c>
      <c r="C212" s="108">
        <f>SHL!C212+SPA!C212</f>
        <v>213418</v>
      </c>
      <c r="D212" s="108">
        <f>SHL!D212+SPA!D212</f>
        <v>20069</v>
      </c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>
        <f t="shared" si="35"/>
        <v>21881</v>
      </c>
      <c r="Z212" s="175">
        <f>SHL!Z212+SPA!Z212</f>
        <v>212646</v>
      </c>
      <c r="AA212" s="108">
        <f t="shared" si="38"/>
        <v>-772</v>
      </c>
      <c r="AB212" s="547">
        <f>SPA!AB212+SHL!AB212</f>
        <v>211868</v>
      </c>
      <c r="BN212" s="4">
        <v>2000</v>
      </c>
      <c r="BO212" s="4">
        <v>4</v>
      </c>
      <c r="BP212" s="108">
        <f>SHL!BP212+SPA!BP212</f>
        <v>205346.29370981237</v>
      </c>
      <c r="BQ212" s="108"/>
      <c r="BR212" s="108"/>
      <c r="BS212" s="108"/>
      <c r="BT212" s="175">
        <f>SHL!BT212+SPA!BT212</f>
        <v>209965.29370981237</v>
      </c>
      <c r="BU212" s="108">
        <f t="shared" si="37"/>
        <v>23581.705104342516</v>
      </c>
      <c r="BV212" s="108"/>
      <c r="BW212" s="108">
        <f t="shared" si="36"/>
        <v>4619</v>
      </c>
    </row>
    <row r="213" spans="1:75">
      <c r="A213" s="4">
        <v>2000</v>
      </c>
      <c r="B213" s="4">
        <v>5</v>
      </c>
      <c r="C213" s="108">
        <f>SHL!C213+SPA!C213</f>
        <v>204133</v>
      </c>
      <c r="D213" s="108">
        <f>SHL!D213+SPA!D213</f>
        <v>19946</v>
      </c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>
        <f t="shared" si="35"/>
        <v>-2853</v>
      </c>
      <c r="Z213" s="175">
        <f>SHL!Z213+SPA!Z213</f>
        <v>204547</v>
      </c>
      <c r="AA213" s="108">
        <f t="shared" si="38"/>
        <v>414</v>
      </c>
      <c r="AB213" s="547">
        <f>SPA!AB213+SHL!AB213</f>
        <v>205349</v>
      </c>
      <c r="BN213" s="4">
        <v>2000</v>
      </c>
      <c r="BO213" s="4">
        <v>5</v>
      </c>
      <c r="BP213" s="108">
        <f>SHL!BP213+SPA!BP213</f>
        <v>233992.71949159613</v>
      </c>
      <c r="BQ213" s="108"/>
      <c r="BR213" s="108"/>
      <c r="BS213" s="108"/>
      <c r="BT213" s="175">
        <f>SHL!BT213+SPA!BT213</f>
        <v>226521.71949159613</v>
      </c>
      <c r="BU213" s="108">
        <f t="shared" si="37"/>
        <v>-12729.185102124407</v>
      </c>
      <c r="BV213" s="108"/>
      <c r="BW213" s="108">
        <f t="shared" si="36"/>
        <v>-7471</v>
      </c>
    </row>
    <row r="214" spans="1:75">
      <c r="A214" s="4">
        <v>2000</v>
      </c>
      <c r="B214" s="4">
        <v>6</v>
      </c>
      <c r="C214" s="108">
        <f>SHL!C214+SPA!C214</f>
        <v>254123</v>
      </c>
      <c r="D214" s="108">
        <f>SHL!D214+SPA!D214</f>
        <v>19843</v>
      </c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>
        <f t="shared" si="35"/>
        <v>27737</v>
      </c>
      <c r="Z214" s="175">
        <f>SHL!Z214+SPA!Z214</f>
        <v>244553</v>
      </c>
      <c r="AA214" s="108">
        <f t="shared" si="38"/>
        <v>-9570</v>
      </c>
      <c r="AB214" s="547">
        <f>SPA!AB214+SHL!AB214</f>
        <v>244379</v>
      </c>
      <c r="BN214" s="4">
        <v>2000</v>
      </c>
      <c r="BO214" s="4">
        <v>6</v>
      </c>
      <c r="BP214" s="108">
        <f>SHL!BP214+SPA!BP214</f>
        <v>245857.79406616124</v>
      </c>
      <c r="BQ214" s="108"/>
      <c r="BR214" s="108"/>
      <c r="BS214" s="108"/>
      <c r="BT214" s="175">
        <f>SHL!BT214+SPA!BT214</f>
        <v>242663.79406616124</v>
      </c>
      <c r="BU214" s="108">
        <f t="shared" si="37"/>
        <v>31743.520264557243</v>
      </c>
      <c r="BV214" s="108"/>
      <c r="BW214" s="108">
        <f t="shared" si="36"/>
        <v>-3194</v>
      </c>
    </row>
    <row r="215" spans="1:75">
      <c r="A215" s="4">
        <v>2000</v>
      </c>
      <c r="B215" s="4">
        <v>7</v>
      </c>
      <c r="C215" s="108">
        <f>SHL!C215+SPA!C215</f>
        <v>238164</v>
      </c>
      <c r="D215" s="108">
        <f>SHL!D215+SPA!D215</f>
        <v>19924</v>
      </c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>
        <f t="shared" si="35"/>
        <v>13316</v>
      </c>
      <c r="Z215" s="175">
        <f>SHL!Z215+SPA!Z215</f>
        <v>234195</v>
      </c>
      <c r="AA215" s="108">
        <f t="shared" si="38"/>
        <v>-3969</v>
      </c>
      <c r="AB215" s="547">
        <f>SPA!AB215+SHL!AB215</f>
        <v>234973</v>
      </c>
      <c r="BN215" s="4">
        <v>2000</v>
      </c>
      <c r="BO215" s="4">
        <v>7</v>
      </c>
      <c r="BP215" s="108">
        <f>SHL!BP215+SPA!BP215</f>
        <v>215993.90118065084</v>
      </c>
      <c r="BQ215" s="108"/>
      <c r="BR215" s="108"/>
      <c r="BS215" s="108"/>
      <c r="BT215" s="175">
        <f>SHL!BT215+SPA!BT215</f>
        <v>216131.90118065084</v>
      </c>
      <c r="BU215" s="108">
        <f t="shared" si="37"/>
        <v>-7162.9150577935798</v>
      </c>
      <c r="BV215" s="108"/>
      <c r="BW215" s="108">
        <f t="shared" si="36"/>
        <v>138</v>
      </c>
    </row>
    <row r="216" spans="1:75">
      <c r="A216" s="4">
        <v>2000</v>
      </c>
      <c r="B216" s="4">
        <v>8</v>
      </c>
      <c r="C216" s="108">
        <f>SHL!C216+SPA!C216</f>
        <v>233280</v>
      </c>
      <c r="D216" s="108">
        <f>SHL!D216+SPA!D216</f>
        <v>20233</v>
      </c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>
        <f t="shared" si="35"/>
        <v>4494</v>
      </c>
      <c r="Z216" s="175">
        <f>SHL!Z216+SPA!Z216</f>
        <v>235572</v>
      </c>
      <c r="AA216" s="108">
        <f t="shared" si="38"/>
        <v>2292</v>
      </c>
      <c r="AB216" s="547">
        <f>SPA!AB216+SHL!AB216</f>
        <v>234168</v>
      </c>
      <c r="BN216" s="4">
        <v>2000</v>
      </c>
      <c r="BO216" s="4">
        <v>8</v>
      </c>
      <c r="BP216" s="108">
        <f>SHL!BP216+SPA!BP216</f>
        <v>251321.27610275033</v>
      </c>
      <c r="BQ216" s="108"/>
      <c r="BR216" s="108"/>
      <c r="BS216" s="108"/>
      <c r="BT216" s="175">
        <f>SHL!BT216+SPA!BT216</f>
        <v>250817.27610275033</v>
      </c>
      <c r="BU216" s="108">
        <f t="shared" si="37"/>
        <v>27578.55496403118</v>
      </c>
      <c r="BV216" s="108"/>
      <c r="BW216" s="108">
        <f t="shared" si="36"/>
        <v>-504</v>
      </c>
    </row>
    <row r="217" spans="1:75">
      <c r="A217" s="4">
        <v>2000</v>
      </c>
      <c r="B217" s="4">
        <v>9</v>
      </c>
      <c r="C217" s="108">
        <f>SHL!C217+SPA!C217</f>
        <v>266310</v>
      </c>
      <c r="D217" s="108">
        <f>SHL!D217+SPA!D217</f>
        <v>20202</v>
      </c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>
        <f t="shared" si="35"/>
        <v>12567</v>
      </c>
      <c r="Z217" s="175">
        <f>SHL!Z217+SPA!Z217</f>
        <v>263170</v>
      </c>
      <c r="AA217" s="108">
        <f t="shared" si="38"/>
        <v>-3140</v>
      </c>
      <c r="AB217" s="547">
        <f>SPA!AB217+SHL!AB217</f>
        <v>262345</v>
      </c>
      <c r="BN217" s="4">
        <v>2000</v>
      </c>
      <c r="BO217" s="4">
        <v>9</v>
      </c>
      <c r="BP217" s="108">
        <f>SHL!BP217+SPA!BP217</f>
        <v>253039.03360104191</v>
      </c>
      <c r="BQ217" s="108"/>
      <c r="BR217" s="108"/>
      <c r="BS217" s="108"/>
      <c r="BT217" s="175">
        <f>SHL!BT217+SPA!BT217</f>
        <v>252202.03360104191</v>
      </c>
      <c r="BU217" s="108">
        <f t="shared" si="37"/>
        <v>-1751.7312843615946</v>
      </c>
      <c r="BV217" s="108"/>
      <c r="BW217" s="108">
        <f t="shared" si="36"/>
        <v>-837</v>
      </c>
    </row>
    <row r="218" spans="1:75">
      <c r="A218" s="4">
        <v>2000</v>
      </c>
      <c r="B218" s="4">
        <v>10</v>
      </c>
      <c r="C218" s="108">
        <f>SHL!C218+SPA!C218</f>
        <v>237753</v>
      </c>
      <c r="D218" s="108">
        <f>SHL!D218+SPA!D218</f>
        <v>20104</v>
      </c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>
        <f t="shared" si="35"/>
        <v>8329</v>
      </c>
      <c r="Z218" s="175">
        <f>SHL!Z218+SPA!Z218</f>
        <v>244424</v>
      </c>
      <c r="AA218" s="108">
        <f t="shared" si="38"/>
        <v>6671</v>
      </c>
      <c r="AB218" s="547">
        <f>SPA!AB218+SHL!AB218</f>
        <v>246594</v>
      </c>
      <c r="BN218" s="4">
        <v>2000</v>
      </c>
      <c r="BO218" s="4">
        <v>10</v>
      </c>
      <c r="BP218" s="108">
        <f>SHL!BP218+SPA!BP218</f>
        <v>224261.84695169755</v>
      </c>
      <c r="BQ218" s="108"/>
      <c r="BR218" s="108"/>
      <c r="BS218" s="108"/>
      <c r="BT218" s="175">
        <f>SHL!BT218+SPA!BT218</f>
        <v>235313.84695169755</v>
      </c>
      <c r="BU218" s="108">
        <f t="shared" si="37"/>
        <v>6930.6996503910632</v>
      </c>
      <c r="BV218" s="108"/>
      <c r="BW218" s="108">
        <f t="shared" si="36"/>
        <v>11052</v>
      </c>
    </row>
    <row r="219" spans="1:75">
      <c r="A219" s="4">
        <v>2000</v>
      </c>
      <c r="B219" s="4">
        <v>11</v>
      </c>
      <c r="C219" s="108">
        <f>SHL!C219+SPA!C219</f>
        <v>224849</v>
      </c>
      <c r="D219" s="108">
        <f>SHL!D219+SPA!D219</f>
        <v>20819</v>
      </c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>
        <f t="shared" si="35"/>
        <v>10638</v>
      </c>
      <c r="Z219" s="175">
        <f>SHL!Z219+SPA!Z219</f>
        <v>232215</v>
      </c>
      <c r="AA219" s="108">
        <f t="shared" si="38"/>
        <v>7366</v>
      </c>
      <c r="AB219" s="547">
        <f>SPA!AB219+SHL!AB219</f>
        <v>228762</v>
      </c>
      <c r="BN219" s="4">
        <v>2000</v>
      </c>
      <c r="BO219" s="4">
        <v>11</v>
      </c>
      <c r="BP219" s="108">
        <f>SHL!BP219+SPA!BP219</f>
        <v>237876.11257249914</v>
      </c>
      <c r="BQ219" s="108"/>
      <c r="BR219" s="108"/>
      <c r="BS219" s="108"/>
      <c r="BT219" s="175">
        <f>SHL!BT219+SPA!BT219</f>
        <v>238052.11257249914</v>
      </c>
      <c r="BU219" s="108">
        <f t="shared" si="37"/>
        <v>25010.952213991288</v>
      </c>
      <c r="BV219" s="108"/>
      <c r="BW219" s="108">
        <f t="shared" si="36"/>
        <v>176</v>
      </c>
    </row>
    <row r="220" spans="1:75" s="89" customFormat="1">
      <c r="A220" s="89">
        <v>2000</v>
      </c>
      <c r="B220" s="89">
        <v>12</v>
      </c>
      <c r="C220" s="117">
        <f>SHL!C220+SPA!C220</f>
        <v>202919</v>
      </c>
      <c r="D220" s="117">
        <f>SHL!D220+SPA!D220</f>
        <v>19948</v>
      </c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>
        <f t="shared" si="35"/>
        <v>0</v>
      </c>
      <c r="Z220" s="176">
        <f>SHL!Z220+SPA!Z220</f>
        <v>203646</v>
      </c>
      <c r="AA220" s="117">
        <f t="shared" si="38"/>
        <v>727</v>
      </c>
      <c r="AB220" s="548">
        <f>SPA!AB220+SHL!AB220</f>
        <v>206741</v>
      </c>
      <c r="BN220" s="89">
        <v>2000</v>
      </c>
      <c r="BO220" s="89">
        <v>12</v>
      </c>
      <c r="BP220" s="117">
        <f>SHL!BP220+SPA!BP220</f>
        <v>216901.94899000486</v>
      </c>
      <c r="BQ220" s="117"/>
      <c r="BR220" s="117"/>
      <c r="BS220" s="117"/>
      <c r="BT220" s="176">
        <f>SHL!BT220+SPA!BT220</f>
        <v>213087.94899000486</v>
      </c>
      <c r="BU220" s="117">
        <f t="shared" si="37"/>
        <v>3619.4724783638667</v>
      </c>
      <c r="BV220" s="117"/>
      <c r="BW220" s="117">
        <f t="shared" si="36"/>
        <v>-3814</v>
      </c>
    </row>
    <row r="221" spans="1:75">
      <c r="A221" s="4">
        <f t="shared" ref="A221:A284" si="39">A209+1</f>
        <v>2001</v>
      </c>
      <c r="B221" s="4">
        <f t="shared" ref="B221:B284" si="40">B209</f>
        <v>1</v>
      </c>
      <c r="C221" s="108">
        <f>SHL!C221+SPA!C221</f>
        <v>212161</v>
      </c>
      <c r="D221" s="108">
        <f>SHL!D221+SPA!D221</f>
        <v>20728</v>
      </c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>
        <f t="shared" ref="Y221:Y284" si="41">Z221-Z209</f>
        <v>26561</v>
      </c>
      <c r="Z221" s="175">
        <f>SHL!Z221+SPA!Z221</f>
        <v>208136</v>
      </c>
      <c r="AA221" s="108">
        <f t="shared" si="38"/>
        <v>-4025</v>
      </c>
      <c r="AB221" s="547">
        <f>SPA!AB221+SHL!AB221</f>
        <v>205610</v>
      </c>
      <c r="BN221" s="4">
        <f t="shared" ref="BN221:BN284" si="42">BN209+1</f>
        <v>2001</v>
      </c>
      <c r="BO221" s="4">
        <f t="shared" ref="BO221:BO284" si="43">BO209</f>
        <v>1</v>
      </c>
      <c r="BP221" s="108">
        <f>SHL!BP221+SPA!BP221</f>
        <v>171008.34623173543</v>
      </c>
      <c r="BQ221" s="108"/>
      <c r="BR221" s="108"/>
      <c r="BS221" s="108"/>
      <c r="BT221" s="175">
        <f>SHL!BT221+SPA!BT221</f>
        <v>167379.34623173543</v>
      </c>
      <c r="BU221" s="108">
        <f t="shared" si="37"/>
        <v>-13574.709009968763</v>
      </c>
      <c r="BV221" s="108"/>
      <c r="BW221" s="108">
        <f t="shared" si="36"/>
        <v>-3629</v>
      </c>
    </row>
    <row r="222" spans="1:75">
      <c r="A222" s="4">
        <f t="shared" si="39"/>
        <v>2001</v>
      </c>
      <c r="B222" s="4">
        <f t="shared" si="40"/>
        <v>2</v>
      </c>
      <c r="C222" s="108">
        <f>SHL!C222+SPA!C222</f>
        <v>200252</v>
      </c>
      <c r="D222" s="108">
        <f>SHL!D222+SPA!D222</f>
        <v>20350</v>
      </c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>
        <f t="shared" si="41"/>
        <v>-2500</v>
      </c>
      <c r="Z222" s="175">
        <f>SHL!Z222+SPA!Z222</f>
        <v>197998</v>
      </c>
      <c r="AA222" s="108">
        <f t="shared" si="38"/>
        <v>-2254</v>
      </c>
      <c r="AB222" s="547">
        <f>SPA!AB222+SHL!AB222</f>
        <v>199463</v>
      </c>
      <c r="BN222" s="4">
        <f t="shared" si="42"/>
        <v>2001</v>
      </c>
      <c r="BO222" s="4">
        <f t="shared" si="43"/>
        <v>2</v>
      </c>
      <c r="BP222" s="108">
        <f>SHL!BP222+SPA!BP222</f>
        <v>198697.95898698436</v>
      </c>
      <c r="BQ222" s="108"/>
      <c r="BR222" s="108"/>
      <c r="BS222" s="108"/>
      <c r="BT222" s="175">
        <f>SHL!BT222+SPA!BT222</f>
        <v>194627.95898698436</v>
      </c>
      <c r="BU222" s="108">
        <f t="shared" si="37"/>
        <v>27944.389865469508</v>
      </c>
      <c r="BV222" s="108"/>
      <c r="BW222" s="108">
        <f t="shared" si="36"/>
        <v>-4070</v>
      </c>
    </row>
    <row r="223" spans="1:75">
      <c r="A223" s="4">
        <f t="shared" si="39"/>
        <v>2001</v>
      </c>
      <c r="B223" s="4">
        <f t="shared" si="40"/>
        <v>3</v>
      </c>
      <c r="C223" s="108">
        <f>SHL!C223+SPA!C223</f>
        <v>203268</v>
      </c>
      <c r="D223" s="108">
        <f>SHL!D223+SPA!D223</f>
        <v>19930</v>
      </c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>
        <f t="shared" si="41"/>
        <v>1492</v>
      </c>
      <c r="Z223" s="175">
        <f>SHL!Z223+SPA!Z223</f>
        <v>199828</v>
      </c>
      <c r="AA223" s="108">
        <f t="shared" si="38"/>
        <v>-3440</v>
      </c>
      <c r="AB223" s="547">
        <f>SPA!AB223+SHL!AB223</f>
        <v>203212</v>
      </c>
      <c r="BN223" s="4">
        <f t="shared" si="42"/>
        <v>2001</v>
      </c>
      <c r="BO223" s="4">
        <f t="shared" si="43"/>
        <v>3</v>
      </c>
      <c r="BP223" s="108">
        <f>SHL!BP223+SPA!BP223</f>
        <v>224185.93932872382</v>
      </c>
      <c r="BQ223" s="108"/>
      <c r="BR223" s="108"/>
      <c r="BS223" s="108"/>
      <c r="BT223" s="175">
        <f>SHL!BT223+SPA!BT223</f>
        <v>227147.93932872382</v>
      </c>
      <c r="BU223" s="108">
        <f t="shared" si="37"/>
        <v>-3127.6378799538943</v>
      </c>
      <c r="BV223" s="108"/>
      <c r="BW223" s="108">
        <f t="shared" si="36"/>
        <v>2962</v>
      </c>
    </row>
    <row r="224" spans="1:75">
      <c r="A224" s="4">
        <f t="shared" si="39"/>
        <v>2001</v>
      </c>
      <c r="B224" s="4">
        <f t="shared" si="40"/>
        <v>4</v>
      </c>
      <c r="C224" s="108">
        <f>SHL!C224+SPA!C224</f>
        <v>215520</v>
      </c>
      <c r="D224" s="108">
        <f>SHL!D224+SPA!D224</f>
        <v>20919</v>
      </c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>
        <f t="shared" si="41"/>
        <v>4652</v>
      </c>
      <c r="Z224" s="175">
        <f>SHL!Z224+SPA!Z224</f>
        <v>217298</v>
      </c>
      <c r="AA224" s="108">
        <f t="shared" si="38"/>
        <v>1778</v>
      </c>
      <c r="AB224" s="547">
        <f>SPA!AB224+SHL!AB224</f>
        <v>215100</v>
      </c>
      <c r="BN224" s="4">
        <f t="shared" si="42"/>
        <v>2001</v>
      </c>
      <c r="BO224" s="4">
        <f t="shared" si="43"/>
        <v>4</v>
      </c>
      <c r="BP224" s="108">
        <f>SHL!BP224+SPA!BP224</f>
        <v>216447.54028698028</v>
      </c>
      <c r="BQ224" s="108"/>
      <c r="BR224" s="108"/>
      <c r="BS224" s="108"/>
      <c r="BT224" s="175">
        <f>SHL!BT224+SPA!BT224</f>
        <v>215688.54028698028</v>
      </c>
      <c r="BU224" s="108">
        <f t="shared" si="37"/>
        <v>5723.2465771679126</v>
      </c>
      <c r="BV224" s="108"/>
      <c r="BW224" s="108">
        <f t="shared" si="36"/>
        <v>-759</v>
      </c>
    </row>
    <row r="225" spans="1:75">
      <c r="A225" s="4">
        <f t="shared" si="39"/>
        <v>2001</v>
      </c>
      <c r="B225" s="4">
        <f t="shared" si="40"/>
        <v>5</v>
      </c>
      <c r="C225" s="108">
        <f>SHL!C225+SPA!C225</f>
        <v>221361</v>
      </c>
      <c r="D225" s="108">
        <f>SHL!D225+SPA!D225</f>
        <v>20687</v>
      </c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>
        <f t="shared" si="41"/>
        <v>21019</v>
      </c>
      <c r="Z225" s="175">
        <f>SHL!Z225+SPA!Z225</f>
        <v>225566</v>
      </c>
      <c r="AA225" s="108">
        <f t="shared" si="38"/>
        <v>4205</v>
      </c>
      <c r="AB225" s="547">
        <f>SPA!AB225+SHL!AB225</f>
        <v>225730</v>
      </c>
      <c r="BN225" s="4">
        <f t="shared" si="42"/>
        <v>2001</v>
      </c>
      <c r="BO225" s="4">
        <f t="shared" si="43"/>
        <v>5</v>
      </c>
      <c r="BP225" s="108">
        <f>SHL!BP225+SPA!BP225</f>
        <v>252111.87357242996</v>
      </c>
      <c r="BQ225" s="108"/>
      <c r="BR225" s="108"/>
      <c r="BS225" s="108"/>
      <c r="BT225" s="175">
        <f>SHL!BT225+SPA!BT225</f>
        <v>259205.87357242996</v>
      </c>
      <c r="BU225" s="108">
        <f t="shared" si="37"/>
        <v>32684.154080833832</v>
      </c>
      <c r="BV225" s="108"/>
      <c r="BW225" s="108">
        <f t="shared" si="36"/>
        <v>7094</v>
      </c>
    </row>
    <row r="226" spans="1:75">
      <c r="A226" s="4">
        <f t="shared" si="39"/>
        <v>2001</v>
      </c>
      <c r="B226" s="4">
        <f t="shared" si="40"/>
        <v>6</v>
      </c>
      <c r="C226" s="108">
        <f>SHL!C226+SPA!C226</f>
        <v>238563</v>
      </c>
      <c r="D226" s="108">
        <f>SHL!D226+SPA!D226</f>
        <v>20816</v>
      </c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>
        <f t="shared" si="41"/>
        <v>-6327</v>
      </c>
      <c r="Z226" s="175">
        <f>SHL!Z226+SPA!Z226</f>
        <v>238226</v>
      </c>
      <c r="AA226" s="108">
        <f t="shared" si="38"/>
        <v>-337</v>
      </c>
      <c r="AB226" s="547">
        <f>SPA!AB226+SHL!AB226</f>
        <v>236754</v>
      </c>
      <c r="BN226" s="4">
        <f t="shared" si="42"/>
        <v>2001</v>
      </c>
      <c r="BO226" s="4">
        <f t="shared" si="43"/>
        <v>6</v>
      </c>
      <c r="BP226" s="108">
        <f>SHL!BP226+SPA!BP226</f>
        <v>220877.88347819357</v>
      </c>
      <c r="BQ226" s="108"/>
      <c r="BR226" s="108"/>
      <c r="BS226" s="108"/>
      <c r="BT226" s="175">
        <f>SHL!BT226+SPA!BT226</f>
        <v>221037.88347819357</v>
      </c>
      <c r="BU226" s="108">
        <f t="shared" si="37"/>
        <v>-21625.910587967664</v>
      </c>
      <c r="BV226" s="108"/>
      <c r="BW226" s="108">
        <f t="shared" si="36"/>
        <v>160</v>
      </c>
    </row>
    <row r="227" spans="1:75">
      <c r="A227" s="4">
        <f t="shared" si="39"/>
        <v>2001</v>
      </c>
      <c r="B227" s="4">
        <f t="shared" si="40"/>
        <v>7</v>
      </c>
      <c r="C227" s="108">
        <f>SHL!C227+SPA!C227</f>
        <v>231715</v>
      </c>
      <c r="D227" s="108">
        <f>SHL!D227+SPA!D227</f>
        <v>20430</v>
      </c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>
        <f t="shared" si="41"/>
        <v>1462</v>
      </c>
      <c r="Z227" s="175">
        <f>SHL!Z227+SPA!Z227</f>
        <v>235657</v>
      </c>
      <c r="AA227" s="108">
        <f t="shared" si="38"/>
        <v>3942</v>
      </c>
      <c r="AB227" s="547">
        <f>SPA!AB227+SHL!AB227</f>
        <v>237566</v>
      </c>
      <c r="BN227" s="4">
        <f t="shared" si="42"/>
        <v>2001</v>
      </c>
      <c r="BO227" s="4">
        <f t="shared" si="43"/>
        <v>7</v>
      </c>
      <c r="BP227" s="108">
        <f>SHL!BP227+SPA!BP227</f>
        <v>231959.2196064544</v>
      </c>
      <c r="BQ227" s="108"/>
      <c r="BR227" s="108"/>
      <c r="BS227" s="108"/>
      <c r="BT227" s="175">
        <f>SHL!BT227+SPA!BT227</f>
        <v>237826.2196064544</v>
      </c>
      <c r="BU227" s="108">
        <f t="shared" si="37"/>
        <v>21694.318425803562</v>
      </c>
      <c r="BV227" s="108"/>
      <c r="BW227" s="108">
        <f t="shared" si="36"/>
        <v>5867</v>
      </c>
    </row>
    <row r="228" spans="1:75">
      <c r="A228" s="4">
        <f t="shared" si="39"/>
        <v>2001</v>
      </c>
      <c r="B228" s="4">
        <f t="shared" si="40"/>
        <v>8</v>
      </c>
      <c r="C228" s="108">
        <f>SHL!C228+SPA!C228</f>
        <v>240838</v>
      </c>
      <c r="D228" s="108">
        <f>SHL!D228+SPA!D228</f>
        <v>20899</v>
      </c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>
        <f t="shared" si="41"/>
        <v>15717</v>
      </c>
      <c r="Z228" s="175">
        <f>SHL!Z228+SPA!Z228</f>
        <v>251289</v>
      </c>
      <c r="AA228" s="108">
        <f t="shared" si="38"/>
        <v>10451</v>
      </c>
      <c r="AB228" s="547">
        <f>SPA!AB228+SHL!AB228</f>
        <v>249473</v>
      </c>
      <c r="BN228" s="4">
        <f t="shared" si="42"/>
        <v>2001</v>
      </c>
      <c r="BO228" s="4">
        <f t="shared" si="43"/>
        <v>8</v>
      </c>
      <c r="BP228" s="108">
        <f>SHL!BP228+SPA!BP228</f>
        <v>265749.06952495227</v>
      </c>
      <c r="BQ228" s="108"/>
      <c r="BR228" s="108"/>
      <c r="BS228" s="108"/>
      <c r="BT228" s="175">
        <f>SHL!BT228+SPA!BT228</f>
        <v>267055.06952495227</v>
      </c>
      <c r="BU228" s="108">
        <f t="shared" si="37"/>
        <v>16237.793422201939</v>
      </c>
      <c r="BV228" s="108"/>
      <c r="BW228" s="108">
        <f t="shared" si="36"/>
        <v>1306</v>
      </c>
    </row>
    <row r="229" spans="1:75">
      <c r="A229" s="4">
        <f t="shared" si="39"/>
        <v>2001</v>
      </c>
      <c r="B229" s="4">
        <f t="shared" si="40"/>
        <v>9</v>
      </c>
      <c r="C229" s="108">
        <f>SHL!C229+SPA!C229</f>
        <v>277994</v>
      </c>
      <c r="D229" s="108">
        <f>SHL!D229+SPA!D229</f>
        <v>20987</v>
      </c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>
        <f t="shared" si="41"/>
        <v>14633</v>
      </c>
      <c r="Z229" s="175">
        <f>SHL!Z229+SPA!Z229</f>
        <v>277803</v>
      </c>
      <c r="AA229" s="108">
        <f t="shared" si="38"/>
        <v>-191</v>
      </c>
      <c r="AB229" s="547">
        <f>SPA!AB229+SHL!AB229</f>
        <v>277353</v>
      </c>
      <c r="BN229" s="4">
        <f t="shared" si="42"/>
        <v>2001</v>
      </c>
      <c r="BO229" s="4">
        <f t="shared" si="43"/>
        <v>9</v>
      </c>
      <c r="BP229" s="108">
        <f>SHL!BP229+SPA!BP229</f>
        <v>250159.11660589877</v>
      </c>
      <c r="BQ229" s="108"/>
      <c r="BR229" s="108"/>
      <c r="BS229" s="108"/>
      <c r="BT229" s="175">
        <f>SHL!BT229+SPA!BT229</f>
        <v>267423.11660589883</v>
      </c>
      <c r="BU229" s="108">
        <f t="shared" si="37"/>
        <v>15221.083004856919</v>
      </c>
      <c r="BV229" s="108"/>
      <c r="BW229" s="108">
        <f t="shared" si="36"/>
        <v>17264.000000000058</v>
      </c>
    </row>
    <row r="230" spans="1:75">
      <c r="A230" s="4">
        <f t="shared" si="39"/>
        <v>2001</v>
      </c>
      <c r="B230" s="4">
        <f t="shared" si="40"/>
        <v>10</v>
      </c>
      <c r="C230" s="108">
        <f>SHL!C230+SPA!C230</f>
        <v>229103</v>
      </c>
      <c r="D230" s="108">
        <f>SHL!D230+SPA!D230</f>
        <v>20763</v>
      </c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>
        <f t="shared" si="41"/>
        <v>1597</v>
      </c>
      <c r="Z230" s="175">
        <f>SHL!Z230+SPA!Z230</f>
        <v>246021</v>
      </c>
      <c r="AA230" s="108">
        <f t="shared" si="38"/>
        <v>16918</v>
      </c>
      <c r="AB230" s="547">
        <f>SPA!AB230+SHL!AB230</f>
        <v>247236</v>
      </c>
      <c r="BN230" s="4">
        <f t="shared" si="42"/>
        <v>2001</v>
      </c>
      <c r="BO230" s="4">
        <f t="shared" si="43"/>
        <v>10</v>
      </c>
      <c r="BP230" s="108">
        <f>SHL!BP230+SPA!BP230</f>
        <v>230065.31705875639</v>
      </c>
      <c r="BQ230" s="108"/>
      <c r="BR230" s="108"/>
      <c r="BS230" s="108"/>
      <c r="BT230" s="175">
        <f>SHL!BT230+SPA!BT230</f>
        <v>236248.31705875639</v>
      </c>
      <c r="BU230" s="108">
        <f t="shared" si="37"/>
        <v>934.47010705884895</v>
      </c>
      <c r="BV230" s="108"/>
      <c r="BW230" s="108">
        <f t="shared" si="36"/>
        <v>6183</v>
      </c>
    </row>
    <row r="231" spans="1:75">
      <c r="A231" s="4">
        <f t="shared" si="39"/>
        <v>2001</v>
      </c>
      <c r="B231" s="4">
        <f t="shared" si="40"/>
        <v>11</v>
      </c>
      <c r="C231" s="108">
        <f>SHL!C231+SPA!C231</f>
        <v>226233</v>
      </c>
      <c r="D231" s="108">
        <f>SHL!D231+SPA!D231</f>
        <v>21581</v>
      </c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>
        <f t="shared" si="41"/>
        <v>-2326</v>
      </c>
      <c r="Z231" s="175">
        <f>SHL!Z231+SPA!Z231</f>
        <v>229889</v>
      </c>
      <c r="AA231" s="108">
        <f t="shared" si="38"/>
        <v>3656</v>
      </c>
      <c r="AB231" s="547">
        <f>SPA!AB231+SHL!AB231</f>
        <v>224965</v>
      </c>
      <c r="BN231" s="4">
        <f t="shared" si="42"/>
        <v>2001</v>
      </c>
      <c r="BO231" s="4">
        <f t="shared" si="43"/>
        <v>11</v>
      </c>
      <c r="BP231" s="108">
        <f>SHL!BP231+SPA!BP231</f>
        <v>211306.90996748535</v>
      </c>
      <c r="BQ231" s="108"/>
      <c r="BR231" s="108"/>
      <c r="BS231" s="108"/>
      <c r="BT231" s="175">
        <f>SHL!BT231+SPA!BT231</f>
        <v>211518.90996748535</v>
      </c>
      <c r="BU231" s="108">
        <f t="shared" si="37"/>
        <v>-26533.202605013794</v>
      </c>
      <c r="BV231" s="108"/>
      <c r="BW231" s="108">
        <f t="shared" si="36"/>
        <v>212</v>
      </c>
    </row>
    <row r="232" spans="1:75" s="89" customFormat="1">
      <c r="A232" s="89">
        <f t="shared" si="39"/>
        <v>2001</v>
      </c>
      <c r="B232" s="89">
        <f t="shared" si="40"/>
        <v>12</v>
      </c>
      <c r="C232" s="117">
        <f>SHL!C232+SPA!C232</f>
        <v>229174</v>
      </c>
      <c r="D232" s="117">
        <f>SHL!D232+SPA!D232</f>
        <v>20693</v>
      </c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>
        <f t="shared" si="41"/>
        <v>20689</v>
      </c>
      <c r="Z232" s="176">
        <f>SHL!Z232+SPA!Z232</f>
        <v>224335</v>
      </c>
      <c r="AA232" s="117">
        <f t="shared" si="38"/>
        <v>-4839</v>
      </c>
      <c r="AB232" s="548">
        <f>SPA!AB232+SHL!AB232</f>
        <v>228074</v>
      </c>
      <c r="BN232" s="89">
        <f t="shared" si="42"/>
        <v>2001</v>
      </c>
      <c r="BO232" s="89">
        <f t="shared" si="43"/>
        <v>12</v>
      </c>
      <c r="BP232" s="117">
        <f>SHL!BP232+SPA!BP232</f>
        <v>241435.74762870398</v>
      </c>
      <c r="BQ232" s="117"/>
      <c r="BR232" s="117"/>
      <c r="BS232" s="117"/>
      <c r="BT232" s="176">
        <f>SHL!BT232+SPA!BT232</f>
        <v>233643.74762870398</v>
      </c>
      <c r="BU232" s="117">
        <f t="shared" si="37"/>
        <v>20555.798638699111</v>
      </c>
      <c r="BV232" s="117"/>
      <c r="BW232" s="117">
        <f t="shared" si="36"/>
        <v>-7792</v>
      </c>
    </row>
    <row r="233" spans="1:75">
      <c r="A233" s="4">
        <f t="shared" si="39"/>
        <v>2002</v>
      </c>
      <c r="B233" s="4">
        <f t="shared" si="40"/>
        <v>1</v>
      </c>
      <c r="C233" s="108">
        <f>SHL!C233+SPA!C233</f>
        <v>210706</v>
      </c>
      <c r="D233" s="108">
        <f>SHL!D233+SPA!D233</f>
        <v>20950</v>
      </c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>
        <f t="shared" si="41"/>
        <v>-624</v>
      </c>
      <c r="Z233" s="175">
        <f>SHL!Z233+SPA!Z233</f>
        <v>207512</v>
      </c>
      <c r="AA233" s="108">
        <f t="shared" si="38"/>
        <v>-3194</v>
      </c>
      <c r="AB233" s="547">
        <f>SPA!AB233+SHL!AB233</f>
        <v>207177</v>
      </c>
      <c r="BN233" s="4">
        <f t="shared" si="42"/>
        <v>2002</v>
      </c>
      <c r="BO233" s="4">
        <f t="shared" si="43"/>
        <v>1</v>
      </c>
      <c r="BP233" s="108">
        <f>SHL!BP233+SPA!BP233</f>
        <v>181745.82324716472</v>
      </c>
      <c r="BQ233" s="108"/>
      <c r="BR233" s="108"/>
      <c r="BS233" s="108"/>
      <c r="BT233" s="175">
        <f>SHL!BT233+SPA!BT233</f>
        <v>176231.82324716472</v>
      </c>
      <c r="BU233" s="108">
        <f t="shared" si="37"/>
        <v>8852.4770154292928</v>
      </c>
      <c r="BV233" s="108"/>
      <c r="BW233" s="108">
        <f t="shared" si="36"/>
        <v>-5514</v>
      </c>
    </row>
    <row r="234" spans="1:75">
      <c r="A234" s="4">
        <f t="shared" si="39"/>
        <v>2002</v>
      </c>
      <c r="B234" s="4">
        <f t="shared" si="40"/>
        <v>2</v>
      </c>
      <c r="C234" s="108">
        <f>SHL!C234+SPA!C234</f>
        <v>206942</v>
      </c>
      <c r="D234" s="108">
        <f>SHL!D234+SPA!D234</f>
        <v>21103</v>
      </c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>
        <f t="shared" si="41"/>
        <v>5633</v>
      </c>
      <c r="Z234" s="175">
        <f>SHL!Z234+SPA!Z234</f>
        <v>203631</v>
      </c>
      <c r="AA234" s="108">
        <f t="shared" si="38"/>
        <v>-3311</v>
      </c>
      <c r="AB234" s="547">
        <f>SPA!AB234+SHL!AB234</f>
        <v>203325</v>
      </c>
      <c r="BN234" s="4">
        <f t="shared" si="42"/>
        <v>2002</v>
      </c>
      <c r="BO234" s="4">
        <f t="shared" si="43"/>
        <v>2</v>
      </c>
      <c r="BP234" s="108">
        <f>SHL!BP234+SPA!BP234</f>
        <v>210690.14021961874</v>
      </c>
      <c r="BQ234" s="108"/>
      <c r="BR234" s="108"/>
      <c r="BS234" s="108"/>
      <c r="BT234" s="175">
        <f>SHL!BT234+SPA!BT234</f>
        <v>213398.14021961874</v>
      </c>
      <c r="BU234" s="108">
        <f t="shared" si="37"/>
        <v>18770.181232634379</v>
      </c>
      <c r="BV234" s="108"/>
      <c r="BW234" s="108">
        <f t="shared" si="36"/>
        <v>2708</v>
      </c>
    </row>
    <row r="235" spans="1:75">
      <c r="A235" s="4">
        <f t="shared" si="39"/>
        <v>2002</v>
      </c>
      <c r="B235" s="4">
        <f t="shared" si="40"/>
        <v>3</v>
      </c>
      <c r="C235" s="108">
        <f>SHL!C235+SPA!C235</f>
        <v>203161</v>
      </c>
      <c r="D235" s="108">
        <f>SHL!D235+SPA!D235</f>
        <v>21064</v>
      </c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>
        <f t="shared" si="41"/>
        <v>2957</v>
      </c>
      <c r="Z235" s="175">
        <f>SHL!Z235+SPA!Z235</f>
        <v>202785</v>
      </c>
      <c r="AA235" s="108">
        <f t="shared" si="38"/>
        <v>-376</v>
      </c>
      <c r="AB235" s="547">
        <f>SPA!AB235+SHL!AB235</f>
        <v>203220</v>
      </c>
      <c r="BN235" s="4">
        <f t="shared" si="42"/>
        <v>2002</v>
      </c>
      <c r="BO235" s="4">
        <f t="shared" si="43"/>
        <v>3</v>
      </c>
      <c r="BP235" s="108">
        <f>SHL!BP235+SPA!BP235</f>
        <v>214977.55302172186</v>
      </c>
      <c r="BQ235" s="108"/>
      <c r="BR235" s="108"/>
      <c r="BS235" s="108"/>
      <c r="BT235" s="175">
        <f>SHL!BT235+SPA!BT235</f>
        <v>206454.55302172186</v>
      </c>
      <c r="BU235" s="108">
        <f t="shared" si="37"/>
        <v>-20693.386307001958</v>
      </c>
      <c r="BV235" s="108"/>
      <c r="BW235" s="108">
        <f t="shared" si="36"/>
        <v>-8523</v>
      </c>
    </row>
    <row r="236" spans="1:75">
      <c r="A236" s="4">
        <f t="shared" si="39"/>
        <v>2002</v>
      </c>
      <c r="B236" s="4">
        <f t="shared" si="40"/>
        <v>4</v>
      </c>
      <c r="C236" s="108">
        <f>SHL!C236+SPA!C236</f>
        <v>221761</v>
      </c>
      <c r="D236" s="108">
        <f>SHL!D236+SPA!D236</f>
        <v>20391</v>
      </c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>
        <f t="shared" si="41"/>
        <v>-5006</v>
      </c>
      <c r="Z236" s="175">
        <f>SHL!Z236+SPA!Z236</f>
        <v>212292</v>
      </c>
      <c r="AA236" s="108">
        <f t="shared" si="38"/>
        <v>-9469</v>
      </c>
      <c r="AB236" s="547">
        <f>SPA!AB236+SHL!AB236</f>
        <v>216289</v>
      </c>
      <c r="BN236" s="4">
        <f t="shared" si="42"/>
        <v>2002</v>
      </c>
      <c r="BO236" s="4">
        <f t="shared" si="43"/>
        <v>4</v>
      </c>
      <c r="BP236" s="108">
        <f>SHL!BP236+SPA!BP236</f>
        <v>245839.77710505156</v>
      </c>
      <c r="BQ236" s="108"/>
      <c r="BR236" s="108"/>
      <c r="BS236" s="108"/>
      <c r="BT236" s="175">
        <f>SHL!BT236+SPA!BT236</f>
        <v>232631.77710505156</v>
      </c>
      <c r="BU236" s="108">
        <f t="shared" si="37"/>
        <v>16943.23681807128</v>
      </c>
      <c r="BV236" s="108"/>
      <c r="BW236" s="108">
        <f t="shared" si="36"/>
        <v>-13208</v>
      </c>
    </row>
    <row r="237" spans="1:75">
      <c r="A237" s="4">
        <f t="shared" si="39"/>
        <v>2002</v>
      </c>
      <c r="B237" s="4">
        <f t="shared" si="40"/>
        <v>5</v>
      </c>
      <c r="C237" s="108">
        <f>SHL!C237+SPA!C237</f>
        <v>253759</v>
      </c>
      <c r="D237" s="108">
        <f>SHL!D237+SPA!D237</f>
        <v>21824</v>
      </c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>
        <f t="shared" si="41"/>
        <v>8054</v>
      </c>
      <c r="Z237" s="175">
        <f>SHL!Z237+SPA!Z237</f>
        <v>233620</v>
      </c>
      <c r="AA237" s="108">
        <f t="shared" si="38"/>
        <v>-20139</v>
      </c>
      <c r="AB237" s="547">
        <f>SPA!AB237+SHL!AB237</f>
        <v>227784</v>
      </c>
      <c r="BN237" s="4">
        <f t="shared" si="42"/>
        <v>2002</v>
      </c>
      <c r="BO237" s="4">
        <f t="shared" si="43"/>
        <v>5</v>
      </c>
      <c r="BP237" s="108">
        <f>SHL!BP237+SPA!BP237</f>
        <v>242556.9962136721</v>
      </c>
      <c r="BQ237" s="108"/>
      <c r="BR237" s="108"/>
      <c r="BS237" s="108"/>
      <c r="BT237" s="175">
        <f>SHL!BT237+SPA!BT237</f>
        <v>238328.9962136721</v>
      </c>
      <c r="BU237" s="108">
        <f t="shared" si="37"/>
        <v>-20876.877358757862</v>
      </c>
      <c r="BV237" s="108"/>
      <c r="BW237" s="108">
        <f t="shared" ref="BW237:BW300" si="44">BT237-BP237</f>
        <v>-4228</v>
      </c>
    </row>
    <row r="238" spans="1:75">
      <c r="A238" s="4">
        <f t="shared" si="39"/>
        <v>2002</v>
      </c>
      <c r="B238" s="4">
        <f t="shared" si="40"/>
        <v>6</v>
      </c>
      <c r="C238" s="108">
        <f>SHL!C238+SPA!C238</f>
        <v>239371</v>
      </c>
      <c r="D238" s="108">
        <f>SHL!D238+SPA!D238</f>
        <v>20360</v>
      </c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>
        <f t="shared" si="41"/>
        <v>3592</v>
      </c>
      <c r="Z238" s="175">
        <f>SHL!Z238+SPA!Z238</f>
        <v>241818</v>
      </c>
      <c r="AA238" s="108">
        <f t="shared" si="38"/>
        <v>2447</v>
      </c>
      <c r="AB238" s="547">
        <f>SPA!AB238+SHL!AB238</f>
        <v>247653</v>
      </c>
      <c r="BN238" s="4">
        <f t="shared" si="42"/>
        <v>2002</v>
      </c>
      <c r="BO238" s="4">
        <f t="shared" si="43"/>
        <v>6</v>
      </c>
      <c r="BP238" s="108">
        <f>SHL!BP238+SPA!BP238</f>
        <v>253289.42724651436</v>
      </c>
      <c r="BQ238" s="108"/>
      <c r="BR238" s="108"/>
      <c r="BS238" s="108"/>
      <c r="BT238" s="175">
        <f>SHL!BT238+SPA!BT238</f>
        <v>259179.42724651436</v>
      </c>
      <c r="BU238" s="108">
        <f t="shared" si="37"/>
        <v>38141.543768320786</v>
      </c>
      <c r="BV238" s="108"/>
      <c r="BW238" s="108">
        <f t="shared" si="44"/>
        <v>5890</v>
      </c>
    </row>
    <row r="239" spans="1:75">
      <c r="A239" s="4">
        <f t="shared" si="39"/>
        <v>2002</v>
      </c>
      <c r="B239" s="4">
        <f t="shared" si="40"/>
        <v>7</v>
      </c>
      <c r="C239" s="108">
        <f>SHL!C239+SPA!C239</f>
        <v>239189</v>
      </c>
      <c r="D239" s="108">
        <f>SHL!D239+SPA!D239</f>
        <v>21548</v>
      </c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>
        <f t="shared" si="41"/>
        <v>14441</v>
      </c>
      <c r="Z239" s="175">
        <f>SHL!Z239+SPA!Z239</f>
        <v>250098</v>
      </c>
      <c r="AA239" s="108">
        <f t="shared" si="38"/>
        <v>10909</v>
      </c>
      <c r="AB239" s="547">
        <f>SPA!AB239+SHL!AB239</f>
        <v>246735</v>
      </c>
      <c r="BN239" s="4">
        <f t="shared" si="42"/>
        <v>2002</v>
      </c>
      <c r="BO239" s="4">
        <f t="shared" si="43"/>
        <v>7</v>
      </c>
      <c r="BP239" s="108">
        <f>SHL!BP239+SPA!BP239</f>
        <v>233201.95796654836</v>
      </c>
      <c r="BQ239" s="108"/>
      <c r="BR239" s="108"/>
      <c r="BS239" s="108"/>
      <c r="BT239" s="175">
        <f>SHL!BT239+SPA!BT239</f>
        <v>237212.95796654836</v>
      </c>
      <c r="BU239" s="108">
        <f t="shared" si="37"/>
        <v>-613.26163990603527</v>
      </c>
      <c r="BV239" s="108"/>
      <c r="BW239" s="108">
        <f t="shared" si="44"/>
        <v>4011</v>
      </c>
    </row>
    <row r="240" spans="1:75">
      <c r="A240" s="4">
        <f t="shared" si="39"/>
        <v>2002</v>
      </c>
      <c r="B240" s="4">
        <f t="shared" si="40"/>
        <v>8</v>
      </c>
      <c r="C240" s="108">
        <f>SHL!C240+SPA!C240</f>
        <v>249562</v>
      </c>
      <c r="D240" s="108">
        <f>SHL!D240+SPA!D240</f>
        <v>21209</v>
      </c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>
        <f t="shared" si="41"/>
        <v>3636</v>
      </c>
      <c r="Z240" s="175">
        <f>SHL!Z240+SPA!Z240</f>
        <v>254925</v>
      </c>
      <c r="AA240" s="108">
        <f t="shared" si="38"/>
        <v>5363</v>
      </c>
      <c r="AB240" s="547">
        <f>SPA!AB240+SHL!AB240</f>
        <v>254059</v>
      </c>
      <c r="BN240" s="4">
        <f t="shared" si="42"/>
        <v>2002</v>
      </c>
      <c r="BO240" s="4">
        <f t="shared" si="43"/>
        <v>8</v>
      </c>
      <c r="BP240" s="108">
        <f>SHL!BP240+SPA!BP240</f>
        <v>265863.23847618193</v>
      </c>
      <c r="BQ240" s="108"/>
      <c r="BR240" s="108"/>
      <c r="BS240" s="108"/>
      <c r="BT240" s="175">
        <f>SHL!BT240+SPA!BT240</f>
        <v>272620.23847618193</v>
      </c>
      <c r="BU240" s="108">
        <f t="shared" si="37"/>
        <v>5565.168951229658</v>
      </c>
      <c r="BV240" s="108"/>
      <c r="BW240" s="108">
        <f t="shared" si="44"/>
        <v>6757</v>
      </c>
    </row>
    <row r="241" spans="1:75">
      <c r="A241" s="4">
        <f t="shared" si="39"/>
        <v>2002</v>
      </c>
      <c r="B241" s="4">
        <f t="shared" si="40"/>
        <v>9</v>
      </c>
      <c r="C241" s="108">
        <f>SHL!C241+SPA!C241</f>
        <v>270972</v>
      </c>
      <c r="D241" s="108">
        <f>SHL!D241+SPA!D241</f>
        <v>21267</v>
      </c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>
        <f t="shared" si="41"/>
        <v>-2866</v>
      </c>
      <c r="Z241" s="175">
        <f>SHL!Z241+SPA!Z241</f>
        <v>274937</v>
      </c>
      <c r="AA241" s="108">
        <f t="shared" si="38"/>
        <v>3965</v>
      </c>
      <c r="AB241" s="547">
        <f>SPA!AB241+SHL!AB241</f>
        <v>274997</v>
      </c>
      <c r="BN241" s="4">
        <f t="shared" si="42"/>
        <v>2002</v>
      </c>
      <c r="BO241" s="4">
        <f t="shared" si="43"/>
        <v>9</v>
      </c>
      <c r="BP241" s="108">
        <f>SHL!BP241+SPA!BP241</f>
        <v>271994.20482594427</v>
      </c>
      <c r="BQ241" s="108"/>
      <c r="BR241" s="108"/>
      <c r="BS241" s="108"/>
      <c r="BT241" s="175">
        <f>SHL!BT241+SPA!BT241</f>
        <v>266402.20482594427</v>
      </c>
      <c r="BU241" s="108">
        <f t="shared" si="37"/>
        <v>-1020.9117799545638</v>
      </c>
      <c r="BV241" s="108"/>
      <c r="BW241" s="108">
        <f t="shared" si="44"/>
        <v>-5592</v>
      </c>
    </row>
    <row r="242" spans="1:75">
      <c r="A242" s="4">
        <f t="shared" si="39"/>
        <v>2002</v>
      </c>
      <c r="B242" s="4">
        <f t="shared" si="40"/>
        <v>10</v>
      </c>
      <c r="C242" s="108">
        <f>SHL!C242+SPA!C242</f>
        <v>263960</v>
      </c>
      <c r="D242" s="108">
        <f>SHL!D242+SPA!D242</f>
        <v>20685</v>
      </c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>
        <f t="shared" si="41"/>
        <v>7545</v>
      </c>
      <c r="Z242" s="175">
        <f>SHL!Z242+SPA!Z242</f>
        <v>253566</v>
      </c>
      <c r="AA242" s="108">
        <f t="shared" si="38"/>
        <v>-10394</v>
      </c>
      <c r="AB242" s="547">
        <f>SPA!AB242+SHL!AB242</f>
        <v>257109</v>
      </c>
      <c r="BN242" s="4">
        <f t="shared" si="42"/>
        <v>2002</v>
      </c>
      <c r="BO242" s="4">
        <f t="shared" si="43"/>
        <v>10</v>
      </c>
      <c r="BP242" s="108">
        <f>SHL!BP242+SPA!BP242</f>
        <v>272927.18591072044</v>
      </c>
      <c r="BQ242" s="108"/>
      <c r="BR242" s="108"/>
      <c r="BS242" s="108"/>
      <c r="BT242" s="175">
        <f>SHL!BT242+SPA!BT242</f>
        <v>258865.18591072047</v>
      </c>
      <c r="BU242" s="108">
        <f t="shared" si="37"/>
        <v>22616.868851964071</v>
      </c>
      <c r="BV242" s="108"/>
      <c r="BW242" s="108">
        <f t="shared" si="44"/>
        <v>-14061.999999999971</v>
      </c>
    </row>
    <row r="243" spans="1:75">
      <c r="A243" s="4">
        <f t="shared" si="39"/>
        <v>2002</v>
      </c>
      <c r="B243" s="4">
        <f t="shared" si="40"/>
        <v>11</v>
      </c>
      <c r="C243" s="108">
        <f>SHL!C243+SPA!C243</f>
        <v>264183</v>
      </c>
      <c r="D243" s="108">
        <f>SHL!D243+SPA!D243</f>
        <v>22223</v>
      </c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>
        <f t="shared" si="41"/>
        <v>23897</v>
      </c>
      <c r="Z243" s="175">
        <f>SHL!Z243+SPA!Z243</f>
        <v>253786</v>
      </c>
      <c r="AA243" s="108">
        <f t="shared" si="38"/>
        <v>-10397</v>
      </c>
      <c r="AB243" s="547">
        <f>SPA!AB243+SHL!AB243</f>
        <v>247505</v>
      </c>
      <c r="BN243" s="4">
        <f t="shared" si="42"/>
        <v>2002</v>
      </c>
      <c r="BO243" s="4">
        <f t="shared" si="43"/>
        <v>11</v>
      </c>
      <c r="BP243" s="108">
        <f>SHL!BP243+SPA!BP243</f>
        <v>226366.25143765795</v>
      </c>
      <c r="BQ243" s="108"/>
      <c r="BR243" s="108"/>
      <c r="BS243" s="108"/>
      <c r="BT243" s="175">
        <f>SHL!BT243+SPA!BT243</f>
        <v>227114.25143765795</v>
      </c>
      <c r="BU243" s="108">
        <f t="shared" si="37"/>
        <v>15595.3414701726</v>
      </c>
      <c r="BV243" s="108"/>
      <c r="BW243" s="108">
        <f t="shared" si="44"/>
        <v>748</v>
      </c>
    </row>
    <row r="244" spans="1:75" s="89" customFormat="1">
      <c r="A244" s="89">
        <f t="shared" si="39"/>
        <v>2002</v>
      </c>
      <c r="B244" s="89">
        <f t="shared" si="40"/>
        <v>12</v>
      </c>
      <c r="C244" s="117">
        <f>SHL!C244+SPA!C244</f>
        <v>226818</v>
      </c>
      <c r="D244" s="117">
        <f>SHL!D244+SPA!D244</f>
        <v>20980</v>
      </c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7"/>
      <c r="W244" s="117"/>
      <c r="X244" s="117"/>
      <c r="Y244" s="117">
        <f t="shared" si="41"/>
        <v>5313</v>
      </c>
      <c r="Z244" s="176">
        <f>SHL!Z244+SPA!Z244</f>
        <v>229648</v>
      </c>
      <c r="AA244" s="117">
        <f t="shared" si="38"/>
        <v>2830</v>
      </c>
      <c r="AB244" s="548">
        <f>SPA!AB244+SHL!AB244</f>
        <v>231102</v>
      </c>
      <c r="BN244" s="89">
        <f t="shared" si="42"/>
        <v>2002</v>
      </c>
      <c r="BO244" s="89">
        <f t="shared" si="43"/>
        <v>12</v>
      </c>
      <c r="BP244" s="117">
        <f>SHL!BP244+SPA!BP244</f>
        <v>215334.87457354568</v>
      </c>
      <c r="BQ244" s="117"/>
      <c r="BR244" s="117"/>
      <c r="BS244" s="117"/>
      <c r="BT244" s="176">
        <f>SHL!BT244+SPA!BT244</f>
        <v>217120.87457354568</v>
      </c>
      <c r="BU244" s="117">
        <f t="shared" si="37"/>
        <v>-16522.873055158299</v>
      </c>
      <c r="BV244" s="117"/>
      <c r="BW244" s="117">
        <f t="shared" si="44"/>
        <v>1786</v>
      </c>
    </row>
    <row r="245" spans="1:75">
      <c r="A245" s="4">
        <f t="shared" si="39"/>
        <v>2003</v>
      </c>
      <c r="B245" s="4">
        <f t="shared" si="40"/>
        <v>1</v>
      </c>
      <c r="C245" s="108">
        <f>SHL!C245+SPA!C245</f>
        <v>216510</v>
      </c>
      <c r="D245" s="108">
        <f>SHL!D245+SPA!D245</f>
        <v>21303</v>
      </c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>
        <f t="shared" si="41"/>
        <v>9913</v>
      </c>
      <c r="Z245" s="175">
        <f>SHL!Z245+SPA!Z245</f>
        <v>217425</v>
      </c>
      <c r="AA245" s="108">
        <f t="shared" si="38"/>
        <v>915</v>
      </c>
      <c r="AB245" s="547">
        <f>SPA!AB245+SHL!AB245</f>
        <v>218851</v>
      </c>
      <c r="BN245" s="4">
        <f t="shared" si="42"/>
        <v>2003</v>
      </c>
      <c r="BO245" s="4">
        <f t="shared" si="43"/>
        <v>1</v>
      </c>
      <c r="BP245" s="108">
        <f>SHL!BP245+SPA!BP245</f>
        <v>219953.69978926008</v>
      </c>
      <c r="BQ245" s="108"/>
      <c r="BR245" s="108"/>
      <c r="BS245" s="108"/>
      <c r="BT245" s="175">
        <f>SHL!BT245+SPA!BT245</f>
        <v>217372.69978926008</v>
      </c>
      <c r="BU245" s="108">
        <f t="shared" si="37"/>
        <v>41140.876542095357</v>
      </c>
      <c r="BV245" s="108"/>
      <c r="BW245" s="108">
        <f t="shared" si="44"/>
        <v>-2581</v>
      </c>
    </row>
    <row r="246" spans="1:75">
      <c r="A246" s="4">
        <f t="shared" si="39"/>
        <v>2003</v>
      </c>
      <c r="B246" s="4">
        <f t="shared" si="40"/>
        <v>2</v>
      </c>
      <c r="C246" s="108">
        <f>SHL!C246+SPA!C246</f>
        <v>219902</v>
      </c>
      <c r="D246" s="108">
        <f>SHL!D246+SPA!D246</f>
        <v>21444</v>
      </c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>
        <f t="shared" si="41"/>
        <v>15375</v>
      </c>
      <c r="Z246" s="175">
        <f>SHL!Z246+SPA!Z246</f>
        <v>219006</v>
      </c>
      <c r="AA246" s="108">
        <f t="shared" si="38"/>
        <v>-896</v>
      </c>
      <c r="AB246" s="547">
        <f>SPA!AB246+SHL!AB246</f>
        <v>219579</v>
      </c>
      <c r="BN246" s="4">
        <f t="shared" si="42"/>
        <v>2003</v>
      </c>
      <c r="BO246" s="4">
        <f t="shared" si="43"/>
        <v>2</v>
      </c>
      <c r="BP246" s="108">
        <f>SHL!BP246+SPA!BP246</f>
        <v>193519.33214761625</v>
      </c>
      <c r="BQ246" s="108"/>
      <c r="BR246" s="108"/>
      <c r="BS246" s="108"/>
      <c r="BT246" s="175">
        <f>SHL!BT246+SPA!BT246</f>
        <v>195091.33214761625</v>
      </c>
      <c r="BU246" s="108">
        <f t="shared" si="37"/>
        <v>-18306.808072002488</v>
      </c>
      <c r="BV246" s="108"/>
      <c r="BW246" s="108">
        <f t="shared" si="44"/>
        <v>1572</v>
      </c>
    </row>
    <row r="247" spans="1:75">
      <c r="A247" s="4">
        <f t="shared" si="39"/>
        <v>2003</v>
      </c>
      <c r="B247" s="4">
        <f t="shared" si="40"/>
        <v>3</v>
      </c>
      <c r="C247" s="108">
        <f>SHL!C247+SPA!C247</f>
        <v>220104</v>
      </c>
      <c r="D247" s="108">
        <f>SHL!D247+SPA!D247</f>
        <v>21136</v>
      </c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>
        <f t="shared" si="41"/>
        <v>12960</v>
      </c>
      <c r="Z247" s="175">
        <f>SHL!Z247+SPA!Z247</f>
        <v>215745</v>
      </c>
      <c r="AA247" s="108">
        <f t="shared" si="38"/>
        <v>-4359</v>
      </c>
      <c r="AB247" s="547">
        <f>SPA!AB247+SHL!AB247</f>
        <v>217374</v>
      </c>
      <c r="BN247" s="4">
        <f t="shared" si="42"/>
        <v>2003</v>
      </c>
      <c r="BO247" s="4">
        <f t="shared" si="43"/>
        <v>3</v>
      </c>
      <c r="BP247" s="108">
        <f>SHL!BP247+SPA!BP247</f>
        <v>255053.47634825835</v>
      </c>
      <c r="BQ247" s="108"/>
      <c r="BR247" s="108"/>
      <c r="BS247" s="108"/>
      <c r="BT247" s="175">
        <f>SHL!BT247+SPA!BT247</f>
        <v>246100.47634825835</v>
      </c>
      <c r="BU247" s="108">
        <f t="shared" si="37"/>
        <v>39645.923326536489</v>
      </c>
      <c r="BV247" s="108"/>
      <c r="BW247" s="108">
        <f t="shared" si="44"/>
        <v>-8953</v>
      </c>
    </row>
    <row r="248" spans="1:75">
      <c r="A248" s="4">
        <f t="shared" si="39"/>
        <v>2003</v>
      </c>
      <c r="B248" s="4">
        <f t="shared" si="40"/>
        <v>4</v>
      </c>
      <c r="C248" s="108">
        <f>SHL!C248+SPA!C248</f>
        <v>227938</v>
      </c>
      <c r="D248" s="108">
        <f>SHL!D248+SPA!D248</f>
        <v>21668</v>
      </c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>
        <f t="shared" si="41"/>
        <v>12149</v>
      </c>
      <c r="Z248" s="175">
        <f>SHL!Z248+SPA!Z248</f>
        <v>224441</v>
      </c>
      <c r="AA248" s="108">
        <f t="shared" si="38"/>
        <v>-3497</v>
      </c>
      <c r="AB248" s="547">
        <f>SPA!AB248+SHL!AB248</f>
        <v>223662</v>
      </c>
      <c r="BN248" s="4">
        <f t="shared" si="42"/>
        <v>2003</v>
      </c>
      <c r="BO248" s="4">
        <f t="shared" si="43"/>
        <v>4</v>
      </c>
      <c r="BP248" s="108">
        <f>SHL!BP248+SPA!BP248</f>
        <v>226235.4017908086</v>
      </c>
      <c r="BQ248" s="108"/>
      <c r="BR248" s="108"/>
      <c r="BS248" s="108"/>
      <c r="BT248" s="175">
        <f>SHL!BT248+SPA!BT248</f>
        <v>226168.4017908086</v>
      </c>
      <c r="BU248" s="108">
        <f t="shared" si="37"/>
        <v>-6463.3753142429632</v>
      </c>
      <c r="BV248" s="108"/>
      <c r="BW248" s="108">
        <f t="shared" si="44"/>
        <v>-67</v>
      </c>
    </row>
    <row r="249" spans="1:75">
      <c r="A249" s="4">
        <f t="shared" si="39"/>
        <v>2003</v>
      </c>
      <c r="B249" s="4">
        <f t="shared" si="40"/>
        <v>5</v>
      </c>
      <c r="C249" s="108">
        <f>SHL!C249+SPA!C249</f>
        <v>249211</v>
      </c>
      <c r="D249" s="108">
        <f>SHL!D249+SPA!D249</f>
        <v>21560</v>
      </c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>
        <f t="shared" si="41"/>
        <v>4776</v>
      </c>
      <c r="Z249" s="175">
        <f>SHL!Z249+SPA!Z249</f>
        <v>238396</v>
      </c>
      <c r="AA249" s="108">
        <f t="shared" si="38"/>
        <v>-10815</v>
      </c>
      <c r="AB249" s="547">
        <f>SPA!AB249+SHL!AB249</f>
        <v>238808</v>
      </c>
      <c r="BN249" s="4">
        <f t="shared" si="42"/>
        <v>2003</v>
      </c>
      <c r="BO249" s="4">
        <f t="shared" si="43"/>
        <v>5</v>
      </c>
      <c r="BP249" s="108">
        <f>SHL!BP249+SPA!BP249</f>
        <v>282453.78535150824</v>
      </c>
      <c r="BQ249" s="108"/>
      <c r="BR249" s="108"/>
      <c r="BS249" s="108"/>
      <c r="BT249" s="175">
        <f>SHL!BT249+SPA!BT249</f>
        <v>272469.78535150824</v>
      </c>
      <c r="BU249" s="108">
        <f t="shared" ref="BU249:BU312" si="45">BT249-BT237</f>
        <v>34140.789137836138</v>
      </c>
      <c r="BV249" s="108"/>
      <c r="BW249" s="108">
        <f t="shared" si="44"/>
        <v>-9984</v>
      </c>
    </row>
    <row r="250" spans="1:75">
      <c r="A250" s="4">
        <f t="shared" si="39"/>
        <v>2003</v>
      </c>
      <c r="B250" s="4">
        <f t="shared" si="40"/>
        <v>6</v>
      </c>
      <c r="C250" s="108">
        <f>SHL!C250+SPA!C250</f>
        <v>264412</v>
      </c>
      <c r="D250" s="108">
        <f>SHL!D250+SPA!D250</f>
        <v>21295</v>
      </c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>
        <f t="shared" si="41"/>
        <v>18977</v>
      </c>
      <c r="Z250" s="175">
        <f>SHL!Z250+SPA!Z250</f>
        <v>260795</v>
      </c>
      <c r="AA250" s="108">
        <f t="shared" si="38"/>
        <v>-3617</v>
      </c>
      <c r="AB250" s="547">
        <f>SPA!AB250+SHL!AB250</f>
        <v>261275</v>
      </c>
      <c r="BN250" s="4">
        <f t="shared" si="42"/>
        <v>2003</v>
      </c>
      <c r="BO250" s="4">
        <f t="shared" si="43"/>
        <v>6</v>
      </c>
      <c r="BP250" s="108">
        <f>SHL!BP250+SPA!BP250</f>
        <v>245674.00925707672</v>
      </c>
      <c r="BQ250" s="108"/>
      <c r="BR250" s="108"/>
      <c r="BS250" s="108"/>
      <c r="BT250" s="175">
        <f>SHL!BT250+SPA!BT250</f>
        <v>248493.00925707672</v>
      </c>
      <c r="BU250" s="108">
        <f t="shared" si="45"/>
        <v>-10686.417989437643</v>
      </c>
      <c r="BV250" s="108"/>
      <c r="BW250" s="108">
        <f t="shared" si="44"/>
        <v>2819</v>
      </c>
    </row>
    <row r="251" spans="1:75">
      <c r="A251" s="4">
        <f t="shared" si="39"/>
        <v>2003</v>
      </c>
      <c r="B251" s="4">
        <f t="shared" si="40"/>
        <v>7</v>
      </c>
      <c r="C251" s="108">
        <f>SHL!C251+SPA!C251</f>
        <v>255531</v>
      </c>
      <c r="D251" s="108">
        <f>SHL!D251+SPA!D251</f>
        <v>21766</v>
      </c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>
        <f t="shared" si="41"/>
        <v>7587</v>
      </c>
      <c r="Z251" s="175">
        <f>SHL!Z251+SPA!Z251</f>
        <v>257685</v>
      </c>
      <c r="AA251" s="108">
        <f t="shared" si="38"/>
        <v>2154</v>
      </c>
      <c r="AB251" s="547">
        <f>SPA!AB251+SHL!AB251</f>
        <v>256910</v>
      </c>
      <c r="BN251" s="4">
        <f t="shared" si="42"/>
        <v>2003</v>
      </c>
      <c r="BO251" s="4">
        <f t="shared" si="43"/>
        <v>7</v>
      </c>
      <c r="BP251" s="108">
        <f>SHL!BP251+SPA!BP251</f>
        <v>261572.17773199413</v>
      </c>
      <c r="BQ251" s="108"/>
      <c r="BR251" s="108"/>
      <c r="BS251" s="108"/>
      <c r="BT251" s="175">
        <f>SHL!BT251+SPA!BT251</f>
        <v>263108.17773199413</v>
      </c>
      <c r="BU251" s="108">
        <f t="shared" si="45"/>
        <v>25895.21976544577</v>
      </c>
      <c r="BV251" s="108"/>
      <c r="BW251" s="108">
        <f t="shared" si="44"/>
        <v>1536</v>
      </c>
    </row>
    <row r="252" spans="1:75">
      <c r="A252" s="4">
        <f t="shared" si="39"/>
        <v>2003</v>
      </c>
      <c r="B252" s="4">
        <f t="shared" si="40"/>
        <v>8</v>
      </c>
      <c r="C252" s="108">
        <f>SHL!C252+SPA!C252</f>
        <v>246865</v>
      </c>
      <c r="D252" s="108">
        <f>SHL!D252+SPA!D252</f>
        <v>21604</v>
      </c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>
        <f t="shared" si="41"/>
        <v>1703</v>
      </c>
      <c r="Z252" s="175">
        <f>SHL!Z252+SPA!Z252</f>
        <v>256628</v>
      </c>
      <c r="AA252" s="108">
        <f t="shared" si="38"/>
        <v>9763</v>
      </c>
      <c r="AB252" s="547">
        <f>SPA!AB252+SHL!AB252</f>
        <v>257015</v>
      </c>
      <c r="BN252" s="4">
        <f t="shared" si="42"/>
        <v>2003</v>
      </c>
      <c r="BO252" s="4">
        <f t="shared" si="43"/>
        <v>8</v>
      </c>
      <c r="BP252" s="108">
        <f>SHL!BP252+SPA!BP252</f>
        <v>250339.45113376356</v>
      </c>
      <c r="BQ252" s="108"/>
      <c r="BR252" s="108"/>
      <c r="BS252" s="108"/>
      <c r="BT252" s="175">
        <f>SHL!BT252+SPA!BT252</f>
        <v>259231.45113376356</v>
      </c>
      <c r="BU252" s="108">
        <f t="shared" si="45"/>
        <v>-13388.787342418364</v>
      </c>
      <c r="BV252" s="108"/>
      <c r="BW252" s="108">
        <f t="shared" si="44"/>
        <v>8892</v>
      </c>
    </row>
    <row r="253" spans="1:75">
      <c r="A253" s="4">
        <f t="shared" si="39"/>
        <v>2003</v>
      </c>
      <c r="B253" s="4">
        <f t="shared" si="40"/>
        <v>9</v>
      </c>
      <c r="C253" s="108">
        <f>SHL!C253+SPA!C253</f>
        <v>303093</v>
      </c>
      <c r="D253" s="108">
        <f>SHL!D253+SPA!D253</f>
        <v>21964</v>
      </c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>
        <f t="shared" si="41"/>
        <v>33331</v>
      </c>
      <c r="Z253" s="175">
        <f>SHL!Z253+SPA!Z253</f>
        <v>308268</v>
      </c>
      <c r="AA253" s="108">
        <f t="shared" si="38"/>
        <v>5175</v>
      </c>
      <c r="AB253" s="547">
        <f>SPA!AB253+SHL!AB253</f>
        <v>307282</v>
      </c>
      <c r="BN253" s="4">
        <f t="shared" si="42"/>
        <v>2003</v>
      </c>
      <c r="BO253" s="4">
        <f t="shared" si="43"/>
        <v>9</v>
      </c>
      <c r="BP253" s="108">
        <f>SHL!BP253+SPA!BP253</f>
        <v>294753.37646975362</v>
      </c>
      <c r="BQ253" s="108"/>
      <c r="BR253" s="108"/>
      <c r="BS253" s="108"/>
      <c r="BT253" s="175">
        <f>SHL!BT253+SPA!BT253</f>
        <v>302510.37646975362</v>
      </c>
      <c r="BU253" s="108">
        <f t="shared" si="45"/>
        <v>36108.171643809357</v>
      </c>
      <c r="BV253" s="108"/>
      <c r="BW253" s="108">
        <f t="shared" si="44"/>
        <v>7757</v>
      </c>
    </row>
    <row r="254" spans="1:75">
      <c r="A254" s="4">
        <f t="shared" si="39"/>
        <v>2003</v>
      </c>
      <c r="B254" s="4">
        <f t="shared" si="40"/>
        <v>10</v>
      </c>
      <c r="C254" s="108">
        <f>SHL!C254+SPA!C254</f>
        <v>271820</v>
      </c>
      <c r="D254" s="108">
        <f>SHL!D254+SPA!D254</f>
        <v>21896</v>
      </c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>
        <f t="shared" si="41"/>
        <v>26227</v>
      </c>
      <c r="Z254" s="175">
        <f>SHL!Z254+SPA!Z254</f>
        <v>279793</v>
      </c>
      <c r="AA254" s="108">
        <f t="shared" si="38"/>
        <v>7973</v>
      </c>
      <c r="AB254" s="547">
        <f>SPA!AB254+SHL!AB254</f>
        <v>279468</v>
      </c>
      <c r="BN254" s="4">
        <f t="shared" si="42"/>
        <v>2003</v>
      </c>
      <c r="BO254" s="4">
        <f t="shared" si="43"/>
        <v>10</v>
      </c>
      <c r="BP254" s="108">
        <f>SHL!BP254+SPA!BP254</f>
        <v>282881.60261719773</v>
      </c>
      <c r="BQ254" s="108"/>
      <c r="BR254" s="108"/>
      <c r="BS254" s="108"/>
      <c r="BT254" s="175">
        <f>SHL!BT254+SPA!BT254</f>
        <v>284562.60261719773</v>
      </c>
      <c r="BU254" s="108">
        <f t="shared" si="45"/>
        <v>25697.416706477263</v>
      </c>
      <c r="BV254" s="108"/>
      <c r="BW254" s="108">
        <f t="shared" si="44"/>
        <v>1681</v>
      </c>
    </row>
    <row r="255" spans="1:75">
      <c r="A255" s="4">
        <f t="shared" si="39"/>
        <v>2003</v>
      </c>
      <c r="B255" s="4">
        <f t="shared" si="40"/>
        <v>11</v>
      </c>
      <c r="C255" s="108">
        <f>SHL!C255+SPA!C255</f>
        <v>259203</v>
      </c>
      <c r="D255" s="108">
        <f>SHL!D255+SPA!D255</f>
        <v>21951</v>
      </c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>
        <f t="shared" si="41"/>
        <v>-324</v>
      </c>
      <c r="Z255" s="175">
        <f>SHL!Z255+SPA!Z255</f>
        <v>253462</v>
      </c>
      <c r="AA255" s="108">
        <f t="shared" si="38"/>
        <v>-5741</v>
      </c>
      <c r="AB255" s="547">
        <f>SPA!AB255+SHL!AB255</f>
        <v>253777</v>
      </c>
      <c r="BN255" s="4">
        <f t="shared" si="42"/>
        <v>2003</v>
      </c>
      <c r="BO255" s="4">
        <f t="shared" si="43"/>
        <v>11</v>
      </c>
      <c r="BP255" s="108">
        <f>SHL!BP255+SPA!BP255</f>
        <v>228766.25500833342</v>
      </c>
      <c r="BQ255" s="108"/>
      <c r="BR255" s="108"/>
      <c r="BS255" s="108"/>
      <c r="BT255" s="175">
        <f>SHL!BT255+SPA!BT255</f>
        <v>218659.25500833342</v>
      </c>
      <c r="BU255" s="108">
        <f t="shared" si="45"/>
        <v>-8454.9964293245284</v>
      </c>
      <c r="BV255" s="108"/>
      <c r="BW255" s="108">
        <f t="shared" si="44"/>
        <v>-10107</v>
      </c>
    </row>
    <row r="256" spans="1:75" s="89" customFormat="1">
      <c r="A256" s="89">
        <f t="shared" si="39"/>
        <v>2003</v>
      </c>
      <c r="B256" s="89">
        <f t="shared" si="40"/>
        <v>12</v>
      </c>
      <c r="C256" s="117">
        <f>SHL!C256+SPA!C256</f>
        <v>239642</v>
      </c>
      <c r="D256" s="117">
        <f>SHL!D256+SPA!D256</f>
        <v>22129</v>
      </c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>
        <f t="shared" si="41"/>
        <v>8208</v>
      </c>
      <c r="Z256" s="176">
        <f>SHL!Z256+SPA!Z256</f>
        <v>237856</v>
      </c>
      <c r="AA256" s="117">
        <f t="shared" si="38"/>
        <v>-1786</v>
      </c>
      <c r="AB256" s="548">
        <f>SPA!AB256+SHL!AB256</f>
        <v>238039</v>
      </c>
      <c r="BN256" s="89">
        <f t="shared" si="42"/>
        <v>2003</v>
      </c>
      <c r="BO256" s="89">
        <f t="shared" si="43"/>
        <v>12</v>
      </c>
      <c r="BP256" s="117">
        <f>SHL!BP256+SPA!BP256</f>
        <v>252795.4737960659</v>
      </c>
      <c r="BQ256" s="117"/>
      <c r="BR256" s="117"/>
      <c r="BS256" s="117"/>
      <c r="BT256" s="176">
        <f>SHL!BT256+SPA!BT256</f>
        <v>254549.4737960659</v>
      </c>
      <c r="BU256" s="117">
        <f t="shared" si="45"/>
        <v>37428.599222520221</v>
      </c>
      <c r="BV256" s="117"/>
      <c r="BW256" s="117">
        <f t="shared" si="44"/>
        <v>1754</v>
      </c>
    </row>
    <row r="257" spans="1:76">
      <c r="A257" s="4">
        <f t="shared" si="39"/>
        <v>2004</v>
      </c>
      <c r="B257" s="4">
        <f t="shared" si="40"/>
        <v>1</v>
      </c>
      <c r="C257" s="108">
        <f>SHL!C257+SPA!C257</f>
        <v>225243</v>
      </c>
      <c r="D257" s="108">
        <f>SHL!D257+SPA!D257</f>
        <v>22126</v>
      </c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>
        <f t="shared" si="41"/>
        <v>9348</v>
      </c>
      <c r="Z257" s="175">
        <f>SHL!Z257+SPA!Z257</f>
        <v>226773</v>
      </c>
      <c r="AA257" s="108">
        <f t="shared" si="38"/>
        <v>1530</v>
      </c>
      <c r="AB257" s="547">
        <f>SPA!AB257+SHL!AB257</f>
        <v>227046</v>
      </c>
      <c r="BN257" s="4">
        <f t="shared" si="42"/>
        <v>2004</v>
      </c>
      <c r="BO257" s="4">
        <f t="shared" si="43"/>
        <v>1</v>
      </c>
      <c r="BP257" s="108">
        <f>SHL!BP257+SPA!BP257</f>
        <v>199927.94228798372</v>
      </c>
      <c r="BQ257" s="108"/>
      <c r="BR257" s="108"/>
      <c r="BS257" s="108"/>
      <c r="BT257" s="175">
        <f>SHL!BT257+SPA!BT257</f>
        <v>199732.94228798372</v>
      </c>
      <c r="BU257" s="108">
        <f t="shared" si="45"/>
        <v>-17639.757501276355</v>
      </c>
      <c r="BV257" s="108"/>
      <c r="BW257" s="108">
        <f t="shared" si="44"/>
        <v>-195</v>
      </c>
    </row>
    <row r="258" spans="1:76">
      <c r="A258" s="4">
        <f t="shared" si="39"/>
        <v>2004</v>
      </c>
      <c r="B258" s="4">
        <f t="shared" si="40"/>
        <v>2</v>
      </c>
      <c r="C258" s="108">
        <f>SHL!C258+SPA!C258</f>
        <v>220898</v>
      </c>
      <c r="D258" s="108">
        <f>SHL!D258+SPA!D258</f>
        <v>21659</v>
      </c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>
        <f t="shared" si="41"/>
        <v>2626</v>
      </c>
      <c r="Z258" s="175">
        <f>SHL!Z258+SPA!Z258</f>
        <v>221632</v>
      </c>
      <c r="AA258" s="108">
        <f t="shared" si="38"/>
        <v>734</v>
      </c>
      <c r="AB258" s="547">
        <f>SPA!AB258+SHL!AB258</f>
        <v>224273</v>
      </c>
      <c r="BN258" s="4">
        <f t="shared" si="42"/>
        <v>2004</v>
      </c>
      <c r="BO258" s="4">
        <f t="shared" si="43"/>
        <v>2</v>
      </c>
      <c r="BP258" s="108">
        <f>SHL!BP258+SPA!BP258</f>
        <v>229053.82110411284</v>
      </c>
      <c r="BQ258" s="108"/>
      <c r="BR258" s="108"/>
      <c r="BS258" s="108"/>
      <c r="BT258" s="175">
        <f>SHL!BT258+SPA!BT258</f>
        <v>230572.82110411284</v>
      </c>
      <c r="BU258" s="108">
        <f t="shared" si="45"/>
        <v>35481.488956496585</v>
      </c>
      <c r="BV258" s="108"/>
      <c r="BW258" s="108">
        <f t="shared" si="44"/>
        <v>1519</v>
      </c>
    </row>
    <row r="259" spans="1:76">
      <c r="A259" s="4">
        <f t="shared" si="39"/>
        <v>2004</v>
      </c>
      <c r="B259" s="4">
        <f t="shared" si="40"/>
        <v>3</v>
      </c>
      <c r="C259" s="108">
        <f>SHL!C259+SPA!C259</f>
        <v>225466</v>
      </c>
      <c r="D259" s="108">
        <f>SHL!D259+SPA!D259</f>
        <v>22665</v>
      </c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>
        <f t="shared" si="41"/>
        <v>11173</v>
      </c>
      <c r="Z259" s="175">
        <f>SHL!Z259+SPA!Z259</f>
        <v>226918</v>
      </c>
      <c r="AA259" s="108">
        <f t="shared" si="38"/>
        <v>1452</v>
      </c>
      <c r="AB259" s="547">
        <f>SPA!AB259+SHL!AB259</f>
        <v>225501</v>
      </c>
      <c r="BN259" s="4">
        <f t="shared" si="42"/>
        <v>2004</v>
      </c>
      <c r="BO259" s="4">
        <f t="shared" si="43"/>
        <v>3</v>
      </c>
      <c r="BP259" s="108">
        <f>SHL!BP259+SPA!BP259</f>
        <v>227081.53654319592</v>
      </c>
      <c r="BQ259" s="108"/>
      <c r="BR259" s="108"/>
      <c r="BS259" s="108"/>
      <c r="BT259" s="175">
        <f>SHL!BT259+SPA!BT259</f>
        <v>229296.53654319592</v>
      </c>
      <c r="BU259" s="108">
        <f t="shared" si="45"/>
        <v>-16803.93980506243</v>
      </c>
      <c r="BV259" s="108"/>
      <c r="BW259" s="108">
        <f t="shared" si="44"/>
        <v>2215</v>
      </c>
    </row>
    <row r="260" spans="1:76">
      <c r="A260" s="4">
        <f t="shared" si="39"/>
        <v>2004</v>
      </c>
      <c r="B260" s="4">
        <f t="shared" si="40"/>
        <v>4</v>
      </c>
      <c r="C260" s="108">
        <f>SHL!C260+SPA!C260</f>
        <v>237936</v>
      </c>
      <c r="D260" s="108">
        <f>SHL!D260+SPA!D260</f>
        <v>22189</v>
      </c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>
        <f t="shared" si="41"/>
        <v>19752</v>
      </c>
      <c r="Z260" s="175">
        <f>SHL!Z260+SPA!Z260</f>
        <v>244193</v>
      </c>
      <c r="AA260" s="108">
        <f t="shared" si="38"/>
        <v>6257</v>
      </c>
      <c r="AB260" s="547">
        <f>SPA!AB260+SHL!AB260</f>
        <v>243787</v>
      </c>
      <c r="BN260" s="4">
        <f t="shared" si="42"/>
        <v>2004</v>
      </c>
      <c r="BO260" s="4">
        <f t="shared" si="43"/>
        <v>4</v>
      </c>
      <c r="BP260" s="108">
        <f>SHL!BP260+SPA!BP260</f>
        <v>253803.92681058095</v>
      </c>
      <c r="BQ260" s="108"/>
      <c r="BR260" s="108"/>
      <c r="BS260" s="108"/>
      <c r="BT260" s="175">
        <f>SHL!BT260+SPA!BT260</f>
        <v>260580.92681058095</v>
      </c>
      <c r="BU260" s="108">
        <f t="shared" si="45"/>
        <v>34412.525019772351</v>
      </c>
      <c r="BV260" s="108"/>
      <c r="BW260" s="108">
        <f t="shared" si="44"/>
        <v>6777</v>
      </c>
    </row>
    <row r="261" spans="1:76">
      <c r="A261" s="4">
        <f t="shared" si="39"/>
        <v>2004</v>
      </c>
      <c r="B261" s="4">
        <f t="shared" si="40"/>
        <v>5</v>
      </c>
      <c r="C261" s="108">
        <f>SHL!C261+SPA!C261</f>
        <v>252188</v>
      </c>
      <c r="D261" s="108">
        <f>SHL!D261+SPA!D261</f>
        <v>22464</v>
      </c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>
        <f t="shared" si="41"/>
        <v>16571</v>
      </c>
      <c r="Z261" s="175">
        <f>SHL!Z261+SPA!Z261</f>
        <v>254967</v>
      </c>
      <c r="AA261" s="108">
        <f t="shared" si="38"/>
        <v>2779</v>
      </c>
      <c r="AB261" s="547">
        <f>SPA!AB261+SHL!AB261</f>
        <v>253691</v>
      </c>
      <c r="BN261" s="4">
        <f t="shared" si="42"/>
        <v>2004</v>
      </c>
      <c r="BO261" s="4">
        <f t="shared" si="43"/>
        <v>5</v>
      </c>
      <c r="BP261" s="108">
        <f>SHL!BP261+SPA!BP261</f>
        <v>278940.17307221319</v>
      </c>
      <c r="BQ261" s="108"/>
      <c r="BR261" s="108"/>
      <c r="BS261" s="108"/>
      <c r="BT261" s="175">
        <f>SHL!BT261+SPA!BT261</f>
        <v>279525.17307221319</v>
      </c>
      <c r="BU261" s="108">
        <f t="shared" si="45"/>
        <v>7055.3877207049518</v>
      </c>
      <c r="BV261" s="108"/>
      <c r="BW261" s="108">
        <f t="shared" si="44"/>
        <v>585</v>
      </c>
    </row>
    <row r="262" spans="1:76">
      <c r="A262" s="4">
        <f t="shared" si="39"/>
        <v>2004</v>
      </c>
      <c r="B262" s="4">
        <f t="shared" si="40"/>
        <v>6</v>
      </c>
      <c r="C262" s="108">
        <f>SHL!C262+SPA!C262</f>
        <v>261098</v>
      </c>
      <c r="D262" s="108">
        <f>SHL!D262+SPA!D262</f>
        <v>22231</v>
      </c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>
        <f t="shared" si="41"/>
        <v>-4690</v>
      </c>
      <c r="Z262" s="175">
        <f>SHL!Z262+SPA!Z262</f>
        <v>256105</v>
      </c>
      <c r="AA262" s="108">
        <f t="shared" si="38"/>
        <v>-4993</v>
      </c>
      <c r="AB262" s="547">
        <f>SPA!AB262+SHL!AB262</f>
        <v>257338</v>
      </c>
      <c r="BN262" s="4">
        <f t="shared" si="42"/>
        <v>2004</v>
      </c>
      <c r="BO262" s="4">
        <f t="shared" si="43"/>
        <v>6</v>
      </c>
      <c r="BP262" s="108">
        <f>SHL!BP262+SPA!BP262</f>
        <v>248748.89335090408</v>
      </c>
      <c r="BQ262" s="108"/>
      <c r="BR262" s="108"/>
      <c r="BS262" s="108"/>
      <c r="BT262" s="175">
        <f>SHL!BT262+SPA!BT262</f>
        <v>239191.89335090408</v>
      </c>
      <c r="BU262" s="108">
        <f t="shared" si="45"/>
        <v>-9301.1159061726357</v>
      </c>
      <c r="BV262" s="108"/>
      <c r="BW262" s="108">
        <f t="shared" si="44"/>
        <v>-9557</v>
      </c>
      <c r="BX262" s="174"/>
    </row>
    <row r="263" spans="1:76">
      <c r="A263" s="4">
        <f t="shared" si="39"/>
        <v>2004</v>
      </c>
      <c r="B263" s="4">
        <f t="shared" si="40"/>
        <v>7</v>
      </c>
      <c r="C263" s="108">
        <f>SHL!C263+SPA!C263</f>
        <v>268822</v>
      </c>
      <c r="D263" s="108">
        <f>SHL!D263+SPA!D263</f>
        <v>22223</v>
      </c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>
        <f t="shared" si="41"/>
        <v>4124</v>
      </c>
      <c r="Z263" s="175">
        <f>SHL!Z263+SPA!Z263</f>
        <v>261809</v>
      </c>
      <c r="AA263" s="108">
        <f t="shared" si="38"/>
        <v>-7013</v>
      </c>
      <c r="AB263" s="547">
        <f>SPA!AB263+SHL!AB263</f>
        <v>262198</v>
      </c>
      <c r="BN263" s="4">
        <f t="shared" si="42"/>
        <v>2004</v>
      </c>
      <c r="BO263" s="4">
        <f t="shared" si="43"/>
        <v>7</v>
      </c>
      <c r="BP263" s="108">
        <f>SHL!BP263+SPA!BP263</f>
        <v>268599.14575309225</v>
      </c>
      <c r="BQ263" s="108"/>
      <c r="BR263" s="108"/>
      <c r="BS263" s="108"/>
      <c r="BT263" s="175">
        <f>SHL!BT263+SPA!BT263</f>
        <v>269034.14575309225</v>
      </c>
      <c r="BU263" s="108">
        <f t="shared" si="45"/>
        <v>5925.9680210981169</v>
      </c>
      <c r="BV263" s="108"/>
      <c r="BW263" s="108">
        <f t="shared" si="44"/>
        <v>435</v>
      </c>
      <c r="BX263" s="174"/>
    </row>
    <row r="264" spans="1:76">
      <c r="A264" s="3">
        <f t="shared" si="39"/>
        <v>2004</v>
      </c>
      <c r="B264" s="3">
        <f t="shared" si="40"/>
        <v>8</v>
      </c>
      <c r="C264" s="108">
        <f>SHL!C264+SPA!C264</f>
        <v>272180</v>
      </c>
      <c r="D264" s="108">
        <f>SHL!D264+SPA!D264</f>
        <v>22294</v>
      </c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4">
        <f t="shared" si="41"/>
        <v>29715</v>
      </c>
      <c r="Z264" s="175">
        <f>SHL!Z264+SPA!Z264</f>
        <v>286343</v>
      </c>
      <c r="AA264" s="108">
        <f t="shared" si="38"/>
        <v>14163</v>
      </c>
      <c r="AB264" s="554">
        <f>SPA!AB264+SHL!AB264</f>
        <v>286927</v>
      </c>
      <c r="BN264" s="3">
        <f t="shared" si="42"/>
        <v>2004</v>
      </c>
      <c r="BO264" s="3">
        <f t="shared" si="43"/>
        <v>8</v>
      </c>
      <c r="BP264" s="108">
        <f>SHL!BP264+SPA!BP264</f>
        <v>282032.92952378403</v>
      </c>
      <c r="BQ264" s="108"/>
      <c r="BR264" s="108"/>
      <c r="BS264" s="108"/>
      <c r="BT264" s="175">
        <f>SHL!BT264+SPA!BT264</f>
        <v>293651.92952378403</v>
      </c>
      <c r="BU264" s="108">
        <f t="shared" si="45"/>
        <v>34420.478390020464</v>
      </c>
      <c r="BV264" s="108"/>
      <c r="BW264" s="108">
        <f t="shared" si="44"/>
        <v>11619</v>
      </c>
      <c r="BX264" s="174"/>
    </row>
    <row r="265" spans="1:76">
      <c r="A265" s="3">
        <f t="shared" si="39"/>
        <v>2004</v>
      </c>
      <c r="B265" s="3">
        <f t="shared" si="40"/>
        <v>9</v>
      </c>
      <c r="C265" s="108">
        <f>SHL!C265+SPA!C265</f>
        <v>276767</v>
      </c>
      <c r="D265" s="108">
        <f>SHL!D265+SPA!D265</f>
        <v>22597</v>
      </c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4">
        <f t="shared" si="41"/>
        <v>-27214</v>
      </c>
      <c r="Z265" s="175">
        <f>SHL!Z265+SPA!Z265</f>
        <v>281054</v>
      </c>
      <c r="AA265" s="108">
        <f t="shared" si="38"/>
        <v>4287</v>
      </c>
      <c r="AB265" s="554">
        <f>SPA!AB265+SHL!AB265</f>
        <v>280153</v>
      </c>
      <c r="BN265" s="3">
        <f t="shared" si="42"/>
        <v>2004</v>
      </c>
      <c r="BO265" s="3">
        <f t="shared" si="43"/>
        <v>9</v>
      </c>
      <c r="BP265" s="108">
        <f>SHL!BP265+SPA!BP265</f>
        <v>265433.39243073651</v>
      </c>
      <c r="BQ265" s="108"/>
      <c r="BR265" s="108"/>
      <c r="BS265" s="108"/>
      <c r="BT265" s="175">
        <f>SHL!BT265+SPA!BT265</f>
        <v>268345.39243073651</v>
      </c>
      <c r="BU265" s="108">
        <f t="shared" si="45"/>
        <v>-34164.984039017116</v>
      </c>
      <c r="BV265" s="108"/>
      <c r="BW265" s="108">
        <f t="shared" si="44"/>
        <v>2912</v>
      </c>
      <c r="BX265" s="174"/>
    </row>
    <row r="266" spans="1:76">
      <c r="A266" s="4">
        <f t="shared" si="39"/>
        <v>2004</v>
      </c>
      <c r="B266" s="4">
        <f t="shared" si="40"/>
        <v>10</v>
      </c>
      <c r="C266" s="108">
        <f>SHL!C266+SPA!C266</f>
        <v>279813</v>
      </c>
      <c r="D266" s="108">
        <f>SHL!D266+SPA!D266</f>
        <v>22788</v>
      </c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>
        <f t="shared" si="41"/>
        <v>-460</v>
      </c>
      <c r="Z266" s="175">
        <f>SHL!Z266+SPA!Z266</f>
        <v>279333</v>
      </c>
      <c r="AA266" s="108">
        <f t="shared" si="38"/>
        <v>-480</v>
      </c>
      <c r="AB266" s="547">
        <f>SPA!AB266+SHL!AB266</f>
        <v>278650</v>
      </c>
      <c r="BN266" s="4">
        <f t="shared" si="42"/>
        <v>2004</v>
      </c>
      <c r="BO266" s="4">
        <f t="shared" si="43"/>
        <v>10</v>
      </c>
      <c r="BP266" s="108">
        <f>SHL!BP266+SPA!BP266</f>
        <v>289569.46914708486</v>
      </c>
      <c r="BQ266" s="108"/>
      <c r="BR266" s="108"/>
      <c r="BS266" s="108"/>
      <c r="BT266" s="175">
        <f>SHL!BT266+SPA!BT266</f>
        <v>287946.46914708486</v>
      </c>
      <c r="BU266" s="108">
        <f t="shared" si="45"/>
        <v>3383.8665298871347</v>
      </c>
      <c r="BV266" s="108"/>
      <c r="BW266" s="108">
        <f t="shared" si="44"/>
        <v>-1623</v>
      </c>
    </row>
    <row r="267" spans="1:76">
      <c r="A267" s="4">
        <f t="shared" si="39"/>
        <v>2004</v>
      </c>
      <c r="B267" s="4">
        <f t="shared" si="40"/>
        <v>11</v>
      </c>
      <c r="C267" s="108">
        <f>SHL!C267+SPA!C267</f>
        <v>269740</v>
      </c>
      <c r="D267" s="108">
        <f>SHL!D267+SPA!D267</f>
        <v>22931</v>
      </c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>
        <f t="shared" si="41"/>
        <v>13204</v>
      </c>
      <c r="Z267" s="175">
        <f>SHL!Z267+SPA!Z267</f>
        <v>266666</v>
      </c>
      <c r="AA267" s="108">
        <f t="shared" si="38"/>
        <v>-3074</v>
      </c>
      <c r="AB267" s="547">
        <f>SPA!AB267+SHL!AB267</f>
        <v>265972</v>
      </c>
      <c r="BN267" s="4">
        <f t="shared" si="42"/>
        <v>2004</v>
      </c>
      <c r="BO267" s="4">
        <f t="shared" si="43"/>
        <v>11</v>
      </c>
      <c r="BP267" s="108">
        <f>SHL!BP267+SPA!BP267</f>
        <v>256897.67565938461</v>
      </c>
      <c r="BQ267" s="108"/>
      <c r="BR267" s="108"/>
      <c r="BS267" s="108"/>
      <c r="BT267" s="175">
        <f>SHL!BT267+SPA!BT267</f>
        <v>254312.67565938461</v>
      </c>
      <c r="BU267" s="108">
        <f t="shared" si="45"/>
        <v>35653.420651051187</v>
      </c>
      <c r="BV267" s="108"/>
      <c r="BW267" s="108">
        <f t="shared" si="44"/>
        <v>-2585</v>
      </c>
    </row>
    <row r="268" spans="1:76" s="89" customFormat="1">
      <c r="A268" s="89">
        <f t="shared" si="39"/>
        <v>2004</v>
      </c>
      <c r="B268" s="89">
        <f t="shared" si="40"/>
        <v>12</v>
      </c>
      <c r="C268" s="117">
        <f>SHL!C268+SPA!C268</f>
        <v>253522</v>
      </c>
      <c r="D268" s="117">
        <f>SHL!D268+SPA!D268</f>
        <v>22784</v>
      </c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>
        <f t="shared" si="41"/>
        <v>14504</v>
      </c>
      <c r="Z268" s="176">
        <f>SHL!Z268+SPA!Z268</f>
        <v>252360</v>
      </c>
      <c r="AA268" s="117">
        <f t="shared" si="38"/>
        <v>-1162</v>
      </c>
      <c r="AB268" s="548">
        <f>SPA!AB268+SHL!AB268</f>
        <v>250577</v>
      </c>
      <c r="BN268" s="89">
        <f t="shared" si="42"/>
        <v>2004</v>
      </c>
      <c r="BO268" s="89">
        <f t="shared" si="43"/>
        <v>12</v>
      </c>
      <c r="BP268" s="117">
        <f>SHL!BP268+SPA!BP268</f>
        <v>271865.43692448782</v>
      </c>
      <c r="BQ268" s="117"/>
      <c r="BR268" s="117"/>
      <c r="BS268" s="117"/>
      <c r="BT268" s="176">
        <f>SHL!BT268+SPA!BT268</f>
        <v>271380.43692448782</v>
      </c>
      <c r="BU268" s="117">
        <f t="shared" si="45"/>
        <v>16830.963128421921</v>
      </c>
      <c r="BV268" s="117"/>
      <c r="BW268" s="117">
        <f t="shared" si="44"/>
        <v>-485</v>
      </c>
    </row>
    <row r="269" spans="1:76" s="23" customFormat="1">
      <c r="A269" s="23">
        <f t="shared" si="39"/>
        <v>2005</v>
      </c>
      <c r="B269" s="23">
        <f t="shared" si="40"/>
        <v>1</v>
      </c>
      <c r="C269" s="50">
        <f>SHL!C269+SPA!C269</f>
        <v>239328</v>
      </c>
      <c r="D269" s="50">
        <f>SHL!D269+SPA!D269</f>
        <v>22320</v>
      </c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>
        <f t="shared" si="41"/>
        <v>13091</v>
      </c>
      <c r="Z269" s="178">
        <f>SHL!Z269+SPA!Z269</f>
        <v>239864</v>
      </c>
      <c r="AA269" s="50">
        <f t="shared" si="38"/>
        <v>536</v>
      </c>
      <c r="AB269" s="549">
        <f>SPA!AB269+SHL!AB269</f>
        <v>242170</v>
      </c>
      <c r="BN269" s="23">
        <f t="shared" si="42"/>
        <v>2005</v>
      </c>
      <c r="BO269" s="23">
        <f t="shared" si="43"/>
        <v>1</v>
      </c>
      <c r="BP269" s="50">
        <f>SHL!BP269+SPA!BP269</f>
        <v>212487.13304941959</v>
      </c>
      <c r="BQ269" s="50"/>
      <c r="BR269" s="50"/>
      <c r="BS269" s="50"/>
      <c r="BT269" s="178">
        <f>SHL!BT269+SPA!BT269</f>
        <v>211860.13304941959</v>
      </c>
      <c r="BU269" s="50">
        <f t="shared" si="45"/>
        <v>12127.190761435864</v>
      </c>
      <c r="BV269" s="50"/>
      <c r="BW269" s="50">
        <f t="shared" si="44"/>
        <v>-627</v>
      </c>
    </row>
    <row r="270" spans="1:76">
      <c r="A270" s="4">
        <f t="shared" si="39"/>
        <v>2005</v>
      </c>
      <c r="B270" s="4">
        <f t="shared" si="40"/>
        <v>2</v>
      </c>
      <c r="C270" s="108">
        <f>SHL!C270+SPA!C270</f>
        <v>232305</v>
      </c>
      <c r="D270" s="108">
        <f>SHL!D270+SPA!D270</f>
        <v>22553</v>
      </c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>
        <f t="shared" si="41"/>
        <v>11616</v>
      </c>
      <c r="Z270" s="175">
        <f>SHL!Z270+SPA!Z270</f>
        <v>233248</v>
      </c>
      <c r="AA270" s="108">
        <f t="shared" si="38"/>
        <v>943</v>
      </c>
      <c r="AB270" s="547">
        <f>SPA!AB270+SHL!AB270</f>
        <v>234159</v>
      </c>
      <c r="BN270" s="4">
        <f t="shared" si="42"/>
        <v>2005</v>
      </c>
      <c r="BO270" s="4">
        <f t="shared" si="43"/>
        <v>2</v>
      </c>
      <c r="BP270" s="108">
        <f>SHL!BP270+SPA!BP270</f>
        <v>212907.12986153178</v>
      </c>
      <c r="BQ270" s="108"/>
      <c r="BR270" s="108"/>
      <c r="BS270" s="108"/>
      <c r="BT270" s="175">
        <f>SHL!BT270+SPA!BT270</f>
        <v>216025.12986153178</v>
      </c>
      <c r="BU270" s="108">
        <f t="shared" si="45"/>
        <v>-14547.691242581059</v>
      </c>
      <c r="BV270" s="108"/>
      <c r="BW270" s="108">
        <f t="shared" si="44"/>
        <v>3118</v>
      </c>
    </row>
    <row r="271" spans="1:76">
      <c r="A271" s="4">
        <f t="shared" si="39"/>
        <v>2005</v>
      </c>
      <c r="B271" s="4">
        <f t="shared" si="40"/>
        <v>3</v>
      </c>
      <c r="C271" s="108">
        <f>SHL!C271+SPA!C271</f>
        <v>237484</v>
      </c>
      <c r="D271" s="108">
        <f>SHL!D271+SPA!D271</f>
        <v>22753</v>
      </c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>
        <f t="shared" si="41"/>
        <v>14427</v>
      </c>
      <c r="Z271" s="175">
        <f>SHL!Z271+SPA!Z271</f>
        <v>241345</v>
      </c>
      <c r="AA271" s="108">
        <f t="shared" si="38"/>
        <v>3861</v>
      </c>
      <c r="AB271" s="547">
        <f>SPA!AB271+SHL!AB271</f>
        <v>240196</v>
      </c>
      <c r="BN271" s="4">
        <f t="shared" si="42"/>
        <v>2005</v>
      </c>
      <c r="BO271" s="4">
        <f t="shared" si="43"/>
        <v>3</v>
      </c>
      <c r="BP271" s="108">
        <f>SHL!BP271+SPA!BP271</f>
        <v>262847.46246473148</v>
      </c>
      <c r="BQ271" s="108"/>
      <c r="BR271" s="108"/>
      <c r="BS271" s="108"/>
      <c r="BT271" s="175">
        <f>SHL!BT271+SPA!BT271</f>
        <v>264134.46246473148</v>
      </c>
      <c r="BU271" s="108">
        <f t="shared" si="45"/>
        <v>34837.925921535556</v>
      </c>
      <c r="BV271" s="108"/>
      <c r="BW271" s="108">
        <f t="shared" si="44"/>
        <v>1287</v>
      </c>
    </row>
    <row r="272" spans="1:76">
      <c r="A272" s="4">
        <f t="shared" si="39"/>
        <v>2005</v>
      </c>
      <c r="B272" s="4">
        <f t="shared" si="40"/>
        <v>4</v>
      </c>
      <c r="C272" s="108">
        <f>SHL!C272+SPA!C272</f>
        <v>247180</v>
      </c>
      <c r="D272" s="108">
        <f>SHL!D272+SPA!D272</f>
        <v>22645</v>
      </c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>
        <f t="shared" si="41"/>
        <v>5662</v>
      </c>
      <c r="Z272" s="175">
        <f>SHL!Z272+SPA!Z272</f>
        <v>249855</v>
      </c>
      <c r="AA272" s="108">
        <f t="shared" si="38"/>
        <v>2675</v>
      </c>
      <c r="AB272" s="547">
        <f>SPA!AB272+SHL!AB272</f>
        <v>250283</v>
      </c>
      <c r="BN272" s="4">
        <f t="shared" si="42"/>
        <v>2005</v>
      </c>
      <c r="BO272" s="4">
        <f t="shared" si="43"/>
        <v>4</v>
      </c>
      <c r="BP272" s="108">
        <f>SHL!BP272+SPA!BP272</f>
        <v>238608.95840364147</v>
      </c>
      <c r="BQ272" s="108"/>
      <c r="BR272" s="108"/>
      <c r="BS272" s="108"/>
      <c r="BT272" s="175">
        <f>SHL!BT272+SPA!BT272</f>
        <v>248753.95840364147</v>
      </c>
      <c r="BU272" s="108">
        <f t="shared" si="45"/>
        <v>-11826.968406939472</v>
      </c>
      <c r="BV272" s="108"/>
      <c r="BW272" s="108">
        <f t="shared" si="44"/>
        <v>10145</v>
      </c>
    </row>
    <row r="273" spans="1:75">
      <c r="A273" s="4">
        <f t="shared" si="39"/>
        <v>2005</v>
      </c>
      <c r="B273" s="4">
        <f t="shared" si="40"/>
        <v>5</v>
      </c>
      <c r="C273" s="108">
        <f>SHL!C273+SPA!C273</f>
        <v>249226</v>
      </c>
      <c r="D273" s="108">
        <f>SHL!D273+SPA!D273</f>
        <v>23151</v>
      </c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>
        <f t="shared" si="41"/>
        <v>6473</v>
      </c>
      <c r="Z273" s="175">
        <f>SHL!Z273+SPA!Z273</f>
        <v>261440</v>
      </c>
      <c r="AA273" s="108">
        <f t="shared" ref="AA273:AA336" si="46">Z273-C273</f>
        <v>12214</v>
      </c>
      <c r="AB273" s="547">
        <f>SPA!AB273+SHL!AB273</f>
        <v>259305</v>
      </c>
      <c r="BN273" s="4">
        <f t="shared" si="42"/>
        <v>2005</v>
      </c>
      <c r="BO273" s="4">
        <f t="shared" si="43"/>
        <v>5</v>
      </c>
      <c r="BP273" s="108">
        <f>SHL!BP273+SPA!BP273</f>
        <v>291812.23927931947</v>
      </c>
      <c r="BQ273" s="108"/>
      <c r="BR273" s="108"/>
      <c r="BS273" s="108"/>
      <c r="BT273" s="175">
        <f>SHL!BT273+SPA!BT273</f>
        <v>302665.23927931947</v>
      </c>
      <c r="BU273" s="108">
        <f t="shared" si="45"/>
        <v>23140.066207106283</v>
      </c>
      <c r="BV273" s="108"/>
      <c r="BW273" s="108">
        <f t="shared" si="44"/>
        <v>10853</v>
      </c>
    </row>
    <row r="274" spans="1:75">
      <c r="A274" s="4">
        <f t="shared" si="39"/>
        <v>2005</v>
      </c>
      <c r="B274" s="4">
        <f t="shared" si="40"/>
        <v>6</v>
      </c>
      <c r="C274" s="108">
        <f>SHL!C274+SPA!C274</f>
        <v>265934</v>
      </c>
      <c r="D274" s="108">
        <f>SHL!D274+SPA!D274</f>
        <v>21672</v>
      </c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>
        <f t="shared" si="41"/>
        <v>18430</v>
      </c>
      <c r="Z274" s="175">
        <f>SHL!Z274+SPA!Z274</f>
        <v>274535</v>
      </c>
      <c r="AA274" s="108">
        <f t="shared" si="46"/>
        <v>8601</v>
      </c>
      <c r="AB274" s="547">
        <f>SPA!AB274+SHL!AB274</f>
        <v>279128</v>
      </c>
      <c r="BN274" s="4">
        <f t="shared" si="42"/>
        <v>2005</v>
      </c>
      <c r="BO274" s="4">
        <f t="shared" si="43"/>
        <v>6</v>
      </c>
      <c r="BP274" s="108">
        <f>SHL!BP274+SPA!BP274</f>
        <v>261273.24635031793</v>
      </c>
      <c r="BQ274" s="108"/>
      <c r="BR274" s="108"/>
      <c r="BS274" s="108"/>
      <c r="BT274" s="175">
        <f>SHL!BT274+SPA!BT274</f>
        <v>266773.2463503179</v>
      </c>
      <c r="BU274" s="108">
        <f t="shared" si="45"/>
        <v>27581.352999413823</v>
      </c>
      <c r="BV274" s="108"/>
      <c r="BW274" s="108">
        <f t="shared" si="44"/>
        <v>5499.9999999999709</v>
      </c>
    </row>
    <row r="275" spans="1:75">
      <c r="A275" s="4">
        <f t="shared" si="39"/>
        <v>2005</v>
      </c>
      <c r="B275" s="4">
        <f t="shared" si="40"/>
        <v>7</v>
      </c>
      <c r="C275" s="108">
        <f>SHL!C275+SPA!C275</f>
        <v>277582</v>
      </c>
      <c r="D275" s="108">
        <f>SHL!D275+SPA!D275</f>
        <v>22739</v>
      </c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>
        <f t="shared" si="41"/>
        <v>14306</v>
      </c>
      <c r="Z275" s="175">
        <f>SHL!Z275+SPA!Z275</f>
        <v>276115</v>
      </c>
      <c r="AA275" s="108">
        <f t="shared" si="46"/>
        <v>-1467</v>
      </c>
      <c r="AB275" s="547">
        <f>SPA!AB275+SHL!AB275</f>
        <v>275046</v>
      </c>
      <c r="BN275" s="4">
        <f t="shared" si="42"/>
        <v>2005</v>
      </c>
      <c r="BO275" s="4">
        <f t="shared" si="43"/>
        <v>7</v>
      </c>
      <c r="BP275" s="108">
        <f>SHL!BP275+SPA!BP275</f>
        <v>276742.16523407598</v>
      </c>
      <c r="BQ275" s="108"/>
      <c r="BR275" s="108"/>
      <c r="BS275" s="108"/>
      <c r="BT275" s="175">
        <f>SHL!BT275+SPA!BT275</f>
        <v>264825.16523407598</v>
      </c>
      <c r="BU275" s="108">
        <f t="shared" si="45"/>
        <v>-4208.9805190162733</v>
      </c>
      <c r="BV275" s="108"/>
      <c r="BW275" s="108">
        <f t="shared" si="44"/>
        <v>-11917</v>
      </c>
    </row>
    <row r="276" spans="1:75">
      <c r="A276" s="4">
        <f t="shared" si="39"/>
        <v>2005</v>
      </c>
      <c r="B276" s="4">
        <f t="shared" si="40"/>
        <v>8</v>
      </c>
      <c r="C276" s="108">
        <f>SHL!C276+SPA!C276</f>
        <v>297631</v>
      </c>
      <c r="D276" s="108">
        <f>SHL!D276+SPA!D276</f>
        <v>22760</v>
      </c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>
        <f t="shared" si="41"/>
        <v>-1752</v>
      </c>
      <c r="Z276" s="175">
        <f>SHL!Z276+SPA!Z276</f>
        <v>284591</v>
      </c>
      <c r="AA276" s="108">
        <f t="shared" si="46"/>
        <v>-13040</v>
      </c>
      <c r="AB276" s="547">
        <f>SPA!AB276+SHL!AB276</f>
        <v>280652</v>
      </c>
      <c r="BN276" s="4">
        <f t="shared" si="42"/>
        <v>2005</v>
      </c>
      <c r="BO276" s="4">
        <f t="shared" si="43"/>
        <v>8</v>
      </c>
      <c r="BP276" s="108">
        <f>SHL!BP276+SPA!BP276</f>
        <v>311100.18716037786</v>
      </c>
      <c r="BQ276" s="108"/>
      <c r="BR276" s="108"/>
      <c r="BS276" s="108"/>
      <c r="BT276" s="175">
        <f>SHL!BT276+SPA!BT276</f>
        <v>296799.18716037786</v>
      </c>
      <c r="BU276" s="108">
        <f t="shared" si="45"/>
        <v>3147.2576365938294</v>
      </c>
      <c r="BV276" s="108"/>
      <c r="BW276" s="108">
        <f t="shared" si="44"/>
        <v>-14301</v>
      </c>
    </row>
    <row r="277" spans="1:75">
      <c r="A277" s="4">
        <f t="shared" si="39"/>
        <v>2005</v>
      </c>
      <c r="B277" s="4">
        <f t="shared" si="40"/>
        <v>9</v>
      </c>
      <c r="C277" s="108">
        <f>SHL!C277+SPA!C277</f>
        <v>321653</v>
      </c>
      <c r="D277" s="108">
        <f>SHL!D277+SPA!D277</f>
        <v>22848</v>
      </c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>
        <f t="shared" si="41"/>
        <v>29759</v>
      </c>
      <c r="Z277" s="175">
        <f>SHL!Z277+SPA!Z277</f>
        <v>310813</v>
      </c>
      <c r="AA277" s="108">
        <f t="shared" si="46"/>
        <v>-10840</v>
      </c>
      <c r="AB277" s="547">
        <f>SPA!AB277+SHL!AB277</f>
        <v>310156</v>
      </c>
      <c r="BN277" s="4">
        <f t="shared" si="42"/>
        <v>2005</v>
      </c>
      <c r="BO277" s="4">
        <f t="shared" si="43"/>
        <v>9</v>
      </c>
      <c r="BP277" s="108">
        <f>SHL!BP277+SPA!BP277</f>
        <v>309760.46539853298</v>
      </c>
      <c r="BQ277" s="108"/>
      <c r="BR277" s="108"/>
      <c r="BS277" s="108"/>
      <c r="BT277" s="175">
        <f>SHL!BT277+SPA!BT277</f>
        <v>303548.46539853298</v>
      </c>
      <c r="BU277" s="108">
        <f t="shared" si="45"/>
        <v>35203.07296779647</v>
      </c>
      <c r="BV277" s="108"/>
      <c r="BW277" s="108">
        <f t="shared" si="44"/>
        <v>-6212</v>
      </c>
    </row>
    <row r="278" spans="1:75">
      <c r="A278" s="4">
        <f t="shared" si="39"/>
        <v>2005</v>
      </c>
      <c r="B278" s="4">
        <f t="shared" si="40"/>
        <v>10</v>
      </c>
      <c r="C278" s="108">
        <f>SHL!C278+SPA!C278</f>
        <v>301200</v>
      </c>
      <c r="D278" s="108">
        <f>SHL!D278+SPA!D278</f>
        <v>22609</v>
      </c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>
        <f t="shared" si="41"/>
        <v>10701</v>
      </c>
      <c r="Z278" s="175">
        <f>SHL!Z278+SPA!Z278</f>
        <v>290034</v>
      </c>
      <c r="AA278" s="108">
        <f t="shared" si="46"/>
        <v>-11166</v>
      </c>
      <c r="AB278" s="547">
        <f>SPA!AB278+SHL!AB278</f>
        <v>290336</v>
      </c>
      <c r="BN278" s="4">
        <f t="shared" si="42"/>
        <v>2005</v>
      </c>
      <c r="BO278" s="4">
        <f t="shared" si="43"/>
        <v>10</v>
      </c>
      <c r="BP278" s="108">
        <f>SHL!BP278+SPA!BP278</f>
        <v>291758.8015785708</v>
      </c>
      <c r="BQ278" s="108"/>
      <c r="BR278" s="108"/>
      <c r="BS278" s="108"/>
      <c r="BT278" s="175">
        <f>SHL!BT278+SPA!BT278</f>
        <v>285219.8015785708</v>
      </c>
      <c r="BU278" s="108">
        <f t="shared" si="45"/>
        <v>-2726.6675685140654</v>
      </c>
      <c r="BV278" s="108"/>
      <c r="BW278" s="108">
        <f t="shared" si="44"/>
        <v>-6539</v>
      </c>
    </row>
    <row r="279" spans="1:75">
      <c r="A279" s="4">
        <f t="shared" si="39"/>
        <v>2005</v>
      </c>
      <c r="B279" s="4">
        <f t="shared" si="40"/>
        <v>11</v>
      </c>
      <c r="C279" s="108">
        <f>SHL!C279+SPA!C279</f>
        <v>272244</v>
      </c>
      <c r="D279" s="108">
        <f>SHL!D279+SPA!D279</f>
        <v>23190</v>
      </c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>
        <f t="shared" si="41"/>
        <v>4110</v>
      </c>
      <c r="Z279" s="175">
        <f>SHL!Z279+SPA!Z279</f>
        <v>270776</v>
      </c>
      <c r="AA279" s="108">
        <f t="shared" si="46"/>
        <v>-1468</v>
      </c>
      <c r="AB279" s="547">
        <f>SPA!AB279+SHL!AB279</f>
        <v>267902</v>
      </c>
      <c r="BN279" s="4">
        <f t="shared" si="42"/>
        <v>2005</v>
      </c>
      <c r="BO279" s="4">
        <f t="shared" si="43"/>
        <v>11</v>
      </c>
      <c r="BP279" s="108">
        <f>SHL!BP279+SPA!BP279</f>
        <v>245411.03296265891</v>
      </c>
      <c r="BQ279" s="108"/>
      <c r="BR279" s="108"/>
      <c r="BS279" s="108"/>
      <c r="BT279" s="175">
        <f>SHL!BT279+SPA!BT279</f>
        <v>243517.03296265891</v>
      </c>
      <c r="BU279" s="108">
        <f t="shared" si="45"/>
        <v>-10795.642696725699</v>
      </c>
      <c r="BV279" s="108"/>
      <c r="BW279" s="108">
        <f t="shared" si="44"/>
        <v>-1894</v>
      </c>
    </row>
    <row r="280" spans="1:75" s="89" customFormat="1">
      <c r="A280" s="89">
        <f t="shared" si="39"/>
        <v>2005</v>
      </c>
      <c r="B280" s="89">
        <f t="shared" si="40"/>
        <v>12</v>
      </c>
      <c r="C280" s="117">
        <f>SHL!C280+SPA!C280</f>
        <v>256699</v>
      </c>
      <c r="D280" s="117">
        <f>SHL!D280+SPA!D280</f>
        <v>22847</v>
      </c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  <c r="V280" s="117"/>
      <c r="W280" s="117"/>
      <c r="X280" s="117"/>
      <c r="Y280" s="117">
        <f t="shared" si="41"/>
        <v>5447</v>
      </c>
      <c r="Z280" s="176">
        <f>SHL!Z280+SPA!Z280</f>
        <v>257807</v>
      </c>
      <c r="AA280" s="117">
        <f t="shared" si="46"/>
        <v>1108</v>
      </c>
      <c r="AB280" s="548">
        <f>SPA!AB280+SHL!AB280</f>
        <v>259384</v>
      </c>
      <c r="BN280" s="89">
        <f t="shared" si="42"/>
        <v>2005</v>
      </c>
      <c r="BO280" s="89">
        <f t="shared" si="43"/>
        <v>12</v>
      </c>
      <c r="BP280" s="117">
        <f>SHL!BP280+SPA!BP280</f>
        <v>269187.19401768525</v>
      </c>
      <c r="BQ280" s="117"/>
      <c r="BR280" s="117"/>
      <c r="BS280" s="117"/>
      <c r="BT280" s="176">
        <f>SHL!BT280+SPA!BT280</f>
        <v>272317.19401768525</v>
      </c>
      <c r="BU280" s="117">
        <f t="shared" si="45"/>
        <v>936.75709319743328</v>
      </c>
      <c r="BV280" s="117"/>
      <c r="BW280" s="117">
        <f t="shared" si="44"/>
        <v>3130</v>
      </c>
    </row>
    <row r="281" spans="1:75">
      <c r="A281" s="4">
        <f t="shared" si="39"/>
        <v>2006</v>
      </c>
      <c r="B281" s="4">
        <f t="shared" si="40"/>
        <v>1</v>
      </c>
      <c r="C281" s="108">
        <f>SHL!C281+SPA!C281</f>
        <v>238406</v>
      </c>
      <c r="D281" s="108">
        <f>SHL!D281+SPA!D281</f>
        <v>22665</v>
      </c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>
        <f t="shared" si="41"/>
        <v>988</v>
      </c>
      <c r="Z281" s="175">
        <f>SHL!Z281+SPA!Z281</f>
        <v>240852</v>
      </c>
      <c r="AA281" s="108">
        <f t="shared" si="46"/>
        <v>2446</v>
      </c>
      <c r="AB281" s="547">
        <f>SPA!AB281+SHL!AB281</f>
        <v>242237</v>
      </c>
      <c r="BN281" s="4">
        <f t="shared" si="42"/>
        <v>2006</v>
      </c>
      <c r="BO281" s="4">
        <f t="shared" si="43"/>
        <v>1</v>
      </c>
      <c r="BP281" s="108">
        <f>SHL!BP281+SPA!BP281</f>
        <v>216600.93888322334</v>
      </c>
      <c r="BQ281" s="108"/>
      <c r="BR281" s="108"/>
      <c r="BS281" s="108"/>
      <c r="BT281" s="175">
        <f>SHL!BT281+SPA!BT281</f>
        <v>216422.93888322334</v>
      </c>
      <c r="BU281" s="108">
        <f t="shared" si="45"/>
        <v>4562.8058338037517</v>
      </c>
      <c r="BV281" s="108"/>
      <c r="BW281" s="108">
        <f t="shared" si="44"/>
        <v>-178</v>
      </c>
    </row>
    <row r="282" spans="1:75">
      <c r="A282" s="4">
        <f t="shared" si="39"/>
        <v>2006</v>
      </c>
      <c r="B282" s="4">
        <f t="shared" si="40"/>
        <v>2</v>
      </c>
      <c r="C282" s="108">
        <f>SHL!C282+SPA!C282</f>
        <v>243021</v>
      </c>
      <c r="D282" s="108">
        <f>SHL!D282+SPA!D282</f>
        <v>22857</v>
      </c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>
        <f t="shared" si="41"/>
        <v>10176</v>
      </c>
      <c r="Z282" s="175">
        <f>SHL!Z282+SPA!Z282</f>
        <v>243424</v>
      </c>
      <c r="AA282" s="108">
        <f t="shared" si="46"/>
        <v>403</v>
      </c>
      <c r="AB282" s="547">
        <f>SPA!AB282+SHL!AB282</f>
        <v>243272</v>
      </c>
      <c r="BN282" s="4">
        <f t="shared" si="42"/>
        <v>2006</v>
      </c>
      <c r="BO282" s="4">
        <f t="shared" si="43"/>
        <v>2</v>
      </c>
      <c r="BP282" s="108">
        <f>SHL!BP282+SPA!BP282</f>
        <v>248718.73106055183</v>
      </c>
      <c r="BQ282" s="108"/>
      <c r="BR282" s="108"/>
      <c r="BS282" s="108"/>
      <c r="BT282" s="175">
        <f>SHL!BT282+SPA!BT282</f>
        <v>249814.73106055183</v>
      </c>
      <c r="BU282" s="108">
        <f t="shared" si="45"/>
        <v>33789.60119902005</v>
      </c>
      <c r="BV282" s="108"/>
      <c r="BW282" s="108">
        <f t="shared" si="44"/>
        <v>1096</v>
      </c>
    </row>
    <row r="283" spans="1:75">
      <c r="A283" s="4">
        <f t="shared" si="39"/>
        <v>2006</v>
      </c>
      <c r="B283" s="4">
        <f t="shared" si="40"/>
        <v>3</v>
      </c>
      <c r="C283" s="108">
        <f>SHL!C283+SPA!C283</f>
        <v>239085</v>
      </c>
      <c r="D283" s="108">
        <f>SHL!D283+SPA!D283</f>
        <v>23049</v>
      </c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>
        <f t="shared" si="41"/>
        <v>-2451</v>
      </c>
      <c r="Z283" s="175">
        <f>SHL!Z283+SPA!Z283</f>
        <v>238894</v>
      </c>
      <c r="AA283" s="108">
        <f t="shared" si="46"/>
        <v>-191</v>
      </c>
      <c r="AB283" s="547">
        <f>SPA!AB283+SHL!AB283</f>
        <v>238900</v>
      </c>
      <c r="BN283" s="4">
        <f t="shared" si="42"/>
        <v>2006</v>
      </c>
      <c r="BO283" s="4">
        <f t="shared" si="43"/>
        <v>3</v>
      </c>
      <c r="BP283" s="108">
        <f>SHL!BP283+SPA!BP283</f>
        <v>246665.72382477947</v>
      </c>
      <c r="BQ283" s="108"/>
      <c r="BR283" s="108"/>
      <c r="BS283" s="108"/>
      <c r="BT283" s="175">
        <f>SHL!BT283+SPA!BT283</f>
        <v>245754.72382477947</v>
      </c>
      <c r="BU283" s="108">
        <f t="shared" si="45"/>
        <v>-18379.738639952004</v>
      </c>
      <c r="BV283" s="108"/>
      <c r="BW283" s="108">
        <f t="shared" si="44"/>
        <v>-911</v>
      </c>
    </row>
    <row r="284" spans="1:75">
      <c r="A284" s="4">
        <f t="shared" si="39"/>
        <v>2006</v>
      </c>
      <c r="B284" s="4">
        <f t="shared" si="40"/>
        <v>4</v>
      </c>
      <c r="C284" s="108">
        <f>SHL!C284+SPA!C284</f>
        <v>252830</v>
      </c>
      <c r="D284" s="108">
        <f>SHL!D284+SPA!D284</f>
        <v>22638</v>
      </c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>
        <f t="shared" si="41"/>
        <v>1656</v>
      </c>
      <c r="Z284" s="175">
        <f>SHL!Z284+SPA!Z284</f>
        <v>251511</v>
      </c>
      <c r="AA284" s="108">
        <f t="shared" si="46"/>
        <v>-1319</v>
      </c>
      <c r="AB284" s="547">
        <f>SPA!AB284+SHL!AB284</f>
        <v>252499</v>
      </c>
      <c r="BN284" s="4">
        <f t="shared" si="42"/>
        <v>2006</v>
      </c>
      <c r="BO284" s="4">
        <f t="shared" si="43"/>
        <v>4</v>
      </c>
      <c r="BP284" s="108">
        <f>SHL!BP284+SPA!BP284</f>
        <v>284517.94245800388</v>
      </c>
      <c r="BQ284" s="108"/>
      <c r="BR284" s="108"/>
      <c r="BS284" s="108"/>
      <c r="BT284" s="175">
        <f>SHL!BT284+SPA!BT284</f>
        <v>276968.94245800388</v>
      </c>
      <c r="BU284" s="108">
        <f t="shared" si="45"/>
        <v>28214.984054362401</v>
      </c>
      <c r="BV284" s="108"/>
      <c r="BW284" s="108">
        <f t="shared" si="44"/>
        <v>-7549</v>
      </c>
    </row>
    <row r="285" spans="1:75">
      <c r="A285" s="4">
        <f t="shared" ref="A285:A348" si="47">A273+1</f>
        <v>2006</v>
      </c>
      <c r="B285" s="4">
        <f t="shared" ref="B285:B348" si="48">B273</f>
        <v>5</v>
      </c>
      <c r="C285" s="108">
        <f>SHL!C285+SPA!C285</f>
        <v>273712</v>
      </c>
      <c r="D285" s="108">
        <f>SHL!D285+SPA!D285</f>
        <v>23155</v>
      </c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>
        <f t="shared" ref="Y285:Y347" si="49">Z285-Z273</f>
        <v>6956</v>
      </c>
      <c r="Z285" s="175">
        <f>SHL!Z285+SPA!Z285</f>
        <v>268396</v>
      </c>
      <c r="AA285" s="108">
        <f t="shared" si="46"/>
        <v>-5316</v>
      </c>
      <c r="AB285" s="547">
        <f>SPA!AB285+SHL!AB285</f>
        <v>267998</v>
      </c>
      <c r="BN285" s="4">
        <f t="shared" ref="BN285:BN352" si="50">BN273+1</f>
        <v>2006</v>
      </c>
      <c r="BO285" s="4">
        <f t="shared" ref="BO285:BO352" si="51">BO273</f>
        <v>5</v>
      </c>
      <c r="BP285" s="108">
        <f>SHL!BP285+SPA!BP285</f>
        <v>282805.05553402967</v>
      </c>
      <c r="BQ285" s="108"/>
      <c r="BR285" s="108"/>
      <c r="BS285" s="108"/>
      <c r="BT285" s="175">
        <f>SHL!BT285+SPA!BT285</f>
        <v>285164.05553402967</v>
      </c>
      <c r="BU285" s="108">
        <f t="shared" si="45"/>
        <v>-17501.183745289803</v>
      </c>
      <c r="BV285" s="108"/>
      <c r="BW285" s="108">
        <f t="shared" si="44"/>
        <v>2359</v>
      </c>
    </row>
    <row r="286" spans="1:75">
      <c r="A286" s="4">
        <f t="shared" si="47"/>
        <v>2006</v>
      </c>
      <c r="B286" s="4">
        <f t="shared" si="48"/>
        <v>6</v>
      </c>
      <c r="C286" s="108">
        <f>SHL!C286+SPA!C286</f>
        <v>279882</v>
      </c>
      <c r="D286" s="108">
        <f>SHL!D286+SPA!D286</f>
        <v>23122</v>
      </c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>
        <f t="shared" si="49"/>
        <v>6179</v>
      </c>
      <c r="Z286" s="175">
        <f>SHL!Z286+SPA!Z286</f>
        <v>280714</v>
      </c>
      <c r="AA286" s="108">
        <f t="shared" si="46"/>
        <v>832</v>
      </c>
      <c r="AB286" s="547">
        <f>SPA!AB286+SHL!AB286</f>
        <v>277810</v>
      </c>
      <c r="BN286" s="4">
        <f t="shared" si="50"/>
        <v>2006</v>
      </c>
      <c r="BO286" s="4">
        <f t="shared" si="51"/>
        <v>6</v>
      </c>
      <c r="BP286" s="108">
        <f>SHL!BP286+SPA!BP286</f>
        <v>272113.91569092328</v>
      </c>
      <c r="BQ286" s="108"/>
      <c r="BR286" s="108"/>
      <c r="BS286" s="108"/>
      <c r="BT286" s="175">
        <f>SHL!BT286+SPA!BT286</f>
        <v>272288.91569092328</v>
      </c>
      <c r="BU286" s="108">
        <f t="shared" si="45"/>
        <v>5515.6693406053819</v>
      </c>
      <c r="BV286" s="108"/>
      <c r="BW286" s="108">
        <f t="shared" si="44"/>
        <v>175</v>
      </c>
    </row>
    <row r="287" spans="1:75">
      <c r="A287" s="4">
        <f t="shared" si="47"/>
        <v>2006</v>
      </c>
      <c r="B287" s="4">
        <f t="shared" si="48"/>
        <v>7</v>
      </c>
      <c r="C287" s="108">
        <f>SHL!C287+SPA!C287</f>
        <v>283383</v>
      </c>
      <c r="D287" s="108">
        <f>SHL!D287+SPA!D287</f>
        <v>22496</v>
      </c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>
        <f t="shared" si="49"/>
        <v>9189</v>
      </c>
      <c r="Z287" s="175">
        <f>SHL!Z287+SPA!Z287</f>
        <v>285304</v>
      </c>
      <c r="AA287" s="108">
        <f t="shared" si="46"/>
        <v>1921</v>
      </c>
      <c r="AB287" s="547">
        <f>SPA!AB287+SHL!AB287</f>
        <v>287638</v>
      </c>
      <c r="BN287" s="4">
        <f t="shared" si="50"/>
        <v>2006</v>
      </c>
      <c r="BO287" s="4">
        <f t="shared" si="51"/>
        <v>7</v>
      </c>
      <c r="BP287" s="108">
        <f>SHL!BP287+SPA!BP287</f>
        <v>300485.57053419639</v>
      </c>
      <c r="BQ287" s="108"/>
      <c r="BR287" s="108"/>
      <c r="BS287" s="108"/>
      <c r="BT287" s="175">
        <f>SHL!BT287+SPA!BT287</f>
        <v>302593.57053419639</v>
      </c>
      <c r="BU287" s="108">
        <f t="shared" si="45"/>
        <v>37768.405300120416</v>
      </c>
      <c r="BV287" s="108"/>
      <c r="BW287" s="108">
        <f t="shared" si="44"/>
        <v>2108</v>
      </c>
    </row>
    <row r="288" spans="1:75">
      <c r="A288" s="4">
        <f t="shared" si="47"/>
        <v>2006</v>
      </c>
      <c r="B288" s="4">
        <f t="shared" si="48"/>
        <v>8</v>
      </c>
      <c r="C288" s="108">
        <f>SHL!C288+SPA!C288</f>
        <v>301096</v>
      </c>
      <c r="D288" s="108">
        <f>SHL!D288+SPA!D288</f>
        <v>23708</v>
      </c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>
        <f t="shared" si="49"/>
        <v>12288</v>
      </c>
      <c r="Z288" s="175">
        <f>SHL!Z288+SPA!Z288</f>
        <v>296879</v>
      </c>
      <c r="AA288" s="108">
        <f t="shared" si="46"/>
        <v>-4217</v>
      </c>
      <c r="AB288" s="547">
        <f>SPA!AB288+SHL!AB288</f>
        <v>294683</v>
      </c>
      <c r="BN288" s="4">
        <f t="shared" si="50"/>
        <v>2006</v>
      </c>
      <c r="BO288" s="4">
        <f t="shared" si="51"/>
        <v>8</v>
      </c>
      <c r="BP288" s="108">
        <f>SHL!BP288+SPA!BP288</f>
        <v>287102.74360865721</v>
      </c>
      <c r="BQ288" s="108"/>
      <c r="BR288" s="108"/>
      <c r="BS288" s="108"/>
      <c r="BT288" s="175">
        <f>SHL!BT288+SPA!BT288</f>
        <v>283573.74360865721</v>
      </c>
      <c r="BU288" s="108">
        <f t="shared" si="45"/>
        <v>-13225.443551720644</v>
      </c>
      <c r="BV288" s="108"/>
      <c r="BW288" s="108">
        <f t="shared" si="44"/>
        <v>-3529</v>
      </c>
    </row>
    <row r="289" spans="1:75">
      <c r="A289" s="4">
        <f t="shared" si="47"/>
        <v>2006</v>
      </c>
      <c r="B289" s="4">
        <f t="shared" si="48"/>
        <v>9</v>
      </c>
      <c r="C289" s="108">
        <f>SHL!C289+SPA!C289</f>
        <v>320441</v>
      </c>
      <c r="D289" s="108">
        <f>SHL!D289+SPA!D289</f>
        <v>23407</v>
      </c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>
        <f t="shared" si="49"/>
        <v>11484</v>
      </c>
      <c r="Z289" s="175">
        <f>SHL!Z289+SPA!Z289</f>
        <v>322297</v>
      </c>
      <c r="AA289" s="108">
        <f t="shared" si="46"/>
        <v>1856</v>
      </c>
      <c r="AB289" s="547">
        <f>SPA!AB289+SHL!AB289</f>
        <v>320923</v>
      </c>
      <c r="BN289" s="4">
        <f t="shared" si="50"/>
        <v>2006</v>
      </c>
      <c r="BO289" s="4">
        <f t="shared" si="51"/>
        <v>9</v>
      </c>
      <c r="BP289" s="108">
        <f>SHL!BP289+SPA!BP289</f>
        <v>317089.53682053013</v>
      </c>
      <c r="BQ289" s="108"/>
      <c r="BR289" s="108"/>
      <c r="BS289" s="108"/>
      <c r="BT289" s="175">
        <f>SHL!BT289+SPA!BT289</f>
        <v>321055.53682053013</v>
      </c>
      <c r="BU289" s="108">
        <f t="shared" si="45"/>
        <v>17507.071421997156</v>
      </c>
      <c r="BV289" s="108"/>
      <c r="BW289" s="108">
        <f t="shared" si="44"/>
        <v>3966</v>
      </c>
    </row>
    <row r="290" spans="1:75">
      <c r="A290" s="4">
        <f t="shared" si="47"/>
        <v>2006</v>
      </c>
      <c r="B290" s="4">
        <f t="shared" si="48"/>
        <v>10</v>
      </c>
      <c r="C290" s="108">
        <f>SHL!C290+SPA!C290</f>
        <v>295292</v>
      </c>
      <c r="D290" s="108">
        <f>SHL!D290+SPA!D290</f>
        <v>23024</v>
      </c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>
        <f t="shared" si="49"/>
        <v>9619</v>
      </c>
      <c r="Z290" s="175">
        <f>SHL!Z290+SPA!Z290</f>
        <v>299653</v>
      </c>
      <c r="AA290" s="108">
        <f t="shared" si="46"/>
        <v>4361</v>
      </c>
      <c r="AB290" s="547">
        <f>SPA!AB290+SHL!AB290</f>
        <v>302434</v>
      </c>
      <c r="BN290" s="4">
        <f t="shared" si="50"/>
        <v>2006</v>
      </c>
      <c r="BO290" s="4">
        <f t="shared" si="51"/>
        <v>10</v>
      </c>
      <c r="BP290" s="108">
        <f>SHL!BP290+SPA!BP290</f>
        <v>294135.64470256359</v>
      </c>
      <c r="BQ290" s="108"/>
      <c r="BR290" s="108"/>
      <c r="BS290" s="108"/>
      <c r="BT290" s="175">
        <f>SHL!BT290+SPA!BT290</f>
        <v>297439.64470256359</v>
      </c>
      <c r="BU290" s="108">
        <f t="shared" si="45"/>
        <v>12219.843123992789</v>
      </c>
      <c r="BV290" s="108"/>
      <c r="BW290" s="108">
        <f t="shared" si="44"/>
        <v>3304</v>
      </c>
    </row>
    <row r="291" spans="1:75">
      <c r="A291" s="4">
        <f t="shared" si="47"/>
        <v>2006</v>
      </c>
      <c r="B291" s="4">
        <f t="shared" si="48"/>
        <v>11</v>
      </c>
      <c r="C291" s="108">
        <f>SHL!C291+SPA!C291</f>
        <v>285650</v>
      </c>
      <c r="D291" s="108">
        <f>SHL!D291+SPA!D291</f>
        <v>23979</v>
      </c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>
        <f t="shared" si="49"/>
        <v>18846</v>
      </c>
      <c r="Z291" s="175">
        <f>SHL!Z291+SPA!Z291</f>
        <v>289622</v>
      </c>
      <c r="AA291" s="108">
        <f t="shared" si="46"/>
        <v>3972</v>
      </c>
      <c r="AB291" s="547">
        <f>SPA!AB291+SHL!AB291</f>
        <v>286626</v>
      </c>
      <c r="BN291" s="4">
        <f t="shared" si="50"/>
        <v>2006</v>
      </c>
      <c r="BO291" s="4">
        <f t="shared" si="51"/>
        <v>11</v>
      </c>
      <c r="BP291" s="108">
        <f>SHL!BP291+SPA!BP291</f>
        <v>260921.2260136657</v>
      </c>
      <c r="BQ291" s="108"/>
      <c r="BR291" s="108"/>
      <c r="BS291" s="108"/>
      <c r="BT291" s="175">
        <f>SHL!BT291+SPA!BT291</f>
        <v>264333.22601366573</v>
      </c>
      <c r="BU291" s="108">
        <f t="shared" si="45"/>
        <v>20816.19305100682</v>
      </c>
      <c r="BV291" s="108"/>
      <c r="BW291" s="108">
        <f t="shared" si="44"/>
        <v>3412.0000000000291</v>
      </c>
    </row>
    <row r="292" spans="1:75" s="89" customFormat="1">
      <c r="A292" s="89">
        <f t="shared" si="47"/>
        <v>2006</v>
      </c>
      <c r="B292" s="89">
        <f t="shared" si="48"/>
        <v>12</v>
      </c>
      <c r="C292" s="117">
        <f>SHL!C292+SPA!C292</f>
        <v>263274</v>
      </c>
      <c r="D292" s="117">
        <f>SHL!D292+SPA!D292</f>
        <v>23818</v>
      </c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  <c r="V292" s="117"/>
      <c r="W292" s="117"/>
      <c r="X292" s="117"/>
      <c r="Y292" s="117">
        <f t="shared" si="49"/>
        <v>7366</v>
      </c>
      <c r="Z292" s="176">
        <f>SHL!Z292+SPA!Z292</f>
        <v>265173</v>
      </c>
      <c r="AA292" s="117">
        <f t="shared" si="46"/>
        <v>1899</v>
      </c>
      <c r="AB292" s="548">
        <f>SPA!AB292+SHL!AB292</f>
        <v>266040</v>
      </c>
      <c r="BN292" s="89">
        <f t="shared" si="50"/>
        <v>2006</v>
      </c>
      <c r="BO292" s="89">
        <f t="shared" si="51"/>
        <v>12</v>
      </c>
      <c r="BP292" s="117">
        <f>SHL!BP292+SPA!BP292</f>
        <v>253468.39454568244</v>
      </c>
      <c r="BQ292" s="117"/>
      <c r="BR292" s="117"/>
      <c r="BS292" s="117"/>
      <c r="BT292" s="176">
        <f>SHL!BT292+SPA!BT292</f>
        <v>252077.39454568244</v>
      </c>
      <c r="BU292" s="117">
        <f t="shared" si="45"/>
        <v>-20239.799472002807</v>
      </c>
      <c r="BV292" s="117"/>
      <c r="BW292" s="117">
        <f t="shared" si="44"/>
        <v>-1391</v>
      </c>
    </row>
    <row r="293" spans="1:75">
      <c r="A293" s="4">
        <f t="shared" si="47"/>
        <v>2007</v>
      </c>
      <c r="B293" s="4">
        <f t="shared" si="48"/>
        <v>1</v>
      </c>
      <c r="C293" s="108">
        <f>SHL!C293+SPA!C293</f>
        <v>251663</v>
      </c>
      <c r="D293" s="108">
        <f>SHL!D293+SPA!D293</f>
        <v>23330</v>
      </c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>
        <f t="shared" si="49"/>
        <v>8386</v>
      </c>
      <c r="Z293" s="175">
        <f>SHL!Z293+SPA!Z293</f>
        <v>249238</v>
      </c>
      <c r="AA293" s="108">
        <f t="shared" si="46"/>
        <v>-2425</v>
      </c>
      <c r="AB293" s="547">
        <f>SPA!AB293+SHL!AB293</f>
        <v>249853</v>
      </c>
      <c r="BN293" s="4">
        <f t="shared" si="50"/>
        <v>2007</v>
      </c>
      <c r="BO293" s="4">
        <f t="shared" si="51"/>
        <v>1</v>
      </c>
      <c r="BP293" s="108">
        <f>SHL!BP293+SPA!BP293</f>
        <v>263870.7278751831</v>
      </c>
      <c r="BQ293" s="108"/>
      <c r="BR293" s="108"/>
      <c r="BS293" s="108"/>
      <c r="BT293" s="175">
        <f>SHL!BT293+SPA!BT293</f>
        <v>262463.7278751831</v>
      </c>
      <c r="BU293" s="108">
        <f t="shared" si="45"/>
        <v>46040.788991959766</v>
      </c>
      <c r="BV293" s="108"/>
      <c r="BW293" s="108">
        <f t="shared" si="44"/>
        <v>-1407</v>
      </c>
    </row>
    <row r="294" spans="1:75">
      <c r="A294" s="4">
        <f t="shared" si="47"/>
        <v>2007</v>
      </c>
      <c r="B294" s="4">
        <f t="shared" si="48"/>
        <v>2</v>
      </c>
      <c r="C294" s="108">
        <f>SHL!C294+SPA!C294</f>
        <v>248172</v>
      </c>
      <c r="D294" s="108">
        <f>SHL!D294+SPA!D294</f>
        <v>23736</v>
      </c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>
        <f t="shared" si="49"/>
        <v>5758</v>
      </c>
      <c r="Z294" s="175">
        <f>SHL!Z294+SPA!Z294</f>
        <v>249182</v>
      </c>
      <c r="AA294" s="108">
        <f t="shared" si="46"/>
        <v>1010</v>
      </c>
      <c r="AB294" s="547">
        <f>SPA!AB294+SHL!AB294</f>
        <v>248273</v>
      </c>
      <c r="BN294" s="4">
        <f t="shared" si="50"/>
        <v>2007</v>
      </c>
      <c r="BO294" s="4">
        <f t="shared" si="51"/>
        <v>2</v>
      </c>
      <c r="BP294" s="108">
        <f>SHL!BP294+SPA!BP294</f>
        <v>222399.03114126311</v>
      </c>
      <c r="BQ294" s="108"/>
      <c r="BR294" s="108"/>
      <c r="BS294" s="108"/>
      <c r="BT294" s="175">
        <f>SHL!BT294+SPA!BT294</f>
        <v>224814.03114126311</v>
      </c>
      <c r="BU294" s="108">
        <f t="shared" si="45"/>
        <v>-25000.699919288716</v>
      </c>
      <c r="BV294" s="108"/>
      <c r="BW294" s="108">
        <f t="shared" si="44"/>
        <v>2415</v>
      </c>
    </row>
    <row r="295" spans="1:75">
      <c r="A295" s="4">
        <f t="shared" si="47"/>
        <v>2007</v>
      </c>
      <c r="B295" s="4">
        <f t="shared" si="48"/>
        <v>3</v>
      </c>
      <c r="C295" s="108">
        <f>SHL!C295+SPA!C295</f>
        <v>248336</v>
      </c>
      <c r="D295" s="108">
        <f>SHL!D295+SPA!D295</f>
        <v>23560</v>
      </c>
      <c r="Y295" s="108">
        <f t="shared" si="49"/>
        <v>10395</v>
      </c>
      <c r="Z295" s="175">
        <f>SHL!Z295+SPA!Z295</f>
        <v>249289</v>
      </c>
      <c r="AA295" s="108">
        <f t="shared" si="46"/>
        <v>953</v>
      </c>
      <c r="AB295" s="547">
        <f>SPA!AB295+SHL!AB295</f>
        <v>249879</v>
      </c>
      <c r="BN295" s="4">
        <f t="shared" si="50"/>
        <v>2007</v>
      </c>
      <c r="BO295" s="4">
        <f t="shared" si="51"/>
        <v>3</v>
      </c>
      <c r="BP295" s="108">
        <f>SHL!BP295+SPA!BP295</f>
        <v>266940.66398346575</v>
      </c>
      <c r="BQ295" s="130"/>
      <c r="BT295" s="175">
        <f>SHL!BT295+SPA!BT295</f>
        <v>265769.66398346575</v>
      </c>
      <c r="BU295" s="108">
        <f t="shared" si="45"/>
        <v>20014.94015868628</v>
      </c>
      <c r="BV295" s="108"/>
      <c r="BW295" s="108">
        <f t="shared" si="44"/>
        <v>-1171</v>
      </c>
    </row>
    <row r="296" spans="1:75">
      <c r="A296" s="4">
        <f t="shared" si="47"/>
        <v>2007</v>
      </c>
      <c r="B296" s="4">
        <f t="shared" si="48"/>
        <v>4</v>
      </c>
      <c r="C296" s="108">
        <f>SHL!C296+SPA!C296</f>
        <v>259014</v>
      </c>
      <c r="D296" s="108">
        <f>SHL!D296+SPA!D296</f>
        <v>23530</v>
      </c>
      <c r="Y296" s="108">
        <f t="shared" si="49"/>
        <v>9075</v>
      </c>
      <c r="Z296" s="175">
        <f>SHL!Z296+SPA!Z296</f>
        <v>260586</v>
      </c>
      <c r="AA296" s="108">
        <f t="shared" si="46"/>
        <v>1572</v>
      </c>
      <c r="AB296" s="547">
        <f>SPA!AB296+SHL!AB296</f>
        <v>261593</v>
      </c>
      <c r="BN296" s="4">
        <f t="shared" si="50"/>
        <v>2007</v>
      </c>
      <c r="BO296" s="4">
        <f t="shared" si="51"/>
        <v>4</v>
      </c>
      <c r="BP296" s="108">
        <f>SHL!BP296+SPA!BP296</f>
        <v>268341.51019240572</v>
      </c>
      <c r="BQ296" s="130"/>
      <c r="BT296" s="175">
        <f>SHL!BT296+SPA!BT296</f>
        <v>272870.51019240572</v>
      </c>
      <c r="BU296" s="108">
        <f t="shared" si="45"/>
        <v>-4098.4322655981523</v>
      </c>
      <c r="BV296" s="108"/>
      <c r="BW296" s="108">
        <f t="shared" si="44"/>
        <v>4529</v>
      </c>
    </row>
    <row r="297" spans="1:75">
      <c r="A297" s="4">
        <f t="shared" si="47"/>
        <v>2007</v>
      </c>
      <c r="B297" s="4">
        <f t="shared" si="48"/>
        <v>5</v>
      </c>
      <c r="C297" s="108">
        <f>SHL!C297+SPA!C297</f>
        <v>274432</v>
      </c>
      <c r="D297" s="108">
        <f>SHL!D297+SPA!D297</f>
        <v>24325</v>
      </c>
      <c r="Y297" s="108">
        <f t="shared" si="49"/>
        <v>8080</v>
      </c>
      <c r="Z297" s="175">
        <f>SHL!Z297+SPA!Z297</f>
        <v>276476</v>
      </c>
      <c r="AA297" s="108">
        <f t="shared" si="46"/>
        <v>2044</v>
      </c>
      <c r="AB297" s="547">
        <f>SPA!AB297+SHL!AB297</f>
        <v>274403</v>
      </c>
      <c r="BN297" s="4">
        <f t="shared" si="50"/>
        <v>2007</v>
      </c>
      <c r="BO297" s="4">
        <f t="shared" si="51"/>
        <v>5</v>
      </c>
      <c r="BP297" s="108">
        <f>SHL!BP297+SPA!BP297</f>
        <v>302349.88836686785</v>
      </c>
      <c r="BT297" s="175">
        <f>SHL!BT297+SPA!BT297</f>
        <v>313118.88836686785</v>
      </c>
      <c r="BU297" s="108">
        <f t="shared" si="45"/>
        <v>27954.832832838176</v>
      </c>
      <c r="BV297" s="108"/>
      <c r="BW297" s="108">
        <f t="shared" si="44"/>
        <v>10769</v>
      </c>
    </row>
    <row r="298" spans="1:75">
      <c r="A298" s="4">
        <f t="shared" si="47"/>
        <v>2007</v>
      </c>
      <c r="B298" s="4">
        <f t="shared" si="48"/>
        <v>6</v>
      </c>
      <c r="C298" s="108">
        <f>SHL!C298+SPA!C298</f>
        <v>278000</v>
      </c>
      <c r="D298" s="108">
        <f>SHL!D298+SPA!D298</f>
        <v>23942</v>
      </c>
      <c r="Y298" s="108">
        <f t="shared" si="49"/>
        <v>8938</v>
      </c>
      <c r="Z298" s="175">
        <f>SHL!Z298+SPA!Z298</f>
        <v>289652</v>
      </c>
      <c r="AA298" s="108">
        <f t="shared" si="46"/>
        <v>11652</v>
      </c>
      <c r="AB298" s="547">
        <f>SPA!AB298+SHL!AB298</f>
        <v>287801</v>
      </c>
      <c r="BN298" s="4">
        <f t="shared" si="50"/>
        <v>2007</v>
      </c>
      <c r="BO298" s="4">
        <f t="shared" si="51"/>
        <v>6</v>
      </c>
      <c r="BP298" s="108">
        <f>SHL!BP298+SPA!BP298</f>
        <v>285254.68254668592</v>
      </c>
      <c r="BT298" s="175">
        <f>SHL!BT298+SPA!BT298</f>
        <v>288382.68254668592</v>
      </c>
      <c r="BU298" s="108">
        <f t="shared" si="45"/>
        <v>16093.766855762631</v>
      </c>
      <c r="BV298" s="108"/>
      <c r="BW298" s="108">
        <f t="shared" si="44"/>
        <v>3128</v>
      </c>
    </row>
    <row r="299" spans="1:75">
      <c r="A299" s="4">
        <f t="shared" si="47"/>
        <v>2007</v>
      </c>
      <c r="B299" s="4">
        <f t="shared" si="48"/>
        <v>7</v>
      </c>
      <c r="C299" s="108">
        <f>SHL!C299+SPA!C299</f>
        <v>284935</v>
      </c>
      <c r="D299" s="108">
        <f>SHL!D299+SPA!D299</f>
        <v>23271</v>
      </c>
      <c r="Y299" s="108">
        <f t="shared" si="49"/>
        <v>-1668</v>
      </c>
      <c r="Z299" s="175">
        <f>SHL!Z299+SPA!Z299</f>
        <v>283636</v>
      </c>
      <c r="AA299" s="108">
        <f t="shared" si="46"/>
        <v>-1299</v>
      </c>
      <c r="AB299" s="547">
        <f>SPA!AB299+SHL!AB299</f>
        <v>290014</v>
      </c>
      <c r="BN299" s="4">
        <f t="shared" si="50"/>
        <v>2007</v>
      </c>
      <c r="BO299" s="4">
        <f t="shared" si="51"/>
        <v>7</v>
      </c>
      <c r="BP299" s="108">
        <f>SHL!BP299+SPA!BP299</f>
        <v>290383.51696002629</v>
      </c>
      <c r="BT299" s="175">
        <f>SHL!BT299+SPA!BT299</f>
        <v>288481.51696002629</v>
      </c>
      <c r="BU299" s="108">
        <f t="shared" si="45"/>
        <v>-14112.053574170102</v>
      </c>
      <c r="BV299" s="108"/>
      <c r="BW299" s="108">
        <f t="shared" si="44"/>
        <v>-1902</v>
      </c>
    </row>
    <row r="300" spans="1:75">
      <c r="A300" s="4">
        <f t="shared" si="47"/>
        <v>2007</v>
      </c>
      <c r="B300" s="4">
        <f t="shared" si="48"/>
        <v>8</v>
      </c>
      <c r="C300" s="108">
        <f>SHL!C300+SPA!C300</f>
        <v>311806</v>
      </c>
      <c r="D300" s="108">
        <f>SHL!D300+SPA!D300</f>
        <v>24990</v>
      </c>
      <c r="Y300" s="108">
        <f t="shared" si="49"/>
        <v>8292</v>
      </c>
      <c r="Z300" s="175">
        <f>SHL!Z300+SPA!Z300</f>
        <v>305171</v>
      </c>
      <c r="AA300" s="108">
        <f t="shared" si="46"/>
        <v>-6635</v>
      </c>
      <c r="AB300" s="547">
        <f>SPA!AB300+SHL!AB300</f>
        <v>297668</v>
      </c>
      <c r="BN300" s="4">
        <f t="shared" si="50"/>
        <v>2007</v>
      </c>
      <c r="BO300" s="4">
        <f t="shared" si="51"/>
        <v>8</v>
      </c>
      <c r="BP300" s="108">
        <f>SHL!BP300+SPA!BP300</f>
        <v>302234.89450306789</v>
      </c>
      <c r="BT300" s="175">
        <f>SHL!BT300+SPA!BT300</f>
        <v>289790.89450306789</v>
      </c>
      <c r="BU300" s="108">
        <f t="shared" si="45"/>
        <v>6217.1508944106754</v>
      </c>
      <c r="BV300" s="108"/>
      <c r="BW300" s="108">
        <f t="shared" si="44"/>
        <v>-12444</v>
      </c>
    </row>
    <row r="301" spans="1:75">
      <c r="A301" s="4">
        <f t="shared" si="47"/>
        <v>2007</v>
      </c>
      <c r="B301" s="4">
        <f t="shared" si="48"/>
        <v>9</v>
      </c>
      <c r="C301" s="108">
        <f>SHL!C301+SPA!C301</f>
        <v>330060</v>
      </c>
      <c r="D301" s="108">
        <f>SHL!D301+SPA!D301</f>
        <v>23590</v>
      </c>
      <c r="Y301" s="108">
        <f t="shared" si="49"/>
        <v>158</v>
      </c>
      <c r="Z301" s="175">
        <f>SHL!Z301+SPA!Z301</f>
        <v>322455</v>
      </c>
      <c r="AA301" s="108">
        <f t="shared" si="46"/>
        <v>-7605</v>
      </c>
      <c r="AB301" s="547">
        <f>SPA!AB301+SHL!AB301</f>
        <v>324658</v>
      </c>
      <c r="BN301" s="4">
        <f t="shared" si="50"/>
        <v>2007</v>
      </c>
      <c r="BO301" s="4">
        <f t="shared" si="51"/>
        <v>9</v>
      </c>
      <c r="BP301" s="108">
        <f>SHL!BP301+SPA!BP301</f>
        <v>329694.58503836434</v>
      </c>
      <c r="BT301" s="175">
        <f>SHL!BT301+SPA!BT301</f>
        <v>327434.58503836434</v>
      </c>
      <c r="BU301" s="108">
        <f t="shared" si="45"/>
        <v>6379.0482178342063</v>
      </c>
      <c r="BV301" s="108"/>
      <c r="BW301" s="108">
        <f t="shared" ref="BW301:BW347" si="52">BT301-BP301</f>
        <v>-2260</v>
      </c>
    </row>
    <row r="302" spans="1:75">
      <c r="A302" s="4">
        <f t="shared" si="47"/>
        <v>2007</v>
      </c>
      <c r="B302" s="4">
        <f t="shared" si="48"/>
        <v>10</v>
      </c>
      <c r="C302" s="108">
        <f>SHL!C302+SPA!C302</f>
        <v>312456</v>
      </c>
      <c r="D302" s="108">
        <f>SHL!D302+SPA!D302</f>
        <v>24345</v>
      </c>
      <c r="Y302" s="108">
        <f t="shared" si="49"/>
        <v>6329</v>
      </c>
      <c r="Z302" s="175">
        <f>SHL!Z302+SPA!Z302</f>
        <v>305982</v>
      </c>
      <c r="AA302" s="108">
        <f t="shared" si="46"/>
        <v>-6474</v>
      </c>
      <c r="AB302" s="547">
        <f>SPA!AB302+SHL!AB302</f>
        <v>304182</v>
      </c>
      <c r="BN302" s="4">
        <f t="shared" si="50"/>
        <v>2007</v>
      </c>
      <c r="BO302" s="4">
        <f t="shared" si="51"/>
        <v>10</v>
      </c>
      <c r="BP302" s="108">
        <f>SHL!BP302+SPA!BP302</f>
        <v>308716.14336347015</v>
      </c>
      <c r="BT302" s="175">
        <f>SHL!BT302+SPA!BT302</f>
        <v>294470.14336347015</v>
      </c>
      <c r="BU302" s="108">
        <f t="shared" si="45"/>
        <v>-2969.5013390934328</v>
      </c>
      <c r="BV302" s="108"/>
      <c r="BW302" s="108">
        <f t="shared" si="52"/>
        <v>-14246</v>
      </c>
    </row>
    <row r="303" spans="1:75">
      <c r="A303" s="4">
        <f t="shared" si="47"/>
        <v>2007</v>
      </c>
      <c r="B303" s="4">
        <f t="shared" si="48"/>
        <v>11</v>
      </c>
      <c r="C303" s="108">
        <f>SHL!C303+SPA!C303</f>
        <v>300251</v>
      </c>
      <c r="D303" s="108">
        <f>SHL!D303+SPA!D303</f>
        <v>24880</v>
      </c>
      <c r="Y303" s="108">
        <f t="shared" si="49"/>
        <v>5701</v>
      </c>
      <c r="Z303" s="175">
        <f>SHL!Z303+SPA!Z303</f>
        <v>295323</v>
      </c>
      <c r="AA303" s="108">
        <f t="shared" si="46"/>
        <v>-4928</v>
      </c>
      <c r="AB303" s="547">
        <f>SPA!AB303+SHL!AB303</f>
        <v>295509</v>
      </c>
      <c r="BN303" s="4">
        <f t="shared" si="50"/>
        <v>2007</v>
      </c>
      <c r="BO303" s="4">
        <f t="shared" si="51"/>
        <v>11</v>
      </c>
      <c r="BP303" s="108">
        <f>SHL!BP303+SPA!BP303</f>
        <v>270770.09498038428</v>
      </c>
      <c r="BT303" s="175">
        <f>SHL!BT303+SPA!BT303</f>
        <v>273666.09498038428</v>
      </c>
      <c r="BU303" s="108">
        <f t="shared" si="45"/>
        <v>9332.8689667185536</v>
      </c>
      <c r="BV303" s="108"/>
      <c r="BW303" s="108">
        <f t="shared" si="52"/>
        <v>2896</v>
      </c>
    </row>
    <row r="304" spans="1:75" s="89" customFormat="1">
      <c r="A304" s="89">
        <f t="shared" si="47"/>
        <v>2007</v>
      </c>
      <c r="B304" s="89">
        <f t="shared" si="48"/>
        <v>12</v>
      </c>
      <c r="C304" s="117">
        <f>SHL!C304+SPA!C304</f>
        <v>267591</v>
      </c>
      <c r="D304" s="117">
        <f>SHL!D304+SPA!D304</f>
        <v>24352</v>
      </c>
      <c r="Y304" s="117">
        <f t="shared" si="49"/>
        <v>451</v>
      </c>
      <c r="Z304" s="176">
        <f>SHL!Z304+SPA!Z304</f>
        <v>265624</v>
      </c>
      <c r="AA304" s="117">
        <f t="shared" si="46"/>
        <v>-1967</v>
      </c>
      <c r="AB304" s="548">
        <f>SPA!AB304+SHL!AB304</f>
        <v>263928</v>
      </c>
      <c r="BN304" s="89">
        <f t="shared" si="50"/>
        <v>2007</v>
      </c>
      <c r="BO304" s="89">
        <f t="shared" si="51"/>
        <v>12</v>
      </c>
      <c r="BP304" s="117">
        <f>SHL!BP304+SPA!BP304</f>
        <v>259923.55488112904</v>
      </c>
      <c r="BT304" s="176">
        <f>SHL!BT304+SPA!BT304</f>
        <v>254060.55488112904</v>
      </c>
      <c r="BU304" s="117">
        <f t="shared" si="45"/>
        <v>1983.1603354465915</v>
      </c>
      <c r="BV304" s="117"/>
      <c r="BW304" s="117">
        <f t="shared" si="52"/>
        <v>-5863</v>
      </c>
    </row>
    <row r="305" spans="1:75">
      <c r="A305" s="4">
        <f t="shared" si="47"/>
        <v>2008</v>
      </c>
      <c r="B305" s="4">
        <f t="shared" si="48"/>
        <v>1</v>
      </c>
      <c r="C305" s="108">
        <f>SHL!C305+SPA!C305</f>
        <v>252529</v>
      </c>
      <c r="D305" s="108">
        <f>SHL!D305+SPA!D305</f>
        <v>24369</v>
      </c>
      <c r="Y305" s="108">
        <f t="shared" si="49"/>
        <v>1475</v>
      </c>
      <c r="Z305" s="175">
        <f>SHL!Z305+SPA!Z305</f>
        <v>250713</v>
      </c>
      <c r="AA305" s="108">
        <f t="shared" si="46"/>
        <v>-1816</v>
      </c>
      <c r="AB305" s="547">
        <f>SPA!AB305+SHL!AB305</f>
        <v>254199</v>
      </c>
      <c r="BN305" s="4">
        <f t="shared" si="50"/>
        <v>2008</v>
      </c>
      <c r="BO305" s="4">
        <f t="shared" si="51"/>
        <v>1</v>
      </c>
      <c r="BP305" s="108">
        <f>SHL!BP305+SPA!BP305</f>
        <v>254392.04921267173</v>
      </c>
      <c r="BT305" s="175">
        <f>SHL!BT305+SPA!BT305</f>
        <v>254898.04921267173</v>
      </c>
      <c r="BU305" s="108">
        <f t="shared" si="45"/>
        <v>-7565.6786625113746</v>
      </c>
      <c r="BV305" s="108"/>
      <c r="BW305" s="108">
        <f t="shared" si="52"/>
        <v>506</v>
      </c>
    </row>
    <row r="306" spans="1:75">
      <c r="A306" s="4">
        <f t="shared" si="47"/>
        <v>2008</v>
      </c>
      <c r="B306" s="4">
        <f t="shared" si="48"/>
        <v>2</v>
      </c>
      <c r="C306" s="108">
        <f>SHL!C306+SPA!C306</f>
        <v>251102</v>
      </c>
      <c r="D306" s="108">
        <f>SHL!D306+SPA!D306</f>
        <v>24725</v>
      </c>
      <c r="Y306" s="108">
        <f t="shared" si="49"/>
        <v>2140</v>
      </c>
      <c r="Z306" s="175">
        <f>SHL!Z306+SPA!Z306</f>
        <v>251322</v>
      </c>
      <c r="AA306" s="108">
        <f t="shared" si="46"/>
        <v>220</v>
      </c>
      <c r="AB306" s="547">
        <f>SPA!AB306+SHL!AB306</f>
        <v>251390</v>
      </c>
      <c r="BN306" s="4">
        <f t="shared" si="50"/>
        <v>2008</v>
      </c>
      <c r="BO306" s="4">
        <f t="shared" si="51"/>
        <v>2</v>
      </c>
      <c r="BP306" s="108">
        <f>SHL!BP306+SPA!BP306</f>
        <v>249618.4494830539</v>
      </c>
      <c r="BT306" s="175">
        <f>SHL!BT306+SPA!BT306</f>
        <v>248770.4494830539</v>
      </c>
      <c r="BU306" s="108">
        <f t="shared" si="45"/>
        <v>23956.418341790792</v>
      </c>
      <c r="BV306" s="108"/>
      <c r="BW306" s="108">
        <f t="shared" si="52"/>
        <v>-848</v>
      </c>
    </row>
    <row r="307" spans="1:75">
      <c r="A307" s="4">
        <f t="shared" si="47"/>
        <v>2008</v>
      </c>
      <c r="B307" s="4">
        <f t="shared" si="48"/>
        <v>3</v>
      </c>
      <c r="C307" s="108">
        <f>SHL!C307+SPA!C307</f>
        <v>263414</v>
      </c>
      <c r="D307" s="108">
        <f>SHL!D307+SPA!D307</f>
        <v>24590</v>
      </c>
      <c r="Y307" s="108">
        <f t="shared" si="49"/>
        <v>15727</v>
      </c>
      <c r="Z307" s="175">
        <f>SHL!Z307+SPA!Z307</f>
        <v>265016</v>
      </c>
      <c r="AA307" s="108">
        <f t="shared" si="46"/>
        <v>1602</v>
      </c>
      <c r="AB307" s="547">
        <f>SPA!AB307+SHL!AB307</f>
        <v>263806</v>
      </c>
      <c r="BN307" s="4">
        <f t="shared" si="50"/>
        <v>2008</v>
      </c>
      <c r="BO307" s="4">
        <f t="shared" si="51"/>
        <v>3</v>
      </c>
      <c r="BP307" s="108">
        <f>SHL!BP307+SPA!BP307</f>
        <v>276731.32642835297</v>
      </c>
      <c r="BT307" s="175">
        <f>SHL!BT307+SPA!BT307</f>
        <v>280065.32642835297</v>
      </c>
      <c r="BU307" s="108">
        <f t="shared" si="45"/>
        <v>14295.662444887217</v>
      </c>
      <c r="BV307" s="108"/>
      <c r="BW307" s="108">
        <f t="shared" si="52"/>
        <v>3334</v>
      </c>
    </row>
    <row r="308" spans="1:75">
      <c r="A308" s="4">
        <f t="shared" si="47"/>
        <v>2008</v>
      </c>
      <c r="B308" s="4">
        <f t="shared" si="48"/>
        <v>4</v>
      </c>
      <c r="C308" s="108">
        <f>SHL!C308+SPA!C308</f>
        <v>255206</v>
      </c>
      <c r="D308" s="108">
        <f>SHL!D308+SPA!D308</f>
        <v>24674</v>
      </c>
      <c r="Y308" s="108">
        <f t="shared" si="49"/>
        <v>-3306</v>
      </c>
      <c r="Z308" s="175">
        <f>SHL!Z308+SPA!Z308</f>
        <v>257280</v>
      </c>
      <c r="AA308" s="108">
        <f t="shared" si="46"/>
        <v>2074</v>
      </c>
      <c r="AB308" s="547">
        <f>SPA!AB308+SHL!AB308</f>
        <v>259693</v>
      </c>
      <c r="BN308" s="4">
        <f t="shared" si="50"/>
        <v>2008</v>
      </c>
      <c r="BO308" s="4">
        <f t="shared" si="51"/>
        <v>4</v>
      </c>
      <c r="BP308" s="108">
        <f>SHL!BP308+SPA!BP308</f>
        <v>254009.03740945505</v>
      </c>
      <c r="BT308" s="175">
        <f>SHL!BT308+SPA!BT308</f>
        <v>255029.03740945505</v>
      </c>
      <c r="BU308" s="108">
        <f t="shared" si="45"/>
        <v>-17841.472782950674</v>
      </c>
      <c r="BV308" s="108"/>
      <c r="BW308" s="108">
        <f t="shared" si="52"/>
        <v>1020</v>
      </c>
    </row>
    <row r="309" spans="1:75">
      <c r="A309" s="4">
        <f t="shared" si="47"/>
        <v>2008</v>
      </c>
      <c r="B309" s="4">
        <f t="shared" si="48"/>
        <v>5</v>
      </c>
      <c r="C309" s="108">
        <f>SHL!C309+SPA!C309</f>
        <v>273738</v>
      </c>
      <c r="D309" s="108">
        <f>SHL!D309+SPA!D309</f>
        <v>24804</v>
      </c>
      <c r="Y309" s="108">
        <f t="shared" si="49"/>
        <v>-248</v>
      </c>
      <c r="Z309" s="175">
        <f>SHL!Z309+SPA!Z309</f>
        <v>276228</v>
      </c>
      <c r="AA309" s="108">
        <f t="shared" si="46"/>
        <v>2490</v>
      </c>
      <c r="AB309" s="547">
        <f>SPA!AB309+SHL!AB309</f>
        <v>273711</v>
      </c>
      <c r="BN309" s="4">
        <f t="shared" si="50"/>
        <v>2008</v>
      </c>
      <c r="BO309" s="4">
        <f t="shared" si="51"/>
        <v>5</v>
      </c>
      <c r="BP309" s="108">
        <f>SHL!BP309+SPA!BP309</f>
        <v>315652.45379263151</v>
      </c>
      <c r="BT309" s="175">
        <f>SHL!BT309+SPA!BT309</f>
        <v>311528.45379263151</v>
      </c>
      <c r="BU309" s="108">
        <f t="shared" si="45"/>
        <v>-1590.4345742363366</v>
      </c>
      <c r="BV309" s="108"/>
      <c r="BW309" s="108">
        <f t="shared" si="52"/>
        <v>-4124</v>
      </c>
    </row>
    <row r="310" spans="1:75">
      <c r="A310" s="4">
        <f t="shared" si="47"/>
        <v>2008</v>
      </c>
      <c r="B310" s="4">
        <f t="shared" si="48"/>
        <v>6</v>
      </c>
      <c r="C310" s="108">
        <f>SHL!C310+SPA!C310</f>
        <v>271038</v>
      </c>
      <c r="D310" s="108">
        <f>SHL!D310+SPA!D310</f>
        <v>24847</v>
      </c>
      <c r="Y310" s="108">
        <f t="shared" si="49"/>
        <v>-22746</v>
      </c>
      <c r="Z310" s="175">
        <f>SHL!Z310+SPA!Z310</f>
        <v>266906</v>
      </c>
      <c r="AA310" s="108">
        <f t="shared" si="46"/>
        <v>-4132</v>
      </c>
      <c r="AB310" s="547">
        <f>SPA!AB310+SHL!AB310</f>
        <v>267651</v>
      </c>
      <c r="BN310" s="4">
        <f t="shared" si="50"/>
        <v>2008</v>
      </c>
      <c r="BO310" s="4">
        <f t="shared" si="51"/>
        <v>6</v>
      </c>
      <c r="BP310" s="108">
        <f>SHL!BP310+SPA!BP310</f>
        <v>235914.29214212397</v>
      </c>
      <c r="BT310" s="175">
        <f>SHL!BT310+SPA!BT310</f>
        <v>231878.29214212397</v>
      </c>
      <c r="BU310" s="108">
        <f t="shared" si="45"/>
        <v>-56504.390404561942</v>
      </c>
      <c r="BV310" s="108"/>
      <c r="BW310" s="108">
        <f t="shared" si="52"/>
        <v>-4036</v>
      </c>
    </row>
    <row r="311" spans="1:75">
      <c r="A311" s="4">
        <f t="shared" si="47"/>
        <v>2008</v>
      </c>
      <c r="B311" s="4">
        <f t="shared" si="48"/>
        <v>7</v>
      </c>
      <c r="C311" s="108">
        <f>SHL!C311+SPA!C311</f>
        <v>275815</v>
      </c>
      <c r="D311" s="108">
        <f>SHL!D311+SPA!D311</f>
        <v>23876</v>
      </c>
      <c r="Y311" s="108">
        <f t="shared" si="49"/>
        <v>-2864</v>
      </c>
      <c r="Z311" s="175">
        <f>SHL!Z311+SPA!Z311</f>
        <v>280772</v>
      </c>
      <c r="AA311" s="108">
        <f t="shared" si="46"/>
        <v>4957</v>
      </c>
      <c r="AB311" s="547">
        <f>SPA!AB311+SHL!AB311</f>
        <v>283583</v>
      </c>
      <c r="BN311" s="4">
        <f t="shared" si="50"/>
        <v>2008</v>
      </c>
      <c r="BO311" s="4">
        <f t="shared" si="51"/>
        <v>7</v>
      </c>
      <c r="BP311" s="108">
        <f>SHL!BP311+SPA!BP311</f>
        <v>304723.03863105603</v>
      </c>
      <c r="BT311" s="175">
        <f>SHL!BT311+SPA!BT311</f>
        <v>312242.03863105603</v>
      </c>
      <c r="BU311" s="108">
        <f t="shared" si="45"/>
        <v>23760.521671029739</v>
      </c>
      <c r="BV311" s="108"/>
      <c r="BW311" s="108">
        <f t="shared" si="52"/>
        <v>7519</v>
      </c>
    </row>
    <row r="312" spans="1:75">
      <c r="A312" s="4">
        <f t="shared" si="47"/>
        <v>2008</v>
      </c>
      <c r="B312" s="4">
        <f t="shared" si="48"/>
        <v>8</v>
      </c>
      <c r="C312" s="108">
        <f>SHL!C312+SPA!C312</f>
        <v>290094</v>
      </c>
      <c r="D312" s="108">
        <f>SHL!D312+SPA!D312</f>
        <v>24769</v>
      </c>
      <c r="Y312" s="108">
        <f t="shared" si="49"/>
        <v>-10450</v>
      </c>
      <c r="Z312" s="175">
        <f>SHL!Z312+SPA!Z312</f>
        <v>294721</v>
      </c>
      <c r="AA312" s="108">
        <f t="shared" si="46"/>
        <v>4627</v>
      </c>
      <c r="AB312" s="547">
        <f>SPA!AB312+SHL!AB312</f>
        <v>294367</v>
      </c>
      <c r="BN312" s="4">
        <f t="shared" si="50"/>
        <v>2008</v>
      </c>
      <c r="BO312" s="4">
        <f t="shared" si="51"/>
        <v>8</v>
      </c>
      <c r="BP312" s="108">
        <f>SHL!BP312+SPA!BP312</f>
        <v>280892.89133058157</v>
      </c>
      <c r="BT312" s="175">
        <f>SHL!BT312+SPA!BT312</f>
        <v>287783.89133058157</v>
      </c>
      <c r="BU312" s="108">
        <f t="shared" si="45"/>
        <v>-2007.003172486322</v>
      </c>
      <c r="BV312" s="108"/>
      <c r="BW312" s="108">
        <f t="shared" si="52"/>
        <v>6891</v>
      </c>
    </row>
    <row r="313" spans="1:75">
      <c r="A313" s="4">
        <f t="shared" si="47"/>
        <v>2008</v>
      </c>
      <c r="B313" s="4">
        <f t="shared" si="48"/>
        <v>9</v>
      </c>
      <c r="C313" s="108">
        <f>SHL!C313+SPA!C313</f>
        <v>334937</v>
      </c>
      <c r="D313" s="108">
        <f>SHL!D313+SPA!D313</f>
        <v>25497</v>
      </c>
      <c r="Y313" s="108">
        <f t="shared" si="49"/>
        <v>9915</v>
      </c>
      <c r="Z313" s="175">
        <f>SHL!Z313+SPA!Z313</f>
        <v>332370</v>
      </c>
      <c r="AA313" s="108">
        <f t="shared" si="46"/>
        <v>-2567</v>
      </c>
      <c r="AB313" s="547">
        <f>SPA!AB313+SHL!AB313</f>
        <v>326256</v>
      </c>
      <c r="BN313" s="4">
        <f t="shared" si="50"/>
        <v>2008</v>
      </c>
      <c r="BO313" s="4">
        <f t="shared" si="51"/>
        <v>9</v>
      </c>
      <c r="BP313" s="108">
        <f>SHL!BP313+SPA!BP313</f>
        <v>316747.95598960435</v>
      </c>
      <c r="BT313" s="175">
        <f>SHL!BT313+SPA!BT313</f>
        <v>314708.95598960435</v>
      </c>
      <c r="BU313" s="108">
        <f t="shared" ref="BU313:BU347" si="53">BT313-BT301</f>
        <v>-12725.629048759991</v>
      </c>
      <c r="BV313" s="108"/>
      <c r="BW313" s="108">
        <f t="shared" si="52"/>
        <v>-2039</v>
      </c>
    </row>
    <row r="314" spans="1:75">
      <c r="A314" s="4">
        <f t="shared" si="47"/>
        <v>2008</v>
      </c>
      <c r="B314" s="4">
        <f t="shared" si="48"/>
        <v>10</v>
      </c>
      <c r="C314" s="108">
        <f>SHL!C314+SPA!C314</f>
        <v>294901</v>
      </c>
      <c r="D314" s="108">
        <f>SHL!D314+SPA!D314</f>
        <v>24244</v>
      </c>
      <c r="Y314" s="108">
        <f t="shared" si="49"/>
        <v>-12040</v>
      </c>
      <c r="Z314" s="175">
        <f>SHL!Z314+SPA!Z314</f>
        <v>293942</v>
      </c>
      <c r="AA314" s="108">
        <f t="shared" si="46"/>
        <v>-959</v>
      </c>
      <c r="AB314" s="547">
        <f>SPA!AB314+SHL!AB314</f>
        <v>299887</v>
      </c>
      <c r="BN314" s="4">
        <f t="shared" si="50"/>
        <v>2008</v>
      </c>
      <c r="BO314" s="4">
        <f t="shared" si="51"/>
        <v>10</v>
      </c>
      <c r="BP314" s="108">
        <f>SHL!BP314+SPA!BP314</f>
        <v>289715.3177457673</v>
      </c>
      <c r="BT314" s="175">
        <f>SHL!BT314+SPA!BT314</f>
        <v>292605.3177457673</v>
      </c>
      <c r="BU314" s="108">
        <f t="shared" si="53"/>
        <v>-1864.8256177028525</v>
      </c>
      <c r="BV314" s="108"/>
      <c r="BW314" s="108">
        <f t="shared" si="52"/>
        <v>2890</v>
      </c>
    </row>
    <row r="315" spans="1:75">
      <c r="A315" s="4">
        <f t="shared" si="47"/>
        <v>2008</v>
      </c>
      <c r="B315" s="4">
        <f t="shared" si="48"/>
        <v>11</v>
      </c>
      <c r="C315" s="108">
        <f>SHL!C315+SPA!C315</f>
        <v>304192</v>
      </c>
      <c r="D315" s="108">
        <f>SHL!D315+SPA!D315</f>
        <v>25527</v>
      </c>
      <c r="Y315" s="108">
        <f t="shared" si="49"/>
        <v>12628</v>
      </c>
      <c r="Z315" s="175">
        <f>SHL!Z315+SPA!Z315</f>
        <v>307951</v>
      </c>
      <c r="AA315" s="108">
        <f t="shared" si="46"/>
        <v>3759</v>
      </c>
      <c r="AB315" s="547">
        <f>SPA!AB315+SHL!AB315</f>
        <v>285715</v>
      </c>
      <c r="BN315" s="4">
        <f t="shared" si="50"/>
        <v>2008</v>
      </c>
      <c r="BO315" s="4">
        <f t="shared" si="51"/>
        <v>11</v>
      </c>
      <c r="BP315" s="108">
        <f>SHL!BP315+SPA!BP315</f>
        <v>288986.43723509269</v>
      </c>
      <c r="BT315" s="175">
        <f>SHL!BT315+SPA!BT315</f>
        <v>291131.43723509269</v>
      </c>
      <c r="BU315" s="108">
        <f t="shared" si="53"/>
        <v>17465.342254708405</v>
      </c>
      <c r="BV315" s="108"/>
      <c r="BW315" s="108">
        <f t="shared" si="52"/>
        <v>2145</v>
      </c>
    </row>
    <row r="316" spans="1:75" s="89" customFormat="1">
      <c r="A316" s="89">
        <f t="shared" si="47"/>
        <v>2008</v>
      </c>
      <c r="B316" s="89">
        <f t="shared" si="48"/>
        <v>12</v>
      </c>
      <c r="C316" s="117">
        <f>SHL!C316+SPA!C316</f>
        <v>235117</v>
      </c>
      <c r="D316" s="117">
        <f>SHL!D316+SPA!D316</f>
        <v>24645</v>
      </c>
      <c r="Y316" s="117">
        <f t="shared" si="49"/>
        <v>-28182</v>
      </c>
      <c r="Z316" s="176">
        <f>SHL!Z316+SPA!Z316</f>
        <v>237442</v>
      </c>
      <c r="AA316" s="117">
        <f t="shared" si="46"/>
        <v>2325</v>
      </c>
      <c r="AB316" s="548">
        <f>SPA!AB316+SHL!AB316</f>
        <v>257501</v>
      </c>
      <c r="BN316" s="89">
        <f t="shared" si="50"/>
        <v>2008</v>
      </c>
      <c r="BO316" s="89">
        <f t="shared" si="51"/>
        <v>12</v>
      </c>
      <c r="BP316" s="117">
        <f>SHL!BP316+SPA!BP316</f>
        <v>213707.59744564531</v>
      </c>
      <c r="BT316" s="176">
        <f>SHL!BT316+SPA!BT316</f>
        <v>214578.59744564531</v>
      </c>
      <c r="BU316" s="117">
        <f t="shared" si="53"/>
        <v>-39481.957435483724</v>
      </c>
      <c r="BV316" s="117"/>
      <c r="BW316" s="117">
        <f t="shared" si="52"/>
        <v>871</v>
      </c>
    </row>
    <row r="317" spans="1:75">
      <c r="A317" s="4">
        <f t="shared" si="47"/>
        <v>2009</v>
      </c>
      <c r="B317" s="4">
        <f t="shared" si="48"/>
        <v>1</v>
      </c>
      <c r="C317" s="108">
        <f>SHL!C317+SPA!C317</f>
        <v>247478</v>
      </c>
      <c r="D317" s="108">
        <f>SHL!D317+SPA!D317</f>
        <v>24915</v>
      </c>
      <c r="Y317" s="108">
        <f t="shared" si="49"/>
        <v>-866</v>
      </c>
      <c r="Z317" s="175">
        <f>SHL!Z317+SPA!Z317</f>
        <v>249847</v>
      </c>
      <c r="AA317" s="108">
        <f t="shared" si="46"/>
        <v>2369</v>
      </c>
      <c r="AB317" s="547">
        <f>SPA!AB317+SHL!AB317</f>
        <v>245594</v>
      </c>
      <c r="BN317" s="4">
        <f t="shared" si="50"/>
        <v>2009</v>
      </c>
      <c r="BO317" s="4">
        <f t="shared" si="51"/>
        <v>1</v>
      </c>
      <c r="BP317" s="108">
        <f>SHL!BP317+SPA!BP317</f>
        <v>265874.28444491979</v>
      </c>
      <c r="BT317" s="175">
        <f>SHL!BT317+SPA!BT317</f>
        <v>264677.28444491979</v>
      </c>
      <c r="BU317" s="108">
        <f t="shared" si="53"/>
        <v>9779.2352322480583</v>
      </c>
      <c r="BV317" s="108"/>
      <c r="BW317" s="108">
        <f t="shared" si="52"/>
        <v>-1197</v>
      </c>
    </row>
    <row r="318" spans="1:75">
      <c r="A318" s="4">
        <f t="shared" si="47"/>
        <v>2009</v>
      </c>
      <c r="B318" s="4">
        <f t="shared" si="48"/>
        <v>2</v>
      </c>
      <c r="C318" s="108">
        <f>SHL!C318+SPA!C318</f>
        <v>245870</v>
      </c>
      <c r="D318" s="108">
        <f>SHL!D318+SPA!D318</f>
        <v>24810</v>
      </c>
      <c r="Y318" s="108">
        <f t="shared" si="49"/>
        <v>-7766</v>
      </c>
      <c r="Z318" s="175">
        <f>SHL!Z318+SPA!Z318</f>
        <v>243556</v>
      </c>
      <c r="AA318" s="108">
        <f t="shared" si="46"/>
        <v>-2314</v>
      </c>
      <c r="AB318" s="547">
        <f>SPA!AB318+SHL!AB318</f>
        <v>247934</v>
      </c>
      <c r="BN318" s="4">
        <f t="shared" si="50"/>
        <v>2009</v>
      </c>
      <c r="BO318" s="4">
        <f t="shared" si="51"/>
        <v>2</v>
      </c>
      <c r="BP318" s="108">
        <f>SHL!BP318+SPA!BP318</f>
        <v>213157.2206826912</v>
      </c>
      <c r="BT318" s="175">
        <f>SHL!BT318+SPA!BT318</f>
        <v>214315.2206826912</v>
      </c>
      <c r="BU318" s="108">
        <f t="shared" si="53"/>
        <v>-34455.228800362704</v>
      </c>
      <c r="BV318" s="108"/>
      <c r="BW318" s="108">
        <f t="shared" si="52"/>
        <v>1158</v>
      </c>
    </row>
    <row r="319" spans="1:75">
      <c r="A319" s="4">
        <f t="shared" si="47"/>
        <v>2009</v>
      </c>
      <c r="B319" s="4">
        <f t="shared" si="48"/>
        <v>3</v>
      </c>
      <c r="C319" s="108">
        <f>SHL!C319+SPA!C319</f>
        <v>239034</v>
      </c>
      <c r="D319" s="108">
        <f>SHL!D319+SPA!D319</f>
        <v>24788</v>
      </c>
      <c r="Y319" s="108">
        <f t="shared" si="49"/>
        <v>-25018</v>
      </c>
      <c r="Z319" s="175">
        <f>SHL!Z319+SPA!Z319</f>
        <v>239998</v>
      </c>
      <c r="AA319" s="108">
        <f t="shared" si="46"/>
        <v>964</v>
      </c>
      <c r="AB319" s="547">
        <f>SPA!AB319+SHL!AB319</f>
        <v>241701</v>
      </c>
      <c r="BN319" s="4">
        <f t="shared" si="50"/>
        <v>2009</v>
      </c>
      <c r="BO319" s="4">
        <f t="shared" si="51"/>
        <v>3</v>
      </c>
      <c r="BP319" s="108">
        <f>SHL!BP319+SPA!BP319</f>
        <v>259720.04949990771</v>
      </c>
      <c r="BT319" s="175">
        <f>SHL!BT319+SPA!BT319</f>
        <v>256544.04949990771</v>
      </c>
      <c r="BU319" s="108">
        <f t="shared" si="53"/>
        <v>-23521.276928445266</v>
      </c>
      <c r="BV319" s="108"/>
      <c r="BW319" s="108">
        <f t="shared" si="52"/>
        <v>-3176</v>
      </c>
    </row>
    <row r="320" spans="1:75">
      <c r="A320" s="4">
        <f t="shared" si="47"/>
        <v>2009</v>
      </c>
      <c r="B320" s="4">
        <f t="shared" si="48"/>
        <v>4</v>
      </c>
      <c r="C320" s="108">
        <f>SHL!C320+SPA!C320</f>
        <v>255051</v>
      </c>
      <c r="D320" s="108">
        <f>SHL!D320+SPA!D320</f>
        <v>25062</v>
      </c>
      <c r="Y320" s="108">
        <f t="shared" si="49"/>
        <v>-3829</v>
      </c>
      <c r="Z320" s="175">
        <f>SHL!Z320+SPA!Z320</f>
        <v>253451</v>
      </c>
      <c r="AA320" s="108">
        <f t="shared" si="46"/>
        <v>-1600</v>
      </c>
      <c r="AB320" s="547">
        <f>SPA!AB320+SHL!AB320</f>
        <v>249854</v>
      </c>
      <c r="BN320" s="4">
        <f t="shared" si="50"/>
        <v>2009</v>
      </c>
      <c r="BO320" s="4">
        <f t="shared" si="51"/>
        <v>4</v>
      </c>
      <c r="BP320" s="108">
        <f>SHL!BP320+SPA!BP320</f>
        <v>267608.48978876643</v>
      </c>
      <c r="BT320" s="175">
        <f>SHL!BT320+SPA!BT320</f>
        <v>266610.48978876643</v>
      </c>
      <c r="BU320" s="108">
        <f t="shared" si="53"/>
        <v>11581.452379311377</v>
      </c>
      <c r="BV320" s="108"/>
      <c r="BW320" s="108">
        <f t="shared" si="52"/>
        <v>-998</v>
      </c>
    </row>
    <row r="321" spans="1:75">
      <c r="A321" s="4">
        <f t="shared" si="47"/>
        <v>2009</v>
      </c>
      <c r="B321" s="4">
        <f t="shared" si="48"/>
        <v>5</v>
      </c>
      <c r="C321" s="108">
        <f>SHL!C321+SPA!C321</f>
        <v>263677</v>
      </c>
      <c r="D321" s="108">
        <f>SHL!D321+SPA!D321</f>
        <v>24778</v>
      </c>
      <c r="Y321" s="108">
        <f t="shared" si="49"/>
        <v>-18161</v>
      </c>
      <c r="Z321" s="175">
        <f>SHL!Z321+SPA!Z321</f>
        <v>258067</v>
      </c>
      <c r="AA321" s="108">
        <f t="shared" si="46"/>
        <v>-5610</v>
      </c>
      <c r="AB321" s="547">
        <f>SPA!AB321+SHL!AB321</f>
        <v>259875</v>
      </c>
      <c r="BN321" s="4">
        <f t="shared" si="50"/>
        <v>2009</v>
      </c>
      <c r="BO321" s="4">
        <f t="shared" si="51"/>
        <v>5</v>
      </c>
      <c r="BP321" s="108">
        <f>SHL!BP321+SPA!BP321</f>
        <v>286710.46271300805</v>
      </c>
      <c r="BT321" s="175">
        <f>SHL!BT321+SPA!BT321</f>
        <v>286487.46271300805</v>
      </c>
      <c r="BU321" s="108">
        <f t="shared" si="53"/>
        <v>-25040.991079623462</v>
      </c>
      <c r="BV321" s="108"/>
      <c r="BW321" s="108">
        <f t="shared" si="52"/>
        <v>-223</v>
      </c>
    </row>
    <row r="322" spans="1:75">
      <c r="A322" s="4">
        <f t="shared" si="47"/>
        <v>2009</v>
      </c>
      <c r="B322" s="4">
        <f t="shared" si="48"/>
        <v>6</v>
      </c>
      <c r="C322" s="108">
        <f>SHL!C322+SPA!C322</f>
        <v>286080</v>
      </c>
      <c r="D322" s="108">
        <f>SHL!D322+SPA!D322</f>
        <v>25130</v>
      </c>
      <c r="Y322" s="108">
        <f t="shared" si="49"/>
        <v>23963</v>
      </c>
      <c r="Z322" s="175">
        <f>SHL!Z322+SPA!Z322</f>
        <v>290869</v>
      </c>
      <c r="AA322" s="108">
        <f t="shared" si="46"/>
        <v>4789</v>
      </c>
      <c r="AB322" s="547">
        <f>SPA!AB322+SHL!AB322</f>
        <v>288652</v>
      </c>
      <c r="BN322" s="4">
        <f t="shared" si="50"/>
        <v>2009</v>
      </c>
      <c r="BO322" s="4">
        <f t="shared" si="51"/>
        <v>6</v>
      </c>
      <c r="BP322" s="108">
        <f>SHL!BP322+SPA!BP322</f>
        <v>298276.59683206357</v>
      </c>
      <c r="BT322" s="175">
        <f>SHL!BT322+SPA!BT322</f>
        <v>289126.59683206357</v>
      </c>
      <c r="BU322" s="108">
        <f t="shared" si="53"/>
        <v>57248.304689939599</v>
      </c>
      <c r="BV322" s="108"/>
      <c r="BW322" s="108">
        <f t="shared" si="52"/>
        <v>-9150</v>
      </c>
    </row>
    <row r="323" spans="1:75">
      <c r="A323" s="4">
        <f t="shared" si="47"/>
        <v>2009</v>
      </c>
      <c r="B323" s="4">
        <f t="shared" si="48"/>
        <v>7</v>
      </c>
      <c r="C323" s="108">
        <f>SHL!C323+SPA!C323</f>
        <v>284201</v>
      </c>
      <c r="D323" s="108">
        <f>SHL!D323+SPA!D323</f>
        <v>25097</v>
      </c>
      <c r="Y323" s="108">
        <f t="shared" si="49"/>
        <v>-2432</v>
      </c>
      <c r="Z323" s="175">
        <f>SHL!Z323+SPA!Z323</f>
        <v>278340</v>
      </c>
      <c r="AA323" s="108">
        <f t="shared" si="46"/>
        <v>-5861</v>
      </c>
      <c r="AB323" s="547">
        <f>SPA!AB323+SHL!AB323</f>
        <v>277473</v>
      </c>
      <c r="BN323" s="4">
        <f t="shared" si="50"/>
        <v>2009</v>
      </c>
      <c r="BO323" s="4">
        <f t="shared" si="51"/>
        <v>7</v>
      </c>
      <c r="BP323" s="108">
        <f>SHL!BP323+SPA!BP323</f>
        <v>271183.10087497608</v>
      </c>
      <c r="BT323" s="175">
        <f>SHL!BT323+SPA!BT323</f>
        <v>273973.10087497608</v>
      </c>
      <c r="BU323" s="108">
        <f t="shared" si="53"/>
        <v>-38268.937756079948</v>
      </c>
      <c r="BV323" s="108"/>
      <c r="BW323" s="108">
        <f t="shared" si="52"/>
        <v>2790</v>
      </c>
    </row>
    <row r="324" spans="1:75">
      <c r="A324" s="4">
        <f t="shared" si="47"/>
        <v>2009</v>
      </c>
      <c r="B324" s="4">
        <f t="shared" si="48"/>
        <v>8</v>
      </c>
      <c r="C324" s="108">
        <f>SHL!C324+SPA!C324</f>
        <v>277353</v>
      </c>
      <c r="D324" s="108">
        <f>SHL!D324+SPA!D324</f>
        <v>24432</v>
      </c>
      <c r="Y324" s="108">
        <f t="shared" si="49"/>
        <v>-15353</v>
      </c>
      <c r="Z324" s="175">
        <f>SHL!Z324+SPA!Z324</f>
        <v>279368</v>
      </c>
      <c r="AA324" s="108">
        <f t="shared" si="46"/>
        <v>2015</v>
      </c>
      <c r="AB324" s="547">
        <f>SPA!AB324+SHL!AB324</f>
        <v>279285</v>
      </c>
      <c r="BN324" s="4">
        <f t="shared" si="50"/>
        <v>2009</v>
      </c>
      <c r="BO324" s="4">
        <f t="shared" si="51"/>
        <v>8</v>
      </c>
      <c r="BP324" s="108">
        <f>SHL!BP324+SPA!BP324</f>
        <v>301468.34710325679</v>
      </c>
      <c r="BT324" s="175">
        <f>SHL!BT324+SPA!BT324</f>
        <v>299379.34710325679</v>
      </c>
      <c r="BU324" s="108">
        <f t="shared" si="53"/>
        <v>11595.455772675225</v>
      </c>
      <c r="BV324" s="108"/>
      <c r="BW324" s="108">
        <f t="shared" si="52"/>
        <v>-2089</v>
      </c>
    </row>
    <row r="325" spans="1:75">
      <c r="A325" s="4">
        <f t="shared" si="47"/>
        <v>2009</v>
      </c>
      <c r="B325" s="4">
        <f t="shared" si="48"/>
        <v>9</v>
      </c>
      <c r="C325" s="108">
        <f>SHL!C325+SPA!C325</f>
        <v>310110</v>
      </c>
      <c r="D325" s="108">
        <f>SHL!D325+SPA!D325</f>
        <v>24839</v>
      </c>
      <c r="Y325" s="108">
        <f t="shared" si="49"/>
        <v>-19121</v>
      </c>
      <c r="Z325" s="175">
        <f>SHL!Z325+SPA!Z325</f>
        <v>313249</v>
      </c>
      <c r="AA325" s="108">
        <f t="shared" si="46"/>
        <v>3139</v>
      </c>
      <c r="AB325" s="547">
        <f>SPA!AB325+SHL!AB325</f>
        <v>312771</v>
      </c>
      <c r="BN325" s="4">
        <f t="shared" si="50"/>
        <v>2009</v>
      </c>
      <c r="BO325" s="4">
        <f t="shared" si="51"/>
        <v>9</v>
      </c>
      <c r="BP325" s="108">
        <f>SHL!BP325+SPA!BP325</f>
        <v>304529.9865081677</v>
      </c>
      <c r="BT325" s="175">
        <f>SHL!BT325+SPA!BT325</f>
        <v>303210.9865081677</v>
      </c>
      <c r="BU325" s="108">
        <f t="shared" si="53"/>
        <v>-11497.969481436652</v>
      </c>
      <c r="BV325" s="108"/>
      <c r="BW325" s="108">
        <f t="shared" si="52"/>
        <v>-1319</v>
      </c>
    </row>
    <row r="326" spans="1:75">
      <c r="A326" s="4">
        <f t="shared" si="47"/>
        <v>2009</v>
      </c>
      <c r="B326" s="4">
        <f t="shared" si="48"/>
        <v>10</v>
      </c>
      <c r="C326" s="108">
        <f>SHL!C326+SPA!C326</f>
        <v>304216</v>
      </c>
      <c r="D326" s="108">
        <f>SHL!D326+SPA!D326</f>
        <v>24662</v>
      </c>
      <c r="Y326" s="108">
        <f t="shared" si="49"/>
        <v>-2115</v>
      </c>
      <c r="Z326" s="175">
        <f>SHL!Z326+SPA!Z326</f>
        <v>291827</v>
      </c>
      <c r="AA326" s="108">
        <f t="shared" si="46"/>
        <v>-12389</v>
      </c>
      <c r="AB326" s="547">
        <f>SPA!AB326+SHL!AB326</f>
        <v>293480</v>
      </c>
      <c r="BN326" s="4">
        <f t="shared" si="50"/>
        <v>2009</v>
      </c>
      <c r="BO326" s="4">
        <f t="shared" si="51"/>
        <v>10</v>
      </c>
      <c r="BP326" s="108">
        <f>SHL!BP326+SPA!BP326</f>
        <v>301099.18547488324</v>
      </c>
      <c r="BT326" s="175">
        <f>SHL!BT326+SPA!BT326</f>
        <v>284156.18547488324</v>
      </c>
      <c r="BU326" s="108">
        <f t="shared" si="53"/>
        <v>-8449.1322708840598</v>
      </c>
      <c r="BV326" s="108"/>
      <c r="BW326" s="108">
        <f t="shared" si="52"/>
        <v>-16943</v>
      </c>
    </row>
    <row r="327" spans="1:75">
      <c r="A327" s="4">
        <f t="shared" si="47"/>
        <v>2009</v>
      </c>
      <c r="B327" s="4">
        <f t="shared" si="48"/>
        <v>11</v>
      </c>
      <c r="C327" s="108">
        <f>SHL!C327+SPA!C327</f>
        <v>293811</v>
      </c>
      <c r="D327" s="108">
        <f>SHL!D327+SPA!D327</f>
        <v>26206</v>
      </c>
      <c r="Y327" s="108">
        <f t="shared" si="49"/>
        <v>-27918</v>
      </c>
      <c r="Z327" s="175">
        <f>SHL!Z327+SPA!Z327</f>
        <v>280033</v>
      </c>
      <c r="AA327" s="108">
        <f t="shared" si="46"/>
        <v>-13778</v>
      </c>
      <c r="AB327" s="547">
        <f>SPA!AB327+SHL!AB327</f>
        <v>275839</v>
      </c>
      <c r="BN327" s="4">
        <f t="shared" si="50"/>
        <v>2009</v>
      </c>
      <c r="BO327" s="4">
        <f t="shared" si="51"/>
        <v>11</v>
      </c>
      <c r="BP327" s="108">
        <f>SHL!BP327+SPA!BP327</f>
        <v>249142.65517509877</v>
      </c>
      <c r="BT327" s="175">
        <f>SHL!BT327+SPA!BT327</f>
        <v>249161.65517509877</v>
      </c>
      <c r="BU327" s="108">
        <f t="shared" si="53"/>
        <v>-41969.782059993915</v>
      </c>
      <c r="BV327" s="108"/>
      <c r="BW327" s="108">
        <f t="shared" si="52"/>
        <v>19</v>
      </c>
    </row>
    <row r="328" spans="1:75" s="89" customFormat="1">
      <c r="A328" s="89">
        <f t="shared" si="47"/>
        <v>2009</v>
      </c>
      <c r="B328" s="89">
        <f t="shared" si="48"/>
        <v>12</v>
      </c>
      <c r="C328" s="117">
        <f>SHL!C328+SPA!C328</f>
        <v>249308</v>
      </c>
      <c r="D328" s="117">
        <f>SHL!D328+SPA!D328</f>
        <v>24921</v>
      </c>
      <c r="Y328" s="117">
        <f t="shared" si="49"/>
        <v>10574</v>
      </c>
      <c r="Z328" s="176">
        <f>SHL!Z328+SPA!Z328</f>
        <v>248016</v>
      </c>
      <c r="AA328" s="117">
        <f t="shared" si="46"/>
        <v>-1292</v>
      </c>
      <c r="AB328" s="548">
        <f>SPA!AB328+SHL!AB328</f>
        <v>251831</v>
      </c>
      <c r="BN328" s="89">
        <f t="shared" si="50"/>
        <v>2009</v>
      </c>
      <c r="BO328" s="89">
        <f t="shared" si="51"/>
        <v>12</v>
      </c>
      <c r="BP328" s="117">
        <f>SHL!BP328+SPA!BP328</f>
        <v>263709.7794074688</v>
      </c>
      <c r="BT328" s="176">
        <f>SHL!BT328+SPA!BT328</f>
        <v>262724.7794074688</v>
      </c>
      <c r="BU328" s="117">
        <f t="shared" si="53"/>
        <v>48146.181961823488</v>
      </c>
      <c r="BV328" s="117"/>
      <c r="BW328" s="117">
        <f t="shared" si="52"/>
        <v>-985</v>
      </c>
    </row>
    <row r="329" spans="1:75">
      <c r="A329" s="4">
        <f t="shared" si="47"/>
        <v>2010</v>
      </c>
      <c r="B329" s="4">
        <f t="shared" si="48"/>
        <v>1</v>
      </c>
      <c r="C329" s="108">
        <f>SHL!C329+SPA!C329</f>
        <v>255197</v>
      </c>
      <c r="D329" s="108">
        <f>SHL!D329+SPA!D329</f>
        <v>24872</v>
      </c>
      <c r="Y329" s="108">
        <f t="shared" si="49"/>
        <v>3882</v>
      </c>
      <c r="Z329" s="175">
        <f>SHL!Z329+SPA!Z329</f>
        <v>253729</v>
      </c>
      <c r="AA329" s="108">
        <f t="shared" si="46"/>
        <v>-1468</v>
      </c>
      <c r="AB329" s="547">
        <f>SPA!AB329+SHL!AB329</f>
        <v>254948</v>
      </c>
      <c r="BN329" s="4">
        <f t="shared" si="50"/>
        <v>2010</v>
      </c>
      <c r="BO329" s="4">
        <f t="shared" si="51"/>
        <v>1</v>
      </c>
      <c r="BP329" s="108">
        <f>SHL!BP329+SPA!BP329</f>
        <v>242616.47544401756</v>
      </c>
      <c r="BT329" s="175">
        <f>SHL!BT329+SPA!BT329</f>
        <v>240267.47544401756</v>
      </c>
      <c r="BU329" s="108">
        <f t="shared" si="53"/>
        <v>-24409.809000902227</v>
      </c>
      <c r="BV329" s="108"/>
      <c r="BW329" s="108">
        <f t="shared" si="52"/>
        <v>-2349</v>
      </c>
    </row>
    <row r="330" spans="1:75">
      <c r="A330" s="4">
        <f t="shared" si="47"/>
        <v>2010</v>
      </c>
      <c r="B330" s="4">
        <f t="shared" si="48"/>
        <v>2</v>
      </c>
      <c r="C330" s="108">
        <f>SHL!C330+SPA!C330</f>
        <v>238951</v>
      </c>
      <c r="D330" s="108">
        <f>SHL!D330+SPA!D330</f>
        <v>24707</v>
      </c>
      <c r="Y330" s="108">
        <f t="shared" si="49"/>
        <v>-4558</v>
      </c>
      <c r="Z330" s="175">
        <f>SHL!Z330+SPA!Z330</f>
        <v>238998</v>
      </c>
      <c r="AA330" s="108">
        <f t="shared" si="46"/>
        <v>47</v>
      </c>
      <c r="AB330" s="547">
        <f>SPA!AB330+SHL!AB330</f>
        <v>241298</v>
      </c>
      <c r="BN330" s="4">
        <f t="shared" si="50"/>
        <v>2010</v>
      </c>
      <c r="BO330" s="4">
        <f t="shared" si="51"/>
        <v>2</v>
      </c>
      <c r="BP330" s="108">
        <f>SHL!BP330+SPA!BP330</f>
        <v>246121.03824792884</v>
      </c>
      <c r="BT330" s="175">
        <f>SHL!BT330+SPA!BT330</f>
        <v>247309.03824792884</v>
      </c>
      <c r="BU330" s="108">
        <f t="shared" si="53"/>
        <v>32993.817565237638</v>
      </c>
      <c r="BV330" s="108"/>
      <c r="BW330" s="108">
        <f t="shared" si="52"/>
        <v>1188</v>
      </c>
    </row>
    <row r="331" spans="1:75">
      <c r="A331" s="4">
        <f t="shared" si="47"/>
        <v>2010</v>
      </c>
      <c r="B331" s="4">
        <f t="shared" si="48"/>
        <v>3</v>
      </c>
      <c r="C331" s="108">
        <f>SHL!C331+SPA!C331</f>
        <v>239633</v>
      </c>
      <c r="D331" s="108">
        <f>SHL!D331+SPA!D331</f>
        <v>25389</v>
      </c>
      <c r="Y331" s="108">
        <f t="shared" si="49"/>
        <v>3189</v>
      </c>
      <c r="Z331" s="175">
        <f>SHL!Z331+SPA!Z331</f>
        <v>243187</v>
      </c>
      <c r="AA331" s="108">
        <f t="shared" si="46"/>
        <v>3554</v>
      </c>
      <c r="AB331" s="547">
        <f>SPA!AB331+SHL!AB331</f>
        <v>240669</v>
      </c>
      <c r="BN331" s="4">
        <f t="shared" si="50"/>
        <v>2010</v>
      </c>
      <c r="BO331" s="4">
        <f t="shared" si="51"/>
        <v>3</v>
      </c>
      <c r="BP331" s="108">
        <f>SHL!BP331+SPA!BP331</f>
        <v>216365.66762438341</v>
      </c>
      <c r="BT331" s="175">
        <f>SHL!BT331+SPA!BT331</f>
        <v>225542.66762438341</v>
      </c>
      <c r="BU331" s="108">
        <f t="shared" si="53"/>
        <v>-31001.381875524297</v>
      </c>
      <c r="BV331" s="108"/>
      <c r="BW331" s="108">
        <f t="shared" si="52"/>
        <v>9177</v>
      </c>
    </row>
    <row r="332" spans="1:75">
      <c r="A332" s="4">
        <f t="shared" si="47"/>
        <v>2010</v>
      </c>
      <c r="B332" s="4">
        <f t="shared" si="48"/>
        <v>4</v>
      </c>
      <c r="C332" s="108">
        <f>SHL!C332+SPA!C332</f>
        <v>248264</v>
      </c>
      <c r="D332" s="108">
        <f>SHL!D332+SPA!D332</f>
        <v>25214</v>
      </c>
      <c r="Y332" s="108">
        <f t="shared" si="49"/>
        <v>3903</v>
      </c>
      <c r="Z332" s="175">
        <f>SHL!Z332+SPA!Z332</f>
        <v>257354</v>
      </c>
      <c r="AA332" s="108">
        <f t="shared" si="46"/>
        <v>9090</v>
      </c>
      <c r="AB332" s="547">
        <f>SPA!AB332+SHL!AB332</f>
        <v>255551</v>
      </c>
      <c r="BN332" s="4">
        <f t="shared" si="50"/>
        <v>2010</v>
      </c>
      <c r="BO332" s="4">
        <f t="shared" si="51"/>
        <v>4</v>
      </c>
      <c r="BP332" s="108">
        <f>SHL!BP332+SPA!BP332</f>
        <v>275919.01402636268</v>
      </c>
      <c r="BT332" s="175">
        <f>SHL!BT332+SPA!BT332</f>
        <v>280794.01402636268</v>
      </c>
      <c r="BU332" s="108">
        <f t="shared" si="53"/>
        <v>14183.524237596255</v>
      </c>
      <c r="BV332" s="108"/>
      <c r="BW332" s="108">
        <f t="shared" si="52"/>
        <v>4875</v>
      </c>
    </row>
    <row r="333" spans="1:75">
      <c r="A333" s="4">
        <f t="shared" si="47"/>
        <v>2010</v>
      </c>
      <c r="B333" s="4">
        <f t="shared" si="48"/>
        <v>5</v>
      </c>
      <c r="C333" s="108">
        <f>SHL!C333+SPA!C333</f>
        <v>268169</v>
      </c>
      <c r="D333" s="108">
        <f>SHL!D333+SPA!D333</f>
        <v>24973</v>
      </c>
      <c r="Y333" s="108">
        <f t="shared" si="49"/>
        <v>7654</v>
      </c>
      <c r="Z333" s="175">
        <f>SHL!Z333+SPA!Z333</f>
        <v>265721</v>
      </c>
      <c r="AA333" s="108">
        <f t="shared" si="46"/>
        <v>-2448</v>
      </c>
      <c r="AB333" s="547">
        <f>SPA!AB333+SHL!AB333</f>
        <v>264799</v>
      </c>
      <c r="BN333" s="4">
        <f t="shared" si="50"/>
        <v>2010</v>
      </c>
      <c r="BO333" s="4">
        <f t="shared" si="51"/>
        <v>5</v>
      </c>
      <c r="BP333" s="108">
        <f>SHL!BP333+SPA!BP333</f>
        <v>310127.78950608621</v>
      </c>
      <c r="BT333" s="175">
        <f>SHL!BT333+SPA!BT333</f>
        <v>298438.78950608621</v>
      </c>
      <c r="BU333" s="108">
        <f t="shared" si="53"/>
        <v>11951.326793078159</v>
      </c>
      <c r="BV333" s="108"/>
      <c r="BW333" s="108">
        <f t="shared" si="52"/>
        <v>-11689</v>
      </c>
    </row>
    <row r="334" spans="1:75">
      <c r="A334" s="4">
        <f t="shared" si="47"/>
        <v>2010</v>
      </c>
      <c r="B334" s="4">
        <f t="shared" si="48"/>
        <v>6</v>
      </c>
      <c r="C334" s="108">
        <f>SHL!C334+SPA!C334</f>
        <v>307605</v>
      </c>
      <c r="D334" s="108">
        <f>SHL!D334+SPA!D334</f>
        <v>25236</v>
      </c>
      <c r="Y334" s="108">
        <f t="shared" si="49"/>
        <v>7619</v>
      </c>
      <c r="Z334" s="175">
        <f>SHL!Z334+SPA!Z334</f>
        <v>298488</v>
      </c>
      <c r="AA334" s="108">
        <f t="shared" si="46"/>
        <v>-9117</v>
      </c>
      <c r="AB334" s="547">
        <f>SPA!AB334+SHL!AB334</f>
        <v>298893</v>
      </c>
      <c r="BN334" s="4">
        <f t="shared" si="50"/>
        <v>2010</v>
      </c>
      <c r="BO334" s="4">
        <f t="shared" si="51"/>
        <v>6</v>
      </c>
      <c r="BP334" s="108">
        <f>SHL!BP334+SPA!BP334</f>
        <v>311925.37876607658</v>
      </c>
      <c r="BT334" s="175">
        <f>SHL!BT334+SPA!BT334</f>
        <v>292920.37876607658</v>
      </c>
      <c r="BU334" s="108">
        <f t="shared" si="53"/>
        <v>3793.7819340130081</v>
      </c>
      <c r="BV334" s="108"/>
      <c r="BW334" s="108">
        <f t="shared" si="52"/>
        <v>-19005</v>
      </c>
    </row>
    <row r="335" spans="1:75">
      <c r="A335" s="4">
        <f t="shared" si="47"/>
        <v>2010</v>
      </c>
      <c r="B335" s="4">
        <f t="shared" si="48"/>
        <v>7</v>
      </c>
      <c r="C335" s="108">
        <f>SHL!C335+SPA!C335</f>
        <v>284868</v>
      </c>
      <c r="D335" s="108">
        <f>SHL!D335+SPA!D335</f>
        <v>24901</v>
      </c>
      <c r="Y335" s="108">
        <f t="shared" si="49"/>
        <v>-5119</v>
      </c>
      <c r="Z335" s="175">
        <f>SHL!Z335+SPA!Z335</f>
        <v>273221</v>
      </c>
      <c r="AA335" s="108">
        <f t="shared" si="46"/>
        <v>-11647</v>
      </c>
      <c r="AB335" s="547">
        <f>SPA!AB335+SHL!AB335</f>
        <v>275648</v>
      </c>
      <c r="BN335" s="4">
        <f t="shared" si="50"/>
        <v>2010</v>
      </c>
      <c r="BO335" s="4">
        <f t="shared" si="51"/>
        <v>7</v>
      </c>
      <c r="BP335" s="108">
        <f>SHL!BP335+SPA!BP335</f>
        <v>272331.18317529775</v>
      </c>
      <c r="BT335" s="175">
        <f>SHL!BT335+SPA!BT335</f>
        <v>262031.18317529775</v>
      </c>
      <c r="BU335" s="108">
        <f t="shared" si="53"/>
        <v>-11941.917699678335</v>
      </c>
      <c r="BV335" s="108"/>
      <c r="BW335" s="108">
        <f t="shared" si="52"/>
        <v>-10300</v>
      </c>
    </row>
    <row r="336" spans="1:75">
      <c r="A336" s="4">
        <f t="shared" si="47"/>
        <v>2010</v>
      </c>
      <c r="B336" s="4">
        <f t="shared" si="48"/>
        <v>8</v>
      </c>
      <c r="C336" s="108">
        <f>SHL!C336+SPA!C336</f>
        <v>294704</v>
      </c>
      <c r="D336" s="108">
        <f>SHL!D336+SPA!D336</f>
        <v>25106</v>
      </c>
      <c r="Y336" s="108">
        <f t="shared" si="49"/>
        <v>3334</v>
      </c>
      <c r="Z336" s="175">
        <f>SHL!Z336+SPA!Z336</f>
        <v>282702</v>
      </c>
      <c r="AA336" s="108">
        <f t="shared" si="46"/>
        <v>-12002</v>
      </c>
      <c r="AB336" s="547">
        <f>SPA!AB336+SHL!AB336</f>
        <v>280266</v>
      </c>
      <c r="BN336" s="4">
        <f t="shared" si="50"/>
        <v>2010</v>
      </c>
      <c r="BO336" s="4">
        <f t="shared" si="51"/>
        <v>8</v>
      </c>
      <c r="BP336" s="108">
        <f>SHL!BP336+SPA!BP336</f>
        <v>290039.30912595661</v>
      </c>
      <c r="BT336" s="175">
        <f>SHL!BT336+SPA!BT336</f>
        <v>281738.30912595661</v>
      </c>
      <c r="BU336" s="108">
        <f t="shared" si="53"/>
        <v>-17641.037977300177</v>
      </c>
      <c r="BV336" s="108"/>
      <c r="BW336" s="108">
        <f t="shared" si="52"/>
        <v>-8301</v>
      </c>
    </row>
    <row r="337" spans="1:75">
      <c r="A337" s="4">
        <f t="shared" si="47"/>
        <v>2010</v>
      </c>
      <c r="B337" s="4">
        <f t="shared" si="48"/>
        <v>9</v>
      </c>
      <c r="C337" s="108">
        <f>SHL!C337+SPA!C337</f>
        <v>312939</v>
      </c>
      <c r="D337" s="108">
        <f>SHL!D337+SPA!D337</f>
        <v>25127</v>
      </c>
      <c r="Y337" s="108">
        <f t="shared" si="49"/>
        <v>-6295</v>
      </c>
      <c r="Z337" s="175">
        <f>SHL!Z337+SPA!Z337</f>
        <v>306954</v>
      </c>
      <c r="AA337" s="108">
        <f t="shared" ref="AA337:AA347" si="54">Z337-C337</f>
        <v>-5985</v>
      </c>
      <c r="AB337" s="547">
        <f>SPA!AB337+SHL!AB337</f>
        <v>306511</v>
      </c>
      <c r="BN337" s="4">
        <f t="shared" si="50"/>
        <v>2010</v>
      </c>
      <c r="BO337" s="4">
        <f t="shared" si="51"/>
        <v>9</v>
      </c>
      <c r="BP337" s="108">
        <f>SHL!BP337+SPA!BP337</f>
        <v>319698.87247941905</v>
      </c>
      <c r="BT337" s="175">
        <f>SHL!BT337+SPA!BT337</f>
        <v>313354.87247941905</v>
      </c>
      <c r="BU337" s="108">
        <f t="shared" si="53"/>
        <v>10143.885971251351</v>
      </c>
      <c r="BV337" s="108"/>
      <c r="BW337" s="108">
        <f t="shared" si="52"/>
        <v>-6344</v>
      </c>
    </row>
    <row r="338" spans="1:75">
      <c r="A338" s="4">
        <f t="shared" si="47"/>
        <v>2010</v>
      </c>
      <c r="B338" s="4">
        <f t="shared" si="48"/>
        <v>10</v>
      </c>
      <c r="C338" s="108">
        <f>SHL!C338+SPA!C338</f>
        <v>300871</v>
      </c>
      <c r="D338" s="108">
        <f>SHL!D338+SPA!D338</f>
        <v>24374</v>
      </c>
      <c r="Y338" s="108">
        <f t="shared" si="49"/>
        <v>5174</v>
      </c>
      <c r="Z338" s="175">
        <f>SHL!Z338+SPA!Z338</f>
        <v>297001</v>
      </c>
      <c r="AA338" s="108">
        <f t="shared" si="54"/>
        <v>-3870</v>
      </c>
      <c r="AB338" s="547">
        <f>SPA!AB338+SHL!AB338</f>
        <v>302659</v>
      </c>
      <c r="BN338" s="4">
        <f t="shared" si="50"/>
        <v>2010</v>
      </c>
      <c r="BO338" s="4">
        <f t="shared" si="51"/>
        <v>10</v>
      </c>
      <c r="BP338" s="108">
        <f>SHL!BP338+SPA!BP338</f>
        <v>306431.45638784824</v>
      </c>
      <c r="BT338" s="175">
        <f>SHL!BT338+SPA!BT338</f>
        <v>307346.45638784824</v>
      </c>
      <c r="BU338" s="108">
        <f t="shared" si="53"/>
        <v>23190.270912965003</v>
      </c>
      <c r="BV338" s="108"/>
      <c r="BW338" s="108">
        <f t="shared" si="52"/>
        <v>915</v>
      </c>
    </row>
    <row r="339" spans="1:75">
      <c r="A339" s="4">
        <f t="shared" si="47"/>
        <v>2010</v>
      </c>
      <c r="B339" s="4">
        <f t="shared" si="48"/>
        <v>11</v>
      </c>
      <c r="C339" s="108">
        <f>SHL!C339+SPA!C339</f>
        <v>277678</v>
      </c>
      <c r="D339" s="108">
        <f>SHL!D339+SPA!D339</f>
        <v>26768</v>
      </c>
      <c r="Y339" s="108">
        <f t="shared" si="49"/>
        <v>-7515</v>
      </c>
      <c r="Z339" s="175">
        <f>SHL!Z339+SPA!Z339</f>
        <v>272518</v>
      </c>
      <c r="AA339" s="108">
        <f t="shared" si="54"/>
        <v>-5160</v>
      </c>
      <c r="AB339" s="547">
        <f>SPA!AB339+SHL!AB339</f>
        <v>266835</v>
      </c>
      <c r="BN339" s="4">
        <f t="shared" si="50"/>
        <v>2010</v>
      </c>
      <c r="BO339" s="4">
        <f t="shared" si="51"/>
        <v>11</v>
      </c>
      <c r="BP339" s="108">
        <f>SHL!BP339+SPA!BP339</f>
        <v>232286.3691889937</v>
      </c>
      <c r="BT339" s="175">
        <f>SHL!BT339+SPA!BT339</f>
        <v>231626.3691889937</v>
      </c>
      <c r="BU339" s="108">
        <f t="shared" si="53"/>
        <v>-17535.285986105067</v>
      </c>
      <c r="BV339" s="108"/>
      <c r="BW339" s="108">
        <f t="shared" si="52"/>
        <v>-660</v>
      </c>
    </row>
    <row r="340" spans="1:75" s="89" customFormat="1">
      <c r="A340" s="89">
        <f t="shared" si="47"/>
        <v>2010</v>
      </c>
      <c r="B340" s="89">
        <f t="shared" si="48"/>
        <v>12</v>
      </c>
      <c r="C340" s="117">
        <f>SHL!C340+SPA!C340</f>
        <v>256893</v>
      </c>
      <c r="D340" s="117">
        <f>SHL!D340+SPA!D340</f>
        <v>25643</v>
      </c>
      <c r="Y340" s="117">
        <f t="shared" si="49"/>
        <v>6441</v>
      </c>
      <c r="Z340" s="176">
        <f>SHL!Z340+SPA!Z340</f>
        <v>254457</v>
      </c>
      <c r="AA340" s="117">
        <f t="shared" si="54"/>
        <v>-2436</v>
      </c>
      <c r="AB340" s="548">
        <f>SPA!AB340+SHL!AB340</f>
        <v>253784</v>
      </c>
      <c r="BN340" s="89">
        <f t="shared" si="50"/>
        <v>2010</v>
      </c>
      <c r="BO340" s="89">
        <f t="shared" si="51"/>
        <v>12</v>
      </c>
      <c r="BP340" s="117">
        <f>SHL!BP340+SPA!BP340</f>
        <v>290600.98835733009</v>
      </c>
      <c r="BT340" s="176">
        <f>SHL!BT340+SPA!BT340</f>
        <v>289628.98835733009</v>
      </c>
      <c r="BU340" s="117">
        <f t="shared" si="53"/>
        <v>26904.208949861291</v>
      </c>
      <c r="BV340" s="117"/>
      <c r="BW340" s="117">
        <f t="shared" si="52"/>
        <v>-972</v>
      </c>
    </row>
    <row r="341" spans="1:75">
      <c r="A341" s="4">
        <f t="shared" si="47"/>
        <v>2011</v>
      </c>
      <c r="B341" s="4">
        <f t="shared" si="48"/>
        <v>1</v>
      </c>
      <c r="C341" s="108">
        <f>SHL!C341+SPA!C341</f>
        <v>247421</v>
      </c>
      <c r="D341" s="108">
        <f>SHL!D341+SPA!D341</f>
        <v>24629</v>
      </c>
      <c r="Y341" s="108">
        <f t="shared" si="49"/>
        <v>-5978</v>
      </c>
      <c r="Z341" s="175">
        <f>SHL!Z341+SPA!Z341</f>
        <v>247751</v>
      </c>
      <c r="AA341" s="108">
        <f t="shared" si="54"/>
        <v>330</v>
      </c>
      <c r="AB341" s="547">
        <f>SPA!AB341+SHL!AB341</f>
        <v>252447</v>
      </c>
      <c r="BN341" s="4">
        <f t="shared" si="50"/>
        <v>2011</v>
      </c>
      <c r="BO341" s="4">
        <f t="shared" si="51"/>
        <v>1</v>
      </c>
      <c r="BP341" s="108">
        <f>SHL!BP341+SPA!BP341</f>
        <v>202661.95069976585</v>
      </c>
      <c r="BT341" s="175">
        <f>SHL!BT341+SPA!BT341</f>
        <v>204085.95069976585</v>
      </c>
      <c r="BU341" s="108">
        <f t="shared" si="53"/>
        <v>-36181.524744251714</v>
      </c>
      <c r="BV341" s="108"/>
      <c r="BW341" s="108">
        <f t="shared" si="52"/>
        <v>1424</v>
      </c>
    </row>
    <row r="342" spans="1:75">
      <c r="A342" s="4">
        <f t="shared" si="47"/>
        <v>2011</v>
      </c>
      <c r="B342" s="4">
        <f t="shared" si="48"/>
        <v>2</v>
      </c>
      <c r="C342" s="108">
        <f>SHL!C342+SPA!C342</f>
        <v>236977</v>
      </c>
      <c r="D342" s="108">
        <f>SHL!D342+SPA!D342</f>
        <v>25319</v>
      </c>
      <c r="Y342" s="108">
        <f t="shared" si="49"/>
        <v>-1245</v>
      </c>
      <c r="Z342" s="175">
        <f>SHL!Z342+SPA!Z342</f>
        <v>237753</v>
      </c>
      <c r="AA342" s="108">
        <f t="shared" si="54"/>
        <v>776</v>
      </c>
      <c r="AB342" s="547">
        <f>SPA!AB342+SHL!AB342</f>
        <v>238695</v>
      </c>
      <c r="BN342" s="4">
        <f t="shared" si="50"/>
        <v>2011</v>
      </c>
      <c r="BO342" s="4">
        <f t="shared" si="51"/>
        <v>2</v>
      </c>
      <c r="BP342" s="108">
        <f>SHL!BP342+SPA!BP342</f>
        <v>231325.82857231892</v>
      </c>
      <c r="BT342" s="175">
        <f>SHL!BT342+SPA!BT342</f>
        <v>229792.82857231892</v>
      </c>
      <c r="BU342" s="108">
        <f t="shared" si="53"/>
        <v>-17516.20967560992</v>
      </c>
      <c r="BV342" s="108"/>
      <c r="BW342" s="108">
        <f t="shared" si="52"/>
        <v>-1533</v>
      </c>
    </row>
    <row r="343" spans="1:75">
      <c r="A343" s="4">
        <f t="shared" si="47"/>
        <v>2011</v>
      </c>
      <c r="B343" s="4">
        <f t="shared" si="48"/>
        <v>3</v>
      </c>
      <c r="C343" s="108">
        <f>SHL!C343+SPA!C343</f>
        <v>242861</v>
      </c>
      <c r="D343" s="108">
        <f>SHL!D343+SPA!D343</f>
        <v>24567</v>
      </c>
      <c r="Y343" s="108">
        <f t="shared" si="49"/>
        <v>-841</v>
      </c>
      <c r="Z343" s="175">
        <f>SHL!Z343+SPA!Z343</f>
        <v>242346</v>
      </c>
      <c r="AA343" s="108">
        <f t="shared" si="54"/>
        <v>-515</v>
      </c>
      <c r="AB343" s="547">
        <f>SPA!AB343+SHL!AB343</f>
        <v>243898</v>
      </c>
      <c r="BN343" s="4">
        <f t="shared" si="50"/>
        <v>2011</v>
      </c>
      <c r="BO343" s="4">
        <f t="shared" si="51"/>
        <v>3</v>
      </c>
      <c r="BP343" s="108">
        <f>SHL!BP343+SPA!BP343</f>
        <v>281648.09330262465</v>
      </c>
      <c r="BT343" s="175">
        <f>SHL!BT343+SPA!BT343</f>
        <v>280351.09330262465</v>
      </c>
      <c r="BU343" s="108">
        <f t="shared" si="53"/>
        <v>54808.425678241241</v>
      </c>
      <c r="BV343" s="108"/>
      <c r="BW343" s="108">
        <f t="shared" si="52"/>
        <v>-1297</v>
      </c>
    </row>
    <row r="344" spans="1:75">
      <c r="A344" s="4">
        <f t="shared" si="47"/>
        <v>2011</v>
      </c>
      <c r="B344" s="4">
        <f t="shared" si="48"/>
        <v>4</v>
      </c>
      <c r="C344" s="108">
        <f>SHL!C344+SPA!C344</f>
        <v>253723</v>
      </c>
      <c r="D344" s="108">
        <f>SHL!D344+SPA!D344</f>
        <v>25221</v>
      </c>
      <c r="Y344" s="108">
        <f t="shared" si="49"/>
        <v>-5648</v>
      </c>
      <c r="Z344" s="175">
        <f>SHL!Z344+SPA!Z344</f>
        <v>251706</v>
      </c>
      <c r="AA344" s="108">
        <f t="shared" si="54"/>
        <v>-2017</v>
      </c>
      <c r="AB344" s="547">
        <f>SPA!AB344+SHL!AB344</f>
        <v>249102</v>
      </c>
      <c r="BN344" s="4">
        <f t="shared" si="50"/>
        <v>2011</v>
      </c>
      <c r="BO344" s="4">
        <f t="shared" si="51"/>
        <v>4</v>
      </c>
      <c r="BP344" s="108">
        <f>SHL!BP344+SPA!BP344</f>
        <v>275862.98784260033</v>
      </c>
      <c r="BT344" s="175">
        <f>SHL!BT344+SPA!BT344</f>
        <v>260666.98784260033</v>
      </c>
      <c r="BU344" s="108">
        <f t="shared" si="53"/>
        <v>-20127.026183762355</v>
      </c>
      <c r="BV344" s="108"/>
      <c r="BW344" s="108">
        <f t="shared" si="52"/>
        <v>-15196</v>
      </c>
    </row>
    <row r="345" spans="1:75">
      <c r="A345" s="4">
        <f t="shared" si="47"/>
        <v>2011</v>
      </c>
      <c r="B345" s="4">
        <f t="shared" si="48"/>
        <v>5</v>
      </c>
      <c r="C345" s="108">
        <f>SHL!C345+SPA!C345</f>
        <v>279994</v>
      </c>
      <c r="D345" s="108">
        <f>SHL!D345+SPA!D345</f>
        <v>25160</v>
      </c>
      <c r="Y345" s="108">
        <f t="shared" si="49"/>
        <v>663</v>
      </c>
      <c r="Z345" s="175">
        <f>SHL!Z345+SPA!Z345</f>
        <v>266384</v>
      </c>
      <c r="AA345" s="108">
        <f t="shared" si="54"/>
        <v>-13610</v>
      </c>
      <c r="AB345" s="547">
        <f>SPA!AB345+SHL!AB345</f>
        <v>266644</v>
      </c>
      <c r="BN345" s="4">
        <f t="shared" si="50"/>
        <v>2011</v>
      </c>
      <c r="BO345" s="4">
        <f t="shared" si="51"/>
        <v>5</v>
      </c>
      <c r="BP345" s="108">
        <f>SHL!BP345+SPA!BP345</f>
        <v>281708.15639711701</v>
      </c>
      <c r="BT345" s="175">
        <f>SHL!BT345+SPA!BT345</f>
        <v>277885.15639711701</v>
      </c>
      <c r="BU345" s="108">
        <f t="shared" si="53"/>
        <v>-20553.633108969196</v>
      </c>
      <c r="BV345" s="108"/>
      <c r="BW345" s="108">
        <f t="shared" si="52"/>
        <v>-3823</v>
      </c>
    </row>
    <row r="346" spans="1:75">
      <c r="A346" s="4">
        <f t="shared" si="47"/>
        <v>2011</v>
      </c>
      <c r="B346" s="4">
        <f t="shared" si="48"/>
        <v>6</v>
      </c>
      <c r="C346" s="108">
        <f>SHL!C346+SPA!C346</f>
        <v>288287</v>
      </c>
      <c r="D346" s="108">
        <f>SHL!D346+SPA!D346</f>
        <v>25139</v>
      </c>
      <c r="Y346" s="108">
        <f t="shared" si="49"/>
        <v>-12284</v>
      </c>
      <c r="Z346" s="175">
        <f>SHL!Z346+SPA!Z346</f>
        <v>286204</v>
      </c>
      <c r="AA346" s="108">
        <f t="shared" si="54"/>
        <v>-2083</v>
      </c>
      <c r="AB346" s="547">
        <f>SPA!AB346+SHL!AB346</f>
        <v>285744</v>
      </c>
      <c r="BN346" s="4">
        <f t="shared" si="50"/>
        <v>2011</v>
      </c>
      <c r="BO346" s="4">
        <f t="shared" si="51"/>
        <v>6</v>
      </c>
      <c r="BP346" s="108">
        <f>SHL!BP346+SPA!BP346</f>
        <v>290556.78221641667</v>
      </c>
      <c r="BT346" s="175">
        <f>SHL!BT346+SPA!BT346</f>
        <v>282000.78221641667</v>
      </c>
      <c r="BU346" s="108">
        <f t="shared" si="53"/>
        <v>-10919.596549659909</v>
      </c>
      <c r="BV346" s="108"/>
      <c r="BW346" s="108">
        <f t="shared" si="52"/>
        <v>-8556</v>
      </c>
    </row>
    <row r="347" spans="1:75">
      <c r="A347" s="4">
        <f t="shared" si="47"/>
        <v>2011</v>
      </c>
      <c r="B347" s="4">
        <f t="shared" si="48"/>
        <v>7</v>
      </c>
      <c r="C347" s="108">
        <f>SHL!C347+SPA!C347</f>
        <v>276767</v>
      </c>
      <c r="D347" s="108">
        <f>SHL!D347+SPA!D347</f>
        <v>24877</v>
      </c>
      <c r="Y347" s="108">
        <f t="shared" si="49"/>
        <v>-2130</v>
      </c>
      <c r="Z347" s="175">
        <f>SHL!Z347+SPA!Z347</f>
        <v>271091</v>
      </c>
      <c r="AA347" s="108">
        <f t="shared" si="54"/>
        <v>-5676</v>
      </c>
      <c r="AB347" s="547">
        <f>SPA!AB347+SHL!AB347</f>
        <v>276198</v>
      </c>
      <c r="BN347" s="4">
        <f t="shared" si="50"/>
        <v>2011</v>
      </c>
      <c r="BO347" s="4">
        <f t="shared" si="51"/>
        <v>7</v>
      </c>
      <c r="BP347" s="108">
        <f>SHL!BP347+SPA!BP347</f>
        <v>271720.46841816267</v>
      </c>
      <c r="BT347" s="175">
        <f>SHL!BT347+SPA!BT347</f>
        <v>266779.46841816267</v>
      </c>
      <c r="BU347" s="108">
        <f t="shared" si="53"/>
        <v>4748.2852428649203</v>
      </c>
      <c r="BV347" s="108"/>
      <c r="BW347" s="108">
        <f t="shared" si="52"/>
        <v>-4941</v>
      </c>
    </row>
    <row r="348" spans="1:75">
      <c r="A348" s="4">
        <f t="shared" si="47"/>
        <v>2011</v>
      </c>
      <c r="B348" s="4">
        <f t="shared" si="48"/>
        <v>8</v>
      </c>
      <c r="C348" s="108">
        <f>SHL!C348+SPA!C348</f>
        <v>283969</v>
      </c>
      <c r="D348" s="108">
        <f>SHL!D348+SPA!D348</f>
        <v>26011</v>
      </c>
      <c r="Y348" s="108">
        <f t="shared" ref="Y348" si="55">Z348-Z336</f>
        <v>-8312</v>
      </c>
      <c r="Z348" s="175">
        <f>SHL!Z348+SPA!Z348</f>
        <v>274390</v>
      </c>
      <c r="AA348" s="108">
        <f t="shared" ref="AA348" si="56">Z348-C348</f>
        <v>-9579</v>
      </c>
      <c r="AB348" s="547">
        <f>SPA!AB348+SHL!AB348</f>
        <v>267831</v>
      </c>
      <c r="BN348" s="4">
        <f t="shared" si="50"/>
        <v>2011</v>
      </c>
      <c r="BO348" s="4">
        <f t="shared" si="51"/>
        <v>8</v>
      </c>
      <c r="BP348" s="108">
        <f>SHL!BP348+SPA!BP348</f>
        <v>271935.6685036103</v>
      </c>
      <c r="BT348" s="175">
        <f>SHL!BT348+SPA!BT348</f>
        <v>262552.6685036103</v>
      </c>
      <c r="BU348" s="108">
        <f t="shared" ref="BU348" si="57">BT348-BT336</f>
        <v>-19185.640622346313</v>
      </c>
      <c r="BV348" s="108"/>
      <c r="BW348" s="108">
        <f t="shared" ref="BW348" si="58">BT348-BP348</f>
        <v>-9383</v>
      </c>
    </row>
    <row r="349" spans="1:75">
      <c r="A349" s="4">
        <f t="shared" ref="A349:A377" si="59">A337+1</f>
        <v>2011</v>
      </c>
      <c r="B349" s="4">
        <f t="shared" ref="B349:B377" si="60">B337</f>
        <v>9</v>
      </c>
      <c r="C349" s="108">
        <f>SHL!C349+SPA!C349</f>
        <v>308326</v>
      </c>
      <c r="D349" s="108">
        <f>SHL!D349+SPA!D349</f>
        <v>25066</v>
      </c>
      <c r="Y349" s="108">
        <f t="shared" ref="Y349" si="61">Z349-Z337</f>
        <v>-1858</v>
      </c>
      <c r="Z349" s="175">
        <f>SHL!Z349+SPA!Z349</f>
        <v>305096</v>
      </c>
      <c r="AA349" s="108">
        <f t="shared" ref="AA349" si="62">Z349-C349</f>
        <v>-3230</v>
      </c>
      <c r="AB349" s="547">
        <f>SPA!AB349+SHL!AB349</f>
        <v>305483</v>
      </c>
      <c r="BN349" s="4">
        <f t="shared" si="50"/>
        <v>2011</v>
      </c>
      <c r="BO349" s="4">
        <f t="shared" si="51"/>
        <v>9</v>
      </c>
      <c r="BP349" s="108">
        <f>SHL!BP349+SPA!BP349</f>
        <v>310958.85237524274</v>
      </c>
      <c r="BT349" s="175">
        <f>SHL!BT349+SPA!BT349</f>
        <v>310761.85237524274</v>
      </c>
      <c r="BU349" s="108">
        <f t="shared" ref="BU349" si="63">BT349-BT337</f>
        <v>-2593.0201041763066</v>
      </c>
      <c r="BV349" s="108"/>
      <c r="BW349" s="108">
        <f t="shared" ref="BW349" si="64">BT349-BP349</f>
        <v>-197</v>
      </c>
    </row>
    <row r="350" spans="1:75">
      <c r="A350" s="4">
        <f t="shared" si="59"/>
        <v>2011</v>
      </c>
      <c r="B350" s="4">
        <f t="shared" si="60"/>
        <v>10</v>
      </c>
      <c r="C350" s="108">
        <f>SHL!C350+SPA!C350</f>
        <v>293102</v>
      </c>
      <c r="D350" s="108">
        <f>SHL!D350+SPA!D350</f>
        <v>24749</v>
      </c>
      <c r="Y350" s="108">
        <f t="shared" ref="Y350" si="65">Z350-Z338</f>
        <v>-4199</v>
      </c>
      <c r="Z350" s="175">
        <f>SHL!Z350+SPA!Z350</f>
        <v>292802</v>
      </c>
      <c r="AA350" s="108">
        <f t="shared" ref="AA350" si="66">Z350-C350</f>
        <v>-300</v>
      </c>
      <c r="AB350" s="547">
        <f>SPA!AB350+SHL!AB350</f>
        <v>295265</v>
      </c>
      <c r="BN350" s="4">
        <f t="shared" si="50"/>
        <v>2011</v>
      </c>
      <c r="BO350" s="4">
        <f t="shared" si="51"/>
        <v>10</v>
      </c>
      <c r="BP350" s="108">
        <f>SHL!BP350+SPA!BP350</f>
        <v>273614.0971309286</v>
      </c>
      <c r="BT350" s="175">
        <f>SHL!BT350+SPA!BT350</f>
        <v>288305.0971309286</v>
      </c>
      <c r="BU350" s="108">
        <f t="shared" ref="BU350" si="67">BT350-BT338</f>
        <v>-19041.359256919648</v>
      </c>
      <c r="BV350" s="108"/>
      <c r="BW350" s="108">
        <f t="shared" ref="BW350" si="68">BT350-BP350</f>
        <v>14691</v>
      </c>
    </row>
    <row r="351" spans="1:75">
      <c r="A351" s="4">
        <f t="shared" si="59"/>
        <v>2011</v>
      </c>
      <c r="B351" s="4">
        <f t="shared" si="60"/>
        <v>11</v>
      </c>
      <c r="C351" s="108">
        <f>SHL!C351+SPA!C351</f>
        <v>263805</v>
      </c>
      <c r="D351" s="108">
        <f>SHL!D351+SPA!D351</f>
        <v>26386</v>
      </c>
      <c r="Y351" s="108">
        <f t="shared" ref="Y351" si="69">Z351-Z339</f>
        <v>556</v>
      </c>
      <c r="Z351" s="175">
        <f>SHL!Z351+SPA!Z351</f>
        <v>273074</v>
      </c>
      <c r="AA351" s="108">
        <f t="shared" ref="AA351" si="70">Z351-C351</f>
        <v>9269</v>
      </c>
      <c r="AB351" s="547">
        <f>SPA!AB351+SHL!AB351</f>
        <v>269721</v>
      </c>
      <c r="BN351" s="4">
        <f t="shared" si="50"/>
        <v>2011</v>
      </c>
      <c r="BO351" s="4">
        <f t="shared" si="51"/>
        <v>11</v>
      </c>
      <c r="BP351" s="108">
        <f>SHL!BP351+SPA!BP351</f>
        <v>248379.25343211732</v>
      </c>
      <c r="BT351" s="175">
        <f>SHL!BT351+SPA!BT351</f>
        <v>249641.25343211732</v>
      </c>
      <c r="BU351" s="108">
        <f t="shared" ref="BU351" si="71">BT351-BT339</f>
        <v>18014.884243123612</v>
      </c>
      <c r="BV351" s="108"/>
      <c r="BW351" s="108">
        <f t="shared" ref="BW351" si="72">BT351-BP351</f>
        <v>1262</v>
      </c>
    </row>
    <row r="352" spans="1:75" s="89" customFormat="1">
      <c r="A352" s="89">
        <f t="shared" si="59"/>
        <v>2011</v>
      </c>
      <c r="B352" s="89">
        <f t="shared" si="60"/>
        <v>12</v>
      </c>
      <c r="C352" s="117">
        <f>SHL!C352+SPA!C352</f>
        <v>249322</v>
      </c>
      <c r="D352" s="117">
        <f>SHL!D352+SPA!D352</f>
        <v>25414</v>
      </c>
      <c r="Y352" s="117">
        <f t="shared" ref="Y352:Y364" si="73">Z352-Z340</f>
        <v>-5355</v>
      </c>
      <c r="Z352" s="176">
        <f>SHL!Z352+SPA!Z352</f>
        <v>249102</v>
      </c>
      <c r="AA352" s="117">
        <f t="shared" ref="AA352:AA364" si="74">Z352-C352</f>
        <v>-220</v>
      </c>
      <c r="AB352" s="548">
        <f>SPA!AB352+SHL!AB352</f>
        <v>251143</v>
      </c>
      <c r="BN352" s="89">
        <f t="shared" si="50"/>
        <v>2011</v>
      </c>
      <c r="BO352" s="89">
        <f t="shared" si="51"/>
        <v>12</v>
      </c>
      <c r="BP352" s="117">
        <f>SHL!BP352+SPA!BP352</f>
        <v>242432.19149595557</v>
      </c>
      <c r="BT352" s="176">
        <f>SHL!BT352+SPA!BT352</f>
        <v>243333.19149595557</v>
      </c>
      <c r="BU352" s="117">
        <f t="shared" ref="BU352:BU364" si="75">BT352-BT340</f>
        <v>-46295.796861374518</v>
      </c>
      <c r="BV352" s="117"/>
      <c r="BW352" s="117">
        <f t="shared" ref="BW352:BW364" si="76">BT352-BP352</f>
        <v>901</v>
      </c>
    </row>
    <row r="353" spans="1:75">
      <c r="A353" s="4">
        <f t="shared" si="59"/>
        <v>2012</v>
      </c>
      <c r="B353" s="4">
        <f t="shared" si="60"/>
        <v>1</v>
      </c>
      <c r="C353" s="108">
        <f>SHL!C353+SPA!C353</f>
        <v>238834</v>
      </c>
      <c r="D353" s="108">
        <f>SHL!D353+SPA!D353</f>
        <v>24785</v>
      </c>
      <c r="Y353" s="108">
        <f t="shared" si="73"/>
        <v>-6683</v>
      </c>
      <c r="Z353" s="175">
        <f>SHL!Z353+SPA!Z353</f>
        <v>241068</v>
      </c>
      <c r="AA353" s="108">
        <f t="shared" si="74"/>
        <v>2234</v>
      </c>
      <c r="AB353" s="547">
        <f>SPA!AB353+SHL!AB353</f>
        <v>243128</v>
      </c>
      <c r="BN353" s="4">
        <f t="shared" ref="BN353:BN376" si="77">BN341+1</f>
        <v>2012</v>
      </c>
      <c r="BO353" s="4">
        <f t="shared" ref="BO353:BO376" si="78">BO341</f>
        <v>1</v>
      </c>
      <c r="BP353" s="108">
        <f>SHL!BP353+SPA!BP353</f>
        <v>242808.28897231637</v>
      </c>
      <c r="BT353" s="175">
        <f>SHL!BT353+SPA!BT353</f>
        <v>243289.28897231637</v>
      </c>
      <c r="BU353" s="108">
        <f t="shared" si="75"/>
        <v>39203.338272550522</v>
      </c>
      <c r="BV353" s="108"/>
      <c r="BW353" s="108">
        <f t="shared" si="76"/>
        <v>481</v>
      </c>
    </row>
    <row r="354" spans="1:75">
      <c r="A354" s="4">
        <f t="shared" si="59"/>
        <v>2012</v>
      </c>
      <c r="B354" s="4">
        <f t="shared" si="60"/>
        <v>2</v>
      </c>
      <c r="C354" s="108">
        <f>SHL!C354+SPA!C354</f>
        <v>267370</v>
      </c>
      <c r="D354" s="108">
        <f>SHL!D354+SPA!D354</f>
        <v>25014</v>
      </c>
      <c r="Y354" s="108">
        <f t="shared" si="73"/>
        <v>30201</v>
      </c>
      <c r="Z354" s="175">
        <f>SHL!Z354+SPA!Z354</f>
        <v>267954</v>
      </c>
      <c r="AA354" s="108">
        <f t="shared" si="74"/>
        <v>584</v>
      </c>
      <c r="AB354" s="547">
        <f>SPA!AB354+SHL!AB354</f>
        <v>265434</v>
      </c>
      <c r="BN354" s="4">
        <f t="shared" si="77"/>
        <v>2012</v>
      </c>
      <c r="BO354" s="4">
        <f t="shared" si="78"/>
        <v>2</v>
      </c>
      <c r="BP354" s="108">
        <f>SHL!BP354+SPA!BP354</f>
        <v>292778.0750406186</v>
      </c>
      <c r="BT354" s="175">
        <f>SHL!BT354+SPA!BT354</f>
        <v>291759.0750406186</v>
      </c>
      <c r="BU354" s="108">
        <f t="shared" si="75"/>
        <v>61966.24646829968</v>
      </c>
      <c r="BV354" s="108"/>
      <c r="BW354" s="108">
        <f t="shared" si="76"/>
        <v>-1019</v>
      </c>
    </row>
    <row r="355" spans="1:75">
      <c r="A355" s="4">
        <f t="shared" si="59"/>
        <v>2012</v>
      </c>
      <c r="B355" s="4">
        <f t="shared" si="60"/>
        <v>3</v>
      </c>
      <c r="C355" s="108">
        <f>SHL!C355+SPA!C355</f>
        <v>246423</v>
      </c>
      <c r="D355" s="108">
        <f>SHL!D355+SPA!D355</f>
        <v>25319</v>
      </c>
      <c r="Y355" s="108">
        <f t="shared" si="73"/>
        <v>996</v>
      </c>
      <c r="Z355" s="175">
        <f>SHL!Z355+SPA!Z355</f>
        <v>243342</v>
      </c>
      <c r="AA355" s="108">
        <f t="shared" si="74"/>
        <v>-3081</v>
      </c>
      <c r="AB355" s="547">
        <f>SPA!AB355+SHL!AB355</f>
        <v>246005</v>
      </c>
      <c r="BN355" s="4">
        <f t="shared" si="77"/>
        <v>2012</v>
      </c>
      <c r="BO355" s="4">
        <f t="shared" si="78"/>
        <v>3</v>
      </c>
      <c r="BP355" s="108">
        <f>SHL!BP355+SPA!BP355</f>
        <v>245054.80126239927</v>
      </c>
      <c r="BT355" s="175">
        <f>SHL!BT355+SPA!BT355</f>
        <v>232689.80126239927</v>
      </c>
      <c r="BU355" s="108">
        <f t="shared" si="75"/>
        <v>-47661.29204022538</v>
      </c>
      <c r="BV355" s="108"/>
      <c r="BW355" s="108">
        <f t="shared" si="76"/>
        <v>-12365</v>
      </c>
    </row>
    <row r="356" spans="1:75">
      <c r="A356" s="4">
        <f t="shared" si="59"/>
        <v>2012</v>
      </c>
      <c r="B356" s="4">
        <f t="shared" si="60"/>
        <v>4</v>
      </c>
      <c r="C356" s="108">
        <f>SHL!C356+SPA!C356</f>
        <v>262973</v>
      </c>
      <c r="D356" s="108">
        <f>SHL!D356+SPA!D356</f>
        <v>25187</v>
      </c>
      <c r="Y356" s="108">
        <f t="shared" si="73"/>
        <v>986</v>
      </c>
      <c r="Z356" s="175">
        <f>SHL!Z356+SPA!Z356</f>
        <v>252692</v>
      </c>
      <c r="AA356" s="108">
        <f t="shared" si="74"/>
        <v>-10281</v>
      </c>
      <c r="AB356" s="547">
        <f>SPA!AB356+SHL!AB356</f>
        <v>253631</v>
      </c>
      <c r="BN356" s="4">
        <f t="shared" si="77"/>
        <v>2012</v>
      </c>
      <c r="BO356" s="4">
        <f t="shared" si="78"/>
        <v>4</v>
      </c>
      <c r="BP356" s="108">
        <f>SHL!BP356+SPA!BP356</f>
        <v>266526.88611289347</v>
      </c>
      <c r="BT356" s="175">
        <f>SHL!BT356+SPA!BT356</f>
        <v>262467.88611289347</v>
      </c>
      <c r="BU356" s="108">
        <f t="shared" si="75"/>
        <v>1800.8982702931389</v>
      </c>
      <c r="BV356" s="108"/>
      <c r="BW356" s="108">
        <f t="shared" si="76"/>
        <v>-4059</v>
      </c>
    </row>
    <row r="357" spans="1:75">
      <c r="A357" s="4">
        <f t="shared" si="59"/>
        <v>2012</v>
      </c>
      <c r="B357" s="4">
        <f t="shared" si="60"/>
        <v>5</v>
      </c>
      <c r="C357" s="108">
        <f>SHL!C357+SPA!C357</f>
        <v>265858</v>
      </c>
      <c r="D357" s="108">
        <f>SHL!D357+SPA!D357</f>
        <v>25423</v>
      </c>
      <c r="Y357" s="108">
        <f t="shared" si="73"/>
        <v>-3494</v>
      </c>
      <c r="Z357" s="175">
        <f>SHL!Z357+SPA!Z357</f>
        <v>262890</v>
      </c>
      <c r="AA357" s="108">
        <f t="shared" si="74"/>
        <v>-2968</v>
      </c>
      <c r="AB357" s="547">
        <f>SPA!AB357+SHL!AB357</f>
        <v>263652</v>
      </c>
      <c r="BN357" s="4">
        <f t="shared" si="77"/>
        <v>2012</v>
      </c>
      <c r="BO357" s="4">
        <f t="shared" si="78"/>
        <v>5</v>
      </c>
      <c r="BP357" s="108">
        <f>SHL!BP357+SPA!BP357</f>
        <v>299542.47741886176</v>
      </c>
      <c r="BT357" s="175">
        <f>SHL!BT357+SPA!BT357</f>
        <v>292018.47741886176</v>
      </c>
      <c r="BU357" s="108">
        <f t="shared" si="75"/>
        <v>14133.321021744749</v>
      </c>
      <c r="BV357" s="108"/>
      <c r="BW357" s="108">
        <f t="shared" si="76"/>
        <v>-7524</v>
      </c>
    </row>
    <row r="358" spans="1:75">
      <c r="A358" s="4">
        <f t="shared" si="59"/>
        <v>2012</v>
      </c>
      <c r="B358" s="4">
        <f t="shared" si="60"/>
        <v>6</v>
      </c>
      <c r="C358" s="108">
        <f>SHL!C358+SPA!C358</f>
        <v>284201</v>
      </c>
      <c r="D358" s="108">
        <f>SHL!D358+SPA!D358</f>
        <v>25395</v>
      </c>
      <c r="Y358" s="108">
        <f t="shared" si="73"/>
        <v>-995</v>
      </c>
      <c r="Z358" s="175">
        <f>SHL!Z358+SPA!Z358</f>
        <v>285209</v>
      </c>
      <c r="AA358" s="108">
        <f t="shared" si="74"/>
        <v>1008</v>
      </c>
      <c r="AB358" s="547">
        <f>SPA!AB358+SHL!AB358</f>
        <v>284809</v>
      </c>
      <c r="BN358" s="4">
        <f t="shared" si="77"/>
        <v>2012</v>
      </c>
      <c r="BO358" s="4">
        <f t="shared" si="78"/>
        <v>6</v>
      </c>
      <c r="BP358" s="108">
        <f>SHL!BP358+SPA!BP358</f>
        <v>262544.67683905823</v>
      </c>
      <c r="BT358" s="175">
        <f>SHL!BT358+SPA!BT358</f>
        <v>271307.67683905817</v>
      </c>
      <c r="BU358" s="108">
        <f t="shared" si="75"/>
        <v>-10693.105377358501</v>
      </c>
      <c r="BV358" s="108"/>
      <c r="BW358" s="108">
        <f t="shared" si="76"/>
        <v>8762.9999999999418</v>
      </c>
    </row>
    <row r="359" spans="1:75">
      <c r="A359" s="4">
        <f t="shared" si="59"/>
        <v>2012</v>
      </c>
      <c r="B359" s="4">
        <f t="shared" si="60"/>
        <v>7</v>
      </c>
      <c r="C359" s="108">
        <f>SHL!C359+SPA!C359</f>
        <v>272784</v>
      </c>
      <c r="D359" s="108">
        <f>SHL!D359+SPA!D359</f>
        <v>24798</v>
      </c>
      <c r="Y359" s="108">
        <f t="shared" si="73"/>
        <v>8634</v>
      </c>
      <c r="Z359" s="175">
        <f>SHL!Z359+SPA!Z359</f>
        <v>279725</v>
      </c>
      <c r="AA359" s="108">
        <f t="shared" si="74"/>
        <v>6941</v>
      </c>
      <c r="AB359" s="547">
        <f>SPA!AB359+SHL!AB359</f>
        <v>279386</v>
      </c>
      <c r="BN359" s="4">
        <f t="shared" si="77"/>
        <v>2012</v>
      </c>
      <c r="BO359" s="4">
        <f t="shared" si="78"/>
        <v>7</v>
      </c>
      <c r="BP359" s="108">
        <f>SHL!BP359+SPA!BP359</f>
        <v>298648.31954400055</v>
      </c>
      <c r="BT359" s="175">
        <f>SHL!BT359+SPA!BT359</f>
        <v>296102.31954400055</v>
      </c>
      <c r="BU359" s="108">
        <f t="shared" si="75"/>
        <v>29322.851125837886</v>
      </c>
      <c r="BV359" s="108"/>
      <c r="BW359" s="108">
        <f t="shared" si="76"/>
        <v>-2546</v>
      </c>
    </row>
    <row r="360" spans="1:75">
      <c r="A360" s="4">
        <f t="shared" si="59"/>
        <v>2012</v>
      </c>
      <c r="B360" s="4">
        <f t="shared" si="60"/>
        <v>8</v>
      </c>
      <c r="C360" s="108">
        <f>SHL!C360+SPA!C360</f>
        <v>288729</v>
      </c>
      <c r="D360" s="108">
        <f>SHL!D360+SPA!D360</f>
        <v>26467</v>
      </c>
      <c r="Y360" s="108">
        <f t="shared" si="73"/>
        <v>11332</v>
      </c>
      <c r="Z360" s="175">
        <f>SHL!Z360+SPA!Z360</f>
        <v>285722</v>
      </c>
      <c r="AA360" s="108">
        <f t="shared" si="74"/>
        <v>-3007</v>
      </c>
      <c r="AB360" s="547">
        <f>SPA!AB360+SHL!AB360</f>
        <v>285164</v>
      </c>
      <c r="BN360" s="4">
        <f t="shared" si="77"/>
        <v>2012</v>
      </c>
      <c r="BO360" s="4">
        <f t="shared" si="78"/>
        <v>8</v>
      </c>
      <c r="BP360" s="108">
        <f>SHL!BP360+SPA!BP360</f>
        <v>261427.57058648232</v>
      </c>
      <c r="BT360" s="175">
        <f>SHL!BT360+SPA!BT360</f>
        <v>263740.57058648235</v>
      </c>
      <c r="BU360" s="108">
        <f t="shared" si="75"/>
        <v>1187.9020828720531</v>
      </c>
      <c r="BV360" s="108"/>
      <c r="BW360" s="108">
        <f t="shared" si="76"/>
        <v>2313.0000000000291</v>
      </c>
    </row>
    <row r="361" spans="1:75">
      <c r="A361" s="4">
        <f t="shared" si="59"/>
        <v>2012</v>
      </c>
      <c r="B361" s="4">
        <f t="shared" si="60"/>
        <v>9</v>
      </c>
      <c r="C361" s="108">
        <f>SHL!C361+SPA!C361</f>
        <v>307378</v>
      </c>
      <c r="D361" s="108">
        <f>SHL!D361+SPA!D361</f>
        <v>24943</v>
      </c>
      <c r="Y361" s="108">
        <f t="shared" si="73"/>
        <v>6022</v>
      </c>
      <c r="Z361" s="175">
        <f>SHL!Z361+SPA!Z361</f>
        <v>311118</v>
      </c>
      <c r="AA361" s="108">
        <f t="shared" si="74"/>
        <v>3740</v>
      </c>
      <c r="AB361" s="547">
        <f>SPA!AB361+SHL!AB361</f>
        <v>311956</v>
      </c>
      <c r="BN361" s="4">
        <f t="shared" si="77"/>
        <v>2012</v>
      </c>
      <c r="BO361" s="4">
        <f t="shared" si="78"/>
        <v>9</v>
      </c>
      <c r="BP361" s="108">
        <f>SHL!BP361+SPA!BP361</f>
        <v>322386.75376662932</v>
      </c>
      <c r="BT361" s="175">
        <f>SHL!BT361+SPA!BT361</f>
        <v>324722.75376662932</v>
      </c>
      <c r="BU361" s="108">
        <f t="shared" si="75"/>
        <v>13960.901391386578</v>
      </c>
      <c r="BV361" s="108"/>
      <c r="BW361" s="108">
        <f t="shared" si="76"/>
        <v>2336</v>
      </c>
    </row>
    <row r="362" spans="1:75">
      <c r="A362" s="4">
        <f t="shared" si="59"/>
        <v>2012</v>
      </c>
      <c r="B362" s="4">
        <f t="shared" si="60"/>
        <v>10</v>
      </c>
      <c r="C362" s="108">
        <f>SHL!C362+SPA!C362</f>
        <v>289632</v>
      </c>
      <c r="D362" s="108">
        <f>SHL!D362+SPA!D362</f>
        <v>25750</v>
      </c>
      <c r="Y362" s="108">
        <f t="shared" si="73"/>
        <v>-8184</v>
      </c>
      <c r="Z362" s="175">
        <f>SHL!Z362+SPA!Z362</f>
        <v>284618</v>
      </c>
      <c r="AA362" s="108">
        <f t="shared" si="74"/>
        <v>-5014</v>
      </c>
      <c r="AB362" s="547">
        <f>SPA!AB362+SHL!AB362</f>
        <v>281024</v>
      </c>
      <c r="BN362" s="4">
        <f t="shared" si="77"/>
        <v>2012</v>
      </c>
      <c r="BO362" s="4">
        <f t="shared" si="78"/>
        <v>10</v>
      </c>
      <c r="BP362" s="108">
        <f>SHL!BP362+SPA!BP362</f>
        <v>265077.17163569672</v>
      </c>
      <c r="BT362" s="175">
        <f>SHL!BT362+SPA!BT362</f>
        <v>262450.17163569672</v>
      </c>
      <c r="BU362" s="108">
        <f t="shared" si="75"/>
        <v>-25854.925495231873</v>
      </c>
      <c r="BV362" s="108"/>
      <c r="BW362" s="108">
        <f t="shared" si="76"/>
        <v>-2627</v>
      </c>
    </row>
    <row r="363" spans="1:75">
      <c r="A363" s="4">
        <f t="shared" si="59"/>
        <v>2012</v>
      </c>
      <c r="B363" s="4">
        <f t="shared" si="60"/>
        <v>11</v>
      </c>
      <c r="C363" s="108">
        <f>SHL!C363+SPA!C363</f>
        <v>276095</v>
      </c>
      <c r="D363" s="108">
        <f>SHL!D363+SPA!D363</f>
        <v>27060</v>
      </c>
      <c r="Y363" s="108">
        <f t="shared" si="73"/>
        <v>1491</v>
      </c>
      <c r="Z363" s="175">
        <f>SHL!Z363+SPA!Z363</f>
        <v>274565</v>
      </c>
      <c r="AA363" s="108">
        <f t="shared" si="74"/>
        <v>-1530</v>
      </c>
      <c r="AB363" s="547">
        <f>SPA!AB363+SHL!AB363</f>
        <v>270064</v>
      </c>
      <c r="BN363" s="4">
        <f t="shared" si="77"/>
        <v>2012</v>
      </c>
      <c r="BO363" s="4">
        <f t="shared" si="78"/>
        <v>11</v>
      </c>
      <c r="BP363" s="108">
        <f>SHL!BP363+SPA!BP363</f>
        <v>247471.1233653111</v>
      </c>
      <c r="BT363" s="175">
        <f>SHL!BT363+SPA!BT363</f>
        <v>256521.1233653111</v>
      </c>
      <c r="BU363" s="108">
        <f t="shared" si="75"/>
        <v>6879.8699331937823</v>
      </c>
      <c r="BV363" s="108"/>
      <c r="BW363" s="108">
        <f t="shared" si="76"/>
        <v>9050</v>
      </c>
    </row>
    <row r="364" spans="1:75" s="89" customFormat="1">
      <c r="A364" s="89">
        <f t="shared" si="59"/>
        <v>2012</v>
      </c>
      <c r="B364" s="89">
        <f t="shared" si="60"/>
        <v>12</v>
      </c>
      <c r="C364" s="117">
        <f>SHL!C364+SPA!C364</f>
        <v>246135</v>
      </c>
      <c r="D364" s="117">
        <f>SHL!D364+SPA!D364</f>
        <v>25441</v>
      </c>
      <c r="Y364" s="117">
        <f t="shared" si="73"/>
        <v>2319</v>
      </c>
      <c r="Z364" s="176">
        <f>SHL!Z364+SPA!Z364</f>
        <v>251421</v>
      </c>
      <c r="AA364" s="117">
        <f t="shared" si="74"/>
        <v>5286</v>
      </c>
      <c r="AB364" s="548">
        <f>SPA!AB364+SHL!AB364</f>
        <v>254664</v>
      </c>
      <c r="BN364" s="89">
        <f t="shared" si="77"/>
        <v>2012</v>
      </c>
      <c r="BO364" s="89">
        <f t="shared" si="78"/>
        <v>12</v>
      </c>
      <c r="BP364" s="117">
        <f>SHL!BP364+SPA!BP364</f>
        <v>272577.05029902334</v>
      </c>
      <c r="BT364" s="176">
        <f>SHL!BT364+SPA!BT364</f>
        <v>271756.05029902334</v>
      </c>
      <c r="BU364" s="117">
        <f t="shared" si="75"/>
        <v>28422.858803067764</v>
      </c>
      <c r="BV364" s="117"/>
      <c r="BW364" s="117">
        <f t="shared" si="76"/>
        <v>-821</v>
      </c>
    </row>
    <row r="365" spans="1:75">
      <c r="A365" s="4">
        <f t="shared" si="59"/>
        <v>2013</v>
      </c>
      <c r="B365" s="4">
        <f t="shared" si="60"/>
        <v>1</v>
      </c>
      <c r="C365" s="108">
        <f>SHL!C365+SPA!C365</f>
        <v>234235</v>
      </c>
      <c r="D365" s="108">
        <f>SHL!D365+SPA!D365</f>
        <v>25028</v>
      </c>
      <c r="Y365" s="108">
        <f t="shared" ref="Y365" si="79">Z365-Z353</f>
        <v>-5922</v>
      </c>
      <c r="Z365" s="175">
        <f>SHL!Z365+SPA!Z365</f>
        <v>235146</v>
      </c>
      <c r="AA365" s="108">
        <f t="shared" ref="AA365" si="80">Z365-C365</f>
        <v>911</v>
      </c>
      <c r="AB365" s="547">
        <f>SPA!AB365+SHL!AB365</f>
        <v>237528</v>
      </c>
      <c r="BN365" s="4">
        <f t="shared" si="77"/>
        <v>2013</v>
      </c>
      <c r="BO365" s="4">
        <f t="shared" si="78"/>
        <v>1</v>
      </c>
      <c r="BP365" s="108">
        <f>SHL!BP365+SPA!BP365</f>
        <v>217450.09876393829</v>
      </c>
      <c r="BT365" s="175">
        <f>SHL!BT365+SPA!BT365</f>
        <v>216924.09876393829</v>
      </c>
      <c r="BU365" s="108">
        <f t="shared" ref="BU365" si="81">BT365-BT353</f>
        <v>-26365.190208378073</v>
      </c>
      <c r="BV365" s="108"/>
      <c r="BW365" s="108">
        <f t="shared" ref="BW365" si="82">BT365-BP365</f>
        <v>-526</v>
      </c>
    </row>
    <row r="366" spans="1:75">
      <c r="A366" s="4">
        <f t="shared" si="59"/>
        <v>2013</v>
      </c>
      <c r="B366" s="4">
        <f t="shared" si="60"/>
        <v>2</v>
      </c>
      <c r="C366" s="108">
        <f>SHL!C366+SPA!C366</f>
        <v>237264</v>
      </c>
      <c r="D366" s="108">
        <f>SHL!D366+SPA!D366</f>
        <v>25504</v>
      </c>
      <c r="Y366" s="108">
        <f t="shared" ref="Y366" si="83">Z366-Z354</f>
        <v>-30717</v>
      </c>
      <c r="Z366" s="175">
        <f>SHL!Z366+SPA!Z366</f>
        <v>237237</v>
      </c>
      <c r="AA366" s="108">
        <f t="shared" ref="AA366" si="84">Z366-C366</f>
        <v>-27</v>
      </c>
      <c r="AB366" s="547">
        <f>SPA!AB366+SHL!AB366</f>
        <v>237024</v>
      </c>
      <c r="BN366" s="4">
        <f t="shared" si="77"/>
        <v>2013</v>
      </c>
      <c r="BO366" s="4">
        <f t="shared" si="78"/>
        <v>2</v>
      </c>
      <c r="BP366" s="108">
        <f>SHL!BP366+SPA!BP366</f>
        <v>229342.94743886977</v>
      </c>
      <c r="BT366" s="175">
        <f>SHL!BT366+SPA!BT366</f>
        <v>229206.94743886977</v>
      </c>
      <c r="BU366" s="108">
        <f t="shared" ref="BU366" si="85">BT366-BT354</f>
        <v>-62552.127601748827</v>
      </c>
      <c r="BV366" s="108"/>
      <c r="BW366" s="108">
        <f t="shared" ref="BW366" si="86">BT366-BP366</f>
        <v>-136</v>
      </c>
    </row>
    <row r="367" spans="1:75">
      <c r="A367" s="4">
        <f t="shared" si="59"/>
        <v>2013</v>
      </c>
      <c r="B367" s="4">
        <f t="shared" si="60"/>
        <v>3</v>
      </c>
      <c r="C367" s="108">
        <f>SHL!C367+SPA!C367</f>
        <v>236497</v>
      </c>
      <c r="D367" s="108">
        <f>SHL!D367+SPA!D367</f>
        <v>25047</v>
      </c>
      <c r="Y367" s="108">
        <f t="shared" ref="Y367" si="87">Z367-Z355</f>
        <v>-6530</v>
      </c>
      <c r="Z367" s="175">
        <f>SHL!Z367+SPA!Z367</f>
        <v>236812</v>
      </c>
      <c r="AA367" s="108">
        <f t="shared" ref="AA367" si="88">Z367-C367</f>
        <v>315</v>
      </c>
      <c r="AB367" s="547">
        <f>SPA!AB367+SHL!AB367</f>
        <v>236837</v>
      </c>
      <c r="BN367" s="4">
        <f t="shared" si="77"/>
        <v>2013</v>
      </c>
      <c r="BO367" s="4">
        <f t="shared" si="78"/>
        <v>3</v>
      </c>
      <c r="BP367" s="108">
        <f>SHL!BP367+SPA!BP367</f>
        <v>256073.20295938113</v>
      </c>
      <c r="BT367" s="175">
        <f>SHL!BT367+SPA!BT367</f>
        <v>259489.20295938113</v>
      </c>
      <c r="BU367" s="108">
        <f t="shared" ref="BU367" si="89">BT367-BT355</f>
        <v>26799.401696981862</v>
      </c>
      <c r="BV367" s="108"/>
      <c r="BW367" s="108">
        <f t="shared" ref="BW367" si="90">BT367-BP367</f>
        <v>3416</v>
      </c>
    </row>
    <row r="368" spans="1:75">
      <c r="A368" s="4">
        <f t="shared" si="59"/>
        <v>2013</v>
      </c>
      <c r="B368" s="4">
        <f t="shared" si="60"/>
        <v>4</v>
      </c>
      <c r="C368" s="108">
        <f>SHL!C368+SPA!C368</f>
        <v>238618</v>
      </c>
      <c r="D368" s="108">
        <f>SHL!D368+SPA!D368</f>
        <v>25231</v>
      </c>
      <c r="Y368" s="108">
        <f t="shared" ref="Y368" si="91">Z368-Z356</f>
        <v>-11505</v>
      </c>
      <c r="Z368" s="175">
        <f>SHL!Z368+SPA!Z368</f>
        <v>241187</v>
      </c>
      <c r="AA368" s="108">
        <f t="shared" ref="AA368" si="92">Z368-C368</f>
        <v>2569</v>
      </c>
      <c r="AB368" s="547">
        <f>SPA!AB368+SHL!AB368</f>
        <v>243290</v>
      </c>
      <c r="BN368" s="4">
        <f t="shared" si="77"/>
        <v>2013</v>
      </c>
      <c r="BO368" s="4">
        <f t="shared" si="78"/>
        <v>4</v>
      </c>
      <c r="BP368" s="108">
        <f>SHL!BP368+SPA!BP368</f>
        <v>242336.25484353208</v>
      </c>
      <c r="BT368" s="175">
        <f>SHL!BT368+SPA!BT368</f>
        <v>235269.25484353208</v>
      </c>
      <c r="BU368" s="108">
        <f t="shared" ref="BU368" si="93">BT368-BT356</f>
        <v>-27198.631269361387</v>
      </c>
      <c r="BV368" s="108"/>
      <c r="BW368" s="108">
        <f t="shared" ref="BW368" si="94">BT368-BP368</f>
        <v>-7067</v>
      </c>
    </row>
    <row r="369" spans="1:75">
      <c r="A369" s="4">
        <f t="shared" si="59"/>
        <v>2013</v>
      </c>
      <c r="B369" s="4">
        <f t="shared" si="60"/>
        <v>5</v>
      </c>
      <c r="C369" s="108">
        <f>SHL!C369+SPA!C369</f>
        <v>268845</v>
      </c>
      <c r="D369" s="108">
        <f>SHL!D369+SPA!D369</f>
        <v>26467</v>
      </c>
      <c r="Y369" s="108">
        <f t="shared" ref="Y369:Y370" si="95">Z369-Z357</f>
        <v>5287</v>
      </c>
      <c r="Z369" s="175">
        <f>SHL!Z369+SPA!Z369</f>
        <v>268177</v>
      </c>
      <c r="AA369" s="108">
        <f t="shared" ref="AA369:AA370" si="96">Z369-C369</f>
        <v>-668</v>
      </c>
      <c r="AB369" s="547">
        <f>SPA!AB369+SHL!AB369</f>
        <v>264914</v>
      </c>
      <c r="BN369" s="4">
        <f t="shared" si="77"/>
        <v>2013</v>
      </c>
      <c r="BO369" s="4">
        <f t="shared" si="78"/>
        <v>5</v>
      </c>
      <c r="BP369" s="108">
        <f>SHL!BP369+SPA!BP369</f>
        <v>279142.11315022124</v>
      </c>
      <c r="BT369" s="175">
        <f>SHL!BT369+SPA!BT369</f>
        <v>288823.11315022124</v>
      </c>
      <c r="BU369" s="108">
        <f t="shared" ref="BU369:BU370" si="97">BT369-BT357</f>
        <v>-3195.3642686405219</v>
      </c>
      <c r="BV369" s="108"/>
      <c r="BW369" s="108">
        <f t="shared" ref="BW369:BW370" si="98">BT369-BP369</f>
        <v>9681</v>
      </c>
    </row>
    <row r="370" spans="1:75">
      <c r="A370" s="4">
        <f t="shared" si="59"/>
        <v>2013</v>
      </c>
      <c r="B370" s="4">
        <f t="shared" si="60"/>
        <v>6</v>
      </c>
      <c r="C370" s="108">
        <f>SHL!C370+SPA!C370</f>
        <v>283122</v>
      </c>
      <c r="D370" s="108">
        <f>SHL!D370+SPA!D370</f>
        <v>25570</v>
      </c>
      <c r="Y370" s="108">
        <f t="shared" si="95"/>
        <v>2618</v>
      </c>
      <c r="Z370" s="175">
        <f>SHL!Z370+SPA!Z370</f>
        <v>287827</v>
      </c>
      <c r="AA370" s="108">
        <f t="shared" si="96"/>
        <v>4705</v>
      </c>
      <c r="AB370" s="547">
        <f>SPA!AB370+SHL!AB370</f>
        <v>288260</v>
      </c>
      <c r="BN370" s="4">
        <f t="shared" si="77"/>
        <v>2013</v>
      </c>
      <c r="BO370" s="4">
        <f t="shared" si="78"/>
        <v>6</v>
      </c>
      <c r="BP370" s="108">
        <f>SHL!BP370+SPA!BP370</f>
        <v>287376.81815348455</v>
      </c>
      <c r="BT370" s="175">
        <f>SHL!BT370+SPA!BT370</f>
        <v>282360.81815348455</v>
      </c>
      <c r="BU370" s="108">
        <f t="shared" si="97"/>
        <v>11053.141314426379</v>
      </c>
      <c r="BV370" s="108"/>
      <c r="BW370" s="108">
        <f t="shared" si="98"/>
        <v>-5016</v>
      </c>
    </row>
    <row r="371" spans="1:75">
      <c r="A371" s="4">
        <f t="shared" si="59"/>
        <v>2013</v>
      </c>
      <c r="B371" s="4">
        <f t="shared" si="60"/>
        <v>7</v>
      </c>
      <c r="C371" s="108">
        <f>SHL!C371+SPA!C371</f>
        <v>271957</v>
      </c>
      <c r="D371" s="108">
        <f>SHL!D371+SPA!D371</f>
        <v>25899</v>
      </c>
      <c r="Y371" s="108">
        <f t="shared" ref="Y371" si="99">Z371-Z359</f>
        <v>-7768</v>
      </c>
      <c r="Z371" s="175">
        <f>SHL!Z371+SPA!Z371</f>
        <v>271957</v>
      </c>
      <c r="AA371" s="108">
        <f t="shared" ref="AA371" si="100">Z371-C371</f>
        <v>0</v>
      </c>
      <c r="AB371" s="547">
        <f>SPA!AB371+SHL!AB371</f>
        <v>270241</v>
      </c>
      <c r="BN371" s="4">
        <f t="shared" si="77"/>
        <v>2013</v>
      </c>
      <c r="BO371" s="4">
        <f t="shared" si="78"/>
        <v>7</v>
      </c>
      <c r="BP371" s="108">
        <f>SHL!BP371+SPA!BP371</f>
        <v>255540.37131164796</v>
      </c>
      <c r="BT371" s="175">
        <f>SHL!BT371+SPA!BT371</f>
        <v>260303.37131164796</v>
      </c>
      <c r="BU371" s="108">
        <f t="shared" ref="BU371" si="101">BT371-BT359</f>
        <v>-35798.948232352588</v>
      </c>
      <c r="BV371" s="108"/>
      <c r="BW371" s="108">
        <f t="shared" ref="BW371:BW373" si="102">BT371-BP371</f>
        <v>4763</v>
      </c>
    </row>
    <row r="372" spans="1:75">
      <c r="A372" s="4">
        <f t="shared" si="59"/>
        <v>2013</v>
      </c>
      <c r="B372" s="4">
        <f t="shared" si="60"/>
        <v>8</v>
      </c>
      <c r="C372" s="108">
        <f>SHL!C372+SPA!C372</f>
        <v>280299</v>
      </c>
      <c r="D372" s="108">
        <f>SHL!D372+SPA!D372</f>
        <v>24963</v>
      </c>
      <c r="Y372" s="108">
        <f t="shared" ref="Y372" si="103">Z372-Z360</f>
        <v>-3974</v>
      </c>
      <c r="Z372" s="175">
        <f>SHL!Z372+SPA!Z372</f>
        <v>281748</v>
      </c>
      <c r="AA372" s="108">
        <f t="shared" ref="AA372" si="104">Z372-C372</f>
        <v>1449</v>
      </c>
      <c r="AB372" s="547">
        <f>SPA!AB372+SHL!AB372</f>
        <v>282396</v>
      </c>
      <c r="BN372" s="4">
        <f t="shared" si="77"/>
        <v>2013</v>
      </c>
      <c r="BO372" s="4">
        <f t="shared" si="78"/>
        <v>8</v>
      </c>
      <c r="BP372" s="108">
        <f>SHL!BP372+SPA!BP372</f>
        <v>314909.82900204725</v>
      </c>
      <c r="BT372" s="175">
        <f>SHL!BT372+SPA!BT372</f>
        <v>307754.82900204725</v>
      </c>
      <c r="BU372" s="108">
        <f t="shared" ref="BU372" si="105">BT372-BT360</f>
        <v>44014.258415564895</v>
      </c>
      <c r="BV372" s="108"/>
      <c r="BW372" s="108">
        <f t="shared" si="102"/>
        <v>-7155</v>
      </c>
    </row>
    <row r="373" spans="1:75">
      <c r="A373" s="4">
        <f t="shared" si="59"/>
        <v>2013</v>
      </c>
      <c r="B373" s="4">
        <f t="shared" si="60"/>
        <v>9</v>
      </c>
      <c r="C373" s="108">
        <f>SHL!C373+SPA!C373</f>
        <v>312882</v>
      </c>
      <c r="D373" s="108">
        <f>SHL!D373+SPA!D373</f>
        <v>25635</v>
      </c>
      <c r="Y373" s="108">
        <f t="shared" ref="Y373" si="106">Z373-Z361</f>
        <v>-2999</v>
      </c>
      <c r="Z373" s="175">
        <f>SHL!Z373+SPA!Z373</f>
        <v>308119</v>
      </c>
      <c r="AA373" s="108">
        <f t="shared" ref="AA373" si="107">Z373-C373</f>
        <v>-4763</v>
      </c>
      <c r="AB373" s="547">
        <f>SPA!AB373+SHL!AB373</f>
        <v>307844</v>
      </c>
      <c r="BN373" s="4">
        <f t="shared" si="77"/>
        <v>2013</v>
      </c>
      <c r="BO373" s="4">
        <f t="shared" si="78"/>
        <v>9</v>
      </c>
      <c r="BP373" s="108">
        <f>SHL!BP373+SPA!BP373</f>
        <v>299721.92084001965</v>
      </c>
      <c r="BT373" s="175">
        <f>SHL!BT373+SPA!BT373</f>
        <v>300204.92084001965</v>
      </c>
      <c r="BU373" s="108">
        <f t="shared" ref="BU373" si="108">BT373-BT361</f>
        <v>-24517.83292660967</v>
      </c>
      <c r="BW373" s="108">
        <f t="shared" si="102"/>
        <v>483</v>
      </c>
    </row>
    <row r="374" spans="1:75">
      <c r="A374" s="4">
        <f t="shared" si="59"/>
        <v>2013</v>
      </c>
      <c r="B374" s="4">
        <f t="shared" si="60"/>
        <v>10</v>
      </c>
      <c r="C374" s="108">
        <f>SHL!C374+SPA!C374</f>
        <v>291326</v>
      </c>
      <c r="D374" s="108">
        <f>SHL!D374+SPA!D374</f>
        <v>25863</v>
      </c>
      <c r="Y374" s="108">
        <f t="shared" ref="Y374" si="109">Z374-Z362</f>
        <v>2532</v>
      </c>
      <c r="Z374" s="175">
        <f>SHL!Z374+SPA!Z374</f>
        <v>287150</v>
      </c>
      <c r="AA374" s="108">
        <f t="shared" ref="AA374" si="110">Z374-C374</f>
        <v>-4176</v>
      </c>
      <c r="AB374" s="547">
        <f>SPA!AB374+SHL!AB374</f>
        <v>286596</v>
      </c>
      <c r="BN374" s="4">
        <f t="shared" si="77"/>
        <v>2013</v>
      </c>
      <c r="BO374" s="4">
        <f t="shared" si="78"/>
        <v>10</v>
      </c>
      <c r="BP374" s="108">
        <f>SHL!BP374+SPA!BP374</f>
        <v>274023.44351025106</v>
      </c>
      <c r="BT374" s="175">
        <f>SHL!BT374+SPA!BT374</f>
        <v>267925.44351025106</v>
      </c>
      <c r="BU374" s="108">
        <f t="shared" ref="BU374" si="111">BT374-BT362</f>
        <v>5475.2718745543389</v>
      </c>
      <c r="BW374" s="108">
        <f t="shared" ref="BW374" si="112">BT374-BP374</f>
        <v>-6098</v>
      </c>
    </row>
    <row r="375" spans="1:75">
      <c r="A375" s="4">
        <f t="shared" si="59"/>
        <v>2013</v>
      </c>
      <c r="B375" s="4">
        <f t="shared" si="60"/>
        <v>11</v>
      </c>
      <c r="C375" s="108">
        <f>SHL!C375+SPA!C375</f>
        <v>274066</v>
      </c>
      <c r="D375" s="108">
        <f>SHL!D375+SPA!D375</f>
        <v>26881</v>
      </c>
      <c r="Y375" s="108">
        <f t="shared" ref="Y375" si="113">Z375-Z363</f>
        <v>-7796</v>
      </c>
      <c r="Z375" s="175">
        <f>SHL!Z375+SPA!Z375</f>
        <v>266769</v>
      </c>
      <c r="AA375" s="108">
        <f t="shared" ref="AA375" si="114">Z375-C375</f>
        <v>-7297</v>
      </c>
      <c r="AB375" s="547">
        <f>SPA!AB375+SHL!AB375</f>
        <v>260359</v>
      </c>
      <c r="BN375" s="4">
        <f t="shared" si="77"/>
        <v>2013</v>
      </c>
      <c r="BO375" s="4">
        <f t="shared" si="78"/>
        <v>11</v>
      </c>
      <c r="BP375" s="108">
        <f>SHL!BP375+SPA!BP375</f>
        <v>262576.45020807761</v>
      </c>
      <c r="BT375" s="175">
        <f>SHL!BT375+SPA!BT375</f>
        <v>258368.45020807761</v>
      </c>
      <c r="BU375" s="108">
        <f t="shared" ref="BU375" si="115">BT375-BT363</f>
        <v>1847.3268427665171</v>
      </c>
      <c r="BW375" s="108">
        <f t="shared" ref="BW375" si="116">BT375-BP375</f>
        <v>-4208</v>
      </c>
    </row>
    <row r="376" spans="1:75">
      <c r="A376" s="4">
        <f t="shared" si="59"/>
        <v>2013</v>
      </c>
      <c r="B376" s="4">
        <f t="shared" si="60"/>
        <v>12</v>
      </c>
      <c r="C376" s="108">
        <f>SHL!C376+SPA!C376</f>
        <v>254675</v>
      </c>
      <c r="D376" s="108">
        <f>SHL!D376+SPA!D376</f>
        <v>26843</v>
      </c>
      <c r="Y376" s="108">
        <f t="shared" ref="Y376" si="117">Z376-Z364</f>
        <v>-1387</v>
      </c>
      <c r="Z376" s="175">
        <f>SHL!Z376+SPA!Z376</f>
        <v>250034</v>
      </c>
      <c r="AA376" s="108">
        <f t="shared" ref="AA376" si="118">Z376-C376</f>
        <v>-4641</v>
      </c>
      <c r="AB376" s="547">
        <f>SPA!AB376+SHL!AB376</f>
        <v>250156</v>
      </c>
      <c r="BN376" s="4">
        <f t="shared" si="77"/>
        <v>2013</v>
      </c>
      <c r="BO376" s="4">
        <f t="shared" si="78"/>
        <v>12</v>
      </c>
      <c r="BP376" s="108">
        <f>SHL!BP376+SPA!BP376</f>
        <v>238703.87375710017</v>
      </c>
      <c r="BT376" s="175">
        <f>SHL!BT376+SPA!BT376</f>
        <v>236089.87375710017</v>
      </c>
      <c r="BU376" s="108">
        <f t="shared" ref="BU376" si="119">BT376-BT364</f>
        <v>-35666.176541923167</v>
      </c>
      <c r="BW376" s="108">
        <f t="shared" ref="BW376" si="120">BT376-BP376</f>
        <v>-2614</v>
      </c>
    </row>
    <row r="377" spans="1:75">
      <c r="A377" s="4">
        <f t="shared" si="59"/>
        <v>2014</v>
      </c>
      <c r="B377" s="4">
        <f t="shared" si="60"/>
        <v>1</v>
      </c>
    </row>
  </sheetData>
  <pageMargins left="0.75" right="0.75" top="1" bottom="1" header="0.5" footer="0.5"/>
  <pageSetup orientation="portrait" r:id="rId1"/>
  <headerFooter alignWithMargins="0">
    <oddFooter>&amp;R14LGBRA-NRGPOD1-6-DOC 33
14BGBRA-STAFFROG1-19A-DOC 33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2:AQ372"/>
  <sheetViews>
    <sheetView tabSelected="1" topLeftCell="F85" zoomScale="80" zoomScaleNormal="80" workbookViewId="0">
      <selection activeCell="AW37" sqref="AW37"/>
    </sheetView>
  </sheetViews>
  <sheetFormatPr defaultRowHeight="15.75"/>
  <cols>
    <col min="1" max="1" width="5" bestFit="1" customWidth="1"/>
    <col min="2" max="2" width="3.21875" bestFit="1" customWidth="1"/>
    <col min="6" max="6" width="8.88671875" style="453"/>
    <col min="10" max="10" width="8.88671875" style="453"/>
    <col min="12" max="12" width="8.88671875" style="453"/>
    <col min="19" max="19" width="8.88671875" style="453"/>
    <col min="23" max="23" width="8.88671875" style="453"/>
    <col min="25" max="25" width="8.88671875" style="453"/>
    <col min="41" max="41" width="10" bestFit="1" customWidth="1"/>
    <col min="42" max="42" width="10.109375" bestFit="1" customWidth="1"/>
    <col min="43" max="43" width="10" bestFit="1" customWidth="1"/>
  </cols>
  <sheetData>
    <row r="2" spans="1:43">
      <c r="AP2" t="s">
        <v>337</v>
      </c>
      <c r="AQ2" t="s">
        <v>338</v>
      </c>
    </row>
    <row r="3" spans="1:43">
      <c r="AO3" t="s">
        <v>339</v>
      </c>
      <c r="AP3" s="590" t="s">
        <v>336</v>
      </c>
    </row>
    <row r="4" spans="1:43">
      <c r="AN4">
        <f>RESID!AH24</f>
        <v>2000</v>
      </c>
      <c r="AO4" s="589">
        <f>RESID!AS24</f>
        <v>13770.940799648242</v>
      </c>
    </row>
    <row r="5" spans="1:43">
      <c r="AN5">
        <f>RESID!AH25</f>
        <v>2001</v>
      </c>
      <c r="AO5" s="589">
        <f>RESID!AS25</f>
        <v>13858.566861339908</v>
      </c>
    </row>
    <row r="6" spans="1:43">
      <c r="AN6">
        <f>RESID!AH26</f>
        <v>2002</v>
      </c>
      <c r="AO6" s="589">
        <f>RESID!AS26</f>
        <v>13985.71409143908</v>
      </c>
    </row>
    <row r="7" spans="1:43">
      <c r="AN7">
        <f>RESID!AH27</f>
        <v>2003</v>
      </c>
      <c r="AO7" s="589">
        <f>RESID!AS27</f>
        <v>14222.242570142203</v>
      </c>
    </row>
    <row r="8" spans="1:43">
      <c r="AN8">
        <f>RESID!AH28</f>
        <v>2004</v>
      </c>
      <c r="AO8" s="589">
        <f>RESID!AS28</f>
        <v>14238.422795413562</v>
      </c>
    </row>
    <row r="9" spans="1:43">
      <c r="AN9">
        <f>RESID!AH29</f>
        <v>2005</v>
      </c>
      <c r="AO9" s="589">
        <f>RESID!AS29</f>
        <v>14111.609342405032</v>
      </c>
    </row>
    <row r="10" spans="1:43">
      <c r="AN10">
        <f>RESID!AH30</f>
        <v>2006</v>
      </c>
      <c r="AO10" s="589">
        <f>RESID!AS30</f>
        <v>14043.734535937456</v>
      </c>
    </row>
    <row r="11" spans="1:43">
      <c r="AN11">
        <f>RESID!AH31</f>
        <v>2007</v>
      </c>
      <c r="AO11" s="589">
        <f>RESID!AS31</f>
        <v>13941.214823849066</v>
      </c>
    </row>
    <row r="12" spans="1:43">
      <c r="AN12">
        <f>RESID!AH32</f>
        <v>2008</v>
      </c>
      <c r="AO12" s="589">
        <f>RESID!AS32</f>
        <v>13483.028178346038</v>
      </c>
    </row>
    <row r="13" spans="1:43">
      <c r="AN13">
        <f>RESID!AH33</f>
        <v>2009</v>
      </c>
      <c r="AO13" s="589">
        <f>RESID!AS33</f>
        <v>13144.313067163343</v>
      </c>
    </row>
    <row r="14" spans="1:43">
      <c r="C14" s="597" t="s">
        <v>268</v>
      </c>
      <c r="D14" s="598"/>
      <c r="E14" s="599"/>
      <c r="F14" s="461"/>
      <c r="G14" s="597" t="s">
        <v>269</v>
      </c>
      <c r="H14" s="598"/>
      <c r="I14" s="599"/>
      <c r="J14" s="455"/>
      <c r="P14" s="597" t="s">
        <v>268</v>
      </c>
      <c r="Q14" s="598"/>
      <c r="R14" s="599"/>
      <c r="S14" s="448"/>
      <c r="T14" s="597" t="s">
        <v>269</v>
      </c>
      <c r="U14" s="598"/>
      <c r="V14" s="599"/>
      <c r="W14" s="455"/>
      <c r="AN14">
        <f>RESID!AH34</f>
        <v>2010</v>
      </c>
      <c r="AO14" s="589">
        <f>RESID!AS34</f>
        <v>12633.124758248136</v>
      </c>
    </row>
    <row r="15" spans="1:43">
      <c r="C15" s="227" t="s">
        <v>12</v>
      </c>
      <c r="D15" s="29" t="s">
        <v>19</v>
      </c>
      <c r="E15" s="231"/>
      <c r="F15" s="452" t="s">
        <v>42</v>
      </c>
      <c r="G15" s="227" t="s">
        <v>20</v>
      </c>
      <c r="H15" s="29" t="s">
        <v>21</v>
      </c>
      <c r="I15" s="231"/>
      <c r="J15" s="454" t="s">
        <v>42</v>
      </c>
      <c r="K15" s="450" t="s">
        <v>277</v>
      </c>
      <c r="L15" s="454" t="s">
        <v>42</v>
      </c>
      <c r="P15" s="227" t="s">
        <v>12</v>
      </c>
      <c r="Q15" s="29" t="s">
        <v>19</v>
      </c>
      <c r="R15" s="231"/>
      <c r="S15" s="452" t="s">
        <v>42</v>
      </c>
      <c r="T15" s="227" t="s">
        <v>20</v>
      </c>
      <c r="U15" s="29" t="s">
        <v>21</v>
      </c>
      <c r="V15" s="231"/>
      <c r="W15" s="454" t="s">
        <v>42</v>
      </c>
      <c r="X15" s="450" t="s">
        <v>277</v>
      </c>
      <c r="Y15" s="454" t="s">
        <v>42</v>
      </c>
      <c r="AN15">
        <f>RESID!AH35</f>
        <v>2011</v>
      </c>
      <c r="AO15" s="589">
        <f>RESID!AS35</f>
        <v>12775.721637534351</v>
      </c>
    </row>
    <row r="16" spans="1:43">
      <c r="A16" s="36" t="s">
        <v>8</v>
      </c>
      <c r="B16" s="36" t="s">
        <v>29</v>
      </c>
      <c r="C16" s="228" t="s">
        <v>69</v>
      </c>
      <c r="D16" s="229" t="s">
        <v>69</v>
      </c>
      <c r="E16" s="232" t="s">
        <v>33</v>
      </c>
      <c r="F16" s="451" t="s">
        <v>278</v>
      </c>
      <c r="G16" s="228" t="s">
        <v>34</v>
      </c>
      <c r="H16" s="229" t="s">
        <v>34</v>
      </c>
      <c r="I16" s="235" t="s">
        <v>33</v>
      </c>
      <c r="J16" s="235" t="s">
        <v>278</v>
      </c>
      <c r="K16" s="449" t="s">
        <v>33</v>
      </c>
      <c r="L16" s="456" t="s">
        <v>278</v>
      </c>
      <c r="N16" s="447"/>
      <c r="P16" s="228" t="s">
        <v>69</v>
      </c>
      <c r="Q16" s="229" t="s">
        <v>69</v>
      </c>
      <c r="R16" s="232" t="s">
        <v>33</v>
      </c>
      <c r="S16" s="451" t="s">
        <v>278</v>
      </c>
      <c r="T16" s="228" t="s">
        <v>34</v>
      </c>
      <c r="U16" s="229" t="s">
        <v>34</v>
      </c>
      <c r="V16" s="235" t="s">
        <v>33</v>
      </c>
      <c r="W16" s="235" t="s">
        <v>278</v>
      </c>
      <c r="X16" s="449" t="s">
        <v>33</v>
      </c>
      <c r="Y16" s="456" t="s">
        <v>278</v>
      </c>
      <c r="AN16">
        <f>RESID!AH36</f>
        <v>2012</v>
      </c>
      <c r="AO16" s="589">
        <f>RESID!AS36</f>
        <v>12732.361238754545</v>
      </c>
    </row>
    <row r="17" spans="1:43">
      <c r="A17" s="13">
        <v>1984</v>
      </c>
      <c r="B17" s="13">
        <v>1</v>
      </c>
      <c r="C17" s="200">
        <f>RESID!J17</f>
        <v>32.4</v>
      </c>
      <c r="D17" s="200">
        <f>RESID!K17</f>
        <v>49.5</v>
      </c>
      <c r="E17" s="13">
        <f t="shared" ref="E17" si="0">C17-D17</f>
        <v>-17.100000000000001</v>
      </c>
      <c r="F17" s="100">
        <f>IF(E17&lt;0,1,0)</f>
        <v>1</v>
      </c>
      <c r="G17" s="200">
        <f>RESID!M17</f>
        <v>244.2</v>
      </c>
      <c r="H17" s="200">
        <f>RESID!N17</f>
        <v>131.6</v>
      </c>
      <c r="I17" s="200">
        <f>G17-H17</f>
        <v>112.6</v>
      </c>
      <c r="J17" s="100">
        <f>IF(I17&lt;0,1,0)</f>
        <v>0</v>
      </c>
      <c r="K17" s="171">
        <f t="shared" ref="K17" si="1">E17+I17</f>
        <v>95.5</v>
      </c>
      <c r="L17" s="100">
        <f>IF(K17&lt;0,1,0)</f>
        <v>0</v>
      </c>
      <c r="N17" s="447">
        <v>32509</v>
      </c>
      <c r="O17" s="13">
        <v>1</v>
      </c>
      <c r="P17" s="76">
        <f>SUM(RESID!J66:J77)</f>
        <v>2844.7</v>
      </c>
      <c r="Q17" s="446">
        <f>SUM(RESID!K66:K77)</f>
        <v>2990.7999999999997</v>
      </c>
      <c r="R17" s="4">
        <f t="shared" ref="R17:R64" si="2">P17-Q17</f>
        <v>-146.09999999999991</v>
      </c>
      <c r="S17" s="100">
        <f>IF(R17&lt;0,1,0)</f>
        <v>1</v>
      </c>
      <c r="T17" s="76">
        <f>SUM(RESID!M66:M77)</f>
        <v>616.69999999999993</v>
      </c>
      <c r="U17" s="446">
        <f>SUM(RESID!N66:N77)</f>
        <v>500.5</v>
      </c>
      <c r="V17" s="4">
        <f t="shared" ref="V17:V64" si="3">T17-U17</f>
        <v>116.19999999999993</v>
      </c>
      <c r="W17" s="100">
        <f>IF(V17&lt;0,1,0)</f>
        <v>0</v>
      </c>
      <c r="X17" s="6">
        <f t="shared" ref="X17:X64" si="4">R17+V17</f>
        <v>-29.899999999999977</v>
      </c>
      <c r="Y17" s="100">
        <f>IF(X17&lt;0,1,0)</f>
        <v>1</v>
      </c>
      <c r="AN17">
        <f>RESID!AH37</f>
        <v>2013</v>
      </c>
      <c r="AO17" s="589">
        <f>RESID!AS37</f>
        <v>12399.295370991944</v>
      </c>
      <c r="AP17" s="589">
        <f>SUM(RESID!AB365:AB371,[17]Res!$I$178:$I$182)/AVERAGE([18]FCST!$D$207:$D$218)*1000</f>
        <v>12353.944439190114</v>
      </c>
      <c r="AQ17" s="589">
        <f>[19]Res!$I526/[20]FCST!$D563*1000</f>
        <v>12815.580668754978</v>
      </c>
    </row>
    <row r="18" spans="1:43">
      <c r="A18" s="13">
        <v>1984</v>
      </c>
      <c r="B18" s="13">
        <v>2</v>
      </c>
      <c r="C18" s="200">
        <f>RESID!J18</f>
        <v>38.6</v>
      </c>
      <c r="D18" s="200">
        <f>RESID!K18</f>
        <v>43.3</v>
      </c>
      <c r="E18" s="13">
        <f t="shared" ref="E18:E81" si="5">C18-D18</f>
        <v>-4.6999999999999957</v>
      </c>
      <c r="F18" s="100">
        <f t="shared" ref="F18:F81" si="6">IF(E18&lt;0,1,0)</f>
        <v>1</v>
      </c>
      <c r="G18" s="200">
        <f>RESID!M18</f>
        <v>175.6</v>
      </c>
      <c r="H18" s="200">
        <f>RESID!N18</f>
        <v>127.9</v>
      </c>
      <c r="I18" s="200">
        <f t="shared" ref="I18:I81" si="7">G18-H18</f>
        <v>47.699999999999989</v>
      </c>
      <c r="J18" s="100">
        <f t="shared" ref="J18:J81" si="8">IF(I18&lt;0,1,0)</f>
        <v>0</v>
      </c>
      <c r="K18" s="171">
        <f t="shared" ref="K18:K81" si="9">E18+I18</f>
        <v>42.999999999999993</v>
      </c>
      <c r="L18" s="100">
        <f t="shared" ref="L18:L81" si="10">IF(K18&lt;0,1+L17,L17)</f>
        <v>0</v>
      </c>
      <c r="N18" s="447">
        <v>32540</v>
      </c>
      <c r="O18" s="13">
        <v>2</v>
      </c>
      <c r="P18" s="76">
        <f>SUM(RESID!J67:J78)</f>
        <v>2912.8999999999996</v>
      </c>
      <c r="Q18" s="446">
        <f>SUM(RESID!K67:K78)</f>
        <v>2990.8</v>
      </c>
      <c r="R18" s="4">
        <f t="shared" si="2"/>
        <v>-77.900000000000546</v>
      </c>
      <c r="S18" s="100">
        <f>IF(R18&lt;0,1+S17,S17)</f>
        <v>2</v>
      </c>
      <c r="T18" s="76">
        <f>SUM(RESID!M67:M78)</f>
        <v>464.50000000000006</v>
      </c>
      <c r="U18" s="446">
        <f>SUM(RESID!N67:N78)</f>
        <v>500.5</v>
      </c>
      <c r="V18" s="4">
        <f t="shared" si="3"/>
        <v>-35.999999999999943</v>
      </c>
      <c r="W18" s="100">
        <f>IF(V18&lt;0,1+W17,W17)</f>
        <v>1</v>
      </c>
      <c r="X18" s="6">
        <f t="shared" si="4"/>
        <v>-113.90000000000049</v>
      </c>
      <c r="Y18" s="100">
        <f t="shared" ref="Y18:Y21" si="11">IF(X18&lt;0,1+Y17,Y17)</f>
        <v>2</v>
      </c>
      <c r="AN18">
        <f>RESID!AH38</f>
        <v>2014</v>
      </c>
      <c r="AP18" s="589">
        <f>[17]Res!$I527/[18]FCST!$D564*1000</f>
        <v>12405.077874545843</v>
      </c>
      <c r="AQ18" s="589">
        <f>[19]Res!$I527/[20]FCST!$D564*1000</f>
        <v>12937.579130328109</v>
      </c>
    </row>
    <row r="19" spans="1:43">
      <c r="A19" s="13">
        <v>1984</v>
      </c>
      <c r="B19" s="13">
        <v>3</v>
      </c>
      <c r="C19" s="200">
        <f>RESID!J19</f>
        <v>57.9</v>
      </c>
      <c r="D19" s="200">
        <f>RESID!K19</f>
        <v>77.2</v>
      </c>
      <c r="E19" s="13">
        <f t="shared" si="5"/>
        <v>-19.300000000000004</v>
      </c>
      <c r="F19" s="100">
        <f t="shared" si="6"/>
        <v>1</v>
      </c>
      <c r="G19" s="200">
        <f>RESID!M19</f>
        <v>117.2</v>
      </c>
      <c r="H19" s="200">
        <f>RESID!N19</f>
        <v>82.3</v>
      </c>
      <c r="I19" s="200">
        <f t="shared" si="7"/>
        <v>34.900000000000006</v>
      </c>
      <c r="J19" s="100">
        <f t="shared" si="8"/>
        <v>0</v>
      </c>
      <c r="K19" s="171">
        <f t="shared" si="9"/>
        <v>15.600000000000001</v>
      </c>
      <c r="L19" s="100">
        <f t="shared" si="10"/>
        <v>0</v>
      </c>
      <c r="N19" s="447">
        <v>32568</v>
      </c>
      <c r="O19" s="13">
        <v>3</v>
      </c>
      <c r="P19" s="76">
        <f>SUM(RESID!J68:J79)</f>
        <v>2969.3999999999996</v>
      </c>
      <c r="Q19" s="446">
        <f>SUM(RESID!K68:K79)</f>
        <v>2990.7999999999997</v>
      </c>
      <c r="R19" s="4">
        <f t="shared" si="2"/>
        <v>-21.400000000000091</v>
      </c>
      <c r="S19" s="100">
        <f t="shared" ref="S19:S82" si="12">IF(R19&lt;0,1+S18,S18)</f>
        <v>3</v>
      </c>
      <c r="T19" s="76">
        <f>SUM(RESID!M68:M79)</f>
        <v>445.90000000000009</v>
      </c>
      <c r="U19" s="446">
        <f>SUM(RESID!N68:N79)</f>
        <v>500.49999999999994</v>
      </c>
      <c r="V19" s="4">
        <f t="shared" si="3"/>
        <v>-54.599999999999852</v>
      </c>
      <c r="W19" s="100">
        <f>IF(V19&lt;0,1+W18,W18)</f>
        <v>2</v>
      </c>
      <c r="X19" s="6">
        <f t="shared" si="4"/>
        <v>-75.999999999999943</v>
      </c>
      <c r="Y19" s="100">
        <f t="shared" si="11"/>
        <v>3</v>
      </c>
      <c r="AN19">
        <f>RESID!AH39</f>
        <v>2015</v>
      </c>
      <c r="AP19" s="589">
        <f>[17]Res!$I528/[18]FCST!$D565*1000</f>
        <v>12387.584850182391</v>
      </c>
      <c r="AQ19" s="589">
        <f>[19]Res!$I528/[20]FCST!$D565*1000</f>
        <v>13048.269709595321</v>
      </c>
    </row>
    <row r="20" spans="1:43">
      <c r="A20" s="13">
        <v>1984</v>
      </c>
      <c r="B20" s="13">
        <v>4</v>
      </c>
      <c r="C20" s="200">
        <f>RESID!J20</f>
        <v>95</v>
      </c>
      <c r="D20" s="200">
        <f>RESID!K20</f>
        <v>138.1</v>
      </c>
      <c r="E20" s="13">
        <f t="shared" si="5"/>
        <v>-43.099999999999994</v>
      </c>
      <c r="F20" s="100">
        <f t="shared" si="6"/>
        <v>1</v>
      </c>
      <c r="G20" s="200">
        <f>RESID!M20</f>
        <v>51.5</v>
      </c>
      <c r="H20" s="200">
        <f>RESID!N20</f>
        <v>37.299999999999997</v>
      </c>
      <c r="I20" s="200">
        <f t="shared" si="7"/>
        <v>14.200000000000003</v>
      </c>
      <c r="J20" s="100">
        <f t="shared" si="8"/>
        <v>0</v>
      </c>
      <c r="K20" s="171">
        <f t="shared" si="9"/>
        <v>-28.899999999999991</v>
      </c>
      <c r="L20" s="100">
        <f t="shared" si="10"/>
        <v>1</v>
      </c>
      <c r="N20" s="447">
        <v>32599</v>
      </c>
      <c r="O20" s="13">
        <v>4</v>
      </c>
      <c r="P20" s="76">
        <f>SUM(RESID!J69:J80)</f>
        <v>3026.4999999999995</v>
      </c>
      <c r="Q20" s="446">
        <f>SUM(RESID!K69:K80)</f>
        <v>2990.8</v>
      </c>
      <c r="R20" s="4">
        <f t="shared" si="2"/>
        <v>35.699999999999363</v>
      </c>
      <c r="S20" s="100">
        <f t="shared" si="12"/>
        <v>3</v>
      </c>
      <c r="T20" s="76">
        <f>SUM(RESID!M69:M80)</f>
        <v>417.7</v>
      </c>
      <c r="U20" s="446">
        <f>SUM(RESID!N69:N80)</f>
        <v>500.5</v>
      </c>
      <c r="V20" s="4">
        <f t="shared" si="3"/>
        <v>-82.800000000000011</v>
      </c>
      <c r="W20" s="100">
        <f t="shared" ref="W20:W83" si="13">IF(V20&lt;0,1+W19,W19)</f>
        <v>3</v>
      </c>
      <c r="X20" s="6">
        <f t="shared" si="4"/>
        <v>-47.100000000000648</v>
      </c>
      <c r="Y20" s="100">
        <f t="shared" si="11"/>
        <v>4</v>
      </c>
      <c r="AN20">
        <f>RESID!AH40</f>
        <v>2016</v>
      </c>
      <c r="AP20" s="589">
        <f>[17]Res!$I529/[18]FCST!$D566*1000</f>
        <v>12416.42798876099</v>
      </c>
      <c r="AQ20" s="589">
        <f>[19]Res!$I529/[20]FCST!$D566*1000</f>
        <v>13122.044677184829</v>
      </c>
    </row>
    <row r="21" spans="1:43">
      <c r="A21" s="13">
        <v>1984</v>
      </c>
      <c r="B21" s="13">
        <v>5</v>
      </c>
      <c r="C21" s="200">
        <f>RESID!J21</f>
        <v>217.7</v>
      </c>
      <c r="D21" s="200">
        <f>RESID!K21</f>
        <v>224.4</v>
      </c>
      <c r="E21" s="13">
        <f t="shared" si="5"/>
        <v>-6.7000000000000171</v>
      </c>
      <c r="F21" s="100">
        <f t="shared" si="6"/>
        <v>1</v>
      </c>
      <c r="G21" s="200">
        <f>RESID!M21</f>
        <v>19.399999999999999</v>
      </c>
      <c r="H21" s="200">
        <f>RESID!N21</f>
        <v>11.2</v>
      </c>
      <c r="I21" s="200">
        <f t="shared" si="7"/>
        <v>8.1999999999999993</v>
      </c>
      <c r="J21" s="100">
        <f t="shared" si="8"/>
        <v>0</v>
      </c>
      <c r="K21" s="171">
        <f t="shared" si="9"/>
        <v>1.4999999999999822</v>
      </c>
      <c r="L21" s="100">
        <f t="shared" si="10"/>
        <v>1</v>
      </c>
      <c r="N21" s="447">
        <v>32629</v>
      </c>
      <c r="O21" s="13">
        <v>5</v>
      </c>
      <c r="P21" s="76">
        <f>SUM(RESID!J70:J81)</f>
        <v>3073</v>
      </c>
      <c r="Q21" s="446">
        <f>SUM(RESID!K70:K81)</f>
        <v>2990.8</v>
      </c>
      <c r="R21" s="4">
        <f t="shared" si="2"/>
        <v>82.199999999999818</v>
      </c>
      <c r="S21" s="100">
        <f t="shared" si="12"/>
        <v>3</v>
      </c>
      <c r="T21" s="76">
        <f>SUM(RESID!M70:M81)</f>
        <v>410.8</v>
      </c>
      <c r="U21" s="446">
        <f>SUM(RESID!N70:N81)</f>
        <v>500.50000000000006</v>
      </c>
      <c r="V21" s="4">
        <f t="shared" si="3"/>
        <v>-89.700000000000045</v>
      </c>
      <c r="W21" s="100">
        <f t="shared" si="13"/>
        <v>4</v>
      </c>
      <c r="X21" s="6">
        <f t="shared" si="4"/>
        <v>-7.5000000000002274</v>
      </c>
      <c r="Y21" s="100">
        <f t="shared" si="11"/>
        <v>5</v>
      </c>
      <c r="AN21">
        <f>RESID!AH41</f>
        <v>2017</v>
      </c>
      <c r="AP21" s="589">
        <f>[17]Res!$I530/[18]FCST!$D567*1000</f>
        <v>12428.676810001198</v>
      </c>
      <c r="AQ21" s="589">
        <f>[19]Res!$I530/[20]FCST!$D567*1000</f>
        <v>13189.388190452888</v>
      </c>
    </row>
    <row r="22" spans="1:43">
      <c r="A22" s="13">
        <v>1984</v>
      </c>
      <c r="B22" s="13">
        <v>6</v>
      </c>
      <c r="C22" s="200">
        <f>RESID!J22</f>
        <v>310</v>
      </c>
      <c r="D22" s="200">
        <f>RESID!K22</f>
        <v>382.8</v>
      </c>
      <c r="E22" s="13">
        <f t="shared" si="5"/>
        <v>-72.800000000000011</v>
      </c>
      <c r="F22" s="100">
        <f t="shared" si="6"/>
        <v>1</v>
      </c>
      <c r="G22" s="200">
        <f>RESID!M22</f>
        <v>4.5</v>
      </c>
      <c r="H22" s="200">
        <f>RESID!N22</f>
        <v>0.9</v>
      </c>
      <c r="I22" s="200">
        <f t="shared" si="7"/>
        <v>3.6</v>
      </c>
      <c r="J22" s="100">
        <f t="shared" si="8"/>
        <v>0</v>
      </c>
      <c r="K22" s="171">
        <f t="shared" si="9"/>
        <v>-69.200000000000017</v>
      </c>
      <c r="L22" s="100">
        <f t="shared" si="10"/>
        <v>2</v>
      </c>
      <c r="N22" s="447">
        <v>32660</v>
      </c>
      <c r="O22" s="13">
        <v>6</v>
      </c>
      <c r="P22" s="76">
        <f>SUM(RESID!J71:J82)</f>
        <v>3167</v>
      </c>
      <c r="Q22" s="446">
        <f>SUM(RESID!K71:K82)</f>
        <v>2990.8</v>
      </c>
      <c r="R22" s="4">
        <f t="shared" si="2"/>
        <v>176.19999999999982</v>
      </c>
      <c r="S22" s="100">
        <f t="shared" si="12"/>
        <v>3</v>
      </c>
      <c r="T22" s="76">
        <f>SUM(RESID!M71:M82)</f>
        <v>410</v>
      </c>
      <c r="U22" s="446">
        <f>SUM(RESID!N71:N82)</f>
        <v>500.5</v>
      </c>
      <c r="V22" s="4">
        <f t="shared" si="3"/>
        <v>-90.5</v>
      </c>
      <c r="W22" s="100">
        <f t="shared" si="13"/>
        <v>5</v>
      </c>
      <c r="X22" s="6">
        <f t="shared" si="4"/>
        <v>85.699999999999818</v>
      </c>
      <c r="Y22" s="100">
        <f>IF(X22&lt;0,1+Y21,Y21)</f>
        <v>5</v>
      </c>
      <c r="AN22">
        <f>RESID!AH42</f>
        <v>2018</v>
      </c>
      <c r="AP22" s="589">
        <f>[17]Res!$I531/[18]FCST!$D568*1000</f>
        <v>12463.444276589807</v>
      </c>
      <c r="AQ22" s="589">
        <f>[19]Res!$I531/[20]FCST!$D568*1000</f>
        <v>13246.947184104081</v>
      </c>
    </row>
    <row r="23" spans="1:43">
      <c r="A23" s="13">
        <v>1984</v>
      </c>
      <c r="B23" s="13">
        <v>7</v>
      </c>
      <c r="C23" s="200">
        <f>RESID!J23</f>
        <v>411</v>
      </c>
      <c r="D23" s="200">
        <f>RESID!K23</f>
        <v>454.9</v>
      </c>
      <c r="E23" s="13">
        <f t="shared" si="5"/>
        <v>-43.899999999999977</v>
      </c>
      <c r="F23" s="100">
        <f t="shared" si="6"/>
        <v>1</v>
      </c>
      <c r="G23" s="200">
        <f>RESID!M23</f>
        <v>0.5</v>
      </c>
      <c r="H23" s="200">
        <f>RESID!N23</f>
        <v>0</v>
      </c>
      <c r="I23" s="200">
        <f t="shared" si="7"/>
        <v>0.5</v>
      </c>
      <c r="J23" s="100">
        <f t="shared" si="8"/>
        <v>0</v>
      </c>
      <c r="K23" s="171">
        <f t="shared" si="9"/>
        <v>-43.399999999999977</v>
      </c>
      <c r="L23" s="100">
        <f t="shared" si="10"/>
        <v>3</v>
      </c>
      <c r="N23" s="447">
        <v>32690</v>
      </c>
      <c r="O23" s="13">
        <v>7</v>
      </c>
      <c r="P23" s="76">
        <f>SUM(RESID!J72:J83)</f>
        <v>3196.4</v>
      </c>
      <c r="Q23" s="446">
        <f>SUM(RESID!K72:K83)</f>
        <v>2990.8</v>
      </c>
      <c r="R23" s="4">
        <f t="shared" si="2"/>
        <v>205.59999999999991</v>
      </c>
      <c r="S23" s="100">
        <f t="shared" si="12"/>
        <v>3</v>
      </c>
      <c r="T23" s="76">
        <f>SUM(RESID!M72:M83)</f>
        <v>409.9</v>
      </c>
      <c r="U23" s="446">
        <f>SUM(RESID!N72:N83)</f>
        <v>500.5</v>
      </c>
      <c r="V23" s="4">
        <f t="shared" si="3"/>
        <v>-90.600000000000023</v>
      </c>
      <c r="W23" s="100">
        <f t="shared" si="13"/>
        <v>6</v>
      </c>
      <c r="X23" s="6">
        <f t="shared" si="4"/>
        <v>114.99999999999989</v>
      </c>
      <c r="Y23" s="100">
        <f t="shared" ref="Y23:Y86" si="14">IF(X23&lt;0,1+Y22,Y22)</f>
        <v>5</v>
      </c>
      <c r="AN23">
        <v>2019</v>
      </c>
      <c r="AP23" s="589">
        <f>[17]Res!$I532/[18]FCST!$D569*1000</f>
        <v>12453.139298707676</v>
      </c>
      <c r="AQ23" s="589">
        <f>[19]Res!$I532/[20]FCST!$D569*1000</f>
        <v>13301.425464221813</v>
      </c>
    </row>
    <row r="24" spans="1:43">
      <c r="A24" s="13">
        <v>1984</v>
      </c>
      <c r="B24" s="13">
        <v>8</v>
      </c>
      <c r="C24" s="200">
        <f>RESID!J24</f>
        <v>461.4</v>
      </c>
      <c r="D24" s="200">
        <f>RESID!K24</f>
        <v>481.4</v>
      </c>
      <c r="E24" s="13">
        <f t="shared" si="5"/>
        <v>-20</v>
      </c>
      <c r="F24" s="100">
        <f t="shared" si="6"/>
        <v>1</v>
      </c>
      <c r="G24" s="200">
        <f>RESID!M24</f>
        <v>0</v>
      </c>
      <c r="H24" s="200">
        <f>RESID!N24</f>
        <v>0</v>
      </c>
      <c r="I24" s="200">
        <f t="shared" si="7"/>
        <v>0</v>
      </c>
      <c r="J24" s="100">
        <f t="shared" si="8"/>
        <v>0</v>
      </c>
      <c r="K24" s="171">
        <f t="shared" si="9"/>
        <v>-20</v>
      </c>
      <c r="L24" s="100">
        <f t="shared" si="10"/>
        <v>4</v>
      </c>
      <c r="N24" s="447">
        <v>32721</v>
      </c>
      <c r="O24" s="13">
        <v>8</v>
      </c>
      <c r="P24" s="76">
        <f>SUM(RESID!J73:J84)</f>
        <v>3226.9000000000005</v>
      </c>
      <c r="Q24" s="446">
        <f>SUM(RESID!K73:K84)</f>
        <v>2990.8</v>
      </c>
      <c r="R24" s="4">
        <f t="shared" si="2"/>
        <v>236.10000000000036</v>
      </c>
      <c r="S24" s="100">
        <f t="shared" si="12"/>
        <v>3</v>
      </c>
      <c r="T24" s="76">
        <f>SUM(RESID!M73:M84)</f>
        <v>409.9</v>
      </c>
      <c r="U24" s="446">
        <f>SUM(RESID!N73:N84)</f>
        <v>500.5</v>
      </c>
      <c r="V24" s="4">
        <f t="shared" si="3"/>
        <v>-90.600000000000023</v>
      </c>
      <c r="W24" s="100">
        <f t="shared" si="13"/>
        <v>7</v>
      </c>
      <c r="X24" s="6">
        <f t="shared" si="4"/>
        <v>145.50000000000034</v>
      </c>
      <c r="Y24" s="100">
        <f t="shared" si="14"/>
        <v>5</v>
      </c>
      <c r="AN24">
        <f>AN23+1</f>
        <v>2020</v>
      </c>
      <c r="AP24" s="589">
        <f>[17]Res!$I533/[18]FCST!$D570*1000</f>
        <v>12454.542394684164</v>
      </c>
      <c r="AQ24" s="589">
        <f>[19]Res!$I533/[20]FCST!$D570*1000</f>
        <v>13344.987732905727</v>
      </c>
    </row>
    <row r="25" spans="1:43">
      <c r="A25" s="13">
        <v>1984</v>
      </c>
      <c r="B25" s="13">
        <v>9</v>
      </c>
      <c r="C25" s="200">
        <f>RESID!J25</f>
        <v>461.5</v>
      </c>
      <c r="D25" s="200">
        <f>RESID!K25</f>
        <v>473.7</v>
      </c>
      <c r="E25" s="13">
        <f t="shared" si="5"/>
        <v>-12.199999999999989</v>
      </c>
      <c r="F25" s="100">
        <f t="shared" si="6"/>
        <v>1</v>
      </c>
      <c r="G25" s="200">
        <f>RESID!M25</f>
        <v>0</v>
      </c>
      <c r="H25" s="200">
        <f>RESID!N25</f>
        <v>0</v>
      </c>
      <c r="I25" s="200">
        <f t="shared" si="7"/>
        <v>0</v>
      </c>
      <c r="J25" s="100">
        <f t="shared" si="8"/>
        <v>0</v>
      </c>
      <c r="K25" s="171">
        <f t="shared" si="9"/>
        <v>-12.199999999999989</v>
      </c>
      <c r="L25" s="100">
        <f t="shared" si="10"/>
        <v>5</v>
      </c>
      <c r="N25" s="447">
        <v>32752</v>
      </c>
      <c r="O25" s="13">
        <v>9</v>
      </c>
      <c r="P25" s="76">
        <f>SUM(RESID!J74:J85)</f>
        <v>3240.0000000000005</v>
      </c>
      <c r="Q25" s="446">
        <f>SUM(RESID!K74:K85)</f>
        <v>2990.7999999999997</v>
      </c>
      <c r="R25" s="4">
        <f t="shared" si="2"/>
        <v>249.20000000000073</v>
      </c>
      <c r="S25" s="100">
        <f t="shared" si="12"/>
        <v>3</v>
      </c>
      <c r="T25" s="76">
        <f>SUM(RESID!M74:M85)</f>
        <v>409.9</v>
      </c>
      <c r="U25" s="446">
        <f>SUM(RESID!N74:N85)</f>
        <v>500.5</v>
      </c>
      <c r="V25" s="4">
        <f t="shared" si="3"/>
        <v>-90.600000000000023</v>
      </c>
      <c r="W25" s="100">
        <f t="shared" si="13"/>
        <v>8</v>
      </c>
      <c r="X25" s="6">
        <f t="shared" si="4"/>
        <v>158.6000000000007</v>
      </c>
      <c r="Y25" s="100">
        <f t="shared" si="14"/>
        <v>5</v>
      </c>
      <c r="AN25">
        <f t="shared" ref="AN25:AN27" si="15">AN24+1</f>
        <v>2021</v>
      </c>
      <c r="AP25" s="589">
        <f>[17]Res!$I534/[18]FCST!$D571*1000</f>
        <v>12453.585927909729</v>
      </c>
      <c r="AQ25" s="589">
        <f>[19]Res!$I534/[20]FCST!$D571*1000</f>
        <v>13395.41969602782</v>
      </c>
    </row>
    <row r="26" spans="1:43">
      <c r="A26" s="13">
        <v>1984</v>
      </c>
      <c r="B26" s="13">
        <v>10</v>
      </c>
      <c r="C26" s="200">
        <f>RESID!J26</f>
        <v>316.60000000000002</v>
      </c>
      <c r="D26" s="200">
        <f>RESID!K26</f>
        <v>373.2</v>
      </c>
      <c r="E26" s="13">
        <f t="shared" si="5"/>
        <v>-56.599999999999966</v>
      </c>
      <c r="F26" s="100">
        <f t="shared" si="6"/>
        <v>1</v>
      </c>
      <c r="G26" s="200">
        <f>RESID!M26</f>
        <v>2.4</v>
      </c>
      <c r="H26" s="200">
        <f>RESID!N26</f>
        <v>1.3</v>
      </c>
      <c r="I26" s="200">
        <f t="shared" si="7"/>
        <v>1.0999999999999999</v>
      </c>
      <c r="J26" s="100">
        <f t="shared" si="8"/>
        <v>0</v>
      </c>
      <c r="K26" s="171">
        <f t="shared" si="9"/>
        <v>-55.499999999999964</v>
      </c>
      <c r="L26" s="100">
        <f t="shared" si="10"/>
        <v>6</v>
      </c>
      <c r="N26" s="447">
        <v>32782</v>
      </c>
      <c r="O26" s="13">
        <v>10</v>
      </c>
      <c r="P26" s="76">
        <f>SUM(RESID!J75:J86)</f>
        <v>3272.8</v>
      </c>
      <c r="Q26" s="446">
        <f>SUM(RESID!K75:K86)</f>
        <v>2990.7999999999997</v>
      </c>
      <c r="R26" s="4">
        <f t="shared" si="2"/>
        <v>282.00000000000045</v>
      </c>
      <c r="S26" s="100">
        <f t="shared" si="12"/>
        <v>3</v>
      </c>
      <c r="T26" s="76">
        <f>SUM(RESID!M75:M86)</f>
        <v>409.9</v>
      </c>
      <c r="U26" s="446">
        <f>SUM(RESID!N75:N86)</f>
        <v>500.5</v>
      </c>
      <c r="V26" s="4">
        <f t="shared" si="3"/>
        <v>-90.600000000000023</v>
      </c>
      <c r="W26" s="100">
        <f t="shared" si="13"/>
        <v>9</v>
      </c>
      <c r="X26" s="6">
        <f t="shared" si="4"/>
        <v>191.40000000000043</v>
      </c>
      <c r="Y26" s="100">
        <f t="shared" si="14"/>
        <v>5</v>
      </c>
      <c r="AN26">
        <f t="shared" si="15"/>
        <v>2022</v>
      </c>
      <c r="AP26" s="589">
        <f>[17]Res!$I535/[18]FCST!$D572*1000</f>
        <v>12485.797146111154</v>
      </c>
      <c r="AQ26" s="589">
        <f>[19]Res!$I535/[20]FCST!$D572*1000</f>
        <v>13453.722823865595</v>
      </c>
    </row>
    <row r="27" spans="1:43">
      <c r="A27" s="13">
        <v>1984</v>
      </c>
      <c r="B27" s="13">
        <v>11</v>
      </c>
      <c r="C27" s="200">
        <f>RESID!J27</f>
        <v>251.3</v>
      </c>
      <c r="D27" s="200">
        <f>RESID!K27</f>
        <v>204.3</v>
      </c>
      <c r="E27" s="13">
        <f t="shared" si="5"/>
        <v>47</v>
      </c>
      <c r="F27" s="100">
        <f t="shared" si="6"/>
        <v>0</v>
      </c>
      <c r="G27" s="200">
        <f>RESID!M27</f>
        <v>22</v>
      </c>
      <c r="H27" s="200">
        <f>RESID!N27</f>
        <v>24.1</v>
      </c>
      <c r="I27" s="200">
        <f t="shared" si="7"/>
        <v>-2.1000000000000014</v>
      </c>
      <c r="J27" s="100">
        <f t="shared" si="8"/>
        <v>1</v>
      </c>
      <c r="K27" s="171">
        <f t="shared" si="9"/>
        <v>44.9</v>
      </c>
      <c r="L27" s="100">
        <f t="shared" si="10"/>
        <v>6</v>
      </c>
      <c r="N27" s="447">
        <v>32813</v>
      </c>
      <c r="O27" s="13">
        <v>11</v>
      </c>
      <c r="P27" s="76">
        <f>SUM(RESID!J76:J87)</f>
        <v>3290.8</v>
      </c>
      <c r="Q27" s="446">
        <f>SUM(RESID!K76:K87)</f>
        <v>2990.7999999999997</v>
      </c>
      <c r="R27" s="4">
        <f t="shared" si="2"/>
        <v>300.00000000000045</v>
      </c>
      <c r="S27" s="100">
        <f t="shared" si="12"/>
        <v>3</v>
      </c>
      <c r="T27" s="76">
        <f>SUM(RESID!M76:M87)</f>
        <v>420.79999999999995</v>
      </c>
      <c r="U27" s="446">
        <f>SUM(RESID!N76:N87)</f>
        <v>500.5</v>
      </c>
      <c r="V27" s="4">
        <f t="shared" si="3"/>
        <v>-79.700000000000045</v>
      </c>
      <c r="W27" s="100">
        <f t="shared" si="13"/>
        <v>10</v>
      </c>
      <c r="X27" s="6">
        <f t="shared" si="4"/>
        <v>220.30000000000041</v>
      </c>
      <c r="Y27" s="100">
        <f t="shared" si="14"/>
        <v>5</v>
      </c>
      <c r="AN27">
        <f t="shared" si="15"/>
        <v>2023</v>
      </c>
      <c r="AP27" s="589">
        <f>[17]Res!$I536/[18]FCST!$D573*1000</f>
        <v>12520.15452689869</v>
      </c>
      <c r="AQ27" s="589">
        <f>[19]Res!$I536/[20]FCST!$D573*1000</f>
        <v>13519.086637366747</v>
      </c>
    </row>
    <row r="28" spans="1:43">
      <c r="A28" s="90">
        <v>1984</v>
      </c>
      <c r="B28" s="90">
        <v>12</v>
      </c>
      <c r="C28" s="200">
        <f>RESID!J28</f>
        <v>83.7</v>
      </c>
      <c r="D28" s="200">
        <f>RESID!K28</f>
        <v>88</v>
      </c>
      <c r="E28" s="13">
        <f t="shared" si="5"/>
        <v>-4.2999999999999972</v>
      </c>
      <c r="F28" s="100">
        <f t="shared" si="6"/>
        <v>1</v>
      </c>
      <c r="G28" s="200">
        <f>RESID!M28</f>
        <v>88.3</v>
      </c>
      <c r="H28" s="200">
        <f>RESID!N28</f>
        <v>83.9</v>
      </c>
      <c r="I28" s="200">
        <f t="shared" si="7"/>
        <v>4.3999999999999915</v>
      </c>
      <c r="J28" s="100">
        <f t="shared" si="8"/>
        <v>0</v>
      </c>
      <c r="K28" s="171">
        <f t="shared" si="9"/>
        <v>9.9999999999994316E-2</v>
      </c>
      <c r="L28" s="100">
        <f t="shared" si="10"/>
        <v>6</v>
      </c>
      <c r="N28" s="447">
        <v>32843</v>
      </c>
      <c r="O28" s="13">
        <v>12</v>
      </c>
      <c r="P28" s="76">
        <f>SUM(RESID!J77:J88)</f>
        <v>3255.7000000000003</v>
      </c>
      <c r="Q28" s="446">
        <f>SUM(RESID!K77:K88)</f>
        <v>2990.7999999999997</v>
      </c>
      <c r="R28" s="4">
        <f t="shared" si="2"/>
        <v>264.90000000000055</v>
      </c>
      <c r="S28" s="100">
        <f t="shared" si="12"/>
        <v>3</v>
      </c>
      <c r="T28" s="76">
        <f>SUM(RESID!M77:M88)</f>
        <v>455.4</v>
      </c>
      <c r="U28" s="446">
        <f>SUM(RESID!N77:N88)</f>
        <v>500.5</v>
      </c>
      <c r="V28" s="4">
        <f t="shared" si="3"/>
        <v>-45.100000000000023</v>
      </c>
      <c r="W28" s="100">
        <f t="shared" si="13"/>
        <v>11</v>
      </c>
      <c r="X28" s="6">
        <f t="shared" si="4"/>
        <v>219.80000000000052</v>
      </c>
      <c r="Y28" s="100">
        <f t="shared" si="14"/>
        <v>5</v>
      </c>
    </row>
    <row r="29" spans="1:43">
      <c r="A29" s="13">
        <v>1985</v>
      </c>
      <c r="B29" s="13">
        <v>1</v>
      </c>
      <c r="C29" s="200">
        <f>RESID!J29</f>
        <v>94.6</v>
      </c>
      <c r="D29" s="200">
        <f>RESID!K29</f>
        <v>49.5</v>
      </c>
      <c r="E29" s="13">
        <f t="shared" si="5"/>
        <v>45.099999999999994</v>
      </c>
      <c r="F29" s="100">
        <f t="shared" si="6"/>
        <v>0</v>
      </c>
      <c r="G29" s="200">
        <f>RESID!M29</f>
        <v>112.9</v>
      </c>
      <c r="H29" s="200">
        <f>RESID!N29</f>
        <v>131.6</v>
      </c>
      <c r="I29" s="200">
        <f t="shared" si="7"/>
        <v>-18.699999999999989</v>
      </c>
      <c r="J29" s="100">
        <f t="shared" si="8"/>
        <v>1</v>
      </c>
      <c r="K29" s="171">
        <f t="shared" si="9"/>
        <v>26.400000000000006</v>
      </c>
      <c r="L29" s="100">
        <f t="shared" si="10"/>
        <v>6</v>
      </c>
      <c r="N29" s="447">
        <v>32874</v>
      </c>
      <c r="O29" s="13">
        <f>O17</f>
        <v>1</v>
      </c>
      <c r="P29" s="76">
        <f>SUM(RESID!J78:J89)</f>
        <v>3201.9</v>
      </c>
      <c r="Q29" s="446">
        <f>SUM(RESID!K78:K89)</f>
        <v>2990.7999999999997</v>
      </c>
      <c r="R29" s="4">
        <f t="shared" si="2"/>
        <v>211.10000000000036</v>
      </c>
      <c r="S29" s="100">
        <f t="shared" si="12"/>
        <v>3</v>
      </c>
      <c r="T29" s="76">
        <f>SUM(RESID!M78:M89)</f>
        <v>600.9</v>
      </c>
      <c r="U29" s="446">
        <f>SUM(RESID!N78:N89)</f>
        <v>500.5</v>
      </c>
      <c r="V29" s="4">
        <f t="shared" si="3"/>
        <v>100.39999999999998</v>
      </c>
      <c r="W29" s="100">
        <f t="shared" si="13"/>
        <v>11</v>
      </c>
      <c r="X29" s="6">
        <f t="shared" si="4"/>
        <v>311.50000000000034</v>
      </c>
      <c r="Y29" s="100">
        <f t="shared" si="14"/>
        <v>5</v>
      </c>
    </row>
    <row r="30" spans="1:43">
      <c r="A30" s="13">
        <v>1985</v>
      </c>
      <c r="B30" s="13">
        <v>2</v>
      </c>
      <c r="C30" s="200">
        <f>RESID!J30</f>
        <v>35.200000000000003</v>
      </c>
      <c r="D30" s="200">
        <f>RESID!K30</f>
        <v>43.3</v>
      </c>
      <c r="E30" s="13">
        <f t="shared" si="5"/>
        <v>-8.0999999999999943</v>
      </c>
      <c r="F30" s="100">
        <f t="shared" si="6"/>
        <v>1</v>
      </c>
      <c r="G30" s="200">
        <f>RESID!M30</f>
        <v>244.4</v>
      </c>
      <c r="H30" s="200">
        <f>RESID!N30</f>
        <v>127.9</v>
      </c>
      <c r="I30" s="200">
        <f t="shared" si="7"/>
        <v>116.5</v>
      </c>
      <c r="J30" s="100">
        <f t="shared" si="8"/>
        <v>0</v>
      </c>
      <c r="K30" s="171">
        <f t="shared" si="9"/>
        <v>108.4</v>
      </c>
      <c r="L30" s="100">
        <f t="shared" si="10"/>
        <v>6</v>
      </c>
      <c r="N30" s="447">
        <v>32905</v>
      </c>
      <c r="O30" s="13">
        <f t="shared" ref="O30:O93" si="16">O18</f>
        <v>2</v>
      </c>
      <c r="P30" s="76">
        <f>SUM(RESID!J79:J90)</f>
        <v>3212.5</v>
      </c>
      <c r="Q30" s="446">
        <f>SUM(RESID!K79:K90)</f>
        <v>2990.8</v>
      </c>
      <c r="R30" s="4">
        <f t="shared" si="2"/>
        <v>221.69999999999982</v>
      </c>
      <c r="S30" s="100">
        <f t="shared" si="12"/>
        <v>3</v>
      </c>
      <c r="T30" s="76">
        <f>SUM(RESID!M79:M90)</f>
        <v>610.6</v>
      </c>
      <c r="U30" s="446">
        <f>SUM(RESID!N79:N90)</f>
        <v>500.5</v>
      </c>
      <c r="V30" s="4">
        <f t="shared" si="3"/>
        <v>110.10000000000002</v>
      </c>
      <c r="W30" s="100">
        <f t="shared" si="13"/>
        <v>11</v>
      </c>
      <c r="X30" s="6">
        <f t="shared" si="4"/>
        <v>331.79999999999984</v>
      </c>
      <c r="Y30" s="100">
        <f t="shared" si="14"/>
        <v>5</v>
      </c>
    </row>
    <row r="31" spans="1:43">
      <c r="A31" s="13">
        <v>1985</v>
      </c>
      <c r="B31" s="13">
        <v>3</v>
      </c>
      <c r="C31" s="200">
        <f>RESID!J31</f>
        <v>100.4</v>
      </c>
      <c r="D31" s="200">
        <f>RESID!K31</f>
        <v>77.2</v>
      </c>
      <c r="E31" s="13">
        <f t="shared" si="5"/>
        <v>23.200000000000003</v>
      </c>
      <c r="F31" s="100">
        <f t="shared" si="6"/>
        <v>0</v>
      </c>
      <c r="G31" s="200">
        <f>RESID!M31</f>
        <v>86.2</v>
      </c>
      <c r="H31" s="200">
        <f>RESID!N31</f>
        <v>82.3</v>
      </c>
      <c r="I31" s="200">
        <f t="shared" si="7"/>
        <v>3.9000000000000057</v>
      </c>
      <c r="J31" s="100">
        <f t="shared" si="8"/>
        <v>0</v>
      </c>
      <c r="K31" s="171">
        <f t="shared" si="9"/>
        <v>27.100000000000009</v>
      </c>
      <c r="L31" s="100">
        <f t="shared" si="10"/>
        <v>6</v>
      </c>
      <c r="N31" s="447">
        <v>32933</v>
      </c>
      <c r="O31" s="13">
        <f t="shared" si="16"/>
        <v>3</v>
      </c>
      <c r="P31" s="76">
        <f>SUM(RESID!J80:J91)</f>
        <v>3220.9</v>
      </c>
      <c r="Q31" s="446">
        <f>SUM(RESID!K80:K91)</f>
        <v>2990.7999999999997</v>
      </c>
      <c r="R31" s="4">
        <f t="shared" si="2"/>
        <v>230.10000000000036</v>
      </c>
      <c r="S31" s="100">
        <f t="shared" si="12"/>
        <v>3</v>
      </c>
      <c r="T31" s="76">
        <f>SUM(RESID!M80:M91)</f>
        <v>525.30000000000007</v>
      </c>
      <c r="U31" s="446">
        <f>SUM(RESID!N80:N91)</f>
        <v>500.49999999999994</v>
      </c>
      <c r="V31" s="4">
        <f t="shared" si="3"/>
        <v>24.800000000000125</v>
      </c>
      <c r="W31" s="100">
        <f t="shared" si="13"/>
        <v>11</v>
      </c>
      <c r="X31" s="6">
        <f t="shared" si="4"/>
        <v>254.90000000000049</v>
      </c>
      <c r="Y31" s="100">
        <f t="shared" si="14"/>
        <v>5</v>
      </c>
    </row>
    <row r="32" spans="1:43">
      <c r="A32" s="13">
        <v>1985</v>
      </c>
      <c r="B32" s="13">
        <v>4</v>
      </c>
      <c r="C32" s="200">
        <f>RESID!J32</f>
        <v>120.2</v>
      </c>
      <c r="D32" s="200">
        <f>RESID!K32</f>
        <v>138.1</v>
      </c>
      <c r="E32" s="13">
        <f t="shared" si="5"/>
        <v>-17.899999999999991</v>
      </c>
      <c r="F32" s="100">
        <f t="shared" si="6"/>
        <v>1</v>
      </c>
      <c r="G32" s="200">
        <f>RESID!M32</f>
        <v>36.299999999999997</v>
      </c>
      <c r="H32" s="200">
        <f>RESID!N32</f>
        <v>37.299999999999997</v>
      </c>
      <c r="I32" s="200">
        <f t="shared" si="7"/>
        <v>-1</v>
      </c>
      <c r="J32" s="100">
        <f t="shared" si="8"/>
        <v>1</v>
      </c>
      <c r="K32" s="171">
        <f t="shared" si="9"/>
        <v>-18.899999999999991</v>
      </c>
      <c r="L32" s="100">
        <f t="shared" si="10"/>
        <v>7</v>
      </c>
      <c r="N32" s="447">
        <v>32964</v>
      </c>
      <c r="O32" s="13">
        <f t="shared" si="16"/>
        <v>4</v>
      </c>
      <c r="P32" s="76">
        <f>SUM(RESID!J81:J92)</f>
        <v>3179.3</v>
      </c>
      <c r="Q32" s="446">
        <f>SUM(RESID!K81:K92)</f>
        <v>2990.8</v>
      </c>
      <c r="R32" s="4">
        <f t="shared" si="2"/>
        <v>188.5</v>
      </c>
      <c r="S32" s="100">
        <f t="shared" si="12"/>
        <v>3</v>
      </c>
      <c r="T32" s="76">
        <f>SUM(RESID!M81:M92)</f>
        <v>517.80000000000007</v>
      </c>
      <c r="U32" s="446">
        <f>SUM(RESID!N81:N92)</f>
        <v>500.5</v>
      </c>
      <c r="V32" s="4">
        <f t="shared" si="3"/>
        <v>17.300000000000068</v>
      </c>
      <c r="W32" s="100">
        <f t="shared" si="13"/>
        <v>11</v>
      </c>
      <c r="X32" s="6">
        <f t="shared" si="4"/>
        <v>205.80000000000007</v>
      </c>
      <c r="Y32" s="100">
        <f t="shared" si="14"/>
        <v>5</v>
      </c>
    </row>
    <row r="33" spans="1:25">
      <c r="A33" s="13">
        <v>1985</v>
      </c>
      <c r="B33" s="13">
        <v>5</v>
      </c>
      <c r="C33" s="200">
        <f>RESID!J33</f>
        <v>242.4</v>
      </c>
      <c r="D33" s="200">
        <f>RESID!K33</f>
        <v>224.4</v>
      </c>
      <c r="E33" s="13">
        <f t="shared" si="5"/>
        <v>18</v>
      </c>
      <c r="F33" s="100">
        <f t="shared" si="6"/>
        <v>0</v>
      </c>
      <c r="G33" s="200">
        <f>RESID!M33</f>
        <v>7</v>
      </c>
      <c r="H33" s="200">
        <f>RESID!N33</f>
        <v>11.2</v>
      </c>
      <c r="I33" s="200">
        <f t="shared" si="7"/>
        <v>-4.1999999999999993</v>
      </c>
      <c r="J33" s="100">
        <f t="shared" si="8"/>
        <v>1</v>
      </c>
      <c r="K33" s="171">
        <f t="shared" si="9"/>
        <v>13.8</v>
      </c>
      <c r="L33" s="100">
        <f t="shared" si="10"/>
        <v>7</v>
      </c>
      <c r="N33" s="447">
        <v>32994</v>
      </c>
      <c r="O33" s="13">
        <f t="shared" si="16"/>
        <v>5</v>
      </c>
      <c r="P33" s="76">
        <f>SUM(RESID!J82:J93)</f>
        <v>3194.1</v>
      </c>
      <c r="Q33" s="446">
        <f>SUM(RESID!K82:K93)</f>
        <v>2990.8</v>
      </c>
      <c r="R33" s="4">
        <f t="shared" si="2"/>
        <v>203.29999999999973</v>
      </c>
      <c r="S33" s="100">
        <f t="shared" si="12"/>
        <v>3</v>
      </c>
      <c r="T33" s="76">
        <f>SUM(RESID!M82:M93)</f>
        <v>516.6</v>
      </c>
      <c r="U33" s="446">
        <f>SUM(RESID!N82:N93)</f>
        <v>500.50000000000006</v>
      </c>
      <c r="V33" s="4">
        <f t="shared" si="3"/>
        <v>16.099999999999966</v>
      </c>
      <c r="W33" s="100">
        <f t="shared" si="13"/>
        <v>11</v>
      </c>
      <c r="X33" s="6">
        <f t="shared" si="4"/>
        <v>219.39999999999969</v>
      </c>
      <c r="Y33" s="100">
        <f t="shared" si="14"/>
        <v>5</v>
      </c>
    </row>
    <row r="34" spans="1:25">
      <c r="A34" s="13">
        <v>1985</v>
      </c>
      <c r="B34" s="13">
        <v>6</v>
      </c>
      <c r="C34" s="200">
        <f>RESID!J34</f>
        <v>413.5</v>
      </c>
      <c r="D34" s="200">
        <f>RESID!K34</f>
        <v>382.8</v>
      </c>
      <c r="E34" s="13">
        <f t="shared" si="5"/>
        <v>30.699999999999989</v>
      </c>
      <c r="F34" s="100">
        <f t="shared" si="6"/>
        <v>0</v>
      </c>
      <c r="G34" s="200">
        <f>RESID!M34</f>
        <v>0.2</v>
      </c>
      <c r="H34" s="200">
        <f>RESID!N34</f>
        <v>0.9</v>
      </c>
      <c r="I34" s="200">
        <f t="shared" si="7"/>
        <v>-0.7</v>
      </c>
      <c r="J34" s="100">
        <f t="shared" si="8"/>
        <v>1</v>
      </c>
      <c r="K34" s="171">
        <f t="shared" si="9"/>
        <v>29.999999999999989</v>
      </c>
      <c r="L34" s="100">
        <f t="shared" si="10"/>
        <v>7</v>
      </c>
      <c r="N34" s="447">
        <v>33025</v>
      </c>
      <c r="O34" s="13">
        <f t="shared" si="16"/>
        <v>6</v>
      </c>
      <c r="P34" s="76">
        <f>SUM(RESID!J83:J94)</f>
        <v>3188.0000000000005</v>
      </c>
      <c r="Q34" s="446">
        <f>SUM(RESID!K83:K94)</f>
        <v>2990.8</v>
      </c>
      <c r="R34" s="4">
        <f t="shared" si="2"/>
        <v>197.20000000000027</v>
      </c>
      <c r="S34" s="100">
        <f t="shared" si="12"/>
        <v>3</v>
      </c>
      <c r="T34" s="76">
        <f>SUM(RESID!M83:M94)</f>
        <v>515.4</v>
      </c>
      <c r="U34" s="446">
        <f>SUM(RESID!N83:N94)</f>
        <v>500.5</v>
      </c>
      <c r="V34" s="4">
        <f t="shared" si="3"/>
        <v>14.899999999999977</v>
      </c>
      <c r="W34" s="100">
        <f t="shared" si="13"/>
        <v>11</v>
      </c>
      <c r="X34" s="6">
        <f t="shared" si="4"/>
        <v>212.10000000000025</v>
      </c>
      <c r="Y34" s="100">
        <f t="shared" si="14"/>
        <v>5</v>
      </c>
    </row>
    <row r="35" spans="1:25">
      <c r="A35" s="13">
        <v>1985</v>
      </c>
      <c r="B35" s="13">
        <v>7</v>
      </c>
      <c r="C35" s="200">
        <f>RESID!J35</f>
        <v>462.2</v>
      </c>
      <c r="D35" s="200">
        <f>RESID!K35</f>
        <v>454.9</v>
      </c>
      <c r="E35" s="13">
        <f t="shared" si="5"/>
        <v>7.3000000000000114</v>
      </c>
      <c r="F35" s="100">
        <f t="shared" si="6"/>
        <v>0</v>
      </c>
      <c r="G35" s="200">
        <f>RESID!M35</f>
        <v>0</v>
      </c>
      <c r="H35" s="200">
        <f>RESID!N35</f>
        <v>0</v>
      </c>
      <c r="I35" s="200">
        <f t="shared" si="7"/>
        <v>0</v>
      </c>
      <c r="J35" s="100">
        <f t="shared" si="8"/>
        <v>0</v>
      </c>
      <c r="K35" s="171">
        <f t="shared" si="9"/>
        <v>7.3000000000000114</v>
      </c>
      <c r="L35" s="100">
        <f t="shared" si="10"/>
        <v>7</v>
      </c>
      <c r="N35" s="447">
        <v>33055</v>
      </c>
      <c r="O35" s="13">
        <f t="shared" si="16"/>
        <v>7</v>
      </c>
      <c r="P35" s="76">
        <f>SUM(RESID!J84:J95)</f>
        <v>3172.4000000000005</v>
      </c>
      <c r="Q35" s="446">
        <f>SUM(RESID!K84:K95)</f>
        <v>2990.8</v>
      </c>
      <c r="R35" s="4">
        <f t="shared" si="2"/>
        <v>181.60000000000036</v>
      </c>
      <c r="S35" s="100">
        <f t="shared" si="12"/>
        <v>3</v>
      </c>
      <c r="T35" s="76">
        <f>SUM(RESID!M84:M95)</f>
        <v>515.4</v>
      </c>
      <c r="U35" s="446">
        <f>SUM(RESID!N84:N95)</f>
        <v>500.5</v>
      </c>
      <c r="V35" s="4">
        <f t="shared" si="3"/>
        <v>14.899999999999977</v>
      </c>
      <c r="W35" s="100">
        <f t="shared" si="13"/>
        <v>11</v>
      </c>
      <c r="X35" s="6">
        <f t="shared" si="4"/>
        <v>196.50000000000034</v>
      </c>
      <c r="Y35" s="100">
        <f t="shared" si="14"/>
        <v>5</v>
      </c>
    </row>
    <row r="36" spans="1:25">
      <c r="A36" s="13">
        <v>1985</v>
      </c>
      <c r="B36" s="13">
        <v>8</v>
      </c>
      <c r="C36" s="200">
        <f>RESID!J36</f>
        <v>468.5</v>
      </c>
      <c r="D36" s="200">
        <f>RESID!K36</f>
        <v>481.4</v>
      </c>
      <c r="E36" s="13">
        <f t="shared" si="5"/>
        <v>-12.899999999999977</v>
      </c>
      <c r="F36" s="100">
        <f t="shared" si="6"/>
        <v>1</v>
      </c>
      <c r="G36" s="200">
        <f>RESID!M36</f>
        <v>0</v>
      </c>
      <c r="H36" s="200">
        <f>RESID!N36</f>
        <v>0</v>
      </c>
      <c r="I36" s="200">
        <f t="shared" si="7"/>
        <v>0</v>
      </c>
      <c r="J36" s="100">
        <f t="shared" si="8"/>
        <v>0</v>
      </c>
      <c r="K36" s="171">
        <f t="shared" si="9"/>
        <v>-12.899999999999977</v>
      </c>
      <c r="L36" s="100">
        <f t="shared" si="10"/>
        <v>8</v>
      </c>
      <c r="N36" s="447">
        <v>33086</v>
      </c>
      <c r="O36" s="13">
        <f t="shared" si="16"/>
        <v>8</v>
      </c>
      <c r="P36" s="76">
        <f>SUM(RESID!J85:J96)</f>
        <v>3184.4000000000005</v>
      </c>
      <c r="Q36" s="446">
        <f>SUM(RESID!K85:K96)</f>
        <v>2990.8</v>
      </c>
      <c r="R36" s="4">
        <f t="shared" si="2"/>
        <v>193.60000000000036</v>
      </c>
      <c r="S36" s="100">
        <f t="shared" si="12"/>
        <v>3</v>
      </c>
      <c r="T36" s="76">
        <f>SUM(RESID!M85:M96)</f>
        <v>515.4</v>
      </c>
      <c r="U36" s="446">
        <f>SUM(RESID!N85:N96)</f>
        <v>500.5</v>
      </c>
      <c r="V36" s="4">
        <f t="shared" si="3"/>
        <v>14.899999999999977</v>
      </c>
      <c r="W36" s="100">
        <f t="shared" si="13"/>
        <v>11</v>
      </c>
      <c r="X36" s="6">
        <f t="shared" si="4"/>
        <v>208.50000000000034</v>
      </c>
      <c r="Y36" s="100">
        <f t="shared" si="14"/>
        <v>5</v>
      </c>
    </row>
    <row r="37" spans="1:25">
      <c r="A37" s="13">
        <v>1985</v>
      </c>
      <c r="B37" s="13">
        <v>9</v>
      </c>
      <c r="C37" s="200">
        <f>RESID!J37</f>
        <v>451.3</v>
      </c>
      <c r="D37" s="200">
        <f>RESID!K37</f>
        <v>473.7</v>
      </c>
      <c r="E37" s="13">
        <f t="shared" si="5"/>
        <v>-22.399999999999977</v>
      </c>
      <c r="F37" s="100">
        <f t="shared" si="6"/>
        <v>1</v>
      </c>
      <c r="G37" s="200">
        <f>RESID!M37</f>
        <v>0</v>
      </c>
      <c r="H37" s="200">
        <f>RESID!N37</f>
        <v>0</v>
      </c>
      <c r="I37" s="200">
        <f t="shared" si="7"/>
        <v>0</v>
      </c>
      <c r="J37" s="100">
        <f t="shared" si="8"/>
        <v>0</v>
      </c>
      <c r="K37" s="171">
        <f t="shared" si="9"/>
        <v>-22.399999999999977</v>
      </c>
      <c r="L37" s="100">
        <f t="shared" si="10"/>
        <v>9</v>
      </c>
      <c r="N37" s="447">
        <v>33117</v>
      </c>
      <c r="O37" s="13">
        <f t="shared" si="16"/>
        <v>9</v>
      </c>
      <c r="P37" s="76">
        <f>SUM(RESID!J86:J97)</f>
        <v>3148.6000000000004</v>
      </c>
      <c r="Q37" s="446">
        <f>SUM(RESID!K86:K97)</f>
        <v>2990.7999999999997</v>
      </c>
      <c r="R37" s="4">
        <f t="shared" si="2"/>
        <v>157.80000000000064</v>
      </c>
      <c r="S37" s="100">
        <f t="shared" si="12"/>
        <v>3</v>
      </c>
      <c r="T37" s="76">
        <f>SUM(RESID!M86:M97)</f>
        <v>515.4</v>
      </c>
      <c r="U37" s="446">
        <f>SUM(RESID!N86:N97)</f>
        <v>500.5</v>
      </c>
      <c r="V37" s="4">
        <f t="shared" si="3"/>
        <v>14.899999999999977</v>
      </c>
      <c r="W37" s="100">
        <f t="shared" si="13"/>
        <v>11</v>
      </c>
      <c r="X37" s="6">
        <f t="shared" si="4"/>
        <v>172.70000000000061</v>
      </c>
      <c r="Y37" s="100">
        <f t="shared" si="14"/>
        <v>5</v>
      </c>
    </row>
    <row r="38" spans="1:25">
      <c r="A38" s="13">
        <v>1985</v>
      </c>
      <c r="B38" s="13">
        <v>10</v>
      </c>
      <c r="C38" s="200">
        <f>RESID!J38</f>
        <v>378.6</v>
      </c>
      <c r="D38" s="200">
        <f>RESID!K38</f>
        <v>373.2</v>
      </c>
      <c r="E38" s="13">
        <f t="shared" si="5"/>
        <v>5.4000000000000341</v>
      </c>
      <c r="F38" s="100">
        <f t="shared" si="6"/>
        <v>0</v>
      </c>
      <c r="G38" s="200">
        <f>RESID!M38</f>
        <v>0.7</v>
      </c>
      <c r="H38" s="200">
        <f>RESID!N38</f>
        <v>1.3</v>
      </c>
      <c r="I38" s="200">
        <f t="shared" si="7"/>
        <v>-0.60000000000000009</v>
      </c>
      <c r="J38" s="100">
        <f t="shared" si="8"/>
        <v>1</v>
      </c>
      <c r="K38" s="171">
        <f t="shared" si="9"/>
        <v>4.8000000000000345</v>
      </c>
      <c r="L38" s="100">
        <f t="shared" si="10"/>
        <v>9</v>
      </c>
      <c r="N38" s="447">
        <v>33147</v>
      </c>
      <c r="O38" s="13">
        <f t="shared" si="16"/>
        <v>10</v>
      </c>
      <c r="P38" s="76">
        <f>SUM(RESID!J87:J98)</f>
        <v>3155.2000000000003</v>
      </c>
      <c r="Q38" s="446">
        <f>SUM(RESID!K87:K98)</f>
        <v>2990.7999999999997</v>
      </c>
      <c r="R38" s="4">
        <f t="shared" si="2"/>
        <v>164.40000000000055</v>
      </c>
      <c r="S38" s="100">
        <f t="shared" si="12"/>
        <v>3</v>
      </c>
      <c r="T38" s="76">
        <f>SUM(RESID!M87:M98)</f>
        <v>512.1</v>
      </c>
      <c r="U38" s="446">
        <f>SUM(RESID!N87:N98)</f>
        <v>500.5</v>
      </c>
      <c r="V38" s="4">
        <f t="shared" si="3"/>
        <v>11.600000000000023</v>
      </c>
      <c r="W38" s="100">
        <f t="shared" si="13"/>
        <v>11</v>
      </c>
      <c r="X38" s="6">
        <f t="shared" si="4"/>
        <v>176.00000000000057</v>
      </c>
      <c r="Y38" s="100">
        <f t="shared" si="14"/>
        <v>5</v>
      </c>
    </row>
    <row r="39" spans="1:25">
      <c r="A39" s="13">
        <v>1985</v>
      </c>
      <c r="B39" s="13">
        <v>11</v>
      </c>
      <c r="C39" s="200">
        <f>RESID!J39</f>
        <v>311.5</v>
      </c>
      <c r="D39" s="200">
        <f>RESID!K39</f>
        <v>204.3</v>
      </c>
      <c r="E39" s="13">
        <f t="shared" si="5"/>
        <v>107.19999999999999</v>
      </c>
      <c r="F39" s="100">
        <f t="shared" si="6"/>
        <v>0</v>
      </c>
      <c r="G39" s="200">
        <f>RESID!M39</f>
        <v>8.6999999999999993</v>
      </c>
      <c r="H39" s="200">
        <f>RESID!N39</f>
        <v>24.1</v>
      </c>
      <c r="I39" s="200">
        <f t="shared" si="7"/>
        <v>-15.400000000000002</v>
      </c>
      <c r="J39" s="100">
        <f t="shared" si="8"/>
        <v>1</v>
      </c>
      <c r="K39" s="171">
        <f t="shared" si="9"/>
        <v>91.799999999999983</v>
      </c>
      <c r="L39" s="100">
        <f t="shared" si="10"/>
        <v>9</v>
      </c>
      <c r="N39" s="447">
        <v>33178</v>
      </c>
      <c r="O39" s="13">
        <f t="shared" si="16"/>
        <v>11</v>
      </c>
      <c r="P39" s="76">
        <f>SUM(RESID!J88:J99)</f>
        <v>3179.4</v>
      </c>
      <c r="Q39" s="446">
        <f>SUM(RESID!K88:K99)</f>
        <v>2990.7999999999997</v>
      </c>
      <c r="R39" s="4">
        <f t="shared" si="2"/>
        <v>188.60000000000036</v>
      </c>
      <c r="S39" s="100">
        <f t="shared" si="12"/>
        <v>3</v>
      </c>
      <c r="T39" s="76">
        <f>SUM(RESID!M88:M99)</f>
        <v>504.6</v>
      </c>
      <c r="U39" s="446">
        <f>SUM(RESID!N88:N99)</f>
        <v>500.5</v>
      </c>
      <c r="V39" s="4">
        <f t="shared" si="3"/>
        <v>4.1000000000000227</v>
      </c>
      <c r="W39" s="100">
        <f t="shared" si="13"/>
        <v>11</v>
      </c>
      <c r="X39" s="6">
        <f t="shared" si="4"/>
        <v>192.70000000000039</v>
      </c>
      <c r="Y39" s="100">
        <f t="shared" si="14"/>
        <v>5</v>
      </c>
    </row>
    <row r="40" spans="1:25">
      <c r="A40" s="90">
        <v>1985</v>
      </c>
      <c r="B40" s="90">
        <v>12</v>
      </c>
      <c r="C40" s="200">
        <f>RESID!J40</f>
        <v>203</v>
      </c>
      <c r="D40" s="200">
        <f>RESID!K40</f>
        <v>88</v>
      </c>
      <c r="E40" s="13">
        <f t="shared" si="5"/>
        <v>115</v>
      </c>
      <c r="F40" s="100">
        <f t="shared" si="6"/>
        <v>0</v>
      </c>
      <c r="G40" s="200">
        <f>RESID!M40</f>
        <v>43.8</v>
      </c>
      <c r="H40" s="200">
        <f>RESID!N40</f>
        <v>83.9</v>
      </c>
      <c r="I40" s="200">
        <f t="shared" si="7"/>
        <v>-40.100000000000009</v>
      </c>
      <c r="J40" s="100">
        <f t="shared" si="8"/>
        <v>1</v>
      </c>
      <c r="K40" s="171">
        <f t="shared" si="9"/>
        <v>74.899999999999991</v>
      </c>
      <c r="L40" s="100">
        <f t="shared" si="10"/>
        <v>9</v>
      </c>
      <c r="N40" s="447">
        <v>33208</v>
      </c>
      <c r="O40" s="13">
        <f t="shared" si="16"/>
        <v>12</v>
      </c>
      <c r="P40" s="76">
        <f>SUM(RESID!J89:J100)</f>
        <v>3199.7</v>
      </c>
      <c r="Q40" s="446">
        <f>SUM(RESID!K89:K100)</f>
        <v>2990.7999999999997</v>
      </c>
      <c r="R40" s="4">
        <f t="shared" si="2"/>
        <v>208.90000000000009</v>
      </c>
      <c r="S40" s="100">
        <f t="shared" si="12"/>
        <v>3</v>
      </c>
      <c r="T40" s="76">
        <f>SUM(RESID!M89:M100)</f>
        <v>454.5</v>
      </c>
      <c r="U40" s="446">
        <f>SUM(RESID!N89:N100)</f>
        <v>500.5</v>
      </c>
      <c r="V40" s="4">
        <f t="shared" si="3"/>
        <v>-46</v>
      </c>
      <c r="W40" s="100">
        <f t="shared" si="13"/>
        <v>12</v>
      </c>
      <c r="X40" s="6">
        <f t="shared" si="4"/>
        <v>162.90000000000009</v>
      </c>
      <c r="Y40" s="100">
        <f t="shared" si="14"/>
        <v>5</v>
      </c>
    </row>
    <row r="41" spans="1:25">
      <c r="A41" s="13">
        <v>1986</v>
      </c>
      <c r="B41" s="13">
        <v>1</v>
      </c>
      <c r="C41" s="200">
        <f>RESID!J41</f>
        <v>42.3</v>
      </c>
      <c r="D41" s="200">
        <f>RESID!K41</f>
        <v>49.5</v>
      </c>
      <c r="E41" s="13">
        <f t="shared" si="5"/>
        <v>-7.2000000000000028</v>
      </c>
      <c r="F41" s="100">
        <f t="shared" si="6"/>
        <v>1</v>
      </c>
      <c r="G41" s="200">
        <f>RESID!M41</f>
        <v>198.9</v>
      </c>
      <c r="H41" s="200">
        <f>RESID!N41</f>
        <v>131.6</v>
      </c>
      <c r="I41" s="200">
        <f t="shared" si="7"/>
        <v>67.300000000000011</v>
      </c>
      <c r="J41" s="100">
        <f t="shared" si="8"/>
        <v>0</v>
      </c>
      <c r="K41" s="171">
        <f t="shared" si="9"/>
        <v>60.100000000000009</v>
      </c>
      <c r="L41" s="100">
        <f t="shared" si="10"/>
        <v>9</v>
      </c>
      <c r="N41" s="447">
        <v>33239</v>
      </c>
      <c r="O41" s="13">
        <f t="shared" si="16"/>
        <v>1</v>
      </c>
      <c r="P41" s="76">
        <f>SUM(RESID!J90:J101)</f>
        <v>3282.8</v>
      </c>
      <c r="Q41" s="446">
        <f>SUM(RESID!K90:K101)</f>
        <v>2990.7999999999997</v>
      </c>
      <c r="R41" s="4">
        <f t="shared" si="2"/>
        <v>292.00000000000045</v>
      </c>
      <c r="S41" s="100">
        <f t="shared" si="12"/>
        <v>3</v>
      </c>
      <c r="T41" s="76">
        <f>SUM(RESID!M90:M101)</f>
        <v>285.2</v>
      </c>
      <c r="U41" s="446">
        <f>SUM(RESID!N90:N101)</f>
        <v>500.5</v>
      </c>
      <c r="V41" s="4">
        <f t="shared" si="3"/>
        <v>-215.3</v>
      </c>
      <c r="W41" s="100">
        <f t="shared" si="13"/>
        <v>13</v>
      </c>
      <c r="X41" s="6">
        <f t="shared" si="4"/>
        <v>76.700000000000443</v>
      </c>
      <c r="Y41" s="100">
        <f t="shared" si="14"/>
        <v>5</v>
      </c>
    </row>
    <row r="42" spans="1:25">
      <c r="A42" s="13">
        <v>1986</v>
      </c>
      <c r="B42" s="13">
        <v>2</v>
      </c>
      <c r="C42" s="200">
        <f>RESID!J42</f>
        <v>45</v>
      </c>
      <c r="D42" s="200">
        <f>RESID!K42</f>
        <v>43.3</v>
      </c>
      <c r="E42" s="13">
        <f t="shared" si="5"/>
        <v>1.7000000000000028</v>
      </c>
      <c r="F42" s="100">
        <f t="shared" si="6"/>
        <v>0</v>
      </c>
      <c r="G42" s="200">
        <f>RESID!M42</f>
        <v>145.19999999999999</v>
      </c>
      <c r="H42" s="200">
        <f>RESID!N42</f>
        <v>127.9</v>
      </c>
      <c r="I42" s="200">
        <f t="shared" si="7"/>
        <v>17.299999999999983</v>
      </c>
      <c r="J42" s="100">
        <f t="shared" si="8"/>
        <v>0</v>
      </c>
      <c r="K42" s="171">
        <f t="shared" si="9"/>
        <v>18.999999999999986</v>
      </c>
      <c r="L42" s="100">
        <f t="shared" si="10"/>
        <v>9</v>
      </c>
      <c r="N42" s="447">
        <v>33270</v>
      </c>
      <c r="O42" s="13">
        <f t="shared" si="16"/>
        <v>2</v>
      </c>
      <c r="P42" s="76">
        <f>SUM(RESID!J91:J102)</f>
        <v>3239.1</v>
      </c>
      <c r="Q42" s="446">
        <f>SUM(RESID!K91:K102)</f>
        <v>2990.8</v>
      </c>
      <c r="R42" s="4">
        <f t="shared" si="2"/>
        <v>248.29999999999973</v>
      </c>
      <c r="S42" s="100">
        <f t="shared" si="12"/>
        <v>3</v>
      </c>
      <c r="T42" s="76">
        <f>SUM(RESID!M91:M102)</f>
        <v>307</v>
      </c>
      <c r="U42" s="446">
        <f>SUM(RESID!N91:N102)</f>
        <v>500.5</v>
      </c>
      <c r="V42" s="4">
        <f t="shared" si="3"/>
        <v>-193.5</v>
      </c>
      <c r="W42" s="100">
        <f t="shared" si="13"/>
        <v>14</v>
      </c>
      <c r="X42" s="6">
        <f t="shared" si="4"/>
        <v>54.799999999999727</v>
      </c>
      <c r="Y42" s="100">
        <f t="shared" si="14"/>
        <v>5</v>
      </c>
    </row>
    <row r="43" spans="1:25">
      <c r="A43" s="13">
        <v>1986</v>
      </c>
      <c r="B43" s="13">
        <v>3</v>
      </c>
      <c r="C43" s="200">
        <f>RESID!J43</f>
        <v>73.599999999999994</v>
      </c>
      <c r="D43" s="200">
        <f>RESID!K43</f>
        <v>77.2</v>
      </c>
      <c r="E43" s="13">
        <f t="shared" si="5"/>
        <v>-3.6000000000000085</v>
      </c>
      <c r="F43" s="100">
        <f t="shared" si="6"/>
        <v>1</v>
      </c>
      <c r="G43" s="200">
        <f>RESID!M43</f>
        <v>106.3</v>
      </c>
      <c r="H43" s="200">
        <f>RESID!N43</f>
        <v>82.3</v>
      </c>
      <c r="I43" s="200">
        <f t="shared" si="7"/>
        <v>24</v>
      </c>
      <c r="J43" s="100">
        <f t="shared" si="8"/>
        <v>0</v>
      </c>
      <c r="K43" s="171">
        <f t="shared" si="9"/>
        <v>20.399999999999991</v>
      </c>
      <c r="L43" s="100">
        <f t="shared" si="10"/>
        <v>9</v>
      </c>
      <c r="N43" s="447">
        <v>33298</v>
      </c>
      <c r="O43" s="13">
        <f t="shared" si="16"/>
        <v>3</v>
      </c>
      <c r="P43" s="76">
        <f>SUM(RESID!J92:J103)</f>
        <v>3207</v>
      </c>
      <c r="Q43" s="446">
        <f>SUM(RESID!K92:K103)</f>
        <v>2990.7999999999997</v>
      </c>
      <c r="R43" s="4">
        <f t="shared" si="2"/>
        <v>216.20000000000027</v>
      </c>
      <c r="S43" s="100">
        <f t="shared" si="12"/>
        <v>3</v>
      </c>
      <c r="T43" s="76">
        <f>SUM(RESID!M92:M103)</f>
        <v>347.09999999999997</v>
      </c>
      <c r="U43" s="446">
        <f>SUM(RESID!N92:N103)</f>
        <v>500.49999999999994</v>
      </c>
      <c r="V43" s="4">
        <f t="shared" si="3"/>
        <v>-153.39999999999998</v>
      </c>
      <c r="W43" s="100">
        <f t="shared" si="13"/>
        <v>15</v>
      </c>
      <c r="X43" s="6">
        <f t="shared" si="4"/>
        <v>62.800000000000296</v>
      </c>
      <c r="Y43" s="100">
        <f t="shared" si="14"/>
        <v>5</v>
      </c>
    </row>
    <row r="44" spans="1:25">
      <c r="A44" s="13">
        <v>1986</v>
      </c>
      <c r="B44" s="13">
        <v>4</v>
      </c>
      <c r="C44" s="200">
        <f>RESID!J44</f>
        <v>128.4</v>
      </c>
      <c r="D44" s="200">
        <f>RESID!K44</f>
        <v>138.1</v>
      </c>
      <c r="E44" s="13">
        <f t="shared" si="5"/>
        <v>-9.6999999999999886</v>
      </c>
      <c r="F44" s="100">
        <f t="shared" si="6"/>
        <v>1</v>
      </c>
      <c r="G44" s="200">
        <f>RESID!M44</f>
        <v>54.4</v>
      </c>
      <c r="H44" s="200">
        <f>RESID!N44</f>
        <v>37.299999999999997</v>
      </c>
      <c r="I44" s="200">
        <f t="shared" si="7"/>
        <v>17.100000000000001</v>
      </c>
      <c r="J44" s="100">
        <f t="shared" si="8"/>
        <v>0</v>
      </c>
      <c r="K44" s="171">
        <f t="shared" si="9"/>
        <v>7.4000000000000128</v>
      </c>
      <c r="L44" s="100">
        <f t="shared" si="10"/>
        <v>9</v>
      </c>
      <c r="N44" s="447">
        <v>33329</v>
      </c>
      <c r="O44" s="13">
        <f t="shared" si="16"/>
        <v>4</v>
      </c>
      <c r="P44" s="76">
        <f>SUM(RESID!J93:J104)</f>
        <v>3241.8</v>
      </c>
      <c r="Q44" s="446">
        <f>SUM(RESID!K93:K104)</f>
        <v>2990.8</v>
      </c>
      <c r="R44" s="4">
        <f t="shared" si="2"/>
        <v>251</v>
      </c>
      <c r="S44" s="100">
        <f t="shared" si="12"/>
        <v>3</v>
      </c>
      <c r="T44" s="76">
        <f>SUM(RESID!M93:M104)</f>
        <v>343.7</v>
      </c>
      <c r="U44" s="446">
        <f>SUM(RESID!N93:N104)</f>
        <v>500.5</v>
      </c>
      <c r="V44" s="4">
        <f t="shared" si="3"/>
        <v>-156.80000000000001</v>
      </c>
      <c r="W44" s="100">
        <f t="shared" si="13"/>
        <v>16</v>
      </c>
      <c r="X44" s="6">
        <f t="shared" si="4"/>
        <v>94.199999999999989</v>
      </c>
      <c r="Y44" s="100">
        <f t="shared" si="14"/>
        <v>5</v>
      </c>
    </row>
    <row r="45" spans="1:25">
      <c r="A45" s="13">
        <v>1986</v>
      </c>
      <c r="B45" s="13">
        <v>5</v>
      </c>
      <c r="C45" s="200">
        <f>RESID!J45</f>
        <v>194.6</v>
      </c>
      <c r="D45" s="200">
        <f>RESID!K45</f>
        <v>224.4</v>
      </c>
      <c r="E45" s="13">
        <f t="shared" si="5"/>
        <v>-29.800000000000011</v>
      </c>
      <c r="F45" s="100">
        <f t="shared" si="6"/>
        <v>1</v>
      </c>
      <c r="G45" s="200">
        <f>RESID!M45</f>
        <v>22.6</v>
      </c>
      <c r="H45" s="200">
        <f>RESID!N45</f>
        <v>11.2</v>
      </c>
      <c r="I45" s="200">
        <f t="shared" si="7"/>
        <v>11.400000000000002</v>
      </c>
      <c r="J45" s="100">
        <f t="shared" si="8"/>
        <v>0</v>
      </c>
      <c r="K45" s="171">
        <f t="shared" si="9"/>
        <v>-18.400000000000009</v>
      </c>
      <c r="L45" s="100">
        <f t="shared" si="10"/>
        <v>10</v>
      </c>
      <c r="N45" s="447">
        <v>33359</v>
      </c>
      <c r="O45" s="13">
        <f t="shared" si="16"/>
        <v>5</v>
      </c>
      <c r="P45" s="76">
        <f>SUM(RESID!J94:J105)</f>
        <v>3313.5000000000005</v>
      </c>
      <c r="Q45" s="446">
        <f>SUM(RESID!K94:K105)</f>
        <v>2990.8</v>
      </c>
      <c r="R45" s="4">
        <f t="shared" si="2"/>
        <v>322.70000000000027</v>
      </c>
      <c r="S45" s="100">
        <f t="shared" si="12"/>
        <v>3</v>
      </c>
      <c r="T45" s="76">
        <f>SUM(RESID!M94:M105)</f>
        <v>337.09999999999997</v>
      </c>
      <c r="U45" s="446">
        <f>SUM(RESID!N94:N105)</f>
        <v>500.50000000000006</v>
      </c>
      <c r="V45" s="4">
        <f t="shared" si="3"/>
        <v>-163.40000000000009</v>
      </c>
      <c r="W45" s="100">
        <f t="shared" si="13"/>
        <v>17</v>
      </c>
      <c r="X45" s="6">
        <f t="shared" si="4"/>
        <v>159.30000000000018</v>
      </c>
      <c r="Y45" s="100">
        <f t="shared" si="14"/>
        <v>5</v>
      </c>
    </row>
    <row r="46" spans="1:25">
      <c r="A46" s="13">
        <v>1986</v>
      </c>
      <c r="B46" s="13">
        <v>6</v>
      </c>
      <c r="C46" s="200">
        <f>RESID!J46</f>
        <v>387.4</v>
      </c>
      <c r="D46" s="200">
        <f>RESID!K46</f>
        <v>382.8</v>
      </c>
      <c r="E46" s="13">
        <f t="shared" si="5"/>
        <v>4.5999999999999659</v>
      </c>
      <c r="F46" s="100">
        <f t="shared" si="6"/>
        <v>0</v>
      </c>
      <c r="G46" s="200">
        <f>RESID!M46</f>
        <v>1.1000000000000001</v>
      </c>
      <c r="H46" s="200">
        <f>RESID!N46</f>
        <v>0.9</v>
      </c>
      <c r="I46" s="200">
        <f t="shared" si="7"/>
        <v>0.20000000000000007</v>
      </c>
      <c r="J46" s="100">
        <f t="shared" si="8"/>
        <v>0</v>
      </c>
      <c r="K46" s="171">
        <f t="shared" si="9"/>
        <v>4.7999999999999661</v>
      </c>
      <c r="L46" s="100">
        <f t="shared" si="10"/>
        <v>10</v>
      </c>
      <c r="N46" s="447">
        <v>33390</v>
      </c>
      <c r="O46" s="13">
        <f t="shared" si="16"/>
        <v>6</v>
      </c>
      <c r="P46" s="76">
        <f>SUM(RESID!J95:J106)</f>
        <v>3304.5000000000005</v>
      </c>
      <c r="Q46" s="446">
        <f>SUM(RESID!K95:K106)</f>
        <v>2990.8</v>
      </c>
      <c r="R46" s="4">
        <f t="shared" si="2"/>
        <v>313.70000000000027</v>
      </c>
      <c r="S46" s="100">
        <f t="shared" si="12"/>
        <v>3</v>
      </c>
      <c r="T46" s="76">
        <f>SUM(RESID!M95:M106)</f>
        <v>336.59999999999997</v>
      </c>
      <c r="U46" s="446">
        <f>SUM(RESID!N95:N106)</f>
        <v>500.5</v>
      </c>
      <c r="V46" s="4">
        <f t="shared" si="3"/>
        <v>-163.90000000000003</v>
      </c>
      <c r="W46" s="100">
        <f t="shared" si="13"/>
        <v>18</v>
      </c>
      <c r="X46" s="6">
        <f t="shared" si="4"/>
        <v>149.80000000000024</v>
      </c>
      <c r="Y46" s="100">
        <f t="shared" si="14"/>
        <v>5</v>
      </c>
    </row>
    <row r="47" spans="1:25">
      <c r="A47" s="13">
        <v>1986</v>
      </c>
      <c r="B47" s="13">
        <v>7</v>
      </c>
      <c r="C47" s="200">
        <f>RESID!J47</f>
        <v>445.3</v>
      </c>
      <c r="D47" s="200">
        <f>RESID!K47</f>
        <v>454.9</v>
      </c>
      <c r="E47" s="13">
        <f t="shared" si="5"/>
        <v>-9.5999999999999659</v>
      </c>
      <c r="F47" s="100">
        <f t="shared" si="6"/>
        <v>1</v>
      </c>
      <c r="G47" s="200">
        <f>RESID!M47</f>
        <v>0</v>
      </c>
      <c r="H47" s="200">
        <f>RESID!N47</f>
        <v>0</v>
      </c>
      <c r="I47" s="200">
        <f t="shared" si="7"/>
        <v>0</v>
      </c>
      <c r="J47" s="100">
        <f t="shared" si="8"/>
        <v>0</v>
      </c>
      <c r="K47" s="171">
        <f t="shared" si="9"/>
        <v>-9.5999999999999659</v>
      </c>
      <c r="L47" s="100">
        <f t="shared" si="10"/>
        <v>11</v>
      </c>
      <c r="N47" s="447">
        <v>33420</v>
      </c>
      <c r="O47" s="13">
        <f t="shared" si="16"/>
        <v>7</v>
      </c>
      <c r="P47" s="76">
        <f>SUM(RESID!J96:J107)</f>
        <v>3321.3</v>
      </c>
      <c r="Q47" s="446">
        <f>SUM(RESID!K96:K107)</f>
        <v>2990.8</v>
      </c>
      <c r="R47" s="4">
        <f t="shared" si="2"/>
        <v>330.5</v>
      </c>
      <c r="S47" s="100">
        <f t="shared" si="12"/>
        <v>3</v>
      </c>
      <c r="T47" s="76">
        <f>SUM(RESID!M96:M107)</f>
        <v>336.59999999999997</v>
      </c>
      <c r="U47" s="446">
        <f>SUM(RESID!N96:N107)</f>
        <v>500.5</v>
      </c>
      <c r="V47" s="4">
        <f t="shared" si="3"/>
        <v>-163.90000000000003</v>
      </c>
      <c r="W47" s="100">
        <f t="shared" si="13"/>
        <v>19</v>
      </c>
      <c r="X47" s="6">
        <f t="shared" si="4"/>
        <v>166.59999999999997</v>
      </c>
      <c r="Y47" s="100">
        <f t="shared" si="14"/>
        <v>5</v>
      </c>
    </row>
    <row r="48" spans="1:25">
      <c r="A48" s="13">
        <v>1986</v>
      </c>
      <c r="B48" s="13">
        <v>8</v>
      </c>
      <c r="C48" s="200">
        <f>RESID!J48</f>
        <v>492.8</v>
      </c>
      <c r="D48" s="200">
        <f>RESID!K48</f>
        <v>481.4</v>
      </c>
      <c r="E48" s="13">
        <f t="shared" si="5"/>
        <v>11.400000000000034</v>
      </c>
      <c r="F48" s="100">
        <f t="shared" si="6"/>
        <v>0</v>
      </c>
      <c r="G48" s="200">
        <f>RESID!M48</f>
        <v>0</v>
      </c>
      <c r="H48" s="200">
        <f>RESID!N48</f>
        <v>0</v>
      </c>
      <c r="I48" s="200">
        <f t="shared" si="7"/>
        <v>0</v>
      </c>
      <c r="J48" s="100">
        <f t="shared" si="8"/>
        <v>0</v>
      </c>
      <c r="K48" s="171">
        <f t="shared" si="9"/>
        <v>11.400000000000034</v>
      </c>
      <c r="L48" s="100">
        <f t="shared" si="10"/>
        <v>11</v>
      </c>
      <c r="N48" s="447">
        <v>33451</v>
      </c>
      <c r="O48" s="13">
        <f t="shared" si="16"/>
        <v>8</v>
      </c>
      <c r="P48" s="76">
        <f>SUM(RESID!J97:J108)</f>
        <v>3326.8</v>
      </c>
      <c r="Q48" s="446">
        <f>SUM(RESID!K97:K108)</f>
        <v>2990.8</v>
      </c>
      <c r="R48" s="4">
        <f t="shared" si="2"/>
        <v>336</v>
      </c>
      <c r="S48" s="100">
        <f t="shared" si="12"/>
        <v>3</v>
      </c>
      <c r="T48" s="76">
        <f>SUM(RESID!M97:M108)</f>
        <v>336.59999999999997</v>
      </c>
      <c r="U48" s="446">
        <f>SUM(RESID!N97:N108)</f>
        <v>500.5</v>
      </c>
      <c r="V48" s="4">
        <f t="shared" si="3"/>
        <v>-163.90000000000003</v>
      </c>
      <c r="W48" s="100">
        <f t="shared" si="13"/>
        <v>20</v>
      </c>
      <c r="X48" s="6">
        <f t="shared" si="4"/>
        <v>172.09999999999997</v>
      </c>
      <c r="Y48" s="100">
        <f t="shared" si="14"/>
        <v>5</v>
      </c>
    </row>
    <row r="49" spans="1:25">
      <c r="A49" s="13">
        <v>1986</v>
      </c>
      <c r="B49" s="13">
        <v>9</v>
      </c>
      <c r="C49" s="200">
        <f>RESID!J49</f>
        <v>473.1</v>
      </c>
      <c r="D49" s="200">
        <f>RESID!K49</f>
        <v>473.7</v>
      </c>
      <c r="E49" s="13">
        <f t="shared" si="5"/>
        <v>-0.59999999999996589</v>
      </c>
      <c r="F49" s="100">
        <f t="shared" si="6"/>
        <v>1</v>
      </c>
      <c r="G49" s="200">
        <f>RESID!M49</f>
        <v>0</v>
      </c>
      <c r="H49" s="200">
        <f>RESID!N49</f>
        <v>0</v>
      </c>
      <c r="I49" s="200">
        <f t="shared" si="7"/>
        <v>0</v>
      </c>
      <c r="J49" s="100">
        <f t="shared" si="8"/>
        <v>0</v>
      </c>
      <c r="K49" s="171">
        <f t="shared" si="9"/>
        <v>-0.59999999999996589</v>
      </c>
      <c r="L49" s="100">
        <f t="shared" si="10"/>
        <v>12</v>
      </c>
      <c r="N49" s="447">
        <v>33482</v>
      </c>
      <c r="O49" s="13">
        <f t="shared" si="16"/>
        <v>9</v>
      </c>
      <c r="P49" s="76">
        <f>SUM(RESID!J98:J109)</f>
        <v>3333.3</v>
      </c>
      <c r="Q49" s="446">
        <f>SUM(RESID!K98:K109)</f>
        <v>2990.7999999999997</v>
      </c>
      <c r="R49" s="4">
        <f t="shared" si="2"/>
        <v>342.50000000000045</v>
      </c>
      <c r="S49" s="100">
        <f t="shared" si="12"/>
        <v>3</v>
      </c>
      <c r="T49" s="76">
        <f>SUM(RESID!M98:M109)</f>
        <v>336.59999999999997</v>
      </c>
      <c r="U49" s="446">
        <f>SUM(RESID!N98:N109)</f>
        <v>500.5</v>
      </c>
      <c r="V49" s="4">
        <f t="shared" si="3"/>
        <v>-163.90000000000003</v>
      </c>
      <c r="W49" s="100">
        <f t="shared" si="13"/>
        <v>21</v>
      </c>
      <c r="X49" s="6">
        <f t="shared" si="4"/>
        <v>178.60000000000042</v>
      </c>
      <c r="Y49" s="100">
        <f t="shared" si="14"/>
        <v>5</v>
      </c>
    </row>
    <row r="50" spans="1:25">
      <c r="A50" s="13">
        <v>1986</v>
      </c>
      <c r="B50" s="13">
        <v>10</v>
      </c>
      <c r="C50" s="200">
        <f>RESID!J50</f>
        <v>421.7</v>
      </c>
      <c r="D50" s="200">
        <f>RESID!K50</f>
        <v>373.2</v>
      </c>
      <c r="E50" s="13">
        <f t="shared" si="5"/>
        <v>48.5</v>
      </c>
      <c r="F50" s="100">
        <f t="shared" si="6"/>
        <v>0</v>
      </c>
      <c r="G50" s="200">
        <f>RESID!M50</f>
        <v>0.9</v>
      </c>
      <c r="H50" s="200">
        <f>RESID!N50</f>
        <v>1.3</v>
      </c>
      <c r="I50" s="200">
        <f t="shared" si="7"/>
        <v>-0.4</v>
      </c>
      <c r="J50" s="100">
        <f t="shared" si="8"/>
        <v>1</v>
      </c>
      <c r="K50" s="171">
        <f t="shared" si="9"/>
        <v>48.1</v>
      </c>
      <c r="L50" s="100">
        <f t="shared" si="10"/>
        <v>12</v>
      </c>
      <c r="N50" s="447">
        <v>33512</v>
      </c>
      <c r="O50" s="13">
        <f t="shared" si="16"/>
        <v>10</v>
      </c>
      <c r="P50" s="76">
        <f>SUM(RESID!J99:J110)</f>
        <v>3291.4</v>
      </c>
      <c r="Q50" s="446">
        <f>SUM(RESID!K99:K110)</f>
        <v>2990.7999999999997</v>
      </c>
      <c r="R50" s="4">
        <f t="shared" si="2"/>
        <v>300.60000000000036</v>
      </c>
      <c r="S50" s="100">
        <f t="shared" si="12"/>
        <v>3</v>
      </c>
      <c r="T50" s="76">
        <f>SUM(RESID!M99:M110)</f>
        <v>338.4</v>
      </c>
      <c r="U50" s="446">
        <f>SUM(RESID!N99:N110)</f>
        <v>500.5</v>
      </c>
      <c r="V50" s="4">
        <f t="shared" si="3"/>
        <v>-162.10000000000002</v>
      </c>
      <c r="W50" s="100">
        <f t="shared" si="13"/>
        <v>22</v>
      </c>
      <c r="X50" s="6">
        <f t="shared" si="4"/>
        <v>138.50000000000034</v>
      </c>
      <c r="Y50" s="100">
        <f t="shared" si="14"/>
        <v>5</v>
      </c>
    </row>
    <row r="51" spans="1:25">
      <c r="A51" s="13">
        <v>1986</v>
      </c>
      <c r="B51" s="13">
        <v>11</v>
      </c>
      <c r="C51" s="200">
        <f>RESID!J51</f>
        <v>264.3</v>
      </c>
      <c r="D51" s="200">
        <f>RESID!K51</f>
        <v>204.3</v>
      </c>
      <c r="E51" s="13">
        <f t="shared" si="5"/>
        <v>60</v>
      </c>
      <c r="F51" s="100">
        <f t="shared" si="6"/>
        <v>0</v>
      </c>
      <c r="G51" s="200">
        <f>RESID!M51</f>
        <v>5.8</v>
      </c>
      <c r="H51" s="200">
        <f>RESID!N51</f>
        <v>24.1</v>
      </c>
      <c r="I51" s="200">
        <f t="shared" si="7"/>
        <v>-18.3</v>
      </c>
      <c r="J51" s="100">
        <f t="shared" si="8"/>
        <v>1</v>
      </c>
      <c r="K51" s="171">
        <f t="shared" si="9"/>
        <v>41.7</v>
      </c>
      <c r="L51" s="100">
        <f t="shared" si="10"/>
        <v>12</v>
      </c>
      <c r="N51" s="447">
        <v>33543</v>
      </c>
      <c r="O51" s="13">
        <f t="shared" si="16"/>
        <v>11</v>
      </c>
      <c r="P51" s="76">
        <f>SUM(RESID!J100:J111)</f>
        <v>3259.4000000000005</v>
      </c>
      <c r="Q51" s="446">
        <f>SUM(RESID!K100:K111)</f>
        <v>2990.7999999999997</v>
      </c>
      <c r="R51" s="4">
        <f t="shared" si="2"/>
        <v>268.60000000000082</v>
      </c>
      <c r="S51" s="100">
        <f t="shared" si="12"/>
        <v>3</v>
      </c>
      <c r="T51" s="76">
        <f>SUM(RESID!M100:M111)</f>
        <v>353.59999999999997</v>
      </c>
      <c r="U51" s="446">
        <f>SUM(RESID!N100:N111)</f>
        <v>500.5</v>
      </c>
      <c r="V51" s="4">
        <f t="shared" si="3"/>
        <v>-146.90000000000003</v>
      </c>
      <c r="W51" s="100">
        <f t="shared" si="13"/>
        <v>23</v>
      </c>
      <c r="X51" s="6">
        <f t="shared" si="4"/>
        <v>121.70000000000078</v>
      </c>
      <c r="Y51" s="100">
        <f t="shared" si="14"/>
        <v>5</v>
      </c>
    </row>
    <row r="52" spans="1:25">
      <c r="A52" s="90">
        <v>1986</v>
      </c>
      <c r="B52" s="90">
        <v>12</v>
      </c>
      <c r="C52" s="200">
        <f>RESID!J52</f>
        <v>216</v>
      </c>
      <c r="D52" s="200">
        <f>RESID!K52</f>
        <v>88</v>
      </c>
      <c r="E52" s="13">
        <f t="shared" si="5"/>
        <v>128</v>
      </c>
      <c r="F52" s="100">
        <f t="shared" si="6"/>
        <v>0</v>
      </c>
      <c r="G52" s="200">
        <f>RESID!M52</f>
        <v>22</v>
      </c>
      <c r="H52" s="200">
        <f>RESID!N52</f>
        <v>83.9</v>
      </c>
      <c r="I52" s="200">
        <f t="shared" si="7"/>
        <v>-61.900000000000006</v>
      </c>
      <c r="J52" s="100">
        <f t="shared" si="8"/>
        <v>1</v>
      </c>
      <c r="K52" s="171">
        <f t="shared" si="9"/>
        <v>66.099999999999994</v>
      </c>
      <c r="L52" s="100">
        <f t="shared" si="10"/>
        <v>12</v>
      </c>
      <c r="N52" s="447">
        <v>33573</v>
      </c>
      <c r="O52" s="13">
        <f t="shared" si="16"/>
        <v>12</v>
      </c>
      <c r="P52" s="76">
        <f>SUM(RESID!J101:J112)</f>
        <v>3273</v>
      </c>
      <c r="Q52" s="446">
        <f>SUM(RESID!K101:K112)</f>
        <v>2990.7999999999997</v>
      </c>
      <c r="R52" s="4">
        <f t="shared" si="2"/>
        <v>282.20000000000027</v>
      </c>
      <c r="S52" s="100">
        <f t="shared" si="12"/>
        <v>3</v>
      </c>
      <c r="T52" s="76">
        <f>SUM(RESID!M101:M112)</f>
        <v>373.50000000000006</v>
      </c>
      <c r="U52" s="446">
        <f>SUM(RESID!N101:N112)</f>
        <v>500.5</v>
      </c>
      <c r="V52" s="4">
        <f t="shared" si="3"/>
        <v>-126.99999999999994</v>
      </c>
      <c r="W52" s="100">
        <f t="shared" si="13"/>
        <v>24</v>
      </c>
      <c r="X52" s="6">
        <f t="shared" si="4"/>
        <v>155.20000000000033</v>
      </c>
      <c r="Y52" s="100">
        <f t="shared" si="14"/>
        <v>5</v>
      </c>
    </row>
    <row r="53" spans="1:25">
      <c r="A53" s="13">
        <v>1987</v>
      </c>
      <c r="B53" s="13">
        <v>1</v>
      </c>
      <c r="C53" s="200">
        <f>RESID!J53</f>
        <v>59.6</v>
      </c>
      <c r="D53" s="200">
        <f>RESID!K53</f>
        <v>49.5</v>
      </c>
      <c r="E53" s="13">
        <f t="shared" si="5"/>
        <v>10.100000000000001</v>
      </c>
      <c r="F53" s="100">
        <f t="shared" si="6"/>
        <v>0</v>
      </c>
      <c r="G53" s="200">
        <f>RESID!M53</f>
        <v>107.3</v>
      </c>
      <c r="H53" s="200">
        <f>RESID!N53</f>
        <v>131.6</v>
      </c>
      <c r="I53" s="200">
        <f t="shared" si="7"/>
        <v>-24.299999999999997</v>
      </c>
      <c r="J53" s="100">
        <f t="shared" si="8"/>
        <v>1</v>
      </c>
      <c r="K53" s="171">
        <f t="shared" si="9"/>
        <v>-14.199999999999996</v>
      </c>
      <c r="L53" s="100">
        <f t="shared" si="10"/>
        <v>13</v>
      </c>
      <c r="N53" s="447">
        <v>33604</v>
      </c>
      <c r="O53" s="13">
        <f t="shared" si="16"/>
        <v>1</v>
      </c>
      <c r="P53" s="76">
        <f>SUM(RESID!J102:J113)</f>
        <v>3202.5999999999995</v>
      </c>
      <c r="Q53" s="446">
        <f>SUM(RESID!K102:K113)</f>
        <v>2990.7999999999997</v>
      </c>
      <c r="R53" s="4">
        <f t="shared" si="2"/>
        <v>211.79999999999973</v>
      </c>
      <c r="S53" s="100">
        <f t="shared" si="12"/>
        <v>3</v>
      </c>
      <c r="T53" s="76">
        <f>SUM(RESID!M102:M113)</f>
        <v>431.6</v>
      </c>
      <c r="U53" s="446">
        <f>SUM(RESID!N102:N113)</f>
        <v>500.5</v>
      </c>
      <c r="V53" s="4">
        <f t="shared" si="3"/>
        <v>-68.899999999999977</v>
      </c>
      <c r="W53" s="100">
        <f t="shared" si="13"/>
        <v>25</v>
      </c>
      <c r="X53" s="6">
        <f t="shared" si="4"/>
        <v>142.89999999999975</v>
      </c>
      <c r="Y53" s="100">
        <f t="shared" si="14"/>
        <v>5</v>
      </c>
    </row>
    <row r="54" spans="1:25">
      <c r="A54" s="13">
        <v>1987</v>
      </c>
      <c r="B54" s="13">
        <v>2</v>
      </c>
      <c r="C54" s="200">
        <f>RESID!J54</f>
        <v>32.200000000000003</v>
      </c>
      <c r="D54" s="200">
        <f>RESID!K54</f>
        <v>43.3</v>
      </c>
      <c r="E54" s="13">
        <f t="shared" si="5"/>
        <v>-11.099999999999994</v>
      </c>
      <c r="F54" s="100">
        <f t="shared" si="6"/>
        <v>1</v>
      </c>
      <c r="G54" s="200">
        <f>RESID!M54</f>
        <v>159</v>
      </c>
      <c r="H54" s="200">
        <f>RESID!N54</f>
        <v>127.9</v>
      </c>
      <c r="I54" s="200">
        <f t="shared" si="7"/>
        <v>31.099999999999994</v>
      </c>
      <c r="J54" s="100">
        <f t="shared" si="8"/>
        <v>0</v>
      </c>
      <c r="K54" s="171">
        <f t="shared" si="9"/>
        <v>20</v>
      </c>
      <c r="L54" s="100">
        <f t="shared" si="10"/>
        <v>13</v>
      </c>
      <c r="N54" s="447">
        <v>33635</v>
      </c>
      <c r="O54" s="13">
        <f t="shared" si="16"/>
        <v>2</v>
      </c>
      <c r="P54" s="76">
        <f>SUM(RESID!J103:J114)</f>
        <v>3162.6999999999994</v>
      </c>
      <c r="Q54" s="446">
        <f>SUM(RESID!K103:K114)</f>
        <v>2990.8</v>
      </c>
      <c r="R54" s="4">
        <f t="shared" si="2"/>
        <v>171.89999999999918</v>
      </c>
      <c r="S54" s="100">
        <f t="shared" si="12"/>
        <v>3</v>
      </c>
      <c r="T54" s="76">
        <f>SUM(RESID!M103:M114)</f>
        <v>495</v>
      </c>
      <c r="U54" s="446">
        <f>SUM(RESID!N103:N114)</f>
        <v>500.5</v>
      </c>
      <c r="V54" s="4">
        <f t="shared" si="3"/>
        <v>-5.5</v>
      </c>
      <c r="W54" s="100">
        <f t="shared" si="13"/>
        <v>26</v>
      </c>
      <c r="X54" s="6">
        <f t="shared" si="4"/>
        <v>166.39999999999918</v>
      </c>
      <c r="Y54" s="100">
        <f t="shared" si="14"/>
        <v>5</v>
      </c>
    </row>
    <row r="55" spans="1:25">
      <c r="A55" s="13">
        <v>1987</v>
      </c>
      <c r="B55" s="13">
        <v>3</v>
      </c>
      <c r="C55" s="200">
        <f>RESID!J55</f>
        <v>54.4</v>
      </c>
      <c r="D55" s="200">
        <f>RESID!K55</f>
        <v>77.2</v>
      </c>
      <c r="E55" s="13">
        <f t="shared" si="5"/>
        <v>-22.800000000000004</v>
      </c>
      <c r="F55" s="100">
        <f t="shared" si="6"/>
        <v>1</v>
      </c>
      <c r="G55" s="200">
        <f>RESID!M55</f>
        <v>78.2</v>
      </c>
      <c r="H55" s="200">
        <f>RESID!N55</f>
        <v>82.3</v>
      </c>
      <c r="I55" s="200">
        <f t="shared" si="7"/>
        <v>-4.0999999999999943</v>
      </c>
      <c r="J55" s="100">
        <f t="shared" si="8"/>
        <v>1</v>
      </c>
      <c r="K55" s="171">
        <f t="shared" si="9"/>
        <v>-26.9</v>
      </c>
      <c r="L55" s="100">
        <f t="shared" si="10"/>
        <v>14</v>
      </c>
      <c r="N55" s="447">
        <v>33664</v>
      </c>
      <c r="O55" s="13">
        <f t="shared" si="16"/>
        <v>3</v>
      </c>
      <c r="P55" s="76">
        <f>SUM(RESID!J104:J115)</f>
        <v>3168.4999999999995</v>
      </c>
      <c r="Q55" s="446">
        <f>SUM(RESID!K104:K115)</f>
        <v>2990.7999999999997</v>
      </c>
      <c r="R55" s="4">
        <f t="shared" si="2"/>
        <v>177.69999999999982</v>
      </c>
      <c r="S55" s="100">
        <f t="shared" si="12"/>
        <v>3</v>
      </c>
      <c r="T55" s="76">
        <f>SUM(RESID!M104:M115)</f>
        <v>477.99999999999994</v>
      </c>
      <c r="U55" s="446">
        <f>SUM(RESID!N104:N115)</f>
        <v>500.49999999999994</v>
      </c>
      <c r="V55" s="4">
        <f t="shared" si="3"/>
        <v>-22.5</v>
      </c>
      <c r="W55" s="100">
        <f t="shared" si="13"/>
        <v>27</v>
      </c>
      <c r="X55" s="6">
        <f t="shared" si="4"/>
        <v>155.19999999999982</v>
      </c>
      <c r="Y55" s="100">
        <f t="shared" si="14"/>
        <v>5</v>
      </c>
    </row>
    <row r="56" spans="1:25">
      <c r="A56" s="13">
        <v>1987</v>
      </c>
      <c r="B56" s="13">
        <v>4</v>
      </c>
      <c r="C56" s="200">
        <f>RESID!J56</f>
        <v>83.9</v>
      </c>
      <c r="D56" s="200">
        <f>RESID!K56</f>
        <v>138.1</v>
      </c>
      <c r="E56" s="13">
        <f t="shared" si="5"/>
        <v>-54.199999999999989</v>
      </c>
      <c r="F56" s="100">
        <f t="shared" si="6"/>
        <v>1</v>
      </c>
      <c r="G56" s="200">
        <f>RESID!M56</f>
        <v>72.599999999999994</v>
      </c>
      <c r="H56" s="200">
        <f>RESID!N56</f>
        <v>37.299999999999997</v>
      </c>
      <c r="I56" s="200">
        <f t="shared" si="7"/>
        <v>35.299999999999997</v>
      </c>
      <c r="J56" s="100">
        <f t="shared" si="8"/>
        <v>0</v>
      </c>
      <c r="K56" s="171">
        <f t="shared" si="9"/>
        <v>-18.899999999999991</v>
      </c>
      <c r="L56" s="100">
        <f t="shared" si="10"/>
        <v>15</v>
      </c>
      <c r="N56" s="447">
        <v>33695</v>
      </c>
      <c r="O56" s="13">
        <f t="shared" si="16"/>
        <v>4</v>
      </c>
      <c r="P56" s="76">
        <f>SUM(RESID!J105:J116)</f>
        <v>3079.3999999999996</v>
      </c>
      <c r="Q56" s="446">
        <f>SUM(RESID!K105:K116)</f>
        <v>2990.8</v>
      </c>
      <c r="R56" s="4">
        <f t="shared" si="2"/>
        <v>88.599999999999454</v>
      </c>
      <c r="S56" s="100">
        <f t="shared" si="12"/>
        <v>3</v>
      </c>
      <c r="T56" s="76">
        <f>SUM(RESID!M105:M116)</f>
        <v>508.5</v>
      </c>
      <c r="U56" s="446">
        <f>SUM(RESID!N105:N116)</f>
        <v>500.5</v>
      </c>
      <c r="V56" s="4">
        <f t="shared" si="3"/>
        <v>8</v>
      </c>
      <c r="W56" s="100">
        <f t="shared" si="13"/>
        <v>27</v>
      </c>
      <c r="X56" s="6">
        <f t="shared" si="4"/>
        <v>96.599999999999454</v>
      </c>
      <c r="Y56" s="100">
        <f t="shared" si="14"/>
        <v>5</v>
      </c>
    </row>
    <row r="57" spans="1:25">
      <c r="A57" s="13">
        <v>1987</v>
      </c>
      <c r="B57" s="13">
        <v>5</v>
      </c>
      <c r="C57" s="200">
        <f>RESID!J57</f>
        <v>196.8</v>
      </c>
      <c r="D57" s="200">
        <f>RESID!K57</f>
        <v>224.4</v>
      </c>
      <c r="E57" s="13">
        <f t="shared" si="5"/>
        <v>-27.599999999999994</v>
      </c>
      <c r="F57" s="100">
        <f t="shared" si="6"/>
        <v>1</v>
      </c>
      <c r="G57" s="200">
        <f>RESID!M57</f>
        <v>26.5</v>
      </c>
      <c r="H57" s="200">
        <f>RESID!N57</f>
        <v>11.2</v>
      </c>
      <c r="I57" s="200">
        <f t="shared" si="7"/>
        <v>15.3</v>
      </c>
      <c r="J57" s="100">
        <f t="shared" si="8"/>
        <v>0</v>
      </c>
      <c r="K57" s="171">
        <f t="shared" si="9"/>
        <v>-12.299999999999994</v>
      </c>
      <c r="L57" s="100">
        <f t="shared" si="10"/>
        <v>16</v>
      </c>
      <c r="N57" s="447">
        <v>33725</v>
      </c>
      <c r="O57" s="13">
        <f t="shared" si="16"/>
        <v>5</v>
      </c>
      <c r="P57" s="76">
        <f>SUM(RESID!J106:J117)</f>
        <v>2922.0999999999995</v>
      </c>
      <c r="Q57" s="446">
        <f>SUM(RESID!K106:K117)</f>
        <v>2990.8</v>
      </c>
      <c r="R57" s="4">
        <f t="shared" si="2"/>
        <v>-68.700000000000728</v>
      </c>
      <c r="S57" s="100">
        <f t="shared" si="12"/>
        <v>4</v>
      </c>
      <c r="T57" s="76">
        <f>SUM(RESID!M106:M117)</f>
        <v>530.20000000000005</v>
      </c>
      <c r="U57" s="446">
        <f>SUM(RESID!N106:N117)</f>
        <v>500.50000000000006</v>
      </c>
      <c r="V57" s="4">
        <f t="shared" si="3"/>
        <v>29.699999999999989</v>
      </c>
      <c r="W57" s="100">
        <f t="shared" si="13"/>
        <v>27</v>
      </c>
      <c r="X57" s="6">
        <f t="shared" si="4"/>
        <v>-39.000000000000739</v>
      </c>
      <c r="Y57" s="100">
        <f t="shared" si="14"/>
        <v>6</v>
      </c>
    </row>
    <row r="58" spans="1:25">
      <c r="A58" s="13">
        <v>1987</v>
      </c>
      <c r="B58" s="13">
        <v>6</v>
      </c>
      <c r="C58" s="200">
        <f>RESID!J58</f>
        <v>375</v>
      </c>
      <c r="D58" s="200">
        <f>RESID!K58</f>
        <v>382.8</v>
      </c>
      <c r="E58" s="13">
        <f t="shared" si="5"/>
        <v>-7.8000000000000114</v>
      </c>
      <c r="F58" s="100">
        <f t="shared" si="6"/>
        <v>1</v>
      </c>
      <c r="G58" s="200">
        <f>RESID!M58</f>
        <v>0.5</v>
      </c>
      <c r="H58" s="200">
        <f>RESID!N58</f>
        <v>0.9</v>
      </c>
      <c r="I58" s="200">
        <f t="shared" si="7"/>
        <v>-0.4</v>
      </c>
      <c r="J58" s="100">
        <f t="shared" si="8"/>
        <v>1</v>
      </c>
      <c r="K58" s="171">
        <f t="shared" si="9"/>
        <v>-8.2000000000000117</v>
      </c>
      <c r="L58" s="100">
        <f t="shared" si="10"/>
        <v>17</v>
      </c>
      <c r="N58" s="447">
        <v>33756</v>
      </c>
      <c r="O58" s="13">
        <f t="shared" si="16"/>
        <v>6</v>
      </c>
      <c r="P58" s="76">
        <f>SUM(RESID!J107:J118)</f>
        <v>2856.9999999999995</v>
      </c>
      <c r="Q58" s="446">
        <f>SUM(RESID!K107:K118)</f>
        <v>2990.8</v>
      </c>
      <c r="R58" s="4">
        <f t="shared" si="2"/>
        <v>-133.80000000000064</v>
      </c>
      <c r="S58" s="100">
        <f t="shared" si="12"/>
        <v>5</v>
      </c>
      <c r="T58" s="76">
        <f>SUM(RESID!M107:M118)</f>
        <v>534.40000000000009</v>
      </c>
      <c r="U58" s="446">
        <f>SUM(RESID!N107:N118)</f>
        <v>500.5</v>
      </c>
      <c r="V58" s="4">
        <f t="shared" si="3"/>
        <v>33.900000000000091</v>
      </c>
      <c r="W58" s="100">
        <f t="shared" si="13"/>
        <v>27</v>
      </c>
      <c r="X58" s="6">
        <f t="shared" si="4"/>
        <v>-99.900000000000546</v>
      </c>
      <c r="Y58" s="100">
        <f t="shared" si="14"/>
        <v>7</v>
      </c>
    </row>
    <row r="59" spans="1:25">
      <c r="A59" s="13">
        <v>1987</v>
      </c>
      <c r="B59" s="13">
        <v>7</v>
      </c>
      <c r="C59" s="200">
        <f>RESID!J59</f>
        <v>491.8</v>
      </c>
      <c r="D59" s="200">
        <f>RESID!K59</f>
        <v>454.9</v>
      </c>
      <c r="E59" s="13">
        <f t="shared" si="5"/>
        <v>36.900000000000034</v>
      </c>
      <c r="F59" s="100">
        <f t="shared" si="6"/>
        <v>0</v>
      </c>
      <c r="G59" s="200">
        <f>RESID!M59</f>
        <v>0</v>
      </c>
      <c r="H59" s="200">
        <f>RESID!N59</f>
        <v>0</v>
      </c>
      <c r="I59" s="200">
        <f t="shared" si="7"/>
        <v>0</v>
      </c>
      <c r="J59" s="100">
        <f t="shared" si="8"/>
        <v>0</v>
      </c>
      <c r="K59" s="171">
        <f t="shared" si="9"/>
        <v>36.900000000000034</v>
      </c>
      <c r="L59" s="100">
        <f t="shared" si="10"/>
        <v>17</v>
      </c>
      <c r="N59" s="447">
        <v>33786</v>
      </c>
      <c r="O59" s="13">
        <f t="shared" si="16"/>
        <v>7</v>
      </c>
      <c r="P59" s="76">
        <f>SUM(RESID!J108:J119)</f>
        <v>2857.4999999999995</v>
      </c>
      <c r="Q59" s="446">
        <f>SUM(RESID!K108:K119)</f>
        <v>2990.8</v>
      </c>
      <c r="R59" s="4">
        <f t="shared" si="2"/>
        <v>-133.30000000000064</v>
      </c>
      <c r="S59" s="100">
        <f t="shared" si="12"/>
        <v>6</v>
      </c>
      <c r="T59" s="76">
        <f>SUM(RESID!M108:M119)</f>
        <v>534.40000000000009</v>
      </c>
      <c r="U59" s="446">
        <f>SUM(RESID!N108:N119)</f>
        <v>500.5</v>
      </c>
      <c r="V59" s="4">
        <f t="shared" si="3"/>
        <v>33.900000000000091</v>
      </c>
      <c r="W59" s="100">
        <f t="shared" si="13"/>
        <v>27</v>
      </c>
      <c r="X59" s="6">
        <f t="shared" si="4"/>
        <v>-99.400000000000546</v>
      </c>
      <c r="Y59" s="100">
        <f t="shared" si="14"/>
        <v>8</v>
      </c>
    </row>
    <row r="60" spans="1:25">
      <c r="A60" s="13">
        <v>1987</v>
      </c>
      <c r="B60" s="13">
        <v>8</v>
      </c>
      <c r="C60" s="200">
        <f>RESID!J60</f>
        <v>506.9</v>
      </c>
      <c r="D60" s="200">
        <f>RESID!K60</f>
        <v>481.4</v>
      </c>
      <c r="E60" s="13">
        <f t="shared" si="5"/>
        <v>25.5</v>
      </c>
      <c r="F60" s="100">
        <f t="shared" si="6"/>
        <v>0</v>
      </c>
      <c r="G60" s="200">
        <f>RESID!M60</f>
        <v>0</v>
      </c>
      <c r="H60" s="200">
        <f>RESID!N60</f>
        <v>0</v>
      </c>
      <c r="I60" s="200">
        <f t="shared" si="7"/>
        <v>0</v>
      </c>
      <c r="J60" s="100">
        <f t="shared" si="8"/>
        <v>0</v>
      </c>
      <c r="K60" s="171">
        <f t="shared" si="9"/>
        <v>25.5</v>
      </c>
      <c r="L60" s="100">
        <f t="shared" si="10"/>
        <v>17</v>
      </c>
      <c r="N60" s="447">
        <v>33817</v>
      </c>
      <c r="O60" s="13">
        <f t="shared" si="16"/>
        <v>8</v>
      </c>
      <c r="P60" s="76">
        <f>SUM(RESID!J109:J120)</f>
        <v>2854</v>
      </c>
      <c r="Q60" s="446">
        <f>SUM(RESID!K109:K120)</f>
        <v>2990.8</v>
      </c>
      <c r="R60" s="4">
        <f t="shared" si="2"/>
        <v>-136.80000000000018</v>
      </c>
      <c r="S60" s="100">
        <f t="shared" si="12"/>
        <v>7</v>
      </c>
      <c r="T60" s="76">
        <f>SUM(RESID!M109:M120)</f>
        <v>534.40000000000009</v>
      </c>
      <c r="U60" s="446">
        <f>SUM(RESID!N109:N120)</f>
        <v>500.5</v>
      </c>
      <c r="V60" s="4">
        <f t="shared" si="3"/>
        <v>33.900000000000091</v>
      </c>
      <c r="W60" s="100">
        <f t="shared" si="13"/>
        <v>27</v>
      </c>
      <c r="X60" s="6">
        <f t="shared" si="4"/>
        <v>-102.90000000000009</v>
      </c>
      <c r="Y60" s="100">
        <f t="shared" si="14"/>
        <v>9</v>
      </c>
    </row>
    <row r="61" spans="1:25">
      <c r="A61" s="13">
        <v>1987</v>
      </c>
      <c r="B61" s="13">
        <v>9</v>
      </c>
      <c r="C61" s="200">
        <f>RESID!J61</f>
        <v>490.5</v>
      </c>
      <c r="D61" s="200">
        <f>RESID!K61</f>
        <v>473.7</v>
      </c>
      <c r="E61" s="13">
        <f t="shared" si="5"/>
        <v>16.800000000000011</v>
      </c>
      <c r="F61" s="100">
        <f t="shared" si="6"/>
        <v>0</v>
      </c>
      <c r="G61" s="200">
        <f>RESID!M61</f>
        <v>0</v>
      </c>
      <c r="H61" s="200">
        <f>RESID!N61</f>
        <v>0</v>
      </c>
      <c r="I61" s="200">
        <f t="shared" si="7"/>
        <v>0</v>
      </c>
      <c r="J61" s="100">
        <f t="shared" si="8"/>
        <v>0</v>
      </c>
      <c r="K61" s="171">
        <f t="shared" si="9"/>
        <v>16.800000000000011</v>
      </c>
      <c r="L61" s="100">
        <f t="shared" si="10"/>
        <v>17</v>
      </c>
      <c r="N61" s="447">
        <v>33848</v>
      </c>
      <c r="O61" s="13">
        <f t="shared" si="16"/>
        <v>9</v>
      </c>
      <c r="P61" s="76">
        <f>SUM(RESID!J110:J121)</f>
        <v>2820.4000000000005</v>
      </c>
      <c r="Q61" s="446">
        <f>SUM(RESID!K110:K121)</f>
        <v>2990.7999999999997</v>
      </c>
      <c r="R61" s="4">
        <f t="shared" si="2"/>
        <v>-170.39999999999918</v>
      </c>
      <c r="S61" s="100">
        <f t="shared" si="12"/>
        <v>8</v>
      </c>
      <c r="T61" s="76">
        <f>SUM(RESID!M110:M121)</f>
        <v>534.40000000000009</v>
      </c>
      <c r="U61" s="446">
        <f>SUM(RESID!N110:N121)</f>
        <v>500.5</v>
      </c>
      <c r="V61" s="4">
        <f t="shared" si="3"/>
        <v>33.900000000000091</v>
      </c>
      <c r="W61" s="100">
        <f t="shared" si="13"/>
        <v>27</v>
      </c>
      <c r="X61" s="6">
        <f t="shared" si="4"/>
        <v>-136.49999999999909</v>
      </c>
      <c r="Y61" s="100">
        <f t="shared" si="14"/>
        <v>10</v>
      </c>
    </row>
    <row r="62" spans="1:25">
      <c r="A62" s="13">
        <v>1987</v>
      </c>
      <c r="B62" s="13">
        <v>10</v>
      </c>
      <c r="C62" s="200">
        <f>RESID!J62</f>
        <v>340</v>
      </c>
      <c r="D62" s="200">
        <f>RESID!K62</f>
        <v>373.2</v>
      </c>
      <c r="E62" s="13">
        <f t="shared" si="5"/>
        <v>-33.199999999999989</v>
      </c>
      <c r="F62" s="100">
        <f t="shared" si="6"/>
        <v>1</v>
      </c>
      <c r="G62" s="200">
        <f>RESID!M62</f>
        <v>5.5</v>
      </c>
      <c r="H62" s="200">
        <f>RESID!N62</f>
        <v>1.3</v>
      </c>
      <c r="I62" s="200">
        <f t="shared" si="7"/>
        <v>4.2</v>
      </c>
      <c r="J62" s="100">
        <f t="shared" si="8"/>
        <v>0</v>
      </c>
      <c r="K62" s="171">
        <f t="shared" si="9"/>
        <v>-28.999999999999989</v>
      </c>
      <c r="L62" s="100">
        <f t="shared" si="10"/>
        <v>18</v>
      </c>
      <c r="N62" s="447">
        <v>33878</v>
      </c>
      <c r="O62" s="13">
        <f t="shared" si="16"/>
        <v>10</v>
      </c>
      <c r="P62" s="76">
        <f>SUM(RESID!J111:J122)</f>
        <v>2805.3</v>
      </c>
      <c r="Q62" s="446">
        <f>SUM(RESID!K111:K122)</f>
        <v>2990.7999999999997</v>
      </c>
      <c r="R62" s="4">
        <f t="shared" si="2"/>
        <v>-185.49999999999955</v>
      </c>
      <c r="S62" s="100">
        <f t="shared" si="12"/>
        <v>9</v>
      </c>
      <c r="T62" s="76">
        <f>SUM(RESID!M111:M122)</f>
        <v>533.9</v>
      </c>
      <c r="U62" s="446">
        <f>SUM(RESID!N111:N122)</f>
        <v>500.5</v>
      </c>
      <c r="V62" s="4">
        <f t="shared" si="3"/>
        <v>33.399999999999977</v>
      </c>
      <c r="W62" s="100">
        <f t="shared" si="13"/>
        <v>27</v>
      </c>
      <c r="X62" s="6">
        <f t="shared" si="4"/>
        <v>-152.09999999999957</v>
      </c>
      <c r="Y62" s="100">
        <f t="shared" si="14"/>
        <v>11</v>
      </c>
    </row>
    <row r="63" spans="1:25">
      <c r="A63" s="13">
        <v>1987</v>
      </c>
      <c r="B63" s="13">
        <v>11</v>
      </c>
      <c r="C63" s="200">
        <f>RESID!J63</f>
        <v>150.19999999999999</v>
      </c>
      <c r="D63" s="200">
        <f>RESID!K63</f>
        <v>204.3</v>
      </c>
      <c r="E63" s="13">
        <f t="shared" si="5"/>
        <v>-54.100000000000023</v>
      </c>
      <c r="F63" s="100">
        <f t="shared" si="6"/>
        <v>1</v>
      </c>
      <c r="G63" s="200">
        <f>RESID!M63</f>
        <v>25.5</v>
      </c>
      <c r="H63" s="200">
        <f>RESID!N63</f>
        <v>24.1</v>
      </c>
      <c r="I63" s="200">
        <f t="shared" si="7"/>
        <v>1.3999999999999986</v>
      </c>
      <c r="J63" s="100">
        <f t="shared" si="8"/>
        <v>0</v>
      </c>
      <c r="K63" s="171">
        <f t="shared" si="9"/>
        <v>-52.700000000000024</v>
      </c>
      <c r="L63" s="100">
        <f t="shared" si="10"/>
        <v>19</v>
      </c>
      <c r="N63" s="447">
        <v>33909</v>
      </c>
      <c r="O63" s="13">
        <f t="shared" si="16"/>
        <v>11</v>
      </c>
      <c r="P63" s="76">
        <f>SUM(RESID!J112:J123)</f>
        <v>2798.4</v>
      </c>
      <c r="Q63" s="446">
        <f>SUM(RESID!K112:K123)</f>
        <v>2990.7999999999997</v>
      </c>
      <c r="R63" s="4">
        <f t="shared" si="2"/>
        <v>-192.39999999999964</v>
      </c>
      <c r="S63" s="100">
        <f t="shared" si="12"/>
        <v>10</v>
      </c>
      <c r="T63" s="76">
        <f>SUM(RESID!M112:M123)</f>
        <v>511.99999999999994</v>
      </c>
      <c r="U63" s="446">
        <f>SUM(RESID!N112:N123)</f>
        <v>500.5</v>
      </c>
      <c r="V63" s="4">
        <f t="shared" si="3"/>
        <v>11.499999999999943</v>
      </c>
      <c r="W63" s="100">
        <f t="shared" si="13"/>
        <v>27</v>
      </c>
      <c r="X63" s="6">
        <f t="shared" si="4"/>
        <v>-180.89999999999969</v>
      </c>
      <c r="Y63" s="100">
        <f t="shared" si="14"/>
        <v>12</v>
      </c>
    </row>
    <row r="64" spans="1:25">
      <c r="A64" s="90">
        <v>1987</v>
      </c>
      <c r="B64" s="90">
        <v>12</v>
      </c>
      <c r="C64" s="200">
        <f>RESID!J64</f>
        <v>85.7</v>
      </c>
      <c r="D64" s="200">
        <f>RESID!K64</f>
        <v>88</v>
      </c>
      <c r="E64" s="13">
        <f t="shared" si="5"/>
        <v>-2.2999999999999972</v>
      </c>
      <c r="F64" s="100">
        <f t="shared" si="6"/>
        <v>1</v>
      </c>
      <c r="G64" s="200">
        <f>RESID!M64</f>
        <v>79.8</v>
      </c>
      <c r="H64" s="200">
        <f>RESID!N64</f>
        <v>83.9</v>
      </c>
      <c r="I64" s="200">
        <f t="shared" si="7"/>
        <v>-4.1000000000000085</v>
      </c>
      <c r="J64" s="100">
        <f t="shared" si="8"/>
        <v>1</v>
      </c>
      <c r="K64" s="171">
        <f t="shared" si="9"/>
        <v>-6.4000000000000057</v>
      </c>
      <c r="L64" s="100">
        <f t="shared" si="10"/>
        <v>20</v>
      </c>
      <c r="N64" s="447">
        <v>33939</v>
      </c>
      <c r="O64" s="13">
        <f t="shared" si="16"/>
        <v>12</v>
      </c>
      <c r="P64" s="76">
        <f>SUM(RESID!J113:J124)</f>
        <v>2804.7</v>
      </c>
      <c r="Q64" s="446">
        <f>SUM(RESID!K113:K124)</f>
        <v>2990.7999999999997</v>
      </c>
      <c r="R64" s="4">
        <f t="shared" si="2"/>
        <v>-186.09999999999991</v>
      </c>
      <c r="S64" s="100">
        <f t="shared" si="12"/>
        <v>11</v>
      </c>
      <c r="T64" s="76">
        <f>SUM(RESID!M113:M124)</f>
        <v>516.9</v>
      </c>
      <c r="U64" s="446">
        <f>SUM(RESID!N113:N124)</f>
        <v>500.5</v>
      </c>
      <c r="V64" s="4">
        <f t="shared" si="3"/>
        <v>16.399999999999977</v>
      </c>
      <c r="W64" s="100">
        <f t="shared" si="13"/>
        <v>27</v>
      </c>
      <c r="X64" s="6">
        <f t="shared" si="4"/>
        <v>-169.69999999999993</v>
      </c>
      <c r="Y64" s="100">
        <f t="shared" si="14"/>
        <v>13</v>
      </c>
    </row>
    <row r="65" spans="1:25">
      <c r="A65" s="13">
        <v>1988</v>
      </c>
      <c r="B65" s="13">
        <v>1</v>
      </c>
      <c r="C65" s="200">
        <f>RESID!J65</f>
        <v>57.5</v>
      </c>
      <c r="D65" s="200">
        <f>RESID!K65</f>
        <v>49.5</v>
      </c>
      <c r="E65" s="13">
        <f t="shared" si="5"/>
        <v>8</v>
      </c>
      <c r="F65" s="100">
        <f t="shared" si="6"/>
        <v>0</v>
      </c>
      <c r="G65" s="200">
        <f>RESID!M65</f>
        <v>132.6</v>
      </c>
      <c r="H65" s="200">
        <f>RESID!N65</f>
        <v>131.6</v>
      </c>
      <c r="I65" s="200">
        <f t="shared" si="7"/>
        <v>1</v>
      </c>
      <c r="J65" s="100">
        <f t="shared" si="8"/>
        <v>0</v>
      </c>
      <c r="K65" s="171">
        <f t="shared" si="9"/>
        <v>9</v>
      </c>
      <c r="L65" s="100">
        <f t="shared" si="10"/>
        <v>20</v>
      </c>
      <c r="N65" s="447">
        <v>33970</v>
      </c>
      <c r="O65" s="13">
        <f t="shared" si="16"/>
        <v>1</v>
      </c>
      <c r="P65" s="76">
        <f>SUM(RESID!J114:J125)</f>
        <v>2847.5</v>
      </c>
      <c r="Q65" s="446">
        <f>SUM(RESID!K114:K125)</f>
        <v>2990.7999999999997</v>
      </c>
      <c r="R65" s="4">
        <f t="shared" ref="R65:R128" si="17">P65-Q65</f>
        <v>-143.29999999999973</v>
      </c>
      <c r="S65" s="100">
        <f t="shared" si="12"/>
        <v>12</v>
      </c>
      <c r="T65" s="76">
        <f>SUM(RESID!M114:M125)</f>
        <v>453.09999999999991</v>
      </c>
      <c r="U65" s="446">
        <f>SUM(RESID!N114:N125)</f>
        <v>500.5</v>
      </c>
      <c r="V65" s="4">
        <f t="shared" ref="V65:V128" si="18">T65-U65</f>
        <v>-47.400000000000091</v>
      </c>
      <c r="W65" s="100">
        <f t="shared" si="13"/>
        <v>28</v>
      </c>
      <c r="X65" s="6">
        <f t="shared" ref="X65:X128" si="19">R65+V65</f>
        <v>-190.69999999999982</v>
      </c>
      <c r="Y65" s="100">
        <f t="shared" si="14"/>
        <v>14</v>
      </c>
    </row>
    <row r="66" spans="1:25">
      <c r="A66" s="13">
        <v>1988</v>
      </c>
      <c r="B66" s="13">
        <v>2</v>
      </c>
      <c r="C66" s="200">
        <f>RESID!J66</f>
        <v>32.4</v>
      </c>
      <c r="D66" s="200">
        <f>RESID!K66</f>
        <v>43.3</v>
      </c>
      <c r="E66" s="13">
        <f t="shared" si="5"/>
        <v>-10.899999999999999</v>
      </c>
      <c r="F66" s="100">
        <f t="shared" si="6"/>
        <v>1</v>
      </c>
      <c r="G66" s="200">
        <f>RESID!M66</f>
        <v>205</v>
      </c>
      <c r="H66" s="200">
        <f>RESID!N66</f>
        <v>127.9</v>
      </c>
      <c r="I66" s="200">
        <f t="shared" si="7"/>
        <v>77.099999999999994</v>
      </c>
      <c r="J66" s="100">
        <f t="shared" si="8"/>
        <v>0</v>
      </c>
      <c r="K66" s="171">
        <f t="shared" si="9"/>
        <v>66.199999999999989</v>
      </c>
      <c r="L66" s="100">
        <f t="shared" si="10"/>
        <v>20</v>
      </c>
      <c r="N66" s="447">
        <v>34001</v>
      </c>
      <c r="O66" s="13">
        <f t="shared" si="16"/>
        <v>2</v>
      </c>
      <c r="P66" s="76">
        <f>SUM(RESID!J115:J126)</f>
        <v>2865.9</v>
      </c>
      <c r="Q66" s="446">
        <f>SUM(RESID!K115:K126)</f>
        <v>2990.8</v>
      </c>
      <c r="R66" s="4">
        <f t="shared" si="17"/>
        <v>-124.90000000000009</v>
      </c>
      <c r="S66" s="100">
        <f t="shared" si="12"/>
        <v>13</v>
      </c>
      <c r="T66" s="76">
        <f>SUM(RESID!M115:M126)</f>
        <v>399.29999999999995</v>
      </c>
      <c r="U66" s="446">
        <f>SUM(RESID!N115:N126)</f>
        <v>500.5</v>
      </c>
      <c r="V66" s="4">
        <f t="shared" si="18"/>
        <v>-101.20000000000005</v>
      </c>
      <c r="W66" s="100">
        <f t="shared" si="13"/>
        <v>29</v>
      </c>
      <c r="X66" s="6">
        <f t="shared" si="19"/>
        <v>-226.10000000000014</v>
      </c>
      <c r="Y66" s="100">
        <f t="shared" si="14"/>
        <v>15</v>
      </c>
    </row>
    <row r="67" spans="1:25">
      <c r="A67" s="13">
        <v>1988</v>
      </c>
      <c r="B67" s="13">
        <v>3</v>
      </c>
      <c r="C67" s="200">
        <f>RESID!J67</f>
        <v>41.5</v>
      </c>
      <c r="D67" s="200">
        <f>RESID!K67</f>
        <v>77.2</v>
      </c>
      <c r="E67" s="13">
        <f t="shared" si="5"/>
        <v>-35.700000000000003</v>
      </c>
      <c r="F67" s="100">
        <f t="shared" si="6"/>
        <v>1</v>
      </c>
      <c r="G67" s="200">
        <f>RESID!M67</f>
        <v>143</v>
      </c>
      <c r="H67" s="200">
        <f>RESID!N67</f>
        <v>82.3</v>
      </c>
      <c r="I67" s="200">
        <f t="shared" si="7"/>
        <v>60.7</v>
      </c>
      <c r="J67" s="100">
        <f t="shared" si="8"/>
        <v>0</v>
      </c>
      <c r="K67" s="171">
        <f t="shared" si="9"/>
        <v>25</v>
      </c>
      <c r="L67" s="100">
        <f t="shared" si="10"/>
        <v>20</v>
      </c>
      <c r="N67" s="447">
        <v>34029</v>
      </c>
      <c r="O67" s="13">
        <f t="shared" si="16"/>
        <v>3</v>
      </c>
      <c r="P67" s="76">
        <f>SUM(RESID!J116:J127)</f>
        <v>2813.6000000000004</v>
      </c>
      <c r="Q67" s="446">
        <f>SUM(RESID!K116:K127)</f>
        <v>2990.7999999999997</v>
      </c>
      <c r="R67" s="4">
        <f t="shared" si="17"/>
        <v>-177.19999999999936</v>
      </c>
      <c r="S67" s="100">
        <f t="shared" si="12"/>
        <v>14</v>
      </c>
      <c r="T67" s="76">
        <f>SUM(RESID!M116:M127)</f>
        <v>460.1</v>
      </c>
      <c r="U67" s="446">
        <f>SUM(RESID!N116:N127)</f>
        <v>500.49999999999994</v>
      </c>
      <c r="V67" s="4">
        <f t="shared" si="18"/>
        <v>-40.39999999999992</v>
      </c>
      <c r="W67" s="100">
        <f t="shared" si="13"/>
        <v>30</v>
      </c>
      <c r="X67" s="6">
        <f t="shared" si="19"/>
        <v>-217.59999999999928</v>
      </c>
      <c r="Y67" s="100">
        <f t="shared" si="14"/>
        <v>16</v>
      </c>
    </row>
    <row r="68" spans="1:25">
      <c r="A68" s="13">
        <v>1988</v>
      </c>
      <c r="B68" s="13">
        <v>4</v>
      </c>
      <c r="C68" s="200">
        <f>RESID!J68</f>
        <v>123.8</v>
      </c>
      <c r="D68" s="200">
        <f>RESID!K68</f>
        <v>138.1</v>
      </c>
      <c r="E68" s="13">
        <f t="shared" si="5"/>
        <v>-14.299999999999997</v>
      </c>
      <c r="F68" s="100">
        <f t="shared" si="6"/>
        <v>1</v>
      </c>
      <c r="G68" s="200">
        <f>RESID!M68</f>
        <v>63.9</v>
      </c>
      <c r="H68" s="200">
        <f>RESID!N68</f>
        <v>37.299999999999997</v>
      </c>
      <c r="I68" s="200">
        <f t="shared" si="7"/>
        <v>26.6</v>
      </c>
      <c r="J68" s="100">
        <f t="shared" si="8"/>
        <v>0</v>
      </c>
      <c r="K68" s="171">
        <f t="shared" si="9"/>
        <v>12.300000000000004</v>
      </c>
      <c r="L68" s="100">
        <f t="shared" si="10"/>
        <v>20</v>
      </c>
      <c r="N68" s="447">
        <v>34060</v>
      </c>
      <c r="O68" s="13">
        <f t="shared" si="16"/>
        <v>4</v>
      </c>
      <c r="P68" s="76">
        <f>SUM(RESID!J117:J128)</f>
        <v>2814.3</v>
      </c>
      <c r="Q68" s="446">
        <f>SUM(RESID!K117:K128)</f>
        <v>2990.8</v>
      </c>
      <c r="R68" s="4">
        <f t="shared" si="17"/>
        <v>-176.5</v>
      </c>
      <c r="S68" s="100">
        <f t="shared" si="12"/>
        <v>15</v>
      </c>
      <c r="T68" s="76">
        <f>SUM(RESID!M117:M128)</f>
        <v>460.7</v>
      </c>
      <c r="U68" s="446">
        <f>SUM(RESID!N117:N128)</f>
        <v>500.5</v>
      </c>
      <c r="V68" s="4">
        <f t="shared" si="18"/>
        <v>-39.800000000000011</v>
      </c>
      <c r="W68" s="100">
        <f t="shared" si="13"/>
        <v>31</v>
      </c>
      <c r="X68" s="6">
        <f t="shared" si="19"/>
        <v>-216.3</v>
      </c>
      <c r="Y68" s="100">
        <f t="shared" si="14"/>
        <v>17</v>
      </c>
    </row>
    <row r="69" spans="1:25">
      <c r="A69" s="13">
        <v>1988</v>
      </c>
      <c r="B69" s="13">
        <v>5</v>
      </c>
      <c r="C69" s="200">
        <f>RESID!J69</f>
        <v>192.9</v>
      </c>
      <c r="D69" s="200">
        <f>RESID!K69</f>
        <v>224.4</v>
      </c>
      <c r="E69" s="13">
        <f t="shared" si="5"/>
        <v>-31.5</v>
      </c>
      <c r="F69" s="100">
        <f t="shared" si="6"/>
        <v>1</v>
      </c>
      <c r="G69" s="200">
        <f>RESID!M69</f>
        <v>15.9</v>
      </c>
      <c r="H69" s="200">
        <f>RESID!N69</f>
        <v>11.2</v>
      </c>
      <c r="I69" s="200">
        <f t="shared" si="7"/>
        <v>4.7000000000000011</v>
      </c>
      <c r="J69" s="100">
        <f t="shared" si="8"/>
        <v>0</v>
      </c>
      <c r="K69" s="171">
        <f t="shared" si="9"/>
        <v>-26.799999999999997</v>
      </c>
      <c r="L69" s="100">
        <f t="shared" si="10"/>
        <v>21</v>
      </c>
      <c r="N69" s="447">
        <v>34090</v>
      </c>
      <c r="O69" s="13">
        <f t="shared" si="16"/>
        <v>5</v>
      </c>
      <c r="P69" s="76">
        <f>SUM(RESID!J118:J129)</f>
        <v>2805.7999999999997</v>
      </c>
      <c r="Q69" s="446">
        <f>SUM(RESID!K118:K129)</f>
        <v>2990.8</v>
      </c>
      <c r="R69" s="4">
        <f t="shared" si="17"/>
        <v>-185.00000000000045</v>
      </c>
      <c r="S69" s="100">
        <f t="shared" si="12"/>
        <v>16</v>
      </c>
      <c r="T69" s="76">
        <f>SUM(RESID!M118:M129)</f>
        <v>459.59999999999997</v>
      </c>
      <c r="U69" s="446">
        <f>SUM(RESID!N118:N129)</f>
        <v>500.50000000000006</v>
      </c>
      <c r="V69" s="4">
        <f t="shared" si="18"/>
        <v>-40.900000000000091</v>
      </c>
      <c r="W69" s="100">
        <f t="shared" si="13"/>
        <v>32</v>
      </c>
      <c r="X69" s="6">
        <f t="shared" si="19"/>
        <v>-225.90000000000055</v>
      </c>
      <c r="Y69" s="100">
        <f t="shared" si="14"/>
        <v>18</v>
      </c>
    </row>
    <row r="70" spans="1:25">
      <c r="A70" s="13">
        <v>1988</v>
      </c>
      <c r="B70" s="13">
        <v>6</v>
      </c>
      <c r="C70" s="200">
        <f>RESID!J70</f>
        <v>322.39999999999998</v>
      </c>
      <c r="D70" s="200">
        <f>RESID!K70</f>
        <v>382.8</v>
      </c>
      <c r="E70" s="13">
        <f t="shared" si="5"/>
        <v>-60.400000000000034</v>
      </c>
      <c r="F70" s="100">
        <f t="shared" si="6"/>
        <v>1</v>
      </c>
      <c r="G70" s="200">
        <f>RESID!M70</f>
        <v>2.5</v>
      </c>
      <c r="H70" s="200">
        <f>RESID!N70</f>
        <v>0.9</v>
      </c>
      <c r="I70" s="200">
        <f t="shared" si="7"/>
        <v>1.6</v>
      </c>
      <c r="J70" s="100">
        <f t="shared" si="8"/>
        <v>0</v>
      </c>
      <c r="K70" s="171">
        <f t="shared" si="9"/>
        <v>-58.800000000000033</v>
      </c>
      <c r="L70" s="100">
        <f t="shared" si="10"/>
        <v>22</v>
      </c>
      <c r="N70" s="447">
        <v>34121</v>
      </c>
      <c r="O70" s="13">
        <f t="shared" si="16"/>
        <v>6</v>
      </c>
      <c r="P70" s="76">
        <f>SUM(RESID!J119:J130)</f>
        <v>2807.1000000000004</v>
      </c>
      <c r="Q70" s="446">
        <f>SUM(RESID!K119:K130)</f>
        <v>2990.8</v>
      </c>
      <c r="R70" s="4">
        <f t="shared" si="17"/>
        <v>-183.69999999999982</v>
      </c>
      <c r="S70" s="100">
        <f t="shared" si="12"/>
        <v>17</v>
      </c>
      <c r="T70" s="76">
        <f>SUM(RESID!M119:M130)</f>
        <v>456.90000000000003</v>
      </c>
      <c r="U70" s="446">
        <f>SUM(RESID!N119:N130)</f>
        <v>500.5</v>
      </c>
      <c r="V70" s="4">
        <f t="shared" si="18"/>
        <v>-43.599999999999966</v>
      </c>
      <c r="W70" s="100">
        <f t="shared" si="13"/>
        <v>33</v>
      </c>
      <c r="X70" s="6">
        <f t="shared" si="19"/>
        <v>-227.29999999999978</v>
      </c>
      <c r="Y70" s="100">
        <f t="shared" si="14"/>
        <v>19</v>
      </c>
    </row>
    <row r="71" spans="1:25">
      <c r="A71" s="13">
        <v>1988</v>
      </c>
      <c r="B71" s="13">
        <v>7</v>
      </c>
      <c r="C71" s="200">
        <f>RESID!J71</f>
        <v>438</v>
      </c>
      <c r="D71" s="200">
        <f>RESID!K71</f>
        <v>454.9</v>
      </c>
      <c r="E71" s="13">
        <f t="shared" si="5"/>
        <v>-16.899999999999977</v>
      </c>
      <c r="F71" s="100">
        <f t="shared" si="6"/>
        <v>1</v>
      </c>
      <c r="G71" s="200">
        <f>RESID!M71</f>
        <v>0.1</v>
      </c>
      <c r="H71" s="200">
        <f>RESID!N71</f>
        <v>0</v>
      </c>
      <c r="I71" s="200">
        <f t="shared" si="7"/>
        <v>0.1</v>
      </c>
      <c r="J71" s="100">
        <f t="shared" si="8"/>
        <v>0</v>
      </c>
      <c r="K71" s="171">
        <f t="shared" si="9"/>
        <v>-16.799999999999976</v>
      </c>
      <c r="L71" s="100">
        <f t="shared" si="10"/>
        <v>23</v>
      </c>
      <c r="N71" s="447">
        <v>34151</v>
      </c>
      <c r="O71" s="13">
        <f t="shared" si="16"/>
        <v>7</v>
      </c>
      <c r="P71" s="76">
        <f>SUM(RESID!J120:J131)</f>
        <v>2796.4</v>
      </c>
      <c r="Q71" s="446">
        <f>SUM(RESID!K120:K131)</f>
        <v>2990.8</v>
      </c>
      <c r="R71" s="4">
        <f t="shared" si="17"/>
        <v>-194.40000000000009</v>
      </c>
      <c r="S71" s="100">
        <f t="shared" si="12"/>
        <v>18</v>
      </c>
      <c r="T71" s="76">
        <f>SUM(RESID!M120:M131)</f>
        <v>456.90000000000003</v>
      </c>
      <c r="U71" s="446">
        <f>SUM(RESID!N120:N131)</f>
        <v>500.5</v>
      </c>
      <c r="V71" s="4">
        <f t="shared" si="18"/>
        <v>-43.599999999999966</v>
      </c>
      <c r="W71" s="100">
        <f t="shared" si="13"/>
        <v>34</v>
      </c>
      <c r="X71" s="6">
        <f t="shared" si="19"/>
        <v>-238.00000000000006</v>
      </c>
      <c r="Y71" s="100">
        <f t="shared" si="14"/>
        <v>20</v>
      </c>
    </row>
    <row r="72" spans="1:25">
      <c r="A72" s="13">
        <v>1988</v>
      </c>
      <c r="B72" s="13">
        <v>8</v>
      </c>
      <c r="C72" s="200">
        <f>RESID!J72</f>
        <v>450.8</v>
      </c>
      <c r="D72" s="200">
        <f>RESID!K72</f>
        <v>481.4</v>
      </c>
      <c r="E72" s="13">
        <f t="shared" si="5"/>
        <v>-30.599999999999966</v>
      </c>
      <c r="F72" s="100">
        <f t="shared" si="6"/>
        <v>1</v>
      </c>
      <c r="G72" s="200">
        <f>RESID!M72</f>
        <v>0</v>
      </c>
      <c r="H72" s="200">
        <f>RESID!N72</f>
        <v>0</v>
      </c>
      <c r="I72" s="200">
        <f t="shared" si="7"/>
        <v>0</v>
      </c>
      <c r="J72" s="100">
        <f t="shared" si="8"/>
        <v>0</v>
      </c>
      <c r="K72" s="171">
        <f t="shared" si="9"/>
        <v>-30.599999999999966</v>
      </c>
      <c r="L72" s="100">
        <f t="shared" si="10"/>
        <v>24</v>
      </c>
      <c r="N72" s="447">
        <v>34182</v>
      </c>
      <c r="O72" s="13">
        <f t="shared" si="16"/>
        <v>8</v>
      </c>
      <c r="P72" s="76">
        <f>SUM(RESID!J121:J132)</f>
        <v>2831.5</v>
      </c>
      <c r="Q72" s="446">
        <f>SUM(RESID!K121:K132)</f>
        <v>2990.8</v>
      </c>
      <c r="R72" s="4">
        <f t="shared" si="17"/>
        <v>-159.30000000000018</v>
      </c>
      <c r="S72" s="100">
        <f t="shared" si="12"/>
        <v>19</v>
      </c>
      <c r="T72" s="76">
        <f>SUM(RESID!M121:M132)</f>
        <v>456.90000000000003</v>
      </c>
      <c r="U72" s="446">
        <f>SUM(RESID!N121:N132)</f>
        <v>500.5</v>
      </c>
      <c r="V72" s="4">
        <f t="shared" si="18"/>
        <v>-43.599999999999966</v>
      </c>
      <c r="W72" s="100">
        <f t="shared" si="13"/>
        <v>35</v>
      </c>
      <c r="X72" s="6">
        <f t="shared" si="19"/>
        <v>-202.90000000000015</v>
      </c>
      <c r="Y72" s="100">
        <f t="shared" si="14"/>
        <v>21</v>
      </c>
    </row>
    <row r="73" spans="1:25">
      <c r="A73" s="13">
        <v>1988</v>
      </c>
      <c r="B73" s="13">
        <v>9</v>
      </c>
      <c r="C73" s="200">
        <f>RESID!J73</f>
        <v>498.6</v>
      </c>
      <c r="D73" s="200">
        <f>RESID!K73</f>
        <v>473.7</v>
      </c>
      <c r="E73" s="13">
        <f t="shared" si="5"/>
        <v>24.900000000000034</v>
      </c>
      <c r="F73" s="100">
        <f t="shared" si="6"/>
        <v>0</v>
      </c>
      <c r="G73" s="200">
        <f>RESID!M73</f>
        <v>0</v>
      </c>
      <c r="H73" s="200">
        <f>RESID!N73</f>
        <v>0</v>
      </c>
      <c r="I73" s="200">
        <f t="shared" si="7"/>
        <v>0</v>
      </c>
      <c r="J73" s="100">
        <f t="shared" si="8"/>
        <v>0</v>
      </c>
      <c r="K73" s="171">
        <f t="shared" si="9"/>
        <v>24.900000000000034</v>
      </c>
      <c r="L73" s="100">
        <f t="shared" si="10"/>
        <v>24</v>
      </c>
      <c r="N73" s="447">
        <v>34213</v>
      </c>
      <c r="O73" s="13">
        <f t="shared" si="16"/>
        <v>9</v>
      </c>
      <c r="P73" s="76">
        <f>SUM(RESID!J122:J133)</f>
        <v>2848.7999999999997</v>
      </c>
      <c r="Q73" s="446">
        <f>SUM(RESID!K122:K133)</f>
        <v>2990.7999999999997</v>
      </c>
      <c r="R73" s="4">
        <f t="shared" si="17"/>
        <v>-142</v>
      </c>
      <c r="S73" s="100">
        <f t="shared" si="12"/>
        <v>20</v>
      </c>
      <c r="T73" s="76">
        <f>SUM(RESID!M122:M133)</f>
        <v>456.90000000000003</v>
      </c>
      <c r="U73" s="446">
        <f>SUM(RESID!N122:N133)</f>
        <v>500.5</v>
      </c>
      <c r="V73" s="4">
        <f t="shared" si="18"/>
        <v>-43.599999999999966</v>
      </c>
      <c r="W73" s="100">
        <f t="shared" si="13"/>
        <v>36</v>
      </c>
      <c r="X73" s="6">
        <f t="shared" si="19"/>
        <v>-185.59999999999997</v>
      </c>
      <c r="Y73" s="100">
        <f t="shared" si="14"/>
        <v>22</v>
      </c>
    </row>
    <row r="74" spans="1:25">
      <c r="A74" s="13">
        <v>1988</v>
      </c>
      <c r="B74" s="13">
        <v>10</v>
      </c>
      <c r="C74" s="200">
        <f>RESID!J74</f>
        <v>363.6</v>
      </c>
      <c r="D74" s="200">
        <f>RESID!K74</f>
        <v>373.2</v>
      </c>
      <c r="E74" s="13">
        <f t="shared" si="5"/>
        <v>-9.5999999999999659</v>
      </c>
      <c r="F74" s="100">
        <f t="shared" si="6"/>
        <v>1</v>
      </c>
      <c r="G74" s="200">
        <f>RESID!M74</f>
        <v>3.9</v>
      </c>
      <c r="H74" s="200">
        <f>RESID!N74</f>
        <v>1.3</v>
      </c>
      <c r="I74" s="200">
        <f t="shared" si="7"/>
        <v>2.5999999999999996</v>
      </c>
      <c r="J74" s="100">
        <f t="shared" si="8"/>
        <v>0</v>
      </c>
      <c r="K74" s="171">
        <f t="shared" si="9"/>
        <v>-6.9999999999999662</v>
      </c>
      <c r="L74" s="100">
        <f t="shared" si="10"/>
        <v>25</v>
      </c>
      <c r="N74" s="447">
        <v>34243</v>
      </c>
      <c r="O74" s="13">
        <f t="shared" si="16"/>
        <v>10</v>
      </c>
      <c r="P74" s="76">
        <f>SUM(RESID!J123:J134)</f>
        <v>2872</v>
      </c>
      <c r="Q74" s="446">
        <f>SUM(RESID!K123:K134)</f>
        <v>2990.7999999999997</v>
      </c>
      <c r="R74" s="4">
        <f t="shared" si="17"/>
        <v>-118.79999999999973</v>
      </c>
      <c r="S74" s="100">
        <f t="shared" si="12"/>
        <v>21</v>
      </c>
      <c r="T74" s="76">
        <f>SUM(RESID!M123:M134)</f>
        <v>456.7</v>
      </c>
      <c r="U74" s="446">
        <f>SUM(RESID!N123:N134)</f>
        <v>500.5</v>
      </c>
      <c r="V74" s="4">
        <f t="shared" si="18"/>
        <v>-43.800000000000011</v>
      </c>
      <c r="W74" s="100">
        <f t="shared" si="13"/>
        <v>37</v>
      </c>
      <c r="X74" s="6">
        <f t="shared" si="19"/>
        <v>-162.59999999999974</v>
      </c>
      <c r="Y74" s="100">
        <f t="shared" si="14"/>
        <v>23</v>
      </c>
    </row>
    <row r="75" spans="1:25">
      <c r="A75" s="13">
        <v>1988</v>
      </c>
      <c r="B75" s="13">
        <v>11</v>
      </c>
      <c r="C75" s="200">
        <f>RESID!J75</f>
        <v>178.1</v>
      </c>
      <c r="D75" s="200">
        <f>RESID!K75</f>
        <v>204.3</v>
      </c>
      <c r="E75" s="13">
        <f t="shared" si="5"/>
        <v>-26.200000000000017</v>
      </c>
      <c r="F75" s="100">
        <f t="shared" si="6"/>
        <v>1</v>
      </c>
      <c r="G75" s="200">
        <f>RESID!M75</f>
        <v>18.100000000000001</v>
      </c>
      <c r="H75" s="200">
        <f>RESID!N75</f>
        <v>24.1</v>
      </c>
      <c r="I75" s="200">
        <f t="shared" si="7"/>
        <v>-6</v>
      </c>
      <c r="J75" s="100">
        <f t="shared" si="8"/>
        <v>1</v>
      </c>
      <c r="K75" s="171">
        <f t="shared" si="9"/>
        <v>-32.200000000000017</v>
      </c>
      <c r="L75" s="100">
        <f t="shared" si="10"/>
        <v>26</v>
      </c>
      <c r="N75" s="447">
        <v>34274</v>
      </c>
      <c r="O75" s="13">
        <f t="shared" si="16"/>
        <v>11</v>
      </c>
      <c r="P75" s="76">
        <f>SUM(RESID!J124:J135)</f>
        <v>2897.1</v>
      </c>
      <c r="Q75" s="446">
        <f>SUM(RESID!K124:K135)</f>
        <v>2990.7999999999997</v>
      </c>
      <c r="R75" s="4">
        <f t="shared" si="17"/>
        <v>-93.699999999999818</v>
      </c>
      <c r="S75" s="100">
        <f t="shared" si="12"/>
        <v>22</v>
      </c>
      <c r="T75" s="76">
        <f>SUM(RESID!M124:M135)</f>
        <v>472</v>
      </c>
      <c r="U75" s="446">
        <f>SUM(RESID!N124:N135)</f>
        <v>500.5</v>
      </c>
      <c r="V75" s="4">
        <f t="shared" si="18"/>
        <v>-28.5</v>
      </c>
      <c r="W75" s="100">
        <f t="shared" si="13"/>
        <v>38</v>
      </c>
      <c r="X75" s="6">
        <f t="shared" si="19"/>
        <v>-122.19999999999982</v>
      </c>
      <c r="Y75" s="100">
        <f t="shared" si="14"/>
        <v>24</v>
      </c>
    </row>
    <row r="76" spans="1:25">
      <c r="A76" s="90">
        <v>1988</v>
      </c>
      <c r="B76" s="90">
        <v>12</v>
      </c>
      <c r="C76" s="200">
        <f>RESID!J76</f>
        <v>113.9</v>
      </c>
      <c r="D76" s="200">
        <f>RESID!K76</f>
        <v>88</v>
      </c>
      <c r="E76" s="13">
        <f t="shared" si="5"/>
        <v>25.900000000000006</v>
      </c>
      <c r="F76" s="100">
        <f t="shared" si="6"/>
        <v>0</v>
      </c>
      <c r="G76" s="200">
        <f>RESID!M76</f>
        <v>79.400000000000006</v>
      </c>
      <c r="H76" s="200">
        <f>RESID!N76</f>
        <v>83.9</v>
      </c>
      <c r="I76" s="200">
        <f t="shared" si="7"/>
        <v>-4.5</v>
      </c>
      <c r="J76" s="100">
        <f t="shared" si="8"/>
        <v>1</v>
      </c>
      <c r="K76" s="171">
        <f t="shared" si="9"/>
        <v>21.400000000000006</v>
      </c>
      <c r="L76" s="100">
        <f t="shared" si="10"/>
        <v>26</v>
      </c>
      <c r="N76" s="447">
        <v>34304</v>
      </c>
      <c r="O76" s="13">
        <f t="shared" si="16"/>
        <v>12</v>
      </c>
      <c r="P76" s="76">
        <f>SUM(RESID!J125:J136)</f>
        <v>2870.9</v>
      </c>
      <c r="Q76" s="446">
        <f>SUM(RESID!K125:K136)</f>
        <v>2990.7999999999997</v>
      </c>
      <c r="R76" s="4">
        <f t="shared" si="17"/>
        <v>-119.89999999999964</v>
      </c>
      <c r="S76" s="100">
        <f t="shared" si="12"/>
        <v>23</v>
      </c>
      <c r="T76" s="76">
        <f>SUM(RESID!M125:M136)</f>
        <v>455.6</v>
      </c>
      <c r="U76" s="446">
        <f>SUM(RESID!N125:N136)</f>
        <v>500.5</v>
      </c>
      <c r="V76" s="4">
        <f t="shared" si="18"/>
        <v>-44.899999999999977</v>
      </c>
      <c r="W76" s="100">
        <f t="shared" si="13"/>
        <v>39</v>
      </c>
      <c r="X76" s="6">
        <f t="shared" si="19"/>
        <v>-164.79999999999961</v>
      </c>
      <c r="Y76" s="100">
        <f t="shared" si="14"/>
        <v>25</v>
      </c>
    </row>
    <row r="77" spans="1:25">
      <c r="A77" s="13">
        <v>1989</v>
      </c>
      <c r="B77" s="13">
        <v>1</v>
      </c>
      <c r="C77" s="200">
        <f>RESID!J77</f>
        <v>88.7</v>
      </c>
      <c r="D77" s="200">
        <f>RESID!K77</f>
        <v>49.5</v>
      </c>
      <c r="E77" s="13">
        <f t="shared" si="5"/>
        <v>39.200000000000003</v>
      </c>
      <c r="F77" s="100">
        <f t="shared" si="6"/>
        <v>0</v>
      </c>
      <c r="G77" s="200">
        <f>RESID!M77</f>
        <v>84.9</v>
      </c>
      <c r="H77" s="200">
        <f>RESID!N77</f>
        <v>131.6</v>
      </c>
      <c r="I77" s="200">
        <f t="shared" si="7"/>
        <v>-46.699999999999989</v>
      </c>
      <c r="J77" s="100">
        <f t="shared" si="8"/>
        <v>1</v>
      </c>
      <c r="K77" s="171">
        <f t="shared" si="9"/>
        <v>-7.4999999999999858</v>
      </c>
      <c r="L77" s="100">
        <f t="shared" si="10"/>
        <v>27</v>
      </c>
      <c r="N77" s="447">
        <v>34335</v>
      </c>
      <c r="O77" s="13">
        <f t="shared" si="16"/>
        <v>1</v>
      </c>
      <c r="P77" s="76">
        <f>SUM(RESID!J126:J137)</f>
        <v>2797.5</v>
      </c>
      <c r="Q77" s="446">
        <f>SUM(RESID!K126:K137)</f>
        <v>2990.7999999999997</v>
      </c>
      <c r="R77" s="4">
        <f t="shared" si="17"/>
        <v>-193.29999999999973</v>
      </c>
      <c r="S77" s="100">
        <f t="shared" si="12"/>
        <v>24</v>
      </c>
      <c r="T77" s="76">
        <f>SUM(RESID!M126:M137)</f>
        <v>598.30000000000007</v>
      </c>
      <c r="U77" s="446">
        <f>SUM(RESID!N126:N137)</f>
        <v>500.5</v>
      </c>
      <c r="V77" s="4">
        <f t="shared" si="18"/>
        <v>97.800000000000068</v>
      </c>
      <c r="W77" s="100">
        <f t="shared" si="13"/>
        <v>39</v>
      </c>
      <c r="X77" s="6">
        <f t="shared" si="19"/>
        <v>-95.499999999999659</v>
      </c>
      <c r="Y77" s="100">
        <f t="shared" si="14"/>
        <v>26</v>
      </c>
    </row>
    <row r="78" spans="1:25">
      <c r="A78" s="13">
        <v>1989</v>
      </c>
      <c r="B78" s="13">
        <v>2</v>
      </c>
      <c r="C78" s="200">
        <f>RESID!J78</f>
        <v>100.6</v>
      </c>
      <c r="D78" s="200">
        <f>RESID!K78</f>
        <v>43.3</v>
      </c>
      <c r="E78" s="13">
        <f t="shared" si="5"/>
        <v>57.3</v>
      </c>
      <c r="F78" s="100">
        <f t="shared" si="6"/>
        <v>0</v>
      </c>
      <c r="G78" s="200">
        <f>RESID!M78</f>
        <v>52.8</v>
      </c>
      <c r="H78" s="200">
        <f>RESID!N78</f>
        <v>127.9</v>
      </c>
      <c r="I78" s="200">
        <f t="shared" si="7"/>
        <v>-75.100000000000009</v>
      </c>
      <c r="J78" s="100">
        <f t="shared" si="8"/>
        <v>1</v>
      </c>
      <c r="K78" s="171">
        <f t="shared" si="9"/>
        <v>-17.800000000000011</v>
      </c>
      <c r="L78" s="100">
        <f t="shared" si="10"/>
        <v>28</v>
      </c>
      <c r="N78" s="447">
        <v>34366</v>
      </c>
      <c r="O78" s="13">
        <f t="shared" si="16"/>
        <v>2</v>
      </c>
      <c r="P78" s="76">
        <f>SUM(RESID!J127:J138)</f>
        <v>2801.5</v>
      </c>
      <c r="Q78" s="446">
        <f>SUM(RESID!K127:K138)</f>
        <v>2990.8</v>
      </c>
      <c r="R78" s="4">
        <f t="shared" si="17"/>
        <v>-189.30000000000018</v>
      </c>
      <c r="S78" s="100">
        <f t="shared" si="12"/>
        <v>25</v>
      </c>
      <c r="T78" s="76">
        <f>SUM(RESID!M127:M138)</f>
        <v>638</v>
      </c>
      <c r="U78" s="446">
        <f>SUM(RESID!N127:N138)</f>
        <v>500.5</v>
      </c>
      <c r="V78" s="4">
        <f t="shared" si="18"/>
        <v>137.5</v>
      </c>
      <c r="W78" s="100">
        <f t="shared" si="13"/>
        <v>39</v>
      </c>
      <c r="X78" s="6">
        <f t="shared" si="19"/>
        <v>-51.800000000000182</v>
      </c>
      <c r="Y78" s="100">
        <f t="shared" si="14"/>
        <v>27</v>
      </c>
    </row>
    <row r="79" spans="1:25">
      <c r="A79" s="13">
        <v>1989</v>
      </c>
      <c r="B79" s="13">
        <v>3</v>
      </c>
      <c r="C79" s="200">
        <f>RESID!J79</f>
        <v>98</v>
      </c>
      <c r="D79" s="200">
        <f>RESID!K79</f>
        <v>77.2</v>
      </c>
      <c r="E79" s="13">
        <f t="shared" si="5"/>
        <v>20.799999999999997</v>
      </c>
      <c r="F79" s="100">
        <f t="shared" si="6"/>
        <v>0</v>
      </c>
      <c r="G79" s="200">
        <f>RESID!M79</f>
        <v>124.4</v>
      </c>
      <c r="H79" s="200">
        <f>RESID!N79</f>
        <v>82.3</v>
      </c>
      <c r="I79" s="200">
        <f t="shared" si="7"/>
        <v>42.100000000000009</v>
      </c>
      <c r="J79" s="100">
        <f t="shared" si="8"/>
        <v>0</v>
      </c>
      <c r="K79" s="171">
        <f t="shared" si="9"/>
        <v>62.900000000000006</v>
      </c>
      <c r="L79" s="100">
        <f t="shared" si="10"/>
        <v>28</v>
      </c>
      <c r="N79" s="447">
        <v>34394</v>
      </c>
      <c r="O79" s="13">
        <f t="shared" si="16"/>
        <v>3</v>
      </c>
      <c r="P79" s="76">
        <f>SUM(RESID!J128:J139)</f>
        <v>2857.2999999999997</v>
      </c>
      <c r="Q79" s="446">
        <f>SUM(RESID!K128:K139)</f>
        <v>2990.7999999999997</v>
      </c>
      <c r="R79" s="4">
        <f t="shared" si="17"/>
        <v>-133.5</v>
      </c>
      <c r="S79" s="100">
        <f t="shared" si="12"/>
        <v>26</v>
      </c>
      <c r="T79" s="76">
        <f>SUM(RESID!M128:M139)</f>
        <v>570.5</v>
      </c>
      <c r="U79" s="446">
        <f>SUM(RESID!N128:N139)</f>
        <v>500.49999999999994</v>
      </c>
      <c r="V79" s="4">
        <f t="shared" si="18"/>
        <v>70.000000000000057</v>
      </c>
      <c r="W79" s="100">
        <f t="shared" si="13"/>
        <v>39</v>
      </c>
      <c r="X79" s="6">
        <f t="shared" si="19"/>
        <v>-63.499999999999943</v>
      </c>
      <c r="Y79" s="100">
        <f t="shared" si="14"/>
        <v>28</v>
      </c>
    </row>
    <row r="80" spans="1:25">
      <c r="A80" s="13">
        <v>1989</v>
      </c>
      <c r="B80" s="13">
        <v>4</v>
      </c>
      <c r="C80" s="200">
        <f>RESID!J80</f>
        <v>180.9</v>
      </c>
      <c r="D80" s="200">
        <f>RESID!K80</f>
        <v>138.1</v>
      </c>
      <c r="E80" s="13">
        <f t="shared" si="5"/>
        <v>42.800000000000011</v>
      </c>
      <c r="F80" s="100">
        <f t="shared" si="6"/>
        <v>0</v>
      </c>
      <c r="G80" s="200">
        <f>RESID!M80</f>
        <v>35.700000000000003</v>
      </c>
      <c r="H80" s="200">
        <f>RESID!N80</f>
        <v>37.299999999999997</v>
      </c>
      <c r="I80" s="200">
        <f t="shared" si="7"/>
        <v>-1.5999999999999943</v>
      </c>
      <c r="J80" s="100">
        <f t="shared" si="8"/>
        <v>1</v>
      </c>
      <c r="K80" s="171">
        <f t="shared" si="9"/>
        <v>41.200000000000017</v>
      </c>
      <c r="L80" s="100">
        <f t="shared" si="10"/>
        <v>28</v>
      </c>
      <c r="N80" s="447">
        <v>34425</v>
      </c>
      <c r="O80" s="13">
        <f t="shared" si="16"/>
        <v>4</v>
      </c>
      <c r="P80" s="76">
        <f>SUM(RESID!J129:J140)</f>
        <v>2948.6</v>
      </c>
      <c r="Q80" s="446">
        <f>SUM(RESID!K129:K140)</f>
        <v>2990.8</v>
      </c>
      <c r="R80" s="4">
        <f t="shared" si="17"/>
        <v>-42.200000000000273</v>
      </c>
      <c r="S80" s="100">
        <f t="shared" si="12"/>
        <v>27</v>
      </c>
      <c r="T80" s="76">
        <f>SUM(RESID!M129:M140)</f>
        <v>550.80000000000007</v>
      </c>
      <c r="U80" s="446">
        <f>SUM(RESID!N129:N140)</f>
        <v>500.5</v>
      </c>
      <c r="V80" s="4">
        <f t="shared" si="18"/>
        <v>50.300000000000068</v>
      </c>
      <c r="W80" s="100">
        <f t="shared" si="13"/>
        <v>39</v>
      </c>
      <c r="X80" s="6">
        <f t="shared" si="19"/>
        <v>8.0999999999997954</v>
      </c>
      <c r="Y80" s="100">
        <f t="shared" si="14"/>
        <v>28</v>
      </c>
    </row>
    <row r="81" spans="1:25">
      <c r="A81" s="13">
        <v>1989</v>
      </c>
      <c r="B81" s="13">
        <v>5</v>
      </c>
      <c r="C81" s="200">
        <f>RESID!J81</f>
        <v>239.4</v>
      </c>
      <c r="D81" s="200">
        <f>RESID!K81</f>
        <v>224.4</v>
      </c>
      <c r="E81" s="13">
        <f t="shared" si="5"/>
        <v>15</v>
      </c>
      <c r="F81" s="100">
        <f t="shared" si="6"/>
        <v>0</v>
      </c>
      <c r="G81" s="200">
        <f>RESID!M81</f>
        <v>9</v>
      </c>
      <c r="H81" s="200">
        <f>RESID!N81</f>
        <v>11.2</v>
      </c>
      <c r="I81" s="200">
        <f t="shared" si="7"/>
        <v>-2.1999999999999993</v>
      </c>
      <c r="J81" s="100">
        <f t="shared" si="8"/>
        <v>1</v>
      </c>
      <c r="K81" s="171">
        <f t="shared" si="9"/>
        <v>12.8</v>
      </c>
      <c r="L81" s="100">
        <f t="shared" si="10"/>
        <v>28</v>
      </c>
      <c r="N81" s="447">
        <v>34455</v>
      </c>
      <c r="O81" s="13">
        <f t="shared" si="16"/>
        <v>5</v>
      </c>
      <c r="P81" s="76">
        <f>SUM(RESID!J130:J141)</f>
        <v>3072.7</v>
      </c>
      <c r="Q81" s="446">
        <f>SUM(RESID!K130:K141)</f>
        <v>2990.8</v>
      </c>
      <c r="R81" s="4">
        <f t="shared" si="17"/>
        <v>81.899999999999636</v>
      </c>
      <c r="S81" s="100">
        <f t="shared" si="12"/>
        <v>27</v>
      </c>
      <c r="T81" s="76">
        <f>SUM(RESID!M130:M141)</f>
        <v>532</v>
      </c>
      <c r="U81" s="446">
        <f>SUM(RESID!N130:N141)</f>
        <v>500.50000000000006</v>
      </c>
      <c r="V81" s="4">
        <f t="shared" si="18"/>
        <v>31.499999999999943</v>
      </c>
      <c r="W81" s="100">
        <f t="shared" si="13"/>
        <v>39</v>
      </c>
      <c r="X81" s="6">
        <f t="shared" si="19"/>
        <v>113.39999999999958</v>
      </c>
      <c r="Y81" s="100">
        <f t="shared" si="14"/>
        <v>28</v>
      </c>
    </row>
    <row r="82" spans="1:25">
      <c r="A82" s="13">
        <v>1989</v>
      </c>
      <c r="B82" s="13">
        <v>6</v>
      </c>
      <c r="C82" s="200">
        <f>RESID!J82</f>
        <v>416.4</v>
      </c>
      <c r="D82" s="200">
        <f>RESID!K82</f>
        <v>382.8</v>
      </c>
      <c r="E82" s="13">
        <f t="shared" ref="E82:E145" si="20">C82-D82</f>
        <v>33.599999999999966</v>
      </c>
      <c r="F82" s="100">
        <f t="shared" ref="F82:F145" si="21">IF(E82&lt;0,1,0)</f>
        <v>0</v>
      </c>
      <c r="G82" s="200">
        <f>RESID!M82</f>
        <v>1.7</v>
      </c>
      <c r="H82" s="200">
        <f>RESID!N82</f>
        <v>0.9</v>
      </c>
      <c r="I82" s="200">
        <f t="shared" ref="I82:I145" si="22">G82-H82</f>
        <v>0.79999999999999993</v>
      </c>
      <c r="J82" s="100">
        <f t="shared" ref="J82:J145" si="23">IF(I82&lt;0,1,0)</f>
        <v>0</v>
      </c>
      <c r="K82" s="171">
        <f t="shared" ref="K82:K145" si="24">E82+I82</f>
        <v>34.399999999999963</v>
      </c>
      <c r="L82" s="100">
        <f t="shared" ref="L82:L145" si="25">IF(K82&lt;0,1+L81,L81)</f>
        <v>28</v>
      </c>
      <c r="N82" s="447">
        <v>34486</v>
      </c>
      <c r="O82" s="13">
        <f t="shared" si="16"/>
        <v>6</v>
      </c>
      <c r="P82" s="76">
        <f>SUM(RESID!J131:J142)</f>
        <v>3095.7</v>
      </c>
      <c r="Q82" s="446">
        <f>SUM(RESID!K131:K142)</f>
        <v>2990.8</v>
      </c>
      <c r="R82" s="4">
        <f t="shared" si="17"/>
        <v>104.89999999999964</v>
      </c>
      <c r="S82" s="100">
        <f t="shared" si="12"/>
        <v>27</v>
      </c>
      <c r="T82" s="76">
        <f>SUM(RESID!M131:M142)</f>
        <v>532.1</v>
      </c>
      <c r="U82" s="446">
        <f>SUM(RESID!N131:N142)</f>
        <v>500.5</v>
      </c>
      <c r="V82" s="4">
        <f t="shared" si="18"/>
        <v>31.600000000000023</v>
      </c>
      <c r="W82" s="100">
        <f t="shared" si="13"/>
        <v>39</v>
      </c>
      <c r="X82" s="6">
        <f t="shared" si="19"/>
        <v>136.49999999999966</v>
      </c>
      <c r="Y82" s="100">
        <f t="shared" si="14"/>
        <v>28</v>
      </c>
    </row>
    <row r="83" spans="1:25">
      <c r="A83" s="13">
        <v>1989</v>
      </c>
      <c r="B83" s="13">
        <v>7</v>
      </c>
      <c r="C83" s="200">
        <f>RESID!J83</f>
        <v>467.4</v>
      </c>
      <c r="D83" s="200">
        <f>RESID!K83</f>
        <v>454.9</v>
      </c>
      <c r="E83" s="13">
        <f t="shared" si="20"/>
        <v>12.5</v>
      </c>
      <c r="F83" s="100">
        <f t="shared" si="21"/>
        <v>0</v>
      </c>
      <c r="G83" s="200">
        <f>RESID!M83</f>
        <v>0</v>
      </c>
      <c r="H83" s="200">
        <f>RESID!N83</f>
        <v>0</v>
      </c>
      <c r="I83" s="200">
        <f t="shared" si="22"/>
        <v>0</v>
      </c>
      <c r="J83" s="100">
        <f t="shared" si="23"/>
        <v>0</v>
      </c>
      <c r="K83" s="171">
        <f t="shared" si="24"/>
        <v>12.5</v>
      </c>
      <c r="L83" s="100">
        <f t="shared" si="25"/>
        <v>28</v>
      </c>
      <c r="N83" s="447">
        <v>34516</v>
      </c>
      <c r="O83" s="13">
        <f t="shared" si="16"/>
        <v>7</v>
      </c>
      <c r="P83" s="76">
        <f>SUM(RESID!J132:J143)</f>
        <v>3107.4999999999995</v>
      </c>
      <c r="Q83" s="446">
        <f>SUM(RESID!K132:K143)</f>
        <v>2990.8</v>
      </c>
      <c r="R83" s="4">
        <f t="shared" si="17"/>
        <v>116.69999999999936</v>
      </c>
      <c r="S83" s="100">
        <f t="shared" ref="S83:S146" si="26">IF(R83&lt;0,1+S82,S82)</f>
        <v>27</v>
      </c>
      <c r="T83" s="76">
        <f>SUM(RESID!M132:M143)</f>
        <v>532.1</v>
      </c>
      <c r="U83" s="446">
        <f>SUM(RESID!N132:N143)</f>
        <v>500.5</v>
      </c>
      <c r="V83" s="4">
        <f t="shared" si="18"/>
        <v>31.600000000000023</v>
      </c>
      <c r="W83" s="100">
        <f t="shared" si="13"/>
        <v>39</v>
      </c>
      <c r="X83" s="6">
        <f t="shared" si="19"/>
        <v>148.29999999999939</v>
      </c>
      <c r="Y83" s="100">
        <f t="shared" si="14"/>
        <v>28</v>
      </c>
    </row>
    <row r="84" spans="1:25">
      <c r="A84" s="13">
        <v>1989</v>
      </c>
      <c r="B84" s="13">
        <v>8</v>
      </c>
      <c r="C84" s="200">
        <f>RESID!J84</f>
        <v>481.3</v>
      </c>
      <c r="D84" s="200">
        <f>RESID!K84</f>
        <v>481.4</v>
      </c>
      <c r="E84" s="13">
        <f t="shared" si="20"/>
        <v>-9.9999999999965894E-2</v>
      </c>
      <c r="F84" s="100">
        <f t="shared" si="21"/>
        <v>1</v>
      </c>
      <c r="G84" s="200">
        <f>RESID!M84</f>
        <v>0</v>
      </c>
      <c r="H84" s="200">
        <f>RESID!N84</f>
        <v>0</v>
      </c>
      <c r="I84" s="200">
        <f t="shared" si="22"/>
        <v>0</v>
      </c>
      <c r="J84" s="100">
        <f t="shared" si="23"/>
        <v>0</v>
      </c>
      <c r="K84" s="171">
        <f t="shared" si="24"/>
        <v>-9.9999999999965894E-2</v>
      </c>
      <c r="L84" s="100">
        <f t="shared" si="25"/>
        <v>29</v>
      </c>
      <c r="N84" s="447">
        <v>34547</v>
      </c>
      <c r="O84" s="13">
        <f t="shared" si="16"/>
        <v>8</v>
      </c>
      <c r="P84" s="76">
        <f>SUM(RESID!J133:J144)</f>
        <v>3007.8999999999996</v>
      </c>
      <c r="Q84" s="446">
        <f>SUM(RESID!K133:K144)</f>
        <v>2990.8</v>
      </c>
      <c r="R84" s="4">
        <f t="shared" si="17"/>
        <v>17.099999999999454</v>
      </c>
      <c r="S84" s="100">
        <f t="shared" si="26"/>
        <v>27</v>
      </c>
      <c r="T84" s="76">
        <f>SUM(RESID!M133:M144)</f>
        <v>532.1</v>
      </c>
      <c r="U84" s="446">
        <f>SUM(RESID!N133:N144)</f>
        <v>500.5</v>
      </c>
      <c r="V84" s="4">
        <f t="shared" si="18"/>
        <v>31.600000000000023</v>
      </c>
      <c r="W84" s="100">
        <f t="shared" ref="W84:W147" si="27">IF(V84&lt;0,1+W83,W83)</f>
        <v>39</v>
      </c>
      <c r="X84" s="6">
        <f t="shared" si="19"/>
        <v>48.699999999999477</v>
      </c>
      <c r="Y84" s="100">
        <f t="shared" si="14"/>
        <v>28</v>
      </c>
    </row>
    <row r="85" spans="1:25">
      <c r="A85" s="13">
        <v>1989</v>
      </c>
      <c r="B85" s="13">
        <v>9</v>
      </c>
      <c r="C85" s="200">
        <f>RESID!J85</f>
        <v>511.7</v>
      </c>
      <c r="D85" s="200">
        <f>RESID!K85</f>
        <v>473.7</v>
      </c>
      <c r="E85" s="13">
        <f t="shared" si="20"/>
        <v>38</v>
      </c>
      <c r="F85" s="100">
        <f t="shared" si="21"/>
        <v>0</v>
      </c>
      <c r="G85" s="200">
        <f>RESID!M85</f>
        <v>0</v>
      </c>
      <c r="H85" s="200">
        <f>RESID!N85</f>
        <v>0</v>
      </c>
      <c r="I85" s="200">
        <f t="shared" si="22"/>
        <v>0</v>
      </c>
      <c r="J85" s="100">
        <f t="shared" si="23"/>
        <v>0</v>
      </c>
      <c r="K85" s="171">
        <f t="shared" si="24"/>
        <v>38</v>
      </c>
      <c r="L85" s="100">
        <f t="shared" si="25"/>
        <v>29</v>
      </c>
      <c r="N85" s="447">
        <v>34578</v>
      </c>
      <c r="O85" s="13">
        <f t="shared" si="16"/>
        <v>9</v>
      </c>
      <c r="P85" s="76">
        <f>SUM(RESID!J134:J145)</f>
        <v>2976.2000000000003</v>
      </c>
      <c r="Q85" s="446">
        <f>SUM(RESID!K134:K145)</f>
        <v>2990.7999999999997</v>
      </c>
      <c r="R85" s="4">
        <f t="shared" si="17"/>
        <v>-14.599999999999454</v>
      </c>
      <c r="S85" s="100">
        <f t="shared" si="26"/>
        <v>28</v>
      </c>
      <c r="T85" s="76">
        <f>SUM(RESID!M134:M145)</f>
        <v>532.1</v>
      </c>
      <c r="U85" s="446">
        <f>SUM(RESID!N134:N145)</f>
        <v>500.5</v>
      </c>
      <c r="V85" s="4">
        <f t="shared" si="18"/>
        <v>31.600000000000023</v>
      </c>
      <c r="W85" s="100">
        <f t="shared" si="27"/>
        <v>39</v>
      </c>
      <c r="X85" s="6">
        <f t="shared" si="19"/>
        <v>17.000000000000568</v>
      </c>
      <c r="Y85" s="100">
        <f t="shared" si="14"/>
        <v>28</v>
      </c>
    </row>
    <row r="86" spans="1:25">
      <c r="A86" s="13">
        <v>1989</v>
      </c>
      <c r="B86" s="13">
        <v>10</v>
      </c>
      <c r="C86" s="200">
        <f>RESID!J86</f>
        <v>396.4</v>
      </c>
      <c r="D86" s="200">
        <f>RESID!K86</f>
        <v>373.2</v>
      </c>
      <c r="E86" s="13">
        <f t="shared" si="20"/>
        <v>23.199999999999989</v>
      </c>
      <c r="F86" s="100">
        <f t="shared" si="21"/>
        <v>0</v>
      </c>
      <c r="G86" s="200">
        <f>RESID!M86</f>
        <v>3.9</v>
      </c>
      <c r="H86" s="200">
        <f>RESID!N86</f>
        <v>1.3</v>
      </c>
      <c r="I86" s="200">
        <f t="shared" si="22"/>
        <v>2.5999999999999996</v>
      </c>
      <c r="J86" s="100">
        <f t="shared" si="23"/>
        <v>0</v>
      </c>
      <c r="K86" s="171">
        <f t="shared" si="24"/>
        <v>25.79999999999999</v>
      </c>
      <c r="L86" s="100">
        <f t="shared" si="25"/>
        <v>29</v>
      </c>
      <c r="N86" s="447">
        <v>34608</v>
      </c>
      <c r="O86" s="13">
        <f t="shared" si="16"/>
        <v>10</v>
      </c>
      <c r="P86" s="76">
        <f>SUM(RESID!J135:J146)</f>
        <v>2931.8</v>
      </c>
      <c r="Q86" s="446">
        <f>SUM(RESID!K135:K146)</f>
        <v>2990.7999999999997</v>
      </c>
      <c r="R86" s="4">
        <f t="shared" si="17"/>
        <v>-58.999999999999545</v>
      </c>
      <c r="S86" s="100">
        <f t="shared" si="26"/>
        <v>29</v>
      </c>
      <c r="T86" s="76">
        <f>SUM(RESID!M135:M146)</f>
        <v>530.80000000000007</v>
      </c>
      <c r="U86" s="446">
        <f>SUM(RESID!N135:N146)</f>
        <v>500.5</v>
      </c>
      <c r="V86" s="4">
        <f t="shared" si="18"/>
        <v>30.300000000000068</v>
      </c>
      <c r="W86" s="100">
        <f t="shared" si="27"/>
        <v>39</v>
      </c>
      <c r="X86" s="6">
        <f t="shared" si="19"/>
        <v>-28.699999999999477</v>
      </c>
      <c r="Y86" s="100">
        <f t="shared" si="14"/>
        <v>29</v>
      </c>
    </row>
    <row r="87" spans="1:25">
      <c r="A87" s="13">
        <v>1989</v>
      </c>
      <c r="B87" s="13">
        <v>11</v>
      </c>
      <c r="C87" s="200">
        <f>RESID!J87</f>
        <v>196.1</v>
      </c>
      <c r="D87" s="200">
        <f>RESID!K87</f>
        <v>204.3</v>
      </c>
      <c r="E87" s="13">
        <f t="shared" si="20"/>
        <v>-8.2000000000000171</v>
      </c>
      <c r="F87" s="100">
        <f t="shared" si="21"/>
        <v>1</v>
      </c>
      <c r="G87" s="200">
        <f>RESID!M87</f>
        <v>29</v>
      </c>
      <c r="H87" s="200">
        <f>RESID!N87</f>
        <v>24.1</v>
      </c>
      <c r="I87" s="200">
        <f t="shared" si="22"/>
        <v>4.8999999999999986</v>
      </c>
      <c r="J87" s="100">
        <f t="shared" si="23"/>
        <v>0</v>
      </c>
      <c r="K87" s="171">
        <f t="shared" si="24"/>
        <v>-3.3000000000000185</v>
      </c>
      <c r="L87" s="100">
        <f t="shared" si="25"/>
        <v>30</v>
      </c>
      <c r="N87" s="447">
        <v>34639</v>
      </c>
      <c r="O87" s="13">
        <f t="shared" si="16"/>
        <v>11</v>
      </c>
      <c r="P87" s="76">
        <f>SUM(RESID!J136:J147)</f>
        <v>2951.3</v>
      </c>
      <c r="Q87" s="446">
        <f>SUM(RESID!K136:K147)</f>
        <v>2990.7999999999997</v>
      </c>
      <c r="R87" s="4">
        <f t="shared" si="17"/>
        <v>-39.499999999999545</v>
      </c>
      <c r="S87" s="100">
        <f t="shared" si="26"/>
        <v>30</v>
      </c>
      <c r="T87" s="76">
        <f>SUM(RESID!M136:M147)</f>
        <v>505.7</v>
      </c>
      <c r="U87" s="446">
        <f>SUM(RESID!N136:N147)</f>
        <v>500.5</v>
      </c>
      <c r="V87" s="4">
        <f t="shared" si="18"/>
        <v>5.1999999999999886</v>
      </c>
      <c r="W87" s="100">
        <f t="shared" si="27"/>
        <v>39</v>
      </c>
      <c r="X87" s="6">
        <f t="shared" si="19"/>
        <v>-34.299999999999557</v>
      </c>
      <c r="Y87" s="100">
        <f t="shared" ref="Y87:Y150" si="28">IF(X87&lt;0,1+Y86,Y86)</f>
        <v>30</v>
      </c>
    </row>
    <row r="88" spans="1:25">
      <c r="A88" s="90">
        <v>1989</v>
      </c>
      <c r="B88" s="90">
        <v>12</v>
      </c>
      <c r="C88" s="200">
        <f>RESID!J88</f>
        <v>78.8</v>
      </c>
      <c r="D88" s="200">
        <f>RESID!K88</f>
        <v>88</v>
      </c>
      <c r="E88" s="13">
        <f t="shared" si="20"/>
        <v>-9.2000000000000028</v>
      </c>
      <c r="F88" s="100">
        <f t="shared" si="21"/>
        <v>1</v>
      </c>
      <c r="G88" s="200">
        <f>RESID!M88</f>
        <v>114</v>
      </c>
      <c r="H88" s="200">
        <f>RESID!N88</f>
        <v>83.9</v>
      </c>
      <c r="I88" s="200">
        <f t="shared" si="22"/>
        <v>30.099999999999994</v>
      </c>
      <c r="J88" s="100">
        <f t="shared" si="23"/>
        <v>0</v>
      </c>
      <c r="K88" s="171">
        <f t="shared" si="24"/>
        <v>20.899999999999991</v>
      </c>
      <c r="L88" s="100">
        <f t="shared" si="25"/>
        <v>30</v>
      </c>
      <c r="N88" s="447">
        <v>34669</v>
      </c>
      <c r="O88" s="13">
        <f t="shared" si="16"/>
        <v>12</v>
      </c>
      <c r="P88" s="76">
        <f>SUM(RESID!J137:J148)</f>
        <v>3005.2</v>
      </c>
      <c r="Q88" s="446">
        <f>SUM(RESID!K137:K148)</f>
        <v>2990.7999999999997</v>
      </c>
      <c r="R88" s="4">
        <f t="shared" si="17"/>
        <v>14.400000000000091</v>
      </c>
      <c r="S88" s="100">
        <f t="shared" si="26"/>
        <v>30</v>
      </c>
      <c r="T88" s="76">
        <f>SUM(RESID!M137:M148)</f>
        <v>463</v>
      </c>
      <c r="U88" s="446">
        <f>SUM(RESID!N137:N148)</f>
        <v>500.5</v>
      </c>
      <c r="V88" s="4">
        <f t="shared" si="18"/>
        <v>-37.5</v>
      </c>
      <c r="W88" s="100">
        <f t="shared" si="27"/>
        <v>40</v>
      </c>
      <c r="X88" s="6">
        <f t="shared" si="19"/>
        <v>-23.099999999999909</v>
      </c>
      <c r="Y88" s="100">
        <f t="shared" si="28"/>
        <v>31</v>
      </c>
    </row>
    <row r="89" spans="1:25">
      <c r="A89" s="13">
        <v>1990</v>
      </c>
      <c r="B89" s="13">
        <v>1</v>
      </c>
      <c r="C89" s="200">
        <f>RESID!J89</f>
        <v>34.9</v>
      </c>
      <c r="D89" s="200">
        <f>RESID!K89</f>
        <v>49.5</v>
      </c>
      <c r="E89" s="13">
        <f t="shared" si="20"/>
        <v>-14.600000000000001</v>
      </c>
      <c r="F89" s="100">
        <f t="shared" si="21"/>
        <v>1</v>
      </c>
      <c r="G89" s="200">
        <f>RESID!M89</f>
        <v>230.4</v>
      </c>
      <c r="H89" s="200">
        <f>RESID!N89</f>
        <v>131.6</v>
      </c>
      <c r="I89" s="200">
        <f t="shared" si="22"/>
        <v>98.800000000000011</v>
      </c>
      <c r="J89" s="100">
        <f t="shared" si="23"/>
        <v>0</v>
      </c>
      <c r="K89" s="171">
        <f t="shared" si="24"/>
        <v>84.200000000000017</v>
      </c>
      <c r="L89" s="100">
        <f t="shared" si="25"/>
        <v>30</v>
      </c>
      <c r="N89" s="447">
        <v>34700</v>
      </c>
      <c r="O89" s="13">
        <f t="shared" si="16"/>
        <v>1</v>
      </c>
      <c r="P89" s="76">
        <f>SUM(RESID!J138:J149)</f>
        <v>3021.7999999999997</v>
      </c>
      <c r="Q89" s="446">
        <f>SUM(RESID!K138:K149)</f>
        <v>2990.7999999999997</v>
      </c>
      <c r="R89" s="4">
        <f t="shared" si="17"/>
        <v>31</v>
      </c>
      <c r="S89" s="100">
        <f t="shared" si="26"/>
        <v>30</v>
      </c>
      <c r="T89" s="76">
        <f>SUM(RESID!M138:M149)</f>
        <v>380.5</v>
      </c>
      <c r="U89" s="446">
        <f>SUM(RESID!N138:N149)</f>
        <v>500.5</v>
      </c>
      <c r="V89" s="4">
        <f t="shared" si="18"/>
        <v>-120</v>
      </c>
      <c r="W89" s="100">
        <f t="shared" si="27"/>
        <v>41</v>
      </c>
      <c r="X89" s="6">
        <f t="shared" si="19"/>
        <v>-89</v>
      </c>
      <c r="Y89" s="100">
        <f t="shared" si="28"/>
        <v>32</v>
      </c>
    </row>
    <row r="90" spans="1:25">
      <c r="A90" s="13">
        <v>1990</v>
      </c>
      <c r="B90" s="13">
        <v>2</v>
      </c>
      <c r="C90" s="200">
        <f>RESID!J90</f>
        <v>111.2</v>
      </c>
      <c r="D90" s="200">
        <f>RESID!K90</f>
        <v>43.3</v>
      </c>
      <c r="E90" s="13">
        <f t="shared" si="20"/>
        <v>67.900000000000006</v>
      </c>
      <c r="F90" s="100">
        <f t="shared" si="21"/>
        <v>0</v>
      </c>
      <c r="G90" s="200">
        <f>RESID!M90</f>
        <v>62.5</v>
      </c>
      <c r="H90" s="200">
        <f>RESID!N90</f>
        <v>127.9</v>
      </c>
      <c r="I90" s="200">
        <f t="shared" si="22"/>
        <v>-65.400000000000006</v>
      </c>
      <c r="J90" s="100">
        <f t="shared" si="23"/>
        <v>1</v>
      </c>
      <c r="K90" s="171">
        <f t="shared" si="24"/>
        <v>2.5</v>
      </c>
      <c r="L90" s="100">
        <f t="shared" si="25"/>
        <v>30</v>
      </c>
      <c r="N90" s="447">
        <v>34731</v>
      </c>
      <c r="O90" s="13">
        <f t="shared" si="16"/>
        <v>2</v>
      </c>
      <c r="P90" s="76">
        <f>SUM(RESID!J139:J150)</f>
        <v>2993.1</v>
      </c>
      <c r="Q90" s="446">
        <f>SUM(RESID!K139:K150)</f>
        <v>2990.8</v>
      </c>
      <c r="R90" s="4">
        <f t="shared" si="17"/>
        <v>2.2999999999997272</v>
      </c>
      <c r="S90" s="100">
        <f t="shared" si="26"/>
        <v>30</v>
      </c>
      <c r="T90" s="76">
        <f>SUM(RESID!M139:M150)</f>
        <v>438</v>
      </c>
      <c r="U90" s="446">
        <f>SUM(RESID!N139:N150)</f>
        <v>500.5</v>
      </c>
      <c r="V90" s="4">
        <f t="shared" si="18"/>
        <v>-62.5</v>
      </c>
      <c r="W90" s="100">
        <f t="shared" si="27"/>
        <v>42</v>
      </c>
      <c r="X90" s="6">
        <f t="shared" si="19"/>
        <v>-60.200000000000273</v>
      </c>
      <c r="Y90" s="100">
        <f t="shared" si="28"/>
        <v>33</v>
      </c>
    </row>
    <row r="91" spans="1:25">
      <c r="A91" s="13">
        <v>1990</v>
      </c>
      <c r="B91" s="13">
        <v>3</v>
      </c>
      <c r="C91" s="200">
        <f>RESID!J91</f>
        <v>106.4</v>
      </c>
      <c r="D91" s="200">
        <f>RESID!K91</f>
        <v>77.2</v>
      </c>
      <c r="E91" s="13">
        <f t="shared" si="20"/>
        <v>29.200000000000003</v>
      </c>
      <c r="F91" s="100">
        <f t="shared" si="21"/>
        <v>0</v>
      </c>
      <c r="G91" s="200">
        <f>RESID!M91</f>
        <v>39.1</v>
      </c>
      <c r="H91" s="200">
        <f>RESID!N91</f>
        <v>82.3</v>
      </c>
      <c r="I91" s="200">
        <f t="shared" si="22"/>
        <v>-43.199999999999996</v>
      </c>
      <c r="J91" s="100">
        <f t="shared" si="23"/>
        <v>1</v>
      </c>
      <c r="K91" s="171">
        <f t="shared" si="24"/>
        <v>-13.999999999999993</v>
      </c>
      <c r="L91" s="100">
        <f t="shared" si="25"/>
        <v>31</v>
      </c>
      <c r="N91" s="447">
        <v>34759</v>
      </c>
      <c r="O91" s="13">
        <f t="shared" si="16"/>
        <v>3</v>
      </c>
      <c r="P91" s="76">
        <f>SUM(RESID!J140:J151)</f>
        <v>2976.2</v>
      </c>
      <c r="Q91" s="446">
        <f>SUM(RESID!K140:K151)</f>
        <v>2990.7999999999997</v>
      </c>
      <c r="R91" s="4">
        <f t="shared" si="17"/>
        <v>-14.599999999999909</v>
      </c>
      <c r="S91" s="100">
        <f t="shared" si="26"/>
        <v>31</v>
      </c>
      <c r="T91" s="76">
        <f>SUM(RESID!M140:M151)</f>
        <v>464.3</v>
      </c>
      <c r="U91" s="446">
        <f>SUM(RESID!N140:N151)</f>
        <v>500.49999999999994</v>
      </c>
      <c r="V91" s="4">
        <f t="shared" si="18"/>
        <v>-36.199999999999932</v>
      </c>
      <c r="W91" s="100">
        <f t="shared" si="27"/>
        <v>43</v>
      </c>
      <c r="X91" s="6">
        <f t="shared" si="19"/>
        <v>-50.799999999999841</v>
      </c>
      <c r="Y91" s="100">
        <f t="shared" si="28"/>
        <v>34</v>
      </c>
    </row>
    <row r="92" spans="1:25">
      <c r="A92" s="13">
        <v>1990</v>
      </c>
      <c r="B92" s="13">
        <v>4</v>
      </c>
      <c r="C92" s="200">
        <f>RESID!J92</f>
        <v>139.30000000000001</v>
      </c>
      <c r="D92" s="200">
        <f>RESID!K92</f>
        <v>138.1</v>
      </c>
      <c r="E92" s="13">
        <f t="shared" si="20"/>
        <v>1.2000000000000171</v>
      </c>
      <c r="F92" s="100">
        <f t="shared" si="21"/>
        <v>0</v>
      </c>
      <c r="G92" s="200">
        <f>RESID!M92</f>
        <v>28.2</v>
      </c>
      <c r="H92" s="200">
        <f>RESID!N92</f>
        <v>37.299999999999997</v>
      </c>
      <c r="I92" s="200">
        <f t="shared" si="22"/>
        <v>-9.0999999999999979</v>
      </c>
      <c r="J92" s="100">
        <f t="shared" si="23"/>
        <v>1</v>
      </c>
      <c r="K92" s="171">
        <f t="shared" si="24"/>
        <v>-7.8999999999999808</v>
      </c>
      <c r="L92" s="100">
        <f t="shared" si="25"/>
        <v>32</v>
      </c>
      <c r="N92" s="447">
        <v>34790</v>
      </c>
      <c r="O92" s="13">
        <f t="shared" si="16"/>
        <v>4</v>
      </c>
      <c r="P92" s="76">
        <f>SUM(RESID!J141:J152)</f>
        <v>2938.7999999999997</v>
      </c>
      <c r="Q92" s="446">
        <f>SUM(RESID!K141:K152)</f>
        <v>2990.8</v>
      </c>
      <c r="R92" s="4">
        <f t="shared" si="17"/>
        <v>-52.000000000000455</v>
      </c>
      <c r="S92" s="100">
        <f t="shared" si="26"/>
        <v>32</v>
      </c>
      <c r="T92" s="76">
        <f>SUM(RESID!M141:M152)</f>
        <v>450.09999999999997</v>
      </c>
      <c r="U92" s="446">
        <f>SUM(RESID!N141:N152)</f>
        <v>500.5</v>
      </c>
      <c r="V92" s="4">
        <f t="shared" si="18"/>
        <v>-50.400000000000034</v>
      </c>
      <c r="W92" s="100">
        <f t="shared" si="27"/>
        <v>44</v>
      </c>
      <c r="X92" s="6">
        <f t="shared" si="19"/>
        <v>-102.40000000000049</v>
      </c>
      <c r="Y92" s="100">
        <f t="shared" si="28"/>
        <v>35</v>
      </c>
    </row>
    <row r="93" spans="1:25">
      <c r="A93" s="13">
        <v>1990</v>
      </c>
      <c r="B93" s="13">
        <v>5</v>
      </c>
      <c r="C93" s="200">
        <f>RESID!J93</f>
        <v>254.2</v>
      </c>
      <c r="D93" s="200">
        <f>RESID!K93</f>
        <v>224.4</v>
      </c>
      <c r="E93" s="13">
        <f t="shared" si="20"/>
        <v>29.799999999999983</v>
      </c>
      <c r="F93" s="100">
        <f t="shared" si="21"/>
        <v>0</v>
      </c>
      <c r="G93" s="200">
        <f>RESID!M93</f>
        <v>7.8</v>
      </c>
      <c r="H93" s="200">
        <f>RESID!N93</f>
        <v>11.2</v>
      </c>
      <c r="I93" s="200">
        <f t="shared" si="22"/>
        <v>-3.3999999999999995</v>
      </c>
      <c r="J93" s="100">
        <f t="shared" si="23"/>
        <v>1</v>
      </c>
      <c r="K93" s="171">
        <f t="shared" si="24"/>
        <v>26.399999999999984</v>
      </c>
      <c r="L93" s="100">
        <f t="shared" si="25"/>
        <v>32</v>
      </c>
      <c r="N93" s="447">
        <v>34820</v>
      </c>
      <c r="O93" s="13">
        <f t="shared" si="16"/>
        <v>5</v>
      </c>
      <c r="P93" s="76">
        <f>SUM(RESID!J142:J153)</f>
        <v>2942.7999999999993</v>
      </c>
      <c r="Q93" s="446">
        <f>SUM(RESID!K142:K153)</f>
        <v>2990.8</v>
      </c>
      <c r="R93" s="4">
        <f t="shared" si="17"/>
        <v>-48.000000000000909</v>
      </c>
      <c r="S93" s="100">
        <f t="shared" si="26"/>
        <v>33</v>
      </c>
      <c r="T93" s="76">
        <f>SUM(RESID!M142:M153)</f>
        <v>451.79999999999995</v>
      </c>
      <c r="U93" s="446">
        <f>SUM(RESID!N142:N153)</f>
        <v>500.50000000000006</v>
      </c>
      <c r="V93" s="4">
        <f t="shared" si="18"/>
        <v>-48.700000000000102</v>
      </c>
      <c r="W93" s="100">
        <f t="shared" si="27"/>
        <v>45</v>
      </c>
      <c r="X93" s="6">
        <f t="shared" si="19"/>
        <v>-96.700000000001012</v>
      </c>
      <c r="Y93" s="100">
        <f t="shared" si="28"/>
        <v>36</v>
      </c>
    </row>
    <row r="94" spans="1:25">
      <c r="A94" s="13">
        <v>1990</v>
      </c>
      <c r="B94" s="13">
        <v>6</v>
      </c>
      <c r="C94" s="200">
        <f>RESID!J94</f>
        <v>410.3</v>
      </c>
      <c r="D94" s="200">
        <f>RESID!K94</f>
        <v>382.8</v>
      </c>
      <c r="E94" s="13">
        <f t="shared" si="20"/>
        <v>27.5</v>
      </c>
      <c r="F94" s="100">
        <f t="shared" si="21"/>
        <v>0</v>
      </c>
      <c r="G94" s="200">
        <f>RESID!M94</f>
        <v>0.5</v>
      </c>
      <c r="H94" s="200">
        <f>RESID!N94</f>
        <v>0.9</v>
      </c>
      <c r="I94" s="200">
        <f t="shared" si="22"/>
        <v>-0.4</v>
      </c>
      <c r="J94" s="100">
        <f t="shared" si="23"/>
        <v>1</v>
      </c>
      <c r="K94" s="171">
        <f t="shared" si="24"/>
        <v>27.1</v>
      </c>
      <c r="L94" s="100">
        <f t="shared" si="25"/>
        <v>32</v>
      </c>
      <c r="N94" s="447">
        <v>34851</v>
      </c>
      <c r="O94" s="13">
        <f t="shared" ref="O94:O157" si="29">O82</f>
        <v>6</v>
      </c>
      <c r="P94" s="76">
        <f>SUM(RESID!J143:J154)</f>
        <v>2999.7</v>
      </c>
      <c r="Q94" s="446">
        <f>SUM(RESID!K143:K154)</f>
        <v>2990.8</v>
      </c>
      <c r="R94" s="4">
        <f t="shared" si="17"/>
        <v>8.8999999999996362</v>
      </c>
      <c r="S94" s="100">
        <f t="shared" si="26"/>
        <v>33</v>
      </c>
      <c r="T94" s="76">
        <f>SUM(RESID!M143:M154)</f>
        <v>450.4</v>
      </c>
      <c r="U94" s="446">
        <f>SUM(RESID!N143:N154)</f>
        <v>500.5</v>
      </c>
      <c r="V94" s="4">
        <f t="shared" si="18"/>
        <v>-50.100000000000023</v>
      </c>
      <c r="W94" s="100">
        <f t="shared" si="27"/>
        <v>46</v>
      </c>
      <c r="X94" s="6">
        <f t="shared" si="19"/>
        <v>-41.200000000000387</v>
      </c>
      <c r="Y94" s="100">
        <f t="shared" si="28"/>
        <v>37</v>
      </c>
    </row>
    <row r="95" spans="1:25">
      <c r="A95" s="13">
        <v>1990</v>
      </c>
      <c r="B95" s="13">
        <v>7</v>
      </c>
      <c r="C95" s="200">
        <f>RESID!J95</f>
        <v>451.8</v>
      </c>
      <c r="D95" s="200">
        <f>RESID!K95</f>
        <v>454.9</v>
      </c>
      <c r="E95" s="13">
        <f t="shared" si="20"/>
        <v>-3.0999999999999659</v>
      </c>
      <c r="F95" s="100">
        <f t="shared" si="21"/>
        <v>1</v>
      </c>
      <c r="G95" s="200">
        <f>RESID!M95</f>
        <v>0</v>
      </c>
      <c r="H95" s="200">
        <f>RESID!N95</f>
        <v>0</v>
      </c>
      <c r="I95" s="200">
        <f t="shared" si="22"/>
        <v>0</v>
      </c>
      <c r="J95" s="100">
        <f t="shared" si="23"/>
        <v>0</v>
      </c>
      <c r="K95" s="171">
        <f t="shared" si="24"/>
        <v>-3.0999999999999659</v>
      </c>
      <c r="L95" s="100">
        <f t="shared" si="25"/>
        <v>33</v>
      </c>
      <c r="N95" s="447">
        <v>34881</v>
      </c>
      <c r="O95" s="13">
        <f t="shared" si="29"/>
        <v>7</v>
      </c>
      <c r="P95" s="76">
        <f>SUM(RESID!J144:J155)</f>
        <v>2957.8</v>
      </c>
      <c r="Q95" s="446">
        <f>SUM(RESID!K144:K155)</f>
        <v>2990.8</v>
      </c>
      <c r="R95" s="4">
        <f t="shared" si="17"/>
        <v>-33</v>
      </c>
      <c r="S95" s="100">
        <f t="shared" si="26"/>
        <v>34</v>
      </c>
      <c r="T95" s="76">
        <f>SUM(RESID!M144:M155)</f>
        <v>450.4</v>
      </c>
      <c r="U95" s="446">
        <f>SUM(RESID!N144:N155)</f>
        <v>500.5</v>
      </c>
      <c r="V95" s="4">
        <f t="shared" si="18"/>
        <v>-50.100000000000023</v>
      </c>
      <c r="W95" s="100">
        <f t="shared" si="27"/>
        <v>47</v>
      </c>
      <c r="X95" s="6">
        <f t="shared" si="19"/>
        <v>-83.100000000000023</v>
      </c>
      <c r="Y95" s="100">
        <f t="shared" si="28"/>
        <v>38</v>
      </c>
    </row>
    <row r="96" spans="1:25">
      <c r="A96" s="13">
        <v>1990</v>
      </c>
      <c r="B96" s="13">
        <v>8</v>
      </c>
      <c r="C96" s="200">
        <f>RESID!J96</f>
        <v>493.3</v>
      </c>
      <c r="D96" s="200">
        <f>RESID!K96</f>
        <v>481.4</v>
      </c>
      <c r="E96" s="13">
        <f t="shared" si="20"/>
        <v>11.900000000000034</v>
      </c>
      <c r="F96" s="100">
        <f t="shared" si="21"/>
        <v>0</v>
      </c>
      <c r="G96" s="200">
        <f>RESID!M96</f>
        <v>0</v>
      </c>
      <c r="H96" s="200">
        <f>RESID!N96</f>
        <v>0</v>
      </c>
      <c r="I96" s="200">
        <f t="shared" si="22"/>
        <v>0</v>
      </c>
      <c r="J96" s="100">
        <f t="shared" si="23"/>
        <v>0</v>
      </c>
      <c r="K96" s="171">
        <f t="shared" si="24"/>
        <v>11.900000000000034</v>
      </c>
      <c r="L96" s="100">
        <f t="shared" si="25"/>
        <v>33</v>
      </c>
      <c r="N96" s="447">
        <v>34912</v>
      </c>
      <c r="O96" s="13">
        <f t="shared" si="29"/>
        <v>8</v>
      </c>
      <c r="P96" s="76">
        <f>SUM(RESID!J145:J156)</f>
        <v>2977.8</v>
      </c>
      <c r="Q96" s="446">
        <f>SUM(RESID!K145:K156)</f>
        <v>2990.8</v>
      </c>
      <c r="R96" s="4">
        <f t="shared" si="17"/>
        <v>-13</v>
      </c>
      <c r="S96" s="100">
        <f t="shared" si="26"/>
        <v>35</v>
      </c>
      <c r="T96" s="76">
        <f>SUM(RESID!M145:M156)</f>
        <v>450.4</v>
      </c>
      <c r="U96" s="446">
        <f>SUM(RESID!N145:N156)</f>
        <v>500.5</v>
      </c>
      <c r="V96" s="4">
        <f t="shared" si="18"/>
        <v>-50.100000000000023</v>
      </c>
      <c r="W96" s="100">
        <f t="shared" si="27"/>
        <v>48</v>
      </c>
      <c r="X96" s="6">
        <f t="shared" si="19"/>
        <v>-63.100000000000023</v>
      </c>
      <c r="Y96" s="100">
        <f t="shared" si="28"/>
        <v>39</v>
      </c>
    </row>
    <row r="97" spans="1:25">
      <c r="A97" s="13">
        <v>1990</v>
      </c>
      <c r="B97" s="13">
        <v>9</v>
      </c>
      <c r="C97" s="200">
        <f>RESID!J97</f>
        <v>475.9</v>
      </c>
      <c r="D97" s="200">
        <f>RESID!K97</f>
        <v>473.7</v>
      </c>
      <c r="E97" s="13">
        <f t="shared" si="20"/>
        <v>2.1999999999999886</v>
      </c>
      <c r="F97" s="100">
        <f t="shared" si="21"/>
        <v>0</v>
      </c>
      <c r="G97" s="200">
        <f>RESID!M97</f>
        <v>0</v>
      </c>
      <c r="H97" s="200">
        <f>RESID!N97</f>
        <v>0</v>
      </c>
      <c r="I97" s="200">
        <f t="shared" si="22"/>
        <v>0</v>
      </c>
      <c r="J97" s="100">
        <f t="shared" si="23"/>
        <v>0</v>
      </c>
      <c r="K97" s="171">
        <f t="shared" si="24"/>
        <v>2.1999999999999886</v>
      </c>
      <c r="L97" s="100">
        <f t="shared" si="25"/>
        <v>33</v>
      </c>
      <c r="N97" s="447">
        <v>34943</v>
      </c>
      <c r="O97" s="13">
        <f t="shared" si="29"/>
        <v>9</v>
      </c>
      <c r="P97" s="76">
        <f>SUM(RESID!J146:J157)</f>
        <v>3022.8000000000006</v>
      </c>
      <c r="Q97" s="446">
        <f>SUM(RESID!K146:K157)</f>
        <v>2990.7999999999997</v>
      </c>
      <c r="R97" s="4">
        <f t="shared" si="17"/>
        <v>32.000000000000909</v>
      </c>
      <c r="S97" s="100">
        <f t="shared" si="26"/>
        <v>35</v>
      </c>
      <c r="T97" s="76">
        <f>SUM(RESID!M146:M157)</f>
        <v>450.4</v>
      </c>
      <c r="U97" s="446">
        <f>SUM(RESID!N146:N157)</f>
        <v>500.5</v>
      </c>
      <c r="V97" s="4">
        <f t="shared" si="18"/>
        <v>-50.100000000000023</v>
      </c>
      <c r="W97" s="100">
        <f t="shared" si="27"/>
        <v>49</v>
      </c>
      <c r="X97" s="6">
        <f t="shared" si="19"/>
        <v>-18.099999999999113</v>
      </c>
      <c r="Y97" s="100">
        <f t="shared" si="28"/>
        <v>40</v>
      </c>
    </row>
    <row r="98" spans="1:25">
      <c r="A98" s="13">
        <v>1990</v>
      </c>
      <c r="B98" s="13">
        <v>10</v>
      </c>
      <c r="C98" s="200">
        <f>RESID!J98</f>
        <v>403</v>
      </c>
      <c r="D98" s="200">
        <f>RESID!K98</f>
        <v>373.2</v>
      </c>
      <c r="E98" s="13">
        <f t="shared" si="20"/>
        <v>29.800000000000011</v>
      </c>
      <c r="F98" s="100">
        <f t="shared" si="21"/>
        <v>0</v>
      </c>
      <c r="G98" s="200">
        <f>RESID!M98</f>
        <v>0.6</v>
      </c>
      <c r="H98" s="200">
        <f>RESID!N98</f>
        <v>1.3</v>
      </c>
      <c r="I98" s="200">
        <f t="shared" si="22"/>
        <v>-0.70000000000000007</v>
      </c>
      <c r="J98" s="100">
        <f t="shared" si="23"/>
        <v>1</v>
      </c>
      <c r="K98" s="171">
        <f t="shared" si="24"/>
        <v>29.100000000000012</v>
      </c>
      <c r="L98" s="100">
        <f t="shared" si="25"/>
        <v>33</v>
      </c>
      <c r="N98" s="447">
        <v>34973</v>
      </c>
      <c r="O98" s="13">
        <f t="shared" si="29"/>
        <v>10</v>
      </c>
      <c r="P98" s="76">
        <f>SUM(RESID!J147:J158)</f>
        <v>3102.8</v>
      </c>
      <c r="Q98" s="446">
        <f>SUM(RESID!K147:K158)</f>
        <v>2990.7999999999997</v>
      </c>
      <c r="R98" s="4">
        <f t="shared" si="17"/>
        <v>112.00000000000045</v>
      </c>
      <c r="S98" s="100">
        <f t="shared" si="26"/>
        <v>35</v>
      </c>
      <c r="T98" s="76">
        <f>SUM(RESID!M147:M158)</f>
        <v>450.69999999999993</v>
      </c>
      <c r="U98" s="446">
        <f>SUM(RESID!N147:N158)</f>
        <v>500.5</v>
      </c>
      <c r="V98" s="4">
        <f t="shared" si="18"/>
        <v>-49.800000000000068</v>
      </c>
      <c r="W98" s="100">
        <f t="shared" si="27"/>
        <v>50</v>
      </c>
      <c r="X98" s="6">
        <f t="shared" si="19"/>
        <v>62.200000000000387</v>
      </c>
      <c r="Y98" s="100">
        <f t="shared" si="28"/>
        <v>40</v>
      </c>
    </row>
    <row r="99" spans="1:25">
      <c r="A99" s="13">
        <v>1990</v>
      </c>
      <c r="B99" s="13">
        <v>11</v>
      </c>
      <c r="C99" s="200">
        <f>RESID!J99</f>
        <v>220.3</v>
      </c>
      <c r="D99" s="200">
        <f>RESID!K99</f>
        <v>204.3</v>
      </c>
      <c r="E99" s="13">
        <f t="shared" si="20"/>
        <v>16</v>
      </c>
      <c r="F99" s="100">
        <f t="shared" si="21"/>
        <v>0</v>
      </c>
      <c r="G99" s="200">
        <f>RESID!M99</f>
        <v>21.5</v>
      </c>
      <c r="H99" s="200">
        <f>RESID!N99</f>
        <v>24.1</v>
      </c>
      <c r="I99" s="200">
        <f t="shared" si="22"/>
        <v>-2.6000000000000014</v>
      </c>
      <c r="J99" s="100">
        <f t="shared" si="23"/>
        <v>1</v>
      </c>
      <c r="K99" s="171">
        <f t="shared" si="24"/>
        <v>13.399999999999999</v>
      </c>
      <c r="L99" s="100">
        <f t="shared" si="25"/>
        <v>33</v>
      </c>
      <c r="N99" s="447">
        <v>35004</v>
      </c>
      <c r="O99" s="13">
        <f t="shared" si="29"/>
        <v>11</v>
      </c>
      <c r="P99" s="76">
        <f>SUM(RESID!J148:J159)</f>
        <v>3088.7000000000003</v>
      </c>
      <c r="Q99" s="446">
        <f>SUM(RESID!K148:K159)</f>
        <v>2990.7999999999997</v>
      </c>
      <c r="R99" s="4">
        <f t="shared" si="17"/>
        <v>97.900000000000546</v>
      </c>
      <c r="S99" s="100">
        <f t="shared" si="26"/>
        <v>35</v>
      </c>
      <c r="T99" s="76">
        <f>SUM(RESID!M148:M159)</f>
        <v>474.69999999999993</v>
      </c>
      <c r="U99" s="446">
        <f>SUM(RESID!N148:N159)</f>
        <v>500.5</v>
      </c>
      <c r="V99" s="4">
        <f t="shared" si="18"/>
        <v>-25.800000000000068</v>
      </c>
      <c r="W99" s="100">
        <f t="shared" si="27"/>
        <v>51</v>
      </c>
      <c r="X99" s="6">
        <f t="shared" si="19"/>
        <v>72.100000000000477</v>
      </c>
      <c r="Y99" s="100">
        <f t="shared" si="28"/>
        <v>40</v>
      </c>
    </row>
    <row r="100" spans="1:25">
      <c r="A100" s="90">
        <v>1990</v>
      </c>
      <c r="B100" s="90">
        <v>12</v>
      </c>
      <c r="C100" s="200">
        <f>RESID!J100</f>
        <v>99.1</v>
      </c>
      <c r="D100" s="200">
        <f>RESID!K100</f>
        <v>88</v>
      </c>
      <c r="E100" s="13">
        <f t="shared" si="20"/>
        <v>11.099999999999994</v>
      </c>
      <c r="F100" s="100">
        <f t="shared" si="21"/>
        <v>0</v>
      </c>
      <c r="G100" s="200">
        <f>RESID!M100</f>
        <v>63.9</v>
      </c>
      <c r="H100" s="200">
        <f>RESID!N100</f>
        <v>83.9</v>
      </c>
      <c r="I100" s="200">
        <f t="shared" si="22"/>
        <v>-20.000000000000007</v>
      </c>
      <c r="J100" s="100">
        <f t="shared" si="23"/>
        <v>1</v>
      </c>
      <c r="K100" s="171">
        <f t="shared" si="24"/>
        <v>-8.9000000000000128</v>
      </c>
      <c r="L100" s="100">
        <f t="shared" si="25"/>
        <v>34</v>
      </c>
      <c r="N100" s="447">
        <v>35034</v>
      </c>
      <c r="O100" s="13">
        <f t="shared" si="29"/>
        <v>12</v>
      </c>
      <c r="P100" s="76">
        <f>SUM(RESID!J149:J160)</f>
        <v>3003.5</v>
      </c>
      <c r="Q100" s="446">
        <f>SUM(RESID!K149:K160)</f>
        <v>2990.7999999999997</v>
      </c>
      <c r="R100" s="4">
        <f t="shared" si="17"/>
        <v>12.700000000000273</v>
      </c>
      <c r="S100" s="100">
        <f t="shared" si="26"/>
        <v>35</v>
      </c>
      <c r="T100" s="76">
        <f>SUM(RESID!M149:M160)</f>
        <v>541.69999999999993</v>
      </c>
      <c r="U100" s="446">
        <f>SUM(RESID!N149:N160)</f>
        <v>500.5</v>
      </c>
      <c r="V100" s="4">
        <f t="shared" si="18"/>
        <v>41.199999999999932</v>
      </c>
      <c r="W100" s="100">
        <f t="shared" si="27"/>
        <v>51</v>
      </c>
      <c r="X100" s="6">
        <f t="shared" si="19"/>
        <v>53.900000000000205</v>
      </c>
      <c r="Y100" s="100">
        <f t="shared" si="28"/>
        <v>40</v>
      </c>
    </row>
    <row r="101" spans="1:25">
      <c r="A101" s="13">
        <v>1991</v>
      </c>
      <c r="B101" s="13">
        <v>1</v>
      </c>
      <c r="C101" s="200">
        <f>RESID!J101</f>
        <v>118</v>
      </c>
      <c r="D101" s="200">
        <f>RESID!K101</f>
        <v>49.5</v>
      </c>
      <c r="E101" s="13">
        <f t="shared" si="20"/>
        <v>68.5</v>
      </c>
      <c r="F101" s="100">
        <f t="shared" si="21"/>
        <v>0</v>
      </c>
      <c r="G101" s="200">
        <f>RESID!M101</f>
        <v>61.1</v>
      </c>
      <c r="H101" s="200">
        <f>RESID!N101</f>
        <v>131.6</v>
      </c>
      <c r="I101" s="200">
        <f t="shared" si="22"/>
        <v>-70.5</v>
      </c>
      <c r="J101" s="100">
        <f t="shared" si="23"/>
        <v>1</v>
      </c>
      <c r="K101" s="171">
        <f t="shared" si="24"/>
        <v>-2</v>
      </c>
      <c r="L101" s="100">
        <f t="shared" si="25"/>
        <v>35</v>
      </c>
      <c r="N101" s="447">
        <v>35065</v>
      </c>
      <c r="O101" s="13">
        <f t="shared" si="29"/>
        <v>1</v>
      </c>
      <c r="P101" s="76">
        <f>SUM(RESID!J150:J161)</f>
        <v>3002.4</v>
      </c>
      <c r="Q101" s="446">
        <f>SUM(RESID!K150:K161)</f>
        <v>2990.7999999999997</v>
      </c>
      <c r="R101" s="4">
        <f t="shared" si="17"/>
        <v>11.600000000000364</v>
      </c>
      <c r="S101" s="100">
        <f t="shared" si="26"/>
        <v>35</v>
      </c>
      <c r="T101" s="76">
        <f>SUM(RESID!M150:M161)</f>
        <v>663.69999999999993</v>
      </c>
      <c r="U101" s="446">
        <f>SUM(RESID!N150:N161)</f>
        <v>500.5</v>
      </c>
      <c r="V101" s="4">
        <f t="shared" si="18"/>
        <v>163.19999999999993</v>
      </c>
      <c r="W101" s="100">
        <f t="shared" si="27"/>
        <v>51</v>
      </c>
      <c r="X101" s="6">
        <f t="shared" si="19"/>
        <v>174.8000000000003</v>
      </c>
      <c r="Y101" s="100">
        <f t="shared" si="28"/>
        <v>40</v>
      </c>
    </row>
    <row r="102" spans="1:25">
      <c r="A102" s="13">
        <v>1991</v>
      </c>
      <c r="B102" s="13">
        <v>2</v>
      </c>
      <c r="C102" s="200">
        <f>RESID!J102</f>
        <v>67.5</v>
      </c>
      <c r="D102" s="200">
        <f>RESID!K102</f>
        <v>43.3</v>
      </c>
      <c r="E102" s="13">
        <f t="shared" si="20"/>
        <v>24.200000000000003</v>
      </c>
      <c r="F102" s="100">
        <f t="shared" si="21"/>
        <v>0</v>
      </c>
      <c r="G102" s="200">
        <f>RESID!M102</f>
        <v>84.3</v>
      </c>
      <c r="H102" s="200">
        <f>RESID!N102</f>
        <v>127.9</v>
      </c>
      <c r="I102" s="200">
        <f t="shared" si="22"/>
        <v>-43.600000000000009</v>
      </c>
      <c r="J102" s="100">
        <f t="shared" si="23"/>
        <v>1</v>
      </c>
      <c r="K102" s="171">
        <f t="shared" si="24"/>
        <v>-19.400000000000006</v>
      </c>
      <c r="L102" s="100">
        <f t="shared" si="25"/>
        <v>36</v>
      </c>
      <c r="N102" s="447">
        <v>35096</v>
      </c>
      <c r="O102" s="13">
        <f t="shared" si="29"/>
        <v>2</v>
      </c>
      <c r="P102" s="76">
        <f>SUM(RESID!J151:J162)</f>
        <v>3016.9000000000005</v>
      </c>
      <c r="Q102" s="446">
        <f>SUM(RESID!K151:K162)</f>
        <v>2990.8</v>
      </c>
      <c r="R102" s="4">
        <f t="shared" si="17"/>
        <v>26.100000000000364</v>
      </c>
      <c r="S102" s="100">
        <f t="shared" si="26"/>
        <v>35</v>
      </c>
      <c r="T102" s="76">
        <f>SUM(RESID!M151:M162)</f>
        <v>667</v>
      </c>
      <c r="U102" s="446">
        <f>SUM(RESID!N151:N162)</f>
        <v>500.5</v>
      </c>
      <c r="V102" s="4">
        <f t="shared" si="18"/>
        <v>166.5</v>
      </c>
      <c r="W102" s="100">
        <f t="shared" si="27"/>
        <v>51</v>
      </c>
      <c r="X102" s="6">
        <f t="shared" si="19"/>
        <v>192.60000000000036</v>
      </c>
      <c r="Y102" s="100">
        <f t="shared" si="28"/>
        <v>40</v>
      </c>
    </row>
    <row r="103" spans="1:25">
      <c r="A103" s="13">
        <v>1991</v>
      </c>
      <c r="B103" s="13">
        <v>3</v>
      </c>
      <c r="C103" s="200">
        <f>RESID!J103</f>
        <v>74.3</v>
      </c>
      <c r="D103" s="200">
        <f>RESID!K103</f>
        <v>77.2</v>
      </c>
      <c r="E103" s="13">
        <f t="shared" si="20"/>
        <v>-2.9000000000000057</v>
      </c>
      <c r="F103" s="100">
        <f t="shared" si="21"/>
        <v>1</v>
      </c>
      <c r="G103" s="200">
        <f>RESID!M103</f>
        <v>79.2</v>
      </c>
      <c r="H103" s="200">
        <f>RESID!N103</f>
        <v>82.3</v>
      </c>
      <c r="I103" s="200">
        <f t="shared" si="22"/>
        <v>-3.0999999999999943</v>
      </c>
      <c r="J103" s="100">
        <f t="shared" si="23"/>
        <v>1</v>
      </c>
      <c r="K103" s="171">
        <f t="shared" si="24"/>
        <v>-6</v>
      </c>
      <c r="L103" s="100">
        <f t="shared" si="25"/>
        <v>37</v>
      </c>
      <c r="N103" s="447">
        <v>35125</v>
      </c>
      <c r="O103" s="13">
        <f t="shared" si="29"/>
        <v>3</v>
      </c>
      <c r="P103" s="76">
        <f>SUM(RESID!J152:J163)</f>
        <v>3008.4</v>
      </c>
      <c r="Q103" s="446">
        <f>SUM(RESID!K152:K163)</f>
        <v>2990.7999999999997</v>
      </c>
      <c r="R103" s="4">
        <f t="shared" si="17"/>
        <v>17.600000000000364</v>
      </c>
      <c r="S103" s="100">
        <f t="shared" si="26"/>
        <v>35</v>
      </c>
      <c r="T103" s="76">
        <f>SUM(RESID!M152:M163)</f>
        <v>729.59999999999991</v>
      </c>
      <c r="U103" s="446">
        <f>SUM(RESID!N152:N163)</f>
        <v>500.49999999999994</v>
      </c>
      <c r="V103" s="4">
        <f t="shared" si="18"/>
        <v>229.09999999999997</v>
      </c>
      <c r="W103" s="100">
        <f t="shared" si="27"/>
        <v>51</v>
      </c>
      <c r="X103" s="6">
        <f t="shared" si="19"/>
        <v>246.70000000000033</v>
      </c>
      <c r="Y103" s="100">
        <f t="shared" si="28"/>
        <v>40</v>
      </c>
    </row>
    <row r="104" spans="1:25">
      <c r="A104" s="13">
        <v>1991</v>
      </c>
      <c r="B104" s="13">
        <v>4</v>
      </c>
      <c r="C104" s="200">
        <f>RESID!J104</f>
        <v>174.1</v>
      </c>
      <c r="D104" s="200">
        <f>RESID!K104</f>
        <v>138.1</v>
      </c>
      <c r="E104" s="13">
        <f t="shared" si="20"/>
        <v>36</v>
      </c>
      <c r="F104" s="100">
        <f t="shared" si="21"/>
        <v>0</v>
      </c>
      <c r="G104" s="200">
        <f>RESID!M104</f>
        <v>24.8</v>
      </c>
      <c r="H104" s="200">
        <f>RESID!N104</f>
        <v>37.299999999999997</v>
      </c>
      <c r="I104" s="200">
        <f t="shared" si="22"/>
        <v>-12.499999999999996</v>
      </c>
      <c r="J104" s="100">
        <f t="shared" si="23"/>
        <v>1</v>
      </c>
      <c r="K104" s="171">
        <f t="shared" si="24"/>
        <v>23.500000000000004</v>
      </c>
      <c r="L104" s="100">
        <f t="shared" si="25"/>
        <v>37</v>
      </c>
      <c r="N104" s="447">
        <v>35156</v>
      </c>
      <c r="O104" s="13">
        <f t="shared" si="29"/>
        <v>4</v>
      </c>
      <c r="P104" s="76">
        <f>SUM(RESID!J153:J164)</f>
        <v>2952.2000000000003</v>
      </c>
      <c r="Q104" s="446">
        <f>SUM(RESID!K153:K164)</f>
        <v>2990.8</v>
      </c>
      <c r="R104" s="4">
        <f t="shared" si="17"/>
        <v>-38.599999999999909</v>
      </c>
      <c r="S104" s="100">
        <f t="shared" si="26"/>
        <v>36</v>
      </c>
      <c r="T104" s="76">
        <f>SUM(RESID!M153:M164)</f>
        <v>800.59999999999991</v>
      </c>
      <c r="U104" s="446">
        <f>SUM(RESID!N153:N164)</f>
        <v>500.5</v>
      </c>
      <c r="V104" s="4">
        <f t="shared" si="18"/>
        <v>300.09999999999991</v>
      </c>
      <c r="W104" s="100">
        <f t="shared" si="27"/>
        <v>51</v>
      </c>
      <c r="X104" s="6">
        <f t="shared" si="19"/>
        <v>261.5</v>
      </c>
      <c r="Y104" s="100">
        <f t="shared" si="28"/>
        <v>40</v>
      </c>
    </row>
    <row r="105" spans="1:25">
      <c r="A105" s="13">
        <v>1991</v>
      </c>
      <c r="B105" s="13">
        <v>5</v>
      </c>
      <c r="C105" s="200">
        <f>RESID!J105</f>
        <v>325.89999999999998</v>
      </c>
      <c r="D105" s="200">
        <f>RESID!K105</f>
        <v>224.4</v>
      </c>
      <c r="E105" s="13">
        <f t="shared" si="20"/>
        <v>101.49999999999997</v>
      </c>
      <c r="F105" s="100">
        <f t="shared" si="21"/>
        <v>0</v>
      </c>
      <c r="G105" s="200">
        <f>RESID!M105</f>
        <v>1.2</v>
      </c>
      <c r="H105" s="200">
        <f>RESID!N105</f>
        <v>11.2</v>
      </c>
      <c r="I105" s="200">
        <f t="shared" si="22"/>
        <v>-10</v>
      </c>
      <c r="J105" s="100">
        <f t="shared" si="23"/>
        <v>1</v>
      </c>
      <c r="K105" s="171">
        <f t="shared" si="24"/>
        <v>91.499999999999972</v>
      </c>
      <c r="L105" s="100">
        <f t="shared" si="25"/>
        <v>37</v>
      </c>
      <c r="N105" s="447">
        <v>35186</v>
      </c>
      <c r="O105" s="13">
        <f t="shared" si="29"/>
        <v>5</v>
      </c>
      <c r="P105" s="76">
        <f>SUM(RESID!J154:J165)</f>
        <v>2901.8000000000006</v>
      </c>
      <c r="Q105" s="446">
        <f>SUM(RESID!K154:K165)</f>
        <v>2990.8</v>
      </c>
      <c r="R105" s="4">
        <f t="shared" si="17"/>
        <v>-88.999999999999545</v>
      </c>
      <c r="S105" s="100">
        <f t="shared" si="26"/>
        <v>37</v>
      </c>
      <c r="T105" s="76">
        <f>SUM(RESID!M154:M165)</f>
        <v>810.4</v>
      </c>
      <c r="U105" s="446">
        <f>SUM(RESID!N154:N165)</f>
        <v>500.50000000000006</v>
      </c>
      <c r="V105" s="4">
        <f t="shared" si="18"/>
        <v>309.89999999999992</v>
      </c>
      <c r="W105" s="100">
        <f t="shared" si="27"/>
        <v>51</v>
      </c>
      <c r="X105" s="6">
        <f t="shared" si="19"/>
        <v>220.90000000000038</v>
      </c>
      <c r="Y105" s="100">
        <f t="shared" si="28"/>
        <v>40</v>
      </c>
    </row>
    <row r="106" spans="1:25">
      <c r="A106" s="13">
        <v>1991</v>
      </c>
      <c r="B106" s="13">
        <v>6</v>
      </c>
      <c r="C106" s="200">
        <f>RESID!J106</f>
        <v>401.3</v>
      </c>
      <c r="D106" s="200">
        <f>RESID!K106</f>
        <v>382.8</v>
      </c>
      <c r="E106" s="13">
        <f t="shared" si="20"/>
        <v>18.5</v>
      </c>
      <c r="F106" s="100">
        <f t="shared" si="21"/>
        <v>0</v>
      </c>
      <c r="G106" s="200">
        <f>RESID!M106</f>
        <v>0</v>
      </c>
      <c r="H106" s="200">
        <f>RESID!N106</f>
        <v>0.9</v>
      </c>
      <c r="I106" s="200">
        <f t="shared" si="22"/>
        <v>-0.9</v>
      </c>
      <c r="J106" s="100">
        <f t="shared" si="23"/>
        <v>1</v>
      </c>
      <c r="K106" s="171">
        <f t="shared" si="24"/>
        <v>17.600000000000001</v>
      </c>
      <c r="L106" s="100">
        <f t="shared" si="25"/>
        <v>37</v>
      </c>
      <c r="N106" s="447">
        <v>35217</v>
      </c>
      <c r="O106" s="13">
        <f t="shared" si="29"/>
        <v>6</v>
      </c>
      <c r="P106" s="76">
        <f>SUM(RESID!J155:J166)</f>
        <v>2887.7000000000003</v>
      </c>
      <c r="Q106" s="446">
        <f>SUM(RESID!K155:K166)</f>
        <v>2990.8</v>
      </c>
      <c r="R106" s="4">
        <f t="shared" si="17"/>
        <v>-103.09999999999991</v>
      </c>
      <c r="S106" s="100">
        <f t="shared" si="26"/>
        <v>38</v>
      </c>
      <c r="T106" s="76">
        <f>SUM(RESID!M155:M166)</f>
        <v>810.59999999999991</v>
      </c>
      <c r="U106" s="446">
        <f>SUM(RESID!N155:N166)</f>
        <v>500.5</v>
      </c>
      <c r="V106" s="4">
        <f t="shared" si="18"/>
        <v>310.09999999999991</v>
      </c>
      <c r="W106" s="100">
        <f t="shared" si="27"/>
        <v>51</v>
      </c>
      <c r="X106" s="6">
        <f t="shared" si="19"/>
        <v>207</v>
      </c>
      <c r="Y106" s="100">
        <f t="shared" si="28"/>
        <v>40</v>
      </c>
    </row>
    <row r="107" spans="1:25">
      <c r="A107" s="13">
        <v>1991</v>
      </c>
      <c r="B107" s="13">
        <v>7</v>
      </c>
      <c r="C107" s="200">
        <f>RESID!J107</f>
        <v>468.6</v>
      </c>
      <c r="D107" s="200">
        <f>RESID!K107</f>
        <v>454.9</v>
      </c>
      <c r="E107" s="13">
        <f t="shared" si="20"/>
        <v>13.700000000000045</v>
      </c>
      <c r="F107" s="100">
        <f t="shared" si="21"/>
        <v>0</v>
      </c>
      <c r="G107" s="200">
        <f>RESID!M107</f>
        <v>0</v>
      </c>
      <c r="H107" s="200">
        <f>RESID!N107</f>
        <v>0</v>
      </c>
      <c r="I107" s="200">
        <f t="shared" si="22"/>
        <v>0</v>
      </c>
      <c r="J107" s="100">
        <f t="shared" si="23"/>
        <v>0</v>
      </c>
      <c r="K107" s="171">
        <f t="shared" si="24"/>
        <v>13.700000000000045</v>
      </c>
      <c r="L107" s="100">
        <f t="shared" si="25"/>
        <v>37</v>
      </c>
      <c r="N107" s="447">
        <v>35247</v>
      </c>
      <c r="O107" s="13">
        <f t="shared" si="29"/>
        <v>7</v>
      </c>
      <c r="P107" s="76">
        <f>SUM(RESID!J156:J167)</f>
        <v>2902.7000000000007</v>
      </c>
      <c r="Q107" s="446">
        <f>SUM(RESID!K156:K167)</f>
        <v>2990.8</v>
      </c>
      <c r="R107" s="4">
        <f t="shared" si="17"/>
        <v>-88.099999999999454</v>
      </c>
      <c r="S107" s="100">
        <f t="shared" si="26"/>
        <v>39</v>
      </c>
      <c r="T107" s="76">
        <f>SUM(RESID!M156:M167)</f>
        <v>810.59999999999991</v>
      </c>
      <c r="U107" s="446">
        <f>SUM(RESID!N156:N167)</f>
        <v>500.5</v>
      </c>
      <c r="V107" s="4">
        <f t="shared" si="18"/>
        <v>310.09999999999991</v>
      </c>
      <c r="W107" s="100">
        <f t="shared" si="27"/>
        <v>51</v>
      </c>
      <c r="X107" s="6">
        <f t="shared" si="19"/>
        <v>222.00000000000045</v>
      </c>
      <c r="Y107" s="100">
        <f t="shared" si="28"/>
        <v>40</v>
      </c>
    </row>
    <row r="108" spans="1:25">
      <c r="A108" s="13">
        <v>1991</v>
      </c>
      <c r="B108" s="13">
        <v>8</v>
      </c>
      <c r="C108" s="200">
        <f>RESID!J108</f>
        <v>498.8</v>
      </c>
      <c r="D108" s="200">
        <f>RESID!K108</f>
        <v>481.4</v>
      </c>
      <c r="E108" s="13">
        <f t="shared" si="20"/>
        <v>17.400000000000034</v>
      </c>
      <c r="F108" s="100">
        <f t="shared" si="21"/>
        <v>0</v>
      </c>
      <c r="G108" s="200">
        <f>RESID!M108</f>
        <v>0</v>
      </c>
      <c r="H108" s="200">
        <f>RESID!N108</f>
        <v>0</v>
      </c>
      <c r="I108" s="200">
        <f t="shared" si="22"/>
        <v>0</v>
      </c>
      <c r="J108" s="100">
        <f t="shared" si="23"/>
        <v>0</v>
      </c>
      <c r="K108" s="171">
        <f t="shared" si="24"/>
        <v>17.400000000000034</v>
      </c>
      <c r="L108" s="100">
        <f t="shared" si="25"/>
        <v>37</v>
      </c>
      <c r="N108" s="447">
        <v>35278</v>
      </c>
      <c r="O108" s="13">
        <f t="shared" si="29"/>
        <v>8</v>
      </c>
      <c r="P108" s="76">
        <f>SUM(RESID!J157:J168)</f>
        <v>2947.5</v>
      </c>
      <c r="Q108" s="446">
        <f>SUM(RESID!K157:K168)</f>
        <v>2990.8</v>
      </c>
      <c r="R108" s="4">
        <f t="shared" si="17"/>
        <v>-43.300000000000182</v>
      </c>
      <c r="S108" s="100">
        <f t="shared" si="26"/>
        <v>40</v>
      </c>
      <c r="T108" s="76">
        <f>SUM(RESID!M157:M168)</f>
        <v>810.59999999999991</v>
      </c>
      <c r="U108" s="446">
        <f>SUM(RESID!N157:N168)</f>
        <v>500.5</v>
      </c>
      <c r="V108" s="4">
        <f t="shared" si="18"/>
        <v>310.09999999999991</v>
      </c>
      <c r="W108" s="100">
        <f t="shared" si="27"/>
        <v>51</v>
      </c>
      <c r="X108" s="6">
        <f t="shared" si="19"/>
        <v>266.79999999999973</v>
      </c>
      <c r="Y108" s="100">
        <f t="shared" si="28"/>
        <v>40</v>
      </c>
    </row>
    <row r="109" spans="1:25">
      <c r="A109" s="13">
        <v>1991</v>
      </c>
      <c r="B109" s="13">
        <v>9</v>
      </c>
      <c r="C109" s="200">
        <f>RESID!J109</f>
        <v>482.4</v>
      </c>
      <c r="D109" s="200">
        <f>RESID!K109</f>
        <v>473.7</v>
      </c>
      <c r="E109" s="13">
        <f t="shared" si="20"/>
        <v>8.6999999999999886</v>
      </c>
      <c r="F109" s="100">
        <f t="shared" si="21"/>
        <v>0</v>
      </c>
      <c r="G109" s="200">
        <f>RESID!M109</f>
        <v>0</v>
      </c>
      <c r="H109" s="200">
        <f>RESID!N109</f>
        <v>0</v>
      </c>
      <c r="I109" s="200">
        <f t="shared" si="22"/>
        <v>0</v>
      </c>
      <c r="J109" s="100">
        <f t="shared" si="23"/>
        <v>0</v>
      </c>
      <c r="K109" s="171">
        <f t="shared" si="24"/>
        <v>8.6999999999999886</v>
      </c>
      <c r="L109" s="100">
        <f t="shared" si="25"/>
        <v>37</v>
      </c>
      <c r="N109" s="447">
        <v>35309</v>
      </c>
      <c r="O109" s="13">
        <f t="shared" si="29"/>
        <v>9</v>
      </c>
      <c r="P109" s="76">
        <f>SUM(RESID!J158:J169)</f>
        <v>2919.9</v>
      </c>
      <c r="Q109" s="446">
        <f>SUM(RESID!K158:K169)</f>
        <v>2990.7999999999997</v>
      </c>
      <c r="R109" s="4">
        <f t="shared" si="17"/>
        <v>-70.899999999999636</v>
      </c>
      <c r="S109" s="100">
        <f t="shared" si="26"/>
        <v>41</v>
      </c>
      <c r="T109" s="76">
        <f>SUM(RESID!M158:M169)</f>
        <v>810.59999999999991</v>
      </c>
      <c r="U109" s="446">
        <f>SUM(RESID!N158:N169)</f>
        <v>500.5</v>
      </c>
      <c r="V109" s="4">
        <f t="shared" si="18"/>
        <v>310.09999999999991</v>
      </c>
      <c r="W109" s="100">
        <f t="shared" si="27"/>
        <v>51</v>
      </c>
      <c r="X109" s="6">
        <f t="shared" si="19"/>
        <v>239.20000000000027</v>
      </c>
      <c r="Y109" s="100">
        <f t="shared" si="28"/>
        <v>40</v>
      </c>
    </row>
    <row r="110" spans="1:25">
      <c r="A110" s="13">
        <v>1991</v>
      </c>
      <c r="B110" s="13">
        <v>10</v>
      </c>
      <c r="C110" s="200">
        <f>RESID!J110</f>
        <v>361.1</v>
      </c>
      <c r="D110" s="200">
        <f>RESID!K110</f>
        <v>373.2</v>
      </c>
      <c r="E110" s="13">
        <f t="shared" si="20"/>
        <v>-12.099999999999966</v>
      </c>
      <c r="F110" s="100">
        <f t="shared" si="21"/>
        <v>1</v>
      </c>
      <c r="G110" s="200">
        <f>RESID!M110</f>
        <v>2.4</v>
      </c>
      <c r="H110" s="200">
        <f>RESID!N110</f>
        <v>1.3</v>
      </c>
      <c r="I110" s="200">
        <f t="shared" si="22"/>
        <v>1.0999999999999999</v>
      </c>
      <c r="J110" s="100">
        <f t="shared" si="23"/>
        <v>0</v>
      </c>
      <c r="K110" s="171">
        <f t="shared" si="24"/>
        <v>-10.999999999999966</v>
      </c>
      <c r="L110" s="100">
        <f t="shared" si="25"/>
        <v>38</v>
      </c>
      <c r="N110" s="447">
        <v>35339</v>
      </c>
      <c r="O110" s="13">
        <f t="shared" si="29"/>
        <v>10</v>
      </c>
      <c r="P110" s="76">
        <f>SUM(RESID!J159:J170)</f>
        <v>2852.9</v>
      </c>
      <c r="Q110" s="446">
        <f>SUM(RESID!K159:K170)</f>
        <v>2990.7999999999997</v>
      </c>
      <c r="R110" s="4">
        <f t="shared" si="17"/>
        <v>-137.89999999999964</v>
      </c>
      <c r="S110" s="100">
        <f t="shared" si="26"/>
        <v>42</v>
      </c>
      <c r="T110" s="76">
        <f>SUM(RESID!M159:M170)</f>
        <v>812.3</v>
      </c>
      <c r="U110" s="446">
        <f>SUM(RESID!N159:N170)</f>
        <v>500.5</v>
      </c>
      <c r="V110" s="4">
        <f t="shared" si="18"/>
        <v>311.79999999999995</v>
      </c>
      <c r="W110" s="100">
        <f t="shared" si="27"/>
        <v>51</v>
      </c>
      <c r="X110" s="6">
        <f t="shared" si="19"/>
        <v>173.90000000000032</v>
      </c>
      <c r="Y110" s="100">
        <f t="shared" si="28"/>
        <v>40</v>
      </c>
    </row>
    <row r="111" spans="1:25">
      <c r="A111" s="13">
        <v>1991</v>
      </c>
      <c r="B111" s="13">
        <v>11</v>
      </c>
      <c r="C111" s="200">
        <f>RESID!J111</f>
        <v>188.3</v>
      </c>
      <c r="D111" s="200">
        <f>RESID!K111</f>
        <v>204.3</v>
      </c>
      <c r="E111" s="13">
        <f t="shared" si="20"/>
        <v>-16</v>
      </c>
      <c r="F111" s="100">
        <f t="shared" si="21"/>
        <v>1</v>
      </c>
      <c r="G111" s="200">
        <f>RESID!M111</f>
        <v>36.700000000000003</v>
      </c>
      <c r="H111" s="200">
        <f>RESID!N111</f>
        <v>24.1</v>
      </c>
      <c r="I111" s="200">
        <f t="shared" si="22"/>
        <v>12.600000000000001</v>
      </c>
      <c r="J111" s="100">
        <f t="shared" si="23"/>
        <v>0</v>
      </c>
      <c r="K111" s="171">
        <f t="shared" si="24"/>
        <v>-3.3999999999999986</v>
      </c>
      <c r="L111" s="100">
        <f t="shared" si="25"/>
        <v>39</v>
      </c>
      <c r="N111" s="447">
        <v>35370</v>
      </c>
      <c r="O111" s="13">
        <f t="shared" si="29"/>
        <v>11</v>
      </c>
      <c r="P111" s="76">
        <f>SUM(RESID!J160:J171)</f>
        <v>2841.1000000000004</v>
      </c>
      <c r="Q111" s="446">
        <f>SUM(RESID!K160:K171)</f>
        <v>2990.7999999999997</v>
      </c>
      <c r="R111" s="4">
        <f t="shared" si="17"/>
        <v>-149.69999999999936</v>
      </c>
      <c r="S111" s="100">
        <f t="shared" si="26"/>
        <v>43</v>
      </c>
      <c r="T111" s="76">
        <f>SUM(RESID!M160:M171)</f>
        <v>808.59999999999991</v>
      </c>
      <c r="U111" s="446">
        <f>SUM(RESID!N160:N171)</f>
        <v>500.5</v>
      </c>
      <c r="V111" s="4">
        <f t="shared" si="18"/>
        <v>308.09999999999991</v>
      </c>
      <c r="W111" s="100">
        <f t="shared" si="27"/>
        <v>51</v>
      </c>
      <c r="X111" s="6">
        <f t="shared" si="19"/>
        <v>158.40000000000055</v>
      </c>
      <c r="Y111" s="100">
        <f t="shared" si="28"/>
        <v>40</v>
      </c>
    </row>
    <row r="112" spans="1:25">
      <c r="A112" s="90">
        <v>1991</v>
      </c>
      <c r="B112" s="90">
        <v>12</v>
      </c>
      <c r="C112" s="200">
        <f>RESID!J112</f>
        <v>112.7</v>
      </c>
      <c r="D112" s="200">
        <f>RESID!K112</f>
        <v>88</v>
      </c>
      <c r="E112" s="13">
        <f t="shared" si="20"/>
        <v>24.700000000000003</v>
      </c>
      <c r="F112" s="100">
        <f t="shared" si="21"/>
        <v>0</v>
      </c>
      <c r="G112" s="200">
        <f>RESID!M112</f>
        <v>83.8</v>
      </c>
      <c r="H112" s="200">
        <f>RESID!N112</f>
        <v>83.9</v>
      </c>
      <c r="I112" s="200">
        <f t="shared" si="22"/>
        <v>-0.10000000000000853</v>
      </c>
      <c r="J112" s="100">
        <f t="shared" si="23"/>
        <v>1</v>
      </c>
      <c r="K112" s="171">
        <f t="shared" si="24"/>
        <v>24.599999999999994</v>
      </c>
      <c r="L112" s="100">
        <f t="shared" si="25"/>
        <v>39</v>
      </c>
      <c r="N112" s="447">
        <v>35400</v>
      </c>
      <c r="O112" s="13">
        <f t="shared" si="29"/>
        <v>12</v>
      </c>
      <c r="P112" s="76">
        <f>SUM(RESID!J161:J172)</f>
        <v>2852.7000000000003</v>
      </c>
      <c r="Q112" s="446">
        <f>SUM(RESID!K161:K172)</f>
        <v>2990.7999999999997</v>
      </c>
      <c r="R112" s="4">
        <f t="shared" si="17"/>
        <v>-138.09999999999945</v>
      </c>
      <c r="S112" s="100">
        <f t="shared" si="26"/>
        <v>44</v>
      </c>
      <c r="T112" s="76">
        <f>SUM(RESID!M161:M172)</f>
        <v>787.59999999999991</v>
      </c>
      <c r="U112" s="446">
        <f>SUM(RESID!N161:N172)</f>
        <v>500.5</v>
      </c>
      <c r="V112" s="4">
        <f t="shared" si="18"/>
        <v>287.09999999999991</v>
      </c>
      <c r="W112" s="100">
        <f t="shared" si="27"/>
        <v>51</v>
      </c>
      <c r="X112" s="6">
        <f t="shared" si="19"/>
        <v>149.00000000000045</v>
      </c>
      <c r="Y112" s="100">
        <f t="shared" si="28"/>
        <v>40</v>
      </c>
    </row>
    <row r="113" spans="1:25">
      <c r="A113" s="13">
        <v>1992</v>
      </c>
      <c r="B113" s="13">
        <v>1</v>
      </c>
      <c r="C113" s="200">
        <f>RESID!J113</f>
        <v>47.6</v>
      </c>
      <c r="D113" s="200">
        <f>RESID!K113</f>
        <v>49.5</v>
      </c>
      <c r="E113" s="13">
        <f t="shared" si="20"/>
        <v>-1.8999999999999986</v>
      </c>
      <c r="F113" s="100">
        <f t="shared" si="21"/>
        <v>1</v>
      </c>
      <c r="G113" s="200">
        <f>RESID!M113</f>
        <v>119.2</v>
      </c>
      <c r="H113" s="200">
        <f>RESID!N113</f>
        <v>131.6</v>
      </c>
      <c r="I113" s="200">
        <f t="shared" si="22"/>
        <v>-12.399999999999991</v>
      </c>
      <c r="J113" s="100">
        <f t="shared" si="23"/>
        <v>1</v>
      </c>
      <c r="K113" s="171">
        <f t="shared" si="24"/>
        <v>-14.29999999999999</v>
      </c>
      <c r="L113" s="100">
        <f t="shared" si="25"/>
        <v>40</v>
      </c>
      <c r="N113" s="447">
        <v>35431</v>
      </c>
      <c r="O113" s="13">
        <f t="shared" si="29"/>
        <v>1</v>
      </c>
      <c r="P113" s="76">
        <f>SUM(RESID!J162:J173)</f>
        <v>2881.1000000000004</v>
      </c>
      <c r="Q113" s="446">
        <f>SUM(RESID!K162:K173)</f>
        <v>2990.7999999999997</v>
      </c>
      <c r="R113" s="4">
        <f t="shared" si="17"/>
        <v>-109.69999999999936</v>
      </c>
      <c r="S113" s="100">
        <f t="shared" si="26"/>
        <v>45</v>
      </c>
      <c r="T113" s="76">
        <f>SUM(RESID!M162:M173)</f>
        <v>673.1</v>
      </c>
      <c r="U113" s="446">
        <f>SUM(RESID!N162:N173)</f>
        <v>500.5</v>
      </c>
      <c r="V113" s="4">
        <f t="shared" si="18"/>
        <v>172.60000000000002</v>
      </c>
      <c r="W113" s="100">
        <f t="shared" si="27"/>
        <v>51</v>
      </c>
      <c r="X113" s="6">
        <f t="shared" si="19"/>
        <v>62.900000000000659</v>
      </c>
      <c r="Y113" s="100">
        <f t="shared" si="28"/>
        <v>40</v>
      </c>
    </row>
    <row r="114" spans="1:25">
      <c r="A114" s="13">
        <v>1992</v>
      </c>
      <c r="B114" s="13">
        <v>2</v>
      </c>
      <c r="C114" s="200">
        <f>RESID!J114</f>
        <v>27.6</v>
      </c>
      <c r="D114" s="200">
        <f>RESID!K114</f>
        <v>43.3</v>
      </c>
      <c r="E114" s="13">
        <f t="shared" si="20"/>
        <v>-15.699999999999996</v>
      </c>
      <c r="F114" s="100">
        <f t="shared" si="21"/>
        <v>1</v>
      </c>
      <c r="G114" s="200">
        <f>RESID!M114</f>
        <v>147.69999999999999</v>
      </c>
      <c r="H114" s="200">
        <f>RESID!N114</f>
        <v>127.9</v>
      </c>
      <c r="I114" s="200">
        <f t="shared" si="22"/>
        <v>19.799999999999983</v>
      </c>
      <c r="J114" s="100">
        <f t="shared" si="23"/>
        <v>0</v>
      </c>
      <c r="K114" s="171">
        <f t="shared" si="24"/>
        <v>4.0999999999999872</v>
      </c>
      <c r="L114" s="100">
        <f t="shared" si="25"/>
        <v>40</v>
      </c>
      <c r="N114" s="447">
        <v>35462</v>
      </c>
      <c r="O114" s="13">
        <f t="shared" si="29"/>
        <v>2</v>
      </c>
      <c r="P114" s="76">
        <f>SUM(RESID!J163:J174)</f>
        <v>2899</v>
      </c>
      <c r="Q114" s="446">
        <f>SUM(RESID!K163:K174)</f>
        <v>2990.8</v>
      </c>
      <c r="R114" s="4">
        <f t="shared" si="17"/>
        <v>-91.800000000000182</v>
      </c>
      <c r="S114" s="100">
        <f t="shared" si="26"/>
        <v>46</v>
      </c>
      <c r="T114" s="76">
        <f>SUM(RESID!M163:M174)</f>
        <v>600.6</v>
      </c>
      <c r="U114" s="446">
        <f>SUM(RESID!N163:N174)</f>
        <v>500.5</v>
      </c>
      <c r="V114" s="4">
        <f t="shared" si="18"/>
        <v>100.10000000000002</v>
      </c>
      <c r="W114" s="100">
        <f t="shared" si="27"/>
        <v>51</v>
      </c>
      <c r="X114" s="6">
        <f t="shared" si="19"/>
        <v>8.2999999999998408</v>
      </c>
      <c r="Y114" s="100">
        <f t="shared" si="28"/>
        <v>40</v>
      </c>
    </row>
    <row r="115" spans="1:25">
      <c r="A115" s="13">
        <v>1992</v>
      </c>
      <c r="B115" s="13">
        <v>3</v>
      </c>
      <c r="C115" s="200">
        <f>RESID!J115</f>
        <v>80.099999999999994</v>
      </c>
      <c r="D115" s="200">
        <f>RESID!K115</f>
        <v>77.2</v>
      </c>
      <c r="E115" s="13">
        <f t="shared" si="20"/>
        <v>2.8999999999999915</v>
      </c>
      <c r="F115" s="100">
        <f t="shared" si="21"/>
        <v>0</v>
      </c>
      <c r="G115" s="200">
        <f>RESID!M115</f>
        <v>62.2</v>
      </c>
      <c r="H115" s="200">
        <f>RESID!N115</f>
        <v>82.3</v>
      </c>
      <c r="I115" s="200">
        <f t="shared" si="22"/>
        <v>-20.099999999999994</v>
      </c>
      <c r="J115" s="100">
        <f t="shared" si="23"/>
        <v>1</v>
      </c>
      <c r="K115" s="171">
        <f t="shared" si="24"/>
        <v>-17.200000000000003</v>
      </c>
      <c r="L115" s="100">
        <f t="shared" si="25"/>
        <v>41</v>
      </c>
      <c r="N115" s="447">
        <v>35490</v>
      </c>
      <c r="O115" s="13">
        <f t="shared" si="29"/>
        <v>3</v>
      </c>
      <c r="P115" s="76">
        <f>SUM(RESID!J164:J175)</f>
        <v>2990</v>
      </c>
      <c r="Q115" s="446">
        <f>SUM(RESID!K164:K175)</f>
        <v>2990.7999999999997</v>
      </c>
      <c r="R115" s="4">
        <f t="shared" si="17"/>
        <v>-0.79999999999972715</v>
      </c>
      <c r="S115" s="100">
        <f t="shared" si="26"/>
        <v>47</v>
      </c>
      <c r="T115" s="76">
        <f>SUM(RESID!M164:M175)</f>
        <v>484.6</v>
      </c>
      <c r="U115" s="446">
        <f>SUM(RESID!N164:N175)</f>
        <v>500.49999999999994</v>
      </c>
      <c r="V115" s="4">
        <f t="shared" si="18"/>
        <v>-15.89999999999992</v>
      </c>
      <c r="W115" s="100">
        <f t="shared" si="27"/>
        <v>52</v>
      </c>
      <c r="X115" s="6">
        <f t="shared" si="19"/>
        <v>-16.699999999999648</v>
      </c>
      <c r="Y115" s="100">
        <f t="shared" si="28"/>
        <v>41</v>
      </c>
    </row>
    <row r="116" spans="1:25">
      <c r="A116" s="13">
        <v>1992</v>
      </c>
      <c r="B116" s="13">
        <v>4</v>
      </c>
      <c r="C116" s="200">
        <f>RESID!J116</f>
        <v>85</v>
      </c>
      <c r="D116" s="200">
        <f>RESID!K116</f>
        <v>138.1</v>
      </c>
      <c r="E116" s="13">
        <f t="shared" si="20"/>
        <v>-53.099999999999994</v>
      </c>
      <c r="F116" s="100">
        <f t="shared" si="21"/>
        <v>1</v>
      </c>
      <c r="G116" s="200">
        <f>RESID!M116</f>
        <v>55.3</v>
      </c>
      <c r="H116" s="200">
        <f>RESID!N116</f>
        <v>37.299999999999997</v>
      </c>
      <c r="I116" s="200">
        <f t="shared" si="22"/>
        <v>18</v>
      </c>
      <c r="J116" s="100">
        <f t="shared" si="23"/>
        <v>0</v>
      </c>
      <c r="K116" s="171">
        <f t="shared" si="24"/>
        <v>-35.099999999999994</v>
      </c>
      <c r="L116" s="100">
        <f t="shared" si="25"/>
        <v>42</v>
      </c>
      <c r="N116" s="447">
        <v>35521</v>
      </c>
      <c r="O116" s="13">
        <f t="shared" si="29"/>
        <v>4</v>
      </c>
      <c r="P116" s="76">
        <f>SUM(RESID!J165:J176)</f>
        <v>3068.7999999999993</v>
      </c>
      <c r="Q116" s="446">
        <f>SUM(RESID!K165:K176)</f>
        <v>2990.8</v>
      </c>
      <c r="R116" s="4">
        <f t="shared" si="17"/>
        <v>77.999999999999091</v>
      </c>
      <c r="S116" s="100">
        <f t="shared" si="26"/>
        <v>47</v>
      </c>
      <c r="T116" s="76">
        <f>SUM(RESID!M165:M176)</f>
        <v>406.9</v>
      </c>
      <c r="U116" s="446">
        <f>SUM(RESID!N165:N176)</f>
        <v>500.5</v>
      </c>
      <c r="V116" s="4">
        <f t="shared" si="18"/>
        <v>-93.600000000000023</v>
      </c>
      <c r="W116" s="100">
        <f t="shared" si="27"/>
        <v>53</v>
      </c>
      <c r="X116" s="6">
        <f t="shared" si="19"/>
        <v>-15.600000000000932</v>
      </c>
      <c r="Y116" s="100">
        <f t="shared" si="28"/>
        <v>42</v>
      </c>
    </row>
    <row r="117" spans="1:25">
      <c r="A117" s="13">
        <v>1992</v>
      </c>
      <c r="B117" s="13">
        <v>5</v>
      </c>
      <c r="C117" s="200">
        <f>RESID!J117</f>
        <v>168.6</v>
      </c>
      <c r="D117" s="200">
        <f>RESID!K117</f>
        <v>224.4</v>
      </c>
      <c r="E117" s="13">
        <f t="shared" si="20"/>
        <v>-55.800000000000011</v>
      </c>
      <c r="F117" s="100">
        <f t="shared" si="21"/>
        <v>1</v>
      </c>
      <c r="G117" s="200">
        <f>RESID!M117</f>
        <v>22.9</v>
      </c>
      <c r="H117" s="200">
        <f>RESID!N117</f>
        <v>11.2</v>
      </c>
      <c r="I117" s="200">
        <f t="shared" si="22"/>
        <v>11.7</v>
      </c>
      <c r="J117" s="100">
        <f t="shared" si="23"/>
        <v>0</v>
      </c>
      <c r="K117" s="171">
        <f t="shared" si="24"/>
        <v>-44.100000000000009</v>
      </c>
      <c r="L117" s="100">
        <f t="shared" si="25"/>
        <v>43</v>
      </c>
      <c r="N117" s="447">
        <v>35551</v>
      </c>
      <c r="O117" s="13">
        <f t="shared" si="29"/>
        <v>5</v>
      </c>
      <c r="P117" s="76">
        <f>SUM(RESID!J166:J177)</f>
        <v>3014.9999999999995</v>
      </c>
      <c r="Q117" s="446">
        <f>SUM(RESID!K166:K177)</f>
        <v>2990.8</v>
      </c>
      <c r="R117" s="4">
        <f t="shared" si="17"/>
        <v>24.199999999999363</v>
      </c>
      <c r="S117" s="100">
        <f t="shared" si="26"/>
        <v>47</v>
      </c>
      <c r="T117" s="76">
        <f>SUM(RESID!M166:M177)</f>
        <v>405.5</v>
      </c>
      <c r="U117" s="446">
        <f>SUM(RESID!N166:N177)</f>
        <v>500.50000000000006</v>
      </c>
      <c r="V117" s="4">
        <f t="shared" si="18"/>
        <v>-95.000000000000057</v>
      </c>
      <c r="W117" s="100">
        <f t="shared" si="27"/>
        <v>54</v>
      </c>
      <c r="X117" s="6">
        <f t="shared" si="19"/>
        <v>-70.800000000000693</v>
      </c>
      <c r="Y117" s="100">
        <f t="shared" si="28"/>
        <v>43</v>
      </c>
    </row>
    <row r="118" spans="1:25">
      <c r="A118" s="13">
        <v>1992</v>
      </c>
      <c r="B118" s="13">
        <v>6</v>
      </c>
      <c r="C118" s="200">
        <f>RESID!J118</f>
        <v>336.2</v>
      </c>
      <c r="D118" s="200">
        <f>RESID!K118</f>
        <v>382.8</v>
      </c>
      <c r="E118" s="13">
        <f t="shared" si="20"/>
        <v>-46.600000000000023</v>
      </c>
      <c r="F118" s="100">
        <f t="shared" si="21"/>
        <v>1</v>
      </c>
      <c r="G118" s="200">
        <f>RESID!M118</f>
        <v>4.2</v>
      </c>
      <c r="H118" s="200">
        <f>RESID!N118</f>
        <v>0.9</v>
      </c>
      <c r="I118" s="200">
        <f t="shared" si="22"/>
        <v>3.3000000000000003</v>
      </c>
      <c r="J118" s="100">
        <f t="shared" si="23"/>
        <v>0</v>
      </c>
      <c r="K118" s="171">
        <f t="shared" si="24"/>
        <v>-43.300000000000026</v>
      </c>
      <c r="L118" s="100">
        <f t="shared" si="25"/>
        <v>44</v>
      </c>
      <c r="N118" s="447">
        <v>35582</v>
      </c>
      <c r="O118" s="13">
        <f t="shared" si="29"/>
        <v>6</v>
      </c>
      <c r="P118" s="76">
        <f>SUM(RESID!J167:J178)</f>
        <v>2949.2999999999993</v>
      </c>
      <c r="Q118" s="446">
        <f>SUM(RESID!K167:K178)</f>
        <v>2990.8</v>
      </c>
      <c r="R118" s="4">
        <f t="shared" si="17"/>
        <v>-41.500000000000909</v>
      </c>
      <c r="S118" s="100">
        <f t="shared" si="26"/>
        <v>48</v>
      </c>
      <c r="T118" s="76">
        <f>SUM(RESID!M167:M178)</f>
        <v>406.2</v>
      </c>
      <c r="U118" s="446">
        <f>SUM(RESID!N167:N178)</f>
        <v>500.5</v>
      </c>
      <c r="V118" s="4">
        <f t="shared" si="18"/>
        <v>-94.300000000000011</v>
      </c>
      <c r="W118" s="100">
        <f t="shared" si="27"/>
        <v>55</v>
      </c>
      <c r="X118" s="6">
        <f t="shared" si="19"/>
        <v>-135.80000000000092</v>
      </c>
      <c r="Y118" s="100">
        <f t="shared" si="28"/>
        <v>44</v>
      </c>
    </row>
    <row r="119" spans="1:25">
      <c r="A119" s="13">
        <v>1992</v>
      </c>
      <c r="B119" s="13">
        <v>7</v>
      </c>
      <c r="C119" s="200">
        <f>RESID!J119</f>
        <v>469.1</v>
      </c>
      <c r="D119" s="200">
        <f>RESID!K119</f>
        <v>454.9</v>
      </c>
      <c r="E119" s="13">
        <f t="shared" si="20"/>
        <v>14.200000000000045</v>
      </c>
      <c r="F119" s="100">
        <f t="shared" si="21"/>
        <v>0</v>
      </c>
      <c r="G119" s="200">
        <f>RESID!M119</f>
        <v>0</v>
      </c>
      <c r="H119" s="200">
        <f>RESID!N119</f>
        <v>0</v>
      </c>
      <c r="I119" s="200">
        <f t="shared" si="22"/>
        <v>0</v>
      </c>
      <c r="J119" s="100">
        <f t="shared" si="23"/>
        <v>0</v>
      </c>
      <c r="K119" s="171">
        <f t="shared" si="24"/>
        <v>14.200000000000045</v>
      </c>
      <c r="L119" s="100">
        <f t="shared" si="25"/>
        <v>44</v>
      </c>
      <c r="N119" s="447">
        <v>35612</v>
      </c>
      <c r="O119" s="13">
        <f t="shared" si="29"/>
        <v>7</v>
      </c>
      <c r="P119" s="76">
        <f>SUM(RESID!J168:J179)</f>
        <v>2957.3</v>
      </c>
      <c r="Q119" s="446">
        <f>SUM(RESID!K168:K179)</f>
        <v>2990.8</v>
      </c>
      <c r="R119" s="4">
        <f t="shared" si="17"/>
        <v>-33.5</v>
      </c>
      <c r="S119" s="100">
        <f t="shared" si="26"/>
        <v>49</v>
      </c>
      <c r="T119" s="76">
        <f>SUM(RESID!M168:M179)</f>
        <v>406.2</v>
      </c>
      <c r="U119" s="446">
        <f>SUM(RESID!N168:N179)</f>
        <v>500.5</v>
      </c>
      <c r="V119" s="4">
        <f t="shared" si="18"/>
        <v>-94.300000000000011</v>
      </c>
      <c r="W119" s="100">
        <f t="shared" si="27"/>
        <v>56</v>
      </c>
      <c r="X119" s="6">
        <f t="shared" si="19"/>
        <v>-127.80000000000001</v>
      </c>
      <c r="Y119" s="100">
        <f t="shared" si="28"/>
        <v>45</v>
      </c>
    </row>
    <row r="120" spans="1:25">
      <c r="A120" s="13">
        <v>1992</v>
      </c>
      <c r="B120" s="13">
        <v>8</v>
      </c>
      <c r="C120" s="200">
        <f>RESID!J120</f>
        <v>495.3</v>
      </c>
      <c r="D120" s="200">
        <f>RESID!K120</f>
        <v>481.4</v>
      </c>
      <c r="E120" s="13">
        <f t="shared" si="20"/>
        <v>13.900000000000034</v>
      </c>
      <c r="F120" s="100">
        <f t="shared" si="21"/>
        <v>0</v>
      </c>
      <c r="G120" s="200">
        <f>RESID!M120</f>
        <v>0</v>
      </c>
      <c r="H120" s="200">
        <f>RESID!N120</f>
        <v>0</v>
      </c>
      <c r="I120" s="200">
        <f t="shared" si="22"/>
        <v>0</v>
      </c>
      <c r="J120" s="100">
        <f t="shared" si="23"/>
        <v>0</v>
      </c>
      <c r="K120" s="171">
        <f t="shared" si="24"/>
        <v>13.900000000000034</v>
      </c>
      <c r="L120" s="100">
        <f t="shared" si="25"/>
        <v>44</v>
      </c>
      <c r="N120" s="447">
        <v>35643</v>
      </c>
      <c r="O120" s="13">
        <f t="shared" si="29"/>
        <v>8</v>
      </c>
      <c r="P120" s="76">
        <f>SUM(RESID!J169:J180)</f>
        <v>2924.1000000000004</v>
      </c>
      <c r="Q120" s="446">
        <f>SUM(RESID!K169:K180)</f>
        <v>2990.8</v>
      </c>
      <c r="R120" s="4">
        <f t="shared" si="17"/>
        <v>-66.699999999999818</v>
      </c>
      <c r="S120" s="100">
        <f t="shared" si="26"/>
        <v>50</v>
      </c>
      <c r="T120" s="76">
        <f>SUM(RESID!M169:M180)</f>
        <v>406.2</v>
      </c>
      <c r="U120" s="446">
        <f>SUM(RESID!N169:N180)</f>
        <v>500.5</v>
      </c>
      <c r="V120" s="4">
        <f t="shared" si="18"/>
        <v>-94.300000000000011</v>
      </c>
      <c r="W120" s="100">
        <f t="shared" si="27"/>
        <v>57</v>
      </c>
      <c r="X120" s="6">
        <f t="shared" si="19"/>
        <v>-160.99999999999983</v>
      </c>
      <c r="Y120" s="100">
        <f t="shared" si="28"/>
        <v>46</v>
      </c>
    </row>
    <row r="121" spans="1:25">
      <c r="A121" s="13">
        <v>1992</v>
      </c>
      <c r="B121" s="13">
        <v>9</v>
      </c>
      <c r="C121" s="200">
        <f>RESID!J121</f>
        <v>448.8</v>
      </c>
      <c r="D121" s="200">
        <f>RESID!K121</f>
        <v>473.7</v>
      </c>
      <c r="E121" s="13">
        <f t="shared" si="20"/>
        <v>-24.899999999999977</v>
      </c>
      <c r="F121" s="100">
        <f t="shared" si="21"/>
        <v>1</v>
      </c>
      <c r="G121" s="200">
        <f>RESID!M121</f>
        <v>0</v>
      </c>
      <c r="H121" s="200">
        <f>RESID!N121</f>
        <v>0</v>
      </c>
      <c r="I121" s="200">
        <f t="shared" si="22"/>
        <v>0</v>
      </c>
      <c r="J121" s="100">
        <f t="shared" si="23"/>
        <v>0</v>
      </c>
      <c r="K121" s="171">
        <f t="shared" si="24"/>
        <v>-24.899999999999977</v>
      </c>
      <c r="L121" s="100">
        <f t="shared" si="25"/>
        <v>45</v>
      </c>
      <c r="N121" s="447">
        <v>35674</v>
      </c>
      <c r="O121" s="13">
        <f t="shared" si="29"/>
        <v>9</v>
      </c>
      <c r="P121" s="76">
        <f>SUM(RESID!J170:J181)</f>
        <v>2940.6</v>
      </c>
      <c r="Q121" s="446">
        <f>SUM(RESID!K170:K181)</f>
        <v>2990.7999999999997</v>
      </c>
      <c r="R121" s="4">
        <f t="shared" si="17"/>
        <v>-50.199999999999818</v>
      </c>
      <c r="S121" s="100">
        <f t="shared" si="26"/>
        <v>51</v>
      </c>
      <c r="T121" s="76">
        <f>SUM(RESID!M170:M181)</f>
        <v>406.2</v>
      </c>
      <c r="U121" s="446">
        <f>SUM(RESID!N170:N181)</f>
        <v>500.5</v>
      </c>
      <c r="V121" s="4">
        <f t="shared" si="18"/>
        <v>-94.300000000000011</v>
      </c>
      <c r="W121" s="100">
        <f t="shared" si="27"/>
        <v>58</v>
      </c>
      <c r="X121" s="6">
        <f t="shared" si="19"/>
        <v>-144.49999999999983</v>
      </c>
      <c r="Y121" s="100">
        <f t="shared" si="28"/>
        <v>47</v>
      </c>
    </row>
    <row r="122" spans="1:25">
      <c r="A122" s="13">
        <v>1992</v>
      </c>
      <c r="B122" s="13">
        <v>10</v>
      </c>
      <c r="C122" s="200">
        <f>RESID!J122</f>
        <v>346</v>
      </c>
      <c r="D122" s="200">
        <f>RESID!K122</f>
        <v>373.2</v>
      </c>
      <c r="E122" s="13">
        <f t="shared" si="20"/>
        <v>-27.199999999999989</v>
      </c>
      <c r="F122" s="100">
        <f t="shared" si="21"/>
        <v>1</v>
      </c>
      <c r="G122" s="200">
        <f>RESID!M122</f>
        <v>1.9</v>
      </c>
      <c r="H122" s="200">
        <f>RESID!N122</f>
        <v>1.3</v>
      </c>
      <c r="I122" s="200">
        <f t="shared" si="22"/>
        <v>0.59999999999999987</v>
      </c>
      <c r="J122" s="100">
        <f t="shared" si="23"/>
        <v>0</v>
      </c>
      <c r="K122" s="171">
        <f t="shared" si="24"/>
        <v>-26.599999999999987</v>
      </c>
      <c r="L122" s="100">
        <f t="shared" si="25"/>
        <v>46</v>
      </c>
      <c r="N122" s="447">
        <v>35704</v>
      </c>
      <c r="O122" s="13">
        <f t="shared" si="29"/>
        <v>10</v>
      </c>
      <c r="P122" s="76">
        <f>SUM(RESID!J171:J182)</f>
        <v>2998.1000000000004</v>
      </c>
      <c r="Q122" s="446">
        <f>SUM(RESID!K171:K182)</f>
        <v>2990.7999999999997</v>
      </c>
      <c r="R122" s="4">
        <f t="shared" si="17"/>
        <v>7.3000000000006366</v>
      </c>
      <c r="S122" s="100">
        <f t="shared" si="26"/>
        <v>51</v>
      </c>
      <c r="T122" s="76">
        <f>SUM(RESID!M171:M182)</f>
        <v>404.90000000000003</v>
      </c>
      <c r="U122" s="446">
        <f>SUM(RESID!N171:N182)</f>
        <v>500.5</v>
      </c>
      <c r="V122" s="4">
        <f t="shared" si="18"/>
        <v>-95.599999999999966</v>
      </c>
      <c r="W122" s="100">
        <f t="shared" si="27"/>
        <v>59</v>
      </c>
      <c r="X122" s="6">
        <f t="shared" si="19"/>
        <v>-88.299999999999329</v>
      </c>
      <c r="Y122" s="100">
        <f t="shared" si="28"/>
        <v>48</v>
      </c>
    </row>
    <row r="123" spans="1:25">
      <c r="A123" s="13">
        <v>1992</v>
      </c>
      <c r="B123" s="13">
        <v>11</v>
      </c>
      <c r="C123" s="200">
        <f>RESID!J123</f>
        <v>181.4</v>
      </c>
      <c r="D123" s="200">
        <f>RESID!K123</f>
        <v>204.3</v>
      </c>
      <c r="E123" s="13">
        <f t="shared" si="20"/>
        <v>-22.900000000000006</v>
      </c>
      <c r="F123" s="100">
        <f t="shared" si="21"/>
        <v>1</v>
      </c>
      <c r="G123" s="200">
        <f>RESID!M123</f>
        <v>14.8</v>
      </c>
      <c r="H123" s="200">
        <f>RESID!N123</f>
        <v>24.1</v>
      </c>
      <c r="I123" s="200">
        <f t="shared" si="22"/>
        <v>-9.3000000000000007</v>
      </c>
      <c r="J123" s="100">
        <f t="shared" si="23"/>
        <v>1</v>
      </c>
      <c r="K123" s="171">
        <f t="shared" si="24"/>
        <v>-32.200000000000003</v>
      </c>
      <c r="L123" s="100">
        <f t="shared" si="25"/>
        <v>47</v>
      </c>
      <c r="N123" s="447">
        <v>35735</v>
      </c>
      <c r="O123" s="13">
        <f t="shared" si="29"/>
        <v>11</v>
      </c>
      <c r="P123" s="76">
        <f>SUM(RESID!J172:J183)</f>
        <v>2954.2000000000003</v>
      </c>
      <c r="Q123" s="446">
        <f>SUM(RESID!K172:K183)</f>
        <v>2990.7999999999997</v>
      </c>
      <c r="R123" s="4">
        <f t="shared" si="17"/>
        <v>-36.599999999999454</v>
      </c>
      <c r="S123" s="100">
        <f t="shared" si="26"/>
        <v>52</v>
      </c>
      <c r="T123" s="76">
        <f>SUM(RESID!M172:M183)</f>
        <v>411.60000000000008</v>
      </c>
      <c r="U123" s="446">
        <f>SUM(RESID!N172:N183)</f>
        <v>500.5</v>
      </c>
      <c r="V123" s="4">
        <f t="shared" si="18"/>
        <v>-88.89999999999992</v>
      </c>
      <c r="W123" s="100">
        <f t="shared" si="27"/>
        <v>60</v>
      </c>
      <c r="X123" s="6">
        <f t="shared" si="19"/>
        <v>-125.49999999999937</v>
      </c>
      <c r="Y123" s="100">
        <f t="shared" si="28"/>
        <v>49</v>
      </c>
    </row>
    <row r="124" spans="1:25">
      <c r="A124" s="90">
        <v>1992</v>
      </c>
      <c r="B124" s="90">
        <v>12</v>
      </c>
      <c r="C124" s="200">
        <f>RESID!J124</f>
        <v>119</v>
      </c>
      <c r="D124" s="200">
        <f>RESID!K124</f>
        <v>88</v>
      </c>
      <c r="E124" s="13">
        <f t="shared" si="20"/>
        <v>31</v>
      </c>
      <c r="F124" s="100">
        <f t="shared" si="21"/>
        <v>0</v>
      </c>
      <c r="G124" s="200">
        <f>RESID!M124</f>
        <v>88.7</v>
      </c>
      <c r="H124" s="200">
        <f>RESID!N124</f>
        <v>83.9</v>
      </c>
      <c r="I124" s="200">
        <f t="shared" si="22"/>
        <v>4.7999999999999972</v>
      </c>
      <c r="J124" s="100">
        <f t="shared" si="23"/>
        <v>0</v>
      </c>
      <c r="K124" s="171">
        <f t="shared" si="24"/>
        <v>35.799999999999997</v>
      </c>
      <c r="L124" s="100">
        <f t="shared" si="25"/>
        <v>47</v>
      </c>
      <c r="N124" s="447">
        <v>35765</v>
      </c>
      <c r="O124" s="13">
        <f t="shared" si="29"/>
        <v>12</v>
      </c>
      <c r="P124" s="76">
        <f>SUM(RESID!J173:J184)</f>
        <v>2947.5000000000005</v>
      </c>
      <c r="Q124" s="446">
        <f>SUM(RESID!K173:K184)</f>
        <v>2990.7999999999997</v>
      </c>
      <c r="R124" s="4">
        <f t="shared" si="17"/>
        <v>-43.299999999999272</v>
      </c>
      <c r="S124" s="100">
        <f t="shared" si="26"/>
        <v>53</v>
      </c>
      <c r="T124" s="76">
        <f>SUM(RESID!M173:M184)</f>
        <v>423.6</v>
      </c>
      <c r="U124" s="446">
        <f>SUM(RESID!N173:N184)</f>
        <v>500.5</v>
      </c>
      <c r="V124" s="4">
        <f t="shared" si="18"/>
        <v>-76.899999999999977</v>
      </c>
      <c r="W124" s="100">
        <f t="shared" si="27"/>
        <v>61</v>
      </c>
      <c r="X124" s="6">
        <f t="shared" si="19"/>
        <v>-120.19999999999925</v>
      </c>
      <c r="Y124" s="100">
        <f t="shared" si="28"/>
        <v>50</v>
      </c>
    </row>
    <row r="125" spans="1:25">
      <c r="A125" s="13">
        <v>1993</v>
      </c>
      <c r="B125" s="13">
        <v>1</v>
      </c>
      <c r="C125" s="200">
        <f>RESID!J125</f>
        <v>90.4</v>
      </c>
      <c r="D125" s="200">
        <f>RESID!K125</f>
        <v>49.5</v>
      </c>
      <c r="E125" s="13">
        <f t="shared" si="20"/>
        <v>40.900000000000006</v>
      </c>
      <c r="F125" s="100">
        <f t="shared" si="21"/>
        <v>0</v>
      </c>
      <c r="G125" s="200">
        <f>RESID!M125</f>
        <v>55.4</v>
      </c>
      <c r="H125" s="200">
        <f>RESID!N125</f>
        <v>131.6</v>
      </c>
      <c r="I125" s="200">
        <f t="shared" si="22"/>
        <v>-76.199999999999989</v>
      </c>
      <c r="J125" s="100">
        <f t="shared" si="23"/>
        <v>1</v>
      </c>
      <c r="K125" s="171">
        <f t="shared" si="24"/>
        <v>-35.299999999999983</v>
      </c>
      <c r="L125" s="100">
        <f t="shared" si="25"/>
        <v>48</v>
      </c>
      <c r="N125" s="447">
        <v>35796</v>
      </c>
      <c r="O125" s="13">
        <f t="shared" si="29"/>
        <v>1</v>
      </c>
      <c r="P125" s="76">
        <f>SUM(RESID!J174:J185)</f>
        <v>2942.7000000000003</v>
      </c>
      <c r="Q125" s="446">
        <f>SUM(RESID!K174:K185)</f>
        <v>2990.7999999999997</v>
      </c>
      <c r="R125" s="4">
        <f t="shared" si="17"/>
        <v>-48.099999999999454</v>
      </c>
      <c r="S125" s="100">
        <f t="shared" si="26"/>
        <v>54</v>
      </c>
      <c r="T125" s="76">
        <f>SUM(RESID!M174:M185)</f>
        <v>429.4</v>
      </c>
      <c r="U125" s="446">
        <f>SUM(RESID!N174:N185)</f>
        <v>500.5</v>
      </c>
      <c r="V125" s="4">
        <f t="shared" si="18"/>
        <v>-71.100000000000023</v>
      </c>
      <c r="W125" s="100">
        <f t="shared" si="27"/>
        <v>62</v>
      </c>
      <c r="X125" s="6">
        <f t="shared" si="19"/>
        <v>-119.19999999999948</v>
      </c>
      <c r="Y125" s="100">
        <f t="shared" si="28"/>
        <v>51</v>
      </c>
    </row>
    <row r="126" spans="1:25">
      <c r="A126" s="13">
        <v>1993</v>
      </c>
      <c r="B126" s="13">
        <v>2</v>
      </c>
      <c r="C126" s="200">
        <f>RESID!J126</f>
        <v>46</v>
      </c>
      <c r="D126" s="200">
        <f>RESID!K126</f>
        <v>43.3</v>
      </c>
      <c r="E126" s="13">
        <f t="shared" si="20"/>
        <v>2.7000000000000028</v>
      </c>
      <c r="F126" s="100">
        <f t="shared" si="21"/>
        <v>0</v>
      </c>
      <c r="G126" s="200">
        <f>RESID!M126</f>
        <v>93.9</v>
      </c>
      <c r="H126" s="200">
        <f>RESID!N126</f>
        <v>127.9</v>
      </c>
      <c r="I126" s="200">
        <f t="shared" si="22"/>
        <v>-34</v>
      </c>
      <c r="J126" s="100">
        <f t="shared" si="23"/>
        <v>1</v>
      </c>
      <c r="K126" s="171">
        <f t="shared" si="24"/>
        <v>-31.299999999999997</v>
      </c>
      <c r="L126" s="100">
        <f t="shared" si="25"/>
        <v>49</v>
      </c>
      <c r="N126" s="447">
        <v>35827</v>
      </c>
      <c r="O126" s="13">
        <f t="shared" si="29"/>
        <v>2</v>
      </c>
      <c r="P126" s="76">
        <f>SUM(RESID!J175:J186)</f>
        <v>2913.3</v>
      </c>
      <c r="Q126" s="446">
        <f>SUM(RESID!K175:K186)</f>
        <v>2990.8</v>
      </c>
      <c r="R126" s="4">
        <f t="shared" si="17"/>
        <v>-77.5</v>
      </c>
      <c r="S126" s="100">
        <f t="shared" si="26"/>
        <v>55</v>
      </c>
      <c r="T126" s="76">
        <f>SUM(RESID!M175:M186)</f>
        <v>434.9</v>
      </c>
      <c r="U126" s="446">
        <f>SUM(RESID!N175:N186)</f>
        <v>500.5</v>
      </c>
      <c r="V126" s="4">
        <f t="shared" si="18"/>
        <v>-65.600000000000023</v>
      </c>
      <c r="W126" s="100">
        <f t="shared" si="27"/>
        <v>63</v>
      </c>
      <c r="X126" s="6">
        <f t="shared" si="19"/>
        <v>-143.10000000000002</v>
      </c>
      <c r="Y126" s="100">
        <f t="shared" si="28"/>
        <v>52</v>
      </c>
    </row>
    <row r="127" spans="1:25">
      <c r="A127" s="13">
        <v>1993</v>
      </c>
      <c r="B127" s="13">
        <v>3</v>
      </c>
      <c r="C127" s="200">
        <f>RESID!J127</f>
        <v>27.8</v>
      </c>
      <c r="D127" s="200">
        <f>RESID!K127</f>
        <v>77.2</v>
      </c>
      <c r="E127" s="13">
        <f t="shared" si="20"/>
        <v>-49.400000000000006</v>
      </c>
      <c r="F127" s="100">
        <f t="shared" si="21"/>
        <v>1</v>
      </c>
      <c r="G127" s="200">
        <f>RESID!M127</f>
        <v>123</v>
      </c>
      <c r="H127" s="200">
        <f>RESID!N127</f>
        <v>82.3</v>
      </c>
      <c r="I127" s="200">
        <f t="shared" si="22"/>
        <v>40.700000000000003</v>
      </c>
      <c r="J127" s="100">
        <f t="shared" si="23"/>
        <v>0</v>
      </c>
      <c r="K127" s="171">
        <f t="shared" si="24"/>
        <v>-8.7000000000000028</v>
      </c>
      <c r="L127" s="100">
        <f t="shared" si="25"/>
        <v>50</v>
      </c>
      <c r="N127" s="447">
        <v>35855</v>
      </c>
      <c r="O127" s="13">
        <f t="shared" si="29"/>
        <v>3</v>
      </c>
      <c r="P127" s="76">
        <f>SUM(RESID!J176:J187)</f>
        <v>2812.8</v>
      </c>
      <c r="Q127" s="446">
        <f>SUM(RESID!K176:K187)</f>
        <v>2990.7999999999997</v>
      </c>
      <c r="R127" s="4">
        <f t="shared" si="17"/>
        <v>-177.99999999999955</v>
      </c>
      <c r="S127" s="100">
        <f t="shared" si="26"/>
        <v>56</v>
      </c>
      <c r="T127" s="76">
        <f>SUM(RESID!M176:M187)</f>
        <v>514.9</v>
      </c>
      <c r="U127" s="446">
        <f>SUM(RESID!N176:N187)</f>
        <v>500.49999999999994</v>
      </c>
      <c r="V127" s="4">
        <f t="shared" si="18"/>
        <v>14.400000000000034</v>
      </c>
      <c r="W127" s="100">
        <f t="shared" si="27"/>
        <v>63</v>
      </c>
      <c r="X127" s="6">
        <f t="shared" si="19"/>
        <v>-163.59999999999951</v>
      </c>
      <c r="Y127" s="100">
        <f t="shared" si="28"/>
        <v>53</v>
      </c>
    </row>
    <row r="128" spans="1:25">
      <c r="A128" s="13">
        <v>1993</v>
      </c>
      <c r="B128" s="13">
        <v>4</v>
      </c>
      <c r="C128" s="200">
        <f>RESID!J128</f>
        <v>85.7</v>
      </c>
      <c r="D128" s="200">
        <f>RESID!K128</f>
        <v>138.1</v>
      </c>
      <c r="E128" s="13">
        <f t="shared" si="20"/>
        <v>-52.399999999999991</v>
      </c>
      <c r="F128" s="100">
        <f t="shared" si="21"/>
        <v>1</v>
      </c>
      <c r="G128" s="200">
        <f>RESID!M128</f>
        <v>55.9</v>
      </c>
      <c r="H128" s="200">
        <f>RESID!N128</f>
        <v>37.299999999999997</v>
      </c>
      <c r="I128" s="200">
        <f t="shared" si="22"/>
        <v>18.600000000000001</v>
      </c>
      <c r="J128" s="100">
        <f t="shared" si="23"/>
        <v>0</v>
      </c>
      <c r="K128" s="171">
        <f t="shared" si="24"/>
        <v>-33.79999999999999</v>
      </c>
      <c r="L128" s="100">
        <f t="shared" si="25"/>
        <v>51</v>
      </c>
      <c r="N128" s="447">
        <v>35886</v>
      </c>
      <c r="O128" s="13">
        <f t="shared" si="29"/>
        <v>4</v>
      </c>
      <c r="P128" s="76">
        <f>SUM(RESID!J177:J188)</f>
        <v>2781</v>
      </c>
      <c r="Q128" s="446">
        <f>SUM(RESID!K177:K188)</f>
        <v>2990.8</v>
      </c>
      <c r="R128" s="4">
        <f t="shared" si="17"/>
        <v>-209.80000000000018</v>
      </c>
      <c r="S128" s="100">
        <f t="shared" si="26"/>
        <v>57</v>
      </c>
      <c r="T128" s="76">
        <f>SUM(RESID!M177:M188)</f>
        <v>557.39999999999986</v>
      </c>
      <c r="U128" s="446">
        <f>SUM(RESID!N177:N188)</f>
        <v>500.5</v>
      </c>
      <c r="V128" s="4">
        <f t="shared" si="18"/>
        <v>56.899999999999864</v>
      </c>
      <c r="W128" s="100">
        <f t="shared" si="27"/>
        <v>63</v>
      </c>
      <c r="X128" s="6">
        <f t="shared" si="19"/>
        <v>-152.90000000000032</v>
      </c>
      <c r="Y128" s="100">
        <f t="shared" si="28"/>
        <v>54</v>
      </c>
    </row>
    <row r="129" spans="1:25">
      <c r="A129" s="13">
        <v>1993</v>
      </c>
      <c r="B129" s="13">
        <v>5</v>
      </c>
      <c r="C129" s="200">
        <f>RESID!J129</f>
        <v>160.1</v>
      </c>
      <c r="D129" s="200">
        <f>RESID!K129</f>
        <v>224.4</v>
      </c>
      <c r="E129" s="13">
        <f t="shared" si="20"/>
        <v>-64.300000000000011</v>
      </c>
      <c r="F129" s="100">
        <f t="shared" si="21"/>
        <v>1</v>
      </c>
      <c r="G129" s="200">
        <f>RESID!M129</f>
        <v>21.8</v>
      </c>
      <c r="H129" s="200">
        <f>RESID!N129</f>
        <v>11.2</v>
      </c>
      <c r="I129" s="200">
        <f t="shared" si="22"/>
        <v>10.600000000000001</v>
      </c>
      <c r="J129" s="100">
        <f t="shared" si="23"/>
        <v>0</v>
      </c>
      <c r="K129" s="171">
        <f t="shared" si="24"/>
        <v>-53.70000000000001</v>
      </c>
      <c r="L129" s="100">
        <f t="shared" si="25"/>
        <v>52</v>
      </c>
      <c r="N129" s="447">
        <v>35916</v>
      </c>
      <c r="O129" s="13">
        <f t="shared" si="29"/>
        <v>5</v>
      </c>
      <c r="P129" s="76">
        <f>SUM(RESID!J178:J189)</f>
        <v>2823.9</v>
      </c>
      <c r="Q129" s="446">
        <f>SUM(RESID!K178:K189)</f>
        <v>2990.8</v>
      </c>
      <c r="R129" s="4">
        <f t="shared" ref="R129:R184" si="30">P129-Q129</f>
        <v>-166.90000000000009</v>
      </c>
      <c r="S129" s="100">
        <f t="shared" si="26"/>
        <v>58</v>
      </c>
      <c r="T129" s="76">
        <f>SUM(RESID!M178:M189)</f>
        <v>555.79999999999995</v>
      </c>
      <c r="U129" s="446">
        <f>SUM(RESID!N178:N189)</f>
        <v>500.50000000000006</v>
      </c>
      <c r="V129" s="4">
        <f t="shared" ref="V129:V184" si="31">T129-U129</f>
        <v>55.299999999999898</v>
      </c>
      <c r="W129" s="100">
        <f t="shared" si="27"/>
        <v>63</v>
      </c>
      <c r="X129" s="6">
        <f t="shared" ref="X129:X184" si="32">R129+V129</f>
        <v>-111.60000000000019</v>
      </c>
      <c r="Y129" s="100">
        <f t="shared" si="28"/>
        <v>55</v>
      </c>
    </row>
    <row r="130" spans="1:25">
      <c r="A130" s="13">
        <v>1993</v>
      </c>
      <c r="B130" s="13">
        <v>6</v>
      </c>
      <c r="C130" s="200">
        <f>RESID!J130</f>
        <v>337.5</v>
      </c>
      <c r="D130" s="200">
        <f>RESID!K130</f>
        <v>382.8</v>
      </c>
      <c r="E130" s="13">
        <f t="shared" si="20"/>
        <v>-45.300000000000011</v>
      </c>
      <c r="F130" s="100">
        <f t="shared" si="21"/>
        <v>1</v>
      </c>
      <c r="G130" s="200">
        <f>RESID!M130</f>
        <v>1.5</v>
      </c>
      <c r="H130" s="200">
        <f>RESID!N130</f>
        <v>0.9</v>
      </c>
      <c r="I130" s="200">
        <f t="shared" si="22"/>
        <v>0.6</v>
      </c>
      <c r="J130" s="100">
        <f t="shared" si="23"/>
        <v>0</v>
      </c>
      <c r="K130" s="171">
        <f t="shared" si="24"/>
        <v>-44.70000000000001</v>
      </c>
      <c r="L130" s="100">
        <f t="shared" si="25"/>
        <v>53</v>
      </c>
      <c r="N130" s="447">
        <v>35947</v>
      </c>
      <c r="O130" s="13">
        <f t="shared" si="29"/>
        <v>6</v>
      </c>
      <c r="P130" s="76">
        <f>SUM(RESID!J179:J190)</f>
        <v>2933.9</v>
      </c>
      <c r="Q130" s="446">
        <f>SUM(RESID!K179:K190)</f>
        <v>2990.8</v>
      </c>
      <c r="R130" s="4">
        <f t="shared" si="30"/>
        <v>-56.900000000000091</v>
      </c>
      <c r="S130" s="100">
        <f t="shared" si="26"/>
        <v>59</v>
      </c>
      <c r="T130" s="76">
        <f>SUM(RESID!M179:M190)</f>
        <v>555.09999999999991</v>
      </c>
      <c r="U130" s="446">
        <f>SUM(RESID!N179:N190)</f>
        <v>500.5</v>
      </c>
      <c r="V130" s="4">
        <f t="shared" si="31"/>
        <v>54.599999999999909</v>
      </c>
      <c r="W130" s="100">
        <f t="shared" si="27"/>
        <v>63</v>
      </c>
      <c r="X130" s="6">
        <f t="shared" si="32"/>
        <v>-2.3000000000001819</v>
      </c>
      <c r="Y130" s="100">
        <f t="shared" si="28"/>
        <v>56</v>
      </c>
    </row>
    <row r="131" spans="1:25">
      <c r="A131" s="13">
        <v>1993</v>
      </c>
      <c r="B131" s="13">
        <v>7</v>
      </c>
      <c r="C131" s="200">
        <f>RESID!J131</f>
        <v>458.4</v>
      </c>
      <c r="D131" s="200">
        <f>RESID!K131</f>
        <v>454.9</v>
      </c>
      <c r="E131" s="13">
        <f t="shared" si="20"/>
        <v>3.5</v>
      </c>
      <c r="F131" s="100">
        <f t="shared" si="21"/>
        <v>0</v>
      </c>
      <c r="G131" s="200">
        <f>RESID!M131</f>
        <v>0</v>
      </c>
      <c r="H131" s="200">
        <f>RESID!N131</f>
        <v>0</v>
      </c>
      <c r="I131" s="200">
        <f t="shared" si="22"/>
        <v>0</v>
      </c>
      <c r="J131" s="100">
        <f t="shared" si="23"/>
        <v>0</v>
      </c>
      <c r="K131" s="171">
        <f t="shared" si="24"/>
        <v>3.5</v>
      </c>
      <c r="L131" s="100">
        <f t="shared" si="25"/>
        <v>53</v>
      </c>
      <c r="N131" s="447">
        <v>35977</v>
      </c>
      <c r="O131" s="13">
        <f t="shared" si="29"/>
        <v>7</v>
      </c>
      <c r="P131" s="76">
        <f>SUM(RESID!J180:J191)</f>
        <v>3003.9000000000005</v>
      </c>
      <c r="Q131" s="446">
        <f>SUM(RESID!K180:K191)</f>
        <v>2990.8</v>
      </c>
      <c r="R131" s="4">
        <f t="shared" si="30"/>
        <v>13.100000000000364</v>
      </c>
      <c r="S131" s="100">
        <f t="shared" si="26"/>
        <v>59</v>
      </c>
      <c r="T131" s="76">
        <f>SUM(RESID!M180:M191)</f>
        <v>555.09999999999991</v>
      </c>
      <c r="U131" s="446">
        <f>SUM(RESID!N180:N191)</f>
        <v>500.5</v>
      </c>
      <c r="V131" s="4">
        <f t="shared" si="31"/>
        <v>54.599999999999909</v>
      </c>
      <c r="W131" s="100">
        <f t="shared" si="27"/>
        <v>63</v>
      </c>
      <c r="X131" s="6">
        <f t="shared" si="32"/>
        <v>67.700000000000273</v>
      </c>
      <c r="Y131" s="100">
        <f t="shared" si="28"/>
        <v>56</v>
      </c>
    </row>
    <row r="132" spans="1:25">
      <c r="A132" s="13">
        <v>1993</v>
      </c>
      <c r="B132" s="13">
        <v>8</v>
      </c>
      <c r="C132" s="200">
        <f>RESID!J132</f>
        <v>530.4</v>
      </c>
      <c r="D132" s="200">
        <f>RESID!K132</f>
        <v>481.4</v>
      </c>
      <c r="E132" s="13">
        <f t="shared" si="20"/>
        <v>49</v>
      </c>
      <c r="F132" s="100">
        <f t="shared" si="21"/>
        <v>0</v>
      </c>
      <c r="G132" s="200">
        <f>RESID!M132</f>
        <v>0</v>
      </c>
      <c r="H132" s="200">
        <f>RESID!N132</f>
        <v>0</v>
      </c>
      <c r="I132" s="200">
        <f t="shared" si="22"/>
        <v>0</v>
      </c>
      <c r="J132" s="100">
        <f t="shared" si="23"/>
        <v>0</v>
      </c>
      <c r="K132" s="171">
        <f t="shared" si="24"/>
        <v>49</v>
      </c>
      <c r="L132" s="100">
        <f t="shared" si="25"/>
        <v>53</v>
      </c>
      <c r="N132" s="447">
        <v>36008</v>
      </c>
      <c r="O132" s="13">
        <f t="shared" si="29"/>
        <v>8</v>
      </c>
      <c r="P132" s="76">
        <f>SUM(RESID!J181:J192)</f>
        <v>3052.3</v>
      </c>
      <c r="Q132" s="446">
        <f>SUM(RESID!K181:K192)</f>
        <v>2990.8</v>
      </c>
      <c r="R132" s="4">
        <f t="shared" si="30"/>
        <v>61.5</v>
      </c>
      <c r="S132" s="100">
        <f t="shared" si="26"/>
        <v>59</v>
      </c>
      <c r="T132" s="76">
        <f>SUM(RESID!M181:M192)</f>
        <v>555.09999999999991</v>
      </c>
      <c r="U132" s="446">
        <f>SUM(RESID!N181:N192)</f>
        <v>500.5</v>
      </c>
      <c r="V132" s="4">
        <f t="shared" si="31"/>
        <v>54.599999999999909</v>
      </c>
      <c r="W132" s="100">
        <f t="shared" si="27"/>
        <v>63</v>
      </c>
      <c r="X132" s="6">
        <f t="shared" si="32"/>
        <v>116.09999999999991</v>
      </c>
      <c r="Y132" s="100">
        <f t="shared" si="28"/>
        <v>56</v>
      </c>
    </row>
    <row r="133" spans="1:25">
      <c r="A133" s="13">
        <v>1993</v>
      </c>
      <c r="B133" s="13">
        <v>9</v>
      </c>
      <c r="C133" s="200">
        <f>RESID!J133</f>
        <v>466.1</v>
      </c>
      <c r="D133" s="200">
        <f>RESID!K133</f>
        <v>473.7</v>
      </c>
      <c r="E133" s="13">
        <f t="shared" si="20"/>
        <v>-7.5999999999999659</v>
      </c>
      <c r="F133" s="100">
        <f t="shared" si="21"/>
        <v>1</v>
      </c>
      <c r="G133" s="200">
        <f>RESID!M133</f>
        <v>0</v>
      </c>
      <c r="H133" s="200">
        <f>RESID!N133</f>
        <v>0</v>
      </c>
      <c r="I133" s="200">
        <f t="shared" si="22"/>
        <v>0</v>
      </c>
      <c r="J133" s="100">
        <f t="shared" si="23"/>
        <v>0</v>
      </c>
      <c r="K133" s="171">
        <f t="shared" si="24"/>
        <v>-7.5999999999999659</v>
      </c>
      <c r="L133" s="100">
        <f t="shared" si="25"/>
        <v>54</v>
      </c>
      <c r="N133" s="447">
        <v>36039</v>
      </c>
      <c r="O133" s="13">
        <f t="shared" si="29"/>
        <v>9</v>
      </c>
      <c r="P133" s="76">
        <f>SUM(RESID!J182:J193)</f>
        <v>3067.8</v>
      </c>
      <c r="Q133" s="446">
        <f>SUM(RESID!K182:K193)</f>
        <v>2990.7999999999997</v>
      </c>
      <c r="R133" s="4">
        <f t="shared" si="30"/>
        <v>77.000000000000455</v>
      </c>
      <c r="S133" s="100">
        <f t="shared" si="26"/>
        <v>59</v>
      </c>
      <c r="T133" s="76">
        <f>SUM(RESID!M182:M193)</f>
        <v>555.09999999999991</v>
      </c>
      <c r="U133" s="446">
        <f>SUM(RESID!N182:N193)</f>
        <v>500.5</v>
      </c>
      <c r="V133" s="4">
        <f t="shared" si="31"/>
        <v>54.599999999999909</v>
      </c>
      <c r="W133" s="100">
        <f t="shared" si="27"/>
        <v>63</v>
      </c>
      <c r="X133" s="6">
        <f t="shared" si="32"/>
        <v>131.60000000000036</v>
      </c>
      <c r="Y133" s="100">
        <f t="shared" si="28"/>
        <v>56</v>
      </c>
    </row>
    <row r="134" spans="1:25">
      <c r="A134" s="13">
        <v>1993</v>
      </c>
      <c r="B134" s="13">
        <v>10</v>
      </c>
      <c r="C134" s="200">
        <f>RESID!J134</f>
        <v>369.2</v>
      </c>
      <c r="D134" s="200">
        <f>RESID!K134</f>
        <v>373.2</v>
      </c>
      <c r="E134" s="13">
        <f t="shared" si="20"/>
        <v>-4</v>
      </c>
      <c r="F134" s="100">
        <f t="shared" si="21"/>
        <v>1</v>
      </c>
      <c r="G134" s="200">
        <f>RESID!M134</f>
        <v>1.7</v>
      </c>
      <c r="H134" s="200">
        <f>RESID!N134</f>
        <v>1.3</v>
      </c>
      <c r="I134" s="200">
        <f t="shared" si="22"/>
        <v>0.39999999999999991</v>
      </c>
      <c r="J134" s="100">
        <f t="shared" si="23"/>
        <v>0</v>
      </c>
      <c r="K134" s="171">
        <f t="shared" si="24"/>
        <v>-3.6</v>
      </c>
      <c r="L134" s="100">
        <f t="shared" si="25"/>
        <v>55</v>
      </c>
      <c r="N134" s="447">
        <v>36069</v>
      </c>
      <c r="O134" s="13">
        <f t="shared" si="29"/>
        <v>10</v>
      </c>
      <c r="P134" s="76">
        <f>SUM(RESID!J183:J194)</f>
        <v>3087.4</v>
      </c>
      <c r="Q134" s="446">
        <f>SUM(RESID!K183:K194)</f>
        <v>2990.7999999999997</v>
      </c>
      <c r="R134" s="4">
        <f t="shared" si="30"/>
        <v>96.600000000000364</v>
      </c>
      <c r="S134" s="100">
        <f t="shared" si="26"/>
        <v>59</v>
      </c>
      <c r="T134" s="76">
        <f>SUM(RESID!M183:M194)</f>
        <v>554.19999999999993</v>
      </c>
      <c r="U134" s="446">
        <f>SUM(RESID!N183:N194)</f>
        <v>500.5</v>
      </c>
      <c r="V134" s="4">
        <f t="shared" si="31"/>
        <v>53.699999999999932</v>
      </c>
      <c r="W134" s="100">
        <f t="shared" si="27"/>
        <v>63</v>
      </c>
      <c r="X134" s="6">
        <f t="shared" si="32"/>
        <v>150.3000000000003</v>
      </c>
      <c r="Y134" s="100">
        <f t="shared" si="28"/>
        <v>56</v>
      </c>
    </row>
    <row r="135" spans="1:25">
      <c r="A135" s="13">
        <v>1993</v>
      </c>
      <c r="B135" s="13">
        <v>11</v>
      </c>
      <c r="C135" s="200">
        <f>RESID!J135</f>
        <v>206.5</v>
      </c>
      <c r="D135" s="200">
        <f>RESID!K135</f>
        <v>204.3</v>
      </c>
      <c r="E135" s="13">
        <f t="shared" si="20"/>
        <v>2.1999999999999886</v>
      </c>
      <c r="F135" s="100">
        <f t="shared" si="21"/>
        <v>0</v>
      </c>
      <c r="G135" s="200">
        <f>RESID!M135</f>
        <v>30.1</v>
      </c>
      <c r="H135" s="200">
        <f>RESID!N135</f>
        <v>24.1</v>
      </c>
      <c r="I135" s="200">
        <f t="shared" si="22"/>
        <v>6</v>
      </c>
      <c r="J135" s="100">
        <f t="shared" si="23"/>
        <v>0</v>
      </c>
      <c r="K135" s="171">
        <f t="shared" si="24"/>
        <v>8.1999999999999886</v>
      </c>
      <c r="L135" s="100">
        <f t="shared" si="25"/>
        <v>55</v>
      </c>
      <c r="N135" s="447">
        <v>36100</v>
      </c>
      <c r="O135" s="13">
        <f t="shared" si="29"/>
        <v>11</v>
      </c>
      <c r="P135" s="76">
        <f>SUM(RESID!J184:J195)</f>
        <v>3172</v>
      </c>
      <c r="Q135" s="446">
        <f>SUM(RESID!K184:K195)</f>
        <v>2990.7999999999997</v>
      </c>
      <c r="R135" s="4">
        <f t="shared" si="30"/>
        <v>181.20000000000027</v>
      </c>
      <c r="S135" s="100">
        <f t="shared" si="26"/>
        <v>59</v>
      </c>
      <c r="T135" s="76">
        <f>SUM(RESID!M184:M195)</f>
        <v>530.69999999999993</v>
      </c>
      <c r="U135" s="446">
        <f>SUM(RESID!N184:N195)</f>
        <v>500.5</v>
      </c>
      <c r="V135" s="4">
        <f t="shared" si="31"/>
        <v>30.199999999999932</v>
      </c>
      <c r="W135" s="100">
        <f t="shared" si="27"/>
        <v>63</v>
      </c>
      <c r="X135" s="6">
        <f t="shared" si="32"/>
        <v>211.4000000000002</v>
      </c>
      <c r="Y135" s="100">
        <f t="shared" si="28"/>
        <v>56</v>
      </c>
    </row>
    <row r="136" spans="1:25">
      <c r="A136" s="90">
        <v>1993</v>
      </c>
      <c r="B136" s="90">
        <v>12</v>
      </c>
      <c r="C136" s="200">
        <f>RESID!J136</f>
        <v>92.8</v>
      </c>
      <c r="D136" s="200">
        <f>RESID!K136</f>
        <v>88</v>
      </c>
      <c r="E136" s="13">
        <f t="shared" si="20"/>
        <v>4.7999999999999972</v>
      </c>
      <c r="F136" s="100">
        <f t="shared" si="21"/>
        <v>0</v>
      </c>
      <c r="G136" s="200">
        <f>RESID!M136</f>
        <v>72.3</v>
      </c>
      <c r="H136" s="200">
        <f>RESID!N136</f>
        <v>83.9</v>
      </c>
      <c r="I136" s="200">
        <f t="shared" si="22"/>
        <v>-11.600000000000009</v>
      </c>
      <c r="J136" s="100">
        <f t="shared" si="23"/>
        <v>1</v>
      </c>
      <c r="K136" s="171">
        <f t="shared" si="24"/>
        <v>-6.8000000000000114</v>
      </c>
      <c r="L136" s="100">
        <f t="shared" si="25"/>
        <v>56</v>
      </c>
      <c r="N136" s="447">
        <v>36130</v>
      </c>
      <c r="O136" s="13">
        <f t="shared" si="29"/>
        <v>12</v>
      </c>
      <c r="P136" s="76">
        <f>SUM(RESID!J185:J196)</f>
        <v>3286.0000000000005</v>
      </c>
      <c r="Q136" s="446">
        <f>SUM(RESID!K185:K196)</f>
        <v>2990.7999999999997</v>
      </c>
      <c r="R136" s="4">
        <f t="shared" si="30"/>
        <v>295.20000000000073</v>
      </c>
      <c r="S136" s="100">
        <f t="shared" si="26"/>
        <v>59</v>
      </c>
      <c r="T136" s="76">
        <f>SUM(RESID!M185:M196)</f>
        <v>464.6</v>
      </c>
      <c r="U136" s="446">
        <f>SUM(RESID!N185:N196)</f>
        <v>500.5</v>
      </c>
      <c r="V136" s="4">
        <f t="shared" si="31"/>
        <v>-35.899999999999977</v>
      </c>
      <c r="W136" s="100">
        <f t="shared" si="27"/>
        <v>64</v>
      </c>
      <c r="X136" s="6">
        <f t="shared" si="32"/>
        <v>259.30000000000075</v>
      </c>
      <c r="Y136" s="100">
        <f t="shared" si="28"/>
        <v>56</v>
      </c>
    </row>
    <row r="137" spans="1:25">
      <c r="A137" s="13">
        <v>1994</v>
      </c>
      <c r="B137" s="13">
        <v>1</v>
      </c>
      <c r="C137" s="200">
        <f>RESID!J137</f>
        <v>17</v>
      </c>
      <c r="D137" s="200">
        <f>RESID!K137</f>
        <v>49.5</v>
      </c>
      <c r="E137" s="13">
        <f t="shared" si="20"/>
        <v>-32.5</v>
      </c>
      <c r="F137" s="100">
        <f t="shared" si="21"/>
        <v>1</v>
      </c>
      <c r="G137" s="200">
        <f>RESID!M137</f>
        <v>198.1</v>
      </c>
      <c r="H137" s="200">
        <f>RESID!N137</f>
        <v>131.6</v>
      </c>
      <c r="I137" s="200">
        <f t="shared" si="22"/>
        <v>66.5</v>
      </c>
      <c r="J137" s="100">
        <f t="shared" si="23"/>
        <v>0</v>
      </c>
      <c r="K137" s="171">
        <f t="shared" si="24"/>
        <v>34</v>
      </c>
      <c r="L137" s="100">
        <f t="shared" si="25"/>
        <v>56</v>
      </c>
      <c r="N137" s="447">
        <v>36161</v>
      </c>
      <c r="O137" s="13">
        <f t="shared" si="29"/>
        <v>1</v>
      </c>
      <c r="P137" s="76">
        <f>SUM(RESID!J186:J197)</f>
        <v>3308.9000000000005</v>
      </c>
      <c r="Q137" s="446">
        <f>SUM(RESID!K186:K197)</f>
        <v>2990.7999999999997</v>
      </c>
      <c r="R137" s="4">
        <f t="shared" si="30"/>
        <v>318.10000000000082</v>
      </c>
      <c r="S137" s="100">
        <f t="shared" si="26"/>
        <v>59</v>
      </c>
      <c r="T137" s="76">
        <f>SUM(RESID!M186:M197)</f>
        <v>458.9</v>
      </c>
      <c r="U137" s="446">
        <f>SUM(RESID!N186:N197)</f>
        <v>500.5</v>
      </c>
      <c r="V137" s="4">
        <f t="shared" si="31"/>
        <v>-41.600000000000023</v>
      </c>
      <c r="W137" s="100">
        <f t="shared" si="27"/>
        <v>65</v>
      </c>
      <c r="X137" s="6">
        <f t="shared" si="32"/>
        <v>276.5000000000008</v>
      </c>
      <c r="Y137" s="100">
        <f t="shared" si="28"/>
        <v>56</v>
      </c>
    </row>
    <row r="138" spans="1:25">
      <c r="A138" s="13">
        <v>1994</v>
      </c>
      <c r="B138" s="13">
        <v>2</v>
      </c>
      <c r="C138" s="200">
        <f>RESID!J138</f>
        <v>50</v>
      </c>
      <c r="D138" s="200">
        <f>RESID!K138</f>
        <v>43.3</v>
      </c>
      <c r="E138" s="13">
        <f t="shared" si="20"/>
        <v>6.7000000000000028</v>
      </c>
      <c r="F138" s="100">
        <f t="shared" si="21"/>
        <v>0</v>
      </c>
      <c r="G138" s="200">
        <f>RESID!M138</f>
        <v>133.6</v>
      </c>
      <c r="H138" s="200">
        <f>RESID!N138</f>
        <v>127.9</v>
      </c>
      <c r="I138" s="200">
        <f t="shared" si="22"/>
        <v>5.6999999999999886</v>
      </c>
      <c r="J138" s="100">
        <f t="shared" si="23"/>
        <v>0</v>
      </c>
      <c r="K138" s="171">
        <f t="shared" si="24"/>
        <v>12.399999999999991</v>
      </c>
      <c r="L138" s="100">
        <f t="shared" si="25"/>
        <v>56</v>
      </c>
      <c r="N138" s="447">
        <v>36192</v>
      </c>
      <c r="O138" s="13">
        <f t="shared" si="29"/>
        <v>2</v>
      </c>
      <c r="P138" s="76">
        <f>SUM(RESID!J187:J198)</f>
        <v>3371.3</v>
      </c>
      <c r="Q138" s="446">
        <f>SUM(RESID!K187:K198)</f>
        <v>2990.8</v>
      </c>
      <c r="R138" s="4">
        <f t="shared" si="30"/>
        <v>380.5</v>
      </c>
      <c r="S138" s="100">
        <f t="shared" si="26"/>
        <v>59</v>
      </c>
      <c r="T138" s="76">
        <f>SUM(RESID!M187:M198)</f>
        <v>397.1</v>
      </c>
      <c r="U138" s="446">
        <f>SUM(RESID!N187:N198)</f>
        <v>500.5</v>
      </c>
      <c r="V138" s="4">
        <f t="shared" si="31"/>
        <v>-103.39999999999998</v>
      </c>
      <c r="W138" s="100">
        <f t="shared" si="27"/>
        <v>66</v>
      </c>
      <c r="X138" s="6">
        <f t="shared" si="32"/>
        <v>277.10000000000002</v>
      </c>
      <c r="Y138" s="100">
        <f t="shared" si="28"/>
        <v>56</v>
      </c>
    </row>
    <row r="139" spans="1:25">
      <c r="A139" s="13">
        <v>1994</v>
      </c>
      <c r="B139" s="13">
        <v>3</v>
      </c>
      <c r="C139" s="200">
        <f>RESID!J139</f>
        <v>83.6</v>
      </c>
      <c r="D139" s="200">
        <f>RESID!K139</f>
        <v>77.2</v>
      </c>
      <c r="E139" s="13">
        <f t="shared" si="20"/>
        <v>6.3999999999999915</v>
      </c>
      <c r="F139" s="100">
        <f t="shared" si="21"/>
        <v>0</v>
      </c>
      <c r="G139" s="200">
        <f>RESID!M139</f>
        <v>55.5</v>
      </c>
      <c r="H139" s="200">
        <f>RESID!N139</f>
        <v>82.3</v>
      </c>
      <c r="I139" s="200">
        <f t="shared" si="22"/>
        <v>-26.799999999999997</v>
      </c>
      <c r="J139" s="100">
        <f t="shared" si="23"/>
        <v>1</v>
      </c>
      <c r="K139" s="171">
        <f t="shared" si="24"/>
        <v>-20.400000000000006</v>
      </c>
      <c r="L139" s="100">
        <f t="shared" si="25"/>
        <v>57</v>
      </c>
      <c r="N139" s="447">
        <v>36220</v>
      </c>
      <c r="O139" s="13">
        <f t="shared" si="29"/>
        <v>3</v>
      </c>
      <c r="P139" s="76">
        <f>SUM(RESID!J188:J199)</f>
        <v>3376.0000000000005</v>
      </c>
      <c r="Q139" s="446">
        <f>SUM(RESID!K188:K199)</f>
        <v>2990.7999999999997</v>
      </c>
      <c r="R139" s="4">
        <f t="shared" si="30"/>
        <v>385.20000000000073</v>
      </c>
      <c r="S139" s="100">
        <f t="shared" si="26"/>
        <v>59</v>
      </c>
      <c r="T139" s="76">
        <f>SUM(RESID!M188:M199)</f>
        <v>397.50000000000006</v>
      </c>
      <c r="U139" s="446">
        <f>SUM(RESID!N188:N199)</f>
        <v>500.49999999999994</v>
      </c>
      <c r="V139" s="4">
        <f t="shared" si="31"/>
        <v>-102.99999999999989</v>
      </c>
      <c r="W139" s="100">
        <f t="shared" si="27"/>
        <v>67</v>
      </c>
      <c r="X139" s="6">
        <f t="shared" si="32"/>
        <v>282.20000000000084</v>
      </c>
      <c r="Y139" s="100">
        <f t="shared" si="28"/>
        <v>56</v>
      </c>
    </row>
    <row r="140" spans="1:25">
      <c r="A140" s="13">
        <v>1994</v>
      </c>
      <c r="B140" s="13">
        <v>4</v>
      </c>
      <c r="C140" s="200">
        <f>RESID!J140</f>
        <v>177</v>
      </c>
      <c r="D140" s="200">
        <f>RESID!K140</f>
        <v>138.1</v>
      </c>
      <c r="E140" s="13">
        <f t="shared" si="20"/>
        <v>38.900000000000006</v>
      </c>
      <c r="F140" s="100">
        <f t="shared" si="21"/>
        <v>0</v>
      </c>
      <c r="G140" s="200">
        <f>RESID!M140</f>
        <v>36.200000000000003</v>
      </c>
      <c r="H140" s="200">
        <f>RESID!N140</f>
        <v>37.299999999999997</v>
      </c>
      <c r="I140" s="200">
        <f t="shared" si="22"/>
        <v>-1.0999999999999943</v>
      </c>
      <c r="J140" s="100">
        <f t="shared" si="23"/>
        <v>1</v>
      </c>
      <c r="K140" s="171">
        <f t="shared" si="24"/>
        <v>37.800000000000011</v>
      </c>
      <c r="L140" s="100">
        <f t="shared" si="25"/>
        <v>57</v>
      </c>
      <c r="N140" s="447">
        <v>36251</v>
      </c>
      <c r="O140" s="13">
        <f t="shared" si="29"/>
        <v>4</v>
      </c>
      <c r="P140" s="76">
        <f>SUM(RESID!J189:J200)</f>
        <v>3399.0000000000005</v>
      </c>
      <c r="Q140" s="446">
        <f>SUM(RESID!K189:K200)</f>
        <v>2990.8</v>
      </c>
      <c r="R140" s="4">
        <f t="shared" si="30"/>
        <v>408.20000000000027</v>
      </c>
      <c r="S140" s="100">
        <f t="shared" si="26"/>
        <v>59</v>
      </c>
      <c r="T140" s="76">
        <f>SUM(RESID!M189:M200)</f>
        <v>383.09999999999997</v>
      </c>
      <c r="U140" s="446">
        <f>SUM(RESID!N189:N200)</f>
        <v>500.5</v>
      </c>
      <c r="V140" s="4">
        <f t="shared" si="31"/>
        <v>-117.40000000000003</v>
      </c>
      <c r="W140" s="100">
        <f t="shared" si="27"/>
        <v>68</v>
      </c>
      <c r="X140" s="6">
        <f t="shared" si="32"/>
        <v>290.80000000000024</v>
      </c>
      <c r="Y140" s="100">
        <f t="shared" si="28"/>
        <v>56</v>
      </c>
    </row>
    <row r="141" spans="1:25">
      <c r="A141" s="13">
        <v>1994</v>
      </c>
      <c r="B141" s="13">
        <v>5</v>
      </c>
      <c r="C141" s="200">
        <f>RESID!J141</f>
        <v>284.2</v>
      </c>
      <c r="D141" s="200">
        <f>RESID!K141</f>
        <v>224.4</v>
      </c>
      <c r="E141" s="13">
        <f t="shared" si="20"/>
        <v>59.799999999999983</v>
      </c>
      <c r="F141" s="100">
        <f t="shared" si="21"/>
        <v>0</v>
      </c>
      <c r="G141" s="200">
        <f>RESID!M141</f>
        <v>3</v>
      </c>
      <c r="H141" s="200">
        <f>RESID!N141</f>
        <v>11.2</v>
      </c>
      <c r="I141" s="200">
        <f t="shared" si="22"/>
        <v>-8.1999999999999993</v>
      </c>
      <c r="J141" s="100">
        <f t="shared" si="23"/>
        <v>1</v>
      </c>
      <c r="K141" s="171">
        <f t="shared" si="24"/>
        <v>51.59999999999998</v>
      </c>
      <c r="L141" s="100">
        <f t="shared" si="25"/>
        <v>57</v>
      </c>
      <c r="N141" s="447">
        <v>36281</v>
      </c>
      <c r="O141" s="13">
        <f t="shared" si="29"/>
        <v>5</v>
      </c>
      <c r="P141" s="76">
        <f>SUM(RESID!J190:J201)</f>
        <v>3413.9000000000005</v>
      </c>
      <c r="Q141" s="446">
        <f>SUM(RESID!K190:K201)</f>
        <v>2990.8</v>
      </c>
      <c r="R141" s="4">
        <f t="shared" si="30"/>
        <v>423.10000000000036</v>
      </c>
      <c r="S141" s="100">
        <f t="shared" si="26"/>
        <v>59</v>
      </c>
      <c r="T141" s="76">
        <f>SUM(RESID!M190:M201)</f>
        <v>386.29999999999995</v>
      </c>
      <c r="U141" s="446">
        <f>SUM(RESID!N190:N201)</f>
        <v>500.50000000000006</v>
      </c>
      <c r="V141" s="4">
        <f t="shared" si="31"/>
        <v>-114.2000000000001</v>
      </c>
      <c r="W141" s="100">
        <f t="shared" si="27"/>
        <v>69</v>
      </c>
      <c r="X141" s="6">
        <f t="shared" si="32"/>
        <v>308.90000000000026</v>
      </c>
      <c r="Y141" s="100">
        <f t="shared" si="28"/>
        <v>56</v>
      </c>
    </row>
    <row r="142" spans="1:25">
      <c r="A142" s="13">
        <v>1994</v>
      </c>
      <c r="B142" s="13">
        <v>6</v>
      </c>
      <c r="C142" s="200">
        <f>RESID!J142</f>
        <v>360.5</v>
      </c>
      <c r="D142" s="200">
        <f>RESID!K142</f>
        <v>382.8</v>
      </c>
      <c r="E142" s="13">
        <f t="shared" si="20"/>
        <v>-22.300000000000011</v>
      </c>
      <c r="F142" s="100">
        <f t="shared" si="21"/>
        <v>1</v>
      </c>
      <c r="G142" s="200">
        <f>RESID!M142</f>
        <v>1.6</v>
      </c>
      <c r="H142" s="200">
        <f>RESID!N142</f>
        <v>0.9</v>
      </c>
      <c r="I142" s="200">
        <f t="shared" si="22"/>
        <v>0.70000000000000007</v>
      </c>
      <c r="J142" s="100">
        <f t="shared" si="23"/>
        <v>0</v>
      </c>
      <c r="K142" s="171">
        <f t="shared" si="24"/>
        <v>-21.600000000000012</v>
      </c>
      <c r="L142" s="100">
        <f t="shared" si="25"/>
        <v>58</v>
      </c>
      <c r="N142" s="447">
        <v>36312</v>
      </c>
      <c r="O142" s="13">
        <f t="shared" si="29"/>
        <v>6</v>
      </c>
      <c r="P142" s="76">
        <f>SUM(RESID!J191:J202)</f>
        <v>3327.4</v>
      </c>
      <c r="Q142" s="446">
        <f>SUM(RESID!K191:K202)</f>
        <v>2990.8</v>
      </c>
      <c r="R142" s="4">
        <f t="shared" si="30"/>
        <v>336.59999999999991</v>
      </c>
      <c r="S142" s="100">
        <f t="shared" si="26"/>
        <v>59</v>
      </c>
      <c r="T142" s="76">
        <f>SUM(RESID!M191:M202)</f>
        <v>387.2</v>
      </c>
      <c r="U142" s="446">
        <f>SUM(RESID!N191:N202)</f>
        <v>500.5</v>
      </c>
      <c r="V142" s="4">
        <f t="shared" si="31"/>
        <v>-113.30000000000001</v>
      </c>
      <c r="W142" s="100">
        <f t="shared" si="27"/>
        <v>70</v>
      </c>
      <c r="X142" s="6">
        <f t="shared" si="32"/>
        <v>223.2999999999999</v>
      </c>
      <c r="Y142" s="100">
        <f t="shared" si="28"/>
        <v>56</v>
      </c>
    </row>
    <row r="143" spans="1:25">
      <c r="A143" s="13">
        <v>1994</v>
      </c>
      <c r="B143" s="13">
        <v>7</v>
      </c>
      <c r="C143" s="200">
        <f>RESID!J143</f>
        <v>470.2</v>
      </c>
      <c r="D143" s="200">
        <f>RESID!K143</f>
        <v>454.9</v>
      </c>
      <c r="E143" s="13">
        <f t="shared" si="20"/>
        <v>15.300000000000011</v>
      </c>
      <c r="F143" s="100">
        <f t="shared" si="21"/>
        <v>0</v>
      </c>
      <c r="G143" s="200">
        <f>RESID!M143</f>
        <v>0</v>
      </c>
      <c r="H143" s="200">
        <f>RESID!N143</f>
        <v>0</v>
      </c>
      <c r="I143" s="200">
        <f t="shared" si="22"/>
        <v>0</v>
      </c>
      <c r="J143" s="100">
        <f t="shared" si="23"/>
        <v>0</v>
      </c>
      <c r="K143" s="171">
        <f t="shared" si="24"/>
        <v>15.300000000000011</v>
      </c>
      <c r="L143" s="100">
        <f t="shared" si="25"/>
        <v>58</v>
      </c>
      <c r="N143" s="447">
        <v>36342</v>
      </c>
      <c r="O143" s="13">
        <f t="shared" si="29"/>
        <v>7</v>
      </c>
      <c r="P143" s="76">
        <f>SUM(RESID!J192:J203)</f>
        <v>3239.7000000000003</v>
      </c>
      <c r="Q143" s="446">
        <f>SUM(RESID!K192:K203)</f>
        <v>2990.8</v>
      </c>
      <c r="R143" s="4">
        <f t="shared" si="30"/>
        <v>248.90000000000009</v>
      </c>
      <c r="S143" s="100">
        <f t="shared" si="26"/>
        <v>59</v>
      </c>
      <c r="T143" s="76">
        <f>SUM(RESID!M192:M203)</f>
        <v>387.2</v>
      </c>
      <c r="U143" s="446">
        <f>SUM(RESID!N192:N203)</f>
        <v>500.5</v>
      </c>
      <c r="V143" s="4">
        <f t="shared" si="31"/>
        <v>-113.30000000000001</v>
      </c>
      <c r="W143" s="100">
        <f t="shared" si="27"/>
        <v>71</v>
      </c>
      <c r="X143" s="6">
        <f t="shared" si="32"/>
        <v>135.60000000000008</v>
      </c>
      <c r="Y143" s="100">
        <f t="shared" si="28"/>
        <v>56</v>
      </c>
    </row>
    <row r="144" spans="1:25">
      <c r="A144" s="13">
        <v>1994</v>
      </c>
      <c r="B144" s="13">
        <v>8</v>
      </c>
      <c r="C144" s="200">
        <f>RESID!J144</f>
        <v>430.8</v>
      </c>
      <c r="D144" s="200">
        <f>RESID!K144</f>
        <v>481.4</v>
      </c>
      <c r="E144" s="13">
        <f t="shared" si="20"/>
        <v>-50.599999999999966</v>
      </c>
      <c r="F144" s="100">
        <f t="shared" si="21"/>
        <v>1</v>
      </c>
      <c r="G144" s="200">
        <f>RESID!M144</f>
        <v>0</v>
      </c>
      <c r="H144" s="200">
        <f>RESID!N144</f>
        <v>0</v>
      </c>
      <c r="I144" s="200">
        <f t="shared" si="22"/>
        <v>0</v>
      </c>
      <c r="J144" s="100">
        <f t="shared" si="23"/>
        <v>0</v>
      </c>
      <c r="K144" s="171">
        <f t="shared" si="24"/>
        <v>-50.599999999999966</v>
      </c>
      <c r="L144" s="100">
        <f t="shared" si="25"/>
        <v>59</v>
      </c>
      <c r="N144" s="447">
        <v>36373</v>
      </c>
      <c r="O144" s="13">
        <f t="shared" si="29"/>
        <v>8</v>
      </c>
      <c r="P144" s="76">
        <f>SUM(RESID!J193:J204)</f>
        <v>3250.3</v>
      </c>
      <c r="Q144" s="446">
        <f>SUM(RESID!K193:K204)</f>
        <v>2990.8</v>
      </c>
      <c r="R144" s="4">
        <f t="shared" si="30"/>
        <v>259.5</v>
      </c>
      <c r="S144" s="100">
        <f t="shared" si="26"/>
        <v>59</v>
      </c>
      <c r="T144" s="76">
        <f>SUM(RESID!M193:M204)</f>
        <v>387.2</v>
      </c>
      <c r="U144" s="446">
        <f>SUM(RESID!N193:N204)</f>
        <v>500.5</v>
      </c>
      <c r="V144" s="4">
        <f t="shared" si="31"/>
        <v>-113.30000000000001</v>
      </c>
      <c r="W144" s="100">
        <f t="shared" si="27"/>
        <v>72</v>
      </c>
      <c r="X144" s="6">
        <f t="shared" si="32"/>
        <v>146.19999999999999</v>
      </c>
      <c r="Y144" s="100">
        <f t="shared" si="28"/>
        <v>56</v>
      </c>
    </row>
    <row r="145" spans="1:25">
      <c r="A145" s="13">
        <v>1994</v>
      </c>
      <c r="B145" s="13">
        <v>9</v>
      </c>
      <c r="C145" s="200">
        <f>RESID!J145</f>
        <v>434.4</v>
      </c>
      <c r="D145" s="200">
        <f>RESID!K145</f>
        <v>473.7</v>
      </c>
      <c r="E145" s="13">
        <f t="shared" si="20"/>
        <v>-39.300000000000011</v>
      </c>
      <c r="F145" s="100">
        <f t="shared" si="21"/>
        <v>1</v>
      </c>
      <c r="G145" s="200">
        <f>RESID!M145</f>
        <v>0</v>
      </c>
      <c r="H145" s="200">
        <f>RESID!N145</f>
        <v>0</v>
      </c>
      <c r="I145" s="200">
        <f t="shared" si="22"/>
        <v>0</v>
      </c>
      <c r="J145" s="100">
        <f t="shared" si="23"/>
        <v>0</v>
      </c>
      <c r="K145" s="171">
        <f t="shared" si="24"/>
        <v>-39.300000000000011</v>
      </c>
      <c r="L145" s="100">
        <f t="shared" si="25"/>
        <v>60</v>
      </c>
      <c r="N145" s="447">
        <v>36404</v>
      </c>
      <c r="O145" s="13">
        <f t="shared" si="29"/>
        <v>9</v>
      </c>
      <c r="P145" s="76">
        <f>SUM(RESID!J194:J205)</f>
        <v>3231.4</v>
      </c>
      <c r="Q145" s="446">
        <f>SUM(RESID!K194:K205)</f>
        <v>2990.7999999999997</v>
      </c>
      <c r="R145" s="4">
        <f t="shared" si="30"/>
        <v>240.60000000000036</v>
      </c>
      <c r="S145" s="100">
        <f t="shared" si="26"/>
        <v>59</v>
      </c>
      <c r="T145" s="76">
        <f>SUM(RESID!M194:M205)</f>
        <v>387.2</v>
      </c>
      <c r="U145" s="446">
        <f>SUM(RESID!N194:N205)</f>
        <v>500.5</v>
      </c>
      <c r="V145" s="4">
        <f t="shared" si="31"/>
        <v>-113.30000000000001</v>
      </c>
      <c r="W145" s="100">
        <f t="shared" si="27"/>
        <v>73</v>
      </c>
      <c r="X145" s="6">
        <f t="shared" si="32"/>
        <v>127.30000000000035</v>
      </c>
      <c r="Y145" s="100">
        <f t="shared" si="28"/>
        <v>56</v>
      </c>
    </row>
    <row r="146" spans="1:25">
      <c r="A146" s="13">
        <v>1994</v>
      </c>
      <c r="B146" s="13">
        <v>10</v>
      </c>
      <c r="C146" s="200">
        <f>RESID!J146</f>
        <v>324.8</v>
      </c>
      <c r="D146" s="200">
        <f>RESID!K146</f>
        <v>373.2</v>
      </c>
      <c r="E146" s="13">
        <f t="shared" ref="E146:E209" si="33">C146-D146</f>
        <v>-48.399999999999977</v>
      </c>
      <c r="F146" s="100">
        <f t="shared" ref="F146:F209" si="34">IF(E146&lt;0,1,0)</f>
        <v>1</v>
      </c>
      <c r="G146" s="200">
        <f>RESID!M146</f>
        <v>0.4</v>
      </c>
      <c r="H146" s="200">
        <f>RESID!N146</f>
        <v>1.3</v>
      </c>
      <c r="I146" s="200">
        <f t="shared" ref="I146:I209" si="35">G146-H146</f>
        <v>-0.9</v>
      </c>
      <c r="J146" s="100">
        <f t="shared" ref="J146:J209" si="36">IF(I146&lt;0,1,0)</f>
        <v>1</v>
      </c>
      <c r="K146" s="171">
        <f t="shared" ref="K146:K209" si="37">E146+I146</f>
        <v>-49.299999999999976</v>
      </c>
      <c r="L146" s="100">
        <f t="shared" ref="L146:L209" si="38">IF(K146&lt;0,1+L145,L145)</f>
        <v>61</v>
      </c>
      <c r="N146" s="447">
        <v>36434</v>
      </c>
      <c r="O146" s="13">
        <f t="shared" si="29"/>
        <v>10</v>
      </c>
      <c r="P146" s="76">
        <f>SUM(RESID!J195:J206)</f>
        <v>3179.2</v>
      </c>
      <c r="Q146" s="446">
        <f>SUM(RESID!K195:K206)</f>
        <v>2990.7999999999997</v>
      </c>
      <c r="R146" s="4">
        <f t="shared" si="30"/>
        <v>188.40000000000009</v>
      </c>
      <c r="S146" s="100">
        <f t="shared" si="26"/>
        <v>59</v>
      </c>
      <c r="T146" s="76">
        <f>SUM(RESID!M195:M206)</f>
        <v>387.69999999999993</v>
      </c>
      <c r="U146" s="446">
        <f>SUM(RESID!N195:N206)</f>
        <v>500.5</v>
      </c>
      <c r="V146" s="4">
        <f t="shared" si="31"/>
        <v>-112.80000000000007</v>
      </c>
      <c r="W146" s="100">
        <f t="shared" si="27"/>
        <v>74</v>
      </c>
      <c r="X146" s="6">
        <f t="shared" si="32"/>
        <v>75.600000000000023</v>
      </c>
      <c r="Y146" s="100">
        <f t="shared" si="28"/>
        <v>56</v>
      </c>
    </row>
    <row r="147" spans="1:25">
      <c r="A147" s="13">
        <v>1994</v>
      </c>
      <c r="B147" s="13">
        <v>11</v>
      </c>
      <c r="C147" s="200">
        <f>RESID!J147</f>
        <v>226</v>
      </c>
      <c r="D147" s="200">
        <f>RESID!K147</f>
        <v>204.3</v>
      </c>
      <c r="E147" s="13">
        <f t="shared" si="33"/>
        <v>21.699999999999989</v>
      </c>
      <c r="F147" s="100">
        <f t="shared" si="34"/>
        <v>0</v>
      </c>
      <c r="G147" s="200">
        <f>RESID!M147</f>
        <v>5</v>
      </c>
      <c r="H147" s="200">
        <f>RESID!N147</f>
        <v>24.1</v>
      </c>
      <c r="I147" s="200">
        <f t="shared" si="35"/>
        <v>-19.100000000000001</v>
      </c>
      <c r="J147" s="100">
        <f t="shared" si="36"/>
        <v>1</v>
      </c>
      <c r="K147" s="171">
        <f t="shared" si="37"/>
        <v>2.5999999999999872</v>
      </c>
      <c r="L147" s="100">
        <f t="shared" si="38"/>
        <v>61</v>
      </c>
      <c r="N147" s="447">
        <v>36465</v>
      </c>
      <c r="O147" s="13">
        <f t="shared" si="29"/>
        <v>11</v>
      </c>
      <c r="P147" s="76">
        <f>SUM(RESID!J196:J207)</f>
        <v>3123.7000000000003</v>
      </c>
      <c r="Q147" s="446">
        <f>SUM(RESID!K196:K207)</f>
        <v>2990.7999999999997</v>
      </c>
      <c r="R147" s="4">
        <f t="shared" si="30"/>
        <v>132.90000000000055</v>
      </c>
      <c r="S147" s="100">
        <f t="shared" ref="S147:S210" si="39">IF(R147&lt;0,1+S146,S146)</f>
        <v>59</v>
      </c>
      <c r="T147" s="76">
        <f>SUM(RESID!M196:M207)</f>
        <v>402.99999999999994</v>
      </c>
      <c r="U147" s="446">
        <f>SUM(RESID!N196:N207)</f>
        <v>500.5</v>
      </c>
      <c r="V147" s="4">
        <f t="shared" si="31"/>
        <v>-97.500000000000057</v>
      </c>
      <c r="W147" s="100">
        <f t="shared" si="27"/>
        <v>75</v>
      </c>
      <c r="X147" s="6">
        <f t="shared" si="32"/>
        <v>35.400000000000489</v>
      </c>
      <c r="Y147" s="100">
        <f t="shared" si="28"/>
        <v>56</v>
      </c>
    </row>
    <row r="148" spans="1:25">
      <c r="A148" s="90">
        <v>1994</v>
      </c>
      <c r="B148" s="90">
        <v>12</v>
      </c>
      <c r="C148" s="200">
        <f>RESID!J148</f>
        <v>146.69999999999999</v>
      </c>
      <c r="D148" s="200">
        <f>RESID!K148</f>
        <v>88</v>
      </c>
      <c r="E148" s="13">
        <f t="shared" si="33"/>
        <v>58.699999999999989</v>
      </c>
      <c r="F148" s="100">
        <f t="shared" si="34"/>
        <v>0</v>
      </c>
      <c r="G148" s="200">
        <f>RESID!M148</f>
        <v>29.6</v>
      </c>
      <c r="H148" s="200">
        <f>RESID!N148</f>
        <v>83.9</v>
      </c>
      <c r="I148" s="200">
        <f t="shared" si="35"/>
        <v>-54.300000000000004</v>
      </c>
      <c r="J148" s="100">
        <f t="shared" si="36"/>
        <v>1</v>
      </c>
      <c r="K148" s="171">
        <f t="shared" si="37"/>
        <v>4.3999999999999844</v>
      </c>
      <c r="L148" s="100">
        <f t="shared" si="38"/>
        <v>61</v>
      </c>
      <c r="N148" s="447">
        <v>36495</v>
      </c>
      <c r="O148" s="13">
        <f t="shared" si="29"/>
        <v>12</v>
      </c>
      <c r="P148" s="76">
        <f>SUM(RESID!J197:J208)</f>
        <v>3028.5</v>
      </c>
      <c r="Q148" s="446">
        <f>SUM(RESID!K197:K208)</f>
        <v>2990.7999999999997</v>
      </c>
      <c r="R148" s="4">
        <f t="shared" si="30"/>
        <v>37.700000000000273</v>
      </c>
      <c r="S148" s="100">
        <f t="shared" si="39"/>
        <v>59</v>
      </c>
      <c r="T148" s="76">
        <f>SUM(RESID!M197:M208)</f>
        <v>441.3</v>
      </c>
      <c r="U148" s="446">
        <f>SUM(RESID!N197:N208)</f>
        <v>500.5</v>
      </c>
      <c r="V148" s="4">
        <f t="shared" si="31"/>
        <v>-59.199999999999989</v>
      </c>
      <c r="W148" s="100">
        <f t="shared" ref="W148:W211" si="40">IF(V148&lt;0,1+W147,W147)</f>
        <v>76</v>
      </c>
      <c r="X148" s="6">
        <f t="shared" si="32"/>
        <v>-21.499999999999716</v>
      </c>
      <c r="Y148" s="100">
        <f t="shared" si="28"/>
        <v>57</v>
      </c>
    </row>
    <row r="149" spans="1:25">
      <c r="A149" s="29">
        <v>1995</v>
      </c>
      <c r="B149" s="29">
        <v>1</v>
      </c>
      <c r="C149" s="200">
        <f>RESID!J149</f>
        <v>33.6</v>
      </c>
      <c r="D149" s="200">
        <f>RESID!K149</f>
        <v>49.5</v>
      </c>
      <c r="E149" s="13">
        <f t="shared" si="33"/>
        <v>-15.899999999999999</v>
      </c>
      <c r="F149" s="100">
        <f t="shared" si="34"/>
        <v>1</v>
      </c>
      <c r="G149" s="200">
        <f>RESID!M149</f>
        <v>115.6</v>
      </c>
      <c r="H149" s="200">
        <f>RESID!N149</f>
        <v>131.6</v>
      </c>
      <c r="I149" s="200">
        <f t="shared" si="35"/>
        <v>-16</v>
      </c>
      <c r="J149" s="100">
        <f t="shared" si="36"/>
        <v>1</v>
      </c>
      <c r="K149" s="171">
        <f t="shared" si="37"/>
        <v>-31.9</v>
      </c>
      <c r="L149" s="100">
        <f t="shared" si="38"/>
        <v>62</v>
      </c>
      <c r="N149" s="447">
        <v>36526</v>
      </c>
      <c r="O149" s="13">
        <f t="shared" si="29"/>
        <v>1</v>
      </c>
      <c r="P149" s="76">
        <f>SUM(RESID!J198:J209)</f>
        <v>2995.8</v>
      </c>
      <c r="Q149" s="446">
        <f>SUM(RESID!K198:K209)</f>
        <v>2990.7999999999997</v>
      </c>
      <c r="R149" s="4">
        <f t="shared" si="30"/>
        <v>5.0000000000004547</v>
      </c>
      <c r="S149" s="100">
        <f t="shared" si="39"/>
        <v>59</v>
      </c>
      <c r="T149" s="76">
        <f>SUM(RESID!M198:M209)</f>
        <v>431.59999999999997</v>
      </c>
      <c r="U149" s="446">
        <f>SUM(RESID!N198:N209)</f>
        <v>500.5</v>
      </c>
      <c r="V149" s="4">
        <f t="shared" si="31"/>
        <v>-68.900000000000034</v>
      </c>
      <c r="W149" s="100">
        <f t="shared" si="40"/>
        <v>77</v>
      </c>
      <c r="X149" s="6">
        <f t="shared" si="32"/>
        <v>-63.899999999999579</v>
      </c>
      <c r="Y149" s="100">
        <f t="shared" si="28"/>
        <v>58</v>
      </c>
    </row>
    <row r="150" spans="1:25">
      <c r="A150" s="13">
        <v>1995</v>
      </c>
      <c r="B150" s="13">
        <v>2</v>
      </c>
      <c r="C150" s="200">
        <f>RESID!J150</f>
        <v>21.3</v>
      </c>
      <c r="D150" s="200">
        <f>RESID!K150</f>
        <v>43.3</v>
      </c>
      <c r="E150" s="13">
        <f t="shared" si="33"/>
        <v>-21.999999999999996</v>
      </c>
      <c r="F150" s="100">
        <f t="shared" si="34"/>
        <v>1</v>
      </c>
      <c r="G150" s="200">
        <f>RESID!M150</f>
        <v>191.1</v>
      </c>
      <c r="H150" s="200">
        <f>RESID!N150</f>
        <v>127.9</v>
      </c>
      <c r="I150" s="200">
        <f t="shared" si="35"/>
        <v>63.199999999999989</v>
      </c>
      <c r="J150" s="100">
        <f t="shared" si="36"/>
        <v>0</v>
      </c>
      <c r="K150" s="171">
        <f t="shared" si="37"/>
        <v>41.199999999999989</v>
      </c>
      <c r="L150" s="100">
        <f t="shared" si="38"/>
        <v>62</v>
      </c>
      <c r="N150" s="447">
        <v>36557</v>
      </c>
      <c r="O150" s="13">
        <f t="shared" si="29"/>
        <v>2</v>
      </c>
      <c r="P150" s="76">
        <f>SUM(RESID!J199:J210)</f>
        <v>2938.2000000000003</v>
      </c>
      <c r="Q150" s="446">
        <f>SUM(RESID!K199:K210)</f>
        <v>2990.8</v>
      </c>
      <c r="R150" s="4">
        <f t="shared" si="30"/>
        <v>-52.599999999999909</v>
      </c>
      <c r="S150" s="100">
        <f t="shared" si="39"/>
        <v>60</v>
      </c>
      <c r="T150" s="76">
        <f>SUM(RESID!M199:M210)</f>
        <v>554.29999999999995</v>
      </c>
      <c r="U150" s="446">
        <f>SUM(RESID!N199:N210)</f>
        <v>500.5</v>
      </c>
      <c r="V150" s="4">
        <f t="shared" si="31"/>
        <v>53.799999999999955</v>
      </c>
      <c r="W150" s="100">
        <f t="shared" si="40"/>
        <v>77</v>
      </c>
      <c r="X150" s="6">
        <f t="shared" si="32"/>
        <v>1.2000000000000455</v>
      </c>
      <c r="Y150" s="100">
        <f t="shared" si="28"/>
        <v>58</v>
      </c>
    </row>
    <row r="151" spans="1:25">
      <c r="A151" s="13">
        <v>1995</v>
      </c>
      <c r="B151" s="13">
        <v>3</v>
      </c>
      <c r="C151" s="200">
        <f>RESID!J151</f>
        <v>66.7</v>
      </c>
      <c r="D151" s="200">
        <f>RESID!K151</f>
        <v>77.2</v>
      </c>
      <c r="E151" s="13">
        <f t="shared" si="33"/>
        <v>-10.5</v>
      </c>
      <c r="F151" s="100">
        <f t="shared" si="34"/>
        <v>1</v>
      </c>
      <c r="G151" s="200">
        <f>RESID!M151</f>
        <v>81.8</v>
      </c>
      <c r="H151" s="200">
        <f>RESID!N151</f>
        <v>82.3</v>
      </c>
      <c r="I151" s="200">
        <f t="shared" si="35"/>
        <v>-0.5</v>
      </c>
      <c r="J151" s="100">
        <f t="shared" si="36"/>
        <v>1</v>
      </c>
      <c r="K151" s="171">
        <f t="shared" si="37"/>
        <v>-11</v>
      </c>
      <c r="L151" s="100">
        <f t="shared" si="38"/>
        <v>63</v>
      </c>
      <c r="N151" s="447">
        <v>36586</v>
      </c>
      <c r="O151" s="13">
        <f t="shared" si="29"/>
        <v>3</v>
      </c>
      <c r="P151" s="76">
        <f>SUM(RESID!J200:J211)</f>
        <v>2974.6000000000004</v>
      </c>
      <c r="Q151" s="446">
        <f>SUM(RESID!K200:K211)</f>
        <v>2990.7999999999997</v>
      </c>
      <c r="R151" s="4">
        <f t="shared" si="30"/>
        <v>-16.199999999999363</v>
      </c>
      <c r="S151" s="100">
        <f t="shared" si="39"/>
        <v>61</v>
      </c>
      <c r="T151" s="76">
        <f>SUM(RESID!M200:M211)</f>
        <v>500.3</v>
      </c>
      <c r="U151" s="446">
        <f>SUM(RESID!N200:N211)</f>
        <v>500.49999999999994</v>
      </c>
      <c r="V151" s="4">
        <f t="shared" si="31"/>
        <v>-0.19999999999993179</v>
      </c>
      <c r="W151" s="100">
        <f t="shared" si="40"/>
        <v>78</v>
      </c>
      <c r="X151" s="6">
        <f t="shared" si="32"/>
        <v>-16.399999999999295</v>
      </c>
      <c r="Y151" s="100">
        <f t="shared" ref="Y151:Y214" si="41">IF(X151&lt;0,1+Y150,Y150)</f>
        <v>59</v>
      </c>
    </row>
    <row r="152" spans="1:25">
      <c r="A152" s="13">
        <v>1995</v>
      </c>
      <c r="B152" s="13">
        <v>4</v>
      </c>
      <c r="C152" s="200">
        <f>RESID!J152</f>
        <v>139.6</v>
      </c>
      <c r="D152" s="200">
        <f>RESID!K152</f>
        <v>138.1</v>
      </c>
      <c r="E152" s="13">
        <f t="shared" si="33"/>
        <v>1.5</v>
      </c>
      <c r="F152" s="100">
        <f t="shared" si="34"/>
        <v>0</v>
      </c>
      <c r="G152" s="200">
        <f>RESID!M152</f>
        <v>22</v>
      </c>
      <c r="H152" s="200">
        <f>RESID!N152</f>
        <v>37.299999999999997</v>
      </c>
      <c r="I152" s="200">
        <f t="shared" si="35"/>
        <v>-15.299999999999997</v>
      </c>
      <c r="J152" s="100">
        <f t="shared" si="36"/>
        <v>1</v>
      </c>
      <c r="K152" s="171">
        <f t="shared" si="37"/>
        <v>-13.799999999999997</v>
      </c>
      <c r="L152" s="100">
        <f t="shared" si="38"/>
        <v>64</v>
      </c>
      <c r="N152" s="447">
        <v>36617</v>
      </c>
      <c r="O152" s="13">
        <f t="shared" si="29"/>
        <v>4</v>
      </c>
      <c r="P152" s="76">
        <f>SUM(RESID!J201:J212)</f>
        <v>2971.0000000000005</v>
      </c>
      <c r="Q152" s="446">
        <f>SUM(RESID!K201:K212)</f>
        <v>2990.8</v>
      </c>
      <c r="R152" s="4">
        <f t="shared" si="30"/>
        <v>-19.799999999999727</v>
      </c>
      <c r="S152" s="100">
        <f t="shared" si="39"/>
        <v>62</v>
      </c>
      <c r="T152" s="76">
        <f>SUM(RESID!M201:M212)</f>
        <v>482.90000000000003</v>
      </c>
      <c r="U152" s="446">
        <f>SUM(RESID!N201:N212)</f>
        <v>500.5</v>
      </c>
      <c r="V152" s="4">
        <f t="shared" si="31"/>
        <v>-17.599999999999966</v>
      </c>
      <c r="W152" s="100">
        <f t="shared" si="40"/>
        <v>79</v>
      </c>
      <c r="X152" s="6">
        <f t="shared" si="32"/>
        <v>-37.399999999999693</v>
      </c>
      <c r="Y152" s="100">
        <f t="shared" si="41"/>
        <v>60</v>
      </c>
    </row>
    <row r="153" spans="1:25">
      <c r="A153" s="13">
        <v>1995</v>
      </c>
      <c r="B153" s="13">
        <v>5</v>
      </c>
      <c r="C153" s="200">
        <f>RESID!J153</f>
        <v>288.2</v>
      </c>
      <c r="D153" s="200">
        <f>RESID!K153</f>
        <v>224.4</v>
      </c>
      <c r="E153" s="13">
        <f t="shared" si="33"/>
        <v>63.799999999999983</v>
      </c>
      <c r="F153" s="100">
        <f t="shared" si="34"/>
        <v>0</v>
      </c>
      <c r="G153" s="200">
        <f>RESID!M153</f>
        <v>4.7</v>
      </c>
      <c r="H153" s="200">
        <f>RESID!N153</f>
        <v>11.2</v>
      </c>
      <c r="I153" s="200">
        <f t="shared" si="35"/>
        <v>-6.4999999999999991</v>
      </c>
      <c r="J153" s="100">
        <f t="shared" si="36"/>
        <v>1</v>
      </c>
      <c r="K153" s="171">
        <f t="shared" si="37"/>
        <v>57.299999999999983</v>
      </c>
      <c r="L153" s="100">
        <f t="shared" si="38"/>
        <v>64</v>
      </c>
      <c r="N153" s="447">
        <v>36647</v>
      </c>
      <c r="O153" s="13">
        <f t="shared" si="29"/>
        <v>5</v>
      </c>
      <c r="P153" s="76">
        <f>SUM(RESID!J202:J213)</f>
        <v>2950.7000000000003</v>
      </c>
      <c r="Q153" s="446">
        <f>SUM(RESID!K202:K213)</f>
        <v>2990.8</v>
      </c>
      <c r="R153" s="4">
        <f t="shared" si="30"/>
        <v>-40.099999999999909</v>
      </c>
      <c r="S153" s="100">
        <f t="shared" si="39"/>
        <v>63</v>
      </c>
      <c r="T153" s="76">
        <f>SUM(RESID!M202:M213)</f>
        <v>481.59999999999997</v>
      </c>
      <c r="U153" s="446">
        <f>SUM(RESID!N202:N213)</f>
        <v>500.50000000000006</v>
      </c>
      <c r="V153" s="4">
        <f t="shared" si="31"/>
        <v>-18.900000000000091</v>
      </c>
      <c r="W153" s="100">
        <f t="shared" si="40"/>
        <v>80</v>
      </c>
      <c r="X153" s="6">
        <f t="shared" si="32"/>
        <v>-59</v>
      </c>
      <c r="Y153" s="100">
        <f t="shared" si="41"/>
        <v>61</v>
      </c>
    </row>
    <row r="154" spans="1:25">
      <c r="A154" s="13">
        <v>1995</v>
      </c>
      <c r="B154" s="13">
        <v>6</v>
      </c>
      <c r="C154" s="200">
        <f>RESID!J154</f>
        <v>417.4</v>
      </c>
      <c r="D154" s="200">
        <f>RESID!K154</f>
        <v>382.8</v>
      </c>
      <c r="E154" s="13">
        <f t="shared" si="33"/>
        <v>34.599999999999966</v>
      </c>
      <c r="F154" s="100">
        <f t="shared" si="34"/>
        <v>0</v>
      </c>
      <c r="G154" s="200">
        <f>RESID!M154</f>
        <v>0.2</v>
      </c>
      <c r="H154" s="200">
        <f>RESID!N154</f>
        <v>0.9</v>
      </c>
      <c r="I154" s="200">
        <f t="shared" si="35"/>
        <v>-0.7</v>
      </c>
      <c r="J154" s="100">
        <f t="shared" si="36"/>
        <v>1</v>
      </c>
      <c r="K154" s="171">
        <f t="shared" si="37"/>
        <v>33.899999999999963</v>
      </c>
      <c r="L154" s="100">
        <f t="shared" si="38"/>
        <v>64</v>
      </c>
      <c r="N154" s="447">
        <v>36678</v>
      </c>
      <c r="O154" s="13">
        <f t="shared" si="29"/>
        <v>6</v>
      </c>
      <c r="P154" s="76">
        <f>SUM(RESID!J203:J214)</f>
        <v>3015.0000000000005</v>
      </c>
      <c r="Q154" s="446">
        <f>SUM(RESID!K203:K214)</f>
        <v>2990.8</v>
      </c>
      <c r="R154" s="4">
        <f t="shared" si="30"/>
        <v>24.200000000000273</v>
      </c>
      <c r="S154" s="100">
        <f t="shared" si="39"/>
        <v>63</v>
      </c>
      <c r="T154" s="76">
        <f>SUM(RESID!M203:M214)</f>
        <v>480.7</v>
      </c>
      <c r="U154" s="446">
        <f>SUM(RESID!N203:N214)</f>
        <v>500.5</v>
      </c>
      <c r="V154" s="4">
        <f t="shared" si="31"/>
        <v>-19.800000000000011</v>
      </c>
      <c r="W154" s="100">
        <f t="shared" si="40"/>
        <v>81</v>
      </c>
      <c r="X154" s="6">
        <f t="shared" si="32"/>
        <v>4.4000000000002615</v>
      </c>
      <c r="Y154" s="100">
        <f t="shared" si="41"/>
        <v>61</v>
      </c>
    </row>
    <row r="155" spans="1:25">
      <c r="A155" s="13">
        <v>1995</v>
      </c>
      <c r="B155" s="13">
        <v>7</v>
      </c>
      <c r="C155" s="200">
        <f>RESID!J155</f>
        <v>428.3</v>
      </c>
      <c r="D155" s="200">
        <f>RESID!K155</f>
        <v>454.9</v>
      </c>
      <c r="E155" s="13">
        <f t="shared" si="33"/>
        <v>-26.599999999999966</v>
      </c>
      <c r="F155" s="100">
        <f t="shared" si="34"/>
        <v>1</v>
      </c>
      <c r="G155" s="200">
        <f>RESID!M155</f>
        <v>0</v>
      </c>
      <c r="H155" s="200">
        <f>RESID!N155</f>
        <v>0</v>
      </c>
      <c r="I155" s="200">
        <f t="shared" si="35"/>
        <v>0</v>
      </c>
      <c r="J155" s="100">
        <f t="shared" si="36"/>
        <v>0</v>
      </c>
      <c r="K155" s="171">
        <f t="shared" si="37"/>
        <v>-26.599999999999966</v>
      </c>
      <c r="L155" s="100">
        <f t="shared" si="38"/>
        <v>65</v>
      </c>
      <c r="N155" s="447">
        <v>36708</v>
      </c>
      <c r="O155" s="13">
        <f t="shared" si="29"/>
        <v>7</v>
      </c>
      <c r="P155" s="76">
        <f>SUM(RESID!J204:J215)</f>
        <v>3057.3</v>
      </c>
      <c r="Q155" s="446">
        <f>SUM(RESID!K204:K215)</f>
        <v>2990.8</v>
      </c>
      <c r="R155" s="4">
        <f t="shared" si="30"/>
        <v>66.5</v>
      </c>
      <c r="S155" s="100">
        <f t="shared" si="39"/>
        <v>63</v>
      </c>
      <c r="T155" s="76">
        <f>SUM(RESID!M204:M215)</f>
        <v>480.7</v>
      </c>
      <c r="U155" s="446">
        <f>SUM(RESID!N204:N215)</f>
        <v>500.5</v>
      </c>
      <c r="V155" s="4">
        <f t="shared" si="31"/>
        <v>-19.800000000000011</v>
      </c>
      <c r="W155" s="100">
        <f t="shared" si="40"/>
        <v>82</v>
      </c>
      <c r="X155" s="6">
        <f t="shared" si="32"/>
        <v>46.699999999999989</v>
      </c>
      <c r="Y155" s="100">
        <f t="shared" si="41"/>
        <v>61</v>
      </c>
    </row>
    <row r="156" spans="1:25">
      <c r="A156" s="13">
        <v>1995</v>
      </c>
      <c r="B156" s="13">
        <v>8</v>
      </c>
      <c r="C156" s="200">
        <f>RESID!J156</f>
        <v>450.8</v>
      </c>
      <c r="D156" s="200">
        <f>RESID!K156</f>
        <v>481.4</v>
      </c>
      <c r="E156" s="13">
        <f t="shared" si="33"/>
        <v>-30.599999999999966</v>
      </c>
      <c r="F156" s="100">
        <f t="shared" si="34"/>
        <v>1</v>
      </c>
      <c r="G156" s="200">
        <f>RESID!M156</f>
        <v>0</v>
      </c>
      <c r="H156" s="200">
        <f>RESID!N156</f>
        <v>0</v>
      </c>
      <c r="I156" s="200">
        <f t="shared" si="35"/>
        <v>0</v>
      </c>
      <c r="J156" s="100">
        <f t="shared" si="36"/>
        <v>0</v>
      </c>
      <c r="K156" s="171">
        <f t="shared" si="37"/>
        <v>-30.599999999999966</v>
      </c>
      <c r="L156" s="100">
        <f t="shared" si="38"/>
        <v>66</v>
      </c>
      <c r="N156" s="447">
        <v>36739</v>
      </c>
      <c r="O156" s="13">
        <f t="shared" si="29"/>
        <v>8</v>
      </c>
      <c r="P156" s="76">
        <f>SUM(RESID!J205:J216)</f>
        <v>3004.7999999999997</v>
      </c>
      <c r="Q156" s="446">
        <f>SUM(RESID!K205:K216)</f>
        <v>2990.8</v>
      </c>
      <c r="R156" s="4">
        <f t="shared" si="30"/>
        <v>13.999999999999545</v>
      </c>
      <c r="S156" s="100">
        <f t="shared" si="39"/>
        <v>63</v>
      </c>
      <c r="T156" s="76">
        <f>SUM(RESID!M205:M216)</f>
        <v>480.7</v>
      </c>
      <c r="U156" s="446">
        <f>SUM(RESID!N205:N216)</f>
        <v>500.5</v>
      </c>
      <c r="V156" s="4">
        <f t="shared" si="31"/>
        <v>-19.800000000000011</v>
      </c>
      <c r="W156" s="100">
        <f t="shared" si="40"/>
        <v>83</v>
      </c>
      <c r="X156" s="6">
        <f t="shared" si="32"/>
        <v>-5.8000000000004661</v>
      </c>
      <c r="Y156" s="100">
        <f t="shared" si="41"/>
        <v>62</v>
      </c>
    </row>
    <row r="157" spans="1:25">
      <c r="A157" s="13">
        <v>1995</v>
      </c>
      <c r="B157" s="13">
        <v>9</v>
      </c>
      <c r="C157" s="200">
        <f>RESID!J157</f>
        <v>479.4</v>
      </c>
      <c r="D157" s="200">
        <f>RESID!K157</f>
        <v>473.7</v>
      </c>
      <c r="E157" s="13">
        <f t="shared" si="33"/>
        <v>5.6999999999999886</v>
      </c>
      <c r="F157" s="100">
        <f t="shared" si="34"/>
        <v>0</v>
      </c>
      <c r="G157" s="200">
        <f>RESID!M157</f>
        <v>0</v>
      </c>
      <c r="H157" s="200">
        <f>RESID!N157</f>
        <v>0</v>
      </c>
      <c r="I157" s="200">
        <f t="shared" si="35"/>
        <v>0</v>
      </c>
      <c r="J157" s="100">
        <f t="shared" si="36"/>
        <v>0</v>
      </c>
      <c r="K157" s="171">
        <f t="shared" si="37"/>
        <v>5.6999999999999886</v>
      </c>
      <c r="L157" s="100">
        <f t="shared" si="38"/>
        <v>66</v>
      </c>
      <c r="N157" s="447">
        <v>36770</v>
      </c>
      <c r="O157" s="13">
        <f t="shared" si="29"/>
        <v>9</v>
      </c>
      <c r="P157" s="76">
        <f>SUM(RESID!J206:J217)</f>
        <v>3030.3</v>
      </c>
      <c r="Q157" s="446">
        <f>SUM(RESID!K206:K217)</f>
        <v>2990.7999999999997</v>
      </c>
      <c r="R157" s="4">
        <f t="shared" si="30"/>
        <v>39.500000000000455</v>
      </c>
      <c r="S157" s="100">
        <f t="shared" si="39"/>
        <v>63</v>
      </c>
      <c r="T157" s="76">
        <f>SUM(RESID!M206:M217)</f>
        <v>480.7</v>
      </c>
      <c r="U157" s="446">
        <f>SUM(RESID!N206:N217)</f>
        <v>500.5</v>
      </c>
      <c r="V157" s="4">
        <f t="shared" si="31"/>
        <v>-19.800000000000011</v>
      </c>
      <c r="W157" s="100">
        <f t="shared" si="40"/>
        <v>84</v>
      </c>
      <c r="X157" s="6">
        <f t="shared" si="32"/>
        <v>19.700000000000443</v>
      </c>
      <c r="Y157" s="100">
        <f t="shared" si="41"/>
        <v>62</v>
      </c>
    </row>
    <row r="158" spans="1:25">
      <c r="A158" s="13">
        <v>1995</v>
      </c>
      <c r="B158" s="13">
        <v>10</v>
      </c>
      <c r="C158" s="200">
        <f>RESID!J158</f>
        <v>404.8</v>
      </c>
      <c r="D158" s="200">
        <f>RESID!K158</f>
        <v>373.2</v>
      </c>
      <c r="E158" s="13">
        <f t="shared" si="33"/>
        <v>31.600000000000023</v>
      </c>
      <c r="F158" s="100">
        <f t="shared" si="34"/>
        <v>0</v>
      </c>
      <c r="G158" s="200">
        <f>RESID!M158</f>
        <v>0.7</v>
      </c>
      <c r="H158" s="200">
        <f>RESID!N158</f>
        <v>1.3</v>
      </c>
      <c r="I158" s="200">
        <f t="shared" si="35"/>
        <v>-0.60000000000000009</v>
      </c>
      <c r="J158" s="100">
        <f t="shared" si="36"/>
        <v>1</v>
      </c>
      <c r="K158" s="171">
        <f t="shared" si="37"/>
        <v>31.000000000000021</v>
      </c>
      <c r="L158" s="100">
        <f t="shared" si="38"/>
        <v>66</v>
      </c>
      <c r="N158" s="447">
        <v>36800</v>
      </c>
      <c r="O158" s="13">
        <f t="shared" ref="O158:O221" si="42">O146</f>
        <v>10</v>
      </c>
      <c r="P158" s="76">
        <f>SUM(RESID!J207:J218)</f>
        <v>3003.6000000000004</v>
      </c>
      <c r="Q158" s="446">
        <f>SUM(RESID!K207:K218)</f>
        <v>2990.7999999999997</v>
      </c>
      <c r="R158" s="4">
        <f t="shared" si="30"/>
        <v>12.800000000000637</v>
      </c>
      <c r="S158" s="100">
        <f t="shared" si="39"/>
        <v>63</v>
      </c>
      <c r="T158" s="76">
        <f>SUM(RESID!M207:M218)</f>
        <v>486.69999999999993</v>
      </c>
      <c r="U158" s="446">
        <f>SUM(RESID!N207:N218)</f>
        <v>500.5</v>
      </c>
      <c r="V158" s="4">
        <f t="shared" si="31"/>
        <v>-13.800000000000068</v>
      </c>
      <c r="W158" s="100">
        <f t="shared" si="40"/>
        <v>85</v>
      </c>
      <c r="X158" s="6">
        <f t="shared" si="32"/>
        <v>-0.99999999999943157</v>
      </c>
      <c r="Y158" s="100">
        <f t="shared" si="41"/>
        <v>63</v>
      </c>
    </row>
    <row r="159" spans="1:25">
      <c r="A159" s="13">
        <v>1995</v>
      </c>
      <c r="B159" s="13">
        <v>11</v>
      </c>
      <c r="C159" s="200">
        <f>RESID!J159</f>
        <v>211.9</v>
      </c>
      <c r="D159" s="200">
        <f>RESID!K159</f>
        <v>204.3</v>
      </c>
      <c r="E159" s="13">
        <f t="shared" si="33"/>
        <v>7.5999999999999943</v>
      </c>
      <c r="F159" s="100">
        <f t="shared" si="34"/>
        <v>0</v>
      </c>
      <c r="G159" s="200">
        <f>RESID!M159</f>
        <v>29</v>
      </c>
      <c r="H159" s="200">
        <f>RESID!N159</f>
        <v>24.1</v>
      </c>
      <c r="I159" s="200">
        <f t="shared" si="35"/>
        <v>4.8999999999999986</v>
      </c>
      <c r="J159" s="100">
        <f t="shared" si="36"/>
        <v>0</v>
      </c>
      <c r="K159" s="171">
        <f t="shared" si="37"/>
        <v>12.499999999999993</v>
      </c>
      <c r="L159" s="100">
        <f t="shared" si="38"/>
        <v>66</v>
      </c>
      <c r="N159" s="447">
        <v>36831</v>
      </c>
      <c r="O159" s="13">
        <f t="shared" si="42"/>
        <v>11</v>
      </c>
      <c r="P159" s="76">
        <f>SUM(RESID!J208:J219)</f>
        <v>2983.2000000000003</v>
      </c>
      <c r="Q159" s="446">
        <f>SUM(RESID!K208:K219)</f>
        <v>2990.7999999999997</v>
      </c>
      <c r="R159" s="4">
        <f t="shared" si="30"/>
        <v>-7.5999999999994543</v>
      </c>
      <c r="S159" s="100">
        <f t="shared" si="39"/>
        <v>64</v>
      </c>
      <c r="T159" s="76">
        <f>SUM(RESID!M208:M219)</f>
        <v>487.9</v>
      </c>
      <c r="U159" s="446">
        <f>SUM(RESID!N208:N219)</f>
        <v>500.5</v>
      </c>
      <c r="V159" s="4">
        <f t="shared" si="31"/>
        <v>-12.600000000000023</v>
      </c>
      <c r="W159" s="100">
        <f t="shared" si="40"/>
        <v>86</v>
      </c>
      <c r="X159" s="6">
        <f t="shared" si="32"/>
        <v>-20.199999999999477</v>
      </c>
      <c r="Y159" s="100">
        <f t="shared" si="41"/>
        <v>64</v>
      </c>
    </row>
    <row r="160" spans="1:25">
      <c r="A160" s="90">
        <v>1995</v>
      </c>
      <c r="B160" s="90">
        <v>12</v>
      </c>
      <c r="C160" s="200">
        <f>RESID!J160</f>
        <v>61.5</v>
      </c>
      <c r="D160" s="200">
        <f>RESID!K160</f>
        <v>88</v>
      </c>
      <c r="E160" s="13">
        <f t="shared" si="33"/>
        <v>-26.5</v>
      </c>
      <c r="F160" s="100">
        <f t="shared" si="34"/>
        <v>1</v>
      </c>
      <c r="G160" s="200">
        <f>RESID!M160</f>
        <v>96.6</v>
      </c>
      <c r="H160" s="200">
        <f>RESID!N160</f>
        <v>83.9</v>
      </c>
      <c r="I160" s="200">
        <f t="shared" si="35"/>
        <v>12.699999999999989</v>
      </c>
      <c r="J160" s="100">
        <f t="shared" si="36"/>
        <v>0</v>
      </c>
      <c r="K160" s="171">
        <f t="shared" si="37"/>
        <v>-13.800000000000011</v>
      </c>
      <c r="L160" s="100">
        <f t="shared" si="38"/>
        <v>67</v>
      </c>
      <c r="N160" s="447">
        <v>36861</v>
      </c>
      <c r="O160" s="13">
        <f t="shared" si="42"/>
        <v>12</v>
      </c>
      <c r="P160" s="76">
        <f>SUM(RESID!J209:J220)</f>
        <v>2966.1</v>
      </c>
      <c r="Q160" s="446">
        <f>SUM(RESID!K209:K220)</f>
        <v>2990.7999999999997</v>
      </c>
      <c r="R160" s="4">
        <f t="shared" si="30"/>
        <v>-24.699999999999818</v>
      </c>
      <c r="S160" s="100">
        <f t="shared" si="39"/>
        <v>65</v>
      </c>
      <c r="T160" s="76">
        <f>SUM(RESID!M209:M220)</f>
        <v>548.9</v>
      </c>
      <c r="U160" s="446">
        <f>SUM(RESID!N209:N220)</f>
        <v>500.5</v>
      </c>
      <c r="V160" s="4">
        <f t="shared" si="31"/>
        <v>48.399999999999977</v>
      </c>
      <c r="W160" s="100">
        <f t="shared" si="40"/>
        <v>86</v>
      </c>
      <c r="X160" s="6">
        <f t="shared" si="32"/>
        <v>23.700000000000159</v>
      </c>
      <c r="Y160" s="100">
        <f t="shared" si="41"/>
        <v>64</v>
      </c>
    </row>
    <row r="161" spans="1:25">
      <c r="A161" s="13">
        <v>1996</v>
      </c>
      <c r="B161" s="13">
        <v>1</v>
      </c>
      <c r="C161" s="200">
        <f>RESID!J161</f>
        <v>32.5</v>
      </c>
      <c r="D161" s="200">
        <f>RESID!K161</f>
        <v>49.5</v>
      </c>
      <c r="E161" s="13">
        <f t="shared" si="33"/>
        <v>-17</v>
      </c>
      <c r="F161" s="100">
        <f t="shared" si="34"/>
        <v>1</v>
      </c>
      <c r="G161" s="200">
        <f>RESID!M161</f>
        <v>237.6</v>
      </c>
      <c r="H161" s="200">
        <f>RESID!N161</f>
        <v>131.6</v>
      </c>
      <c r="I161" s="200">
        <f t="shared" si="35"/>
        <v>106</v>
      </c>
      <c r="J161" s="100">
        <f t="shared" si="36"/>
        <v>0</v>
      </c>
      <c r="K161" s="171">
        <f t="shared" si="37"/>
        <v>89</v>
      </c>
      <c r="L161" s="100">
        <f t="shared" si="38"/>
        <v>67</v>
      </c>
      <c r="N161" s="447">
        <v>36892</v>
      </c>
      <c r="O161" s="13">
        <f t="shared" si="42"/>
        <v>1</v>
      </c>
      <c r="P161" s="76">
        <f>SUM(RESID!J210:J221)</f>
        <v>2951.7000000000003</v>
      </c>
      <c r="Q161" s="446">
        <f>SUM(RESID!K210:K221)</f>
        <v>2990.7999999999997</v>
      </c>
      <c r="R161" s="4">
        <f t="shared" si="30"/>
        <v>-39.099999999999454</v>
      </c>
      <c r="S161" s="100">
        <f t="shared" si="39"/>
        <v>66</v>
      </c>
      <c r="T161" s="76">
        <f>SUM(RESID!M210:M221)</f>
        <v>720</v>
      </c>
      <c r="U161" s="446">
        <f>SUM(RESID!N210:N221)</f>
        <v>500.5</v>
      </c>
      <c r="V161" s="4">
        <f t="shared" si="31"/>
        <v>219.5</v>
      </c>
      <c r="W161" s="100">
        <f t="shared" si="40"/>
        <v>86</v>
      </c>
      <c r="X161" s="6">
        <f t="shared" si="32"/>
        <v>180.40000000000055</v>
      </c>
      <c r="Y161" s="100">
        <f t="shared" si="41"/>
        <v>64</v>
      </c>
    </row>
    <row r="162" spans="1:25">
      <c r="A162" s="13">
        <v>1996</v>
      </c>
      <c r="B162" s="13">
        <v>2</v>
      </c>
      <c r="C162" s="200">
        <f>RESID!J162</f>
        <v>35.799999999999997</v>
      </c>
      <c r="D162" s="200">
        <f>RESID!K162</f>
        <v>43.3</v>
      </c>
      <c r="E162" s="13">
        <f t="shared" si="33"/>
        <v>-7.5</v>
      </c>
      <c r="F162" s="100">
        <f t="shared" si="34"/>
        <v>1</v>
      </c>
      <c r="G162" s="200">
        <f>RESID!M162</f>
        <v>194.4</v>
      </c>
      <c r="H162" s="200">
        <f>RESID!N162</f>
        <v>127.9</v>
      </c>
      <c r="I162" s="200">
        <f t="shared" si="35"/>
        <v>66.5</v>
      </c>
      <c r="J162" s="100">
        <f t="shared" si="36"/>
        <v>0</v>
      </c>
      <c r="K162" s="171">
        <f t="shared" si="37"/>
        <v>59</v>
      </c>
      <c r="L162" s="100">
        <f t="shared" si="38"/>
        <v>67</v>
      </c>
      <c r="N162" s="447">
        <v>36923</v>
      </c>
      <c r="O162" s="13">
        <f t="shared" si="42"/>
        <v>2</v>
      </c>
      <c r="P162" s="76">
        <f>SUM(RESID!J211:J222)</f>
        <v>2970.6000000000004</v>
      </c>
      <c r="Q162" s="446">
        <f>SUM(RESID!K211:K222)</f>
        <v>2990.8</v>
      </c>
      <c r="R162" s="4">
        <f t="shared" si="30"/>
        <v>-20.199999999999818</v>
      </c>
      <c r="S162" s="100">
        <f t="shared" si="39"/>
        <v>67</v>
      </c>
      <c r="T162" s="76">
        <f>SUM(RESID!M211:M222)</f>
        <v>689.1</v>
      </c>
      <c r="U162" s="446">
        <f>SUM(RESID!N211:N222)</f>
        <v>500.5</v>
      </c>
      <c r="V162" s="4">
        <f t="shared" si="31"/>
        <v>188.60000000000002</v>
      </c>
      <c r="W162" s="100">
        <f t="shared" si="40"/>
        <v>86</v>
      </c>
      <c r="X162" s="6">
        <f t="shared" si="32"/>
        <v>168.4000000000002</v>
      </c>
      <c r="Y162" s="100">
        <f t="shared" si="41"/>
        <v>64</v>
      </c>
    </row>
    <row r="163" spans="1:25">
      <c r="A163" s="13">
        <v>1996</v>
      </c>
      <c r="B163" s="13">
        <v>3</v>
      </c>
      <c r="C163" s="200">
        <f>RESID!J163</f>
        <v>58.2</v>
      </c>
      <c r="D163" s="200">
        <f>RESID!K163</f>
        <v>77.2</v>
      </c>
      <c r="E163" s="13">
        <f t="shared" si="33"/>
        <v>-19</v>
      </c>
      <c r="F163" s="100">
        <f t="shared" si="34"/>
        <v>1</v>
      </c>
      <c r="G163" s="200">
        <f>RESID!M163</f>
        <v>144.4</v>
      </c>
      <c r="H163" s="200">
        <f>RESID!N163</f>
        <v>82.3</v>
      </c>
      <c r="I163" s="200">
        <f t="shared" si="35"/>
        <v>62.100000000000009</v>
      </c>
      <c r="J163" s="100">
        <f t="shared" si="36"/>
        <v>0</v>
      </c>
      <c r="K163" s="171">
        <f t="shared" si="37"/>
        <v>43.100000000000009</v>
      </c>
      <c r="L163" s="100">
        <f t="shared" si="38"/>
        <v>67</v>
      </c>
      <c r="N163" s="447">
        <v>36951</v>
      </c>
      <c r="O163" s="13">
        <f t="shared" si="42"/>
        <v>3</v>
      </c>
      <c r="P163" s="76">
        <f>SUM(RESID!J212:J223)</f>
        <v>2991.1000000000004</v>
      </c>
      <c r="Q163" s="446">
        <f>SUM(RESID!K212:K223)</f>
        <v>2990.7999999999997</v>
      </c>
      <c r="R163" s="4">
        <f t="shared" si="30"/>
        <v>0.30000000000063665</v>
      </c>
      <c r="S163" s="100">
        <f t="shared" si="39"/>
        <v>67</v>
      </c>
      <c r="T163" s="76">
        <f>SUM(RESID!M212:M223)</f>
        <v>681.2</v>
      </c>
      <c r="U163" s="446">
        <f>SUM(RESID!N212:N223)</f>
        <v>500.49999999999994</v>
      </c>
      <c r="V163" s="4">
        <f t="shared" si="31"/>
        <v>180.7000000000001</v>
      </c>
      <c r="W163" s="100">
        <f t="shared" si="40"/>
        <v>86</v>
      </c>
      <c r="X163" s="6">
        <f t="shared" si="32"/>
        <v>181.00000000000074</v>
      </c>
      <c r="Y163" s="100">
        <f t="shared" si="41"/>
        <v>64</v>
      </c>
    </row>
    <row r="164" spans="1:25">
      <c r="A164" s="13">
        <v>1996</v>
      </c>
      <c r="B164" s="13">
        <v>4</v>
      </c>
      <c r="C164" s="200">
        <f>RESID!J164</f>
        <v>83.4</v>
      </c>
      <c r="D164" s="200">
        <f>RESID!K164</f>
        <v>138.1</v>
      </c>
      <c r="E164" s="13">
        <f t="shared" si="33"/>
        <v>-54.699999999999989</v>
      </c>
      <c r="F164" s="100">
        <f t="shared" si="34"/>
        <v>1</v>
      </c>
      <c r="G164" s="200">
        <f>RESID!M164</f>
        <v>93</v>
      </c>
      <c r="H164" s="200">
        <f>RESID!N164</f>
        <v>37.299999999999997</v>
      </c>
      <c r="I164" s="200">
        <f t="shared" si="35"/>
        <v>55.7</v>
      </c>
      <c r="J164" s="100">
        <f t="shared" si="36"/>
        <v>0</v>
      </c>
      <c r="K164" s="171">
        <f t="shared" si="37"/>
        <v>1.0000000000000142</v>
      </c>
      <c r="L164" s="100">
        <f t="shared" si="38"/>
        <v>67</v>
      </c>
      <c r="N164" s="447">
        <v>36982</v>
      </c>
      <c r="O164" s="13">
        <f t="shared" si="42"/>
        <v>4</v>
      </c>
      <c r="P164" s="76">
        <f>SUM(RESID!J213:J224)</f>
        <v>2964.6000000000004</v>
      </c>
      <c r="Q164" s="446">
        <f>SUM(RESID!K213:K224)</f>
        <v>2990.8</v>
      </c>
      <c r="R164" s="4">
        <f t="shared" si="30"/>
        <v>-26.199999999999818</v>
      </c>
      <c r="S164" s="100">
        <f t="shared" si="39"/>
        <v>68</v>
      </c>
      <c r="T164" s="76">
        <f>SUM(RESID!M213:M224)</f>
        <v>697.6</v>
      </c>
      <c r="U164" s="446">
        <f>SUM(RESID!N213:N224)</f>
        <v>500.5</v>
      </c>
      <c r="V164" s="4">
        <f t="shared" si="31"/>
        <v>197.10000000000002</v>
      </c>
      <c r="W164" s="100">
        <f t="shared" si="40"/>
        <v>86</v>
      </c>
      <c r="X164" s="6">
        <f t="shared" si="32"/>
        <v>170.9000000000002</v>
      </c>
      <c r="Y164" s="100">
        <f t="shared" si="41"/>
        <v>64</v>
      </c>
    </row>
    <row r="165" spans="1:25">
      <c r="A165" s="13">
        <v>1996</v>
      </c>
      <c r="B165" s="13">
        <v>5</v>
      </c>
      <c r="C165" s="200">
        <f>RESID!J165</f>
        <v>237.8</v>
      </c>
      <c r="D165" s="200">
        <f>RESID!K165</f>
        <v>224.4</v>
      </c>
      <c r="E165" s="13">
        <f t="shared" si="33"/>
        <v>13.400000000000006</v>
      </c>
      <c r="F165" s="100">
        <f t="shared" si="34"/>
        <v>0</v>
      </c>
      <c r="G165" s="200">
        <f>RESID!M165</f>
        <v>14.5</v>
      </c>
      <c r="H165" s="200">
        <f>RESID!N165</f>
        <v>11.2</v>
      </c>
      <c r="I165" s="200">
        <f t="shared" si="35"/>
        <v>3.3000000000000007</v>
      </c>
      <c r="J165" s="100">
        <f t="shared" si="36"/>
        <v>0</v>
      </c>
      <c r="K165" s="171">
        <f t="shared" si="37"/>
        <v>16.700000000000006</v>
      </c>
      <c r="L165" s="100">
        <f t="shared" si="38"/>
        <v>67</v>
      </c>
      <c r="N165" s="447">
        <v>37012</v>
      </c>
      <c r="O165" s="13">
        <f t="shared" si="42"/>
        <v>5</v>
      </c>
      <c r="P165" s="76">
        <f>SUM(RESID!J214:J225)</f>
        <v>2946.4000000000005</v>
      </c>
      <c r="Q165" s="446">
        <f>SUM(RESID!K214:K225)</f>
        <v>2990.8</v>
      </c>
      <c r="R165" s="4">
        <f t="shared" si="30"/>
        <v>-44.399999999999636</v>
      </c>
      <c r="S165" s="100">
        <f t="shared" si="39"/>
        <v>69</v>
      </c>
      <c r="T165" s="76">
        <f>SUM(RESID!M214:M225)</f>
        <v>698.69999999999993</v>
      </c>
      <c r="U165" s="446">
        <f>SUM(RESID!N214:N225)</f>
        <v>500.50000000000006</v>
      </c>
      <c r="V165" s="4">
        <f t="shared" si="31"/>
        <v>198.19999999999987</v>
      </c>
      <c r="W165" s="100">
        <f t="shared" si="40"/>
        <v>86</v>
      </c>
      <c r="X165" s="6">
        <f t="shared" si="32"/>
        <v>153.80000000000024</v>
      </c>
      <c r="Y165" s="100">
        <f t="shared" si="41"/>
        <v>64</v>
      </c>
    </row>
    <row r="166" spans="1:25">
      <c r="A166" s="13">
        <v>1996</v>
      </c>
      <c r="B166" s="13">
        <v>6</v>
      </c>
      <c r="C166" s="200">
        <f>RESID!J166</f>
        <v>403.3</v>
      </c>
      <c r="D166" s="200">
        <f>RESID!K166</f>
        <v>382.8</v>
      </c>
      <c r="E166" s="13">
        <f t="shared" si="33"/>
        <v>20.5</v>
      </c>
      <c r="F166" s="100">
        <f t="shared" si="34"/>
        <v>0</v>
      </c>
      <c r="G166" s="200">
        <f>RESID!M166</f>
        <v>0.4</v>
      </c>
      <c r="H166" s="200">
        <f>RESID!N166</f>
        <v>0.9</v>
      </c>
      <c r="I166" s="200">
        <f t="shared" si="35"/>
        <v>-0.5</v>
      </c>
      <c r="J166" s="100">
        <f t="shared" si="36"/>
        <v>1</v>
      </c>
      <c r="K166" s="171">
        <f t="shared" si="37"/>
        <v>20</v>
      </c>
      <c r="L166" s="100">
        <f t="shared" si="38"/>
        <v>67</v>
      </c>
      <c r="N166" s="447">
        <v>37043</v>
      </c>
      <c r="O166" s="13">
        <f t="shared" si="42"/>
        <v>6</v>
      </c>
      <c r="P166" s="76">
        <f>SUM(RESID!J215:J226)</f>
        <v>2904.2000000000003</v>
      </c>
      <c r="Q166" s="446">
        <f>SUM(RESID!K215:K226)</f>
        <v>2990.8</v>
      </c>
      <c r="R166" s="4">
        <f t="shared" si="30"/>
        <v>-86.599999999999909</v>
      </c>
      <c r="S166" s="100">
        <f t="shared" si="39"/>
        <v>70</v>
      </c>
      <c r="T166" s="76">
        <f>SUM(RESID!M215:M226)</f>
        <v>699.3</v>
      </c>
      <c r="U166" s="446">
        <f>SUM(RESID!N215:N226)</f>
        <v>500.5</v>
      </c>
      <c r="V166" s="4">
        <f t="shared" si="31"/>
        <v>198.79999999999995</v>
      </c>
      <c r="W166" s="100">
        <f t="shared" si="40"/>
        <v>86</v>
      </c>
      <c r="X166" s="6">
        <f t="shared" si="32"/>
        <v>112.20000000000005</v>
      </c>
      <c r="Y166" s="100">
        <f t="shared" si="41"/>
        <v>64</v>
      </c>
    </row>
    <row r="167" spans="1:25">
      <c r="A167" s="13">
        <v>1996</v>
      </c>
      <c r="B167" s="13">
        <v>7</v>
      </c>
      <c r="C167" s="200">
        <f>RESID!J167</f>
        <v>443.3</v>
      </c>
      <c r="D167" s="200">
        <f>RESID!K167</f>
        <v>454.9</v>
      </c>
      <c r="E167" s="13">
        <f t="shared" si="33"/>
        <v>-11.599999999999966</v>
      </c>
      <c r="F167" s="100">
        <f t="shared" si="34"/>
        <v>1</v>
      </c>
      <c r="G167" s="200">
        <f>RESID!M167</f>
        <v>0</v>
      </c>
      <c r="H167" s="200">
        <f>RESID!N167</f>
        <v>0</v>
      </c>
      <c r="I167" s="200">
        <f t="shared" si="35"/>
        <v>0</v>
      </c>
      <c r="J167" s="100">
        <f t="shared" si="36"/>
        <v>0</v>
      </c>
      <c r="K167" s="171">
        <f t="shared" si="37"/>
        <v>-11.599999999999966</v>
      </c>
      <c r="L167" s="100">
        <f t="shared" si="38"/>
        <v>68</v>
      </c>
      <c r="N167" s="447">
        <v>37073</v>
      </c>
      <c r="O167" s="13">
        <f t="shared" si="42"/>
        <v>7</v>
      </c>
      <c r="P167" s="76">
        <f>SUM(RESID!J216:J227)</f>
        <v>2865.6</v>
      </c>
      <c r="Q167" s="446">
        <f>SUM(RESID!K216:K227)</f>
        <v>2990.8</v>
      </c>
      <c r="R167" s="4">
        <f t="shared" si="30"/>
        <v>-125.20000000000027</v>
      </c>
      <c r="S167" s="100">
        <f t="shared" si="39"/>
        <v>71</v>
      </c>
      <c r="T167" s="76">
        <f>SUM(RESID!M216:M227)</f>
        <v>699.3</v>
      </c>
      <c r="U167" s="446">
        <f>SUM(RESID!N216:N227)</f>
        <v>500.5</v>
      </c>
      <c r="V167" s="4">
        <f t="shared" si="31"/>
        <v>198.79999999999995</v>
      </c>
      <c r="W167" s="100">
        <f t="shared" si="40"/>
        <v>86</v>
      </c>
      <c r="X167" s="6">
        <f t="shared" si="32"/>
        <v>73.599999999999682</v>
      </c>
      <c r="Y167" s="100">
        <f t="shared" si="41"/>
        <v>64</v>
      </c>
    </row>
    <row r="168" spans="1:25">
      <c r="A168" s="13">
        <v>1996</v>
      </c>
      <c r="B168" s="13">
        <v>8</v>
      </c>
      <c r="C168" s="200">
        <f>RESID!J168</f>
        <v>495.6</v>
      </c>
      <c r="D168" s="200">
        <f>RESID!K168</f>
        <v>481.4</v>
      </c>
      <c r="E168" s="13">
        <f t="shared" si="33"/>
        <v>14.200000000000045</v>
      </c>
      <c r="F168" s="100">
        <f t="shared" si="34"/>
        <v>0</v>
      </c>
      <c r="G168" s="200">
        <f>RESID!M168</f>
        <v>0</v>
      </c>
      <c r="H168" s="200">
        <f>RESID!N168</f>
        <v>0</v>
      </c>
      <c r="I168" s="200">
        <f t="shared" si="35"/>
        <v>0</v>
      </c>
      <c r="J168" s="100">
        <f t="shared" si="36"/>
        <v>0</v>
      </c>
      <c r="K168" s="171">
        <f t="shared" si="37"/>
        <v>14.200000000000045</v>
      </c>
      <c r="L168" s="100">
        <f t="shared" si="38"/>
        <v>68</v>
      </c>
      <c r="N168" s="447">
        <v>37104</v>
      </c>
      <c r="O168" s="13">
        <f t="shared" si="42"/>
        <v>8</v>
      </c>
      <c r="P168" s="76">
        <f>SUM(RESID!J217:J228)</f>
        <v>2830.2999999999997</v>
      </c>
      <c r="Q168" s="446">
        <f>SUM(RESID!K217:K228)</f>
        <v>2990.8</v>
      </c>
      <c r="R168" s="4">
        <f t="shared" si="30"/>
        <v>-160.50000000000045</v>
      </c>
      <c r="S168" s="100">
        <f t="shared" si="39"/>
        <v>72</v>
      </c>
      <c r="T168" s="76">
        <f>SUM(RESID!M217:M228)</f>
        <v>699.3</v>
      </c>
      <c r="U168" s="446">
        <f>SUM(RESID!N217:N228)</f>
        <v>500.5</v>
      </c>
      <c r="V168" s="4">
        <f t="shared" si="31"/>
        <v>198.79999999999995</v>
      </c>
      <c r="W168" s="100">
        <f t="shared" si="40"/>
        <v>86</v>
      </c>
      <c r="X168" s="6">
        <f t="shared" si="32"/>
        <v>38.2999999999995</v>
      </c>
      <c r="Y168" s="100">
        <f t="shared" si="41"/>
        <v>64</v>
      </c>
    </row>
    <row r="169" spans="1:25">
      <c r="A169" s="13">
        <v>1996</v>
      </c>
      <c r="B169" s="13">
        <v>9</v>
      </c>
      <c r="C169" s="200">
        <f>RESID!J169</f>
        <v>451.8</v>
      </c>
      <c r="D169" s="200">
        <f>RESID!K169</f>
        <v>473.7</v>
      </c>
      <c r="E169" s="13">
        <f t="shared" si="33"/>
        <v>-21.899999999999977</v>
      </c>
      <c r="F169" s="100">
        <f t="shared" si="34"/>
        <v>1</v>
      </c>
      <c r="G169" s="200">
        <f>RESID!M169</f>
        <v>0</v>
      </c>
      <c r="H169" s="200">
        <f>RESID!N169</f>
        <v>0</v>
      </c>
      <c r="I169" s="200">
        <f t="shared" si="35"/>
        <v>0</v>
      </c>
      <c r="J169" s="100">
        <f t="shared" si="36"/>
        <v>0</v>
      </c>
      <c r="K169" s="171">
        <f t="shared" si="37"/>
        <v>-21.899999999999977</v>
      </c>
      <c r="L169" s="100">
        <f t="shared" si="38"/>
        <v>69</v>
      </c>
      <c r="N169" s="447">
        <v>37135</v>
      </c>
      <c r="O169" s="13">
        <f t="shared" si="42"/>
        <v>9</v>
      </c>
      <c r="P169" s="76">
        <f>SUM(RESID!J218:J229)</f>
        <v>2817</v>
      </c>
      <c r="Q169" s="446">
        <f>SUM(RESID!K218:K229)</f>
        <v>2990.7999999999997</v>
      </c>
      <c r="R169" s="4">
        <f t="shared" si="30"/>
        <v>-173.79999999999973</v>
      </c>
      <c r="S169" s="100">
        <f t="shared" si="39"/>
        <v>73</v>
      </c>
      <c r="T169" s="76">
        <f>SUM(RESID!M218:M229)</f>
        <v>699.4</v>
      </c>
      <c r="U169" s="446">
        <f>SUM(RESID!N218:N229)</f>
        <v>500.5</v>
      </c>
      <c r="V169" s="4">
        <f t="shared" si="31"/>
        <v>198.89999999999998</v>
      </c>
      <c r="W169" s="100">
        <f t="shared" si="40"/>
        <v>86</v>
      </c>
      <c r="X169" s="6">
        <f t="shared" si="32"/>
        <v>25.10000000000025</v>
      </c>
      <c r="Y169" s="100">
        <f t="shared" si="41"/>
        <v>64</v>
      </c>
    </row>
    <row r="170" spans="1:25">
      <c r="A170" s="13">
        <v>1996</v>
      </c>
      <c r="B170" s="13">
        <v>10</v>
      </c>
      <c r="C170" s="200">
        <f>RESID!J170</f>
        <v>337.8</v>
      </c>
      <c r="D170" s="200">
        <f>RESID!K170</f>
        <v>373.2</v>
      </c>
      <c r="E170" s="13">
        <f t="shared" si="33"/>
        <v>-35.399999999999977</v>
      </c>
      <c r="F170" s="100">
        <f t="shared" si="34"/>
        <v>1</v>
      </c>
      <c r="G170" s="200">
        <f>RESID!M170</f>
        <v>2.4</v>
      </c>
      <c r="H170" s="200">
        <f>RESID!N170</f>
        <v>1.3</v>
      </c>
      <c r="I170" s="200">
        <f t="shared" si="35"/>
        <v>1.0999999999999999</v>
      </c>
      <c r="J170" s="100">
        <f t="shared" si="36"/>
        <v>0</v>
      </c>
      <c r="K170" s="171">
        <f t="shared" si="37"/>
        <v>-34.299999999999976</v>
      </c>
      <c r="L170" s="100">
        <f t="shared" si="38"/>
        <v>70</v>
      </c>
      <c r="N170" s="447">
        <v>37165</v>
      </c>
      <c r="O170" s="13">
        <f t="shared" si="42"/>
        <v>10</v>
      </c>
      <c r="P170" s="76">
        <f>SUM(RESID!J219:J230)</f>
        <v>2774.4</v>
      </c>
      <c r="Q170" s="446">
        <f>SUM(RESID!K219:K230)</f>
        <v>2990.7999999999997</v>
      </c>
      <c r="R170" s="4">
        <f t="shared" si="30"/>
        <v>-216.39999999999964</v>
      </c>
      <c r="S170" s="100">
        <f t="shared" si="39"/>
        <v>74</v>
      </c>
      <c r="T170" s="76">
        <f>SUM(RESID!M219:M230)</f>
        <v>696.30000000000007</v>
      </c>
      <c r="U170" s="446">
        <f>SUM(RESID!N219:N230)</f>
        <v>500.5</v>
      </c>
      <c r="V170" s="4">
        <f t="shared" si="31"/>
        <v>195.80000000000007</v>
      </c>
      <c r="W170" s="100">
        <f t="shared" si="40"/>
        <v>86</v>
      </c>
      <c r="X170" s="6">
        <f t="shared" si="32"/>
        <v>-20.599999999999568</v>
      </c>
      <c r="Y170" s="100">
        <f t="shared" si="41"/>
        <v>65</v>
      </c>
    </row>
    <row r="171" spans="1:25">
      <c r="A171" s="13">
        <v>1996</v>
      </c>
      <c r="B171" s="13">
        <v>11</v>
      </c>
      <c r="C171" s="200">
        <f>RESID!J171</f>
        <v>200.1</v>
      </c>
      <c r="D171" s="200">
        <f>RESID!K171</f>
        <v>204.3</v>
      </c>
      <c r="E171" s="13">
        <f t="shared" si="33"/>
        <v>-4.2000000000000171</v>
      </c>
      <c r="F171" s="100">
        <f t="shared" si="34"/>
        <v>1</v>
      </c>
      <c r="G171" s="200">
        <f>RESID!M171</f>
        <v>25.3</v>
      </c>
      <c r="H171" s="200">
        <f>RESID!N171</f>
        <v>24.1</v>
      </c>
      <c r="I171" s="200">
        <f t="shared" si="35"/>
        <v>1.1999999999999993</v>
      </c>
      <c r="J171" s="100">
        <f t="shared" si="36"/>
        <v>0</v>
      </c>
      <c r="K171" s="171">
        <f t="shared" si="37"/>
        <v>-3.0000000000000178</v>
      </c>
      <c r="L171" s="100">
        <f t="shared" si="38"/>
        <v>71</v>
      </c>
      <c r="N171" s="447">
        <v>37196</v>
      </c>
      <c r="O171" s="13">
        <f t="shared" si="42"/>
        <v>11</v>
      </c>
      <c r="P171" s="76">
        <f>SUM(RESID!J220:J231)</f>
        <v>2795.8</v>
      </c>
      <c r="Q171" s="446">
        <f>SUM(RESID!K220:K231)</f>
        <v>2990.7999999999997</v>
      </c>
      <c r="R171" s="4">
        <f t="shared" si="30"/>
        <v>-194.99999999999955</v>
      </c>
      <c r="S171" s="100">
        <f t="shared" si="39"/>
        <v>75</v>
      </c>
      <c r="T171" s="76">
        <f>SUM(RESID!M220:M231)</f>
        <v>692.80000000000007</v>
      </c>
      <c r="U171" s="446">
        <f>SUM(RESID!N220:N231)</f>
        <v>500.5</v>
      </c>
      <c r="V171" s="4">
        <f t="shared" si="31"/>
        <v>192.30000000000007</v>
      </c>
      <c r="W171" s="100">
        <f t="shared" si="40"/>
        <v>86</v>
      </c>
      <c r="X171" s="6">
        <f t="shared" si="32"/>
        <v>-2.699999999999477</v>
      </c>
      <c r="Y171" s="100">
        <f t="shared" si="41"/>
        <v>66</v>
      </c>
    </row>
    <row r="172" spans="1:25">
      <c r="A172" s="90">
        <v>1996</v>
      </c>
      <c r="B172" s="90">
        <v>12</v>
      </c>
      <c r="C172" s="200">
        <f>RESID!J172</f>
        <v>73.099999999999994</v>
      </c>
      <c r="D172" s="200">
        <f>RESID!K172</f>
        <v>88</v>
      </c>
      <c r="E172" s="13">
        <f t="shared" si="33"/>
        <v>-14.900000000000006</v>
      </c>
      <c r="F172" s="100">
        <f t="shared" si="34"/>
        <v>1</v>
      </c>
      <c r="G172" s="200">
        <f>RESID!M172</f>
        <v>75.599999999999994</v>
      </c>
      <c r="H172" s="200">
        <f>RESID!N172</f>
        <v>83.9</v>
      </c>
      <c r="I172" s="200">
        <f t="shared" si="35"/>
        <v>-8.3000000000000114</v>
      </c>
      <c r="J172" s="100">
        <f t="shared" si="36"/>
        <v>1</v>
      </c>
      <c r="K172" s="171">
        <f t="shared" si="37"/>
        <v>-23.200000000000017</v>
      </c>
      <c r="L172" s="100">
        <f t="shared" si="38"/>
        <v>72</v>
      </c>
      <c r="N172" s="447">
        <v>37226</v>
      </c>
      <c r="O172" s="13">
        <f t="shared" si="42"/>
        <v>12</v>
      </c>
      <c r="P172" s="76">
        <f>SUM(RESID!J221:J232)</f>
        <v>2873.6000000000004</v>
      </c>
      <c r="Q172" s="446">
        <f>SUM(RESID!K221:K232)</f>
        <v>2990.7999999999997</v>
      </c>
      <c r="R172" s="4">
        <f t="shared" si="30"/>
        <v>-117.19999999999936</v>
      </c>
      <c r="S172" s="100">
        <f t="shared" si="39"/>
        <v>76</v>
      </c>
      <c r="T172" s="76">
        <f>SUM(RESID!M221:M232)</f>
        <v>592.29999999999995</v>
      </c>
      <c r="U172" s="446">
        <f>SUM(RESID!N221:N232)</f>
        <v>500.5</v>
      </c>
      <c r="V172" s="4">
        <f t="shared" si="31"/>
        <v>91.799999999999955</v>
      </c>
      <c r="W172" s="100">
        <f t="shared" si="40"/>
        <v>86</v>
      </c>
      <c r="X172" s="6">
        <f t="shared" si="32"/>
        <v>-25.399999999999409</v>
      </c>
      <c r="Y172" s="100">
        <f t="shared" si="41"/>
        <v>67</v>
      </c>
    </row>
    <row r="173" spans="1:25">
      <c r="A173" s="29">
        <v>1997</v>
      </c>
      <c r="B173" s="13">
        <v>1</v>
      </c>
      <c r="C173" s="200">
        <f>RESID!J173</f>
        <v>60.9</v>
      </c>
      <c r="D173" s="200">
        <f>RESID!K173</f>
        <v>49.5</v>
      </c>
      <c r="E173" s="13">
        <f t="shared" si="33"/>
        <v>11.399999999999999</v>
      </c>
      <c r="F173" s="100">
        <f t="shared" si="34"/>
        <v>0</v>
      </c>
      <c r="G173" s="200">
        <f>RESID!M173</f>
        <v>123.1</v>
      </c>
      <c r="H173" s="200">
        <f>RESID!N173</f>
        <v>131.6</v>
      </c>
      <c r="I173" s="200">
        <f t="shared" si="35"/>
        <v>-8.5</v>
      </c>
      <c r="J173" s="100">
        <f t="shared" si="36"/>
        <v>1</v>
      </c>
      <c r="K173" s="171">
        <f t="shared" si="37"/>
        <v>2.8999999999999986</v>
      </c>
      <c r="L173" s="100">
        <f t="shared" si="38"/>
        <v>72</v>
      </c>
      <c r="N173" s="447">
        <v>37257</v>
      </c>
      <c r="O173" s="13">
        <f t="shared" si="42"/>
        <v>1</v>
      </c>
      <c r="P173" s="76">
        <f>SUM(RESID!J222:J233)</f>
        <v>2900.9</v>
      </c>
      <c r="Q173" s="446">
        <f>SUM(RESID!K222:K233)</f>
        <v>2990.7999999999997</v>
      </c>
      <c r="R173" s="4">
        <f t="shared" si="30"/>
        <v>-89.899999999999636</v>
      </c>
      <c r="S173" s="100">
        <f t="shared" si="39"/>
        <v>77</v>
      </c>
      <c r="T173" s="76">
        <f>SUM(RESID!M222:M233)</f>
        <v>489.50000000000011</v>
      </c>
      <c r="U173" s="446">
        <f>SUM(RESID!N222:N233)</f>
        <v>500.5</v>
      </c>
      <c r="V173" s="4">
        <f t="shared" si="31"/>
        <v>-10.999999999999886</v>
      </c>
      <c r="W173" s="100">
        <f t="shared" si="40"/>
        <v>87</v>
      </c>
      <c r="X173" s="6">
        <f t="shared" si="32"/>
        <v>-100.89999999999952</v>
      </c>
      <c r="Y173" s="100">
        <f t="shared" si="41"/>
        <v>68</v>
      </c>
    </row>
    <row r="174" spans="1:25">
      <c r="A174" s="29">
        <v>1997</v>
      </c>
      <c r="B174" s="13">
        <v>2</v>
      </c>
      <c r="C174" s="200">
        <f>RESID!J174</f>
        <v>53.7</v>
      </c>
      <c r="D174" s="200">
        <f>RESID!K174</f>
        <v>43.3</v>
      </c>
      <c r="E174" s="13">
        <f t="shared" si="33"/>
        <v>10.400000000000006</v>
      </c>
      <c r="F174" s="100">
        <f t="shared" si="34"/>
        <v>0</v>
      </c>
      <c r="G174" s="200">
        <f>RESID!M174</f>
        <v>121.9</v>
      </c>
      <c r="H174" s="200">
        <f>RESID!N174</f>
        <v>127.9</v>
      </c>
      <c r="I174" s="200">
        <f t="shared" si="35"/>
        <v>-6</v>
      </c>
      <c r="J174" s="100">
        <f t="shared" si="36"/>
        <v>1</v>
      </c>
      <c r="K174" s="171">
        <f t="shared" si="37"/>
        <v>4.4000000000000057</v>
      </c>
      <c r="L174" s="100">
        <f t="shared" si="38"/>
        <v>72</v>
      </c>
      <c r="N174" s="447">
        <v>37288</v>
      </c>
      <c r="O174" s="13">
        <f t="shared" si="42"/>
        <v>2</v>
      </c>
      <c r="P174" s="76">
        <f>SUM(RESID!J223:J234)</f>
        <v>2933.5</v>
      </c>
      <c r="Q174" s="446">
        <f>SUM(RESID!K223:K234)</f>
        <v>2990.8</v>
      </c>
      <c r="R174" s="4">
        <f t="shared" si="30"/>
        <v>-57.300000000000182</v>
      </c>
      <c r="S174" s="100">
        <f t="shared" si="39"/>
        <v>78</v>
      </c>
      <c r="T174" s="76">
        <f>SUM(RESID!M223:M234)</f>
        <v>414.90000000000003</v>
      </c>
      <c r="U174" s="446">
        <f>SUM(RESID!N223:N234)</f>
        <v>500.5</v>
      </c>
      <c r="V174" s="4">
        <f t="shared" si="31"/>
        <v>-85.599999999999966</v>
      </c>
      <c r="W174" s="100">
        <f t="shared" si="40"/>
        <v>88</v>
      </c>
      <c r="X174" s="6">
        <f t="shared" si="32"/>
        <v>-142.90000000000015</v>
      </c>
      <c r="Y174" s="100">
        <f t="shared" si="41"/>
        <v>69</v>
      </c>
    </row>
    <row r="175" spans="1:25">
      <c r="A175" s="29">
        <v>1997</v>
      </c>
      <c r="B175" s="13">
        <v>3</v>
      </c>
      <c r="C175" s="200">
        <f>RESID!J175</f>
        <v>149.19999999999999</v>
      </c>
      <c r="D175" s="200">
        <f>RESID!K175</f>
        <v>77.2</v>
      </c>
      <c r="E175" s="13">
        <f t="shared" si="33"/>
        <v>71.999999999999986</v>
      </c>
      <c r="F175" s="100">
        <f t="shared" si="34"/>
        <v>0</v>
      </c>
      <c r="G175" s="200">
        <f>RESID!M175</f>
        <v>28.4</v>
      </c>
      <c r="H175" s="200">
        <f>RESID!N175</f>
        <v>82.3</v>
      </c>
      <c r="I175" s="200">
        <f t="shared" si="35"/>
        <v>-53.9</v>
      </c>
      <c r="J175" s="100">
        <f t="shared" si="36"/>
        <v>1</v>
      </c>
      <c r="K175" s="171">
        <f t="shared" si="37"/>
        <v>18.099999999999987</v>
      </c>
      <c r="L175" s="100">
        <f t="shared" si="38"/>
        <v>72</v>
      </c>
      <c r="N175" s="447">
        <v>37316</v>
      </c>
      <c r="O175" s="13">
        <f t="shared" si="42"/>
        <v>3</v>
      </c>
      <c r="P175" s="76">
        <f>SUM(RESID!J224:J235)</f>
        <v>2889.5</v>
      </c>
      <c r="Q175" s="446">
        <f>SUM(RESID!K224:K235)</f>
        <v>2990.7999999999997</v>
      </c>
      <c r="R175" s="4">
        <f t="shared" si="30"/>
        <v>-101.29999999999973</v>
      </c>
      <c r="S175" s="100">
        <f t="shared" si="39"/>
        <v>79</v>
      </c>
      <c r="T175" s="76">
        <f>SUM(RESID!M224:M235)</f>
        <v>479</v>
      </c>
      <c r="U175" s="446">
        <f>SUM(RESID!N224:N235)</f>
        <v>500.49999999999994</v>
      </c>
      <c r="V175" s="4">
        <f t="shared" si="31"/>
        <v>-21.499999999999943</v>
      </c>
      <c r="W175" s="100">
        <f t="shared" si="40"/>
        <v>89</v>
      </c>
      <c r="X175" s="6">
        <f t="shared" si="32"/>
        <v>-122.79999999999967</v>
      </c>
      <c r="Y175" s="100">
        <f t="shared" si="41"/>
        <v>70</v>
      </c>
    </row>
    <row r="176" spans="1:25">
      <c r="A176" s="29">
        <v>1997</v>
      </c>
      <c r="B176" s="13">
        <v>4</v>
      </c>
      <c r="C176" s="200">
        <f>RESID!J176</f>
        <v>162.19999999999999</v>
      </c>
      <c r="D176" s="200">
        <f>RESID!K176</f>
        <v>138.1</v>
      </c>
      <c r="E176" s="13">
        <f t="shared" si="33"/>
        <v>24.099999999999994</v>
      </c>
      <c r="F176" s="100">
        <f t="shared" si="34"/>
        <v>0</v>
      </c>
      <c r="G176" s="200">
        <f>RESID!M176</f>
        <v>15.3</v>
      </c>
      <c r="H176" s="200">
        <f>RESID!N176</f>
        <v>37.299999999999997</v>
      </c>
      <c r="I176" s="200">
        <f t="shared" si="35"/>
        <v>-21.999999999999996</v>
      </c>
      <c r="J176" s="100">
        <f t="shared" si="36"/>
        <v>1</v>
      </c>
      <c r="K176" s="171">
        <f t="shared" si="37"/>
        <v>2.0999999999999979</v>
      </c>
      <c r="L176" s="100">
        <f t="shared" si="38"/>
        <v>72</v>
      </c>
      <c r="N176" s="447">
        <v>37347</v>
      </c>
      <c r="O176" s="13">
        <f t="shared" si="42"/>
        <v>4</v>
      </c>
      <c r="P176" s="76">
        <f>SUM(RESID!J225:J236)</f>
        <v>2965.7000000000003</v>
      </c>
      <c r="Q176" s="446">
        <f>SUM(RESID!K225:K236)</f>
        <v>2990.8</v>
      </c>
      <c r="R176" s="4">
        <f t="shared" si="30"/>
        <v>-25.099999999999909</v>
      </c>
      <c r="S176" s="100">
        <f t="shared" si="39"/>
        <v>80</v>
      </c>
      <c r="T176" s="76">
        <f>SUM(RESID!M225:M236)</f>
        <v>453</v>
      </c>
      <c r="U176" s="446">
        <f>SUM(RESID!N225:N236)</f>
        <v>500.5</v>
      </c>
      <c r="V176" s="4">
        <f t="shared" si="31"/>
        <v>-47.5</v>
      </c>
      <c r="W176" s="100">
        <f t="shared" si="40"/>
        <v>90</v>
      </c>
      <c r="X176" s="6">
        <f t="shared" si="32"/>
        <v>-72.599999999999909</v>
      </c>
      <c r="Y176" s="100">
        <f t="shared" si="41"/>
        <v>71</v>
      </c>
    </row>
    <row r="177" spans="1:25">
      <c r="A177" s="29">
        <v>1997</v>
      </c>
      <c r="B177" s="13">
        <v>5</v>
      </c>
      <c r="C177" s="200">
        <f>RESID!J177</f>
        <v>184</v>
      </c>
      <c r="D177" s="200">
        <f>RESID!K177</f>
        <v>224.4</v>
      </c>
      <c r="E177" s="13">
        <f t="shared" si="33"/>
        <v>-40.400000000000006</v>
      </c>
      <c r="F177" s="100">
        <f t="shared" si="34"/>
        <v>1</v>
      </c>
      <c r="G177" s="200">
        <f>RESID!M177</f>
        <v>13.1</v>
      </c>
      <c r="H177" s="200">
        <f>RESID!N177</f>
        <v>11.2</v>
      </c>
      <c r="I177" s="200">
        <f t="shared" si="35"/>
        <v>1.9000000000000004</v>
      </c>
      <c r="J177" s="100">
        <f t="shared" si="36"/>
        <v>0</v>
      </c>
      <c r="K177" s="171">
        <f t="shared" si="37"/>
        <v>-38.500000000000007</v>
      </c>
      <c r="L177" s="100">
        <f t="shared" si="38"/>
        <v>73</v>
      </c>
      <c r="N177" s="447">
        <v>37377</v>
      </c>
      <c r="O177" s="13">
        <f t="shared" si="42"/>
        <v>5</v>
      </c>
      <c r="P177" s="76">
        <f>SUM(RESID!J226:J237)</f>
        <v>3090.8</v>
      </c>
      <c r="Q177" s="446">
        <f>SUM(RESID!K226:K237)</f>
        <v>2990.8</v>
      </c>
      <c r="R177" s="4">
        <f t="shared" si="30"/>
        <v>100</v>
      </c>
      <c r="S177" s="100">
        <f t="shared" si="39"/>
        <v>80</v>
      </c>
      <c r="T177" s="76">
        <f>SUM(RESID!M226:M237)</f>
        <v>439.9</v>
      </c>
      <c r="U177" s="446">
        <f>SUM(RESID!N226:N237)</f>
        <v>500.50000000000006</v>
      </c>
      <c r="V177" s="4">
        <f t="shared" si="31"/>
        <v>-60.60000000000008</v>
      </c>
      <c r="W177" s="100">
        <f t="shared" si="40"/>
        <v>91</v>
      </c>
      <c r="X177" s="6">
        <f t="shared" si="32"/>
        <v>39.39999999999992</v>
      </c>
      <c r="Y177" s="100">
        <f t="shared" si="41"/>
        <v>71</v>
      </c>
    </row>
    <row r="178" spans="1:25">
      <c r="A178" s="29">
        <v>1997</v>
      </c>
      <c r="B178" s="13">
        <v>6</v>
      </c>
      <c r="C178" s="200">
        <f>RESID!J178</f>
        <v>337.6</v>
      </c>
      <c r="D178" s="200">
        <f>RESID!K178</f>
        <v>382.8</v>
      </c>
      <c r="E178" s="13">
        <f t="shared" si="33"/>
        <v>-45.199999999999989</v>
      </c>
      <c r="F178" s="100">
        <f t="shared" si="34"/>
        <v>1</v>
      </c>
      <c r="G178" s="200">
        <f>RESID!M178</f>
        <v>1.1000000000000001</v>
      </c>
      <c r="H178" s="200">
        <f>RESID!N178</f>
        <v>0.9</v>
      </c>
      <c r="I178" s="200">
        <f t="shared" si="35"/>
        <v>0.20000000000000007</v>
      </c>
      <c r="J178" s="100">
        <f t="shared" si="36"/>
        <v>0</v>
      </c>
      <c r="K178" s="171">
        <f t="shared" si="37"/>
        <v>-44.999999999999986</v>
      </c>
      <c r="L178" s="100">
        <f t="shared" si="38"/>
        <v>74</v>
      </c>
      <c r="N178" s="447">
        <v>37408</v>
      </c>
      <c r="O178" s="13">
        <f t="shared" si="42"/>
        <v>6</v>
      </c>
      <c r="P178" s="76">
        <f>SUM(RESID!J227:J238)</f>
        <v>3078.0000000000005</v>
      </c>
      <c r="Q178" s="446">
        <f>SUM(RESID!K227:K238)</f>
        <v>2990.8</v>
      </c>
      <c r="R178" s="4">
        <f t="shared" si="30"/>
        <v>87.200000000000273</v>
      </c>
      <c r="S178" s="100">
        <f t="shared" si="39"/>
        <v>80</v>
      </c>
      <c r="T178" s="76">
        <f>SUM(RESID!M227:M238)</f>
        <v>440.2</v>
      </c>
      <c r="U178" s="446">
        <f>SUM(RESID!N227:N238)</f>
        <v>500.5</v>
      </c>
      <c r="V178" s="4">
        <f t="shared" si="31"/>
        <v>-60.300000000000011</v>
      </c>
      <c r="W178" s="100">
        <f t="shared" si="40"/>
        <v>92</v>
      </c>
      <c r="X178" s="6">
        <f t="shared" si="32"/>
        <v>26.900000000000261</v>
      </c>
      <c r="Y178" s="100">
        <f t="shared" si="41"/>
        <v>71</v>
      </c>
    </row>
    <row r="179" spans="1:25">
      <c r="A179" s="29">
        <v>1997</v>
      </c>
      <c r="B179" s="13">
        <v>7</v>
      </c>
      <c r="C179" s="200">
        <f>RESID!J179</f>
        <v>451.3</v>
      </c>
      <c r="D179" s="200">
        <f>RESID!K179</f>
        <v>454.9</v>
      </c>
      <c r="E179" s="13">
        <f t="shared" si="33"/>
        <v>-3.5999999999999659</v>
      </c>
      <c r="F179" s="100">
        <f t="shared" si="34"/>
        <v>1</v>
      </c>
      <c r="G179" s="200">
        <f>RESID!M179</f>
        <v>0</v>
      </c>
      <c r="H179" s="200">
        <f>RESID!N179</f>
        <v>0</v>
      </c>
      <c r="I179" s="200">
        <f t="shared" si="35"/>
        <v>0</v>
      </c>
      <c r="J179" s="100">
        <f t="shared" si="36"/>
        <v>0</v>
      </c>
      <c r="K179" s="171">
        <f t="shared" si="37"/>
        <v>-3.5999999999999659</v>
      </c>
      <c r="L179" s="100">
        <f t="shared" si="38"/>
        <v>75</v>
      </c>
      <c r="N179" s="447">
        <v>37438</v>
      </c>
      <c r="O179" s="13">
        <f t="shared" si="42"/>
        <v>7</v>
      </c>
      <c r="P179" s="76">
        <f>SUM(RESID!J228:J239)</f>
        <v>3047.7</v>
      </c>
      <c r="Q179" s="446">
        <f>SUM(RESID!K228:K239)</f>
        <v>2990.8</v>
      </c>
      <c r="R179" s="4">
        <f t="shared" si="30"/>
        <v>56.899999999999636</v>
      </c>
      <c r="S179" s="100">
        <f t="shared" si="39"/>
        <v>80</v>
      </c>
      <c r="T179" s="76">
        <f>SUM(RESID!M228:M239)</f>
        <v>440.2</v>
      </c>
      <c r="U179" s="446">
        <f>SUM(RESID!N228:N239)</f>
        <v>500.5</v>
      </c>
      <c r="V179" s="4">
        <f t="shared" si="31"/>
        <v>-60.300000000000011</v>
      </c>
      <c r="W179" s="100">
        <f t="shared" si="40"/>
        <v>93</v>
      </c>
      <c r="X179" s="6">
        <f t="shared" si="32"/>
        <v>-3.4000000000003752</v>
      </c>
      <c r="Y179" s="100">
        <f t="shared" si="41"/>
        <v>72</v>
      </c>
    </row>
    <row r="180" spans="1:25">
      <c r="A180" s="29">
        <v>1997</v>
      </c>
      <c r="B180" s="13">
        <v>8</v>
      </c>
      <c r="C180" s="200">
        <f>RESID!J180</f>
        <v>462.4</v>
      </c>
      <c r="D180" s="200">
        <f>RESID!K180</f>
        <v>481.4</v>
      </c>
      <c r="E180" s="13">
        <f t="shared" si="33"/>
        <v>-19</v>
      </c>
      <c r="F180" s="100">
        <f t="shared" si="34"/>
        <v>1</v>
      </c>
      <c r="G180" s="200">
        <f>RESID!M180</f>
        <v>0</v>
      </c>
      <c r="H180" s="200">
        <f>RESID!N180</f>
        <v>0</v>
      </c>
      <c r="I180" s="200">
        <f t="shared" si="35"/>
        <v>0</v>
      </c>
      <c r="J180" s="100">
        <f t="shared" si="36"/>
        <v>0</v>
      </c>
      <c r="K180" s="171">
        <f t="shared" si="37"/>
        <v>-19</v>
      </c>
      <c r="L180" s="100">
        <f t="shared" si="38"/>
        <v>76</v>
      </c>
      <c r="N180" s="447">
        <v>37469</v>
      </c>
      <c r="O180" s="13">
        <f t="shared" si="42"/>
        <v>8</v>
      </c>
      <c r="P180" s="76">
        <f>SUM(RESID!J229:J240)</f>
        <v>3069.7</v>
      </c>
      <c r="Q180" s="446">
        <f>SUM(RESID!K229:K240)</f>
        <v>2990.8</v>
      </c>
      <c r="R180" s="4">
        <f t="shared" si="30"/>
        <v>78.899999999999636</v>
      </c>
      <c r="S180" s="100">
        <f t="shared" si="39"/>
        <v>80</v>
      </c>
      <c r="T180" s="76">
        <f>SUM(RESID!M229:M240)</f>
        <v>440.2</v>
      </c>
      <c r="U180" s="446">
        <f>SUM(RESID!N229:N240)</f>
        <v>500.5</v>
      </c>
      <c r="V180" s="4">
        <f t="shared" si="31"/>
        <v>-60.300000000000011</v>
      </c>
      <c r="W180" s="100">
        <f t="shared" si="40"/>
        <v>94</v>
      </c>
      <c r="X180" s="6">
        <f t="shared" si="32"/>
        <v>18.599999999999625</v>
      </c>
      <c r="Y180" s="100">
        <f t="shared" si="41"/>
        <v>72</v>
      </c>
    </row>
    <row r="181" spans="1:25">
      <c r="A181" s="29">
        <v>1997</v>
      </c>
      <c r="B181" s="13">
        <v>9</v>
      </c>
      <c r="C181" s="200">
        <f>RESID!J181</f>
        <v>468.3</v>
      </c>
      <c r="D181" s="200">
        <f>RESID!K181</f>
        <v>473.7</v>
      </c>
      <c r="E181" s="13">
        <f t="shared" si="33"/>
        <v>-5.3999999999999773</v>
      </c>
      <c r="F181" s="100">
        <f t="shared" si="34"/>
        <v>1</v>
      </c>
      <c r="G181" s="200">
        <f>RESID!M181</f>
        <v>0</v>
      </c>
      <c r="H181" s="200">
        <f>RESID!N181</f>
        <v>0</v>
      </c>
      <c r="I181" s="200">
        <f t="shared" si="35"/>
        <v>0</v>
      </c>
      <c r="J181" s="100">
        <f t="shared" si="36"/>
        <v>0</v>
      </c>
      <c r="K181" s="171">
        <f t="shared" si="37"/>
        <v>-5.3999999999999773</v>
      </c>
      <c r="L181" s="100">
        <f t="shared" si="38"/>
        <v>77</v>
      </c>
      <c r="N181" s="447">
        <v>37500</v>
      </c>
      <c r="O181" s="13">
        <f t="shared" si="42"/>
        <v>9</v>
      </c>
      <c r="P181" s="76">
        <f>SUM(RESID!J230:J241)</f>
        <v>3048</v>
      </c>
      <c r="Q181" s="446">
        <f>SUM(RESID!K230:K241)</f>
        <v>2990.7999999999997</v>
      </c>
      <c r="R181" s="4">
        <f t="shared" si="30"/>
        <v>57.200000000000273</v>
      </c>
      <c r="S181" s="100">
        <f t="shared" si="39"/>
        <v>80</v>
      </c>
      <c r="T181" s="76">
        <f>SUM(RESID!M230:M241)</f>
        <v>440.09999999999997</v>
      </c>
      <c r="U181" s="446">
        <f>SUM(RESID!N230:N241)</f>
        <v>500.5</v>
      </c>
      <c r="V181" s="4">
        <f t="shared" si="31"/>
        <v>-60.400000000000034</v>
      </c>
      <c r="W181" s="100">
        <f t="shared" si="40"/>
        <v>95</v>
      </c>
      <c r="X181" s="6">
        <f t="shared" si="32"/>
        <v>-3.1999999999997613</v>
      </c>
      <c r="Y181" s="100">
        <f t="shared" si="41"/>
        <v>73</v>
      </c>
    </row>
    <row r="182" spans="1:25">
      <c r="A182" s="29">
        <v>1997</v>
      </c>
      <c r="B182" s="13">
        <v>10</v>
      </c>
      <c r="C182" s="200">
        <f>RESID!J182</f>
        <v>395.3</v>
      </c>
      <c r="D182" s="200">
        <f>RESID!K182</f>
        <v>373.2</v>
      </c>
      <c r="E182" s="13">
        <f t="shared" si="33"/>
        <v>22.100000000000023</v>
      </c>
      <c r="F182" s="100">
        <f t="shared" si="34"/>
        <v>0</v>
      </c>
      <c r="G182" s="200">
        <f>RESID!M182</f>
        <v>1.1000000000000001</v>
      </c>
      <c r="H182" s="200">
        <f>RESID!N182</f>
        <v>1.3</v>
      </c>
      <c r="I182" s="200">
        <f t="shared" si="35"/>
        <v>-0.19999999999999996</v>
      </c>
      <c r="J182" s="100">
        <f t="shared" si="36"/>
        <v>1</v>
      </c>
      <c r="K182" s="171">
        <f t="shared" si="37"/>
        <v>21.900000000000023</v>
      </c>
      <c r="L182" s="100">
        <f t="shared" si="38"/>
        <v>77</v>
      </c>
      <c r="N182" s="447">
        <v>37530</v>
      </c>
      <c r="O182" s="13">
        <f t="shared" si="42"/>
        <v>10</v>
      </c>
      <c r="P182" s="76">
        <f>SUM(RESID!J231:J242)</f>
        <v>3175.2999999999997</v>
      </c>
      <c r="Q182" s="446">
        <f>SUM(RESID!K231:K242)</f>
        <v>2990.7999999999997</v>
      </c>
      <c r="R182" s="4">
        <f t="shared" si="30"/>
        <v>184.5</v>
      </c>
      <c r="S182" s="100">
        <f t="shared" si="39"/>
        <v>80</v>
      </c>
      <c r="T182" s="76">
        <f>SUM(RESID!M231:M242)</f>
        <v>437.1</v>
      </c>
      <c r="U182" s="446">
        <f>SUM(RESID!N231:N242)</f>
        <v>500.5</v>
      </c>
      <c r="V182" s="4">
        <f t="shared" si="31"/>
        <v>-63.399999999999977</v>
      </c>
      <c r="W182" s="100">
        <f t="shared" si="40"/>
        <v>96</v>
      </c>
      <c r="X182" s="6">
        <f t="shared" si="32"/>
        <v>121.10000000000002</v>
      </c>
      <c r="Y182" s="100">
        <f t="shared" si="41"/>
        <v>73</v>
      </c>
    </row>
    <row r="183" spans="1:25">
      <c r="A183" s="29">
        <v>1997</v>
      </c>
      <c r="B183" s="13">
        <v>11</v>
      </c>
      <c r="C183" s="200">
        <f>RESID!J183</f>
        <v>156.19999999999999</v>
      </c>
      <c r="D183" s="200">
        <f>RESID!K183</f>
        <v>204.3</v>
      </c>
      <c r="E183" s="13">
        <f t="shared" si="33"/>
        <v>-48.100000000000023</v>
      </c>
      <c r="F183" s="100">
        <f t="shared" si="34"/>
        <v>1</v>
      </c>
      <c r="G183" s="200">
        <f>RESID!M183</f>
        <v>32</v>
      </c>
      <c r="H183" s="200">
        <f>RESID!N183</f>
        <v>24.1</v>
      </c>
      <c r="I183" s="200">
        <f t="shared" si="35"/>
        <v>7.8999999999999986</v>
      </c>
      <c r="J183" s="100">
        <f t="shared" si="36"/>
        <v>0</v>
      </c>
      <c r="K183" s="171">
        <f t="shared" si="37"/>
        <v>-40.200000000000024</v>
      </c>
      <c r="L183" s="100">
        <f t="shared" si="38"/>
        <v>78</v>
      </c>
      <c r="N183" s="447">
        <v>37561</v>
      </c>
      <c r="O183" s="13">
        <f t="shared" si="42"/>
        <v>11</v>
      </c>
      <c r="P183" s="76">
        <f>SUM(RESID!J232:J243)</f>
        <v>3249.4</v>
      </c>
      <c r="Q183" s="446">
        <f>SUM(RESID!K232:K243)</f>
        <v>2990.7999999999997</v>
      </c>
      <c r="R183" s="4">
        <f t="shared" si="30"/>
        <v>258.60000000000036</v>
      </c>
      <c r="S183" s="100">
        <f t="shared" si="39"/>
        <v>80</v>
      </c>
      <c r="T183" s="76">
        <f>SUM(RESID!M232:M243)</f>
        <v>433.3</v>
      </c>
      <c r="U183" s="446">
        <f>SUM(RESID!N232:N243)</f>
        <v>500.5</v>
      </c>
      <c r="V183" s="4">
        <f t="shared" si="31"/>
        <v>-67.199999999999989</v>
      </c>
      <c r="W183" s="100">
        <f t="shared" si="40"/>
        <v>97</v>
      </c>
      <c r="X183" s="6">
        <f t="shared" si="32"/>
        <v>191.40000000000038</v>
      </c>
      <c r="Y183" s="100">
        <f t="shared" si="41"/>
        <v>73</v>
      </c>
    </row>
    <row r="184" spans="1:25">
      <c r="A184" s="90">
        <v>1997</v>
      </c>
      <c r="B184" s="90">
        <v>12</v>
      </c>
      <c r="C184" s="200">
        <f>RESID!J184</f>
        <v>66.400000000000006</v>
      </c>
      <c r="D184" s="200">
        <f>RESID!K184</f>
        <v>88</v>
      </c>
      <c r="E184" s="13">
        <f t="shared" si="33"/>
        <v>-21.599999999999994</v>
      </c>
      <c r="F184" s="100">
        <f t="shared" si="34"/>
        <v>1</v>
      </c>
      <c r="G184" s="200">
        <f>RESID!M184</f>
        <v>87.6</v>
      </c>
      <c r="H184" s="200">
        <f>RESID!N184</f>
        <v>83.9</v>
      </c>
      <c r="I184" s="200">
        <f t="shared" si="35"/>
        <v>3.6999999999999886</v>
      </c>
      <c r="J184" s="100">
        <f t="shared" si="36"/>
        <v>0</v>
      </c>
      <c r="K184" s="171">
        <f t="shared" si="37"/>
        <v>-17.900000000000006</v>
      </c>
      <c r="L184" s="100">
        <f t="shared" si="38"/>
        <v>79</v>
      </c>
      <c r="N184" s="447">
        <v>37591</v>
      </c>
      <c r="O184" s="13">
        <f t="shared" si="42"/>
        <v>12</v>
      </c>
      <c r="P184" s="76">
        <f>SUM(RESID!J233:J244)</f>
        <v>3154.9</v>
      </c>
      <c r="Q184" s="446">
        <f>SUM(RESID!K233:K244)</f>
        <v>2990.7999999999997</v>
      </c>
      <c r="R184" s="4">
        <f t="shared" si="30"/>
        <v>164.10000000000036</v>
      </c>
      <c r="S184" s="100">
        <f t="shared" si="39"/>
        <v>80</v>
      </c>
      <c r="T184" s="76">
        <f>SUM(RESID!M233:M244)</f>
        <v>540</v>
      </c>
      <c r="U184" s="446">
        <f>SUM(RESID!N233:N244)</f>
        <v>500.5</v>
      </c>
      <c r="V184" s="4">
        <f t="shared" si="31"/>
        <v>39.5</v>
      </c>
      <c r="W184" s="100">
        <f t="shared" si="40"/>
        <v>97</v>
      </c>
      <c r="X184" s="6">
        <f t="shared" si="32"/>
        <v>203.60000000000036</v>
      </c>
      <c r="Y184" s="100">
        <f t="shared" si="41"/>
        <v>73</v>
      </c>
    </row>
    <row r="185" spans="1:25">
      <c r="A185" s="13">
        <v>1998</v>
      </c>
      <c r="B185" s="13">
        <v>1</v>
      </c>
      <c r="C185" s="200">
        <f>RESID!J185</f>
        <v>56.1</v>
      </c>
      <c r="D185" s="200">
        <f>RESID!K185</f>
        <v>49.5</v>
      </c>
      <c r="E185" s="13">
        <f t="shared" si="33"/>
        <v>6.6000000000000014</v>
      </c>
      <c r="F185" s="100">
        <f t="shared" si="34"/>
        <v>0</v>
      </c>
      <c r="G185" s="200">
        <f>RESID!M185</f>
        <v>128.9</v>
      </c>
      <c r="H185" s="200">
        <f>RESID!N185</f>
        <v>131.6</v>
      </c>
      <c r="I185" s="200">
        <f t="shared" si="35"/>
        <v>-2.6999999999999886</v>
      </c>
      <c r="J185" s="100">
        <f t="shared" si="36"/>
        <v>1</v>
      </c>
      <c r="K185" s="171">
        <f t="shared" si="37"/>
        <v>3.9000000000000128</v>
      </c>
      <c r="L185" s="100">
        <f t="shared" si="38"/>
        <v>79</v>
      </c>
      <c r="N185" s="447">
        <v>37622</v>
      </c>
      <c r="O185" s="13">
        <f t="shared" si="42"/>
        <v>1</v>
      </c>
      <c r="P185" s="76">
        <f>SUM(RESID!J234:J245)</f>
        <v>3113</v>
      </c>
      <c r="Q185" s="446">
        <f>SUM(RESID!K234:K245)</f>
        <v>2990.7999999999997</v>
      </c>
      <c r="R185" s="4">
        <f t="shared" ref="R185:R244" si="43">P185-Q185</f>
        <v>122.20000000000027</v>
      </c>
      <c r="S185" s="100">
        <f t="shared" si="39"/>
        <v>80</v>
      </c>
      <c r="T185" s="76">
        <f>SUM(RESID!M234:M245)</f>
        <v>579.90000000000009</v>
      </c>
      <c r="U185" s="446">
        <f>SUM(RESID!N234:N245)</f>
        <v>500.5</v>
      </c>
      <c r="V185" s="4">
        <f t="shared" ref="V185:V244" si="44">T185-U185</f>
        <v>79.400000000000091</v>
      </c>
      <c r="W185" s="100">
        <f t="shared" si="40"/>
        <v>97</v>
      </c>
      <c r="X185" s="6">
        <f t="shared" ref="X185:X244" si="45">R185+V185</f>
        <v>201.60000000000036</v>
      </c>
      <c r="Y185" s="100">
        <f t="shared" si="41"/>
        <v>73</v>
      </c>
    </row>
    <row r="186" spans="1:25">
      <c r="A186" s="13">
        <v>1998</v>
      </c>
      <c r="B186" s="13">
        <v>2</v>
      </c>
      <c r="C186" s="200">
        <f>RESID!J186</f>
        <v>24.3</v>
      </c>
      <c r="D186" s="200">
        <f>RESID!K186</f>
        <v>43.3</v>
      </c>
      <c r="E186" s="13">
        <f t="shared" si="33"/>
        <v>-18.999999999999996</v>
      </c>
      <c r="F186" s="100">
        <f t="shared" si="34"/>
        <v>1</v>
      </c>
      <c r="G186" s="200">
        <f>RESID!M186</f>
        <v>127.4</v>
      </c>
      <c r="H186" s="200">
        <f>RESID!N186</f>
        <v>127.9</v>
      </c>
      <c r="I186" s="200">
        <f t="shared" si="35"/>
        <v>-0.5</v>
      </c>
      <c r="J186" s="100">
        <f t="shared" si="36"/>
        <v>1</v>
      </c>
      <c r="K186" s="171">
        <f t="shared" si="37"/>
        <v>-19.499999999999996</v>
      </c>
      <c r="L186" s="100">
        <f t="shared" si="38"/>
        <v>80</v>
      </c>
      <c r="N186" s="447">
        <v>37653</v>
      </c>
      <c r="O186" s="13">
        <f t="shared" si="42"/>
        <v>2</v>
      </c>
      <c r="P186" s="76">
        <f>SUM(RESID!J235:J246)</f>
        <v>3050.6</v>
      </c>
      <c r="Q186" s="446">
        <f>SUM(RESID!K235:K246)</f>
        <v>2990.8</v>
      </c>
      <c r="R186" s="4">
        <f t="shared" si="43"/>
        <v>59.799999999999727</v>
      </c>
      <c r="S186" s="100">
        <f t="shared" si="39"/>
        <v>80</v>
      </c>
      <c r="T186" s="76">
        <f>SUM(RESID!M235:M246)</f>
        <v>712</v>
      </c>
      <c r="U186" s="446">
        <f>SUM(RESID!N235:N246)</f>
        <v>500.5</v>
      </c>
      <c r="V186" s="4">
        <f t="shared" si="44"/>
        <v>211.5</v>
      </c>
      <c r="W186" s="100">
        <f t="shared" si="40"/>
        <v>97</v>
      </c>
      <c r="X186" s="6">
        <f t="shared" si="45"/>
        <v>271.29999999999973</v>
      </c>
      <c r="Y186" s="100">
        <f t="shared" si="41"/>
        <v>73</v>
      </c>
    </row>
    <row r="187" spans="1:25">
      <c r="A187" s="13">
        <v>1998</v>
      </c>
      <c r="B187" s="13">
        <v>3</v>
      </c>
      <c r="C187" s="200">
        <f>RESID!J187</f>
        <v>48.7</v>
      </c>
      <c r="D187" s="200">
        <f>RESID!K187</f>
        <v>77.2</v>
      </c>
      <c r="E187" s="13">
        <f t="shared" si="33"/>
        <v>-28.5</v>
      </c>
      <c r="F187" s="100">
        <f t="shared" si="34"/>
        <v>1</v>
      </c>
      <c r="G187" s="200">
        <f>RESID!M187</f>
        <v>108.4</v>
      </c>
      <c r="H187" s="200">
        <f>RESID!N187</f>
        <v>82.3</v>
      </c>
      <c r="I187" s="200">
        <f t="shared" si="35"/>
        <v>26.100000000000009</v>
      </c>
      <c r="J187" s="100">
        <f t="shared" si="36"/>
        <v>0</v>
      </c>
      <c r="K187" s="171">
        <f t="shared" si="37"/>
        <v>-2.3999999999999915</v>
      </c>
      <c r="L187" s="100">
        <f t="shared" si="38"/>
        <v>81</v>
      </c>
      <c r="N187" s="447">
        <v>37681</v>
      </c>
      <c r="O187" s="13">
        <f t="shared" si="42"/>
        <v>3</v>
      </c>
      <c r="P187" s="76">
        <f>SUM(RESID!J236:J247)</f>
        <v>3101.7000000000003</v>
      </c>
      <c r="Q187" s="446">
        <f>SUM(RESID!K236:K247)</f>
        <v>2990.7999999999997</v>
      </c>
      <c r="R187" s="4">
        <f t="shared" si="43"/>
        <v>110.90000000000055</v>
      </c>
      <c r="S187" s="100">
        <f t="shared" si="39"/>
        <v>80</v>
      </c>
      <c r="T187" s="76">
        <f>SUM(RESID!M236:M247)</f>
        <v>643.5</v>
      </c>
      <c r="U187" s="446">
        <f>SUM(RESID!N236:N247)</f>
        <v>500.49999999999994</v>
      </c>
      <c r="V187" s="4">
        <f t="shared" si="44"/>
        <v>143.00000000000006</v>
      </c>
      <c r="W187" s="100">
        <f t="shared" si="40"/>
        <v>97</v>
      </c>
      <c r="X187" s="6">
        <f t="shared" si="45"/>
        <v>253.9000000000006</v>
      </c>
      <c r="Y187" s="100">
        <f t="shared" si="41"/>
        <v>73</v>
      </c>
    </row>
    <row r="188" spans="1:25">
      <c r="A188" s="13">
        <v>1998</v>
      </c>
      <c r="B188" s="13">
        <v>4</v>
      </c>
      <c r="C188" s="200">
        <f>RESID!J188</f>
        <v>130.4</v>
      </c>
      <c r="D188" s="200">
        <f>RESID!K188</f>
        <v>138.1</v>
      </c>
      <c r="E188" s="13">
        <f t="shared" si="33"/>
        <v>-7.6999999999999886</v>
      </c>
      <c r="F188" s="100">
        <f t="shared" si="34"/>
        <v>1</v>
      </c>
      <c r="G188" s="200">
        <f>RESID!M188</f>
        <v>57.8</v>
      </c>
      <c r="H188" s="200">
        <f>RESID!N188</f>
        <v>37.299999999999997</v>
      </c>
      <c r="I188" s="200">
        <f t="shared" si="35"/>
        <v>20.5</v>
      </c>
      <c r="J188" s="100">
        <f t="shared" si="36"/>
        <v>0</v>
      </c>
      <c r="K188" s="171">
        <f t="shared" si="37"/>
        <v>12.800000000000011</v>
      </c>
      <c r="L188" s="100">
        <f t="shared" si="38"/>
        <v>81</v>
      </c>
      <c r="N188" s="447">
        <v>37712</v>
      </c>
      <c r="O188" s="13">
        <f t="shared" si="42"/>
        <v>4</v>
      </c>
      <c r="P188" s="76">
        <f>SUM(RESID!J237:J248)</f>
        <v>3062.0000000000005</v>
      </c>
      <c r="Q188" s="446">
        <f>SUM(RESID!K237:K248)</f>
        <v>2990.8</v>
      </c>
      <c r="R188" s="4">
        <f t="shared" si="43"/>
        <v>71.200000000000273</v>
      </c>
      <c r="S188" s="100">
        <f t="shared" si="39"/>
        <v>80</v>
      </c>
      <c r="T188" s="76">
        <f>SUM(RESID!M237:M248)</f>
        <v>658.1</v>
      </c>
      <c r="U188" s="446">
        <f>SUM(RESID!N237:N248)</f>
        <v>500.5</v>
      </c>
      <c r="V188" s="4">
        <f t="shared" si="44"/>
        <v>157.60000000000002</v>
      </c>
      <c r="W188" s="100">
        <f t="shared" si="40"/>
        <v>97</v>
      </c>
      <c r="X188" s="6">
        <f t="shared" si="45"/>
        <v>228.8000000000003</v>
      </c>
      <c r="Y188" s="100">
        <f t="shared" si="41"/>
        <v>73</v>
      </c>
    </row>
    <row r="189" spans="1:25">
      <c r="A189" s="13">
        <v>1998</v>
      </c>
      <c r="B189" s="13">
        <v>5</v>
      </c>
      <c r="C189" s="200">
        <f>RESID!J189</f>
        <v>226.9</v>
      </c>
      <c r="D189" s="200">
        <f>RESID!K189</f>
        <v>224.4</v>
      </c>
      <c r="E189" s="13">
        <f t="shared" si="33"/>
        <v>2.5</v>
      </c>
      <c r="F189" s="100">
        <f t="shared" si="34"/>
        <v>0</v>
      </c>
      <c r="G189" s="200">
        <f>RESID!M189</f>
        <v>11.5</v>
      </c>
      <c r="H189" s="200">
        <f>RESID!N189</f>
        <v>11.2</v>
      </c>
      <c r="I189" s="200">
        <f t="shared" si="35"/>
        <v>0.30000000000000071</v>
      </c>
      <c r="J189" s="100">
        <f t="shared" si="36"/>
        <v>0</v>
      </c>
      <c r="K189" s="171">
        <f t="shared" si="37"/>
        <v>2.8000000000000007</v>
      </c>
      <c r="L189" s="100">
        <f t="shared" si="38"/>
        <v>81</v>
      </c>
      <c r="N189" s="447">
        <v>37742</v>
      </c>
      <c r="O189" s="13">
        <f t="shared" si="42"/>
        <v>5</v>
      </c>
      <c r="P189" s="76">
        <f>SUM(RESID!J238:J249)</f>
        <v>3014.7000000000003</v>
      </c>
      <c r="Q189" s="446">
        <f>SUM(RESID!K238:K249)</f>
        <v>2990.8</v>
      </c>
      <c r="R189" s="4">
        <f t="shared" si="43"/>
        <v>23.900000000000091</v>
      </c>
      <c r="S189" s="100">
        <f t="shared" si="39"/>
        <v>80</v>
      </c>
      <c r="T189" s="76">
        <f>SUM(RESID!M238:M249)</f>
        <v>663.4</v>
      </c>
      <c r="U189" s="446">
        <f>SUM(RESID!N238:N249)</f>
        <v>500.50000000000006</v>
      </c>
      <c r="V189" s="4">
        <f t="shared" si="44"/>
        <v>162.89999999999992</v>
      </c>
      <c r="W189" s="100">
        <f t="shared" si="40"/>
        <v>97</v>
      </c>
      <c r="X189" s="6">
        <f t="shared" si="45"/>
        <v>186.8</v>
      </c>
      <c r="Y189" s="100">
        <f t="shared" si="41"/>
        <v>73</v>
      </c>
    </row>
    <row r="190" spans="1:25">
      <c r="A190" s="13">
        <v>1998</v>
      </c>
      <c r="B190" s="13">
        <v>6</v>
      </c>
      <c r="C190" s="200">
        <f>RESID!J190</f>
        <v>447.6</v>
      </c>
      <c r="D190" s="200">
        <f>RESID!K190</f>
        <v>382.8</v>
      </c>
      <c r="E190" s="13">
        <f t="shared" si="33"/>
        <v>64.800000000000011</v>
      </c>
      <c r="F190" s="100">
        <f t="shared" si="34"/>
        <v>0</v>
      </c>
      <c r="G190" s="200">
        <f>RESID!M190</f>
        <v>0.4</v>
      </c>
      <c r="H190" s="200">
        <f>RESID!N190</f>
        <v>0.9</v>
      </c>
      <c r="I190" s="200">
        <f t="shared" si="35"/>
        <v>-0.5</v>
      </c>
      <c r="J190" s="100">
        <f t="shared" si="36"/>
        <v>1</v>
      </c>
      <c r="K190" s="171">
        <f t="shared" si="37"/>
        <v>64.300000000000011</v>
      </c>
      <c r="L190" s="100">
        <f t="shared" si="38"/>
        <v>81</v>
      </c>
      <c r="N190" s="447">
        <v>37773</v>
      </c>
      <c r="O190" s="13">
        <f t="shared" si="42"/>
        <v>6</v>
      </c>
      <c r="P190" s="76">
        <f>SUM(RESID!J239:J250)</f>
        <v>3045.9</v>
      </c>
      <c r="Q190" s="446">
        <f>SUM(RESID!K239:K250)</f>
        <v>2990.8</v>
      </c>
      <c r="R190" s="4">
        <f t="shared" si="43"/>
        <v>55.099999999999909</v>
      </c>
      <c r="S190" s="100">
        <f t="shared" si="39"/>
        <v>80</v>
      </c>
      <c r="T190" s="76">
        <f>SUM(RESID!M239:M250)</f>
        <v>662.2</v>
      </c>
      <c r="U190" s="446">
        <f>SUM(RESID!N239:N250)</f>
        <v>500.5</v>
      </c>
      <c r="V190" s="4">
        <f t="shared" si="44"/>
        <v>161.70000000000005</v>
      </c>
      <c r="W190" s="100">
        <f t="shared" si="40"/>
        <v>97</v>
      </c>
      <c r="X190" s="6">
        <f t="shared" si="45"/>
        <v>216.79999999999995</v>
      </c>
      <c r="Y190" s="100">
        <f t="shared" si="41"/>
        <v>73</v>
      </c>
    </row>
    <row r="191" spans="1:25">
      <c r="A191" s="13">
        <v>1998</v>
      </c>
      <c r="B191" s="13">
        <v>7</v>
      </c>
      <c r="C191" s="200">
        <f>RESID!J191</f>
        <v>521.29999999999995</v>
      </c>
      <c r="D191" s="200">
        <f>RESID!K191</f>
        <v>454.9</v>
      </c>
      <c r="E191" s="13">
        <f t="shared" si="33"/>
        <v>66.399999999999977</v>
      </c>
      <c r="F191" s="100">
        <f t="shared" si="34"/>
        <v>0</v>
      </c>
      <c r="G191" s="200">
        <f>RESID!M191</f>
        <v>0</v>
      </c>
      <c r="H191" s="200">
        <f>RESID!N191</f>
        <v>0</v>
      </c>
      <c r="I191" s="200">
        <f t="shared" si="35"/>
        <v>0</v>
      </c>
      <c r="J191" s="100">
        <f t="shared" si="36"/>
        <v>0</v>
      </c>
      <c r="K191" s="171">
        <f t="shared" si="37"/>
        <v>66.399999999999977</v>
      </c>
      <c r="L191" s="100">
        <f t="shared" si="38"/>
        <v>81</v>
      </c>
      <c r="N191" s="447">
        <v>37803</v>
      </c>
      <c r="O191" s="13">
        <f t="shared" si="42"/>
        <v>7</v>
      </c>
      <c r="P191" s="76">
        <f>SUM(RESID!J240:J251)</f>
        <v>3084.5</v>
      </c>
      <c r="Q191" s="446">
        <f>SUM(RESID!K240:K251)</f>
        <v>2990.8</v>
      </c>
      <c r="R191" s="4">
        <f t="shared" si="43"/>
        <v>93.699999999999818</v>
      </c>
      <c r="S191" s="100">
        <f t="shared" si="39"/>
        <v>80</v>
      </c>
      <c r="T191" s="76">
        <f>SUM(RESID!M240:M251)</f>
        <v>662.2</v>
      </c>
      <c r="U191" s="446">
        <f>SUM(RESID!N240:N251)</f>
        <v>500.5</v>
      </c>
      <c r="V191" s="4">
        <f t="shared" si="44"/>
        <v>161.70000000000005</v>
      </c>
      <c r="W191" s="100">
        <f t="shared" si="40"/>
        <v>97</v>
      </c>
      <c r="X191" s="6">
        <f t="shared" si="45"/>
        <v>255.39999999999986</v>
      </c>
      <c r="Y191" s="100">
        <f t="shared" si="41"/>
        <v>73</v>
      </c>
    </row>
    <row r="192" spans="1:25">
      <c r="A192" s="13">
        <v>1998</v>
      </c>
      <c r="B192" s="13">
        <v>8</v>
      </c>
      <c r="C192" s="200">
        <f>RESID!J192</f>
        <v>510.8</v>
      </c>
      <c r="D192" s="200">
        <f>RESID!K192</f>
        <v>481.4</v>
      </c>
      <c r="E192" s="13">
        <f t="shared" si="33"/>
        <v>29.400000000000034</v>
      </c>
      <c r="F192" s="100">
        <f t="shared" si="34"/>
        <v>0</v>
      </c>
      <c r="G192" s="200">
        <f>RESID!M192</f>
        <v>0</v>
      </c>
      <c r="H192" s="200">
        <f>RESID!N192</f>
        <v>0</v>
      </c>
      <c r="I192" s="200">
        <f t="shared" si="35"/>
        <v>0</v>
      </c>
      <c r="J192" s="100">
        <f t="shared" si="36"/>
        <v>0</v>
      </c>
      <c r="K192" s="171">
        <f t="shared" si="37"/>
        <v>29.400000000000034</v>
      </c>
      <c r="L192" s="100">
        <f t="shared" si="38"/>
        <v>81</v>
      </c>
      <c r="N192" s="447">
        <v>37834</v>
      </c>
      <c r="O192" s="13">
        <f t="shared" si="42"/>
        <v>8</v>
      </c>
      <c r="P192" s="76">
        <f>SUM(RESID!J241:J252)</f>
        <v>3065.2000000000003</v>
      </c>
      <c r="Q192" s="446">
        <f>SUM(RESID!K241:K252)</f>
        <v>2990.8</v>
      </c>
      <c r="R192" s="4">
        <f t="shared" si="43"/>
        <v>74.400000000000091</v>
      </c>
      <c r="S192" s="100">
        <f t="shared" si="39"/>
        <v>80</v>
      </c>
      <c r="T192" s="76">
        <f>SUM(RESID!M241:M252)</f>
        <v>662.2</v>
      </c>
      <c r="U192" s="446">
        <f>SUM(RESID!N241:N252)</f>
        <v>500.5</v>
      </c>
      <c r="V192" s="4">
        <f t="shared" si="44"/>
        <v>161.70000000000005</v>
      </c>
      <c r="W192" s="100">
        <f t="shared" si="40"/>
        <v>97</v>
      </c>
      <c r="X192" s="6">
        <f t="shared" si="45"/>
        <v>236.10000000000014</v>
      </c>
      <c r="Y192" s="100">
        <f t="shared" si="41"/>
        <v>73</v>
      </c>
    </row>
    <row r="193" spans="1:25">
      <c r="A193" s="13">
        <v>1998</v>
      </c>
      <c r="B193" s="13">
        <v>9</v>
      </c>
      <c r="C193" s="200">
        <f>RESID!J193</f>
        <v>483.8</v>
      </c>
      <c r="D193" s="200">
        <f>RESID!K193</f>
        <v>473.7</v>
      </c>
      <c r="E193" s="13">
        <f t="shared" si="33"/>
        <v>10.100000000000023</v>
      </c>
      <c r="F193" s="100">
        <f t="shared" si="34"/>
        <v>0</v>
      </c>
      <c r="G193" s="200">
        <f>RESID!M193</f>
        <v>0</v>
      </c>
      <c r="H193" s="200">
        <f>RESID!N193</f>
        <v>0</v>
      </c>
      <c r="I193" s="200">
        <f t="shared" si="35"/>
        <v>0</v>
      </c>
      <c r="J193" s="100">
        <f t="shared" si="36"/>
        <v>0</v>
      </c>
      <c r="K193" s="171">
        <f t="shared" si="37"/>
        <v>10.100000000000023</v>
      </c>
      <c r="L193" s="100">
        <f t="shared" si="38"/>
        <v>81</v>
      </c>
      <c r="N193" s="447">
        <v>37865</v>
      </c>
      <c r="O193" s="13">
        <f t="shared" si="42"/>
        <v>9</v>
      </c>
      <c r="P193" s="76">
        <f>SUM(RESID!J242:J253)</f>
        <v>3064.1</v>
      </c>
      <c r="Q193" s="446">
        <f>SUM(RESID!K242:K253)</f>
        <v>2990.7999999999997</v>
      </c>
      <c r="R193" s="4">
        <f t="shared" si="43"/>
        <v>73.300000000000182</v>
      </c>
      <c r="S193" s="100">
        <f t="shared" si="39"/>
        <v>80</v>
      </c>
      <c r="T193" s="76">
        <f>SUM(RESID!M242:M253)</f>
        <v>662.2</v>
      </c>
      <c r="U193" s="446">
        <f>SUM(RESID!N242:N253)</f>
        <v>500.5</v>
      </c>
      <c r="V193" s="4">
        <f t="shared" si="44"/>
        <v>161.70000000000005</v>
      </c>
      <c r="W193" s="100">
        <f t="shared" si="40"/>
        <v>97</v>
      </c>
      <c r="X193" s="6">
        <f t="shared" si="45"/>
        <v>235.00000000000023</v>
      </c>
      <c r="Y193" s="100">
        <f t="shared" si="41"/>
        <v>73</v>
      </c>
    </row>
    <row r="194" spans="1:25">
      <c r="A194" s="13">
        <v>1998</v>
      </c>
      <c r="B194" s="13">
        <v>10</v>
      </c>
      <c r="C194" s="200">
        <f>RESID!J194</f>
        <v>414.9</v>
      </c>
      <c r="D194" s="200">
        <f>RESID!K194</f>
        <v>373.2</v>
      </c>
      <c r="E194" s="13">
        <f t="shared" si="33"/>
        <v>41.699999999999989</v>
      </c>
      <c r="F194" s="100">
        <f t="shared" si="34"/>
        <v>0</v>
      </c>
      <c r="G194" s="200">
        <f>RESID!M194</f>
        <v>0.2</v>
      </c>
      <c r="H194" s="200">
        <f>RESID!N194</f>
        <v>1.3</v>
      </c>
      <c r="I194" s="200">
        <f t="shared" si="35"/>
        <v>-1.1000000000000001</v>
      </c>
      <c r="J194" s="100">
        <f t="shared" si="36"/>
        <v>1</v>
      </c>
      <c r="K194" s="171">
        <f t="shared" si="37"/>
        <v>40.599999999999987</v>
      </c>
      <c r="L194" s="100">
        <f t="shared" si="38"/>
        <v>81</v>
      </c>
      <c r="N194" s="447">
        <v>37895</v>
      </c>
      <c r="O194" s="13">
        <f t="shared" si="42"/>
        <v>10</v>
      </c>
      <c r="P194" s="76">
        <f>SUM(RESID!J243:J254)</f>
        <v>2981.2000000000007</v>
      </c>
      <c r="Q194" s="446">
        <f>SUM(RESID!K243:K254)</f>
        <v>2990.7999999999997</v>
      </c>
      <c r="R194" s="4">
        <f t="shared" si="43"/>
        <v>-9.5999999999989996</v>
      </c>
      <c r="S194" s="100">
        <f t="shared" si="39"/>
        <v>81</v>
      </c>
      <c r="T194" s="76">
        <f>SUM(RESID!M243:M254)</f>
        <v>662.4</v>
      </c>
      <c r="U194" s="446">
        <f>SUM(RESID!N243:N254)</f>
        <v>500.5</v>
      </c>
      <c r="V194" s="4">
        <f t="shared" si="44"/>
        <v>161.89999999999998</v>
      </c>
      <c r="W194" s="100">
        <f t="shared" si="40"/>
        <v>97</v>
      </c>
      <c r="X194" s="6">
        <f t="shared" si="45"/>
        <v>152.30000000000098</v>
      </c>
      <c r="Y194" s="100">
        <f t="shared" si="41"/>
        <v>73</v>
      </c>
    </row>
    <row r="195" spans="1:25">
      <c r="A195" s="13">
        <v>1998</v>
      </c>
      <c r="B195" s="13">
        <v>11</v>
      </c>
      <c r="C195" s="200">
        <f>RESID!J195</f>
        <v>240.8</v>
      </c>
      <c r="D195" s="200">
        <f>RESID!K195</f>
        <v>204.3</v>
      </c>
      <c r="E195" s="13">
        <f t="shared" si="33"/>
        <v>36.5</v>
      </c>
      <c r="F195" s="100">
        <f t="shared" si="34"/>
        <v>0</v>
      </c>
      <c r="G195" s="200">
        <f>RESID!M195</f>
        <v>8.5</v>
      </c>
      <c r="H195" s="200">
        <f>RESID!N195</f>
        <v>24.1</v>
      </c>
      <c r="I195" s="200">
        <f t="shared" si="35"/>
        <v>-15.600000000000001</v>
      </c>
      <c r="J195" s="100">
        <f t="shared" si="36"/>
        <v>1</v>
      </c>
      <c r="K195" s="171">
        <f t="shared" si="37"/>
        <v>20.9</v>
      </c>
      <c r="L195" s="100">
        <f t="shared" si="38"/>
        <v>81</v>
      </c>
      <c r="N195" s="447">
        <v>37926</v>
      </c>
      <c r="O195" s="13">
        <f t="shared" si="42"/>
        <v>11</v>
      </c>
      <c r="P195" s="76">
        <f>SUM(RESID!J244:J255)</f>
        <v>2965.9</v>
      </c>
      <c r="Q195" s="446">
        <f>SUM(RESID!K244:K255)</f>
        <v>2990.7999999999997</v>
      </c>
      <c r="R195" s="4">
        <f t="shared" si="43"/>
        <v>-24.899999999999636</v>
      </c>
      <c r="S195" s="100">
        <f t="shared" si="39"/>
        <v>82</v>
      </c>
      <c r="T195" s="76">
        <f>SUM(RESID!M244:M255)</f>
        <v>651.40000000000009</v>
      </c>
      <c r="U195" s="446">
        <f>SUM(RESID!N244:N255)</f>
        <v>500.5</v>
      </c>
      <c r="V195" s="4">
        <f t="shared" si="44"/>
        <v>150.90000000000009</v>
      </c>
      <c r="W195" s="100">
        <f t="shared" si="40"/>
        <v>97</v>
      </c>
      <c r="X195" s="6">
        <f t="shared" si="45"/>
        <v>126.00000000000045</v>
      </c>
      <c r="Y195" s="100">
        <f t="shared" si="41"/>
        <v>73</v>
      </c>
    </row>
    <row r="196" spans="1:25">
      <c r="A196" s="90">
        <v>1998</v>
      </c>
      <c r="B196" s="90">
        <v>12</v>
      </c>
      <c r="C196" s="200">
        <f>RESID!J196</f>
        <v>180.4</v>
      </c>
      <c r="D196" s="200">
        <f>RESID!K196</f>
        <v>88</v>
      </c>
      <c r="E196" s="13">
        <f t="shared" si="33"/>
        <v>92.4</v>
      </c>
      <c r="F196" s="100">
        <f t="shared" si="34"/>
        <v>0</v>
      </c>
      <c r="G196" s="200">
        <f>RESID!M196</f>
        <v>21.5</v>
      </c>
      <c r="H196" s="200">
        <f>RESID!N196</f>
        <v>83.9</v>
      </c>
      <c r="I196" s="200">
        <f t="shared" si="35"/>
        <v>-62.400000000000006</v>
      </c>
      <c r="J196" s="100">
        <f t="shared" si="36"/>
        <v>1</v>
      </c>
      <c r="K196" s="171">
        <f t="shared" si="37"/>
        <v>30</v>
      </c>
      <c r="L196" s="100">
        <f t="shared" si="38"/>
        <v>81</v>
      </c>
      <c r="N196" s="447">
        <v>37956</v>
      </c>
      <c r="O196" s="13">
        <f t="shared" si="42"/>
        <v>12</v>
      </c>
      <c r="P196" s="76">
        <f>SUM(RESID!J245:J256)</f>
        <v>3004.8</v>
      </c>
      <c r="Q196" s="446">
        <f>SUM(RESID!K245:K256)</f>
        <v>2990.7999999999997</v>
      </c>
      <c r="R196" s="4">
        <f t="shared" si="43"/>
        <v>14.000000000000455</v>
      </c>
      <c r="S196" s="100">
        <f t="shared" si="39"/>
        <v>82</v>
      </c>
      <c r="T196" s="76">
        <f>SUM(RESID!M245:M256)</f>
        <v>628.60000000000014</v>
      </c>
      <c r="U196" s="446">
        <f>SUM(RESID!N245:N256)</f>
        <v>500.5</v>
      </c>
      <c r="V196" s="4">
        <f t="shared" si="44"/>
        <v>128.10000000000014</v>
      </c>
      <c r="W196" s="100">
        <f t="shared" si="40"/>
        <v>97</v>
      </c>
      <c r="X196" s="6">
        <f t="shared" si="45"/>
        <v>142.10000000000059</v>
      </c>
      <c r="Y196" s="100">
        <f t="shared" si="41"/>
        <v>73</v>
      </c>
    </row>
    <row r="197" spans="1:25">
      <c r="A197" s="13">
        <v>1999</v>
      </c>
      <c r="B197" s="13">
        <v>1</v>
      </c>
      <c r="C197" s="200">
        <f>RESID!J197</f>
        <v>79</v>
      </c>
      <c r="D197" s="200">
        <f>RESID!K197</f>
        <v>49.5</v>
      </c>
      <c r="E197" s="13">
        <f t="shared" si="33"/>
        <v>29.5</v>
      </c>
      <c r="F197" s="100">
        <f t="shared" si="34"/>
        <v>0</v>
      </c>
      <c r="G197" s="200">
        <f>RESID!M197</f>
        <v>123.2</v>
      </c>
      <c r="H197" s="200">
        <f>RESID!N197</f>
        <v>131.6</v>
      </c>
      <c r="I197" s="200">
        <f t="shared" si="35"/>
        <v>-8.3999999999999915</v>
      </c>
      <c r="J197" s="100">
        <f t="shared" si="36"/>
        <v>1</v>
      </c>
      <c r="K197" s="171">
        <f t="shared" si="37"/>
        <v>21.100000000000009</v>
      </c>
      <c r="L197" s="100">
        <f t="shared" si="38"/>
        <v>81</v>
      </c>
      <c r="N197" s="447">
        <v>37987</v>
      </c>
      <c r="O197" s="13">
        <f t="shared" si="42"/>
        <v>1</v>
      </c>
      <c r="P197" s="76">
        <f>SUM(RESID!J246:J257)</f>
        <v>3021.3000000000006</v>
      </c>
      <c r="Q197" s="446">
        <f>SUM(RESID!K246:K257)</f>
        <v>2990.7999999999997</v>
      </c>
      <c r="R197" s="4">
        <f t="shared" si="43"/>
        <v>30.500000000000909</v>
      </c>
      <c r="S197" s="100">
        <f t="shared" si="39"/>
        <v>82</v>
      </c>
      <c r="T197" s="76">
        <f>SUM(RESID!M246:M257)</f>
        <v>572.20000000000005</v>
      </c>
      <c r="U197" s="446">
        <f>SUM(RESID!N246:N257)</f>
        <v>500.5</v>
      </c>
      <c r="V197" s="4">
        <f t="shared" si="44"/>
        <v>71.700000000000045</v>
      </c>
      <c r="W197" s="100">
        <f t="shared" si="40"/>
        <v>97</v>
      </c>
      <c r="X197" s="6">
        <f t="shared" si="45"/>
        <v>102.20000000000095</v>
      </c>
      <c r="Y197" s="100">
        <f t="shared" si="41"/>
        <v>73</v>
      </c>
    </row>
    <row r="198" spans="1:25">
      <c r="A198" s="13">
        <v>1999</v>
      </c>
      <c r="B198" s="13">
        <v>2</v>
      </c>
      <c r="C198" s="200">
        <f>RESID!J198</f>
        <v>86.7</v>
      </c>
      <c r="D198" s="200">
        <f>RESID!K198</f>
        <v>43.3</v>
      </c>
      <c r="E198" s="13">
        <f t="shared" si="33"/>
        <v>43.400000000000006</v>
      </c>
      <c r="F198" s="100">
        <f t="shared" si="34"/>
        <v>0</v>
      </c>
      <c r="G198" s="200">
        <f>RESID!M198</f>
        <v>65.599999999999994</v>
      </c>
      <c r="H198" s="200">
        <f>RESID!N198</f>
        <v>127.9</v>
      </c>
      <c r="I198" s="200">
        <f t="shared" si="35"/>
        <v>-62.300000000000011</v>
      </c>
      <c r="J198" s="100">
        <f t="shared" si="36"/>
        <v>1</v>
      </c>
      <c r="K198" s="171">
        <f t="shared" si="37"/>
        <v>-18.900000000000006</v>
      </c>
      <c r="L198" s="100">
        <f t="shared" si="38"/>
        <v>82</v>
      </c>
      <c r="N198" s="447">
        <v>38018</v>
      </c>
      <c r="O198" s="13">
        <f t="shared" si="42"/>
        <v>2</v>
      </c>
      <c r="P198" s="76">
        <f>SUM(RESID!J247:J258)</f>
        <v>3033.7000000000003</v>
      </c>
      <c r="Q198" s="446">
        <f>SUM(RESID!K247:K258)</f>
        <v>2990.8</v>
      </c>
      <c r="R198" s="4">
        <f t="shared" si="43"/>
        <v>42.900000000000091</v>
      </c>
      <c r="S198" s="100">
        <f t="shared" si="39"/>
        <v>82</v>
      </c>
      <c r="T198" s="76">
        <f>SUM(RESID!M247:M258)</f>
        <v>501.3</v>
      </c>
      <c r="U198" s="446">
        <f>SUM(RESID!N247:N258)</f>
        <v>500.5</v>
      </c>
      <c r="V198" s="4">
        <f t="shared" si="44"/>
        <v>0.80000000000001137</v>
      </c>
      <c r="W198" s="100">
        <f t="shared" si="40"/>
        <v>97</v>
      </c>
      <c r="X198" s="6">
        <f t="shared" si="45"/>
        <v>43.700000000000102</v>
      </c>
      <c r="Y198" s="100">
        <f t="shared" si="41"/>
        <v>73</v>
      </c>
    </row>
    <row r="199" spans="1:25">
      <c r="A199" s="13">
        <v>1999</v>
      </c>
      <c r="B199" s="13">
        <v>3</v>
      </c>
      <c r="C199" s="200">
        <f>RESID!J199</f>
        <v>53.4</v>
      </c>
      <c r="D199" s="200">
        <f>RESID!K199</f>
        <v>77.2</v>
      </c>
      <c r="E199" s="13">
        <f t="shared" si="33"/>
        <v>-23.800000000000004</v>
      </c>
      <c r="F199" s="100">
        <f t="shared" si="34"/>
        <v>1</v>
      </c>
      <c r="G199" s="200">
        <f>RESID!M199</f>
        <v>108.8</v>
      </c>
      <c r="H199" s="200">
        <f>RESID!N199</f>
        <v>82.3</v>
      </c>
      <c r="I199" s="200">
        <f t="shared" si="35"/>
        <v>26.5</v>
      </c>
      <c r="J199" s="100">
        <f t="shared" si="36"/>
        <v>0</v>
      </c>
      <c r="K199" s="171">
        <f t="shared" si="37"/>
        <v>2.6999999999999957</v>
      </c>
      <c r="L199" s="100">
        <f t="shared" si="38"/>
        <v>82</v>
      </c>
      <c r="N199" s="447">
        <v>38047</v>
      </c>
      <c r="O199" s="13">
        <f t="shared" si="42"/>
        <v>3</v>
      </c>
      <c r="P199" s="76">
        <f>SUM(RESID!J248:J259)</f>
        <v>2982.6000000000004</v>
      </c>
      <c r="Q199" s="446">
        <f>SUM(RESID!K248:K259)</f>
        <v>2990.7999999999997</v>
      </c>
      <c r="R199" s="4">
        <f t="shared" si="43"/>
        <v>-8.1999999999993634</v>
      </c>
      <c r="S199" s="100">
        <f t="shared" si="39"/>
        <v>83</v>
      </c>
      <c r="T199" s="76">
        <f>SUM(RESID!M248:M259)</f>
        <v>548.9</v>
      </c>
      <c r="U199" s="446">
        <f>SUM(RESID!N248:N259)</f>
        <v>500.49999999999994</v>
      </c>
      <c r="V199" s="4">
        <f t="shared" si="44"/>
        <v>48.400000000000034</v>
      </c>
      <c r="W199" s="100">
        <f t="shared" si="40"/>
        <v>97</v>
      </c>
      <c r="X199" s="6">
        <f t="shared" si="45"/>
        <v>40.200000000000671</v>
      </c>
      <c r="Y199" s="100">
        <f t="shared" si="41"/>
        <v>73</v>
      </c>
    </row>
    <row r="200" spans="1:25">
      <c r="A200" s="13">
        <v>1999</v>
      </c>
      <c r="B200" s="13">
        <v>4</v>
      </c>
      <c r="C200" s="200">
        <f>RESID!J200</f>
        <v>153.4</v>
      </c>
      <c r="D200" s="200">
        <f>RESID!K200</f>
        <v>138.1</v>
      </c>
      <c r="E200" s="13">
        <f t="shared" si="33"/>
        <v>15.300000000000011</v>
      </c>
      <c r="F200" s="100">
        <f t="shared" si="34"/>
        <v>0</v>
      </c>
      <c r="G200" s="200">
        <f>RESID!M200</f>
        <v>43.4</v>
      </c>
      <c r="H200" s="200">
        <f>RESID!N200</f>
        <v>37.299999999999997</v>
      </c>
      <c r="I200" s="200">
        <f t="shared" si="35"/>
        <v>6.1000000000000014</v>
      </c>
      <c r="J200" s="100">
        <f t="shared" si="36"/>
        <v>0</v>
      </c>
      <c r="K200" s="171">
        <f t="shared" si="37"/>
        <v>21.400000000000013</v>
      </c>
      <c r="L200" s="100">
        <f t="shared" si="38"/>
        <v>82</v>
      </c>
      <c r="N200" s="447">
        <v>38078</v>
      </c>
      <c r="O200" s="13">
        <f t="shared" si="42"/>
        <v>4</v>
      </c>
      <c r="P200" s="76">
        <f>SUM(RESID!J249:J260)</f>
        <v>2923.6000000000008</v>
      </c>
      <c r="Q200" s="446">
        <f>SUM(RESID!K249:K260)</f>
        <v>2990.8</v>
      </c>
      <c r="R200" s="4">
        <f t="shared" si="43"/>
        <v>-67.199999999999363</v>
      </c>
      <c r="S200" s="100">
        <f t="shared" si="39"/>
        <v>84</v>
      </c>
      <c r="T200" s="76">
        <f>SUM(RESID!M249:M260)</f>
        <v>559.69999999999993</v>
      </c>
      <c r="U200" s="446">
        <f>SUM(RESID!N249:N260)</f>
        <v>500.5</v>
      </c>
      <c r="V200" s="4">
        <f t="shared" si="44"/>
        <v>59.199999999999932</v>
      </c>
      <c r="W200" s="100">
        <f t="shared" si="40"/>
        <v>97</v>
      </c>
      <c r="X200" s="6">
        <f t="shared" si="45"/>
        <v>-7.9999999999994316</v>
      </c>
      <c r="Y200" s="100">
        <f t="shared" si="41"/>
        <v>74</v>
      </c>
    </row>
    <row r="201" spans="1:25">
      <c r="A201" s="13">
        <v>1999</v>
      </c>
      <c r="B201" s="13">
        <v>5</v>
      </c>
      <c r="C201" s="200">
        <f>RESID!J201</f>
        <v>241.8</v>
      </c>
      <c r="D201" s="200">
        <f>RESID!K201</f>
        <v>224.4</v>
      </c>
      <c r="E201" s="13">
        <f t="shared" si="33"/>
        <v>17.400000000000006</v>
      </c>
      <c r="F201" s="100">
        <f t="shared" si="34"/>
        <v>0</v>
      </c>
      <c r="G201" s="200">
        <f>RESID!M201</f>
        <v>14.7</v>
      </c>
      <c r="H201" s="200">
        <f>RESID!N201</f>
        <v>11.2</v>
      </c>
      <c r="I201" s="200">
        <f t="shared" si="35"/>
        <v>3.5</v>
      </c>
      <c r="J201" s="100">
        <f t="shared" si="36"/>
        <v>0</v>
      </c>
      <c r="K201" s="171">
        <f t="shared" si="37"/>
        <v>20.900000000000006</v>
      </c>
      <c r="L201" s="100">
        <f t="shared" si="38"/>
        <v>82</v>
      </c>
      <c r="N201" s="447">
        <v>38108</v>
      </c>
      <c r="O201" s="13">
        <f t="shared" si="42"/>
        <v>5</v>
      </c>
      <c r="P201" s="76">
        <f>SUM(RESID!J250:J261)</f>
        <v>2852.4000000000005</v>
      </c>
      <c r="Q201" s="446">
        <f>SUM(RESID!K250:K261)</f>
        <v>2990.8</v>
      </c>
      <c r="R201" s="4">
        <f t="shared" si="43"/>
        <v>-138.39999999999964</v>
      </c>
      <c r="S201" s="100">
        <f t="shared" si="39"/>
        <v>85</v>
      </c>
      <c r="T201" s="76">
        <f>SUM(RESID!M250:M261)</f>
        <v>567.5</v>
      </c>
      <c r="U201" s="446">
        <f>SUM(RESID!N250:N261)</f>
        <v>500.50000000000006</v>
      </c>
      <c r="V201" s="4">
        <f t="shared" si="44"/>
        <v>66.999999999999943</v>
      </c>
      <c r="W201" s="100">
        <f t="shared" si="40"/>
        <v>97</v>
      </c>
      <c r="X201" s="6">
        <f t="shared" si="45"/>
        <v>-71.399999999999693</v>
      </c>
      <c r="Y201" s="100">
        <f t="shared" si="41"/>
        <v>75</v>
      </c>
    </row>
    <row r="202" spans="1:25">
      <c r="A202" s="13">
        <v>1999</v>
      </c>
      <c r="B202" s="13">
        <v>6</v>
      </c>
      <c r="C202" s="200">
        <f>RESID!J202</f>
        <v>361.1</v>
      </c>
      <c r="D202" s="200">
        <f>RESID!K202</f>
        <v>382.8</v>
      </c>
      <c r="E202" s="13">
        <f t="shared" si="33"/>
        <v>-21.699999999999989</v>
      </c>
      <c r="F202" s="100">
        <f t="shared" si="34"/>
        <v>1</v>
      </c>
      <c r="G202" s="200">
        <f>RESID!M202</f>
        <v>1.3</v>
      </c>
      <c r="H202" s="200">
        <f>RESID!N202</f>
        <v>0.9</v>
      </c>
      <c r="I202" s="200">
        <f t="shared" si="35"/>
        <v>0.4</v>
      </c>
      <c r="J202" s="100">
        <f t="shared" si="36"/>
        <v>0</v>
      </c>
      <c r="K202" s="171">
        <f t="shared" si="37"/>
        <v>-21.29999999999999</v>
      </c>
      <c r="L202" s="100">
        <f t="shared" si="38"/>
        <v>83</v>
      </c>
      <c r="N202" s="447">
        <v>38139</v>
      </c>
      <c r="O202" s="13">
        <f t="shared" si="42"/>
        <v>6</v>
      </c>
      <c r="P202" s="76">
        <f>SUM(RESID!J251:J262)</f>
        <v>2856.2000000000003</v>
      </c>
      <c r="Q202" s="446">
        <f>SUM(RESID!K251:K262)</f>
        <v>2990.8</v>
      </c>
      <c r="R202" s="4">
        <f t="shared" si="43"/>
        <v>-134.59999999999991</v>
      </c>
      <c r="S202" s="100">
        <f t="shared" si="39"/>
        <v>86</v>
      </c>
      <c r="T202" s="76">
        <f>SUM(RESID!M251:M262)</f>
        <v>567.79999999999995</v>
      </c>
      <c r="U202" s="446">
        <f>SUM(RESID!N251:N262)</f>
        <v>500.5</v>
      </c>
      <c r="V202" s="4">
        <f t="shared" si="44"/>
        <v>67.299999999999955</v>
      </c>
      <c r="W202" s="100">
        <f t="shared" si="40"/>
        <v>97</v>
      </c>
      <c r="X202" s="6">
        <f t="shared" si="45"/>
        <v>-67.299999999999955</v>
      </c>
      <c r="Y202" s="100">
        <f t="shared" si="41"/>
        <v>76</v>
      </c>
    </row>
    <row r="203" spans="1:25">
      <c r="A203" s="13">
        <v>1999</v>
      </c>
      <c r="B203" s="13">
        <v>7</v>
      </c>
      <c r="C203" s="200">
        <f>RESID!J203</f>
        <v>433.6</v>
      </c>
      <c r="D203" s="200">
        <f>RESID!K203</f>
        <v>454.9</v>
      </c>
      <c r="E203" s="13">
        <f t="shared" si="33"/>
        <v>-21.299999999999955</v>
      </c>
      <c r="F203" s="100">
        <f t="shared" si="34"/>
        <v>1</v>
      </c>
      <c r="G203" s="200">
        <f>RESID!M203</f>
        <v>0</v>
      </c>
      <c r="H203" s="200">
        <f>RESID!N203</f>
        <v>0</v>
      </c>
      <c r="I203" s="200">
        <f t="shared" si="35"/>
        <v>0</v>
      </c>
      <c r="J203" s="100">
        <f t="shared" si="36"/>
        <v>0</v>
      </c>
      <c r="K203" s="171">
        <f t="shared" si="37"/>
        <v>-21.299999999999955</v>
      </c>
      <c r="L203" s="100">
        <f t="shared" si="38"/>
        <v>84</v>
      </c>
      <c r="N203" s="447">
        <v>38169</v>
      </c>
      <c r="O203" s="13">
        <f t="shared" si="42"/>
        <v>7</v>
      </c>
      <c r="P203" s="76">
        <f>SUM(RESID!J252:J263)</f>
        <v>2896.4</v>
      </c>
      <c r="Q203" s="446">
        <f>SUM(RESID!K252:K263)</f>
        <v>2990.8</v>
      </c>
      <c r="R203" s="4">
        <f t="shared" si="43"/>
        <v>-94.400000000000091</v>
      </c>
      <c r="S203" s="100">
        <f t="shared" si="39"/>
        <v>87</v>
      </c>
      <c r="T203" s="76">
        <f>SUM(RESID!M252:M263)</f>
        <v>567.79999999999995</v>
      </c>
      <c r="U203" s="446">
        <f>SUM(RESID!N252:N263)</f>
        <v>500.5</v>
      </c>
      <c r="V203" s="4">
        <f t="shared" si="44"/>
        <v>67.299999999999955</v>
      </c>
      <c r="W203" s="100">
        <f t="shared" si="40"/>
        <v>97</v>
      </c>
      <c r="X203" s="6">
        <f t="shared" si="45"/>
        <v>-27.100000000000136</v>
      </c>
      <c r="Y203" s="100">
        <f t="shared" si="41"/>
        <v>77</v>
      </c>
    </row>
    <row r="204" spans="1:25">
      <c r="A204" s="13">
        <v>1999</v>
      </c>
      <c r="B204" s="13">
        <v>8</v>
      </c>
      <c r="C204" s="200">
        <f>RESID!J204</f>
        <v>521.4</v>
      </c>
      <c r="D204" s="200">
        <f>RESID!K204</f>
        <v>481.4</v>
      </c>
      <c r="E204" s="13">
        <f t="shared" si="33"/>
        <v>40</v>
      </c>
      <c r="F204" s="100">
        <f t="shared" si="34"/>
        <v>0</v>
      </c>
      <c r="G204" s="200">
        <f>RESID!M204</f>
        <v>0</v>
      </c>
      <c r="H204" s="200">
        <f>RESID!N204</f>
        <v>0</v>
      </c>
      <c r="I204" s="200">
        <f t="shared" si="35"/>
        <v>0</v>
      </c>
      <c r="J204" s="100">
        <f t="shared" si="36"/>
        <v>0</v>
      </c>
      <c r="K204" s="171">
        <f t="shared" si="37"/>
        <v>40</v>
      </c>
      <c r="L204" s="100">
        <f t="shared" si="38"/>
        <v>84</v>
      </c>
      <c r="N204" s="447">
        <v>38200</v>
      </c>
      <c r="O204" s="13">
        <f t="shared" si="42"/>
        <v>8</v>
      </c>
      <c r="P204" s="76">
        <f>SUM(RESID!J253:J264)</f>
        <v>2914.2999999999997</v>
      </c>
      <c r="Q204" s="446">
        <f>SUM(RESID!K253:K264)</f>
        <v>2990.8</v>
      </c>
      <c r="R204" s="4">
        <f t="shared" si="43"/>
        <v>-76.500000000000455</v>
      </c>
      <c r="S204" s="100">
        <f t="shared" si="39"/>
        <v>88</v>
      </c>
      <c r="T204" s="76">
        <f>SUM(RESID!M253:M264)</f>
        <v>567.79999999999995</v>
      </c>
      <c r="U204" s="446">
        <f>SUM(RESID!N253:N264)</f>
        <v>500.5</v>
      </c>
      <c r="V204" s="4">
        <f t="shared" si="44"/>
        <v>67.299999999999955</v>
      </c>
      <c r="W204" s="100">
        <f t="shared" si="40"/>
        <v>97</v>
      </c>
      <c r="X204" s="6">
        <f t="shared" si="45"/>
        <v>-9.2000000000005002</v>
      </c>
      <c r="Y204" s="100">
        <f t="shared" si="41"/>
        <v>78</v>
      </c>
    </row>
    <row r="205" spans="1:25">
      <c r="A205" s="13">
        <v>1999</v>
      </c>
      <c r="B205" s="13">
        <v>9</v>
      </c>
      <c r="C205" s="200">
        <f>RESID!J205</f>
        <v>464.9</v>
      </c>
      <c r="D205" s="200">
        <f>RESID!K205</f>
        <v>473.7</v>
      </c>
      <c r="E205" s="13">
        <f t="shared" si="33"/>
        <v>-8.8000000000000114</v>
      </c>
      <c r="F205" s="100">
        <f t="shared" si="34"/>
        <v>1</v>
      </c>
      <c r="G205" s="200">
        <f>RESID!M205</f>
        <v>0</v>
      </c>
      <c r="H205" s="200">
        <f>RESID!N205</f>
        <v>0</v>
      </c>
      <c r="I205" s="200">
        <f t="shared" si="35"/>
        <v>0</v>
      </c>
      <c r="J205" s="100">
        <f t="shared" si="36"/>
        <v>0</v>
      </c>
      <c r="K205" s="171">
        <f t="shared" si="37"/>
        <v>-8.8000000000000114</v>
      </c>
      <c r="L205" s="100">
        <f t="shared" si="38"/>
        <v>85</v>
      </c>
      <c r="N205" s="447">
        <v>38231</v>
      </c>
      <c r="O205" s="13">
        <f t="shared" si="42"/>
        <v>9</v>
      </c>
      <c r="P205" s="76">
        <f>SUM(RESID!J254:J265)</f>
        <v>2919.4</v>
      </c>
      <c r="Q205" s="446">
        <f>SUM(RESID!K254:K265)</f>
        <v>2990.7999999999997</v>
      </c>
      <c r="R205" s="4">
        <f t="shared" si="43"/>
        <v>-71.399999999999636</v>
      </c>
      <c r="S205" s="100">
        <f t="shared" si="39"/>
        <v>89</v>
      </c>
      <c r="T205" s="76">
        <f>SUM(RESID!M254:M265)</f>
        <v>567.79999999999995</v>
      </c>
      <c r="U205" s="446">
        <f>SUM(RESID!N254:N265)</f>
        <v>500.5</v>
      </c>
      <c r="V205" s="4">
        <f t="shared" si="44"/>
        <v>67.299999999999955</v>
      </c>
      <c r="W205" s="100">
        <f t="shared" si="40"/>
        <v>97</v>
      </c>
      <c r="X205" s="6">
        <f t="shared" si="45"/>
        <v>-4.0999999999996817</v>
      </c>
      <c r="Y205" s="100">
        <f t="shared" si="41"/>
        <v>79</v>
      </c>
    </row>
    <row r="206" spans="1:25">
      <c r="A206" s="13">
        <v>1999</v>
      </c>
      <c r="B206" s="13">
        <v>10</v>
      </c>
      <c r="C206" s="200">
        <f>RESID!J206</f>
        <v>362.7</v>
      </c>
      <c r="D206" s="200">
        <f>RESID!K206</f>
        <v>373.2</v>
      </c>
      <c r="E206" s="13">
        <f t="shared" si="33"/>
        <v>-10.5</v>
      </c>
      <c r="F206" s="100">
        <f t="shared" si="34"/>
        <v>1</v>
      </c>
      <c r="G206" s="200">
        <f>RESID!M206</f>
        <v>0.7</v>
      </c>
      <c r="H206" s="200">
        <f>RESID!N206</f>
        <v>1.3</v>
      </c>
      <c r="I206" s="200">
        <f t="shared" si="35"/>
        <v>-0.60000000000000009</v>
      </c>
      <c r="J206" s="100">
        <f t="shared" si="36"/>
        <v>1</v>
      </c>
      <c r="K206" s="171">
        <f t="shared" si="37"/>
        <v>-11.1</v>
      </c>
      <c r="L206" s="100">
        <f t="shared" si="38"/>
        <v>86</v>
      </c>
      <c r="N206" s="447">
        <v>38261</v>
      </c>
      <c r="O206" s="13">
        <f t="shared" si="42"/>
        <v>10</v>
      </c>
      <c r="P206" s="76">
        <f>SUM(RESID!J255:J266)</f>
        <v>2958.2</v>
      </c>
      <c r="Q206" s="446">
        <f>SUM(RESID!K255:K266)</f>
        <v>2990.7999999999997</v>
      </c>
      <c r="R206" s="4">
        <f t="shared" si="43"/>
        <v>-32.599999999999909</v>
      </c>
      <c r="S206" s="100">
        <f t="shared" si="39"/>
        <v>90</v>
      </c>
      <c r="T206" s="76">
        <f>SUM(RESID!M255:M266)</f>
        <v>568</v>
      </c>
      <c r="U206" s="446">
        <f>SUM(RESID!N255:N266)</f>
        <v>500.5</v>
      </c>
      <c r="V206" s="4">
        <f t="shared" si="44"/>
        <v>67.5</v>
      </c>
      <c r="W206" s="100">
        <f t="shared" si="40"/>
        <v>97</v>
      </c>
      <c r="X206" s="6">
        <f t="shared" si="45"/>
        <v>34.900000000000091</v>
      </c>
      <c r="Y206" s="100">
        <f t="shared" si="41"/>
        <v>79</v>
      </c>
    </row>
    <row r="207" spans="1:25">
      <c r="A207" s="13">
        <v>1999</v>
      </c>
      <c r="B207" s="13">
        <v>11</v>
      </c>
      <c r="C207" s="200">
        <f>RESID!J207</f>
        <v>185.3</v>
      </c>
      <c r="D207" s="200">
        <f>RESID!K207</f>
        <v>204.3</v>
      </c>
      <c r="E207" s="13">
        <f t="shared" si="33"/>
        <v>-19</v>
      </c>
      <c r="F207" s="100">
        <f t="shared" si="34"/>
        <v>1</v>
      </c>
      <c r="G207" s="200">
        <f>RESID!M207</f>
        <v>23.8</v>
      </c>
      <c r="H207" s="200">
        <f>RESID!N207</f>
        <v>24.1</v>
      </c>
      <c r="I207" s="200">
        <f t="shared" si="35"/>
        <v>-0.30000000000000071</v>
      </c>
      <c r="J207" s="100">
        <f t="shared" si="36"/>
        <v>1</v>
      </c>
      <c r="K207" s="171">
        <f t="shared" si="37"/>
        <v>-19.3</v>
      </c>
      <c r="L207" s="100">
        <f t="shared" si="38"/>
        <v>87</v>
      </c>
      <c r="N207" s="447">
        <v>38292</v>
      </c>
      <c r="O207" s="13">
        <f t="shared" si="42"/>
        <v>11</v>
      </c>
      <c r="P207" s="76">
        <f>SUM(RESID!J256:J267)</f>
        <v>2942.7</v>
      </c>
      <c r="Q207" s="446">
        <f>SUM(RESID!K256:K267)</f>
        <v>2990.7999999999997</v>
      </c>
      <c r="R207" s="4">
        <f t="shared" si="43"/>
        <v>-48.099999999999909</v>
      </c>
      <c r="S207" s="100">
        <f t="shared" si="39"/>
        <v>91</v>
      </c>
      <c r="T207" s="76">
        <f>SUM(RESID!M256:M267)</f>
        <v>568.59999999999991</v>
      </c>
      <c r="U207" s="446">
        <f>SUM(RESID!N256:N267)</f>
        <v>500.5</v>
      </c>
      <c r="V207" s="4">
        <f t="shared" si="44"/>
        <v>68.099999999999909</v>
      </c>
      <c r="W207" s="100">
        <f t="shared" si="40"/>
        <v>97</v>
      </c>
      <c r="X207" s="6">
        <f t="shared" si="45"/>
        <v>20</v>
      </c>
      <c r="Y207" s="100">
        <f t="shared" si="41"/>
        <v>79</v>
      </c>
    </row>
    <row r="208" spans="1:25">
      <c r="A208" s="90">
        <v>1999</v>
      </c>
      <c r="B208" s="90">
        <v>12</v>
      </c>
      <c r="C208" s="200">
        <f>RESID!J208</f>
        <v>85.2</v>
      </c>
      <c r="D208" s="200">
        <f>RESID!K208</f>
        <v>88</v>
      </c>
      <c r="E208" s="13">
        <f t="shared" si="33"/>
        <v>-2.7999999999999972</v>
      </c>
      <c r="F208" s="100">
        <f t="shared" si="34"/>
        <v>1</v>
      </c>
      <c r="G208" s="200">
        <f>RESID!M208</f>
        <v>59.8</v>
      </c>
      <c r="H208" s="200">
        <f>RESID!N208</f>
        <v>83.9</v>
      </c>
      <c r="I208" s="200">
        <f t="shared" si="35"/>
        <v>-24.100000000000009</v>
      </c>
      <c r="J208" s="100">
        <f t="shared" si="36"/>
        <v>1</v>
      </c>
      <c r="K208" s="171">
        <f t="shared" si="37"/>
        <v>-26.900000000000006</v>
      </c>
      <c r="L208" s="100">
        <f t="shared" si="38"/>
        <v>88</v>
      </c>
      <c r="N208" s="447">
        <v>38322</v>
      </c>
      <c r="O208" s="13">
        <f t="shared" si="42"/>
        <v>12</v>
      </c>
      <c r="P208" s="76">
        <f>SUM(RESID!J257:J268)</f>
        <v>2957.4999999999995</v>
      </c>
      <c r="Q208" s="446">
        <f>SUM(RESID!K257:K268)</f>
        <v>2990.7999999999997</v>
      </c>
      <c r="R208" s="4">
        <f t="shared" si="43"/>
        <v>-33.300000000000182</v>
      </c>
      <c r="S208" s="100">
        <f t="shared" si="39"/>
        <v>92</v>
      </c>
      <c r="T208" s="76">
        <f>SUM(RESID!M257:M268)</f>
        <v>528.4</v>
      </c>
      <c r="U208" s="446">
        <f>SUM(RESID!N257:N268)</f>
        <v>500.5</v>
      </c>
      <c r="V208" s="4">
        <f t="shared" si="44"/>
        <v>27.899999999999977</v>
      </c>
      <c r="W208" s="100">
        <f t="shared" si="40"/>
        <v>97</v>
      </c>
      <c r="X208" s="6">
        <f t="shared" si="45"/>
        <v>-5.4000000000002046</v>
      </c>
      <c r="Y208" s="100">
        <f t="shared" si="41"/>
        <v>80</v>
      </c>
    </row>
    <row r="209" spans="1:25">
      <c r="A209" s="13">
        <v>2000</v>
      </c>
      <c r="B209" s="13">
        <v>1</v>
      </c>
      <c r="C209" s="200">
        <f>RESID!J209</f>
        <v>46.3</v>
      </c>
      <c r="D209" s="200">
        <f>RESID!K209</f>
        <v>49.5</v>
      </c>
      <c r="E209" s="13">
        <f t="shared" si="33"/>
        <v>-3.2000000000000028</v>
      </c>
      <c r="F209" s="100">
        <f t="shared" si="34"/>
        <v>1</v>
      </c>
      <c r="G209" s="200">
        <f>RESID!M209</f>
        <v>113.5</v>
      </c>
      <c r="H209" s="200">
        <f>RESID!N209</f>
        <v>131.6</v>
      </c>
      <c r="I209" s="200">
        <f t="shared" si="35"/>
        <v>-18.099999999999994</v>
      </c>
      <c r="J209" s="100">
        <f t="shared" si="36"/>
        <v>1</v>
      </c>
      <c r="K209" s="171">
        <f t="shared" si="37"/>
        <v>-21.299999999999997</v>
      </c>
      <c r="L209" s="100">
        <f t="shared" si="38"/>
        <v>89</v>
      </c>
      <c r="N209" s="447">
        <v>38353</v>
      </c>
      <c r="O209" s="13">
        <f t="shared" si="42"/>
        <v>1</v>
      </c>
      <c r="P209" s="76">
        <f>SUM(RESID!J258:J269)</f>
        <v>2972.2999999999997</v>
      </c>
      <c r="Q209" s="446">
        <f>SUM(RESID!K258:K269)</f>
        <v>2990.7999999999997</v>
      </c>
      <c r="R209" s="4">
        <f t="shared" si="43"/>
        <v>-18.5</v>
      </c>
      <c r="S209" s="100">
        <f t="shared" si="39"/>
        <v>93</v>
      </c>
      <c r="T209" s="76">
        <f>SUM(RESID!M258:M269)</f>
        <v>507.9</v>
      </c>
      <c r="U209" s="446">
        <f>SUM(RESID!N258:N269)</f>
        <v>500.5</v>
      </c>
      <c r="V209" s="4">
        <f t="shared" si="44"/>
        <v>7.3999999999999773</v>
      </c>
      <c r="W209" s="100">
        <f t="shared" si="40"/>
        <v>97</v>
      </c>
      <c r="X209" s="6">
        <f t="shared" si="45"/>
        <v>-11.100000000000023</v>
      </c>
      <c r="Y209" s="100">
        <f t="shared" si="41"/>
        <v>81</v>
      </c>
    </row>
    <row r="210" spans="1:25">
      <c r="A210" s="13">
        <v>2000</v>
      </c>
      <c r="B210" s="13">
        <v>2</v>
      </c>
      <c r="C210" s="200">
        <f>RESID!J210</f>
        <v>29.1</v>
      </c>
      <c r="D210" s="200">
        <f>RESID!K210</f>
        <v>43.3</v>
      </c>
      <c r="E210" s="13">
        <f t="shared" ref="E210:E273" si="46">C210-D210</f>
        <v>-14.199999999999996</v>
      </c>
      <c r="F210" s="100">
        <f t="shared" ref="F210:F273" si="47">IF(E210&lt;0,1,0)</f>
        <v>1</v>
      </c>
      <c r="G210" s="200">
        <f>RESID!M210</f>
        <v>188.3</v>
      </c>
      <c r="H210" s="200">
        <f>RESID!N210</f>
        <v>127.9</v>
      </c>
      <c r="I210" s="200">
        <f t="shared" ref="I210:I273" si="48">G210-H210</f>
        <v>60.400000000000006</v>
      </c>
      <c r="J210" s="100">
        <f t="shared" ref="J210:J273" si="49">IF(I210&lt;0,1,0)</f>
        <v>0</v>
      </c>
      <c r="K210" s="171">
        <f t="shared" ref="K210:K273" si="50">E210+I210</f>
        <v>46.20000000000001</v>
      </c>
      <c r="L210" s="100">
        <f t="shared" ref="L210:L273" si="51">IF(K210&lt;0,1+L209,L209)</f>
        <v>89</v>
      </c>
      <c r="N210" s="447">
        <v>38384</v>
      </c>
      <c r="O210" s="13">
        <f t="shared" si="42"/>
        <v>2</v>
      </c>
      <c r="P210" s="76">
        <f>SUM(RESID!J259:J270)</f>
        <v>2975.6</v>
      </c>
      <c r="Q210" s="446">
        <f>SUM(RESID!K259:K270)</f>
        <v>2990.8</v>
      </c>
      <c r="R210" s="4">
        <f t="shared" si="43"/>
        <v>-15.200000000000273</v>
      </c>
      <c r="S210" s="100">
        <f t="shared" si="39"/>
        <v>94</v>
      </c>
      <c r="T210" s="76">
        <f>SUM(RESID!M259:M270)</f>
        <v>501.79999999999995</v>
      </c>
      <c r="U210" s="446">
        <f>SUM(RESID!N259:N270)</f>
        <v>500.5</v>
      </c>
      <c r="V210" s="4">
        <f t="shared" si="44"/>
        <v>1.2999999999999545</v>
      </c>
      <c r="W210" s="100">
        <f t="shared" si="40"/>
        <v>97</v>
      </c>
      <c r="X210" s="6">
        <f t="shared" si="45"/>
        <v>-13.900000000000318</v>
      </c>
      <c r="Y210" s="100">
        <f t="shared" si="41"/>
        <v>82</v>
      </c>
    </row>
    <row r="211" spans="1:25">
      <c r="A211" s="13">
        <v>2000</v>
      </c>
      <c r="B211" s="13">
        <v>3</v>
      </c>
      <c r="C211" s="200">
        <f>RESID!J211</f>
        <v>89.8</v>
      </c>
      <c r="D211" s="200">
        <f>RESID!K211</f>
        <v>77.2</v>
      </c>
      <c r="E211" s="13">
        <f t="shared" si="46"/>
        <v>12.599999999999994</v>
      </c>
      <c r="F211" s="100">
        <f t="shared" si="47"/>
        <v>0</v>
      </c>
      <c r="G211" s="200">
        <f>RESID!M211</f>
        <v>54.8</v>
      </c>
      <c r="H211" s="200">
        <f>RESID!N211</f>
        <v>82.3</v>
      </c>
      <c r="I211" s="200">
        <f t="shared" si="48"/>
        <v>-27.5</v>
      </c>
      <c r="J211" s="100">
        <f t="shared" si="49"/>
        <v>1</v>
      </c>
      <c r="K211" s="171">
        <f t="shared" si="50"/>
        <v>-14.900000000000006</v>
      </c>
      <c r="L211" s="100">
        <f t="shared" si="51"/>
        <v>90</v>
      </c>
      <c r="N211" s="447">
        <v>38412</v>
      </c>
      <c r="O211" s="13">
        <f t="shared" si="42"/>
        <v>3</v>
      </c>
      <c r="P211" s="76">
        <f>SUM(RESID!J260:J271)</f>
        <v>2958.7999999999997</v>
      </c>
      <c r="Q211" s="446">
        <f>SUM(RESID!K260:K271)</f>
        <v>2990.7999999999997</v>
      </c>
      <c r="R211" s="4">
        <f t="shared" si="43"/>
        <v>-32</v>
      </c>
      <c r="S211" s="100">
        <f t="shared" ref="S211:S274" si="52">IF(R211&lt;0,1+S210,S210)</f>
        <v>95</v>
      </c>
      <c r="T211" s="76">
        <f>SUM(RESID!M260:M271)</f>
        <v>507.50000000000006</v>
      </c>
      <c r="U211" s="446">
        <f>SUM(RESID!N260:N271)</f>
        <v>500.49999999999994</v>
      </c>
      <c r="V211" s="4">
        <f t="shared" si="44"/>
        <v>7.0000000000001137</v>
      </c>
      <c r="W211" s="100">
        <f t="shared" si="40"/>
        <v>97</v>
      </c>
      <c r="X211" s="6">
        <f t="shared" si="45"/>
        <v>-24.999999999999886</v>
      </c>
      <c r="Y211" s="100">
        <f t="shared" si="41"/>
        <v>83</v>
      </c>
    </row>
    <row r="212" spans="1:25">
      <c r="A212" s="13">
        <v>2000</v>
      </c>
      <c r="B212" s="13">
        <v>4</v>
      </c>
      <c r="C212" s="200">
        <f>RESID!J212</f>
        <v>149.80000000000001</v>
      </c>
      <c r="D212" s="200">
        <f>RESID!K212</f>
        <v>138.1</v>
      </c>
      <c r="E212" s="13">
        <f t="shared" si="46"/>
        <v>11.700000000000017</v>
      </c>
      <c r="F212" s="100">
        <f t="shared" si="47"/>
        <v>0</v>
      </c>
      <c r="G212" s="200">
        <f>RESID!M212</f>
        <v>26</v>
      </c>
      <c r="H212" s="200">
        <f>RESID!N212</f>
        <v>37.299999999999997</v>
      </c>
      <c r="I212" s="200">
        <f t="shared" si="48"/>
        <v>-11.299999999999997</v>
      </c>
      <c r="J212" s="100">
        <f t="shared" si="49"/>
        <v>1</v>
      </c>
      <c r="K212" s="171">
        <f t="shared" si="50"/>
        <v>0.4000000000000199</v>
      </c>
      <c r="L212" s="100">
        <f t="shared" si="51"/>
        <v>90</v>
      </c>
      <c r="N212" s="447">
        <v>38443</v>
      </c>
      <c r="O212" s="13">
        <f t="shared" si="42"/>
        <v>4</v>
      </c>
      <c r="P212" s="76">
        <f>SUM(RESID!J261:J272)</f>
        <v>2979.6999999999994</v>
      </c>
      <c r="Q212" s="446">
        <f>SUM(RESID!K261:K272)</f>
        <v>2990.8</v>
      </c>
      <c r="R212" s="4">
        <f t="shared" si="43"/>
        <v>-11.100000000000819</v>
      </c>
      <c r="S212" s="100">
        <f t="shared" si="52"/>
        <v>96</v>
      </c>
      <c r="T212" s="76">
        <f>SUM(RESID!M261:M272)</f>
        <v>511.2</v>
      </c>
      <c r="U212" s="446">
        <f>SUM(RESID!N261:N272)</f>
        <v>500.5</v>
      </c>
      <c r="V212" s="4">
        <f t="shared" si="44"/>
        <v>10.699999999999989</v>
      </c>
      <c r="W212" s="100">
        <f t="shared" ref="W212:W275" si="53">IF(V212&lt;0,1+W211,W211)</f>
        <v>97</v>
      </c>
      <c r="X212" s="6">
        <f t="shared" si="45"/>
        <v>-0.40000000000082991</v>
      </c>
      <c r="Y212" s="100">
        <f t="shared" si="41"/>
        <v>84</v>
      </c>
    </row>
    <row r="213" spans="1:25">
      <c r="A213" s="13">
        <v>2000</v>
      </c>
      <c r="B213" s="13">
        <v>5</v>
      </c>
      <c r="C213" s="200">
        <f>RESID!J213</f>
        <v>221.5</v>
      </c>
      <c r="D213" s="200">
        <f>RESID!K213</f>
        <v>224.4</v>
      </c>
      <c r="E213" s="13">
        <f t="shared" si="46"/>
        <v>-2.9000000000000057</v>
      </c>
      <c r="F213" s="100">
        <f t="shared" si="47"/>
        <v>1</v>
      </c>
      <c r="G213" s="200">
        <f>RESID!M213</f>
        <v>13.4</v>
      </c>
      <c r="H213" s="200">
        <f>RESID!N213</f>
        <v>11.2</v>
      </c>
      <c r="I213" s="200">
        <f t="shared" si="48"/>
        <v>2.2000000000000011</v>
      </c>
      <c r="J213" s="100">
        <f t="shared" si="49"/>
        <v>0</v>
      </c>
      <c r="K213" s="171">
        <f t="shared" si="50"/>
        <v>-0.70000000000000462</v>
      </c>
      <c r="L213" s="100">
        <f t="shared" si="51"/>
        <v>91</v>
      </c>
      <c r="N213" s="447">
        <v>38473</v>
      </c>
      <c r="O213" s="13">
        <f t="shared" si="42"/>
        <v>5</v>
      </c>
      <c r="P213" s="76">
        <f>SUM(RESID!J262:J273)</f>
        <v>2926.3999999999996</v>
      </c>
      <c r="Q213" s="446">
        <f>SUM(RESID!K262:K273)</f>
        <v>2990.8</v>
      </c>
      <c r="R213" s="4">
        <f t="shared" si="43"/>
        <v>-64.400000000000546</v>
      </c>
      <c r="S213" s="100">
        <f t="shared" si="52"/>
        <v>97</v>
      </c>
      <c r="T213" s="76">
        <f>SUM(RESID!M262:M273)</f>
        <v>515.6</v>
      </c>
      <c r="U213" s="446">
        <f>SUM(RESID!N262:N273)</f>
        <v>500.50000000000006</v>
      </c>
      <c r="V213" s="4">
        <f t="shared" si="44"/>
        <v>15.099999999999966</v>
      </c>
      <c r="W213" s="100">
        <f t="shared" si="53"/>
        <v>97</v>
      </c>
      <c r="X213" s="6">
        <f t="shared" si="45"/>
        <v>-49.30000000000058</v>
      </c>
      <c r="Y213" s="100">
        <f t="shared" si="41"/>
        <v>85</v>
      </c>
    </row>
    <row r="214" spans="1:25">
      <c r="A214" s="13">
        <v>2000</v>
      </c>
      <c r="B214" s="13">
        <v>6</v>
      </c>
      <c r="C214" s="200">
        <f>RESID!J214</f>
        <v>425.4</v>
      </c>
      <c r="D214" s="200">
        <f>RESID!K214</f>
        <v>382.8</v>
      </c>
      <c r="E214" s="13">
        <f t="shared" si="46"/>
        <v>42.599999999999966</v>
      </c>
      <c r="F214" s="100">
        <f t="shared" si="47"/>
        <v>0</v>
      </c>
      <c r="G214" s="200">
        <f>RESID!M214</f>
        <v>0.4</v>
      </c>
      <c r="H214" s="200">
        <f>RESID!N214</f>
        <v>0.9</v>
      </c>
      <c r="I214" s="200">
        <f t="shared" si="48"/>
        <v>-0.5</v>
      </c>
      <c r="J214" s="100">
        <f t="shared" si="49"/>
        <v>1</v>
      </c>
      <c r="K214" s="171">
        <f t="shared" si="50"/>
        <v>42.099999999999966</v>
      </c>
      <c r="L214" s="100">
        <f t="shared" si="51"/>
        <v>91</v>
      </c>
      <c r="N214" s="447">
        <v>38504</v>
      </c>
      <c r="O214" s="13">
        <f t="shared" si="42"/>
        <v>6</v>
      </c>
      <c r="P214" s="76">
        <f>SUM(RESID!J263:J274)</f>
        <v>2864.6999999999994</v>
      </c>
      <c r="Q214" s="446">
        <f>SUM(RESID!K263:K274)</f>
        <v>2990.8</v>
      </c>
      <c r="R214" s="4">
        <f t="shared" si="43"/>
        <v>-126.10000000000082</v>
      </c>
      <c r="S214" s="100">
        <f t="shared" si="52"/>
        <v>98</v>
      </c>
      <c r="T214" s="76">
        <f>SUM(RESID!M263:M274)</f>
        <v>516.1</v>
      </c>
      <c r="U214" s="446">
        <f>SUM(RESID!N263:N274)</f>
        <v>500.5</v>
      </c>
      <c r="V214" s="4">
        <f t="shared" si="44"/>
        <v>15.600000000000023</v>
      </c>
      <c r="W214" s="100">
        <f t="shared" si="53"/>
        <v>97</v>
      </c>
      <c r="X214" s="6">
        <f t="shared" si="45"/>
        <v>-110.5000000000008</v>
      </c>
      <c r="Y214" s="100">
        <f t="shared" si="41"/>
        <v>86</v>
      </c>
    </row>
    <row r="215" spans="1:25">
      <c r="A215" s="13">
        <v>2000</v>
      </c>
      <c r="B215" s="13">
        <v>7</v>
      </c>
      <c r="C215" s="200">
        <f>RESID!J215</f>
        <v>475.9</v>
      </c>
      <c r="D215" s="200">
        <f>RESID!K215</f>
        <v>454.9</v>
      </c>
      <c r="E215" s="13">
        <f t="shared" si="46"/>
        <v>21</v>
      </c>
      <c r="F215" s="100">
        <f t="shared" si="47"/>
        <v>0</v>
      </c>
      <c r="G215" s="200">
        <f>RESID!M215</f>
        <v>0</v>
      </c>
      <c r="H215" s="200">
        <f>RESID!N215</f>
        <v>0</v>
      </c>
      <c r="I215" s="200">
        <f t="shared" si="48"/>
        <v>0</v>
      </c>
      <c r="J215" s="100">
        <f t="shared" si="49"/>
        <v>0</v>
      </c>
      <c r="K215" s="171">
        <f t="shared" si="50"/>
        <v>21</v>
      </c>
      <c r="L215" s="100">
        <f t="shared" si="51"/>
        <v>91</v>
      </c>
      <c r="N215" s="447">
        <v>38534</v>
      </c>
      <c r="O215" s="13">
        <f t="shared" si="42"/>
        <v>7</v>
      </c>
      <c r="P215" s="76">
        <f>SUM(RESID!J264:J275)</f>
        <v>2840.4999999999995</v>
      </c>
      <c r="Q215" s="446">
        <f>SUM(RESID!K264:K275)</f>
        <v>2990.8</v>
      </c>
      <c r="R215" s="4">
        <f t="shared" si="43"/>
        <v>-150.30000000000064</v>
      </c>
      <c r="S215" s="100">
        <f t="shared" si="52"/>
        <v>99</v>
      </c>
      <c r="T215" s="76">
        <f>SUM(RESID!M264:M275)</f>
        <v>516.1</v>
      </c>
      <c r="U215" s="446">
        <f>SUM(RESID!N264:N275)</f>
        <v>500.5</v>
      </c>
      <c r="V215" s="4">
        <f t="shared" si="44"/>
        <v>15.600000000000023</v>
      </c>
      <c r="W215" s="100">
        <f t="shared" si="53"/>
        <v>97</v>
      </c>
      <c r="X215" s="6">
        <f t="shared" si="45"/>
        <v>-134.70000000000061</v>
      </c>
      <c r="Y215" s="100">
        <f t="shared" ref="Y215:Y278" si="54">IF(X215&lt;0,1+Y214,Y214)</f>
        <v>87</v>
      </c>
    </row>
    <row r="216" spans="1:25">
      <c r="A216" s="13">
        <v>2000</v>
      </c>
      <c r="B216" s="13">
        <v>8</v>
      </c>
      <c r="C216" s="200">
        <f>RESID!J216</f>
        <v>468.9</v>
      </c>
      <c r="D216" s="200">
        <f>RESID!K216</f>
        <v>481.4</v>
      </c>
      <c r="E216" s="13">
        <f t="shared" si="46"/>
        <v>-12.5</v>
      </c>
      <c r="F216" s="100">
        <f t="shared" si="47"/>
        <v>1</v>
      </c>
      <c r="G216" s="200">
        <f>RESID!M216</f>
        <v>0</v>
      </c>
      <c r="H216" s="200">
        <f>RESID!N216</f>
        <v>0</v>
      </c>
      <c r="I216" s="200">
        <f t="shared" si="48"/>
        <v>0</v>
      </c>
      <c r="J216" s="100">
        <f t="shared" si="49"/>
        <v>0</v>
      </c>
      <c r="K216" s="171">
        <f t="shared" si="50"/>
        <v>-12.5</v>
      </c>
      <c r="L216" s="100">
        <f t="shared" si="51"/>
        <v>92</v>
      </c>
      <c r="N216" s="447">
        <v>38565</v>
      </c>
      <c r="O216" s="13">
        <f t="shared" si="42"/>
        <v>8</v>
      </c>
      <c r="P216" s="76">
        <f>SUM(RESID!J265:J276)</f>
        <v>2926.5999999999995</v>
      </c>
      <c r="Q216" s="446">
        <f>SUM(RESID!K265:K276)</f>
        <v>2990.8</v>
      </c>
      <c r="R216" s="4">
        <f t="shared" si="43"/>
        <v>-64.200000000000728</v>
      </c>
      <c r="S216" s="100">
        <f t="shared" si="52"/>
        <v>100</v>
      </c>
      <c r="T216" s="76">
        <f>SUM(RESID!M265:M276)</f>
        <v>516.1</v>
      </c>
      <c r="U216" s="446">
        <f>SUM(RESID!N265:N276)</f>
        <v>500.5</v>
      </c>
      <c r="V216" s="4">
        <f t="shared" si="44"/>
        <v>15.600000000000023</v>
      </c>
      <c r="W216" s="100">
        <f t="shared" si="53"/>
        <v>97</v>
      </c>
      <c r="X216" s="6">
        <f t="shared" si="45"/>
        <v>-48.600000000000705</v>
      </c>
      <c r="Y216" s="100">
        <f t="shared" si="54"/>
        <v>88</v>
      </c>
    </row>
    <row r="217" spans="1:25">
      <c r="A217" s="13">
        <v>2000</v>
      </c>
      <c r="B217" s="13">
        <v>9</v>
      </c>
      <c r="C217" s="200">
        <f>RESID!J217</f>
        <v>490.4</v>
      </c>
      <c r="D217" s="200">
        <f>RESID!K217</f>
        <v>473.7</v>
      </c>
      <c r="E217" s="13">
        <f t="shared" si="46"/>
        <v>16.699999999999989</v>
      </c>
      <c r="F217" s="100">
        <f t="shared" si="47"/>
        <v>0</v>
      </c>
      <c r="G217" s="200">
        <f>RESID!M217</f>
        <v>0</v>
      </c>
      <c r="H217" s="200">
        <f>RESID!N217</f>
        <v>0</v>
      </c>
      <c r="I217" s="200">
        <f t="shared" si="48"/>
        <v>0</v>
      </c>
      <c r="J217" s="100">
        <f t="shared" si="49"/>
        <v>0</v>
      </c>
      <c r="K217" s="171">
        <f t="shared" si="50"/>
        <v>16.699999999999989</v>
      </c>
      <c r="L217" s="100">
        <f t="shared" si="51"/>
        <v>92</v>
      </c>
      <c r="N217" s="447">
        <v>38596</v>
      </c>
      <c r="O217" s="13">
        <f t="shared" si="42"/>
        <v>9</v>
      </c>
      <c r="P217" s="76">
        <f>SUM(RESID!J266:J277)</f>
        <v>2986.8999999999996</v>
      </c>
      <c r="Q217" s="446">
        <f>SUM(RESID!K266:K277)</f>
        <v>2990.7999999999997</v>
      </c>
      <c r="R217" s="4">
        <f t="shared" si="43"/>
        <v>-3.9000000000000909</v>
      </c>
      <c r="S217" s="100">
        <f t="shared" si="52"/>
        <v>101</v>
      </c>
      <c r="T217" s="76">
        <f>SUM(RESID!M266:M277)</f>
        <v>516.1</v>
      </c>
      <c r="U217" s="446">
        <f>SUM(RESID!N266:N277)</f>
        <v>500.5</v>
      </c>
      <c r="V217" s="4">
        <f t="shared" si="44"/>
        <v>15.600000000000023</v>
      </c>
      <c r="W217" s="100">
        <f t="shared" si="53"/>
        <v>97</v>
      </c>
      <c r="X217" s="6">
        <f t="shared" si="45"/>
        <v>11.699999999999932</v>
      </c>
      <c r="Y217" s="100">
        <f t="shared" si="54"/>
        <v>88</v>
      </c>
    </row>
    <row r="218" spans="1:25">
      <c r="A218" s="13">
        <v>2000</v>
      </c>
      <c r="B218" s="13">
        <v>10</v>
      </c>
      <c r="C218" s="200">
        <f>RESID!J218</f>
        <v>336</v>
      </c>
      <c r="D218" s="200">
        <f>RESID!K218</f>
        <v>373.2</v>
      </c>
      <c r="E218" s="13">
        <f t="shared" si="46"/>
        <v>-37.199999999999989</v>
      </c>
      <c r="F218" s="100">
        <f t="shared" si="47"/>
        <v>1</v>
      </c>
      <c r="G218" s="200">
        <f>RESID!M218</f>
        <v>6.7</v>
      </c>
      <c r="H218" s="200">
        <f>RESID!N218</f>
        <v>1.3</v>
      </c>
      <c r="I218" s="200">
        <f t="shared" si="48"/>
        <v>5.4</v>
      </c>
      <c r="J218" s="100">
        <f t="shared" si="49"/>
        <v>0</v>
      </c>
      <c r="K218" s="171">
        <f t="shared" si="50"/>
        <v>-31.79999999999999</v>
      </c>
      <c r="L218" s="100">
        <f t="shared" si="51"/>
        <v>93</v>
      </c>
      <c r="N218" s="447">
        <v>38626</v>
      </c>
      <c r="O218" s="13">
        <f t="shared" si="42"/>
        <v>10</v>
      </c>
      <c r="P218" s="76">
        <f>SUM(RESID!J267:J278)</f>
        <v>3034.4</v>
      </c>
      <c r="Q218" s="446">
        <f>SUM(RESID!K267:K278)</f>
        <v>2990.7999999999997</v>
      </c>
      <c r="R218" s="4">
        <f t="shared" si="43"/>
        <v>43.600000000000364</v>
      </c>
      <c r="S218" s="100">
        <f t="shared" si="52"/>
        <v>101</v>
      </c>
      <c r="T218" s="76">
        <f>SUM(RESID!M267:M278)</f>
        <v>515.9</v>
      </c>
      <c r="U218" s="446">
        <f>SUM(RESID!N267:N278)</f>
        <v>500.5</v>
      </c>
      <c r="V218" s="4">
        <f t="shared" si="44"/>
        <v>15.399999999999977</v>
      </c>
      <c r="W218" s="100">
        <f t="shared" si="53"/>
        <v>97</v>
      </c>
      <c r="X218" s="6">
        <f t="shared" si="45"/>
        <v>59.000000000000341</v>
      </c>
      <c r="Y218" s="100">
        <f t="shared" si="54"/>
        <v>88</v>
      </c>
    </row>
    <row r="219" spans="1:25">
      <c r="A219" s="13">
        <v>2000</v>
      </c>
      <c r="B219" s="13">
        <v>11</v>
      </c>
      <c r="C219" s="200">
        <f>RESID!J219</f>
        <v>164.9</v>
      </c>
      <c r="D219" s="200">
        <f>RESID!K219</f>
        <v>204.3</v>
      </c>
      <c r="E219" s="13">
        <f t="shared" si="46"/>
        <v>-39.400000000000006</v>
      </c>
      <c r="F219" s="100">
        <f t="shared" si="47"/>
        <v>1</v>
      </c>
      <c r="G219" s="200">
        <f>RESID!M219</f>
        <v>25</v>
      </c>
      <c r="H219" s="200">
        <f>RESID!N219</f>
        <v>24.1</v>
      </c>
      <c r="I219" s="200">
        <f t="shared" si="48"/>
        <v>0.89999999999999858</v>
      </c>
      <c r="J219" s="100">
        <f t="shared" si="49"/>
        <v>0</v>
      </c>
      <c r="K219" s="171">
        <f t="shared" si="50"/>
        <v>-38.500000000000007</v>
      </c>
      <c r="L219" s="100">
        <f t="shared" si="51"/>
        <v>94</v>
      </c>
      <c r="N219" s="447">
        <v>38657</v>
      </c>
      <c r="O219" s="13">
        <f t="shared" si="42"/>
        <v>11</v>
      </c>
      <c r="P219" s="76">
        <f>SUM(RESID!J268:J279)</f>
        <v>3013.1</v>
      </c>
      <c r="Q219" s="446">
        <f>SUM(RESID!K268:K279)</f>
        <v>2990.7999999999997</v>
      </c>
      <c r="R219" s="4">
        <f t="shared" si="43"/>
        <v>22.300000000000182</v>
      </c>
      <c r="S219" s="100">
        <f t="shared" si="52"/>
        <v>101</v>
      </c>
      <c r="T219" s="76">
        <f>SUM(RESID!M268:M279)</f>
        <v>530.70000000000005</v>
      </c>
      <c r="U219" s="446">
        <f>SUM(RESID!N268:N279)</f>
        <v>500.5</v>
      </c>
      <c r="V219" s="4">
        <f t="shared" si="44"/>
        <v>30.200000000000045</v>
      </c>
      <c r="W219" s="100">
        <f t="shared" si="53"/>
        <v>97</v>
      </c>
      <c r="X219" s="6">
        <f t="shared" si="45"/>
        <v>52.500000000000227</v>
      </c>
      <c r="Y219" s="100">
        <f t="shared" si="54"/>
        <v>88</v>
      </c>
    </row>
    <row r="220" spans="1:25">
      <c r="A220" s="90">
        <v>2000</v>
      </c>
      <c r="B220" s="90">
        <v>12</v>
      </c>
      <c r="C220" s="200">
        <f>RESID!J220</f>
        <v>68.099999999999994</v>
      </c>
      <c r="D220" s="200">
        <f>RESID!K220</f>
        <v>88</v>
      </c>
      <c r="E220" s="13">
        <f t="shared" si="46"/>
        <v>-19.900000000000006</v>
      </c>
      <c r="F220" s="100">
        <f t="shared" si="47"/>
        <v>1</v>
      </c>
      <c r="G220" s="200">
        <f>RESID!M220</f>
        <v>120.8</v>
      </c>
      <c r="H220" s="200">
        <f>RESID!N220</f>
        <v>83.9</v>
      </c>
      <c r="I220" s="200">
        <f t="shared" si="48"/>
        <v>36.899999999999991</v>
      </c>
      <c r="J220" s="100">
        <f t="shared" si="49"/>
        <v>0</v>
      </c>
      <c r="K220" s="171">
        <f t="shared" si="50"/>
        <v>16.999999999999986</v>
      </c>
      <c r="L220" s="100">
        <f t="shared" si="51"/>
        <v>94</v>
      </c>
      <c r="N220" s="447">
        <v>38687</v>
      </c>
      <c r="O220" s="13">
        <f t="shared" si="42"/>
        <v>12</v>
      </c>
      <c r="P220" s="76">
        <f>SUM(RESID!J269:J280)</f>
        <v>2991.4</v>
      </c>
      <c r="Q220" s="446">
        <f>SUM(RESID!K269:K280)</f>
        <v>2990.7999999999997</v>
      </c>
      <c r="R220" s="4">
        <f t="shared" si="43"/>
        <v>0.6000000000003638</v>
      </c>
      <c r="S220" s="100">
        <f t="shared" si="52"/>
        <v>101</v>
      </c>
      <c r="T220" s="76">
        <f>SUM(RESID!M269:M280)</f>
        <v>540.20000000000005</v>
      </c>
      <c r="U220" s="446">
        <f>SUM(RESID!N269:N280)</f>
        <v>500.5</v>
      </c>
      <c r="V220" s="4">
        <f t="shared" si="44"/>
        <v>39.700000000000045</v>
      </c>
      <c r="W220" s="100">
        <f t="shared" si="53"/>
        <v>97</v>
      </c>
      <c r="X220" s="6">
        <f t="shared" si="45"/>
        <v>40.300000000000409</v>
      </c>
      <c r="Y220" s="100">
        <f t="shared" si="54"/>
        <v>88</v>
      </c>
    </row>
    <row r="221" spans="1:25">
      <c r="A221" s="13">
        <f>A209+1</f>
        <v>2001</v>
      </c>
      <c r="B221" s="13">
        <f>B209</f>
        <v>1</v>
      </c>
      <c r="C221" s="200">
        <f>RESID!J221</f>
        <v>31.9</v>
      </c>
      <c r="D221" s="200">
        <f>RESID!K221</f>
        <v>49.5</v>
      </c>
      <c r="E221" s="13">
        <f t="shared" si="46"/>
        <v>-17.600000000000001</v>
      </c>
      <c r="F221" s="100">
        <f t="shared" si="47"/>
        <v>1</v>
      </c>
      <c r="G221" s="200">
        <f>RESID!M221</f>
        <v>284.60000000000002</v>
      </c>
      <c r="H221" s="200">
        <f>RESID!N221</f>
        <v>131.6</v>
      </c>
      <c r="I221" s="200">
        <f t="shared" si="48"/>
        <v>153.00000000000003</v>
      </c>
      <c r="J221" s="100">
        <f t="shared" si="49"/>
        <v>0</v>
      </c>
      <c r="K221" s="171">
        <f t="shared" si="50"/>
        <v>135.40000000000003</v>
      </c>
      <c r="L221" s="100">
        <f t="shared" si="51"/>
        <v>94</v>
      </c>
      <c r="N221" s="447">
        <v>38718</v>
      </c>
      <c r="O221" s="13">
        <f t="shared" si="42"/>
        <v>1</v>
      </c>
      <c r="P221" s="76">
        <f>SUM(RESID!J270:J281)</f>
        <v>2974.3</v>
      </c>
      <c r="Q221" s="446">
        <f>SUM(RESID!K270:K281)</f>
        <v>2990.7999999999997</v>
      </c>
      <c r="R221" s="4">
        <f t="shared" si="43"/>
        <v>-16.499999999999545</v>
      </c>
      <c r="S221" s="100">
        <f t="shared" si="52"/>
        <v>102</v>
      </c>
      <c r="T221" s="76">
        <f>SUM(RESID!M270:M281)</f>
        <v>543.4</v>
      </c>
      <c r="U221" s="446">
        <f>SUM(RESID!N270:N281)</f>
        <v>500.5</v>
      </c>
      <c r="V221" s="4">
        <f t="shared" si="44"/>
        <v>42.899999999999977</v>
      </c>
      <c r="W221" s="100">
        <f t="shared" si="53"/>
        <v>97</v>
      </c>
      <c r="X221" s="6">
        <f t="shared" si="45"/>
        <v>26.400000000000432</v>
      </c>
      <c r="Y221" s="100">
        <f t="shared" si="54"/>
        <v>88</v>
      </c>
    </row>
    <row r="222" spans="1:25">
      <c r="A222" s="13">
        <f t="shared" ref="A222:A285" si="55">A210+1</f>
        <v>2001</v>
      </c>
      <c r="B222" s="13">
        <f t="shared" ref="B222:B285" si="56">B210</f>
        <v>2</v>
      </c>
      <c r="C222" s="200">
        <f>RESID!J222</f>
        <v>48</v>
      </c>
      <c r="D222" s="200">
        <f>RESID!K222</f>
        <v>43.3</v>
      </c>
      <c r="E222" s="13">
        <f t="shared" si="46"/>
        <v>4.7000000000000028</v>
      </c>
      <c r="F222" s="100">
        <f t="shared" si="47"/>
        <v>0</v>
      </c>
      <c r="G222" s="200">
        <f>RESID!M222</f>
        <v>157.4</v>
      </c>
      <c r="H222" s="200">
        <f>RESID!N222</f>
        <v>127.9</v>
      </c>
      <c r="I222" s="200">
        <f t="shared" si="48"/>
        <v>29.5</v>
      </c>
      <c r="J222" s="100">
        <f t="shared" si="49"/>
        <v>0</v>
      </c>
      <c r="K222" s="171">
        <f t="shared" si="50"/>
        <v>34.200000000000003</v>
      </c>
      <c r="L222" s="100">
        <f t="shared" si="51"/>
        <v>94</v>
      </c>
      <c r="N222" s="447">
        <v>38749</v>
      </c>
      <c r="O222" s="13">
        <f t="shared" ref="O222:O285" si="57">O210</f>
        <v>2</v>
      </c>
      <c r="P222" s="76">
        <f>SUM(RESID!J271:J282)</f>
        <v>2981.8</v>
      </c>
      <c r="Q222" s="446">
        <f>SUM(RESID!K271:K282)</f>
        <v>2990.8</v>
      </c>
      <c r="R222" s="4">
        <f t="shared" si="43"/>
        <v>-9</v>
      </c>
      <c r="S222" s="100">
        <f t="shared" si="52"/>
        <v>103</v>
      </c>
      <c r="T222" s="76">
        <f>SUM(RESID!M271:M282)</f>
        <v>527.6</v>
      </c>
      <c r="U222" s="446">
        <f>SUM(RESID!N271:N282)</f>
        <v>500.5</v>
      </c>
      <c r="V222" s="4">
        <f t="shared" si="44"/>
        <v>27.100000000000023</v>
      </c>
      <c r="W222" s="100">
        <f t="shared" si="53"/>
        <v>97</v>
      </c>
      <c r="X222" s="6">
        <f t="shared" si="45"/>
        <v>18.100000000000023</v>
      </c>
      <c r="Y222" s="100">
        <f t="shared" si="54"/>
        <v>88</v>
      </c>
    </row>
    <row r="223" spans="1:25">
      <c r="A223" s="13">
        <f t="shared" si="55"/>
        <v>2001</v>
      </c>
      <c r="B223" s="13">
        <f t="shared" si="56"/>
        <v>3</v>
      </c>
      <c r="C223" s="200">
        <f>RESID!J223</f>
        <v>110.3</v>
      </c>
      <c r="D223" s="200">
        <f>RESID!K223</f>
        <v>77.2</v>
      </c>
      <c r="E223" s="13">
        <f t="shared" si="46"/>
        <v>33.099999999999994</v>
      </c>
      <c r="F223" s="100">
        <f t="shared" si="47"/>
        <v>0</v>
      </c>
      <c r="G223" s="200">
        <f>RESID!M223</f>
        <v>46.9</v>
      </c>
      <c r="H223" s="200">
        <f>RESID!N223</f>
        <v>82.3</v>
      </c>
      <c r="I223" s="200">
        <f t="shared" si="48"/>
        <v>-35.4</v>
      </c>
      <c r="J223" s="100">
        <f t="shared" si="49"/>
        <v>1</v>
      </c>
      <c r="K223" s="171">
        <f t="shared" si="50"/>
        <v>-2.3000000000000043</v>
      </c>
      <c r="L223" s="100">
        <f t="shared" si="51"/>
        <v>95</v>
      </c>
      <c r="N223" s="447">
        <v>38777</v>
      </c>
      <c r="O223" s="13">
        <f t="shared" si="57"/>
        <v>3</v>
      </c>
      <c r="P223" s="76">
        <f>SUM(RESID!J272:J283)</f>
        <v>3010.9</v>
      </c>
      <c r="Q223" s="446">
        <f>SUM(RESID!K272:K283)</f>
        <v>2990.7999999999997</v>
      </c>
      <c r="R223" s="4">
        <f t="shared" si="43"/>
        <v>20.100000000000364</v>
      </c>
      <c r="S223" s="100">
        <f t="shared" si="52"/>
        <v>103</v>
      </c>
      <c r="T223" s="76">
        <f>SUM(RESID!M272:M283)</f>
        <v>515.20000000000005</v>
      </c>
      <c r="U223" s="446">
        <f>SUM(RESID!N272:N283)</f>
        <v>500.49999999999994</v>
      </c>
      <c r="V223" s="4">
        <f t="shared" si="44"/>
        <v>14.700000000000102</v>
      </c>
      <c r="W223" s="100">
        <f t="shared" si="53"/>
        <v>97</v>
      </c>
      <c r="X223" s="6">
        <f t="shared" si="45"/>
        <v>34.800000000000466</v>
      </c>
      <c r="Y223" s="100">
        <f t="shared" si="54"/>
        <v>88</v>
      </c>
    </row>
    <row r="224" spans="1:25">
      <c r="A224" s="13">
        <f t="shared" si="55"/>
        <v>2001</v>
      </c>
      <c r="B224" s="13">
        <f t="shared" si="56"/>
        <v>4</v>
      </c>
      <c r="C224" s="200">
        <f>RESID!J224</f>
        <v>123.3</v>
      </c>
      <c r="D224" s="200">
        <f>RESID!K224</f>
        <v>138.1</v>
      </c>
      <c r="E224" s="13">
        <f t="shared" si="46"/>
        <v>-14.799999999999997</v>
      </c>
      <c r="F224" s="100">
        <f t="shared" si="47"/>
        <v>1</v>
      </c>
      <c r="G224" s="200">
        <f>RESID!M224</f>
        <v>42.4</v>
      </c>
      <c r="H224" s="200">
        <f>RESID!N224</f>
        <v>37.299999999999997</v>
      </c>
      <c r="I224" s="200">
        <f t="shared" si="48"/>
        <v>5.1000000000000014</v>
      </c>
      <c r="J224" s="100">
        <f t="shared" si="49"/>
        <v>0</v>
      </c>
      <c r="K224" s="171">
        <f t="shared" si="50"/>
        <v>-9.6999999999999957</v>
      </c>
      <c r="L224" s="100">
        <f t="shared" si="51"/>
        <v>96</v>
      </c>
      <c r="N224" s="447">
        <v>38808</v>
      </c>
      <c r="O224" s="13">
        <f t="shared" si="57"/>
        <v>4</v>
      </c>
      <c r="P224" s="76">
        <f>SUM(RESID!J273:J284)</f>
        <v>3033.4</v>
      </c>
      <c r="Q224" s="446">
        <f>SUM(RESID!K273:K284)</f>
        <v>2990.8</v>
      </c>
      <c r="R224" s="4">
        <f t="shared" si="43"/>
        <v>42.599999999999909</v>
      </c>
      <c r="S224" s="100">
        <f t="shared" si="52"/>
        <v>103</v>
      </c>
      <c r="T224" s="76">
        <f>SUM(RESID!M273:M284)</f>
        <v>507.59999999999991</v>
      </c>
      <c r="U224" s="446">
        <f>SUM(RESID!N273:N284)</f>
        <v>500.5</v>
      </c>
      <c r="V224" s="4">
        <f t="shared" si="44"/>
        <v>7.0999999999999091</v>
      </c>
      <c r="W224" s="100">
        <f t="shared" si="53"/>
        <v>97</v>
      </c>
      <c r="X224" s="6">
        <f t="shared" si="45"/>
        <v>49.699999999999818</v>
      </c>
      <c r="Y224" s="100">
        <f t="shared" si="54"/>
        <v>88</v>
      </c>
    </row>
    <row r="225" spans="1:25">
      <c r="A225" s="13">
        <f t="shared" si="55"/>
        <v>2001</v>
      </c>
      <c r="B225" s="13">
        <f t="shared" si="56"/>
        <v>5</v>
      </c>
      <c r="C225" s="200">
        <f>RESID!J225</f>
        <v>203.3</v>
      </c>
      <c r="D225" s="200">
        <f>RESID!K225</f>
        <v>224.4</v>
      </c>
      <c r="E225" s="13">
        <f t="shared" si="46"/>
        <v>-21.099999999999994</v>
      </c>
      <c r="F225" s="100">
        <f t="shared" si="47"/>
        <v>1</v>
      </c>
      <c r="G225" s="200">
        <f>RESID!M225</f>
        <v>14.5</v>
      </c>
      <c r="H225" s="200">
        <f>RESID!N225</f>
        <v>11.2</v>
      </c>
      <c r="I225" s="200">
        <f t="shared" si="48"/>
        <v>3.3000000000000007</v>
      </c>
      <c r="J225" s="100">
        <f t="shared" si="49"/>
        <v>0</v>
      </c>
      <c r="K225" s="171">
        <f t="shared" si="50"/>
        <v>-17.799999999999994</v>
      </c>
      <c r="L225" s="100">
        <f t="shared" si="51"/>
        <v>97</v>
      </c>
      <c r="N225" s="447">
        <v>38838</v>
      </c>
      <c r="O225" s="13">
        <f t="shared" si="57"/>
        <v>5</v>
      </c>
      <c r="P225" s="76">
        <f>SUM(RESID!J274:J285)</f>
        <v>3133.6000000000004</v>
      </c>
      <c r="Q225" s="446">
        <f>SUM(RESID!K274:K285)</f>
        <v>2990.8</v>
      </c>
      <c r="R225" s="4">
        <f t="shared" si="43"/>
        <v>142.80000000000018</v>
      </c>
      <c r="S225" s="100">
        <f t="shared" si="52"/>
        <v>103</v>
      </c>
      <c r="T225" s="76">
        <f>SUM(RESID!M274:M285)</f>
        <v>493.19999999999993</v>
      </c>
      <c r="U225" s="446">
        <f>SUM(RESID!N274:N285)</f>
        <v>500.50000000000006</v>
      </c>
      <c r="V225" s="4">
        <f t="shared" si="44"/>
        <v>-7.3000000000001251</v>
      </c>
      <c r="W225" s="100">
        <f t="shared" si="53"/>
        <v>98</v>
      </c>
      <c r="X225" s="6">
        <f t="shared" si="45"/>
        <v>135.50000000000006</v>
      </c>
      <c r="Y225" s="100">
        <f t="shared" si="54"/>
        <v>88</v>
      </c>
    </row>
    <row r="226" spans="1:25">
      <c r="A226" s="13">
        <f t="shared" si="55"/>
        <v>2001</v>
      </c>
      <c r="B226" s="13">
        <f t="shared" si="56"/>
        <v>6</v>
      </c>
      <c r="C226" s="200">
        <f>RESID!J226</f>
        <v>383.2</v>
      </c>
      <c r="D226" s="200">
        <f>RESID!K226</f>
        <v>382.8</v>
      </c>
      <c r="E226" s="13">
        <f t="shared" si="46"/>
        <v>0.39999999999997726</v>
      </c>
      <c r="F226" s="100">
        <f t="shared" si="47"/>
        <v>0</v>
      </c>
      <c r="G226" s="200">
        <f>RESID!M226</f>
        <v>1</v>
      </c>
      <c r="H226" s="200">
        <f>RESID!N226</f>
        <v>0.9</v>
      </c>
      <c r="I226" s="200">
        <f t="shared" si="48"/>
        <v>9.9999999999999978E-2</v>
      </c>
      <c r="J226" s="100">
        <f t="shared" si="49"/>
        <v>0</v>
      </c>
      <c r="K226" s="171">
        <f t="shared" si="50"/>
        <v>0.49999999999997724</v>
      </c>
      <c r="L226" s="100">
        <f t="shared" si="51"/>
        <v>97</v>
      </c>
      <c r="N226" s="447">
        <v>38869</v>
      </c>
      <c r="O226" s="13">
        <f t="shared" si="57"/>
        <v>6</v>
      </c>
      <c r="P226" s="76">
        <f>SUM(RESID!J275:J286)</f>
        <v>3168.5</v>
      </c>
      <c r="Q226" s="446">
        <f>SUM(RESID!K275:K286)</f>
        <v>2990.8</v>
      </c>
      <c r="R226" s="4">
        <f t="shared" si="43"/>
        <v>177.69999999999982</v>
      </c>
      <c r="S226" s="100">
        <f t="shared" si="52"/>
        <v>103</v>
      </c>
      <c r="T226" s="76">
        <f>SUM(RESID!M275:M286)</f>
        <v>493.49999999999994</v>
      </c>
      <c r="U226" s="446">
        <f>SUM(RESID!N275:N286)</f>
        <v>500.5</v>
      </c>
      <c r="V226" s="4">
        <f t="shared" si="44"/>
        <v>-7.0000000000000568</v>
      </c>
      <c r="W226" s="100">
        <f t="shared" si="53"/>
        <v>99</v>
      </c>
      <c r="X226" s="6">
        <f t="shared" si="45"/>
        <v>170.69999999999976</v>
      </c>
      <c r="Y226" s="100">
        <f t="shared" si="54"/>
        <v>88</v>
      </c>
    </row>
    <row r="227" spans="1:25">
      <c r="A227" s="13">
        <f t="shared" si="55"/>
        <v>2001</v>
      </c>
      <c r="B227" s="13">
        <f t="shared" si="56"/>
        <v>7</v>
      </c>
      <c r="C227" s="200">
        <f>RESID!J227</f>
        <v>437.3</v>
      </c>
      <c r="D227" s="200">
        <f>RESID!K227</f>
        <v>454.9</v>
      </c>
      <c r="E227" s="13">
        <f t="shared" si="46"/>
        <v>-17.599999999999966</v>
      </c>
      <c r="F227" s="100">
        <f t="shared" si="47"/>
        <v>1</v>
      </c>
      <c r="G227" s="200">
        <f>RESID!M227</f>
        <v>0</v>
      </c>
      <c r="H227" s="200">
        <f>RESID!N227</f>
        <v>0</v>
      </c>
      <c r="I227" s="200">
        <f t="shared" si="48"/>
        <v>0</v>
      </c>
      <c r="J227" s="100">
        <f t="shared" si="49"/>
        <v>0</v>
      </c>
      <c r="K227" s="171">
        <f t="shared" si="50"/>
        <v>-17.599999999999966</v>
      </c>
      <c r="L227" s="100">
        <f t="shared" si="51"/>
        <v>98</v>
      </c>
      <c r="N227" s="447">
        <v>38899</v>
      </c>
      <c r="O227" s="13">
        <f t="shared" si="57"/>
        <v>7</v>
      </c>
      <c r="P227" s="76">
        <f>SUM(RESID!J276:J287)</f>
        <v>3152.9</v>
      </c>
      <c r="Q227" s="446">
        <f>SUM(RESID!K276:K287)</f>
        <v>2990.8</v>
      </c>
      <c r="R227" s="4">
        <f t="shared" si="43"/>
        <v>162.09999999999991</v>
      </c>
      <c r="S227" s="100">
        <f t="shared" si="52"/>
        <v>103</v>
      </c>
      <c r="T227" s="76">
        <f>SUM(RESID!M276:M287)</f>
        <v>493.49999999999994</v>
      </c>
      <c r="U227" s="446">
        <f>SUM(RESID!N276:N287)</f>
        <v>500.5</v>
      </c>
      <c r="V227" s="4">
        <f t="shared" si="44"/>
        <v>-7.0000000000000568</v>
      </c>
      <c r="W227" s="100">
        <f t="shared" si="53"/>
        <v>100</v>
      </c>
      <c r="X227" s="6">
        <f t="shared" si="45"/>
        <v>155.09999999999985</v>
      </c>
      <c r="Y227" s="100">
        <f t="shared" si="54"/>
        <v>88</v>
      </c>
    </row>
    <row r="228" spans="1:25">
      <c r="A228" s="13">
        <f t="shared" si="55"/>
        <v>2001</v>
      </c>
      <c r="B228" s="13">
        <f t="shared" si="56"/>
        <v>8</v>
      </c>
      <c r="C228" s="200">
        <f>RESID!J228</f>
        <v>433.6</v>
      </c>
      <c r="D228" s="200">
        <f>RESID!K228</f>
        <v>481.4</v>
      </c>
      <c r="E228" s="13">
        <f t="shared" si="46"/>
        <v>-47.799999999999955</v>
      </c>
      <c r="F228" s="100">
        <f t="shared" si="47"/>
        <v>1</v>
      </c>
      <c r="G228" s="200">
        <f>RESID!M228</f>
        <v>0</v>
      </c>
      <c r="H228" s="200">
        <f>RESID!N228</f>
        <v>0</v>
      </c>
      <c r="I228" s="200">
        <f t="shared" si="48"/>
        <v>0</v>
      </c>
      <c r="J228" s="100">
        <f t="shared" si="49"/>
        <v>0</v>
      </c>
      <c r="K228" s="171">
        <f t="shared" si="50"/>
        <v>-47.799999999999955</v>
      </c>
      <c r="L228" s="100">
        <f t="shared" si="51"/>
        <v>99</v>
      </c>
      <c r="N228" s="447">
        <v>38930</v>
      </c>
      <c r="O228" s="13">
        <f t="shared" si="57"/>
        <v>8</v>
      </c>
      <c r="P228" s="76">
        <f>SUM(RESID!J277:J288)</f>
        <v>3114.3</v>
      </c>
      <c r="Q228" s="446">
        <f>SUM(RESID!K277:K288)</f>
        <v>2990.8</v>
      </c>
      <c r="R228" s="4">
        <f t="shared" si="43"/>
        <v>123.5</v>
      </c>
      <c r="S228" s="100">
        <f t="shared" si="52"/>
        <v>103</v>
      </c>
      <c r="T228" s="76">
        <f>SUM(RESID!M277:M288)</f>
        <v>493.49999999999994</v>
      </c>
      <c r="U228" s="446">
        <f>SUM(RESID!N277:N288)</f>
        <v>500.5</v>
      </c>
      <c r="V228" s="4">
        <f t="shared" si="44"/>
        <v>-7.0000000000000568</v>
      </c>
      <c r="W228" s="100">
        <f t="shared" si="53"/>
        <v>101</v>
      </c>
      <c r="X228" s="6">
        <f t="shared" si="45"/>
        <v>116.49999999999994</v>
      </c>
      <c r="Y228" s="100">
        <f t="shared" si="54"/>
        <v>88</v>
      </c>
    </row>
    <row r="229" spans="1:25">
      <c r="A229" s="13">
        <f t="shared" si="55"/>
        <v>2001</v>
      </c>
      <c r="B229" s="13">
        <f t="shared" si="56"/>
        <v>9</v>
      </c>
      <c r="C229" s="200">
        <f>RESID!J229</f>
        <v>477.1</v>
      </c>
      <c r="D229" s="200">
        <f>RESID!K229</f>
        <v>473.7</v>
      </c>
      <c r="E229" s="13">
        <f t="shared" si="46"/>
        <v>3.4000000000000341</v>
      </c>
      <c r="F229" s="100">
        <f t="shared" si="47"/>
        <v>0</v>
      </c>
      <c r="G229" s="200">
        <f>RESID!M229</f>
        <v>0.1</v>
      </c>
      <c r="H229" s="200">
        <f>RESID!N229</f>
        <v>0</v>
      </c>
      <c r="I229" s="200">
        <f t="shared" si="48"/>
        <v>0.1</v>
      </c>
      <c r="J229" s="100">
        <f t="shared" si="49"/>
        <v>0</v>
      </c>
      <c r="K229" s="171">
        <f t="shared" si="50"/>
        <v>3.5000000000000342</v>
      </c>
      <c r="L229" s="100">
        <f t="shared" si="51"/>
        <v>99</v>
      </c>
      <c r="N229" s="447">
        <v>38961</v>
      </c>
      <c r="O229" s="13">
        <f t="shared" si="57"/>
        <v>9</v>
      </c>
      <c r="P229" s="76">
        <f>SUM(RESID!J278:J289)</f>
        <v>3059</v>
      </c>
      <c r="Q229" s="446">
        <f>SUM(RESID!K278:K289)</f>
        <v>2990.7999999999997</v>
      </c>
      <c r="R229" s="4">
        <f t="shared" si="43"/>
        <v>68.200000000000273</v>
      </c>
      <c r="S229" s="100">
        <f t="shared" si="52"/>
        <v>103</v>
      </c>
      <c r="T229" s="76">
        <f>SUM(RESID!M278:M289)</f>
        <v>493.49999999999994</v>
      </c>
      <c r="U229" s="446">
        <f>SUM(RESID!N278:N289)</f>
        <v>500.5</v>
      </c>
      <c r="V229" s="4">
        <f t="shared" si="44"/>
        <v>-7.0000000000000568</v>
      </c>
      <c r="W229" s="100">
        <f t="shared" si="53"/>
        <v>102</v>
      </c>
      <c r="X229" s="6">
        <f t="shared" si="45"/>
        <v>61.200000000000216</v>
      </c>
      <c r="Y229" s="100">
        <f t="shared" si="54"/>
        <v>88</v>
      </c>
    </row>
    <row r="230" spans="1:25">
      <c r="A230" s="13">
        <f t="shared" si="55"/>
        <v>2001</v>
      </c>
      <c r="B230" s="13">
        <f t="shared" si="56"/>
        <v>10</v>
      </c>
      <c r="C230" s="200">
        <f>RESID!J230</f>
        <v>293.39999999999998</v>
      </c>
      <c r="D230" s="200">
        <f>RESID!K230</f>
        <v>373.2</v>
      </c>
      <c r="E230" s="13">
        <f t="shared" si="46"/>
        <v>-79.800000000000011</v>
      </c>
      <c r="F230" s="100">
        <f t="shared" si="47"/>
        <v>1</v>
      </c>
      <c r="G230" s="200">
        <f>RESID!M230</f>
        <v>3.6</v>
      </c>
      <c r="H230" s="200">
        <f>RESID!N230</f>
        <v>1.3</v>
      </c>
      <c r="I230" s="200">
        <f t="shared" si="48"/>
        <v>2.2999999999999998</v>
      </c>
      <c r="J230" s="100">
        <f t="shared" si="49"/>
        <v>0</v>
      </c>
      <c r="K230" s="171">
        <f t="shared" si="50"/>
        <v>-77.500000000000014</v>
      </c>
      <c r="L230" s="100">
        <f t="shared" si="51"/>
        <v>100</v>
      </c>
      <c r="N230" s="447">
        <v>38991</v>
      </c>
      <c r="O230" s="13">
        <f t="shared" si="57"/>
        <v>10</v>
      </c>
      <c r="P230" s="76">
        <f>SUM(RESID!J279:J290)</f>
        <v>2986</v>
      </c>
      <c r="Q230" s="446">
        <f>SUM(RESID!K279:K290)</f>
        <v>2990.7999999999997</v>
      </c>
      <c r="R230" s="4">
        <f t="shared" si="43"/>
        <v>-4.7999999999997272</v>
      </c>
      <c r="S230" s="100">
        <f t="shared" si="52"/>
        <v>104</v>
      </c>
      <c r="T230" s="76">
        <f>SUM(RESID!M279:M290)</f>
        <v>495.2</v>
      </c>
      <c r="U230" s="446">
        <f>SUM(RESID!N279:N290)</f>
        <v>500.5</v>
      </c>
      <c r="V230" s="4">
        <f t="shared" si="44"/>
        <v>-5.3000000000000114</v>
      </c>
      <c r="W230" s="100">
        <f t="shared" si="53"/>
        <v>103</v>
      </c>
      <c r="X230" s="6">
        <f t="shared" si="45"/>
        <v>-10.099999999999739</v>
      </c>
      <c r="Y230" s="100">
        <f t="shared" si="54"/>
        <v>89</v>
      </c>
    </row>
    <row r="231" spans="1:25">
      <c r="A231" s="13">
        <f t="shared" si="55"/>
        <v>2001</v>
      </c>
      <c r="B231" s="13">
        <f t="shared" si="56"/>
        <v>11</v>
      </c>
      <c r="C231" s="200">
        <f>RESID!J231</f>
        <v>186.3</v>
      </c>
      <c r="D231" s="200">
        <f>RESID!K231</f>
        <v>204.3</v>
      </c>
      <c r="E231" s="13">
        <f t="shared" si="46"/>
        <v>-18</v>
      </c>
      <c r="F231" s="100">
        <f t="shared" si="47"/>
        <v>1</v>
      </c>
      <c r="G231" s="200">
        <f>RESID!M231</f>
        <v>21.5</v>
      </c>
      <c r="H231" s="200">
        <f>RESID!N231</f>
        <v>24.1</v>
      </c>
      <c r="I231" s="200">
        <f t="shared" si="48"/>
        <v>-2.6000000000000014</v>
      </c>
      <c r="J231" s="100">
        <f t="shared" si="49"/>
        <v>1</v>
      </c>
      <c r="K231" s="171">
        <f t="shared" si="50"/>
        <v>-20.6</v>
      </c>
      <c r="L231" s="100">
        <f t="shared" si="51"/>
        <v>101</v>
      </c>
      <c r="N231" s="447">
        <v>39022</v>
      </c>
      <c r="O231" s="13">
        <f t="shared" si="57"/>
        <v>11</v>
      </c>
      <c r="P231" s="76">
        <f>SUM(RESID!J280:J291)</f>
        <v>2957.2999999999997</v>
      </c>
      <c r="Q231" s="446">
        <f>SUM(RESID!K280:K291)</f>
        <v>2990.7999999999997</v>
      </c>
      <c r="R231" s="4">
        <f t="shared" si="43"/>
        <v>-33.5</v>
      </c>
      <c r="S231" s="100">
        <f t="shared" si="52"/>
        <v>105</v>
      </c>
      <c r="T231" s="76">
        <f>SUM(RESID!M280:M291)</f>
        <v>503.9</v>
      </c>
      <c r="U231" s="446">
        <f>SUM(RESID!N280:N291)</f>
        <v>500.5</v>
      </c>
      <c r="V231" s="4">
        <f t="shared" si="44"/>
        <v>3.3999999999999773</v>
      </c>
      <c r="W231" s="100">
        <f t="shared" si="53"/>
        <v>103</v>
      </c>
      <c r="X231" s="6">
        <f t="shared" si="45"/>
        <v>-30.100000000000023</v>
      </c>
      <c r="Y231" s="100">
        <f t="shared" si="54"/>
        <v>90</v>
      </c>
    </row>
    <row r="232" spans="1:25">
      <c r="A232" s="90">
        <f t="shared" si="55"/>
        <v>2001</v>
      </c>
      <c r="B232" s="90">
        <f t="shared" si="56"/>
        <v>12</v>
      </c>
      <c r="C232" s="200">
        <f>RESID!J232</f>
        <v>145.9</v>
      </c>
      <c r="D232" s="200">
        <f>RESID!K232</f>
        <v>88</v>
      </c>
      <c r="E232" s="13">
        <f t="shared" si="46"/>
        <v>57.900000000000006</v>
      </c>
      <c r="F232" s="100">
        <f t="shared" si="47"/>
        <v>0</v>
      </c>
      <c r="G232" s="200">
        <f>RESID!M232</f>
        <v>20.3</v>
      </c>
      <c r="H232" s="200">
        <f>RESID!N232</f>
        <v>83.9</v>
      </c>
      <c r="I232" s="200">
        <f t="shared" si="48"/>
        <v>-63.600000000000009</v>
      </c>
      <c r="J232" s="100">
        <f t="shared" si="49"/>
        <v>1</v>
      </c>
      <c r="K232" s="171">
        <f t="shared" si="50"/>
        <v>-5.7000000000000028</v>
      </c>
      <c r="L232" s="100">
        <f t="shared" si="51"/>
        <v>102</v>
      </c>
      <c r="N232" s="447">
        <v>39052</v>
      </c>
      <c r="O232" s="13">
        <f t="shared" si="57"/>
        <v>12</v>
      </c>
      <c r="P232" s="76">
        <f>SUM(RESID!J281:J292)</f>
        <v>2955.4999999999995</v>
      </c>
      <c r="Q232" s="446">
        <f>SUM(RESID!K281:K292)</f>
        <v>2990.7999999999997</v>
      </c>
      <c r="R232" s="4">
        <f t="shared" si="43"/>
        <v>-35.300000000000182</v>
      </c>
      <c r="S232" s="100">
        <f t="shared" si="52"/>
        <v>106</v>
      </c>
      <c r="T232" s="76">
        <f>SUM(RESID!M281:M292)</f>
        <v>509.7</v>
      </c>
      <c r="U232" s="446">
        <f>SUM(RESID!N281:N292)</f>
        <v>500.5</v>
      </c>
      <c r="V232" s="4">
        <f t="shared" si="44"/>
        <v>9.1999999999999886</v>
      </c>
      <c r="W232" s="100">
        <f t="shared" si="53"/>
        <v>103</v>
      </c>
      <c r="X232" s="6">
        <f t="shared" si="45"/>
        <v>-26.100000000000193</v>
      </c>
      <c r="Y232" s="100">
        <f t="shared" si="54"/>
        <v>91</v>
      </c>
    </row>
    <row r="233" spans="1:25">
      <c r="A233" s="13">
        <f t="shared" si="55"/>
        <v>2002</v>
      </c>
      <c r="B233" s="13">
        <f t="shared" si="56"/>
        <v>1</v>
      </c>
      <c r="C233" s="200">
        <f>RESID!J233</f>
        <v>59.2</v>
      </c>
      <c r="D233" s="200">
        <f>RESID!K233</f>
        <v>49.5</v>
      </c>
      <c r="E233" s="13">
        <f t="shared" si="46"/>
        <v>9.7000000000000028</v>
      </c>
      <c r="F233" s="100">
        <f t="shared" si="47"/>
        <v>0</v>
      </c>
      <c r="G233" s="200">
        <f>RESID!M233</f>
        <v>181.8</v>
      </c>
      <c r="H233" s="200">
        <f>RESID!N233</f>
        <v>131.6</v>
      </c>
      <c r="I233" s="200">
        <f t="shared" si="48"/>
        <v>50.200000000000017</v>
      </c>
      <c r="J233" s="100">
        <f t="shared" si="49"/>
        <v>0</v>
      </c>
      <c r="K233" s="171">
        <f t="shared" si="50"/>
        <v>59.90000000000002</v>
      </c>
      <c r="L233" s="100">
        <f t="shared" si="51"/>
        <v>102</v>
      </c>
      <c r="N233" s="447">
        <v>39083</v>
      </c>
      <c r="O233" s="13">
        <f t="shared" si="57"/>
        <v>1</v>
      </c>
      <c r="P233" s="76">
        <f>SUM(RESID!J282:J293)</f>
        <v>3020.7999999999997</v>
      </c>
      <c r="Q233" s="446">
        <f>SUM(RESID!K282:K293)</f>
        <v>2990.7999999999997</v>
      </c>
      <c r="R233" s="4">
        <f t="shared" si="43"/>
        <v>30</v>
      </c>
      <c r="S233" s="100">
        <f t="shared" si="52"/>
        <v>106</v>
      </c>
      <c r="T233" s="76">
        <f>SUM(RESID!M282:M293)</f>
        <v>415.8</v>
      </c>
      <c r="U233" s="446">
        <f>SUM(RESID!N282:N293)</f>
        <v>500.5</v>
      </c>
      <c r="V233" s="4">
        <f t="shared" si="44"/>
        <v>-84.699999999999989</v>
      </c>
      <c r="W233" s="100">
        <f t="shared" si="53"/>
        <v>104</v>
      </c>
      <c r="X233" s="6">
        <f t="shared" si="45"/>
        <v>-54.699999999999989</v>
      </c>
      <c r="Y233" s="100">
        <f t="shared" si="54"/>
        <v>92</v>
      </c>
    </row>
    <row r="234" spans="1:25">
      <c r="A234" s="13">
        <f t="shared" si="55"/>
        <v>2002</v>
      </c>
      <c r="B234" s="13">
        <f t="shared" si="56"/>
        <v>2</v>
      </c>
      <c r="C234" s="200">
        <f>RESID!J234</f>
        <v>80.599999999999994</v>
      </c>
      <c r="D234" s="200">
        <f>RESID!K234</f>
        <v>43.3</v>
      </c>
      <c r="E234" s="13">
        <f t="shared" si="46"/>
        <v>37.299999999999997</v>
      </c>
      <c r="F234" s="100">
        <f t="shared" si="47"/>
        <v>0</v>
      </c>
      <c r="G234" s="200">
        <f>RESID!M234</f>
        <v>82.8</v>
      </c>
      <c r="H234" s="200">
        <f>RESID!N234</f>
        <v>127.9</v>
      </c>
      <c r="I234" s="200">
        <f t="shared" si="48"/>
        <v>-45.100000000000009</v>
      </c>
      <c r="J234" s="100">
        <f t="shared" si="49"/>
        <v>1</v>
      </c>
      <c r="K234" s="171">
        <f t="shared" si="50"/>
        <v>-7.8000000000000114</v>
      </c>
      <c r="L234" s="100">
        <f t="shared" si="51"/>
        <v>103</v>
      </c>
      <c r="N234" s="447">
        <v>39114</v>
      </c>
      <c r="O234" s="13">
        <f t="shared" si="57"/>
        <v>2</v>
      </c>
      <c r="P234" s="76">
        <f>SUM(RESID!J283:J294)</f>
        <v>3010.4</v>
      </c>
      <c r="Q234" s="446">
        <f>SUM(RESID!K283:K294)</f>
        <v>2990.8</v>
      </c>
      <c r="R234" s="4">
        <f t="shared" si="43"/>
        <v>19.599999999999909</v>
      </c>
      <c r="S234" s="100">
        <f t="shared" si="52"/>
        <v>106</v>
      </c>
      <c r="T234" s="76">
        <f>SUM(RESID!M283:M294)</f>
        <v>443.70000000000005</v>
      </c>
      <c r="U234" s="446">
        <f>SUM(RESID!N283:N294)</f>
        <v>500.5</v>
      </c>
      <c r="V234" s="4">
        <f t="shared" si="44"/>
        <v>-56.799999999999955</v>
      </c>
      <c r="W234" s="100">
        <f t="shared" si="53"/>
        <v>105</v>
      </c>
      <c r="X234" s="6">
        <f t="shared" si="45"/>
        <v>-37.200000000000045</v>
      </c>
      <c r="Y234" s="100">
        <f t="shared" si="54"/>
        <v>93</v>
      </c>
    </row>
    <row r="235" spans="1:25">
      <c r="A235" s="13">
        <f t="shared" si="55"/>
        <v>2002</v>
      </c>
      <c r="B235" s="13">
        <f t="shared" si="56"/>
        <v>3</v>
      </c>
      <c r="C235" s="200">
        <f>RESID!J235</f>
        <v>66.3</v>
      </c>
      <c r="D235" s="200">
        <f>RESID!K235</f>
        <v>77.2</v>
      </c>
      <c r="E235" s="13">
        <f t="shared" si="46"/>
        <v>-10.900000000000006</v>
      </c>
      <c r="F235" s="100">
        <f t="shared" si="47"/>
        <v>1</v>
      </c>
      <c r="G235" s="200">
        <f>RESID!M235</f>
        <v>111</v>
      </c>
      <c r="H235" s="200">
        <f>RESID!N235</f>
        <v>82.3</v>
      </c>
      <c r="I235" s="200">
        <f t="shared" si="48"/>
        <v>28.700000000000003</v>
      </c>
      <c r="J235" s="100">
        <f t="shared" si="49"/>
        <v>0</v>
      </c>
      <c r="K235" s="171">
        <f t="shared" si="50"/>
        <v>17.799999999999997</v>
      </c>
      <c r="L235" s="100">
        <f t="shared" si="51"/>
        <v>103</v>
      </c>
      <c r="N235" s="447">
        <v>39142</v>
      </c>
      <c r="O235" s="13">
        <f t="shared" si="57"/>
        <v>3</v>
      </c>
      <c r="P235" s="76">
        <f>SUM(RESID!J284:J295)</f>
        <v>2998.2</v>
      </c>
      <c r="Q235" s="446">
        <f>SUM(RESID!K284:K295)</f>
        <v>2990.7999999999997</v>
      </c>
      <c r="R235" s="4">
        <f t="shared" si="43"/>
        <v>7.4000000000000909</v>
      </c>
      <c r="S235" s="100">
        <f t="shared" si="52"/>
        <v>106</v>
      </c>
      <c r="T235" s="76">
        <f>SUM(RESID!M284:M295)</f>
        <v>463.79999999999995</v>
      </c>
      <c r="U235" s="446">
        <f>SUM(RESID!N284:N295)</f>
        <v>500.49999999999994</v>
      </c>
      <c r="V235" s="4">
        <f t="shared" si="44"/>
        <v>-36.699999999999989</v>
      </c>
      <c r="W235" s="100">
        <f t="shared" si="53"/>
        <v>106</v>
      </c>
      <c r="X235" s="6">
        <f t="shared" si="45"/>
        <v>-29.299999999999898</v>
      </c>
      <c r="Y235" s="100">
        <f t="shared" si="54"/>
        <v>94</v>
      </c>
    </row>
    <row r="236" spans="1:25">
      <c r="A236" s="13">
        <f t="shared" si="55"/>
        <v>2002</v>
      </c>
      <c r="B236" s="13">
        <f t="shared" si="56"/>
        <v>4</v>
      </c>
      <c r="C236" s="200">
        <f>RESID!J236</f>
        <v>199.5</v>
      </c>
      <c r="D236" s="200">
        <f>RESID!K236</f>
        <v>138.1</v>
      </c>
      <c r="E236" s="13">
        <f t="shared" si="46"/>
        <v>61.400000000000006</v>
      </c>
      <c r="F236" s="100">
        <f t="shared" si="47"/>
        <v>0</v>
      </c>
      <c r="G236" s="200">
        <f>RESID!M236</f>
        <v>16.399999999999999</v>
      </c>
      <c r="H236" s="200">
        <f>RESID!N236</f>
        <v>37.299999999999997</v>
      </c>
      <c r="I236" s="200">
        <f t="shared" si="48"/>
        <v>-20.9</v>
      </c>
      <c r="J236" s="100">
        <f t="shared" si="49"/>
        <v>1</v>
      </c>
      <c r="K236" s="171">
        <f t="shared" si="50"/>
        <v>40.500000000000007</v>
      </c>
      <c r="L236" s="100">
        <f t="shared" si="51"/>
        <v>103</v>
      </c>
      <c r="N236" s="447">
        <v>39173</v>
      </c>
      <c r="O236" s="13">
        <f t="shared" si="57"/>
        <v>4</v>
      </c>
      <c r="P236" s="76">
        <f>SUM(RESID!J285:J296)</f>
        <v>2984</v>
      </c>
      <c r="Q236" s="446">
        <f>SUM(RESID!K285:K296)</f>
        <v>2990.8</v>
      </c>
      <c r="R236" s="4">
        <f t="shared" si="43"/>
        <v>-6.8000000000001819</v>
      </c>
      <c r="S236" s="100">
        <f t="shared" si="52"/>
        <v>107</v>
      </c>
      <c r="T236" s="76">
        <f>SUM(RESID!M285:M296)</f>
        <v>459.2</v>
      </c>
      <c r="U236" s="446">
        <f>SUM(RESID!N285:N296)</f>
        <v>500.5</v>
      </c>
      <c r="V236" s="4">
        <f t="shared" si="44"/>
        <v>-41.300000000000011</v>
      </c>
      <c r="W236" s="100">
        <f t="shared" si="53"/>
        <v>107</v>
      </c>
      <c r="X236" s="6">
        <f t="shared" si="45"/>
        <v>-48.100000000000193</v>
      </c>
      <c r="Y236" s="100">
        <f t="shared" si="54"/>
        <v>95</v>
      </c>
    </row>
    <row r="237" spans="1:25">
      <c r="A237" s="13">
        <f t="shared" si="55"/>
        <v>2002</v>
      </c>
      <c r="B237" s="13">
        <f t="shared" si="56"/>
        <v>5</v>
      </c>
      <c r="C237" s="200">
        <f>RESID!J237</f>
        <v>328.4</v>
      </c>
      <c r="D237" s="200">
        <f>RESID!K237</f>
        <v>224.4</v>
      </c>
      <c r="E237" s="13">
        <f t="shared" si="46"/>
        <v>103.99999999999997</v>
      </c>
      <c r="F237" s="100">
        <f t="shared" si="47"/>
        <v>0</v>
      </c>
      <c r="G237" s="200">
        <f>RESID!M237</f>
        <v>1.4</v>
      </c>
      <c r="H237" s="200">
        <f>RESID!N237</f>
        <v>11.2</v>
      </c>
      <c r="I237" s="200">
        <f t="shared" si="48"/>
        <v>-9.7999999999999989</v>
      </c>
      <c r="J237" s="100">
        <f t="shared" si="49"/>
        <v>1</v>
      </c>
      <c r="K237" s="171">
        <f t="shared" si="50"/>
        <v>94.199999999999974</v>
      </c>
      <c r="L237" s="100">
        <f t="shared" si="51"/>
        <v>103</v>
      </c>
      <c r="N237" s="447">
        <v>39203</v>
      </c>
      <c r="O237" s="13">
        <f t="shared" si="57"/>
        <v>5</v>
      </c>
      <c r="P237" s="76">
        <f>SUM(RESID!J286:J297)</f>
        <v>2941.1</v>
      </c>
      <c r="Q237" s="446">
        <f>SUM(RESID!K286:K297)</f>
        <v>2990.8</v>
      </c>
      <c r="R237" s="4">
        <f t="shared" si="43"/>
        <v>-49.700000000000273</v>
      </c>
      <c r="S237" s="100">
        <f t="shared" si="52"/>
        <v>108</v>
      </c>
      <c r="T237" s="76">
        <f>SUM(RESID!M286:M297)</f>
        <v>467.09999999999997</v>
      </c>
      <c r="U237" s="446">
        <f>SUM(RESID!N286:N297)</f>
        <v>500.50000000000006</v>
      </c>
      <c r="V237" s="4">
        <f t="shared" si="44"/>
        <v>-33.400000000000091</v>
      </c>
      <c r="W237" s="100">
        <f t="shared" si="53"/>
        <v>108</v>
      </c>
      <c r="X237" s="6">
        <f t="shared" si="45"/>
        <v>-83.100000000000364</v>
      </c>
      <c r="Y237" s="100">
        <f t="shared" si="54"/>
        <v>96</v>
      </c>
    </row>
    <row r="238" spans="1:25">
      <c r="A238" s="13">
        <f t="shared" si="55"/>
        <v>2002</v>
      </c>
      <c r="B238" s="13">
        <f t="shared" si="56"/>
        <v>6</v>
      </c>
      <c r="C238" s="200">
        <f>RESID!J238</f>
        <v>370.4</v>
      </c>
      <c r="D238" s="200">
        <f>RESID!K238</f>
        <v>382.8</v>
      </c>
      <c r="E238" s="13">
        <f t="shared" si="46"/>
        <v>-12.400000000000034</v>
      </c>
      <c r="F238" s="100">
        <f t="shared" si="47"/>
        <v>1</v>
      </c>
      <c r="G238" s="200">
        <f>RESID!M238</f>
        <v>1.3</v>
      </c>
      <c r="H238" s="200">
        <f>RESID!N238</f>
        <v>0.9</v>
      </c>
      <c r="I238" s="200">
        <f t="shared" si="48"/>
        <v>0.4</v>
      </c>
      <c r="J238" s="100">
        <f t="shared" si="49"/>
        <v>0</v>
      </c>
      <c r="K238" s="171">
        <f t="shared" si="50"/>
        <v>-12.000000000000034</v>
      </c>
      <c r="L238" s="100">
        <f t="shared" si="51"/>
        <v>104</v>
      </c>
      <c r="N238" s="447">
        <v>39234</v>
      </c>
      <c r="O238" s="13">
        <f t="shared" si="57"/>
        <v>6</v>
      </c>
      <c r="P238" s="76">
        <f>SUM(RESID!J287:J298)</f>
        <v>2894.2</v>
      </c>
      <c r="Q238" s="446">
        <f>SUM(RESID!K287:K298)</f>
        <v>2990.8</v>
      </c>
      <c r="R238" s="4">
        <f t="shared" si="43"/>
        <v>-96.600000000000364</v>
      </c>
      <c r="S238" s="100">
        <f t="shared" si="52"/>
        <v>109</v>
      </c>
      <c r="T238" s="76">
        <f>SUM(RESID!M287:M298)</f>
        <v>466.9</v>
      </c>
      <c r="U238" s="446">
        <f>SUM(RESID!N287:N298)</f>
        <v>500.5</v>
      </c>
      <c r="V238" s="4">
        <f t="shared" si="44"/>
        <v>-33.600000000000023</v>
      </c>
      <c r="W238" s="100">
        <f t="shared" si="53"/>
        <v>109</v>
      </c>
      <c r="X238" s="6">
        <f t="shared" si="45"/>
        <v>-130.20000000000039</v>
      </c>
      <c r="Y238" s="100">
        <f t="shared" si="54"/>
        <v>97</v>
      </c>
    </row>
    <row r="239" spans="1:25">
      <c r="A239" s="13">
        <f t="shared" si="55"/>
        <v>2002</v>
      </c>
      <c r="B239" s="13">
        <f t="shared" si="56"/>
        <v>7</v>
      </c>
      <c r="C239" s="200">
        <f>RESID!J239</f>
        <v>407</v>
      </c>
      <c r="D239" s="200">
        <f>RESID!K239</f>
        <v>454.9</v>
      </c>
      <c r="E239" s="13">
        <f t="shared" si="46"/>
        <v>-47.899999999999977</v>
      </c>
      <c r="F239" s="100">
        <f t="shared" si="47"/>
        <v>1</v>
      </c>
      <c r="G239" s="200">
        <f>RESID!M239</f>
        <v>0</v>
      </c>
      <c r="H239" s="200">
        <f>RESID!N239</f>
        <v>0</v>
      </c>
      <c r="I239" s="200">
        <f t="shared" si="48"/>
        <v>0</v>
      </c>
      <c r="J239" s="100">
        <f t="shared" si="49"/>
        <v>0</v>
      </c>
      <c r="K239" s="171">
        <f t="shared" si="50"/>
        <v>-47.899999999999977</v>
      </c>
      <c r="L239" s="100">
        <f t="shared" si="51"/>
        <v>105</v>
      </c>
      <c r="N239" s="447">
        <v>39264</v>
      </c>
      <c r="O239" s="13">
        <f t="shared" si="57"/>
        <v>7</v>
      </c>
      <c r="P239" s="76">
        <f>SUM(RESID!J288:J299)</f>
        <v>2908.1999999999994</v>
      </c>
      <c r="Q239" s="446">
        <f>SUM(RESID!K288:K299)</f>
        <v>2990.8</v>
      </c>
      <c r="R239" s="4">
        <f t="shared" si="43"/>
        <v>-82.600000000000819</v>
      </c>
      <c r="S239" s="100">
        <f t="shared" si="52"/>
        <v>110</v>
      </c>
      <c r="T239" s="76">
        <f>SUM(RESID!M288:M299)</f>
        <v>466.9</v>
      </c>
      <c r="U239" s="446">
        <f>SUM(RESID!N288:N299)</f>
        <v>500.5</v>
      </c>
      <c r="V239" s="4">
        <f t="shared" si="44"/>
        <v>-33.600000000000023</v>
      </c>
      <c r="W239" s="100">
        <f t="shared" si="53"/>
        <v>110</v>
      </c>
      <c r="X239" s="6">
        <f t="shared" si="45"/>
        <v>-116.20000000000084</v>
      </c>
      <c r="Y239" s="100">
        <f t="shared" si="54"/>
        <v>98</v>
      </c>
    </row>
    <row r="240" spans="1:25">
      <c r="A240" s="13">
        <f t="shared" si="55"/>
        <v>2002</v>
      </c>
      <c r="B240" s="13">
        <f t="shared" si="56"/>
        <v>8</v>
      </c>
      <c r="C240" s="200">
        <f>RESID!J240</f>
        <v>455.6</v>
      </c>
      <c r="D240" s="200">
        <f>RESID!K240</f>
        <v>481.4</v>
      </c>
      <c r="E240" s="13">
        <f t="shared" si="46"/>
        <v>-25.799999999999955</v>
      </c>
      <c r="F240" s="100">
        <f t="shared" si="47"/>
        <v>1</v>
      </c>
      <c r="G240" s="200">
        <f>RESID!M240</f>
        <v>0</v>
      </c>
      <c r="H240" s="200">
        <f>RESID!N240</f>
        <v>0</v>
      </c>
      <c r="I240" s="200">
        <f t="shared" si="48"/>
        <v>0</v>
      </c>
      <c r="J240" s="100">
        <f t="shared" si="49"/>
        <v>0</v>
      </c>
      <c r="K240" s="171">
        <f t="shared" si="50"/>
        <v>-25.799999999999955</v>
      </c>
      <c r="L240" s="100">
        <f t="shared" si="51"/>
        <v>106</v>
      </c>
      <c r="N240" s="447">
        <v>39295</v>
      </c>
      <c r="O240" s="13">
        <f t="shared" si="57"/>
        <v>8</v>
      </c>
      <c r="P240" s="76">
        <f>SUM(RESID!J289:J300)</f>
        <v>2916.4</v>
      </c>
      <c r="Q240" s="446">
        <f>SUM(RESID!K289:K300)</f>
        <v>2990.8</v>
      </c>
      <c r="R240" s="4">
        <f t="shared" si="43"/>
        <v>-74.400000000000091</v>
      </c>
      <c r="S240" s="100">
        <f t="shared" si="52"/>
        <v>111</v>
      </c>
      <c r="T240" s="76">
        <f>SUM(RESID!M289:M300)</f>
        <v>466.9</v>
      </c>
      <c r="U240" s="446">
        <f>SUM(RESID!N289:N300)</f>
        <v>500.5</v>
      </c>
      <c r="V240" s="4">
        <f t="shared" si="44"/>
        <v>-33.600000000000023</v>
      </c>
      <c r="W240" s="100">
        <f t="shared" si="53"/>
        <v>111</v>
      </c>
      <c r="X240" s="6">
        <f t="shared" si="45"/>
        <v>-108.00000000000011</v>
      </c>
      <c r="Y240" s="100">
        <f t="shared" si="54"/>
        <v>99</v>
      </c>
    </row>
    <row r="241" spans="1:30">
      <c r="A241" s="13">
        <f t="shared" si="55"/>
        <v>2002</v>
      </c>
      <c r="B241" s="13">
        <f t="shared" si="56"/>
        <v>9</v>
      </c>
      <c r="C241" s="200">
        <f>RESID!J241</f>
        <v>455.4</v>
      </c>
      <c r="D241" s="200">
        <f>RESID!K241</f>
        <v>473.7</v>
      </c>
      <c r="E241" s="13">
        <f t="shared" si="46"/>
        <v>-18.300000000000011</v>
      </c>
      <c r="F241" s="100">
        <f t="shared" si="47"/>
        <v>1</v>
      </c>
      <c r="G241" s="200">
        <f>RESID!M241</f>
        <v>0</v>
      </c>
      <c r="H241" s="200">
        <f>RESID!N241</f>
        <v>0</v>
      </c>
      <c r="I241" s="200">
        <f t="shared" si="48"/>
        <v>0</v>
      </c>
      <c r="J241" s="100">
        <f t="shared" si="49"/>
        <v>0</v>
      </c>
      <c r="K241" s="171">
        <f t="shared" si="50"/>
        <v>-18.300000000000011</v>
      </c>
      <c r="L241" s="100">
        <f t="shared" si="51"/>
        <v>107</v>
      </c>
      <c r="N241" s="447">
        <v>39326</v>
      </c>
      <c r="O241" s="13">
        <f t="shared" si="57"/>
        <v>9</v>
      </c>
      <c r="P241" s="76">
        <f>SUM(RESID!J290:J301)</f>
        <v>2957.1</v>
      </c>
      <c r="Q241" s="446">
        <f>SUM(RESID!K290:K301)</f>
        <v>2990.7999999999997</v>
      </c>
      <c r="R241" s="4">
        <f t="shared" si="43"/>
        <v>-33.699999999999818</v>
      </c>
      <c r="S241" s="100">
        <f t="shared" si="52"/>
        <v>112</v>
      </c>
      <c r="T241" s="76">
        <f>SUM(RESID!M290:M301)</f>
        <v>466.9</v>
      </c>
      <c r="U241" s="446">
        <f>SUM(RESID!N290:N301)</f>
        <v>500.5</v>
      </c>
      <c r="V241" s="4">
        <f t="shared" si="44"/>
        <v>-33.600000000000023</v>
      </c>
      <c r="W241" s="100">
        <f t="shared" si="53"/>
        <v>112</v>
      </c>
      <c r="X241" s="6">
        <f t="shared" si="45"/>
        <v>-67.299999999999841</v>
      </c>
      <c r="Y241" s="100">
        <f t="shared" si="54"/>
        <v>100</v>
      </c>
    </row>
    <row r="242" spans="1:30">
      <c r="A242" s="13">
        <f t="shared" si="55"/>
        <v>2002</v>
      </c>
      <c r="B242" s="13">
        <f t="shared" si="56"/>
        <v>10</v>
      </c>
      <c r="C242" s="200">
        <f>RESID!J242</f>
        <v>420.7</v>
      </c>
      <c r="D242" s="200">
        <f>RESID!K242</f>
        <v>373.2</v>
      </c>
      <c r="E242" s="13">
        <f t="shared" si="46"/>
        <v>47.5</v>
      </c>
      <c r="F242" s="100">
        <f t="shared" si="47"/>
        <v>0</v>
      </c>
      <c r="G242" s="200">
        <f>RESID!M242</f>
        <v>0.6</v>
      </c>
      <c r="H242" s="200">
        <f>RESID!N242</f>
        <v>1.3</v>
      </c>
      <c r="I242" s="200">
        <f t="shared" si="48"/>
        <v>-0.70000000000000007</v>
      </c>
      <c r="J242" s="100">
        <f t="shared" si="49"/>
        <v>1</v>
      </c>
      <c r="K242" s="171">
        <f t="shared" si="50"/>
        <v>46.8</v>
      </c>
      <c r="L242" s="100">
        <f t="shared" si="51"/>
        <v>107</v>
      </c>
      <c r="N242" s="447">
        <v>39356</v>
      </c>
      <c r="O242" s="13">
        <f t="shared" si="57"/>
        <v>10</v>
      </c>
      <c r="P242" s="76">
        <f>SUM(RESID!J291:J302)</f>
        <v>3008.4</v>
      </c>
      <c r="Q242" s="446">
        <f>SUM(RESID!K291:K302)</f>
        <v>2990.7999999999997</v>
      </c>
      <c r="R242" s="4">
        <f t="shared" si="43"/>
        <v>17.600000000000364</v>
      </c>
      <c r="S242" s="100">
        <f t="shared" si="52"/>
        <v>112</v>
      </c>
      <c r="T242" s="76">
        <f>SUM(RESID!M291:M302)</f>
        <v>464.7</v>
      </c>
      <c r="U242" s="446">
        <f>SUM(RESID!N291:N302)</f>
        <v>500.5</v>
      </c>
      <c r="V242" s="4">
        <f t="shared" si="44"/>
        <v>-35.800000000000011</v>
      </c>
      <c r="W242" s="100">
        <f t="shared" si="53"/>
        <v>113</v>
      </c>
      <c r="X242" s="6">
        <f t="shared" si="45"/>
        <v>-18.199999999999648</v>
      </c>
      <c r="Y242" s="100">
        <f t="shared" si="54"/>
        <v>101</v>
      </c>
    </row>
    <row r="243" spans="1:30">
      <c r="A243" s="13">
        <f t="shared" si="55"/>
        <v>2002</v>
      </c>
      <c r="B243" s="13">
        <f t="shared" si="56"/>
        <v>11</v>
      </c>
      <c r="C243" s="200">
        <f>RESID!J243</f>
        <v>260.39999999999998</v>
      </c>
      <c r="D243" s="200">
        <f>RESID!K243</f>
        <v>204.3</v>
      </c>
      <c r="E243" s="13">
        <f t="shared" si="46"/>
        <v>56.099999999999966</v>
      </c>
      <c r="F243" s="100">
        <f t="shared" si="47"/>
        <v>0</v>
      </c>
      <c r="G243" s="200">
        <f>RESID!M243</f>
        <v>17.7</v>
      </c>
      <c r="H243" s="200">
        <f>RESID!N243</f>
        <v>24.1</v>
      </c>
      <c r="I243" s="200">
        <f t="shared" si="48"/>
        <v>-6.4000000000000021</v>
      </c>
      <c r="J243" s="100">
        <f t="shared" si="49"/>
        <v>1</v>
      </c>
      <c r="K243" s="171">
        <f t="shared" si="50"/>
        <v>49.69999999999996</v>
      </c>
      <c r="L243" s="100">
        <f t="shared" si="51"/>
        <v>107</v>
      </c>
      <c r="N243" s="447">
        <v>39387</v>
      </c>
      <c r="O243" s="13">
        <f t="shared" si="57"/>
        <v>11</v>
      </c>
      <c r="P243" s="76">
        <f>SUM(RESID!J292:J303)</f>
        <v>3057.1</v>
      </c>
      <c r="Q243" s="446">
        <f>SUM(RESID!K292:K303)</f>
        <v>2990.7999999999997</v>
      </c>
      <c r="R243" s="4">
        <f t="shared" si="43"/>
        <v>66.300000000000182</v>
      </c>
      <c r="S243" s="100">
        <f t="shared" si="52"/>
        <v>112</v>
      </c>
      <c r="T243" s="76">
        <f>SUM(RESID!M292:M303)</f>
        <v>454.9</v>
      </c>
      <c r="U243" s="446">
        <f>SUM(RESID!N292:N303)</f>
        <v>500.5</v>
      </c>
      <c r="V243" s="4">
        <f t="shared" si="44"/>
        <v>-45.600000000000023</v>
      </c>
      <c r="W243" s="100">
        <f t="shared" si="53"/>
        <v>114</v>
      </c>
      <c r="X243" s="6">
        <f t="shared" si="45"/>
        <v>20.700000000000159</v>
      </c>
      <c r="Y243" s="100">
        <f t="shared" si="54"/>
        <v>101</v>
      </c>
    </row>
    <row r="244" spans="1:30">
      <c r="A244" s="90">
        <f t="shared" si="55"/>
        <v>2002</v>
      </c>
      <c r="B244" s="90">
        <f t="shared" si="56"/>
        <v>12</v>
      </c>
      <c r="C244" s="200">
        <f>RESID!J244</f>
        <v>51.4</v>
      </c>
      <c r="D244" s="200">
        <f>RESID!K244</f>
        <v>88</v>
      </c>
      <c r="E244" s="13">
        <f t="shared" si="46"/>
        <v>-36.6</v>
      </c>
      <c r="F244" s="100">
        <f t="shared" si="47"/>
        <v>1</v>
      </c>
      <c r="G244" s="200">
        <f>RESID!M244</f>
        <v>127</v>
      </c>
      <c r="H244" s="200">
        <f>RESID!N244</f>
        <v>83.9</v>
      </c>
      <c r="I244" s="200">
        <f t="shared" si="48"/>
        <v>43.099999999999994</v>
      </c>
      <c r="J244" s="100">
        <f t="shared" si="49"/>
        <v>0</v>
      </c>
      <c r="K244" s="171">
        <f t="shared" si="50"/>
        <v>6.4999999999999929</v>
      </c>
      <c r="L244" s="100">
        <f t="shared" si="51"/>
        <v>107</v>
      </c>
      <c r="N244" s="447">
        <v>39417</v>
      </c>
      <c r="O244" s="13">
        <f t="shared" si="57"/>
        <v>12</v>
      </c>
      <c r="P244" s="76">
        <f>SUM(RESID!J293:J304)</f>
        <v>3086.2</v>
      </c>
      <c r="Q244" s="446">
        <f>SUM(RESID!K293:K304)</f>
        <v>2990.7999999999997</v>
      </c>
      <c r="R244" s="4">
        <f t="shared" si="43"/>
        <v>95.400000000000091</v>
      </c>
      <c r="S244" s="100">
        <f t="shared" si="52"/>
        <v>112</v>
      </c>
      <c r="T244" s="76">
        <f>SUM(RESID!M293:M304)</f>
        <v>426.20000000000005</v>
      </c>
      <c r="U244" s="446">
        <f>SUM(RESID!N293:N304)</f>
        <v>500.5</v>
      </c>
      <c r="V244" s="4">
        <f t="shared" si="44"/>
        <v>-74.299999999999955</v>
      </c>
      <c r="W244" s="100">
        <f t="shared" si="53"/>
        <v>115</v>
      </c>
      <c r="X244" s="6">
        <f t="shared" si="45"/>
        <v>21.100000000000136</v>
      </c>
      <c r="Y244" s="100">
        <f t="shared" si="54"/>
        <v>101</v>
      </c>
    </row>
    <row r="245" spans="1:30">
      <c r="A245" s="13">
        <f t="shared" si="55"/>
        <v>2003</v>
      </c>
      <c r="B245" s="13">
        <f t="shared" si="56"/>
        <v>1</v>
      </c>
      <c r="C245" s="200">
        <f>RESID!J245</f>
        <v>17.3</v>
      </c>
      <c r="D245" s="200">
        <f>RESID!K245</f>
        <v>49.5</v>
      </c>
      <c r="E245" s="13">
        <f t="shared" si="46"/>
        <v>-32.200000000000003</v>
      </c>
      <c r="F245" s="100">
        <f t="shared" si="47"/>
        <v>1</v>
      </c>
      <c r="G245" s="200">
        <f>RESID!M245</f>
        <v>221.7</v>
      </c>
      <c r="H245" s="200">
        <f>RESID!N245</f>
        <v>131.6</v>
      </c>
      <c r="I245" s="200">
        <f t="shared" si="48"/>
        <v>90.1</v>
      </c>
      <c r="J245" s="100">
        <f t="shared" si="49"/>
        <v>0</v>
      </c>
      <c r="K245" s="171">
        <f t="shared" si="50"/>
        <v>57.899999999999991</v>
      </c>
      <c r="L245" s="100">
        <f t="shared" si="51"/>
        <v>107</v>
      </c>
      <c r="N245" s="447">
        <v>39448</v>
      </c>
      <c r="O245" s="13">
        <f t="shared" si="57"/>
        <v>1</v>
      </c>
      <c r="P245" s="76">
        <f>SUM(RESID!J294:J305)</f>
        <v>3071.5</v>
      </c>
      <c r="Q245" s="446">
        <f>SUM(RESID!K294:K305)</f>
        <v>2990.7999999999997</v>
      </c>
      <c r="R245" s="4">
        <f t="shared" ref="R245:R289" si="58">P245-Q245</f>
        <v>80.700000000000273</v>
      </c>
      <c r="S245" s="100">
        <f t="shared" si="52"/>
        <v>112</v>
      </c>
      <c r="T245" s="76">
        <f>SUM(RESID!M294:M305)</f>
        <v>472.20000000000005</v>
      </c>
      <c r="U245" s="446">
        <f>SUM(RESID!N294:N305)</f>
        <v>500.5</v>
      </c>
      <c r="V245" s="4">
        <f t="shared" ref="V245:V289" si="59">T245-U245</f>
        <v>-28.299999999999955</v>
      </c>
      <c r="W245" s="100">
        <f t="shared" si="53"/>
        <v>116</v>
      </c>
      <c r="X245" s="6">
        <f t="shared" ref="X245:X289" si="60">R245+V245</f>
        <v>52.400000000000318</v>
      </c>
      <c r="Y245" s="100">
        <f t="shared" si="54"/>
        <v>101</v>
      </c>
    </row>
    <row r="246" spans="1:30">
      <c r="A246" s="13">
        <f t="shared" si="55"/>
        <v>2003</v>
      </c>
      <c r="B246" s="13">
        <f t="shared" si="56"/>
        <v>2</v>
      </c>
      <c r="C246" s="200">
        <f>RESID!J246</f>
        <v>18.2</v>
      </c>
      <c r="D246" s="200">
        <f>RESID!K246</f>
        <v>43.3</v>
      </c>
      <c r="E246" s="13">
        <f t="shared" si="46"/>
        <v>-25.099999999999998</v>
      </c>
      <c r="F246" s="100">
        <f t="shared" si="47"/>
        <v>1</v>
      </c>
      <c r="G246" s="200">
        <f>RESID!M246</f>
        <v>214.9</v>
      </c>
      <c r="H246" s="200">
        <f>RESID!N246</f>
        <v>127.9</v>
      </c>
      <c r="I246" s="200">
        <f t="shared" si="48"/>
        <v>87</v>
      </c>
      <c r="J246" s="100">
        <f t="shared" si="49"/>
        <v>0</v>
      </c>
      <c r="K246" s="171">
        <f t="shared" si="50"/>
        <v>61.900000000000006</v>
      </c>
      <c r="L246" s="100">
        <f t="shared" si="51"/>
        <v>107</v>
      </c>
      <c r="N246" s="447">
        <v>39479</v>
      </c>
      <c r="O246" s="13">
        <f t="shared" si="57"/>
        <v>2</v>
      </c>
      <c r="P246" s="76">
        <f>SUM(RESID!J295:J306)</f>
        <v>3093.6</v>
      </c>
      <c r="Q246" s="446">
        <f>SUM(RESID!K295:K306)</f>
        <v>2990.8</v>
      </c>
      <c r="R246" s="4">
        <f t="shared" si="58"/>
        <v>102.79999999999973</v>
      </c>
      <c r="S246" s="100">
        <f t="shared" si="52"/>
        <v>112</v>
      </c>
      <c r="T246" s="76">
        <f>SUM(RESID!M295:M306)</f>
        <v>420.00000000000006</v>
      </c>
      <c r="U246" s="446">
        <f>SUM(RESID!N295:N306)</f>
        <v>500.5</v>
      </c>
      <c r="V246" s="4">
        <f t="shared" si="59"/>
        <v>-80.499999999999943</v>
      </c>
      <c r="W246" s="100">
        <f t="shared" si="53"/>
        <v>117</v>
      </c>
      <c r="X246" s="6">
        <f t="shared" si="60"/>
        <v>22.299999999999784</v>
      </c>
      <c r="Y246" s="100">
        <f t="shared" si="54"/>
        <v>101</v>
      </c>
    </row>
    <row r="247" spans="1:30">
      <c r="A247" s="13">
        <f t="shared" si="55"/>
        <v>2003</v>
      </c>
      <c r="B247" s="13">
        <f t="shared" si="56"/>
        <v>3</v>
      </c>
      <c r="C247" s="200">
        <f>RESID!J247</f>
        <v>117.4</v>
      </c>
      <c r="D247" s="200">
        <f>RESID!K247</f>
        <v>77.2</v>
      </c>
      <c r="E247" s="13">
        <f t="shared" si="46"/>
        <v>40.200000000000003</v>
      </c>
      <c r="F247" s="100">
        <f t="shared" si="47"/>
        <v>0</v>
      </c>
      <c r="G247" s="200">
        <f>RESID!M247</f>
        <v>42.5</v>
      </c>
      <c r="H247" s="200">
        <f>RESID!N247</f>
        <v>82.3</v>
      </c>
      <c r="I247" s="200">
        <f t="shared" si="48"/>
        <v>-39.799999999999997</v>
      </c>
      <c r="J247" s="100">
        <f t="shared" si="49"/>
        <v>1</v>
      </c>
      <c r="K247" s="171">
        <f t="shared" si="50"/>
        <v>0.40000000000000568</v>
      </c>
      <c r="L247" s="100">
        <f t="shared" si="51"/>
        <v>107</v>
      </c>
      <c r="N247" s="447">
        <v>39508</v>
      </c>
      <c r="O247" s="13">
        <f t="shared" si="57"/>
        <v>3</v>
      </c>
      <c r="P247" s="76">
        <f>SUM(RESID!J296:J307)</f>
        <v>3102.7</v>
      </c>
      <c r="Q247" s="446">
        <f>SUM(RESID!K296:K307)</f>
        <v>2990.7999999999997</v>
      </c>
      <c r="R247" s="4">
        <f t="shared" si="58"/>
        <v>111.90000000000009</v>
      </c>
      <c r="S247" s="100">
        <f t="shared" si="52"/>
        <v>112</v>
      </c>
      <c r="T247" s="76">
        <f>SUM(RESID!M296:M307)</f>
        <v>386.9</v>
      </c>
      <c r="U247" s="446">
        <f>SUM(RESID!N296:N307)</f>
        <v>500.49999999999994</v>
      </c>
      <c r="V247" s="4">
        <f t="shared" si="59"/>
        <v>-113.59999999999997</v>
      </c>
      <c r="W247" s="100">
        <f t="shared" si="53"/>
        <v>118</v>
      </c>
      <c r="X247" s="6">
        <f t="shared" si="60"/>
        <v>-1.6999999999998749</v>
      </c>
      <c r="Y247" s="100">
        <f t="shared" si="54"/>
        <v>102</v>
      </c>
    </row>
    <row r="248" spans="1:30">
      <c r="A248" s="13">
        <f t="shared" si="55"/>
        <v>2003</v>
      </c>
      <c r="B248" s="13">
        <f t="shared" si="56"/>
        <v>4</v>
      </c>
      <c r="C248" s="200">
        <f>RESID!J248</f>
        <v>159.80000000000001</v>
      </c>
      <c r="D248" s="200">
        <f>RESID!K248</f>
        <v>138.1</v>
      </c>
      <c r="E248" s="13">
        <f t="shared" si="46"/>
        <v>21.700000000000017</v>
      </c>
      <c r="F248" s="100">
        <f t="shared" si="47"/>
        <v>0</v>
      </c>
      <c r="G248" s="200">
        <f>RESID!M248</f>
        <v>31</v>
      </c>
      <c r="H248" s="200">
        <f>RESID!N248</f>
        <v>37.299999999999997</v>
      </c>
      <c r="I248" s="200">
        <f t="shared" si="48"/>
        <v>-6.2999999999999972</v>
      </c>
      <c r="J248" s="100">
        <f t="shared" si="49"/>
        <v>1</v>
      </c>
      <c r="K248" s="171">
        <f t="shared" si="50"/>
        <v>15.40000000000002</v>
      </c>
      <c r="L248" s="100">
        <f t="shared" si="51"/>
        <v>107</v>
      </c>
      <c r="N248" s="447">
        <v>39539</v>
      </c>
      <c r="O248" s="13">
        <f t="shared" si="57"/>
        <v>4</v>
      </c>
      <c r="P248" s="76">
        <f>SUM(RESID!J297:J308)</f>
        <v>3101.1</v>
      </c>
      <c r="Q248" s="446">
        <f>SUM(RESID!K297:K308)</f>
        <v>2990.8</v>
      </c>
      <c r="R248" s="4">
        <f t="shared" si="58"/>
        <v>110.29999999999973</v>
      </c>
      <c r="S248" s="100">
        <f t="shared" si="52"/>
        <v>112</v>
      </c>
      <c r="T248" s="76">
        <f>SUM(RESID!M297:M308)</f>
        <v>392.20000000000005</v>
      </c>
      <c r="U248" s="446">
        <f>SUM(RESID!N297:N308)</f>
        <v>500.5</v>
      </c>
      <c r="V248" s="4">
        <f t="shared" si="59"/>
        <v>-108.29999999999995</v>
      </c>
      <c r="W248" s="100">
        <f t="shared" si="53"/>
        <v>119</v>
      </c>
      <c r="X248" s="6">
        <f t="shared" si="60"/>
        <v>1.9999999999997726</v>
      </c>
      <c r="Y248" s="100">
        <f t="shared" si="54"/>
        <v>102</v>
      </c>
    </row>
    <row r="249" spans="1:30">
      <c r="A249" s="13">
        <f t="shared" si="55"/>
        <v>2003</v>
      </c>
      <c r="B249" s="13">
        <f t="shared" si="56"/>
        <v>5</v>
      </c>
      <c r="C249" s="200">
        <f>RESID!J249</f>
        <v>281.10000000000002</v>
      </c>
      <c r="D249" s="200">
        <f>RESID!K249</f>
        <v>224.4</v>
      </c>
      <c r="E249" s="13">
        <f t="shared" si="46"/>
        <v>56.700000000000017</v>
      </c>
      <c r="F249" s="100">
        <f t="shared" si="47"/>
        <v>0</v>
      </c>
      <c r="G249" s="200">
        <f>RESID!M249</f>
        <v>6.7</v>
      </c>
      <c r="H249" s="200">
        <f>RESID!N249</f>
        <v>11.2</v>
      </c>
      <c r="I249" s="200">
        <f t="shared" si="48"/>
        <v>-4.4999999999999991</v>
      </c>
      <c r="J249" s="100">
        <f t="shared" si="49"/>
        <v>1</v>
      </c>
      <c r="K249" s="171">
        <f t="shared" si="50"/>
        <v>52.200000000000017</v>
      </c>
      <c r="L249" s="100">
        <f t="shared" si="51"/>
        <v>107</v>
      </c>
      <c r="N249" s="447">
        <v>39569</v>
      </c>
      <c r="O249" s="13">
        <f t="shared" si="57"/>
        <v>5</v>
      </c>
      <c r="P249" s="76">
        <f>SUM(RESID!J298:J309)</f>
        <v>3098.2999999999997</v>
      </c>
      <c r="Q249" s="446">
        <f>SUM(RESID!K298:K309)</f>
        <v>2990.8</v>
      </c>
      <c r="R249" s="4">
        <f t="shared" si="58"/>
        <v>107.49999999999955</v>
      </c>
      <c r="S249" s="100">
        <f t="shared" si="52"/>
        <v>112</v>
      </c>
      <c r="T249" s="76">
        <f>SUM(RESID!M298:M309)</f>
        <v>394.70000000000005</v>
      </c>
      <c r="U249" s="446">
        <f>SUM(RESID!N298:N309)</f>
        <v>500.50000000000006</v>
      </c>
      <c r="V249" s="4">
        <f t="shared" si="59"/>
        <v>-105.80000000000001</v>
      </c>
      <c r="W249" s="100">
        <f t="shared" si="53"/>
        <v>120</v>
      </c>
      <c r="X249" s="6">
        <f t="shared" si="60"/>
        <v>1.6999999999995339</v>
      </c>
      <c r="Y249" s="100">
        <f t="shared" si="54"/>
        <v>102</v>
      </c>
    </row>
    <row r="250" spans="1:30">
      <c r="A250" s="13">
        <f t="shared" si="55"/>
        <v>2003</v>
      </c>
      <c r="B250" s="13">
        <f t="shared" si="56"/>
        <v>6</v>
      </c>
      <c r="C250" s="200">
        <f>RESID!J250</f>
        <v>401.6</v>
      </c>
      <c r="D250" s="200">
        <f>RESID!K250</f>
        <v>382.8</v>
      </c>
      <c r="E250" s="13">
        <f t="shared" si="46"/>
        <v>18.800000000000011</v>
      </c>
      <c r="F250" s="100">
        <f t="shared" si="47"/>
        <v>0</v>
      </c>
      <c r="G250" s="200">
        <f>RESID!M250</f>
        <v>0.1</v>
      </c>
      <c r="H250" s="200">
        <f>RESID!N250</f>
        <v>0.9</v>
      </c>
      <c r="I250" s="200">
        <f t="shared" si="48"/>
        <v>-0.8</v>
      </c>
      <c r="J250" s="100">
        <f t="shared" si="49"/>
        <v>1</v>
      </c>
      <c r="K250" s="171">
        <f t="shared" si="50"/>
        <v>18.000000000000011</v>
      </c>
      <c r="L250" s="100">
        <f t="shared" si="51"/>
        <v>107</v>
      </c>
      <c r="N250" s="447">
        <v>39600</v>
      </c>
      <c r="O250" s="13">
        <f t="shared" si="57"/>
        <v>6</v>
      </c>
      <c r="P250" s="76">
        <f>SUM(RESID!J299:J310)</f>
        <v>3166.7999999999997</v>
      </c>
      <c r="Q250" s="446">
        <f>SUM(RESID!K299:K310)</f>
        <v>2990.8</v>
      </c>
      <c r="R250" s="4">
        <f t="shared" si="58"/>
        <v>175.99999999999955</v>
      </c>
      <c r="S250" s="100">
        <f t="shared" si="52"/>
        <v>112</v>
      </c>
      <c r="T250" s="76">
        <f>SUM(RESID!M299:M310)</f>
        <v>394.6</v>
      </c>
      <c r="U250" s="446">
        <f>SUM(RESID!N299:N310)</f>
        <v>500.5</v>
      </c>
      <c r="V250" s="4">
        <f t="shared" si="59"/>
        <v>-105.89999999999998</v>
      </c>
      <c r="W250" s="100">
        <f t="shared" si="53"/>
        <v>121</v>
      </c>
      <c r="X250" s="6">
        <f t="shared" si="60"/>
        <v>70.099999999999568</v>
      </c>
      <c r="Y250" s="100">
        <f t="shared" si="54"/>
        <v>102</v>
      </c>
    </row>
    <row r="251" spans="1:30">
      <c r="A251" s="13">
        <f t="shared" si="55"/>
        <v>2003</v>
      </c>
      <c r="B251" s="13">
        <f t="shared" si="56"/>
        <v>7</v>
      </c>
      <c r="C251" s="200">
        <f>RESID!J251</f>
        <v>445.6</v>
      </c>
      <c r="D251" s="200">
        <f>RESID!K251</f>
        <v>454.9</v>
      </c>
      <c r="E251" s="13">
        <f t="shared" si="46"/>
        <v>-9.2999999999999545</v>
      </c>
      <c r="F251" s="100">
        <f t="shared" si="47"/>
        <v>1</v>
      </c>
      <c r="G251" s="200">
        <f>RESID!M251</f>
        <v>0</v>
      </c>
      <c r="H251" s="200">
        <f>RESID!N251</f>
        <v>0</v>
      </c>
      <c r="I251" s="200">
        <f t="shared" si="48"/>
        <v>0</v>
      </c>
      <c r="J251" s="100">
        <f t="shared" si="49"/>
        <v>0</v>
      </c>
      <c r="K251" s="171">
        <f t="shared" si="50"/>
        <v>-9.2999999999999545</v>
      </c>
      <c r="L251" s="100">
        <f t="shared" si="51"/>
        <v>108</v>
      </c>
      <c r="N251" s="447">
        <v>39630</v>
      </c>
      <c r="O251" s="13">
        <f t="shared" si="57"/>
        <v>7</v>
      </c>
      <c r="P251" s="76">
        <f>SUM(RESID!J300:J311)</f>
        <v>3140.3999999999996</v>
      </c>
      <c r="Q251" s="446">
        <f>SUM(RESID!K300:K311)</f>
        <v>2990.8</v>
      </c>
      <c r="R251" s="4">
        <f t="shared" si="58"/>
        <v>149.59999999999945</v>
      </c>
      <c r="S251" s="100">
        <f t="shared" si="52"/>
        <v>112</v>
      </c>
      <c r="T251" s="76">
        <f>SUM(RESID!M300:M311)</f>
        <v>394.6</v>
      </c>
      <c r="U251" s="446">
        <f>SUM(RESID!N300:N311)</f>
        <v>500.5</v>
      </c>
      <c r="V251" s="4">
        <f t="shared" si="59"/>
        <v>-105.89999999999998</v>
      </c>
      <c r="W251" s="100">
        <f t="shared" si="53"/>
        <v>122</v>
      </c>
      <c r="X251" s="6">
        <f t="shared" si="60"/>
        <v>43.699999999999477</v>
      </c>
      <c r="Y251" s="100">
        <f t="shared" si="54"/>
        <v>102</v>
      </c>
    </row>
    <row r="252" spans="1:30">
      <c r="A252" s="13">
        <f t="shared" si="55"/>
        <v>2003</v>
      </c>
      <c r="B252" s="13">
        <f t="shared" si="56"/>
        <v>8</v>
      </c>
      <c r="C252" s="200">
        <f>RESID!J252</f>
        <v>436.3</v>
      </c>
      <c r="D252" s="200">
        <f>RESID!K252</f>
        <v>481.4</v>
      </c>
      <c r="E252" s="13">
        <f t="shared" si="46"/>
        <v>-45.099999999999966</v>
      </c>
      <c r="F252" s="100">
        <f t="shared" si="47"/>
        <v>1</v>
      </c>
      <c r="G252" s="200">
        <f>RESID!M252</f>
        <v>0</v>
      </c>
      <c r="H252" s="200">
        <f>RESID!N252</f>
        <v>0</v>
      </c>
      <c r="I252" s="200">
        <f t="shared" si="48"/>
        <v>0</v>
      </c>
      <c r="J252" s="100">
        <f t="shared" si="49"/>
        <v>0</v>
      </c>
      <c r="K252" s="171">
        <f t="shared" si="50"/>
        <v>-45.099999999999966</v>
      </c>
      <c r="L252" s="100">
        <f t="shared" si="51"/>
        <v>109</v>
      </c>
      <c r="N252" s="447">
        <v>39661</v>
      </c>
      <c r="O252" s="13">
        <f t="shared" si="57"/>
        <v>8</v>
      </c>
      <c r="P252" s="76">
        <f>SUM(RESID!J301:J312)</f>
        <v>3095.8999999999996</v>
      </c>
      <c r="Q252" s="446">
        <f>SUM(RESID!K301:K312)</f>
        <v>2990.8</v>
      </c>
      <c r="R252" s="4">
        <f t="shared" si="58"/>
        <v>105.09999999999945</v>
      </c>
      <c r="S252" s="100">
        <f t="shared" si="52"/>
        <v>112</v>
      </c>
      <c r="T252" s="76">
        <f>SUM(RESID!M301:M312)</f>
        <v>394.6</v>
      </c>
      <c r="U252" s="446">
        <f>SUM(RESID!N301:N312)</f>
        <v>500.5</v>
      </c>
      <c r="V252" s="4">
        <f t="shared" si="59"/>
        <v>-105.89999999999998</v>
      </c>
      <c r="W252" s="100">
        <f t="shared" si="53"/>
        <v>123</v>
      </c>
      <c r="X252" s="6">
        <f t="shared" si="60"/>
        <v>-0.80000000000052296</v>
      </c>
      <c r="Y252" s="100">
        <f t="shared" si="54"/>
        <v>103</v>
      </c>
    </row>
    <row r="253" spans="1:30">
      <c r="A253" s="13">
        <f t="shared" si="55"/>
        <v>2003</v>
      </c>
      <c r="B253" s="13">
        <f t="shared" si="56"/>
        <v>9</v>
      </c>
      <c r="C253" s="200">
        <f>RESID!J253</f>
        <v>454.3</v>
      </c>
      <c r="D253" s="200">
        <f>RESID!K253</f>
        <v>473.7</v>
      </c>
      <c r="E253" s="13">
        <f t="shared" si="46"/>
        <v>-19.399999999999977</v>
      </c>
      <c r="F253" s="100">
        <f t="shared" si="47"/>
        <v>1</v>
      </c>
      <c r="G253" s="200">
        <f>RESID!M253</f>
        <v>0</v>
      </c>
      <c r="H253" s="200">
        <f>RESID!N253</f>
        <v>0</v>
      </c>
      <c r="I253" s="200">
        <f t="shared" si="48"/>
        <v>0</v>
      </c>
      <c r="J253" s="100">
        <f t="shared" si="49"/>
        <v>0</v>
      </c>
      <c r="K253" s="171">
        <f t="shared" si="50"/>
        <v>-19.399999999999977</v>
      </c>
      <c r="L253" s="100">
        <f t="shared" si="51"/>
        <v>110</v>
      </c>
      <c r="N253" s="447">
        <v>39692</v>
      </c>
      <c r="O253" s="13">
        <f t="shared" si="57"/>
        <v>9</v>
      </c>
      <c r="P253" s="76">
        <f>SUM(RESID!J302:J313)</f>
        <v>3077.7000000000003</v>
      </c>
      <c r="Q253" s="446">
        <f>SUM(RESID!K302:K313)</f>
        <v>2990.7999999999997</v>
      </c>
      <c r="R253" s="4">
        <f t="shared" si="58"/>
        <v>86.900000000000546</v>
      </c>
      <c r="S253" s="100">
        <f t="shared" si="52"/>
        <v>112</v>
      </c>
      <c r="T253" s="76">
        <f>SUM(RESID!M302:M313)</f>
        <v>394.6</v>
      </c>
      <c r="U253" s="446">
        <f>SUM(RESID!N302:N313)</f>
        <v>500.5</v>
      </c>
      <c r="V253" s="4">
        <f t="shared" si="59"/>
        <v>-105.89999999999998</v>
      </c>
      <c r="W253" s="100">
        <f t="shared" si="53"/>
        <v>124</v>
      </c>
      <c r="X253" s="6">
        <f t="shared" si="60"/>
        <v>-18.999999999999432</v>
      </c>
      <c r="Y253" s="100">
        <f t="shared" si="54"/>
        <v>104</v>
      </c>
    </row>
    <row r="254" spans="1:30">
      <c r="A254" s="13">
        <f t="shared" si="55"/>
        <v>2003</v>
      </c>
      <c r="B254" s="13">
        <f t="shared" si="56"/>
        <v>10</v>
      </c>
      <c r="C254" s="200">
        <f>RESID!J254</f>
        <v>337.8</v>
      </c>
      <c r="D254" s="200">
        <f>RESID!K254</f>
        <v>373.2</v>
      </c>
      <c r="E254" s="13">
        <f t="shared" si="46"/>
        <v>-35.399999999999977</v>
      </c>
      <c r="F254" s="100">
        <f t="shared" si="47"/>
        <v>1</v>
      </c>
      <c r="G254" s="200">
        <f>RESID!M254</f>
        <v>0.8</v>
      </c>
      <c r="H254" s="200">
        <f>RESID!N254</f>
        <v>1.3</v>
      </c>
      <c r="I254" s="200">
        <f t="shared" si="48"/>
        <v>-0.5</v>
      </c>
      <c r="J254" s="100">
        <f t="shared" si="49"/>
        <v>1</v>
      </c>
      <c r="K254" s="171">
        <f t="shared" si="50"/>
        <v>-35.899999999999977</v>
      </c>
      <c r="L254" s="100">
        <f t="shared" si="51"/>
        <v>111</v>
      </c>
      <c r="N254" s="447">
        <v>39722</v>
      </c>
      <c r="O254" s="13">
        <f t="shared" si="57"/>
        <v>10</v>
      </c>
      <c r="P254" s="76">
        <f>SUM(RESID!J303:J314)</f>
        <v>3052.2000000000003</v>
      </c>
      <c r="Q254" s="446">
        <f>SUM(RESID!K303:K314)</f>
        <v>2990.7999999999997</v>
      </c>
      <c r="R254" s="4">
        <f t="shared" si="58"/>
        <v>61.400000000000546</v>
      </c>
      <c r="S254" s="100">
        <f t="shared" si="52"/>
        <v>112</v>
      </c>
      <c r="T254" s="76">
        <f>SUM(RESID!M303:M314)</f>
        <v>395.49999999999994</v>
      </c>
      <c r="U254" s="446">
        <f>SUM(RESID!N303:N314)</f>
        <v>500.5</v>
      </c>
      <c r="V254" s="4">
        <f t="shared" si="59"/>
        <v>-105.00000000000006</v>
      </c>
      <c r="W254" s="100">
        <f t="shared" si="53"/>
        <v>125</v>
      </c>
      <c r="X254" s="6">
        <f t="shared" si="60"/>
        <v>-43.599999999999511</v>
      </c>
      <c r="Y254" s="100">
        <f t="shared" si="54"/>
        <v>105</v>
      </c>
    </row>
    <row r="255" spans="1:30">
      <c r="A255" s="13">
        <f t="shared" si="55"/>
        <v>2003</v>
      </c>
      <c r="B255" s="13">
        <f t="shared" si="56"/>
        <v>11</v>
      </c>
      <c r="C255" s="200">
        <f>RESID!J255</f>
        <v>245.1</v>
      </c>
      <c r="D255" s="200">
        <f>RESID!K255</f>
        <v>204.3</v>
      </c>
      <c r="E255" s="13">
        <f t="shared" si="46"/>
        <v>40.799999999999983</v>
      </c>
      <c r="F255" s="100">
        <f t="shared" si="47"/>
        <v>0</v>
      </c>
      <c r="G255" s="200">
        <f>RESID!M255</f>
        <v>6.7</v>
      </c>
      <c r="H255" s="200">
        <f>RESID!N255</f>
        <v>24.1</v>
      </c>
      <c r="I255" s="200">
        <f t="shared" si="48"/>
        <v>-17.400000000000002</v>
      </c>
      <c r="J255" s="100">
        <f t="shared" si="49"/>
        <v>1</v>
      </c>
      <c r="K255" s="171">
        <f t="shared" si="50"/>
        <v>23.399999999999981</v>
      </c>
      <c r="L255" s="100">
        <f t="shared" si="51"/>
        <v>111</v>
      </c>
      <c r="N255" s="447">
        <v>39753</v>
      </c>
      <c r="O255" s="13">
        <f t="shared" si="57"/>
        <v>11</v>
      </c>
      <c r="P255" s="76">
        <f>SUM(RESID!J304:J315)</f>
        <v>3003.3</v>
      </c>
      <c r="Q255" s="446">
        <f>SUM(RESID!K304:K315)</f>
        <v>2990.7999999999997</v>
      </c>
      <c r="R255" s="4">
        <f t="shared" si="58"/>
        <v>12.500000000000455</v>
      </c>
      <c r="S255" s="100">
        <f t="shared" si="52"/>
        <v>112</v>
      </c>
      <c r="T255" s="76">
        <f>SUM(RESID!M304:M315)</f>
        <v>411.99999999999994</v>
      </c>
      <c r="U255" s="446">
        <f>SUM(RESID!N304:N315)</f>
        <v>500.5</v>
      </c>
      <c r="V255" s="4">
        <f t="shared" si="59"/>
        <v>-88.500000000000057</v>
      </c>
      <c r="W255" s="100">
        <f t="shared" si="53"/>
        <v>126</v>
      </c>
      <c r="X255" s="6">
        <f t="shared" si="60"/>
        <v>-75.999999999999602</v>
      </c>
      <c r="Y255" s="100">
        <f t="shared" si="54"/>
        <v>106</v>
      </c>
      <c r="AC255" s="458" t="s">
        <v>102</v>
      </c>
      <c r="AD255" s="459" t="s">
        <v>22</v>
      </c>
    </row>
    <row r="256" spans="1:30">
      <c r="A256" s="90">
        <f t="shared" si="55"/>
        <v>2003</v>
      </c>
      <c r="B256" s="90">
        <f t="shared" si="56"/>
        <v>12</v>
      </c>
      <c r="C256" s="200">
        <f>RESID!J256</f>
        <v>90.3</v>
      </c>
      <c r="D256" s="200">
        <f>RESID!K256</f>
        <v>88</v>
      </c>
      <c r="E256" s="13">
        <f t="shared" si="46"/>
        <v>2.2999999999999972</v>
      </c>
      <c r="F256" s="100">
        <f t="shared" si="47"/>
        <v>0</v>
      </c>
      <c r="G256" s="200">
        <f>RESID!M256</f>
        <v>104.2</v>
      </c>
      <c r="H256" s="200">
        <f>RESID!N256</f>
        <v>83.9</v>
      </c>
      <c r="I256" s="200">
        <f t="shared" si="48"/>
        <v>20.299999999999997</v>
      </c>
      <c r="J256" s="100">
        <f t="shared" si="49"/>
        <v>0</v>
      </c>
      <c r="K256" s="171">
        <f t="shared" si="50"/>
        <v>22.599999999999994</v>
      </c>
      <c r="L256" s="100">
        <f t="shared" si="51"/>
        <v>111</v>
      </c>
      <c r="M256" s="4"/>
      <c r="N256" s="447">
        <v>39783</v>
      </c>
      <c r="O256" s="13">
        <f t="shared" si="57"/>
        <v>12</v>
      </c>
      <c r="P256" s="76">
        <f>SUM(RESID!J305:J316)</f>
        <v>2951.3</v>
      </c>
      <c r="Q256" s="446">
        <f>SUM(RESID!K305:K316)</f>
        <v>2990.7999999999997</v>
      </c>
      <c r="R256" s="4">
        <f t="shared" si="58"/>
        <v>-39.499999999999545</v>
      </c>
      <c r="S256" s="100">
        <f t="shared" si="52"/>
        <v>113</v>
      </c>
      <c r="T256" s="76">
        <f>SUM(RESID!M305:M316)</f>
        <v>479.69999999999993</v>
      </c>
      <c r="U256" s="446">
        <f>SUM(RESID!N305:N316)</f>
        <v>500.5</v>
      </c>
      <c r="V256" s="4">
        <f t="shared" si="59"/>
        <v>-20.800000000000068</v>
      </c>
      <c r="W256" s="100">
        <f t="shared" si="53"/>
        <v>127</v>
      </c>
      <c r="X256" s="6">
        <f t="shared" si="60"/>
        <v>-60.299999999999613</v>
      </c>
      <c r="Y256" s="100">
        <f t="shared" si="54"/>
        <v>107</v>
      </c>
      <c r="Z256" s="4">
        <v>240</v>
      </c>
      <c r="AA256" s="457">
        <f>Y256/Z256</f>
        <v>0.44583333333333336</v>
      </c>
      <c r="AC256" s="457">
        <f>S256/Z256</f>
        <v>0.47083333333333333</v>
      </c>
      <c r="AD256" s="457">
        <f>W256/Z256</f>
        <v>0.52916666666666667</v>
      </c>
    </row>
    <row r="257" spans="1:27">
      <c r="A257" s="13">
        <f t="shared" si="55"/>
        <v>2004</v>
      </c>
      <c r="B257" s="13">
        <f t="shared" si="56"/>
        <v>1</v>
      </c>
      <c r="C257" s="200">
        <f>RESID!J257</f>
        <v>33.799999999999997</v>
      </c>
      <c r="D257" s="200">
        <f>RESID!K257</f>
        <v>49.5</v>
      </c>
      <c r="E257" s="13">
        <f t="shared" si="46"/>
        <v>-15.700000000000003</v>
      </c>
      <c r="F257" s="100">
        <f t="shared" si="47"/>
        <v>1</v>
      </c>
      <c r="G257" s="200">
        <f>RESID!M257</f>
        <v>165.3</v>
      </c>
      <c r="H257" s="200">
        <f>RESID!N257</f>
        <v>131.6</v>
      </c>
      <c r="I257" s="200">
        <f t="shared" si="48"/>
        <v>33.700000000000017</v>
      </c>
      <c r="J257" s="100">
        <f t="shared" si="49"/>
        <v>0</v>
      </c>
      <c r="K257" s="171">
        <f t="shared" si="50"/>
        <v>18.000000000000014</v>
      </c>
      <c r="L257" s="100">
        <f t="shared" si="51"/>
        <v>111</v>
      </c>
      <c r="M257" s="227"/>
      <c r="N257" s="447">
        <v>39814</v>
      </c>
      <c r="O257" s="13">
        <f t="shared" si="57"/>
        <v>1</v>
      </c>
      <c r="P257" s="76">
        <f>SUM(RESID!J306:J317)</f>
        <v>2934.8</v>
      </c>
      <c r="Q257" s="446">
        <f>SUM(RESID!K306:K317)</f>
        <v>2990.7999999999997</v>
      </c>
      <c r="R257" s="4">
        <f t="shared" si="58"/>
        <v>-55.999999999999545</v>
      </c>
      <c r="S257" s="100">
        <f t="shared" si="52"/>
        <v>114</v>
      </c>
      <c r="T257" s="76">
        <f>SUM(RESID!M306:M317)</f>
        <v>470.5</v>
      </c>
      <c r="U257" s="446">
        <f>SUM(RESID!N306:N317)</f>
        <v>500.5</v>
      </c>
      <c r="V257" s="4">
        <f t="shared" si="59"/>
        <v>-30</v>
      </c>
      <c r="W257" s="100">
        <f t="shared" si="53"/>
        <v>128</v>
      </c>
      <c r="X257" s="6">
        <f t="shared" si="60"/>
        <v>-85.999999999999545</v>
      </c>
      <c r="Y257" s="100">
        <f t="shared" si="54"/>
        <v>108</v>
      </c>
      <c r="Z257" s="227"/>
      <c r="AA257" s="339"/>
    </row>
    <row r="258" spans="1:27">
      <c r="A258" s="13">
        <f t="shared" si="55"/>
        <v>2004</v>
      </c>
      <c r="B258" s="13">
        <f t="shared" si="56"/>
        <v>2</v>
      </c>
      <c r="C258" s="200">
        <f>RESID!J258</f>
        <v>30.6</v>
      </c>
      <c r="D258" s="200">
        <f>RESID!K258</f>
        <v>43.3</v>
      </c>
      <c r="E258" s="13">
        <f t="shared" si="46"/>
        <v>-12.699999999999996</v>
      </c>
      <c r="F258" s="100">
        <f t="shared" si="47"/>
        <v>1</v>
      </c>
      <c r="G258" s="200">
        <f>RESID!M258</f>
        <v>144</v>
      </c>
      <c r="H258" s="200">
        <f>RESID!N258</f>
        <v>127.9</v>
      </c>
      <c r="I258" s="200">
        <f t="shared" si="48"/>
        <v>16.099999999999994</v>
      </c>
      <c r="J258" s="100">
        <f t="shared" si="49"/>
        <v>0</v>
      </c>
      <c r="K258" s="171">
        <f t="shared" si="50"/>
        <v>3.3999999999999986</v>
      </c>
      <c r="L258" s="100">
        <f t="shared" si="51"/>
        <v>111</v>
      </c>
      <c r="M258" s="227"/>
      <c r="N258" s="447">
        <v>39845</v>
      </c>
      <c r="O258" s="13">
        <f t="shared" si="57"/>
        <v>2</v>
      </c>
      <c r="P258" s="76">
        <f>SUM(RESID!J307:J318)</f>
        <v>2911.4</v>
      </c>
      <c r="Q258" s="446">
        <f>SUM(RESID!K307:K318)</f>
        <v>2990.8</v>
      </c>
      <c r="R258" s="4">
        <f t="shared" si="58"/>
        <v>-79.400000000000091</v>
      </c>
      <c r="S258" s="100">
        <f t="shared" si="52"/>
        <v>115</v>
      </c>
      <c r="T258" s="76">
        <f>SUM(RESID!M307:M318)</f>
        <v>568.30000000000007</v>
      </c>
      <c r="U258" s="446">
        <f>SUM(RESID!N307:N318)</f>
        <v>500.5</v>
      </c>
      <c r="V258" s="4">
        <f t="shared" si="59"/>
        <v>67.800000000000068</v>
      </c>
      <c r="W258" s="100">
        <f t="shared" si="53"/>
        <v>128</v>
      </c>
      <c r="X258" s="6">
        <f t="shared" si="60"/>
        <v>-11.600000000000023</v>
      </c>
      <c r="Y258" s="100">
        <f t="shared" si="54"/>
        <v>109</v>
      </c>
      <c r="Z258" s="227"/>
      <c r="AA258" s="339"/>
    </row>
    <row r="259" spans="1:27">
      <c r="A259" s="13">
        <f t="shared" si="55"/>
        <v>2004</v>
      </c>
      <c r="B259" s="13">
        <f t="shared" si="56"/>
        <v>3</v>
      </c>
      <c r="C259" s="200">
        <f>RESID!J259</f>
        <v>66.3</v>
      </c>
      <c r="D259" s="200">
        <f>RESID!K259</f>
        <v>77.2</v>
      </c>
      <c r="E259" s="13">
        <f t="shared" si="46"/>
        <v>-10.900000000000006</v>
      </c>
      <c r="F259" s="100">
        <f t="shared" si="47"/>
        <v>1</v>
      </c>
      <c r="G259" s="200">
        <f>RESID!M259</f>
        <v>90.1</v>
      </c>
      <c r="H259" s="200">
        <f>RESID!N259</f>
        <v>82.3</v>
      </c>
      <c r="I259" s="200">
        <f t="shared" si="48"/>
        <v>7.7999999999999972</v>
      </c>
      <c r="J259" s="100">
        <f t="shared" si="49"/>
        <v>0</v>
      </c>
      <c r="K259" s="171">
        <f t="shared" si="50"/>
        <v>-3.1000000000000085</v>
      </c>
      <c r="L259" s="100">
        <f t="shared" si="51"/>
        <v>112</v>
      </c>
      <c r="M259" s="227"/>
      <c r="N259" s="447">
        <v>39873</v>
      </c>
      <c r="O259" s="13">
        <f t="shared" si="57"/>
        <v>3</v>
      </c>
      <c r="P259" s="76">
        <f>SUM(RESID!J308:J319)</f>
        <v>2893.6</v>
      </c>
      <c r="Q259" s="446">
        <f>SUM(RESID!K308:K319)</f>
        <v>2990.7999999999997</v>
      </c>
      <c r="R259" s="4">
        <f t="shared" si="58"/>
        <v>-97.199999999999818</v>
      </c>
      <c r="S259" s="100">
        <f t="shared" si="52"/>
        <v>116</v>
      </c>
      <c r="T259" s="76">
        <f>SUM(RESID!M308:M319)</f>
        <v>612.1</v>
      </c>
      <c r="U259" s="446">
        <f>SUM(RESID!N308:N319)</f>
        <v>500.49999999999994</v>
      </c>
      <c r="V259" s="4">
        <f t="shared" si="59"/>
        <v>111.60000000000008</v>
      </c>
      <c r="W259" s="100">
        <f t="shared" si="53"/>
        <v>128</v>
      </c>
      <c r="X259" s="6">
        <f t="shared" si="60"/>
        <v>14.400000000000261</v>
      </c>
      <c r="Y259" s="100">
        <f t="shared" si="54"/>
        <v>109</v>
      </c>
      <c r="Z259" s="227"/>
      <c r="AA259" s="339"/>
    </row>
    <row r="260" spans="1:27">
      <c r="A260" s="13">
        <f t="shared" si="55"/>
        <v>2004</v>
      </c>
      <c r="B260" s="13">
        <f t="shared" si="56"/>
        <v>4</v>
      </c>
      <c r="C260" s="200">
        <f>RESID!J260</f>
        <v>100.8</v>
      </c>
      <c r="D260" s="200">
        <f>RESID!K260</f>
        <v>138.1</v>
      </c>
      <c r="E260" s="13">
        <f t="shared" si="46"/>
        <v>-37.299999999999997</v>
      </c>
      <c r="F260" s="100">
        <f t="shared" si="47"/>
        <v>1</v>
      </c>
      <c r="G260" s="200">
        <f>RESID!M260</f>
        <v>41.8</v>
      </c>
      <c r="H260" s="200">
        <f>RESID!N260</f>
        <v>37.299999999999997</v>
      </c>
      <c r="I260" s="200">
        <f t="shared" si="48"/>
        <v>4.5</v>
      </c>
      <c r="J260" s="100">
        <f t="shared" si="49"/>
        <v>0</v>
      </c>
      <c r="K260" s="171">
        <f t="shared" si="50"/>
        <v>-32.799999999999997</v>
      </c>
      <c r="L260" s="100">
        <f t="shared" si="51"/>
        <v>113</v>
      </c>
      <c r="M260" s="227"/>
      <c r="N260" s="447">
        <v>39904</v>
      </c>
      <c r="O260" s="13">
        <f t="shared" si="57"/>
        <v>4</v>
      </c>
      <c r="P260" s="76">
        <f>SUM(RESID!J309:J320)</f>
        <v>2917.7999999999997</v>
      </c>
      <c r="Q260" s="446">
        <f>SUM(RESID!K309:K320)</f>
        <v>2990.8</v>
      </c>
      <c r="R260" s="4">
        <f t="shared" si="58"/>
        <v>-73.000000000000455</v>
      </c>
      <c r="S260" s="100">
        <f t="shared" si="52"/>
        <v>117</v>
      </c>
      <c r="T260" s="76">
        <f>SUM(RESID!M309:M320)</f>
        <v>598.00000000000011</v>
      </c>
      <c r="U260" s="446">
        <f>SUM(RESID!N309:N320)</f>
        <v>500.5</v>
      </c>
      <c r="V260" s="4">
        <f t="shared" si="59"/>
        <v>97.500000000000114</v>
      </c>
      <c r="W260" s="100">
        <f t="shared" si="53"/>
        <v>128</v>
      </c>
      <c r="X260" s="6">
        <f t="shared" si="60"/>
        <v>24.499999999999659</v>
      </c>
      <c r="Y260" s="100">
        <f t="shared" si="54"/>
        <v>109</v>
      </c>
      <c r="Z260" s="227"/>
      <c r="AA260" s="339"/>
    </row>
    <row r="261" spans="1:27">
      <c r="A261" s="13">
        <f t="shared" si="55"/>
        <v>2004</v>
      </c>
      <c r="B261" s="13">
        <f t="shared" si="56"/>
        <v>5</v>
      </c>
      <c r="C261" s="200">
        <f>RESID!J261</f>
        <v>209.9</v>
      </c>
      <c r="D261" s="200">
        <f>RESID!K261</f>
        <v>224.4</v>
      </c>
      <c r="E261" s="13">
        <f t="shared" si="46"/>
        <v>-14.5</v>
      </c>
      <c r="F261" s="100">
        <f t="shared" si="47"/>
        <v>1</v>
      </c>
      <c r="G261" s="200">
        <f>RESID!M261</f>
        <v>14.5</v>
      </c>
      <c r="H261" s="200">
        <f>RESID!N261</f>
        <v>11.2</v>
      </c>
      <c r="I261" s="200">
        <f t="shared" si="48"/>
        <v>3.3000000000000007</v>
      </c>
      <c r="J261" s="100">
        <f t="shared" si="49"/>
        <v>0</v>
      </c>
      <c r="K261" s="171">
        <f t="shared" si="50"/>
        <v>-11.2</v>
      </c>
      <c r="L261" s="100">
        <f t="shared" si="51"/>
        <v>114</v>
      </c>
      <c r="M261" s="227"/>
      <c r="N261" s="447">
        <v>39934</v>
      </c>
      <c r="O261" s="13">
        <f t="shared" si="57"/>
        <v>5</v>
      </c>
      <c r="P261" s="76">
        <f>SUM(RESID!J310:J321)</f>
        <v>2959.1999999999994</v>
      </c>
      <c r="Q261" s="446">
        <f>SUM(RESID!K310:K321)</f>
        <v>2990.8</v>
      </c>
      <c r="R261" s="4">
        <f t="shared" si="58"/>
        <v>-31.600000000000819</v>
      </c>
      <c r="S261" s="100">
        <f t="shared" si="52"/>
        <v>118</v>
      </c>
      <c r="T261" s="76">
        <f>SUM(RESID!M310:M321)</f>
        <v>591.70000000000005</v>
      </c>
      <c r="U261" s="446">
        <f>SUM(RESID!N310:N321)</f>
        <v>500.50000000000006</v>
      </c>
      <c r="V261" s="4">
        <f t="shared" si="59"/>
        <v>91.199999999999989</v>
      </c>
      <c r="W261" s="100">
        <f t="shared" si="53"/>
        <v>128</v>
      </c>
      <c r="X261" s="6">
        <f t="shared" si="60"/>
        <v>59.59999999999917</v>
      </c>
      <c r="Y261" s="100">
        <f t="shared" si="54"/>
        <v>109</v>
      </c>
      <c r="Z261" s="227"/>
      <c r="AA261" s="339"/>
    </row>
    <row r="262" spans="1:27">
      <c r="A262" s="13">
        <f t="shared" si="55"/>
        <v>2004</v>
      </c>
      <c r="B262" s="13">
        <f t="shared" si="56"/>
        <v>6</v>
      </c>
      <c r="C262" s="200">
        <f>RESID!J262</f>
        <v>405.4</v>
      </c>
      <c r="D262" s="200">
        <f>RESID!K262</f>
        <v>382.8</v>
      </c>
      <c r="E262" s="13">
        <f t="shared" si="46"/>
        <v>22.599999999999966</v>
      </c>
      <c r="F262" s="100">
        <f t="shared" si="47"/>
        <v>0</v>
      </c>
      <c r="G262" s="200">
        <f>RESID!M262</f>
        <v>0.4</v>
      </c>
      <c r="H262" s="200">
        <f>RESID!N262</f>
        <v>0.9</v>
      </c>
      <c r="I262" s="200">
        <f t="shared" si="48"/>
        <v>-0.5</v>
      </c>
      <c r="J262" s="100">
        <f t="shared" si="49"/>
        <v>1</v>
      </c>
      <c r="K262" s="171">
        <f t="shared" si="50"/>
        <v>22.099999999999966</v>
      </c>
      <c r="L262" s="100">
        <f t="shared" si="51"/>
        <v>114</v>
      </c>
      <c r="M262" s="227"/>
      <c r="N262" s="447">
        <v>39965</v>
      </c>
      <c r="O262" s="13">
        <f t="shared" si="57"/>
        <v>6</v>
      </c>
      <c r="P262" s="76">
        <f>SUM(RESID!J311:J322)</f>
        <v>2924.8</v>
      </c>
      <c r="Q262" s="446">
        <f>SUM(RESID!K311:K322)</f>
        <v>2990.8</v>
      </c>
      <c r="R262" s="4">
        <f t="shared" si="58"/>
        <v>-66</v>
      </c>
      <c r="S262" s="100">
        <f t="shared" si="52"/>
        <v>119</v>
      </c>
      <c r="T262" s="76">
        <f>SUM(RESID!M311:M322)</f>
        <v>591.1</v>
      </c>
      <c r="U262" s="446">
        <f>SUM(RESID!N311:N322)</f>
        <v>500.5</v>
      </c>
      <c r="V262" s="4">
        <f t="shared" si="59"/>
        <v>90.600000000000023</v>
      </c>
      <c r="W262" s="100">
        <f t="shared" si="53"/>
        <v>128</v>
      </c>
      <c r="X262" s="6">
        <f t="shared" si="60"/>
        <v>24.600000000000023</v>
      </c>
      <c r="Y262" s="100">
        <f t="shared" si="54"/>
        <v>109</v>
      </c>
      <c r="Z262" s="227"/>
      <c r="AA262" s="339"/>
    </row>
    <row r="263" spans="1:27">
      <c r="A263" s="13">
        <f t="shared" si="55"/>
        <v>2004</v>
      </c>
      <c r="B263" s="13">
        <f t="shared" si="56"/>
        <v>7</v>
      </c>
      <c r="C263" s="200">
        <f>RESID!J263</f>
        <v>485.8</v>
      </c>
      <c r="D263" s="200">
        <f>RESID!K263</f>
        <v>454.9</v>
      </c>
      <c r="E263" s="13">
        <f t="shared" si="46"/>
        <v>30.900000000000034</v>
      </c>
      <c r="F263" s="100">
        <f t="shared" si="47"/>
        <v>0</v>
      </c>
      <c r="G263" s="200">
        <f>RESID!M263</f>
        <v>0</v>
      </c>
      <c r="H263" s="200">
        <f>RESID!N263</f>
        <v>0</v>
      </c>
      <c r="I263" s="200">
        <f t="shared" si="48"/>
        <v>0</v>
      </c>
      <c r="J263" s="100">
        <f t="shared" si="49"/>
        <v>0</v>
      </c>
      <c r="K263" s="171">
        <f t="shared" si="50"/>
        <v>30.900000000000034</v>
      </c>
      <c r="L263" s="100">
        <f t="shared" si="51"/>
        <v>114</v>
      </c>
      <c r="M263" s="227"/>
      <c r="N263" s="447">
        <v>39995</v>
      </c>
      <c r="O263" s="13">
        <f t="shared" si="57"/>
        <v>7</v>
      </c>
      <c r="P263" s="76">
        <f>SUM(RESID!J312:J323)</f>
        <v>2968.7999999999997</v>
      </c>
      <c r="Q263" s="446">
        <f>SUM(RESID!K312:K323)</f>
        <v>2990.8</v>
      </c>
      <c r="R263" s="4">
        <f t="shared" si="58"/>
        <v>-22.000000000000455</v>
      </c>
      <c r="S263" s="100">
        <f t="shared" si="52"/>
        <v>120</v>
      </c>
      <c r="T263" s="76">
        <f>SUM(RESID!M312:M323)</f>
        <v>591.1</v>
      </c>
      <c r="U263" s="446">
        <f>SUM(RESID!N312:N323)</f>
        <v>500.5</v>
      </c>
      <c r="V263" s="4">
        <f t="shared" si="59"/>
        <v>90.600000000000023</v>
      </c>
      <c r="W263" s="100">
        <f t="shared" si="53"/>
        <v>128</v>
      </c>
      <c r="X263" s="6">
        <f t="shared" si="60"/>
        <v>68.599999999999568</v>
      </c>
      <c r="Y263" s="100">
        <f t="shared" si="54"/>
        <v>109</v>
      </c>
      <c r="Z263" s="227"/>
      <c r="AA263" s="339"/>
    </row>
    <row r="264" spans="1:27">
      <c r="A264" s="13">
        <f t="shared" si="55"/>
        <v>2004</v>
      </c>
      <c r="B264" s="13">
        <f t="shared" si="56"/>
        <v>8</v>
      </c>
      <c r="C264" s="200">
        <f>RESID!J264</f>
        <v>454.2</v>
      </c>
      <c r="D264" s="200">
        <f>RESID!K264</f>
        <v>481.4</v>
      </c>
      <c r="E264" s="13">
        <f t="shared" si="46"/>
        <v>-27.199999999999989</v>
      </c>
      <c r="F264" s="100">
        <f t="shared" si="47"/>
        <v>1</v>
      </c>
      <c r="G264" s="200">
        <f>RESID!M264</f>
        <v>0</v>
      </c>
      <c r="H264" s="200">
        <f>RESID!N264</f>
        <v>0</v>
      </c>
      <c r="I264" s="200">
        <f t="shared" si="48"/>
        <v>0</v>
      </c>
      <c r="J264" s="100">
        <f t="shared" si="49"/>
        <v>0</v>
      </c>
      <c r="K264" s="171">
        <f t="shared" si="50"/>
        <v>-27.199999999999989</v>
      </c>
      <c r="L264" s="100">
        <f t="shared" si="51"/>
        <v>115</v>
      </c>
      <c r="M264" s="227"/>
      <c r="N264" s="447">
        <v>40026</v>
      </c>
      <c r="O264" s="13">
        <f t="shared" si="57"/>
        <v>8</v>
      </c>
      <c r="P264" s="76">
        <f>SUM(RESID!J313:J324)</f>
        <v>2974.6</v>
      </c>
      <c r="Q264" s="446">
        <f>SUM(RESID!K313:K324)</f>
        <v>2990.8</v>
      </c>
      <c r="R264" s="4">
        <f t="shared" si="58"/>
        <v>-16.200000000000273</v>
      </c>
      <c r="S264" s="100">
        <f t="shared" si="52"/>
        <v>121</v>
      </c>
      <c r="T264" s="76">
        <f>SUM(RESID!M313:M324)</f>
        <v>591.1</v>
      </c>
      <c r="U264" s="446">
        <f>SUM(RESID!N313:N324)</f>
        <v>500.5</v>
      </c>
      <c r="V264" s="4">
        <f t="shared" si="59"/>
        <v>90.600000000000023</v>
      </c>
      <c r="W264" s="100">
        <f t="shared" si="53"/>
        <v>128</v>
      </c>
      <c r="X264" s="6">
        <f t="shared" si="60"/>
        <v>74.39999999999975</v>
      </c>
      <c r="Y264" s="100">
        <f t="shared" si="54"/>
        <v>109</v>
      </c>
      <c r="Z264" s="227"/>
      <c r="AA264" s="339"/>
    </row>
    <row r="265" spans="1:27">
      <c r="A265" s="13">
        <f t="shared" si="55"/>
        <v>2004</v>
      </c>
      <c r="B265" s="13">
        <f t="shared" si="56"/>
        <v>9</v>
      </c>
      <c r="C265" s="200">
        <f>RESID!J265</f>
        <v>459.4</v>
      </c>
      <c r="D265" s="200">
        <f>RESID!K265</f>
        <v>473.7</v>
      </c>
      <c r="E265" s="13">
        <f t="shared" si="46"/>
        <v>-14.300000000000011</v>
      </c>
      <c r="F265" s="100">
        <f t="shared" si="47"/>
        <v>1</v>
      </c>
      <c r="G265" s="200">
        <f>RESID!M265</f>
        <v>0</v>
      </c>
      <c r="H265" s="200">
        <f>RESID!N265</f>
        <v>0</v>
      </c>
      <c r="I265" s="200">
        <f t="shared" si="48"/>
        <v>0</v>
      </c>
      <c r="J265" s="100">
        <f t="shared" si="49"/>
        <v>0</v>
      </c>
      <c r="K265" s="171">
        <f t="shared" si="50"/>
        <v>-14.300000000000011</v>
      </c>
      <c r="L265" s="100">
        <f t="shared" si="51"/>
        <v>116</v>
      </c>
      <c r="M265" s="227"/>
      <c r="N265" s="447">
        <v>40057</v>
      </c>
      <c r="O265" s="13">
        <f t="shared" si="57"/>
        <v>9</v>
      </c>
      <c r="P265" s="76">
        <f>SUM(RESID!J314:J325)</f>
        <v>2946.8999999999996</v>
      </c>
      <c r="Q265" s="446">
        <f>SUM(RESID!K314:K325)</f>
        <v>2990.7999999999997</v>
      </c>
      <c r="R265" s="4">
        <f t="shared" si="58"/>
        <v>-43.900000000000091</v>
      </c>
      <c r="S265" s="100">
        <f t="shared" si="52"/>
        <v>122</v>
      </c>
      <c r="T265" s="76">
        <f>SUM(RESID!M314:M325)</f>
        <v>591.1</v>
      </c>
      <c r="U265" s="446">
        <f>SUM(RESID!N314:N325)</f>
        <v>500.5</v>
      </c>
      <c r="V265" s="4">
        <f t="shared" si="59"/>
        <v>90.600000000000023</v>
      </c>
      <c r="W265" s="100">
        <f t="shared" si="53"/>
        <v>128</v>
      </c>
      <c r="X265" s="6">
        <f t="shared" si="60"/>
        <v>46.699999999999932</v>
      </c>
      <c r="Y265" s="100">
        <f t="shared" si="54"/>
        <v>109</v>
      </c>
      <c r="Z265" s="227"/>
      <c r="AA265" s="339"/>
    </row>
    <row r="266" spans="1:27">
      <c r="A266" s="13">
        <f t="shared" si="55"/>
        <v>2004</v>
      </c>
      <c r="B266" s="13">
        <f t="shared" si="56"/>
        <v>10</v>
      </c>
      <c r="C266" s="200">
        <f>RESID!J266</f>
        <v>376.6</v>
      </c>
      <c r="D266" s="200">
        <f>RESID!K266</f>
        <v>373.2</v>
      </c>
      <c r="E266" s="13">
        <f t="shared" si="46"/>
        <v>3.4000000000000341</v>
      </c>
      <c r="F266" s="100">
        <f t="shared" si="47"/>
        <v>0</v>
      </c>
      <c r="G266" s="200">
        <f>RESID!M266</f>
        <v>1</v>
      </c>
      <c r="H266" s="200">
        <f>RESID!N266</f>
        <v>1.3</v>
      </c>
      <c r="I266" s="200">
        <f t="shared" si="48"/>
        <v>-0.30000000000000004</v>
      </c>
      <c r="J266" s="100">
        <f t="shared" si="49"/>
        <v>1</v>
      </c>
      <c r="K266" s="171">
        <f t="shared" si="50"/>
        <v>3.1000000000000343</v>
      </c>
      <c r="L266" s="100">
        <f t="shared" si="51"/>
        <v>116</v>
      </c>
      <c r="M266" s="227"/>
      <c r="N266" s="447">
        <v>40087</v>
      </c>
      <c r="O266" s="13">
        <f t="shared" si="57"/>
        <v>10</v>
      </c>
      <c r="P266" s="76">
        <f>SUM(RESID!J315:J326)</f>
        <v>2993.1999999999994</v>
      </c>
      <c r="Q266" s="446">
        <f>SUM(RESID!K315:K326)</f>
        <v>2990.7999999999997</v>
      </c>
      <c r="R266" s="4">
        <f t="shared" si="58"/>
        <v>2.3999999999996362</v>
      </c>
      <c r="S266" s="100">
        <f t="shared" si="52"/>
        <v>122</v>
      </c>
      <c r="T266" s="76">
        <f>SUM(RESID!M315:M326)</f>
        <v>592.5</v>
      </c>
      <c r="U266" s="446">
        <f>SUM(RESID!N315:N326)</f>
        <v>500.5</v>
      </c>
      <c r="V266" s="4">
        <f t="shared" si="59"/>
        <v>92</v>
      </c>
      <c r="W266" s="100">
        <f t="shared" si="53"/>
        <v>128</v>
      </c>
      <c r="X266" s="6">
        <f t="shared" si="60"/>
        <v>94.399999999999636</v>
      </c>
      <c r="Y266" s="100">
        <f t="shared" si="54"/>
        <v>109</v>
      </c>
      <c r="Z266" s="227"/>
      <c r="AA266" s="339"/>
    </row>
    <row r="267" spans="1:27">
      <c r="A267" s="13">
        <f t="shared" si="55"/>
        <v>2004</v>
      </c>
      <c r="B267" s="13">
        <f t="shared" si="56"/>
        <v>11</v>
      </c>
      <c r="C267" s="200">
        <f>RESID!J267</f>
        <v>229.6</v>
      </c>
      <c r="D267" s="200">
        <f>RESID!K267</f>
        <v>204.3</v>
      </c>
      <c r="E267" s="13">
        <f t="shared" si="46"/>
        <v>25.299999999999983</v>
      </c>
      <c r="F267" s="100">
        <f t="shared" si="47"/>
        <v>0</v>
      </c>
      <c r="G267" s="200">
        <f>RESID!M267</f>
        <v>7.3</v>
      </c>
      <c r="H267" s="200">
        <f>RESID!N267</f>
        <v>24.1</v>
      </c>
      <c r="I267" s="200">
        <f t="shared" si="48"/>
        <v>-16.8</v>
      </c>
      <c r="J267" s="100">
        <f t="shared" si="49"/>
        <v>1</v>
      </c>
      <c r="K267" s="171">
        <f t="shared" si="50"/>
        <v>8.4999999999999822</v>
      </c>
      <c r="L267" s="100">
        <f t="shared" si="51"/>
        <v>116</v>
      </c>
      <c r="M267" s="227"/>
      <c r="N267" s="447">
        <v>40118</v>
      </c>
      <c r="O267" s="13">
        <f t="shared" si="57"/>
        <v>11</v>
      </c>
      <c r="P267" s="76">
        <f>SUM(RESID!J316:J327)</f>
        <v>3078.6</v>
      </c>
      <c r="Q267" s="446">
        <f>SUM(RESID!K316:K327)</f>
        <v>2990.7999999999997</v>
      </c>
      <c r="R267" s="4">
        <f t="shared" si="58"/>
        <v>87.800000000000182</v>
      </c>
      <c r="S267" s="100">
        <f t="shared" si="52"/>
        <v>122</v>
      </c>
      <c r="T267" s="76">
        <f>SUM(RESID!M316:M327)</f>
        <v>569.6</v>
      </c>
      <c r="U267" s="446">
        <f>SUM(RESID!N316:N327)</f>
        <v>500.5</v>
      </c>
      <c r="V267" s="4">
        <f t="shared" si="59"/>
        <v>69.100000000000023</v>
      </c>
      <c r="W267" s="100">
        <f t="shared" si="53"/>
        <v>128</v>
      </c>
      <c r="X267" s="6">
        <f t="shared" si="60"/>
        <v>156.9000000000002</v>
      </c>
      <c r="Y267" s="100">
        <f t="shared" si="54"/>
        <v>109</v>
      </c>
      <c r="Z267" s="227"/>
      <c r="AA267" s="339"/>
    </row>
    <row r="268" spans="1:27">
      <c r="A268" s="90">
        <f t="shared" si="55"/>
        <v>2004</v>
      </c>
      <c r="B268" s="90">
        <f t="shared" si="56"/>
        <v>12</v>
      </c>
      <c r="C268" s="200">
        <f>RESID!J268</f>
        <v>105.1</v>
      </c>
      <c r="D268" s="200">
        <f>RESID!K268</f>
        <v>88</v>
      </c>
      <c r="E268" s="13">
        <f t="shared" si="46"/>
        <v>17.099999999999994</v>
      </c>
      <c r="F268" s="100">
        <f t="shared" si="47"/>
        <v>0</v>
      </c>
      <c r="G268" s="200">
        <f>RESID!M268</f>
        <v>64</v>
      </c>
      <c r="H268" s="200">
        <f>RESID!N268</f>
        <v>83.9</v>
      </c>
      <c r="I268" s="200">
        <f t="shared" si="48"/>
        <v>-19.900000000000006</v>
      </c>
      <c r="J268" s="100">
        <f t="shared" si="49"/>
        <v>1</v>
      </c>
      <c r="K268" s="171">
        <f t="shared" si="50"/>
        <v>-2.8000000000000114</v>
      </c>
      <c r="L268" s="100">
        <f t="shared" si="51"/>
        <v>117</v>
      </c>
      <c r="M268" s="227"/>
      <c r="N268" s="447">
        <v>40148</v>
      </c>
      <c r="O268" s="13">
        <f t="shared" si="57"/>
        <v>12</v>
      </c>
      <c r="P268" s="76">
        <f>SUM(RESID!J317:J328)</f>
        <v>3130.1</v>
      </c>
      <c r="Q268" s="446">
        <f>SUM(RESID!K317:K328)</f>
        <v>2990.7999999999997</v>
      </c>
      <c r="R268" s="4">
        <f t="shared" si="58"/>
        <v>139.30000000000018</v>
      </c>
      <c r="S268" s="100">
        <f t="shared" si="52"/>
        <v>122</v>
      </c>
      <c r="T268" s="76">
        <f>SUM(RESID!M317:M328)</f>
        <v>503.80000000000007</v>
      </c>
      <c r="U268" s="446">
        <f>SUM(RESID!N317:N328)</f>
        <v>500.5</v>
      </c>
      <c r="V268" s="4">
        <f t="shared" si="59"/>
        <v>3.3000000000000682</v>
      </c>
      <c r="W268" s="100">
        <f t="shared" si="53"/>
        <v>128</v>
      </c>
      <c r="X268" s="6">
        <f t="shared" si="60"/>
        <v>142.60000000000025</v>
      </c>
      <c r="Y268" s="100">
        <f t="shared" si="54"/>
        <v>109</v>
      </c>
      <c r="Z268" s="227"/>
      <c r="AA268" s="339"/>
    </row>
    <row r="269" spans="1:27">
      <c r="A269" s="13">
        <f t="shared" si="55"/>
        <v>2005</v>
      </c>
      <c r="B269" s="13">
        <f t="shared" si="56"/>
        <v>1</v>
      </c>
      <c r="C269" s="200">
        <f>RESID!J269</f>
        <v>48.6</v>
      </c>
      <c r="D269" s="200">
        <f>RESID!K269</f>
        <v>49.5</v>
      </c>
      <c r="E269" s="13">
        <f t="shared" si="46"/>
        <v>-0.89999999999999858</v>
      </c>
      <c r="F269" s="100">
        <f t="shared" si="47"/>
        <v>1</v>
      </c>
      <c r="G269" s="200">
        <f>RESID!M269</f>
        <v>144.80000000000001</v>
      </c>
      <c r="H269" s="200">
        <f>RESID!N269</f>
        <v>131.6</v>
      </c>
      <c r="I269" s="200">
        <f t="shared" si="48"/>
        <v>13.200000000000017</v>
      </c>
      <c r="J269" s="100">
        <f t="shared" si="49"/>
        <v>0</v>
      </c>
      <c r="K269" s="171">
        <f t="shared" si="50"/>
        <v>12.300000000000018</v>
      </c>
      <c r="L269" s="100">
        <f t="shared" si="51"/>
        <v>117</v>
      </c>
      <c r="M269" s="227"/>
      <c r="N269" s="447">
        <v>40179</v>
      </c>
      <c r="O269" s="13">
        <f t="shared" si="57"/>
        <v>1</v>
      </c>
      <c r="P269" s="76">
        <f>SUM(RESID!J318:J329)</f>
        <v>3099.8</v>
      </c>
      <c r="Q269" s="446">
        <f>SUM(RESID!K318:K329)</f>
        <v>2990.7999999999997</v>
      </c>
      <c r="R269" s="4">
        <f t="shared" si="58"/>
        <v>109.00000000000045</v>
      </c>
      <c r="S269" s="100">
        <f t="shared" si="52"/>
        <v>122</v>
      </c>
      <c r="T269" s="76">
        <f>SUM(RESID!M318:M329)</f>
        <v>669.7</v>
      </c>
      <c r="U269" s="446">
        <f>SUM(RESID!N318:N329)</f>
        <v>500.5</v>
      </c>
      <c r="V269" s="4">
        <f t="shared" si="59"/>
        <v>169.20000000000005</v>
      </c>
      <c r="W269" s="100">
        <f t="shared" si="53"/>
        <v>128</v>
      </c>
      <c r="X269" s="6">
        <f t="shared" si="60"/>
        <v>278.2000000000005</v>
      </c>
      <c r="Y269" s="100">
        <f t="shared" si="54"/>
        <v>109</v>
      </c>
      <c r="Z269" s="227"/>
      <c r="AA269" s="339"/>
    </row>
    <row r="270" spans="1:27">
      <c r="A270" s="13">
        <f t="shared" si="55"/>
        <v>2005</v>
      </c>
      <c r="B270" s="13">
        <f t="shared" si="56"/>
        <v>2</v>
      </c>
      <c r="C270" s="200">
        <f>RESID!J270</f>
        <v>33.9</v>
      </c>
      <c r="D270" s="200">
        <f>RESID!K270</f>
        <v>43.3</v>
      </c>
      <c r="E270" s="13">
        <f t="shared" si="46"/>
        <v>-9.3999999999999986</v>
      </c>
      <c r="F270" s="100">
        <f t="shared" si="47"/>
        <v>1</v>
      </c>
      <c r="G270" s="200">
        <f>RESID!M270</f>
        <v>137.9</v>
      </c>
      <c r="H270" s="200">
        <f>RESID!N270</f>
        <v>127.9</v>
      </c>
      <c r="I270" s="200">
        <f t="shared" si="48"/>
        <v>10</v>
      </c>
      <c r="J270" s="100">
        <f t="shared" si="49"/>
        <v>0</v>
      </c>
      <c r="K270" s="171">
        <f t="shared" si="50"/>
        <v>0.60000000000000142</v>
      </c>
      <c r="L270" s="100">
        <f t="shared" si="51"/>
        <v>117</v>
      </c>
      <c r="M270" s="227"/>
      <c r="N270" s="447">
        <v>40210</v>
      </c>
      <c r="O270" s="13">
        <f t="shared" si="57"/>
        <v>2</v>
      </c>
      <c r="P270" s="76">
        <f>SUM(RESID!J319:J330)</f>
        <v>3088.7</v>
      </c>
      <c r="Q270" s="446">
        <f>SUM(RESID!K319:K330)</f>
        <v>2990.8</v>
      </c>
      <c r="R270" s="4">
        <f t="shared" si="58"/>
        <v>97.899999999999636</v>
      </c>
      <c r="S270" s="100">
        <f t="shared" si="52"/>
        <v>122</v>
      </c>
      <c r="T270" s="76">
        <f>SUM(RESID!M319:M330)</f>
        <v>692.7</v>
      </c>
      <c r="U270" s="446">
        <f>SUM(RESID!N319:N330)</f>
        <v>500.5</v>
      </c>
      <c r="V270" s="4">
        <f t="shared" si="59"/>
        <v>192.20000000000005</v>
      </c>
      <c r="W270" s="100">
        <f t="shared" si="53"/>
        <v>128</v>
      </c>
      <c r="X270" s="6">
        <f t="shared" si="60"/>
        <v>290.09999999999968</v>
      </c>
      <c r="Y270" s="100">
        <f t="shared" si="54"/>
        <v>109</v>
      </c>
      <c r="Z270" s="227"/>
      <c r="AA270" s="339"/>
    </row>
    <row r="271" spans="1:27">
      <c r="A271" s="13">
        <f t="shared" si="55"/>
        <v>2005</v>
      </c>
      <c r="B271" s="13">
        <f t="shared" si="56"/>
        <v>3</v>
      </c>
      <c r="C271" s="200">
        <f>RESID!J271</f>
        <v>49.5</v>
      </c>
      <c r="D271" s="200">
        <f>RESID!K271</f>
        <v>77.2</v>
      </c>
      <c r="E271" s="13">
        <f t="shared" si="46"/>
        <v>-27.700000000000003</v>
      </c>
      <c r="F271" s="100">
        <f t="shared" si="47"/>
        <v>1</v>
      </c>
      <c r="G271" s="200">
        <f>RESID!M271</f>
        <v>95.8</v>
      </c>
      <c r="H271" s="200">
        <f>RESID!N271</f>
        <v>82.3</v>
      </c>
      <c r="I271" s="200">
        <f t="shared" si="48"/>
        <v>13.5</v>
      </c>
      <c r="J271" s="100">
        <f t="shared" si="49"/>
        <v>0</v>
      </c>
      <c r="K271" s="171">
        <f t="shared" si="50"/>
        <v>-14.200000000000003</v>
      </c>
      <c r="L271" s="100">
        <f t="shared" si="51"/>
        <v>118</v>
      </c>
      <c r="M271" s="227"/>
      <c r="N271" s="447">
        <v>40238</v>
      </c>
      <c r="O271" s="13">
        <f t="shared" si="57"/>
        <v>3</v>
      </c>
      <c r="P271" s="76">
        <f>SUM(RESID!J320:J331)</f>
        <v>3039.6</v>
      </c>
      <c r="Q271" s="446">
        <f>SUM(RESID!K320:K331)</f>
        <v>2990.7999999999997</v>
      </c>
      <c r="R271" s="4">
        <f t="shared" si="58"/>
        <v>48.800000000000182</v>
      </c>
      <c r="S271" s="100">
        <f t="shared" si="52"/>
        <v>122</v>
      </c>
      <c r="T271" s="76">
        <f>SUM(RESID!M320:M331)</f>
        <v>809.9</v>
      </c>
      <c r="U271" s="446">
        <f>SUM(RESID!N320:N331)</f>
        <v>500.49999999999994</v>
      </c>
      <c r="V271" s="4">
        <f t="shared" si="59"/>
        <v>309.40000000000003</v>
      </c>
      <c r="W271" s="100">
        <f t="shared" si="53"/>
        <v>128</v>
      </c>
      <c r="X271" s="6">
        <f t="shared" si="60"/>
        <v>358.20000000000022</v>
      </c>
      <c r="Y271" s="100">
        <f t="shared" si="54"/>
        <v>109</v>
      </c>
      <c r="Z271" s="227"/>
      <c r="AA271" s="339"/>
    </row>
    <row r="272" spans="1:27">
      <c r="A272" s="13">
        <f t="shared" si="55"/>
        <v>2005</v>
      </c>
      <c r="B272" s="13">
        <f t="shared" si="56"/>
        <v>4</v>
      </c>
      <c r="C272" s="200">
        <f>RESID!J272</f>
        <v>121.7</v>
      </c>
      <c r="D272" s="200">
        <f>RESID!K272</f>
        <v>138.1</v>
      </c>
      <c r="E272" s="13">
        <f t="shared" si="46"/>
        <v>-16.399999999999991</v>
      </c>
      <c r="F272" s="100">
        <f t="shared" si="47"/>
        <v>1</v>
      </c>
      <c r="G272" s="200">
        <f>RESID!M272</f>
        <v>45.5</v>
      </c>
      <c r="H272" s="200">
        <f>RESID!N272</f>
        <v>37.299999999999997</v>
      </c>
      <c r="I272" s="200">
        <f t="shared" si="48"/>
        <v>8.2000000000000028</v>
      </c>
      <c r="J272" s="100">
        <f t="shared" si="49"/>
        <v>0</v>
      </c>
      <c r="K272" s="171">
        <f t="shared" si="50"/>
        <v>-8.1999999999999886</v>
      </c>
      <c r="L272" s="100">
        <f t="shared" si="51"/>
        <v>119</v>
      </c>
      <c r="M272" s="227"/>
      <c r="N272" s="447">
        <v>40269</v>
      </c>
      <c r="O272" s="13">
        <f t="shared" si="57"/>
        <v>4</v>
      </c>
      <c r="P272" s="76">
        <f>SUM(RESID!J321:J332)</f>
        <v>2957.8</v>
      </c>
      <c r="Q272" s="446">
        <f>SUM(RESID!K321:K332)</f>
        <v>2990.8</v>
      </c>
      <c r="R272" s="4">
        <f t="shared" si="58"/>
        <v>-33</v>
      </c>
      <c r="S272" s="100">
        <f t="shared" si="52"/>
        <v>123</v>
      </c>
      <c r="T272" s="76">
        <f>SUM(RESID!M321:M332)</f>
        <v>846.1</v>
      </c>
      <c r="U272" s="446">
        <f>SUM(RESID!N321:N332)</f>
        <v>500.5</v>
      </c>
      <c r="V272" s="4">
        <f t="shared" si="59"/>
        <v>345.6</v>
      </c>
      <c r="W272" s="100">
        <f t="shared" si="53"/>
        <v>128</v>
      </c>
      <c r="X272" s="6">
        <f t="shared" si="60"/>
        <v>312.60000000000002</v>
      </c>
      <c r="Y272" s="100">
        <f t="shared" si="54"/>
        <v>109</v>
      </c>
      <c r="Z272" s="227"/>
      <c r="AA272" s="339"/>
    </row>
    <row r="273" spans="1:30">
      <c r="A273" s="13">
        <f t="shared" si="55"/>
        <v>2005</v>
      </c>
      <c r="B273" s="13">
        <f t="shared" si="56"/>
        <v>5</v>
      </c>
      <c r="C273" s="200">
        <f>RESID!J273</f>
        <v>156.6</v>
      </c>
      <c r="D273" s="200">
        <f>RESID!K273</f>
        <v>224.4</v>
      </c>
      <c r="E273" s="13">
        <f t="shared" si="46"/>
        <v>-67.800000000000011</v>
      </c>
      <c r="F273" s="100">
        <f t="shared" si="47"/>
        <v>1</v>
      </c>
      <c r="G273" s="200">
        <f>RESID!M273</f>
        <v>18.899999999999999</v>
      </c>
      <c r="H273" s="200">
        <f>RESID!N273</f>
        <v>11.2</v>
      </c>
      <c r="I273" s="200">
        <f t="shared" si="48"/>
        <v>7.6999999999999993</v>
      </c>
      <c r="J273" s="100">
        <f t="shared" si="49"/>
        <v>0</v>
      </c>
      <c r="K273" s="171">
        <f t="shared" si="50"/>
        <v>-60.100000000000009</v>
      </c>
      <c r="L273" s="100">
        <f t="shared" si="51"/>
        <v>120</v>
      </c>
      <c r="M273" s="227"/>
      <c r="N273" s="447">
        <v>40299</v>
      </c>
      <c r="O273" s="13">
        <f t="shared" si="57"/>
        <v>5</v>
      </c>
      <c r="P273" s="76">
        <f>SUM(RESID!J322:J333)</f>
        <v>2947.6000000000004</v>
      </c>
      <c r="Q273" s="446">
        <f>SUM(RESID!K322:K333)</f>
        <v>2990.8</v>
      </c>
      <c r="R273" s="4">
        <f t="shared" si="58"/>
        <v>-43.199999999999818</v>
      </c>
      <c r="S273" s="100">
        <f t="shared" si="52"/>
        <v>124</v>
      </c>
      <c r="T273" s="76">
        <f>SUM(RESID!M322:M333)</f>
        <v>843.1</v>
      </c>
      <c r="U273" s="446">
        <f>SUM(RESID!N322:N333)</f>
        <v>500.50000000000006</v>
      </c>
      <c r="V273" s="4">
        <f t="shared" si="59"/>
        <v>342.59999999999997</v>
      </c>
      <c r="W273" s="100">
        <f t="shared" si="53"/>
        <v>128</v>
      </c>
      <c r="X273" s="6">
        <f t="shared" si="60"/>
        <v>299.40000000000015</v>
      </c>
      <c r="Y273" s="100">
        <f t="shared" si="54"/>
        <v>109</v>
      </c>
      <c r="Z273" s="227"/>
      <c r="AA273" s="339"/>
    </row>
    <row r="274" spans="1:30">
      <c r="A274" s="13">
        <f t="shared" si="55"/>
        <v>2005</v>
      </c>
      <c r="B274" s="13">
        <f t="shared" si="56"/>
        <v>6</v>
      </c>
      <c r="C274" s="200">
        <f>RESID!J274</f>
        <v>343.7</v>
      </c>
      <c r="D274" s="200">
        <f>RESID!K274</f>
        <v>382.8</v>
      </c>
      <c r="E274" s="13">
        <f t="shared" ref="E274:E337" si="61">C274-D274</f>
        <v>-39.100000000000023</v>
      </c>
      <c r="F274" s="100">
        <f t="shared" ref="F274:F337" si="62">IF(E274&lt;0,1,0)</f>
        <v>1</v>
      </c>
      <c r="G274" s="200">
        <f>RESID!M274</f>
        <v>0.9</v>
      </c>
      <c r="H274" s="200">
        <f>RESID!N274</f>
        <v>0.9</v>
      </c>
      <c r="I274" s="200">
        <f t="shared" ref="I274:I337" si="63">G274-H274</f>
        <v>0</v>
      </c>
      <c r="J274" s="100">
        <f t="shared" ref="J274:J337" si="64">IF(I274&lt;0,1,0)</f>
        <v>0</v>
      </c>
      <c r="K274" s="171">
        <f t="shared" ref="K274:K337" si="65">E274+I274</f>
        <v>-39.100000000000023</v>
      </c>
      <c r="L274" s="100">
        <f t="shared" ref="L274:L337" si="66">IF(K274&lt;0,1+L273,L273)</f>
        <v>121</v>
      </c>
      <c r="M274" s="227"/>
      <c r="N274" s="447">
        <v>40330</v>
      </c>
      <c r="O274" s="13">
        <f t="shared" si="57"/>
        <v>6</v>
      </c>
      <c r="P274" s="76">
        <f>SUM(RESID!J323:J334)</f>
        <v>3010.9</v>
      </c>
      <c r="Q274" s="446">
        <f>SUM(RESID!K323:K334)</f>
        <v>2990.8</v>
      </c>
      <c r="R274" s="4">
        <f t="shared" si="58"/>
        <v>20.099999999999909</v>
      </c>
      <c r="S274" s="100">
        <f t="shared" si="52"/>
        <v>124</v>
      </c>
      <c r="T274" s="76">
        <f>SUM(RESID!M323:M334)</f>
        <v>843.00000000000011</v>
      </c>
      <c r="U274" s="446">
        <f>SUM(RESID!N323:N334)</f>
        <v>500.5</v>
      </c>
      <c r="V274" s="4">
        <f t="shared" si="59"/>
        <v>342.50000000000011</v>
      </c>
      <c r="W274" s="100">
        <f t="shared" si="53"/>
        <v>128</v>
      </c>
      <c r="X274" s="6">
        <f t="shared" si="60"/>
        <v>362.6</v>
      </c>
      <c r="Y274" s="100">
        <f t="shared" si="54"/>
        <v>109</v>
      </c>
      <c r="Z274" s="227"/>
      <c r="AA274" s="339"/>
    </row>
    <row r="275" spans="1:30">
      <c r="A275" s="13">
        <f t="shared" si="55"/>
        <v>2005</v>
      </c>
      <c r="B275" s="13">
        <f t="shared" si="56"/>
        <v>7</v>
      </c>
      <c r="C275" s="200">
        <f>RESID!J275</f>
        <v>461.6</v>
      </c>
      <c r="D275" s="200">
        <f>RESID!K275</f>
        <v>454.9</v>
      </c>
      <c r="E275" s="13">
        <f t="shared" si="61"/>
        <v>6.7000000000000455</v>
      </c>
      <c r="F275" s="100">
        <f t="shared" si="62"/>
        <v>0</v>
      </c>
      <c r="G275" s="200">
        <f>RESID!M275</f>
        <v>0</v>
      </c>
      <c r="H275" s="200">
        <f>RESID!N275</f>
        <v>0</v>
      </c>
      <c r="I275" s="200">
        <f t="shared" si="63"/>
        <v>0</v>
      </c>
      <c r="J275" s="100">
        <f t="shared" si="64"/>
        <v>0</v>
      </c>
      <c r="K275" s="171">
        <f t="shared" si="65"/>
        <v>6.7000000000000455</v>
      </c>
      <c r="L275" s="100">
        <f t="shared" si="66"/>
        <v>121</v>
      </c>
      <c r="M275" s="227"/>
      <c r="N275" s="447">
        <v>40360</v>
      </c>
      <c r="O275" s="13">
        <f t="shared" si="57"/>
        <v>7</v>
      </c>
      <c r="P275" s="76">
        <f>SUM(RESID!J324:J335)</f>
        <v>3044.4999999999995</v>
      </c>
      <c r="Q275" s="446">
        <f>SUM(RESID!K324:K335)</f>
        <v>2990.8</v>
      </c>
      <c r="R275" s="4">
        <f t="shared" si="58"/>
        <v>53.699999999999363</v>
      </c>
      <c r="S275" s="100">
        <f t="shared" ref="S275:S289" si="67">IF(R275&lt;0,1+S274,S274)</f>
        <v>124</v>
      </c>
      <c r="T275" s="76">
        <f>SUM(RESID!M324:M335)</f>
        <v>843.00000000000011</v>
      </c>
      <c r="U275" s="446">
        <f>SUM(RESID!N324:N335)</f>
        <v>500.5</v>
      </c>
      <c r="V275" s="4">
        <f t="shared" si="59"/>
        <v>342.50000000000011</v>
      </c>
      <c r="W275" s="100">
        <f t="shared" si="53"/>
        <v>128</v>
      </c>
      <c r="X275" s="6">
        <f t="shared" si="60"/>
        <v>396.19999999999948</v>
      </c>
      <c r="Y275" s="100">
        <f t="shared" si="54"/>
        <v>109</v>
      </c>
      <c r="Z275" s="227"/>
      <c r="AA275" s="339"/>
    </row>
    <row r="276" spans="1:30">
      <c r="A276" s="13">
        <f t="shared" si="55"/>
        <v>2005</v>
      </c>
      <c r="B276" s="13">
        <f t="shared" si="56"/>
        <v>8</v>
      </c>
      <c r="C276" s="200">
        <f>RESID!J276</f>
        <v>540.29999999999995</v>
      </c>
      <c r="D276" s="200">
        <f>RESID!K276</f>
        <v>481.4</v>
      </c>
      <c r="E276" s="13">
        <f t="shared" si="61"/>
        <v>58.899999999999977</v>
      </c>
      <c r="F276" s="100">
        <f t="shared" si="62"/>
        <v>0</v>
      </c>
      <c r="G276" s="200">
        <f>RESID!M276</f>
        <v>0</v>
      </c>
      <c r="H276" s="200">
        <f>RESID!N276</f>
        <v>0</v>
      </c>
      <c r="I276" s="200">
        <f t="shared" si="63"/>
        <v>0</v>
      </c>
      <c r="J276" s="100">
        <f t="shared" si="64"/>
        <v>0</v>
      </c>
      <c r="K276" s="171">
        <f t="shared" si="65"/>
        <v>58.899999999999977</v>
      </c>
      <c r="L276" s="100">
        <f t="shared" si="66"/>
        <v>121</v>
      </c>
      <c r="M276" s="227"/>
      <c r="N276" s="447">
        <v>40391</v>
      </c>
      <c r="O276" s="13">
        <f t="shared" si="57"/>
        <v>8</v>
      </c>
      <c r="P276" s="76">
        <f>SUM(RESID!J325:J336)</f>
        <v>3110.5</v>
      </c>
      <c r="Q276" s="446">
        <f>SUM(RESID!K325:K336)</f>
        <v>2990.8</v>
      </c>
      <c r="R276" s="4">
        <f t="shared" si="58"/>
        <v>119.69999999999982</v>
      </c>
      <c r="S276" s="100">
        <f t="shared" si="67"/>
        <v>124</v>
      </c>
      <c r="T276" s="76">
        <f>SUM(RESID!M325:M336)</f>
        <v>843.00000000000011</v>
      </c>
      <c r="U276" s="446">
        <f>SUM(RESID!N325:N336)</f>
        <v>500.5</v>
      </c>
      <c r="V276" s="4">
        <f t="shared" si="59"/>
        <v>342.50000000000011</v>
      </c>
      <c r="W276" s="100">
        <f t="shared" ref="W276:W289" si="68">IF(V276&lt;0,1+W275,W275)</f>
        <v>128</v>
      </c>
      <c r="X276" s="6">
        <f t="shared" si="60"/>
        <v>462.19999999999993</v>
      </c>
      <c r="Y276" s="100">
        <f t="shared" si="54"/>
        <v>109</v>
      </c>
      <c r="Z276" s="227"/>
      <c r="AA276" s="339"/>
    </row>
    <row r="277" spans="1:30">
      <c r="A277" s="13">
        <f t="shared" si="55"/>
        <v>2005</v>
      </c>
      <c r="B277" s="13">
        <f t="shared" si="56"/>
        <v>9</v>
      </c>
      <c r="C277" s="200">
        <f>RESID!J277</f>
        <v>519.70000000000005</v>
      </c>
      <c r="D277" s="200">
        <f>RESID!K277</f>
        <v>473.7</v>
      </c>
      <c r="E277" s="13">
        <f t="shared" si="61"/>
        <v>46.000000000000057</v>
      </c>
      <c r="F277" s="100">
        <f t="shared" si="62"/>
        <v>0</v>
      </c>
      <c r="G277" s="200">
        <f>RESID!M277</f>
        <v>0</v>
      </c>
      <c r="H277" s="200">
        <f>RESID!N277</f>
        <v>0</v>
      </c>
      <c r="I277" s="200">
        <f t="shared" si="63"/>
        <v>0</v>
      </c>
      <c r="J277" s="100">
        <f t="shared" si="64"/>
        <v>0</v>
      </c>
      <c r="K277" s="171">
        <f t="shared" si="65"/>
        <v>46.000000000000057</v>
      </c>
      <c r="L277" s="100">
        <f t="shared" si="66"/>
        <v>121</v>
      </c>
      <c r="M277" s="227"/>
      <c r="N277" s="447">
        <v>40422</v>
      </c>
      <c r="O277" s="13">
        <f t="shared" si="57"/>
        <v>9</v>
      </c>
      <c r="P277" s="76">
        <f>SUM(RESID!J326:J337)</f>
        <v>3151.6000000000004</v>
      </c>
      <c r="Q277" s="446">
        <f>SUM(RESID!K326:K337)</f>
        <v>2990.7999999999997</v>
      </c>
      <c r="R277" s="4">
        <f t="shared" si="58"/>
        <v>160.80000000000064</v>
      </c>
      <c r="S277" s="100">
        <f t="shared" si="67"/>
        <v>124</v>
      </c>
      <c r="T277" s="76">
        <f>SUM(RESID!M326:M337)</f>
        <v>843.00000000000011</v>
      </c>
      <c r="U277" s="446">
        <f>SUM(RESID!N326:N337)</f>
        <v>500.5</v>
      </c>
      <c r="V277" s="4">
        <f t="shared" si="59"/>
        <v>342.50000000000011</v>
      </c>
      <c r="W277" s="100">
        <f t="shared" si="68"/>
        <v>128</v>
      </c>
      <c r="X277" s="6">
        <f t="shared" si="60"/>
        <v>503.30000000000075</v>
      </c>
      <c r="Y277" s="100">
        <f t="shared" si="54"/>
        <v>109</v>
      </c>
      <c r="Z277" s="227"/>
      <c r="AA277" s="339"/>
    </row>
    <row r="278" spans="1:30">
      <c r="A278" s="13">
        <f t="shared" si="55"/>
        <v>2005</v>
      </c>
      <c r="B278" s="13">
        <f t="shared" si="56"/>
        <v>10</v>
      </c>
      <c r="C278" s="200">
        <f>RESID!J278</f>
        <v>424.1</v>
      </c>
      <c r="D278" s="200">
        <f>RESID!K278</f>
        <v>373.2</v>
      </c>
      <c r="E278" s="13">
        <f t="shared" si="61"/>
        <v>50.900000000000034</v>
      </c>
      <c r="F278" s="100">
        <f t="shared" si="62"/>
        <v>0</v>
      </c>
      <c r="G278" s="200">
        <f>RESID!M278</f>
        <v>0.8</v>
      </c>
      <c r="H278" s="200">
        <f>RESID!N278</f>
        <v>1.3</v>
      </c>
      <c r="I278" s="200">
        <f t="shared" si="63"/>
        <v>-0.5</v>
      </c>
      <c r="J278" s="100">
        <f t="shared" si="64"/>
        <v>1</v>
      </c>
      <c r="K278" s="171">
        <f t="shared" si="65"/>
        <v>50.400000000000034</v>
      </c>
      <c r="L278" s="100">
        <f t="shared" si="66"/>
        <v>121</v>
      </c>
      <c r="M278" s="227"/>
      <c r="N278" s="447">
        <v>40452</v>
      </c>
      <c r="O278" s="13">
        <f t="shared" si="57"/>
        <v>10</v>
      </c>
      <c r="P278" s="76">
        <f>SUM(RESID!J327:J338)</f>
        <v>3119.4000000000005</v>
      </c>
      <c r="Q278" s="446">
        <f>SUM(RESID!K327:K338)</f>
        <v>2990.7999999999997</v>
      </c>
      <c r="R278" s="4">
        <f t="shared" si="58"/>
        <v>128.60000000000082</v>
      </c>
      <c r="S278" s="100">
        <f t="shared" si="67"/>
        <v>124</v>
      </c>
      <c r="T278" s="76">
        <f>SUM(RESID!M327:M338)</f>
        <v>842.30000000000007</v>
      </c>
      <c r="U278" s="446">
        <f>SUM(RESID!N327:N338)</f>
        <v>500.5</v>
      </c>
      <c r="V278" s="4">
        <f t="shared" si="59"/>
        <v>341.80000000000007</v>
      </c>
      <c r="W278" s="100">
        <f t="shared" si="68"/>
        <v>128</v>
      </c>
      <c r="X278" s="6">
        <f t="shared" si="60"/>
        <v>470.40000000000089</v>
      </c>
      <c r="Y278" s="100">
        <f t="shared" si="54"/>
        <v>109</v>
      </c>
      <c r="Z278" s="227"/>
      <c r="AA278" s="339"/>
    </row>
    <row r="279" spans="1:30">
      <c r="A279" s="13">
        <f t="shared" si="55"/>
        <v>2005</v>
      </c>
      <c r="B279" s="13">
        <f t="shared" si="56"/>
        <v>11</v>
      </c>
      <c r="C279" s="200">
        <f>RESID!J279</f>
        <v>208.3</v>
      </c>
      <c r="D279" s="200">
        <f>RESID!K279</f>
        <v>204.3</v>
      </c>
      <c r="E279" s="13">
        <f t="shared" si="61"/>
        <v>4</v>
      </c>
      <c r="F279" s="100">
        <f t="shared" si="62"/>
        <v>0</v>
      </c>
      <c r="G279" s="200">
        <f>RESID!M279</f>
        <v>22.1</v>
      </c>
      <c r="H279" s="200">
        <f>RESID!N279</f>
        <v>24.1</v>
      </c>
      <c r="I279" s="200">
        <f t="shared" si="63"/>
        <v>-2</v>
      </c>
      <c r="J279" s="100">
        <f t="shared" si="64"/>
        <v>1</v>
      </c>
      <c r="K279" s="171">
        <f t="shared" si="65"/>
        <v>2</v>
      </c>
      <c r="L279" s="100">
        <f t="shared" si="66"/>
        <v>121</v>
      </c>
      <c r="M279" s="227"/>
      <c r="N279" s="447">
        <v>40483</v>
      </c>
      <c r="O279" s="13">
        <f t="shared" si="57"/>
        <v>11</v>
      </c>
      <c r="P279" s="76">
        <f>SUM(RESID!J328:J339)</f>
        <v>3084.9000000000005</v>
      </c>
      <c r="Q279" s="446">
        <f>SUM(RESID!K328:K339)</f>
        <v>2990.7999999999997</v>
      </c>
      <c r="R279" s="4">
        <f t="shared" si="58"/>
        <v>94.100000000000819</v>
      </c>
      <c r="S279" s="100">
        <f t="shared" si="67"/>
        <v>124</v>
      </c>
      <c r="T279" s="76">
        <f>SUM(RESID!M328:M339)</f>
        <v>848.2</v>
      </c>
      <c r="U279" s="446">
        <f>SUM(RESID!N328:N339)</f>
        <v>500.5</v>
      </c>
      <c r="V279" s="4">
        <f t="shared" si="59"/>
        <v>347.70000000000005</v>
      </c>
      <c r="W279" s="100">
        <f t="shared" si="68"/>
        <v>128</v>
      </c>
      <c r="X279" s="6">
        <f t="shared" si="60"/>
        <v>441.80000000000086</v>
      </c>
      <c r="Y279" s="100">
        <f t="shared" ref="Y279:Y289" si="69">IF(X279&lt;0,1+Y278,Y278)</f>
        <v>109</v>
      </c>
      <c r="Z279" s="227"/>
      <c r="AA279" s="339"/>
    </row>
    <row r="280" spans="1:30">
      <c r="A280" s="90">
        <f t="shared" si="55"/>
        <v>2005</v>
      </c>
      <c r="B280" s="90">
        <f t="shared" si="56"/>
        <v>12</v>
      </c>
      <c r="C280" s="200">
        <f>RESID!J280</f>
        <v>83.4</v>
      </c>
      <c r="D280" s="200">
        <f>RESID!K280</f>
        <v>88</v>
      </c>
      <c r="E280" s="13">
        <f t="shared" si="61"/>
        <v>-4.5999999999999943</v>
      </c>
      <c r="F280" s="100">
        <f t="shared" si="62"/>
        <v>1</v>
      </c>
      <c r="G280" s="200">
        <f>RESID!M280</f>
        <v>73.5</v>
      </c>
      <c r="H280" s="200">
        <f>RESID!N280</f>
        <v>83.9</v>
      </c>
      <c r="I280" s="200">
        <f t="shared" si="63"/>
        <v>-10.400000000000006</v>
      </c>
      <c r="J280" s="100">
        <f t="shared" si="64"/>
        <v>1</v>
      </c>
      <c r="K280" s="171">
        <f t="shared" si="65"/>
        <v>-15</v>
      </c>
      <c r="L280" s="100">
        <f t="shared" si="66"/>
        <v>122</v>
      </c>
      <c r="M280" s="227"/>
      <c r="N280" s="447">
        <v>40513</v>
      </c>
      <c r="O280" s="13">
        <f t="shared" si="57"/>
        <v>12</v>
      </c>
      <c r="P280" s="76">
        <f>SUM(RESID!J329:J340)</f>
        <v>3069.4</v>
      </c>
      <c r="Q280" s="446">
        <f>SUM(RESID!K329:K340)</f>
        <v>2990.7999999999997</v>
      </c>
      <c r="R280" s="4">
        <f t="shared" si="58"/>
        <v>78.600000000000364</v>
      </c>
      <c r="S280" s="100">
        <f t="shared" si="67"/>
        <v>124</v>
      </c>
      <c r="T280" s="76">
        <f>SUM(RESID!M329:M340)</f>
        <v>918.5</v>
      </c>
      <c r="U280" s="446">
        <f>SUM(RESID!N329:N340)</f>
        <v>500.5</v>
      </c>
      <c r="V280" s="4">
        <f t="shared" si="59"/>
        <v>418</v>
      </c>
      <c r="W280" s="100">
        <f t="shared" si="68"/>
        <v>128</v>
      </c>
      <c r="X280" s="6">
        <f t="shared" si="60"/>
        <v>496.60000000000036</v>
      </c>
      <c r="Y280" s="100">
        <f t="shared" si="69"/>
        <v>109</v>
      </c>
      <c r="Z280" s="227"/>
      <c r="AA280" s="339"/>
    </row>
    <row r="281" spans="1:30">
      <c r="A281" s="13">
        <f t="shared" si="55"/>
        <v>2006</v>
      </c>
      <c r="B281" s="13">
        <f t="shared" si="56"/>
        <v>1</v>
      </c>
      <c r="C281" s="200">
        <f>RESID!J281</f>
        <v>31.5</v>
      </c>
      <c r="D281" s="200">
        <f>RESID!K281</f>
        <v>49.5</v>
      </c>
      <c r="E281" s="13">
        <f t="shared" si="61"/>
        <v>-18</v>
      </c>
      <c r="F281" s="100">
        <f t="shared" si="62"/>
        <v>1</v>
      </c>
      <c r="G281" s="200">
        <f>RESID!M281</f>
        <v>148</v>
      </c>
      <c r="H281" s="200">
        <f>RESID!N281</f>
        <v>131.6</v>
      </c>
      <c r="I281" s="200">
        <f t="shared" si="63"/>
        <v>16.400000000000006</v>
      </c>
      <c r="J281" s="100">
        <f t="shared" si="64"/>
        <v>0</v>
      </c>
      <c r="K281" s="171">
        <f t="shared" si="65"/>
        <v>-1.5999999999999943</v>
      </c>
      <c r="L281" s="100">
        <f t="shared" si="66"/>
        <v>123</v>
      </c>
      <c r="M281" s="227"/>
      <c r="N281" s="447">
        <v>40544</v>
      </c>
      <c r="O281" s="13">
        <f t="shared" si="57"/>
        <v>1</v>
      </c>
      <c r="P281" s="76">
        <f>SUM(RESID!J330:J341)</f>
        <v>3048.6000000000004</v>
      </c>
      <c r="Q281" s="446">
        <f>SUM(RESID!K330:K341)</f>
        <v>2990.7999999999997</v>
      </c>
      <c r="R281" s="4">
        <f t="shared" si="58"/>
        <v>57.800000000000637</v>
      </c>
      <c r="S281" s="100">
        <f t="shared" si="67"/>
        <v>124</v>
      </c>
      <c r="T281" s="76">
        <f>SUM(RESID!M330:M341)</f>
        <v>931.89999999999986</v>
      </c>
      <c r="U281" s="446">
        <f>SUM(RESID!N330:N341)</f>
        <v>500.5</v>
      </c>
      <c r="V281" s="4">
        <f t="shared" si="59"/>
        <v>431.39999999999986</v>
      </c>
      <c r="W281" s="100">
        <f t="shared" si="68"/>
        <v>128</v>
      </c>
      <c r="X281" s="6">
        <f t="shared" si="60"/>
        <v>489.2000000000005</v>
      </c>
      <c r="Y281" s="100">
        <f t="shared" si="69"/>
        <v>109</v>
      </c>
      <c r="Z281" s="227"/>
      <c r="AA281" s="339"/>
    </row>
    <row r="282" spans="1:30">
      <c r="A282" s="13">
        <f t="shared" si="55"/>
        <v>2006</v>
      </c>
      <c r="B282" s="13">
        <f t="shared" si="56"/>
        <v>2</v>
      </c>
      <c r="C282" s="200">
        <f>RESID!J282</f>
        <v>41.4</v>
      </c>
      <c r="D282" s="200">
        <f>RESID!K282</f>
        <v>43.3</v>
      </c>
      <c r="E282" s="13">
        <f t="shared" si="61"/>
        <v>-1.8999999999999986</v>
      </c>
      <c r="F282" s="100">
        <f t="shared" si="62"/>
        <v>1</v>
      </c>
      <c r="G282" s="200">
        <f>RESID!M282</f>
        <v>122.1</v>
      </c>
      <c r="H282" s="200">
        <f>RESID!N282</f>
        <v>127.9</v>
      </c>
      <c r="I282" s="200">
        <f t="shared" si="63"/>
        <v>-5.8000000000000114</v>
      </c>
      <c r="J282" s="100">
        <f t="shared" si="64"/>
        <v>1</v>
      </c>
      <c r="K282" s="171">
        <f t="shared" si="65"/>
        <v>-7.7000000000000099</v>
      </c>
      <c r="L282" s="100">
        <f t="shared" si="66"/>
        <v>124</v>
      </c>
      <c r="M282" s="227"/>
      <c r="N282" s="447">
        <v>40575</v>
      </c>
      <c r="O282" s="13">
        <f t="shared" si="57"/>
        <v>2</v>
      </c>
      <c r="P282" s="76">
        <f>SUM(RESID!J331:J342)</f>
        <v>3057</v>
      </c>
      <c r="Q282" s="446">
        <f>SUM(RESID!K331:K342)</f>
        <v>2990.8</v>
      </c>
      <c r="R282" s="4">
        <f t="shared" si="58"/>
        <v>66.199999999999818</v>
      </c>
      <c r="S282" s="100">
        <f t="shared" si="67"/>
        <v>124</v>
      </c>
      <c r="T282" s="76">
        <f>SUM(RESID!M331:M342)</f>
        <v>877.5</v>
      </c>
      <c r="U282" s="446">
        <f>SUM(RESID!N331:N342)</f>
        <v>500.5</v>
      </c>
      <c r="V282" s="4">
        <f t="shared" si="59"/>
        <v>377</v>
      </c>
      <c r="W282" s="100">
        <f t="shared" si="68"/>
        <v>128</v>
      </c>
      <c r="X282" s="6">
        <f t="shared" si="60"/>
        <v>443.19999999999982</v>
      </c>
      <c r="Y282" s="100">
        <f t="shared" si="69"/>
        <v>109</v>
      </c>
      <c r="Z282" s="227"/>
      <c r="AA282" s="339"/>
    </row>
    <row r="283" spans="1:30">
      <c r="A283" s="13">
        <f t="shared" si="55"/>
        <v>2006</v>
      </c>
      <c r="B283" s="13">
        <f t="shared" si="56"/>
        <v>3</v>
      </c>
      <c r="C283" s="200">
        <f>RESID!J283</f>
        <v>78.599999999999994</v>
      </c>
      <c r="D283" s="200">
        <f>RESID!K283</f>
        <v>77.2</v>
      </c>
      <c r="E283" s="13">
        <f t="shared" si="61"/>
        <v>1.3999999999999915</v>
      </c>
      <c r="F283" s="100">
        <f t="shared" si="62"/>
        <v>0</v>
      </c>
      <c r="G283" s="200">
        <f>RESID!M283</f>
        <v>83.4</v>
      </c>
      <c r="H283" s="200">
        <f>RESID!N283</f>
        <v>82.3</v>
      </c>
      <c r="I283" s="200">
        <f t="shared" si="63"/>
        <v>1.1000000000000085</v>
      </c>
      <c r="J283" s="100">
        <f t="shared" si="64"/>
        <v>0</v>
      </c>
      <c r="K283" s="171">
        <f t="shared" si="65"/>
        <v>2.5</v>
      </c>
      <c r="L283" s="100">
        <f t="shared" si="66"/>
        <v>124</v>
      </c>
      <c r="M283" s="227"/>
      <c r="N283" s="447">
        <v>40603</v>
      </c>
      <c r="O283" s="13">
        <f t="shared" si="57"/>
        <v>3</v>
      </c>
      <c r="P283" s="76">
        <f>SUM(RESID!J332:J343)</f>
        <v>3133</v>
      </c>
      <c r="Q283" s="446">
        <f>SUM(RESID!K332:K343)</f>
        <v>2990.7999999999997</v>
      </c>
      <c r="R283" s="4">
        <f t="shared" si="58"/>
        <v>142.20000000000027</v>
      </c>
      <c r="S283" s="100">
        <f t="shared" si="67"/>
        <v>124</v>
      </c>
      <c r="T283" s="76">
        <f>SUM(RESID!M332:M343)</f>
        <v>708.8</v>
      </c>
      <c r="U283" s="446">
        <f>SUM(RESID!N332:N343)</f>
        <v>500.49999999999994</v>
      </c>
      <c r="V283" s="4">
        <f t="shared" si="59"/>
        <v>208.3</v>
      </c>
      <c r="W283" s="100">
        <f t="shared" si="68"/>
        <v>128</v>
      </c>
      <c r="X283" s="6">
        <f t="shared" si="60"/>
        <v>350.50000000000028</v>
      </c>
      <c r="Y283" s="100">
        <f t="shared" si="69"/>
        <v>109</v>
      </c>
      <c r="Z283" s="227"/>
      <c r="AA283" s="339"/>
    </row>
    <row r="284" spans="1:30">
      <c r="A284" s="13">
        <f t="shared" si="55"/>
        <v>2006</v>
      </c>
      <c r="B284" s="13">
        <f t="shared" si="56"/>
        <v>4</v>
      </c>
      <c r="C284" s="200">
        <f>RESID!J284</f>
        <v>144.19999999999999</v>
      </c>
      <c r="D284" s="200">
        <f>RESID!K284</f>
        <v>138.1</v>
      </c>
      <c r="E284" s="13">
        <f t="shared" si="61"/>
        <v>6.0999999999999943</v>
      </c>
      <c r="F284" s="100">
        <f t="shared" si="62"/>
        <v>0</v>
      </c>
      <c r="G284" s="200">
        <f>RESID!M284</f>
        <v>37.9</v>
      </c>
      <c r="H284" s="200">
        <f>RESID!N284</f>
        <v>37.299999999999997</v>
      </c>
      <c r="I284" s="200">
        <f t="shared" si="63"/>
        <v>0.60000000000000142</v>
      </c>
      <c r="J284" s="100">
        <f t="shared" si="64"/>
        <v>0</v>
      </c>
      <c r="K284" s="171">
        <f t="shared" si="65"/>
        <v>6.6999999999999957</v>
      </c>
      <c r="L284" s="100">
        <f t="shared" si="66"/>
        <v>124</v>
      </c>
      <c r="M284" s="227"/>
      <c r="N284" s="447">
        <v>40634</v>
      </c>
      <c r="O284" s="13">
        <f t="shared" si="57"/>
        <v>4</v>
      </c>
      <c r="P284" s="76">
        <f>SUM(RESID!J333:J344)</f>
        <v>3217.0000000000005</v>
      </c>
      <c r="Q284" s="446">
        <f>SUM(RESID!K333:K344)</f>
        <v>2990.8</v>
      </c>
      <c r="R284" s="4">
        <f t="shared" si="58"/>
        <v>226.20000000000027</v>
      </c>
      <c r="S284" s="100">
        <f t="shared" si="67"/>
        <v>124</v>
      </c>
      <c r="T284" s="76">
        <f>SUM(RESID!M333:M344)</f>
        <v>671.5</v>
      </c>
      <c r="U284" s="446">
        <f>SUM(RESID!N333:N344)</f>
        <v>500.5</v>
      </c>
      <c r="V284" s="4">
        <f t="shared" si="59"/>
        <v>171</v>
      </c>
      <c r="W284" s="100">
        <f t="shared" si="68"/>
        <v>128</v>
      </c>
      <c r="X284" s="6">
        <f t="shared" si="60"/>
        <v>397.20000000000027</v>
      </c>
      <c r="Y284" s="100">
        <f t="shared" si="69"/>
        <v>109</v>
      </c>
      <c r="Z284" s="227"/>
      <c r="AA284" s="339"/>
    </row>
    <row r="285" spans="1:30">
      <c r="A285" s="13">
        <f t="shared" si="55"/>
        <v>2006</v>
      </c>
      <c r="B285" s="13">
        <f t="shared" si="56"/>
        <v>5</v>
      </c>
      <c r="C285" s="200">
        <f>RESID!J285</f>
        <v>256.8</v>
      </c>
      <c r="D285" s="200">
        <f>RESID!K285</f>
        <v>224.4</v>
      </c>
      <c r="E285" s="13">
        <f t="shared" si="61"/>
        <v>32.400000000000006</v>
      </c>
      <c r="F285" s="100">
        <f t="shared" si="62"/>
        <v>0</v>
      </c>
      <c r="G285" s="200">
        <f>RESID!M285</f>
        <v>4.5</v>
      </c>
      <c r="H285" s="200">
        <f>RESID!N285</f>
        <v>11.2</v>
      </c>
      <c r="I285" s="200">
        <f t="shared" si="63"/>
        <v>-6.6999999999999993</v>
      </c>
      <c r="J285" s="100">
        <f t="shared" si="64"/>
        <v>1</v>
      </c>
      <c r="K285" s="171">
        <f t="shared" si="65"/>
        <v>25.700000000000006</v>
      </c>
      <c r="L285" s="100">
        <f t="shared" si="66"/>
        <v>124</v>
      </c>
      <c r="M285" s="227"/>
      <c r="N285" s="447">
        <v>40664</v>
      </c>
      <c r="O285" s="13">
        <f t="shared" si="57"/>
        <v>5</v>
      </c>
      <c r="P285" s="76">
        <f>SUM(RESID!J334:J345)</f>
        <v>3278.2000000000003</v>
      </c>
      <c r="Q285" s="446">
        <f>SUM(RESID!K334:K345)</f>
        <v>2990.8</v>
      </c>
      <c r="R285" s="4">
        <f t="shared" si="58"/>
        <v>287.40000000000009</v>
      </c>
      <c r="S285" s="100">
        <f t="shared" si="67"/>
        <v>124</v>
      </c>
      <c r="T285" s="76">
        <f>SUM(RESID!M334:M345)</f>
        <v>670.5</v>
      </c>
      <c r="U285" s="446">
        <f>SUM(RESID!N334:N345)</f>
        <v>500.50000000000006</v>
      </c>
      <c r="V285" s="4">
        <f t="shared" si="59"/>
        <v>169.99999999999994</v>
      </c>
      <c r="W285" s="100">
        <f t="shared" si="68"/>
        <v>128</v>
      </c>
      <c r="X285" s="6">
        <f t="shared" si="60"/>
        <v>457.40000000000003</v>
      </c>
      <c r="Y285" s="100">
        <f t="shared" si="69"/>
        <v>109</v>
      </c>
      <c r="Z285" s="227"/>
      <c r="AA285" s="339"/>
    </row>
    <row r="286" spans="1:30">
      <c r="A286" s="13">
        <f t="shared" ref="A286:A349" si="70">A274+1</f>
        <v>2006</v>
      </c>
      <c r="B286" s="13">
        <f t="shared" ref="B286:B349" si="71">B274</f>
        <v>6</v>
      </c>
      <c r="C286" s="200">
        <f>RESID!J286</f>
        <v>378.6</v>
      </c>
      <c r="D286" s="200">
        <f>RESID!K286</f>
        <v>382.8</v>
      </c>
      <c r="E286" s="13">
        <f t="shared" si="61"/>
        <v>-4.1999999999999886</v>
      </c>
      <c r="F286" s="100">
        <f t="shared" si="62"/>
        <v>1</v>
      </c>
      <c r="G286" s="200">
        <f>RESID!M286</f>
        <v>1.2</v>
      </c>
      <c r="H286" s="200">
        <f>RESID!N286</f>
        <v>0.9</v>
      </c>
      <c r="I286" s="200">
        <f t="shared" si="63"/>
        <v>0.29999999999999993</v>
      </c>
      <c r="J286" s="100">
        <f t="shared" si="64"/>
        <v>0</v>
      </c>
      <c r="K286" s="171">
        <f t="shared" si="65"/>
        <v>-3.8999999999999888</v>
      </c>
      <c r="L286" s="100">
        <f t="shared" si="66"/>
        <v>125</v>
      </c>
      <c r="M286" s="227"/>
      <c r="N286" s="447">
        <v>40695</v>
      </c>
      <c r="O286" s="13">
        <f t="shared" ref="O286:O305" si="72">O274</f>
        <v>6</v>
      </c>
      <c r="P286" s="76">
        <f>SUM(RESID!J335:J346)</f>
        <v>3240.6</v>
      </c>
      <c r="Q286" s="446">
        <f>SUM(RESID!K335:K346)</f>
        <v>2990.8</v>
      </c>
      <c r="R286" s="4">
        <f t="shared" si="58"/>
        <v>249.79999999999973</v>
      </c>
      <c r="S286" s="100">
        <f t="shared" si="67"/>
        <v>124</v>
      </c>
      <c r="T286" s="76">
        <f>SUM(RESID!M335:M346)</f>
        <v>671.8</v>
      </c>
      <c r="U286" s="446">
        <f>SUM(RESID!N335:N346)</f>
        <v>500.5</v>
      </c>
      <c r="V286" s="4">
        <f t="shared" si="59"/>
        <v>171.29999999999995</v>
      </c>
      <c r="W286" s="100">
        <f t="shared" si="68"/>
        <v>128</v>
      </c>
      <c r="X286" s="6">
        <f t="shared" si="60"/>
        <v>421.09999999999968</v>
      </c>
      <c r="Y286" s="100">
        <f t="shared" si="69"/>
        <v>109</v>
      </c>
      <c r="Z286" s="227"/>
      <c r="AA286" s="339"/>
    </row>
    <row r="287" spans="1:30">
      <c r="A287" s="13">
        <f t="shared" si="70"/>
        <v>2006</v>
      </c>
      <c r="B287" s="13">
        <f t="shared" si="71"/>
        <v>7</v>
      </c>
      <c r="C287" s="200">
        <f>RESID!J287</f>
        <v>446</v>
      </c>
      <c r="D287" s="200">
        <f>RESID!K287</f>
        <v>454.9</v>
      </c>
      <c r="E287" s="13">
        <f t="shared" si="61"/>
        <v>-8.8999999999999773</v>
      </c>
      <c r="F287" s="100">
        <f t="shared" si="62"/>
        <v>1</v>
      </c>
      <c r="G287" s="200">
        <f>RESID!M287</f>
        <v>0</v>
      </c>
      <c r="H287" s="200">
        <f>RESID!N287</f>
        <v>0</v>
      </c>
      <c r="I287" s="200">
        <f t="shared" si="63"/>
        <v>0</v>
      </c>
      <c r="J287" s="100">
        <f t="shared" si="64"/>
        <v>0</v>
      </c>
      <c r="K287" s="171">
        <f t="shared" si="65"/>
        <v>-8.8999999999999773</v>
      </c>
      <c r="L287" s="100">
        <f t="shared" si="66"/>
        <v>126</v>
      </c>
      <c r="M287" s="227"/>
      <c r="N287" s="447">
        <v>40725</v>
      </c>
      <c r="O287" s="13">
        <f t="shared" si="72"/>
        <v>7</v>
      </c>
      <c r="P287" s="76">
        <f>SUM(RESID!J336:J347)</f>
        <v>3211.2999999999997</v>
      </c>
      <c r="Q287" s="446">
        <f>SUM(RESID!K336:K347)</f>
        <v>2990.8</v>
      </c>
      <c r="R287" s="4">
        <f t="shared" si="58"/>
        <v>220.49999999999955</v>
      </c>
      <c r="S287" s="100">
        <f t="shared" si="67"/>
        <v>124</v>
      </c>
      <c r="T287" s="76">
        <f>SUM(RESID!M336:M347)</f>
        <v>671.9</v>
      </c>
      <c r="U287" s="446">
        <f>SUM(RESID!N336:N347)</f>
        <v>500.5</v>
      </c>
      <c r="V287" s="4">
        <f t="shared" si="59"/>
        <v>171.39999999999998</v>
      </c>
      <c r="W287" s="100">
        <f t="shared" si="68"/>
        <v>128</v>
      </c>
      <c r="X287" s="6">
        <f t="shared" si="60"/>
        <v>391.89999999999952</v>
      </c>
      <c r="Y287" s="100">
        <f t="shared" si="69"/>
        <v>109</v>
      </c>
      <c r="Z287" s="227"/>
      <c r="AA287" s="339"/>
    </row>
    <row r="288" spans="1:30">
      <c r="A288" s="13">
        <f t="shared" si="70"/>
        <v>2006</v>
      </c>
      <c r="B288" s="13">
        <f t="shared" si="71"/>
        <v>8</v>
      </c>
      <c r="C288" s="200">
        <f>RESID!J288</f>
        <v>501.7</v>
      </c>
      <c r="D288" s="200">
        <f>RESID!K288</f>
        <v>481.4</v>
      </c>
      <c r="E288" s="13">
        <f t="shared" si="61"/>
        <v>20.300000000000011</v>
      </c>
      <c r="F288" s="100">
        <f t="shared" si="62"/>
        <v>0</v>
      </c>
      <c r="G288" s="200">
        <f>RESID!M288</f>
        <v>0</v>
      </c>
      <c r="H288" s="200">
        <f>RESID!N288</f>
        <v>0</v>
      </c>
      <c r="I288" s="200">
        <f t="shared" si="63"/>
        <v>0</v>
      </c>
      <c r="J288" s="100">
        <f t="shared" si="64"/>
        <v>0</v>
      </c>
      <c r="K288" s="171">
        <f t="shared" si="65"/>
        <v>20.300000000000011</v>
      </c>
      <c r="L288" s="100">
        <f t="shared" si="66"/>
        <v>126</v>
      </c>
      <c r="M288" s="227"/>
      <c r="N288" s="447">
        <v>40756</v>
      </c>
      <c r="O288" s="13">
        <f t="shared" si="72"/>
        <v>8</v>
      </c>
      <c r="P288" s="76">
        <f>SUM(RESID!J337:J348)</f>
        <v>3202</v>
      </c>
      <c r="Q288" s="446">
        <f>SUM(RESID!K337:K348)</f>
        <v>2990.8</v>
      </c>
      <c r="R288" s="4">
        <f t="shared" si="58"/>
        <v>211.19999999999982</v>
      </c>
      <c r="S288" s="100">
        <f t="shared" si="67"/>
        <v>124</v>
      </c>
      <c r="T288" s="76">
        <f>SUM(RESID!M337:M348)</f>
        <v>671.9</v>
      </c>
      <c r="U288" s="446">
        <f>SUM(RESID!N337:N348)</f>
        <v>500.5</v>
      </c>
      <c r="V288" s="4">
        <f t="shared" si="59"/>
        <v>171.39999999999998</v>
      </c>
      <c r="W288" s="100">
        <f t="shared" si="68"/>
        <v>128</v>
      </c>
      <c r="X288" s="6">
        <f t="shared" si="60"/>
        <v>382.5999999999998</v>
      </c>
      <c r="Y288" s="100">
        <f t="shared" si="69"/>
        <v>109</v>
      </c>
      <c r="Z288" s="227"/>
      <c r="AA288" s="339"/>
      <c r="AC288" s="458"/>
      <c r="AD288" s="459"/>
    </row>
    <row r="289" spans="1:30">
      <c r="A289" s="13">
        <f t="shared" si="70"/>
        <v>2006</v>
      </c>
      <c r="B289" s="13">
        <f t="shared" si="71"/>
        <v>9</v>
      </c>
      <c r="C289" s="200">
        <f>RESID!J289</f>
        <v>464.4</v>
      </c>
      <c r="D289" s="200">
        <f>RESID!K289</f>
        <v>473.7</v>
      </c>
      <c r="E289" s="13">
        <f t="shared" si="61"/>
        <v>-9.3000000000000114</v>
      </c>
      <c r="F289" s="100">
        <f t="shared" si="62"/>
        <v>1</v>
      </c>
      <c r="G289" s="200">
        <f>RESID!M289</f>
        <v>0</v>
      </c>
      <c r="H289" s="200">
        <f>RESID!N289</f>
        <v>0</v>
      </c>
      <c r="I289" s="200">
        <f t="shared" si="63"/>
        <v>0</v>
      </c>
      <c r="J289" s="100">
        <f t="shared" si="64"/>
        <v>0</v>
      </c>
      <c r="K289" s="171">
        <f t="shared" si="65"/>
        <v>-9.3000000000000114</v>
      </c>
      <c r="L289" s="100">
        <f t="shared" si="66"/>
        <v>127</v>
      </c>
      <c r="M289" s="227"/>
      <c r="N289" s="447">
        <v>40787</v>
      </c>
      <c r="O289" s="13">
        <f t="shared" si="72"/>
        <v>9</v>
      </c>
      <c r="P289" s="76">
        <f>SUM(RESID!J338:J349)</f>
        <v>3188.6000000000004</v>
      </c>
      <c r="Q289" s="446">
        <f>SUM(RESID!K338:K349)</f>
        <v>2990.7999999999997</v>
      </c>
      <c r="R289" s="4">
        <f t="shared" si="58"/>
        <v>197.80000000000064</v>
      </c>
      <c r="S289" s="100">
        <f t="shared" si="67"/>
        <v>124</v>
      </c>
      <c r="T289" s="76">
        <f>SUM(RESID!M338:M349)</f>
        <v>672</v>
      </c>
      <c r="U289" s="446">
        <f>SUM(RESID!N338:N349)</f>
        <v>500.5</v>
      </c>
      <c r="V289" s="4">
        <f t="shared" si="59"/>
        <v>171.5</v>
      </c>
      <c r="W289" s="100">
        <f t="shared" si="68"/>
        <v>128</v>
      </c>
      <c r="X289" s="6">
        <f t="shared" si="60"/>
        <v>369.30000000000064</v>
      </c>
      <c r="Y289" s="100">
        <f t="shared" si="69"/>
        <v>109</v>
      </c>
      <c r="Z289" s="227"/>
      <c r="AA289" s="4"/>
      <c r="AC289" s="460"/>
      <c r="AD289" s="457"/>
    </row>
    <row r="290" spans="1:30">
      <c r="A290" s="13">
        <f t="shared" si="70"/>
        <v>2006</v>
      </c>
      <c r="B290" s="13">
        <f t="shared" si="71"/>
        <v>10</v>
      </c>
      <c r="C290" s="200">
        <f>RESID!J290</f>
        <v>351.1</v>
      </c>
      <c r="D290" s="200">
        <f>RESID!K290</f>
        <v>373.2</v>
      </c>
      <c r="E290" s="13">
        <f t="shared" si="61"/>
        <v>-22.099999999999966</v>
      </c>
      <c r="F290" s="100">
        <f t="shared" si="62"/>
        <v>1</v>
      </c>
      <c r="G290" s="200">
        <f>RESID!M290</f>
        <v>2.5</v>
      </c>
      <c r="H290" s="200">
        <f>RESID!N290</f>
        <v>1.3</v>
      </c>
      <c r="I290" s="200">
        <f t="shared" si="63"/>
        <v>1.2</v>
      </c>
      <c r="J290" s="100">
        <f t="shared" si="64"/>
        <v>0</v>
      </c>
      <c r="K290" s="171">
        <f t="shared" si="65"/>
        <v>-20.899999999999967</v>
      </c>
      <c r="L290" s="100">
        <f t="shared" si="66"/>
        <v>128</v>
      </c>
      <c r="N290" s="447">
        <v>40817</v>
      </c>
      <c r="O290" s="13">
        <f t="shared" si="72"/>
        <v>10</v>
      </c>
      <c r="P290" s="76">
        <f>SUM(RESID!J339:J350)</f>
        <v>3172.2000000000003</v>
      </c>
      <c r="Q290" s="446">
        <f>SUM(RESID!K339:K350)</f>
        <v>2990.7999999999997</v>
      </c>
      <c r="R290" s="4">
        <f t="shared" ref="R290" si="73">P290-Q290</f>
        <v>181.40000000000055</v>
      </c>
      <c r="S290" s="100">
        <f>IF(R290&lt;0,1+S289,S289)</f>
        <v>124</v>
      </c>
      <c r="T290" s="76">
        <f>SUM(RESID!M339:M350)</f>
        <v>672.10000000000014</v>
      </c>
      <c r="U290" s="446">
        <f>SUM(RESID!N339:N350)</f>
        <v>500.5</v>
      </c>
      <c r="V290" s="4">
        <f t="shared" ref="V290" si="74">T290-U290</f>
        <v>171.60000000000014</v>
      </c>
      <c r="W290" s="100">
        <f t="shared" ref="W290" si="75">IF(V290&lt;0,1+W289,W289)</f>
        <v>128</v>
      </c>
      <c r="X290" s="6">
        <f>R290+V290</f>
        <v>353.00000000000068</v>
      </c>
      <c r="Y290" s="100">
        <f t="shared" ref="Y290" si="76">IF(X290&lt;0,1+Y289,Y289)</f>
        <v>109</v>
      </c>
    </row>
    <row r="291" spans="1:30">
      <c r="A291" s="13">
        <f t="shared" si="70"/>
        <v>2006</v>
      </c>
      <c r="B291" s="13">
        <f t="shared" si="71"/>
        <v>11</v>
      </c>
      <c r="C291" s="200">
        <f>RESID!J291</f>
        <v>179.6</v>
      </c>
      <c r="D291" s="200">
        <f>RESID!K291</f>
        <v>204.3</v>
      </c>
      <c r="E291" s="13">
        <f t="shared" si="61"/>
        <v>-24.700000000000017</v>
      </c>
      <c r="F291" s="100">
        <f t="shared" si="62"/>
        <v>1</v>
      </c>
      <c r="G291" s="200">
        <f>RESID!M291</f>
        <v>30.8</v>
      </c>
      <c r="H291" s="200">
        <f>RESID!N291</f>
        <v>24.1</v>
      </c>
      <c r="I291" s="200">
        <f t="shared" si="63"/>
        <v>6.6999999999999993</v>
      </c>
      <c r="J291" s="100">
        <f t="shared" si="64"/>
        <v>0</v>
      </c>
      <c r="K291" s="171">
        <f t="shared" si="65"/>
        <v>-18.000000000000018</v>
      </c>
      <c r="L291" s="100">
        <f t="shared" si="66"/>
        <v>129</v>
      </c>
      <c r="M291" s="227"/>
      <c r="N291" s="447">
        <v>40848</v>
      </c>
      <c r="O291" s="13">
        <f t="shared" si="72"/>
        <v>11</v>
      </c>
      <c r="P291" s="76">
        <f>SUM(RESID!J340:J351)</f>
        <v>3098.7000000000003</v>
      </c>
      <c r="Q291" s="446">
        <f>SUM(RESID!K340:K351)</f>
        <v>2990.7999999999997</v>
      </c>
      <c r="R291" s="4">
        <f t="shared" ref="R291" si="77">P291-Q291</f>
        <v>107.90000000000055</v>
      </c>
      <c r="S291" s="100">
        <f>IF(R291&lt;0,1+S290,S290)</f>
        <v>124</v>
      </c>
      <c r="T291" s="76">
        <f>SUM(RESID!M340:M351)</f>
        <v>671.90000000000009</v>
      </c>
      <c r="U291" s="446">
        <f>SUM(RESID!N340:N351)</f>
        <v>500.5</v>
      </c>
      <c r="V291" s="4">
        <f t="shared" ref="V291" si="78">T291-U291</f>
        <v>171.40000000000009</v>
      </c>
      <c r="W291" s="100">
        <f t="shared" ref="W291" si="79">IF(V291&lt;0,1+W290,W290)</f>
        <v>128</v>
      </c>
      <c r="X291" s="6">
        <f>R291+V291</f>
        <v>279.30000000000064</v>
      </c>
      <c r="Y291" s="100">
        <f t="shared" ref="Y291" si="80">IF(X291&lt;0,1+Y290,Y290)</f>
        <v>109</v>
      </c>
      <c r="Z291" s="227"/>
      <c r="AA291" s="339"/>
      <c r="AC291" s="458" t="s">
        <v>102</v>
      </c>
      <c r="AD291" s="459" t="s">
        <v>22</v>
      </c>
    </row>
    <row r="292" spans="1:30">
      <c r="A292" s="90">
        <f t="shared" si="70"/>
        <v>2006</v>
      </c>
      <c r="B292" s="90">
        <f t="shared" si="71"/>
        <v>12</v>
      </c>
      <c r="C292" s="200">
        <f>RESID!J292</f>
        <v>81.599999999999994</v>
      </c>
      <c r="D292" s="200">
        <f>RESID!K292</f>
        <v>88</v>
      </c>
      <c r="E292" s="13">
        <f t="shared" si="61"/>
        <v>-6.4000000000000057</v>
      </c>
      <c r="F292" s="100">
        <f t="shared" si="62"/>
        <v>1</v>
      </c>
      <c r="G292" s="200">
        <f>RESID!M292</f>
        <v>79.3</v>
      </c>
      <c r="H292" s="200">
        <f>RESID!N292</f>
        <v>83.9</v>
      </c>
      <c r="I292" s="200">
        <f t="shared" si="63"/>
        <v>-4.6000000000000085</v>
      </c>
      <c r="J292" s="100">
        <f t="shared" si="64"/>
        <v>1</v>
      </c>
      <c r="K292" s="171">
        <f t="shared" si="65"/>
        <v>-11.000000000000014</v>
      </c>
      <c r="L292" s="100">
        <f t="shared" si="66"/>
        <v>130</v>
      </c>
      <c r="M292" s="227"/>
      <c r="N292" s="447">
        <v>40878</v>
      </c>
      <c r="O292" s="13">
        <f t="shared" si="72"/>
        <v>12</v>
      </c>
      <c r="P292" s="76">
        <f>SUM(RESID!J341:J352)</f>
        <v>3110</v>
      </c>
      <c r="Q292" s="446">
        <f>SUM(RESID!K341:K352)</f>
        <v>2990.7999999999997</v>
      </c>
      <c r="R292" s="4">
        <f t="shared" ref="R292" si="81">P292-Q292</f>
        <v>119.20000000000027</v>
      </c>
      <c r="S292" s="100">
        <f>IF(R292&lt;0,1+S291,S291)</f>
        <v>124</v>
      </c>
      <c r="T292" s="76">
        <f>SUM(RESID!M341:M352)</f>
        <v>590.80000000000007</v>
      </c>
      <c r="U292" s="446">
        <f>SUM(RESID!N341:N352)</f>
        <v>500.5</v>
      </c>
      <c r="V292" s="4">
        <f t="shared" ref="V292" si="82">T292-U292</f>
        <v>90.300000000000068</v>
      </c>
      <c r="W292" s="100">
        <f t="shared" ref="W292" si="83">IF(V292&lt;0,1+W291,W291)</f>
        <v>128</v>
      </c>
      <c r="X292" s="6">
        <f>R292+V292</f>
        <v>209.50000000000034</v>
      </c>
      <c r="Y292" s="100">
        <f t="shared" ref="Y292" si="84">IF(X292&lt;0,1+Y291,Y291)</f>
        <v>109</v>
      </c>
      <c r="Z292" s="227">
        <v>276</v>
      </c>
      <c r="AA292" s="4">
        <f>Y292/Z292</f>
        <v>0.39492753623188404</v>
      </c>
      <c r="AC292" s="460">
        <f>S292/Z292</f>
        <v>0.44927536231884058</v>
      </c>
      <c r="AD292" s="457">
        <f>W292/Z292</f>
        <v>0.46376811594202899</v>
      </c>
    </row>
    <row r="293" spans="1:30">
      <c r="A293" s="13">
        <f t="shared" si="70"/>
        <v>2007</v>
      </c>
      <c r="B293" s="13">
        <f t="shared" si="71"/>
        <v>1</v>
      </c>
      <c r="C293" s="200">
        <f>RESID!J293</f>
        <v>96.8</v>
      </c>
      <c r="D293" s="200">
        <f>RESID!K293</f>
        <v>49.5</v>
      </c>
      <c r="E293" s="13">
        <f t="shared" si="61"/>
        <v>47.3</v>
      </c>
      <c r="F293" s="100">
        <f t="shared" si="62"/>
        <v>0</v>
      </c>
      <c r="G293" s="200">
        <f>RESID!M293</f>
        <v>54.1</v>
      </c>
      <c r="H293" s="200">
        <f>RESID!N293</f>
        <v>131.6</v>
      </c>
      <c r="I293" s="200">
        <f t="shared" si="63"/>
        <v>-77.5</v>
      </c>
      <c r="J293" s="100">
        <f t="shared" si="64"/>
        <v>1</v>
      </c>
      <c r="K293" s="171">
        <f t="shared" si="65"/>
        <v>-30.200000000000003</v>
      </c>
      <c r="L293" s="100">
        <f t="shared" si="66"/>
        <v>131</v>
      </c>
      <c r="N293" s="447">
        <v>40909</v>
      </c>
      <c r="O293" s="13">
        <f t="shared" si="72"/>
        <v>1</v>
      </c>
      <c r="P293" s="76">
        <f>SUM(RESID!J342:J353)</f>
        <v>3154</v>
      </c>
      <c r="Q293" s="446">
        <f>SUM(RESID!K342:K353)</f>
        <v>2990.7999999999997</v>
      </c>
      <c r="R293" s="4">
        <f t="shared" ref="R293:R305" si="85">P293-Q293</f>
        <v>163.20000000000027</v>
      </c>
      <c r="S293" s="100">
        <f t="shared" ref="S293:S305" si="86">IF(R293&lt;0,1+S292,S292)</f>
        <v>124</v>
      </c>
      <c r="T293" s="76">
        <f>SUM(RESID!M342:M353)</f>
        <v>423.70000000000005</v>
      </c>
      <c r="U293" s="446">
        <f>SUM(RESID!N342:N353)</f>
        <v>500.5</v>
      </c>
      <c r="V293" s="4">
        <f t="shared" ref="V293:V305" si="87">T293-U293</f>
        <v>-76.799999999999955</v>
      </c>
      <c r="W293" s="100">
        <f t="shared" ref="W293:W305" si="88">IF(V293&lt;0,1+W292,W292)</f>
        <v>129</v>
      </c>
      <c r="X293" s="6">
        <f t="shared" ref="X293:X305" si="89">R293+V293</f>
        <v>86.400000000000318</v>
      </c>
      <c r="Y293" s="100">
        <f t="shared" ref="Y293:Y305" si="90">IF(X293&lt;0,1+Y292,Y292)</f>
        <v>109</v>
      </c>
    </row>
    <row r="294" spans="1:30">
      <c r="A294" s="13">
        <f t="shared" si="70"/>
        <v>2007</v>
      </c>
      <c r="B294" s="13">
        <f t="shared" si="71"/>
        <v>2</v>
      </c>
      <c r="C294" s="200">
        <f>RESID!J294</f>
        <v>31</v>
      </c>
      <c r="D294" s="200">
        <f>RESID!K294</f>
        <v>43.3</v>
      </c>
      <c r="E294" s="13">
        <f t="shared" si="61"/>
        <v>-12.299999999999997</v>
      </c>
      <c r="F294" s="100">
        <f t="shared" si="62"/>
        <v>1</v>
      </c>
      <c r="G294" s="200">
        <f>RESID!M294</f>
        <v>150</v>
      </c>
      <c r="H294" s="200">
        <f>RESID!N294</f>
        <v>127.9</v>
      </c>
      <c r="I294" s="200">
        <f t="shared" si="63"/>
        <v>22.099999999999994</v>
      </c>
      <c r="J294" s="100">
        <f t="shared" si="64"/>
        <v>0</v>
      </c>
      <c r="K294" s="171">
        <f t="shared" si="65"/>
        <v>9.7999999999999972</v>
      </c>
      <c r="L294" s="100">
        <f t="shared" si="66"/>
        <v>131</v>
      </c>
      <c r="N294" s="447">
        <v>40940</v>
      </c>
      <c r="O294" s="13">
        <f t="shared" si="72"/>
        <v>2</v>
      </c>
      <c r="P294" s="76">
        <f>SUM(RESID!J343:J354)</f>
        <v>3185</v>
      </c>
      <c r="Q294" s="446">
        <f>SUM(RESID!K343:K354)</f>
        <v>2990.8</v>
      </c>
      <c r="R294" s="4">
        <f t="shared" si="85"/>
        <v>194.19999999999982</v>
      </c>
      <c r="S294" s="100">
        <f t="shared" si="86"/>
        <v>124</v>
      </c>
      <c r="T294" s="76">
        <f>SUM(RESID!M343:M354)</f>
        <v>350</v>
      </c>
      <c r="U294" s="446">
        <f>SUM(RESID!N343:N354)</f>
        <v>500.5</v>
      </c>
      <c r="V294" s="4">
        <f t="shared" si="87"/>
        <v>-150.5</v>
      </c>
      <c r="W294" s="100">
        <f t="shared" si="88"/>
        <v>130</v>
      </c>
      <c r="X294" s="6">
        <f t="shared" si="89"/>
        <v>43.699999999999818</v>
      </c>
      <c r="Y294" s="100">
        <f t="shared" si="90"/>
        <v>109</v>
      </c>
    </row>
    <row r="295" spans="1:30">
      <c r="A295" s="13">
        <f t="shared" si="70"/>
        <v>2007</v>
      </c>
      <c r="B295" s="13">
        <f t="shared" si="71"/>
        <v>3</v>
      </c>
      <c r="C295" s="200">
        <f>RESID!J295</f>
        <v>66.400000000000006</v>
      </c>
      <c r="D295" s="200">
        <f>RESID!K295</f>
        <v>77.2</v>
      </c>
      <c r="E295" s="13">
        <f t="shared" si="61"/>
        <v>-10.799999999999997</v>
      </c>
      <c r="F295" s="100">
        <f t="shared" si="62"/>
        <v>1</v>
      </c>
      <c r="G295" s="200">
        <f>RESID!M295</f>
        <v>103.5</v>
      </c>
      <c r="H295" s="200">
        <f>RESID!N295</f>
        <v>82.3</v>
      </c>
      <c r="I295" s="200">
        <f t="shared" si="63"/>
        <v>21.200000000000003</v>
      </c>
      <c r="J295" s="100">
        <f t="shared" si="64"/>
        <v>0</v>
      </c>
      <c r="K295" s="171">
        <f t="shared" si="65"/>
        <v>10.400000000000006</v>
      </c>
      <c r="L295" s="100">
        <f t="shared" si="66"/>
        <v>131</v>
      </c>
      <c r="N295" s="447">
        <v>40969</v>
      </c>
      <c r="O295" s="13">
        <f t="shared" si="72"/>
        <v>3</v>
      </c>
      <c r="P295" s="76">
        <f>SUM(RESID!J344:J355)</f>
        <v>3213.2000000000003</v>
      </c>
      <c r="Q295" s="446">
        <f>SUM(RESID!K344:K355)</f>
        <v>2990.7999999999997</v>
      </c>
      <c r="R295" s="4">
        <f t="shared" si="85"/>
        <v>222.40000000000055</v>
      </c>
      <c r="S295" s="100">
        <f t="shared" si="86"/>
        <v>124</v>
      </c>
      <c r="T295" s="76">
        <f>SUM(RESID!M344:M355)</f>
        <v>332.5</v>
      </c>
      <c r="U295" s="446">
        <f>SUM(RESID!N344:N355)</f>
        <v>500.49999999999994</v>
      </c>
      <c r="V295" s="4">
        <f t="shared" si="87"/>
        <v>-167.99999999999994</v>
      </c>
      <c r="W295" s="100">
        <f t="shared" si="88"/>
        <v>131</v>
      </c>
      <c r="X295" s="6">
        <f t="shared" si="89"/>
        <v>54.400000000000603</v>
      </c>
      <c r="Y295" s="100">
        <f t="shared" si="90"/>
        <v>109</v>
      </c>
    </row>
    <row r="296" spans="1:30">
      <c r="A296" s="13">
        <f t="shared" si="70"/>
        <v>2007</v>
      </c>
      <c r="B296" s="13">
        <f t="shared" si="71"/>
        <v>4</v>
      </c>
      <c r="C296" s="200">
        <f>RESID!J296</f>
        <v>130</v>
      </c>
      <c r="D296" s="200">
        <f>RESID!K296</f>
        <v>138.1</v>
      </c>
      <c r="E296" s="13">
        <f t="shared" si="61"/>
        <v>-8.0999999999999943</v>
      </c>
      <c r="F296" s="100">
        <f t="shared" si="62"/>
        <v>1</v>
      </c>
      <c r="G296" s="200">
        <f>RESID!M296</f>
        <v>33.299999999999997</v>
      </c>
      <c r="H296" s="200">
        <f>RESID!N296</f>
        <v>37.299999999999997</v>
      </c>
      <c r="I296" s="200">
        <f t="shared" si="63"/>
        <v>-4</v>
      </c>
      <c r="J296" s="100">
        <f t="shared" si="64"/>
        <v>1</v>
      </c>
      <c r="K296" s="171">
        <f t="shared" si="65"/>
        <v>-12.099999999999994</v>
      </c>
      <c r="L296" s="100">
        <f t="shared" si="66"/>
        <v>132</v>
      </c>
      <c r="N296" s="447">
        <v>41000</v>
      </c>
      <c r="O296" s="13">
        <f t="shared" si="72"/>
        <v>4</v>
      </c>
      <c r="P296" s="76">
        <f>SUM(RESID!J345:J356)</f>
        <v>3267.1000000000004</v>
      </c>
      <c r="Q296" s="446">
        <f>SUM(RESID!K345:K356)</f>
        <v>2990.8</v>
      </c>
      <c r="R296" s="4">
        <f t="shared" si="85"/>
        <v>276.30000000000018</v>
      </c>
      <c r="S296" s="100">
        <f t="shared" si="86"/>
        <v>124</v>
      </c>
      <c r="T296" s="76">
        <f>SUM(RESID!M345:M356)</f>
        <v>315.79999999999995</v>
      </c>
      <c r="U296" s="446">
        <f>SUM(RESID!N345:N356)</f>
        <v>500.5</v>
      </c>
      <c r="V296" s="4">
        <f t="shared" si="87"/>
        <v>-184.70000000000005</v>
      </c>
      <c r="W296" s="100">
        <f t="shared" si="88"/>
        <v>132</v>
      </c>
      <c r="X296" s="6">
        <f t="shared" si="89"/>
        <v>91.600000000000136</v>
      </c>
      <c r="Y296" s="100">
        <f t="shared" si="90"/>
        <v>109</v>
      </c>
    </row>
    <row r="297" spans="1:30">
      <c r="A297" s="13">
        <f t="shared" si="70"/>
        <v>2007</v>
      </c>
      <c r="B297" s="13">
        <f t="shared" si="71"/>
        <v>5</v>
      </c>
      <c r="C297" s="200">
        <f>RESID!J297</f>
        <v>213.9</v>
      </c>
      <c r="D297" s="200">
        <f>RESID!K297</f>
        <v>224.4</v>
      </c>
      <c r="E297" s="13">
        <f t="shared" si="61"/>
        <v>-10.5</v>
      </c>
      <c r="F297" s="100">
        <f t="shared" si="62"/>
        <v>1</v>
      </c>
      <c r="G297" s="200">
        <f>RESID!M297</f>
        <v>12.4</v>
      </c>
      <c r="H297" s="200">
        <f>RESID!N297</f>
        <v>11.2</v>
      </c>
      <c r="I297" s="200">
        <f t="shared" si="63"/>
        <v>1.2000000000000011</v>
      </c>
      <c r="J297" s="100">
        <f t="shared" si="64"/>
        <v>0</v>
      </c>
      <c r="K297" s="171">
        <f t="shared" si="65"/>
        <v>-9.2999999999999989</v>
      </c>
      <c r="L297" s="100">
        <f t="shared" si="66"/>
        <v>133</v>
      </c>
      <c r="N297" s="447">
        <v>41030</v>
      </c>
      <c r="O297" s="13">
        <f t="shared" si="72"/>
        <v>5</v>
      </c>
      <c r="P297" s="76">
        <f>SUM(RESID!J346:J357)</f>
        <v>3205.9</v>
      </c>
      <c r="Q297" s="446">
        <f>SUM(RESID!K346:K357)</f>
        <v>2990.8</v>
      </c>
      <c r="R297" s="4">
        <f t="shared" si="85"/>
        <v>215.09999999999991</v>
      </c>
      <c r="S297" s="100">
        <f t="shared" si="86"/>
        <v>124</v>
      </c>
      <c r="T297" s="76">
        <f>SUM(RESID!M346:M357)</f>
        <v>318.5</v>
      </c>
      <c r="U297" s="446">
        <f>SUM(RESID!N346:N357)</f>
        <v>500.50000000000006</v>
      </c>
      <c r="V297" s="4">
        <f t="shared" si="87"/>
        <v>-182.00000000000006</v>
      </c>
      <c r="W297" s="100">
        <f t="shared" si="88"/>
        <v>133</v>
      </c>
      <c r="X297" s="6">
        <f t="shared" si="89"/>
        <v>33.099999999999852</v>
      </c>
      <c r="Y297" s="100">
        <f t="shared" si="90"/>
        <v>109</v>
      </c>
    </row>
    <row r="298" spans="1:30">
      <c r="A298" s="13">
        <f t="shared" si="70"/>
        <v>2007</v>
      </c>
      <c r="B298" s="13">
        <f t="shared" si="71"/>
        <v>6</v>
      </c>
      <c r="C298" s="200">
        <f>RESID!J298</f>
        <v>331.7</v>
      </c>
      <c r="D298" s="200">
        <f>RESID!K298</f>
        <v>382.8</v>
      </c>
      <c r="E298" s="13">
        <f t="shared" si="61"/>
        <v>-51.100000000000023</v>
      </c>
      <c r="F298" s="100">
        <f t="shared" si="62"/>
        <v>1</v>
      </c>
      <c r="G298" s="200">
        <f>RESID!M298</f>
        <v>1</v>
      </c>
      <c r="H298" s="200">
        <f>RESID!N298</f>
        <v>0.9</v>
      </c>
      <c r="I298" s="200">
        <f t="shared" si="63"/>
        <v>9.9999999999999978E-2</v>
      </c>
      <c r="J298" s="100">
        <f t="shared" si="64"/>
        <v>0</v>
      </c>
      <c r="K298" s="171">
        <f t="shared" si="65"/>
        <v>-51.000000000000021</v>
      </c>
      <c r="L298" s="100">
        <f t="shared" si="66"/>
        <v>134</v>
      </c>
      <c r="N298" s="447">
        <v>41061</v>
      </c>
      <c r="O298" s="13">
        <f t="shared" si="72"/>
        <v>6</v>
      </c>
      <c r="P298" s="76">
        <f>SUM(RESID!J347:J358)</f>
        <v>3194.7999999999997</v>
      </c>
      <c r="Q298" s="446">
        <f>SUM(RESID!K347:K358)</f>
        <v>2990.8</v>
      </c>
      <c r="R298" s="4">
        <f t="shared" si="85"/>
        <v>203.99999999999955</v>
      </c>
      <c r="S298" s="100">
        <f t="shared" si="86"/>
        <v>124</v>
      </c>
      <c r="T298" s="76">
        <f>SUM(RESID!M347:M358)</f>
        <v>317.3</v>
      </c>
      <c r="U298" s="446">
        <f>SUM(RESID!N347:N358)</f>
        <v>500.5</v>
      </c>
      <c r="V298" s="4">
        <f t="shared" si="87"/>
        <v>-183.2</v>
      </c>
      <c r="W298" s="100">
        <f t="shared" si="88"/>
        <v>134</v>
      </c>
      <c r="X298" s="6">
        <f t="shared" si="89"/>
        <v>20.799999999999557</v>
      </c>
      <c r="Y298" s="100">
        <f t="shared" si="90"/>
        <v>109</v>
      </c>
    </row>
    <row r="299" spans="1:30">
      <c r="A299" s="13">
        <f t="shared" si="70"/>
        <v>2007</v>
      </c>
      <c r="B299" s="13">
        <f t="shared" si="71"/>
        <v>7</v>
      </c>
      <c r="C299" s="200">
        <f>RESID!J299</f>
        <v>460</v>
      </c>
      <c r="D299" s="200">
        <f>RESID!K299</f>
        <v>454.9</v>
      </c>
      <c r="E299" s="13">
        <f t="shared" si="61"/>
        <v>5.1000000000000227</v>
      </c>
      <c r="F299" s="100">
        <f t="shared" si="62"/>
        <v>0</v>
      </c>
      <c r="G299" s="200">
        <f>RESID!M299</f>
        <v>0</v>
      </c>
      <c r="H299" s="200">
        <f>RESID!N299</f>
        <v>0</v>
      </c>
      <c r="I299" s="200">
        <f t="shared" si="63"/>
        <v>0</v>
      </c>
      <c r="J299" s="100">
        <f t="shared" si="64"/>
        <v>0</v>
      </c>
      <c r="K299" s="171">
        <f t="shared" si="65"/>
        <v>5.1000000000000227</v>
      </c>
      <c r="L299" s="100">
        <f t="shared" si="66"/>
        <v>134</v>
      </c>
      <c r="N299" s="447">
        <v>41091</v>
      </c>
      <c r="O299" s="13">
        <f t="shared" si="72"/>
        <v>7</v>
      </c>
      <c r="P299" s="76">
        <f>SUM(RESID!J348:J359)</f>
        <v>3138.6</v>
      </c>
      <c r="Q299" s="446">
        <f>SUM(RESID!K348:K359)</f>
        <v>2990.8</v>
      </c>
      <c r="R299" s="4">
        <f t="shared" si="85"/>
        <v>147.79999999999973</v>
      </c>
      <c r="S299" s="100">
        <f t="shared" si="86"/>
        <v>124</v>
      </c>
      <c r="T299" s="76">
        <f>SUM(RESID!M348:M359)</f>
        <v>317.2</v>
      </c>
      <c r="U299" s="446">
        <f>SUM(RESID!N348:N359)</f>
        <v>500.5</v>
      </c>
      <c r="V299" s="4">
        <f t="shared" si="87"/>
        <v>-183.3</v>
      </c>
      <c r="W299" s="100">
        <f t="shared" si="88"/>
        <v>135</v>
      </c>
      <c r="X299" s="6">
        <f t="shared" si="89"/>
        <v>-35.500000000000284</v>
      </c>
      <c r="Y299" s="100">
        <f t="shared" si="90"/>
        <v>110</v>
      </c>
    </row>
    <row r="300" spans="1:30">
      <c r="A300" s="13">
        <f t="shared" si="70"/>
        <v>2007</v>
      </c>
      <c r="B300" s="13">
        <f t="shared" si="71"/>
        <v>8</v>
      </c>
      <c r="C300" s="200">
        <f>RESID!J300</f>
        <v>509.9</v>
      </c>
      <c r="D300" s="200">
        <f>RESID!K300</f>
        <v>481.4</v>
      </c>
      <c r="E300" s="13">
        <f t="shared" si="61"/>
        <v>28.5</v>
      </c>
      <c r="F300" s="100">
        <f t="shared" si="62"/>
        <v>0</v>
      </c>
      <c r="G300" s="200">
        <f>RESID!M300</f>
        <v>0</v>
      </c>
      <c r="H300" s="200">
        <f>RESID!N300</f>
        <v>0</v>
      </c>
      <c r="I300" s="200">
        <f t="shared" si="63"/>
        <v>0</v>
      </c>
      <c r="J300" s="100">
        <f t="shared" si="64"/>
        <v>0</v>
      </c>
      <c r="K300" s="171">
        <f t="shared" si="65"/>
        <v>28.5</v>
      </c>
      <c r="L300" s="100">
        <f t="shared" si="66"/>
        <v>134</v>
      </c>
      <c r="N300" s="447">
        <v>41122</v>
      </c>
      <c r="O300" s="13">
        <f t="shared" si="72"/>
        <v>8</v>
      </c>
      <c r="P300" s="76">
        <f>SUM(RESID!J349:J360)</f>
        <v>3106.2</v>
      </c>
      <c r="Q300" s="446">
        <f>SUM(RESID!K349:K360)</f>
        <v>2990.8</v>
      </c>
      <c r="R300" s="4">
        <f t="shared" si="85"/>
        <v>115.39999999999964</v>
      </c>
      <c r="S300" s="100">
        <f t="shared" si="86"/>
        <v>124</v>
      </c>
      <c r="T300" s="76">
        <f>SUM(RESID!M349:M360)</f>
        <v>317.2</v>
      </c>
      <c r="U300" s="446">
        <f>SUM(RESID!N349:N360)</f>
        <v>500.5</v>
      </c>
      <c r="V300" s="4">
        <f t="shared" si="87"/>
        <v>-183.3</v>
      </c>
      <c r="W300" s="100">
        <f t="shared" si="88"/>
        <v>136</v>
      </c>
      <c r="X300" s="6">
        <f t="shared" si="89"/>
        <v>-67.900000000000375</v>
      </c>
      <c r="Y300" s="100">
        <f t="shared" si="90"/>
        <v>111</v>
      </c>
    </row>
    <row r="301" spans="1:30">
      <c r="A301" s="13">
        <f t="shared" si="70"/>
        <v>2007</v>
      </c>
      <c r="B301" s="13">
        <f t="shared" si="71"/>
        <v>9</v>
      </c>
      <c r="C301" s="200">
        <f>RESID!J301</f>
        <v>505.1</v>
      </c>
      <c r="D301" s="200">
        <f>RESID!K301</f>
        <v>473.7</v>
      </c>
      <c r="E301" s="13">
        <f t="shared" si="61"/>
        <v>31.400000000000034</v>
      </c>
      <c r="F301" s="100">
        <f t="shared" si="62"/>
        <v>0</v>
      </c>
      <c r="G301" s="200">
        <f>RESID!M301</f>
        <v>0</v>
      </c>
      <c r="H301" s="200">
        <f>RESID!N301</f>
        <v>0</v>
      </c>
      <c r="I301" s="200">
        <f t="shared" si="63"/>
        <v>0</v>
      </c>
      <c r="J301" s="100">
        <f t="shared" si="64"/>
        <v>0</v>
      </c>
      <c r="K301" s="171">
        <f t="shared" si="65"/>
        <v>31.400000000000034</v>
      </c>
      <c r="L301" s="100">
        <f t="shared" si="66"/>
        <v>134</v>
      </c>
      <c r="N301" s="447">
        <v>41153</v>
      </c>
      <c r="O301" s="13">
        <f t="shared" si="72"/>
        <v>9</v>
      </c>
      <c r="P301" s="76">
        <f>SUM(RESID!J350:J361)</f>
        <v>3075.8999999999996</v>
      </c>
      <c r="Q301" s="446">
        <f>SUM(RESID!K350:K361)</f>
        <v>2990.7999999999997</v>
      </c>
      <c r="R301" s="4">
        <f t="shared" si="85"/>
        <v>85.099999999999909</v>
      </c>
      <c r="S301" s="100">
        <f t="shared" si="86"/>
        <v>124</v>
      </c>
      <c r="T301" s="76">
        <f>SUM(RESID!M350:M361)</f>
        <v>317.10000000000002</v>
      </c>
      <c r="U301" s="446">
        <f>SUM(RESID!N350:N361)</f>
        <v>500.5</v>
      </c>
      <c r="V301" s="4">
        <f t="shared" si="87"/>
        <v>-183.39999999999998</v>
      </c>
      <c r="W301" s="100">
        <f t="shared" si="88"/>
        <v>137</v>
      </c>
      <c r="X301" s="6">
        <f t="shared" si="89"/>
        <v>-98.300000000000068</v>
      </c>
      <c r="Y301" s="100">
        <f t="shared" si="90"/>
        <v>112</v>
      </c>
    </row>
    <row r="302" spans="1:30">
      <c r="A302" s="13">
        <f t="shared" si="70"/>
        <v>2007</v>
      </c>
      <c r="B302" s="13">
        <f t="shared" si="71"/>
        <v>10</v>
      </c>
      <c r="C302" s="200">
        <f>RESID!J302</f>
        <v>402.4</v>
      </c>
      <c r="D302" s="200">
        <f>RESID!K302</f>
        <v>373.2</v>
      </c>
      <c r="E302" s="13">
        <f t="shared" si="61"/>
        <v>29.199999999999989</v>
      </c>
      <c r="F302" s="100">
        <f t="shared" si="62"/>
        <v>0</v>
      </c>
      <c r="G302" s="200">
        <f>RESID!M302</f>
        <v>0.3</v>
      </c>
      <c r="H302" s="200">
        <f>RESID!N302</f>
        <v>1.3</v>
      </c>
      <c r="I302" s="200">
        <f t="shared" si="63"/>
        <v>-1</v>
      </c>
      <c r="J302" s="100">
        <f t="shared" si="64"/>
        <v>1</v>
      </c>
      <c r="K302" s="171">
        <f t="shared" si="65"/>
        <v>28.199999999999989</v>
      </c>
      <c r="L302" s="100">
        <f t="shared" si="66"/>
        <v>134</v>
      </c>
      <c r="N302" s="447">
        <v>41183</v>
      </c>
      <c r="O302" s="13">
        <f t="shared" si="72"/>
        <v>10</v>
      </c>
      <c r="P302" s="76">
        <f>SUM(RESID!J351:J362)</f>
        <v>3098.1</v>
      </c>
      <c r="Q302" s="446">
        <f>SUM(RESID!K351:K362)</f>
        <v>2990.7999999999997</v>
      </c>
      <c r="R302" s="4">
        <f t="shared" si="85"/>
        <v>107.30000000000018</v>
      </c>
      <c r="S302" s="100">
        <f t="shared" si="86"/>
        <v>124</v>
      </c>
      <c r="T302" s="76">
        <f>SUM(RESID!M351:M362)</f>
        <v>315.3</v>
      </c>
      <c r="U302" s="446">
        <f>SUM(RESID!N351:N362)</f>
        <v>500.5</v>
      </c>
      <c r="V302" s="4">
        <f t="shared" si="87"/>
        <v>-185.2</v>
      </c>
      <c r="W302" s="100">
        <f t="shared" si="88"/>
        <v>138</v>
      </c>
      <c r="X302" s="6">
        <f t="shared" si="89"/>
        <v>-77.899999999999807</v>
      </c>
      <c r="Y302" s="100">
        <f t="shared" si="90"/>
        <v>113</v>
      </c>
    </row>
    <row r="303" spans="1:30">
      <c r="A303" s="13">
        <f t="shared" si="70"/>
        <v>2007</v>
      </c>
      <c r="B303" s="13">
        <f t="shared" si="71"/>
        <v>11</v>
      </c>
      <c r="C303" s="200">
        <f>RESID!J303</f>
        <v>228.3</v>
      </c>
      <c r="D303" s="200">
        <f>RESID!K303</f>
        <v>204.3</v>
      </c>
      <c r="E303" s="13">
        <f t="shared" si="61"/>
        <v>24</v>
      </c>
      <c r="F303" s="100">
        <f t="shared" si="62"/>
        <v>0</v>
      </c>
      <c r="G303" s="200">
        <f>RESID!M303</f>
        <v>21</v>
      </c>
      <c r="H303" s="200">
        <f>RESID!N303</f>
        <v>24.1</v>
      </c>
      <c r="I303" s="200">
        <f t="shared" si="63"/>
        <v>-3.1000000000000014</v>
      </c>
      <c r="J303" s="100">
        <f t="shared" si="64"/>
        <v>1</v>
      </c>
      <c r="K303" s="171">
        <f t="shared" si="65"/>
        <v>20.9</v>
      </c>
      <c r="L303" s="100">
        <f t="shared" si="66"/>
        <v>134</v>
      </c>
      <c r="N303" s="447">
        <v>41214</v>
      </c>
      <c r="O303" s="13">
        <f t="shared" si="72"/>
        <v>11</v>
      </c>
      <c r="P303" s="76">
        <f>SUM(RESID!J352:J363)</f>
        <v>3150.9999999999995</v>
      </c>
      <c r="Q303" s="446">
        <f>SUM(RESID!K352:K363)</f>
        <v>2990.7999999999997</v>
      </c>
      <c r="R303" s="4">
        <f t="shared" si="85"/>
        <v>160.19999999999982</v>
      </c>
      <c r="S303" s="100">
        <f t="shared" si="86"/>
        <v>124</v>
      </c>
      <c r="T303" s="76">
        <f>SUM(RESID!M352:M363)</f>
        <v>315.3</v>
      </c>
      <c r="U303" s="446">
        <f>SUM(RESID!N352:N363)</f>
        <v>500.5</v>
      </c>
      <c r="V303" s="4">
        <f t="shared" si="87"/>
        <v>-185.2</v>
      </c>
      <c r="W303" s="100">
        <f t="shared" si="88"/>
        <v>139</v>
      </c>
      <c r="X303" s="6">
        <f t="shared" si="89"/>
        <v>-25.000000000000171</v>
      </c>
      <c r="Y303" s="100">
        <f t="shared" si="90"/>
        <v>114</v>
      </c>
    </row>
    <row r="304" spans="1:30">
      <c r="A304" s="90">
        <f t="shared" si="70"/>
        <v>2007</v>
      </c>
      <c r="B304" s="90">
        <f t="shared" si="71"/>
        <v>12</v>
      </c>
      <c r="C304" s="200">
        <f>RESID!J304</f>
        <v>110.7</v>
      </c>
      <c r="D304" s="200">
        <f>RESID!K304</f>
        <v>88</v>
      </c>
      <c r="E304" s="13">
        <f t="shared" si="61"/>
        <v>22.700000000000003</v>
      </c>
      <c r="F304" s="100">
        <f t="shared" si="62"/>
        <v>0</v>
      </c>
      <c r="G304" s="200">
        <f>RESID!M304</f>
        <v>50.6</v>
      </c>
      <c r="H304" s="200">
        <f>RESID!N304</f>
        <v>83.9</v>
      </c>
      <c r="I304" s="200">
        <f t="shared" si="63"/>
        <v>-33.300000000000004</v>
      </c>
      <c r="J304" s="100">
        <f t="shared" si="64"/>
        <v>1</v>
      </c>
      <c r="K304" s="171">
        <f t="shared" si="65"/>
        <v>-10.600000000000001</v>
      </c>
      <c r="L304" s="100">
        <f t="shared" si="66"/>
        <v>135</v>
      </c>
      <c r="N304" s="447">
        <v>41244</v>
      </c>
      <c r="O304" s="13">
        <f t="shared" si="72"/>
        <v>12</v>
      </c>
      <c r="P304" s="76">
        <f>SUM(RESID!J353:J364)</f>
        <v>3115.6</v>
      </c>
      <c r="Q304" s="446">
        <f>SUM(RESID!K353:K364)</f>
        <v>2990.7999999999997</v>
      </c>
      <c r="R304" s="4">
        <f t="shared" si="85"/>
        <v>124.80000000000018</v>
      </c>
      <c r="S304" s="100">
        <f t="shared" si="86"/>
        <v>124</v>
      </c>
      <c r="T304" s="76">
        <f>SUM(RESID!M353:M364)</f>
        <v>327.60000000000002</v>
      </c>
      <c r="U304" s="446">
        <f>SUM(RESID!N353:N364)</f>
        <v>500.5</v>
      </c>
      <c r="V304" s="4">
        <f t="shared" si="87"/>
        <v>-172.89999999999998</v>
      </c>
      <c r="W304" s="100">
        <f t="shared" si="88"/>
        <v>140</v>
      </c>
      <c r="X304" s="6">
        <f t="shared" si="89"/>
        <v>-48.099999999999795</v>
      </c>
      <c r="Y304" s="100">
        <f t="shared" si="90"/>
        <v>115</v>
      </c>
      <c r="AA304" s="339"/>
      <c r="AC304" s="458" t="s">
        <v>102</v>
      </c>
      <c r="AD304" s="459" t="s">
        <v>22</v>
      </c>
    </row>
    <row r="305" spans="1:30">
      <c r="A305" s="13">
        <f t="shared" si="70"/>
        <v>2008</v>
      </c>
      <c r="B305" s="13">
        <f t="shared" si="71"/>
        <v>1</v>
      </c>
      <c r="C305" s="200">
        <f>RESID!J305</f>
        <v>82.1</v>
      </c>
      <c r="D305" s="200">
        <f>RESID!K305</f>
        <v>49.5</v>
      </c>
      <c r="E305" s="13">
        <f t="shared" si="61"/>
        <v>32.599999999999994</v>
      </c>
      <c r="F305" s="100">
        <f t="shared" si="62"/>
        <v>0</v>
      </c>
      <c r="G305" s="200">
        <f>RESID!M305</f>
        <v>100.1</v>
      </c>
      <c r="H305" s="200">
        <f>RESID!N305</f>
        <v>131.6</v>
      </c>
      <c r="I305" s="200">
        <f t="shared" si="63"/>
        <v>-31.5</v>
      </c>
      <c r="J305" s="100">
        <f t="shared" si="64"/>
        <v>1</v>
      </c>
      <c r="K305" s="171">
        <f t="shared" si="65"/>
        <v>1.0999999999999943</v>
      </c>
      <c r="L305" s="100">
        <f t="shared" si="66"/>
        <v>135</v>
      </c>
      <c r="N305" s="447">
        <v>41275</v>
      </c>
      <c r="O305" s="13">
        <f t="shared" si="72"/>
        <v>1</v>
      </c>
      <c r="P305" s="76">
        <f>SUM(RESID!J354:J365)</f>
        <v>3132.1</v>
      </c>
      <c r="Q305" s="446">
        <f>SUM(RESID!K354:K365)</f>
        <v>2990.7999999999997</v>
      </c>
      <c r="R305" s="4">
        <f t="shared" si="85"/>
        <v>141.30000000000018</v>
      </c>
      <c r="S305" s="100">
        <f t="shared" si="86"/>
        <v>124</v>
      </c>
      <c r="T305" s="76">
        <f>SUM(RESID!M354:M365)</f>
        <v>313.8</v>
      </c>
      <c r="U305" s="446">
        <f>SUM(RESID!N354:N365)</f>
        <v>500.5</v>
      </c>
      <c r="V305" s="4">
        <f t="shared" si="87"/>
        <v>-186.7</v>
      </c>
      <c r="W305" s="100">
        <f t="shared" si="88"/>
        <v>141</v>
      </c>
      <c r="X305" s="6">
        <f t="shared" si="89"/>
        <v>-45.399999999999807</v>
      </c>
      <c r="Y305" s="100">
        <f t="shared" si="90"/>
        <v>116</v>
      </c>
      <c r="Z305" s="227">
        <v>289</v>
      </c>
      <c r="AA305" s="4">
        <f>Y305/Z305</f>
        <v>0.40138408304498269</v>
      </c>
      <c r="AC305" s="460">
        <f>S305/Z305</f>
        <v>0.4290657439446367</v>
      </c>
      <c r="AD305" s="457">
        <f>W305/Z305</f>
        <v>0.48788927335640137</v>
      </c>
    </row>
    <row r="306" spans="1:30">
      <c r="A306" s="13">
        <f t="shared" si="70"/>
        <v>2008</v>
      </c>
      <c r="B306" s="13">
        <f t="shared" si="71"/>
        <v>2</v>
      </c>
      <c r="C306" s="200">
        <f>RESID!J306</f>
        <v>53.1</v>
      </c>
      <c r="D306" s="200">
        <f>RESID!K306</f>
        <v>43.3</v>
      </c>
      <c r="E306" s="13">
        <f t="shared" si="61"/>
        <v>9.8000000000000043</v>
      </c>
      <c r="F306" s="100">
        <f t="shared" si="62"/>
        <v>0</v>
      </c>
      <c r="G306" s="200">
        <f>RESID!M306</f>
        <v>97.8</v>
      </c>
      <c r="H306" s="200">
        <f>RESID!N306</f>
        <v>127.9</v>
      </c>
      <c r="I306" s="200">
        <f t="shared" si="63"/>
        <v>-30.100000000000009</v>
      </c>
      <c r="J306" s="100">
        <f t="shared" si="64"/>
        <v>1</v>
      </c>
      <c r="K306" s="171">
        <f t="shared" si="65"/>
        <v>-20.300000000000004</v>
      </c>
      <c r="L306" s="100">
        <f t="shared" si="66"/>
        <v>136</v>
      </c>
      <c r="N306" s="447"/>
      <c r="O306" s="13"/>
      <c r="P306" s="76"/>
      <c r="Q306" s="446"/>
      <c r="R306" s="4"/>
      <c r="S306" s="100"/>
      <c r="T306" s="76"/>
      <c r="U306" s="446"/>
      <c r="V306" s="4"/>
      <c r="W306" s="100"/>
      <c r="X306" s="6"/>
      <c r="Y306" s="100"/>
    </row>
    <row r="307" spans="1:30">
      <c r="A307" s="13">
        <f t="shared" si="70"/>
        <v>2008</v>
      </c>
      <c r="B307" s="13">
        <f t="shared" si="71"/>
        <v>3</v>
      </c>
      <c r="C307" s="200">
        <f>RESID!J307</f>
        <v>75.5</v>
      </c>
      <c r="D307" s="200">
        <f>RESID!K307</f>
        <v>77.2</v>
      </c>
      <c r="E307" s="13">
        <f t="shared" si="61"/>
        <v>-1.7000000000000028</v>
      </c>
      <c r="F307" s="100">
        <f t="shared" si="62"/>
        <v>1</v>
      </c>
      <c r="G307" s="200">
        <f>RESID!M307</f>
        <v>70.400000000000006</v>
      </c>
      <c r="H307" s="200">
        <f>RESID!N307</f>
        <v>82.3</v>
      </c>
      <c r="I307" s="200">
        <f t="shared" si="63"/>
        <v>-11.899999999999991</v>
      </c>
      <c r="J307" s="100">
        <f t="shared" si="64"/>
        <v>1</v>
      </c>
      <c r="K307" s="171">
        <f t="shared" si="65"/>
        <v>-13.599999999999994</v>
      </c>
      <c r="L307" s="100">
        <f t="shared" si="66"/>
        <v>137</v>
      </c>
      <c r="N307" s="447"/>
      <c r="O307" s="13"/>
      <c r="P307" s="76"/>
      <c r="Q307" s="446"/>
      <c r="R307" s="4"/>
      <c r="S307" s="100"/>
      <c r="T307" s="76"/>
      <c r="U307" s="446"/>
      <c r="V307" s="4"/>
      <c r="W307" s="100"/>
      <c r="X307" s="6"/>
      <c r="Y307" s="100"/>
    </row>
    <row r="308" spans="1:30">
      <c r="A308" s="13">
        <f t="shared" si="70"/>
        <v>2008</v>
      </c>
      <c r="B308" s="13">
        <f t="shared" si="71"/>
        <v>4</v>
      </c>
      <c r="C308" s="200">
        <f>RESID!J308</f>
        <v>128.4</v>
      </c>
      <c r="D308" s="200">
        <f>RESID!K308</f>
        <v>138.1</v>
      </c>
      <c r="E308" s="13">
        <f t="shared" si="61"/>
        <v>-9.6999999999999886</v>
      </c>
      <c r="F308" s="100">
        <f t="shared" si="62"/>
        <v>1</v>
      </c>
      <c r="G308" s="200">
        <f>RESID!M308</f>
        <v>38.6</v>
      </c>
      <c r="H308" s="200">
        <f>RESID!N308</f>
        <v>37.299999999999997</v>
      </c>
      <c r="I308" s="200">
        <f t="shared" si="63"/>
        <v>1.3000000000000043</v>
      </c>
      <c r="J308" s="100">
        <f t="shared" si="64"/>
        <v>0</v>
      </c>
      <c r="K308" s="171">
        <f t="shared" si="65"/>
        <v>-8.3999999999999844</v>
      </c>
      <c r="L308" s="100">
        <f t="shared" si="66"/>
        <v>138</v>
      </c>
      <c r="N308" s="447"/>
      <c r="O308" s="13"/>
      <c r="P308" s="76"/>
      <c r="Q308" s="446"/>
      <c r="R308" s="4"/>
      <c r="S308" s="100"/>
      <c r="T308" s="76"/>
      <c r="U308" s="446"/>
      <c r="V308" s="4"/>
      <c r="W308" s="100"/>
      <c r="X308" s="6"/>
      <c r="Y308" s="100"/>
    </row>
    <row r="309" spans="1:30">
      <c r="A309" s="13">
        <f t="shared" si="70"/>
        <v>2008</v>
      </c>
      <c r="B309" s="13">
        <f t="shared" si="71"/>
        <v>5</v>
      </c>
      <c r="C309" s="200">
        <f>RESID!J309</f>
        <v>211.1</v>
      </c>
      <c r="D309" s="200">
        <f>RESID!K309</f>
        <v>224.4</v>
      </c>
      <c r="E309" s="13">
        <f t="shared" si="61"/>
        <v>-13.300000000000011</v>
      </c>
      <c r="F309" s="100">
        <f t="shared" si="62"/>
        <v>1</v>
      </c>
      <c r="G309" s="200">
        <f>RESID!M309</f>
        <v>14.9</v>
      </c>
      <c r="H309" s="200">
        <f>RESID!N309</f>
        <v>11.2</v>
      </c>
      <c r="I309" s="200">
        <f t="shared" si="63"/>
        <v>3.7000000000000011</v>
      </c>
      <c r="J309" s="100">
        <f t="shared" si="64"/>
        <v>0</v>
      </c>
      <c r="K309" s="171">
        <f t="shared" si="65"/>
        <v>-9.6000000000000103</v>
      </c>
      <c r="L309" s="100">
        <f t="shared" si="66"/>
        <v>139</v>
      </c>
      <c r="N309" s="447"/>
      <c r="O309" s="13"/>
      <c r="P309" s="76"/>
      <c r="Q309" s="446"/>
      <c r="R309" s="4"/>
      <c r="S309" s="100"/>
      <c r="T309" s="76"/>
      <c r="U309" s="446"/>
      <c r="V309" s="4"/>
      <c r="W309" s="100"/>
      <c r="X309" s="6"/>
      <c r="Y309" s="100"/>
    </row>
    <row r="310" spans="1:30">
      <c r="A310" s="13">
        <f t="shared" si="70"/>
        <v>2008</v>
      </c>
      <c r="B310" s="13">
        <f t="shared" si="71"/>
        <v>6</v>
      </c>
      <c r="C310" s="200">
        <f>RESID!J310</f>
        <v>400.2</v>
      </c>
      <c r="D310" s="200">
        <f>RESID!K310</f>
        <v>382.8</v>
      </c>
      <c r="E310" s="13">
        <f t="shared" si="61"/>
        <v>17.399999999999977</v>
      </c>
      <c r="F310" s="100">
        <f t="shared" si="62"/>
        <v>0</v>
      </c>
      <c r="G310" s="200">
        <f>RESID!M310</f>
        <v>0.9</v>
      </c>
      <c r="H310" s="200">
        <f>RESID!N310</f>
        <v>0.9</v>
      </c>
      <c r="I310" s="200">
        <f t="shared" si="63"/>
        <v>0</v>
      </c>
      <c r="J310" s="100">
        <f t="shared" si="64"/>
        <v>0</v>
      </c>
      <c r="K310" s="171">
        <f t="shared" si="65"/>
        <v>17.399999999999977</v>
      </c>
      <c r="L310" s="100">
        <f t="shared" si="66"/>
        <v>139</v>
      </c>
      <c r="N310" s="447"/>
      <c r="O310" s="13"/>
      <c r="P310" s="76"/>
      <c r="Q310" s="446"/>
      <c r="R310" s="4"/>
      <c r="S310" s="100"/>
      <c r="T310" s="76"/>
      <c r="U310" s="446"/>
      <c r="V310" s="4"/>
      <c r="W310" s="100"/>
      <c r="X310" s="6"/>
      <c r="Y310" s="100"/>
    </row>
    <row r="311" spans="1:30">
      <c r="A311" s="13">
        <f t="shared" si="70"/>
        <v>2008</v>
      </c>
      <c r="B311" s="13">
        <f t="shared" si="71"/>
        <v>7</v>
      </c>
      <c r="C311" s="200">
        <f>RESID!J311</f>
        <v>433.6</v>
      </c>
      <c r="D311" s="200">
        <f>RESID!K311</f>
        <v>454.9</v>
      </c>
      <c r="E311" s="13">
        <f t="shared" si="61"/>
        <v>-21.299999999999955</v>
      </c>
      <c r="F311" s="100">
        <f t="shared" si="62"/>
        <v>1</v>
      </c>
      <c r="G311" s="200">
        <f>RESID!M311</f>
        <v>0</v>
      </c>
      <c r="H311" s="200">
        <f>RESID!N311</f>
        <v>0</v>
      </c>
      <c r="I311" s="200">
        <f t="shared" si="63"/>
        <v>0</v>
      </c>
      <c r="J311" s="100">
        <f t="shared" si="64"/>
        <v>0</v>
      </c>
      <c r="K311" s="171">
        <f t="shared" si="65"/>
        <v>-21.299999999999955</v>
      </c>
      <c r="L311" s="100">
        <f t="shared" si="66"/>
        <v>140</v>
      </c>
      <c r="N311" s="447"/>
      <c r="O311" s="13"/>
      <c r="P311" s="76"/>
      <c r="Q311" s="446"/>
      <c r="R311" s="4"/>
      <c r="S311" s="100"/>
      <c r="T311" s="76"/>
      <c r="U311" s="446"/>
      <c r="V311" s="4"/>
      <c r="W311" s="100"/>
      <c r="X311" s="6"/>
      <c r="Y311" s="100"/>
    </row>
    <row r="312" spans="1:30">
      <c r="A312" s="13">
        <f t="shared" si="70"/>
        <v>2008</v>
      </c>
      <c r="B312" s="13">
        <f t="shared" si="71"/>
        <v>8</v>
      </c>
      <c r="C312" s="200">
        <f>RESID!J312</f>
        <v>465.4</v>
      </c>
      <c r="D312" s="200">
        <f>RESID!K312</f>
        <v>481.4</v>
      </c>
      <c r="E312" s="13">
        <f t="shared" si="61"/>
        <v>-16</v>
      </c>
      <c r="F312" s="100">
        <f t="shared" si="62"/>
        <v>1</v>
      </c>
      <c r="G312" s="200">
        <f>RESID!M312</f>
        <v>0</v>
      </c>
      <c r="H312" s="200">
        <f>RESID!N312</f>
        <v>0</v>
      </c>
      <c r="I312" s="200">
        <f t="shared" si="63"/>
        <v>0</v>
      </c>
      <c r="J312" s="100">
        <f t="shared" si="64"/>
        <v>0</v>
      </c>
      <c r="K312" s="171">
        <f t="shared" si="65"/>
        <v>-16</v>
      </c>
      <c r="L312" s="100">
        <f t="shared" si="66"/>
        <v>141</v>
      </c>
      <c r="N312" s="447"/>
      <c r="O312" s="13"/>
      <c r="P312" s="76"/>
      <c r="Q312" s="446"/>
      <c r="R312" s="4"/>
      <c r="S312" s="100"/>
      <c r="T312" s="76"/>
      <c r="U312" s="446"/>
      <c r="V312" s="4"/>
      <c r="W312" s="100"/>
      <c r="X312" s="6"/>
      <c r="Y312" s="100"/>
    </row>
    <row r="313" spans="1:30">
      <c r="A313" s="13">
        <f t="shared" si="70"/>
        <v>2008</v>
      </c>
      <c r="B313" s="13">
        <f t="shared" si="71"/>
        <v>9</v>
      </c>
      <c r="C313" s="200">
        <f>RESID!J313</f>
        <v>486.9</v>
      </c>
      <c r="D313" s="200">
        <f>RESID!K313</f>
        <v>473.7</v>
      </c>
      <c r="E313" s="13">
        <f t="shared" si="61"/>
        <v>13.199999999999989</v>
      </c>
      <c r="F313" s="100">
        <f t="shared" si="62"/>
        <v>0</v>
      </c>
      <c r="G313" s="200">
        <f>RESID!M313</f>
        <v>0</v>
      </c>
      <c r="H313" s="200">
        <f>RESID!N313</f>
        <v>0</v>
      </c>
      <c r="I313" s="200">
        <f t="shared" si="63"/>
        <v>0</v>
      </c>
      <c r="J313" s="100">
        <f t="shared" si="64"/>
        <v>0</v>
      </c>
      <c r="K313" s="171">
        <f t="shared" si="65"/>
        <v>13.199999999999989</v>
      </c>
      <c r="L313" s="100">
        <f t="shared" si="66"/>
        <v>141</v>
      </c>
      <c r="N313" s="447"/>
      <c r="O313" s="13"/>
      <c r="P313" s="76"/>
      <c r="Q313" s="446"/>
      <c r="R313" s="4"/>
      <c r="S313" s="100"/>
      <c r="T313" s="76"/>
      <c r="U313" s="446"/>
      <c r="V313" s="4"/>
      <c r="W313" s="100"/>
      <c r="X313" s="6"/>
      <c r="Y313" s="100"/>
    </row>
    <row r="314" spans="1:30">
      <c r="A314" s="13">
        <f t="shared" si="70"/>
        <v>2008</v>
      </c>
      <c r="B314" s="13">
        <f t="shared" si="71"/>
        <v>10</v>
      </c>
      <c r="C314" s="200">
        <f>RESID!J314</f>
        <v>376.9</v>
      </c>
      <c r="D314" s="200">
        <f>RESID!K314</f>
        <v>373.2</v>
      </c>
      <c r="E314" s="13">
        <f t="shared" si="61"/>
        <v>3.6999999999999886</v>
      </c>
      <c r="F314" s="100">
        <f t="shared" si="62"/>
        <v>0</v>
      </c>
      <c r="G314" s="200">
        <f>RESID!M314</f>
        <v>1.2</v>
      </c>
      <c r="H314" s="200">
        <f>RESID!N314</f>
        <v>1.3</v>
      </c>
      <c r="I314" s="200">
        <f t="shared" si="63"/>
        <v>-0.10000000000000009</v>
      </c>
      <c r="J314" s="100">
        <f t="shared" si="64"/>
        <v>1</v>
      </c>
      <c r="K314" s="171">
        <f t="shared" si="65"/>
        <v>3.5999999999999885</v>
      </c>
      <c r="L314" s="100">
        <f t="shared" si="66"/>
        <v>141</v>
      </c>
      <c r="N314" s="447"/>
      <c r="O314" s="13"/>
      <c r="P314" s="76"/>
      <c r="Q314" s="446"/>
      <c r="R314" s="4"/>
      <c r="S314" s="100"/>
      <c r="T314" s="76"/>
      <c r="U314" s="446"/>
      <c r="V314" s="4"/>
      <c r="W314" s="100"/>
      <c r="X314" s="6"/>
      <c r="Y314" s="100"/>
    </row>
    <row r="315" spans="1:30">
      <c r="A315" s="13">
        <f t="shared" si="70"/>
        <v>2008</v>
      </c>
      <c r="B315" s="13">
        <f t="shared" si="71"/>
        <v>11</v>
      </c>
      <c r="C315" s="200">
        <f>RESID!J315</f>
        <v>179.4</v>
      </c>
      <c r="D315" s="200">
        <f>RESID!K315</f>
        <v>204.3</v>
      </c>
      <c r="E315" s="13">
        <f t="shared" si="61"/>
        <v>-24.900000000000006</v>
      </c>
      <c r="F315" s="100">
        <f t="shared" si="62"/>
        <v>1</v>
      </c>
      <c r="G315" s="200">
        <f>RESID!M315</f>
        <v>37.5</v>
      </c>
      <c r="H315" s="200">
        <f>RESID!N315</f>
        <v>24.1</v>
      </c>
      <c r="I315" s="200">
        <f t="shared" si="63"/>
        <v>13.399999999999999</v>
      </c>
      <c r="J315" s="100">
        <f t="shared" si="64"/>
        <v>0</v>
      </c>
      <c r="K315" s="171">
        <f t="shared" si="65"/>
        <v>-11.500000000000007</v>
      </c>
      <c r="L315" s="100">
        <f t="shared" si="66"/>
        <v>142</v>
      </c>
      <c r="N315" s="447"/>
      <c r="O315" s="13"/>
      <c r="P315" s="76"/>
      <c r="Q315" s="446"/>
      <c r="R315" s="4"/>
      <c r="S315" s="100"/>
      <c r="T315" s="76"/>
      <c r="U315" s="446"/>
      <c r="V315" s="4"/>
      <c r="W315" s="100"/>
      <c r="X315" s="6"/>
      <c r="Y315" s="100"/>
    </row>
    <row r="316" spans="1:30">
      <c r="A316" s="90">
        <f t="shared" si="70"/>
        <v>2008</v>
      </c>
      <c r="B316" s="90">
        <f t="shared" si="71"/>
        <v>12</v>
      </c>
      <c r="C316" s="210">
        <f>RESID!J316</f>
        <v>58.7</v>
      </c>
      <c r="D316" s="210">
        <f>RESID!K316</f>
        <v>88</v>
      </c>
      <c r="E316" s="90">
        <f t="shared" si="61"/>
        <v>-29.299999999999997</v>
      </c>
      <c r="F316" s="102">
        <f t="shared" si="62"/>
        <v>1</v>
      </c>
      <c r="G316" s="210">
        <f>RESID!M316</f>
        <v>118.3</v>
      </c>
      <c r="H316" s="210">
        <f>RESID!N316</f>
        <v>83.9</v>
      </c>
      <c r="I316" s="210">
        <f t="shared" si="63"/>
        <v>34.399999999999991</v>
      </c>
      <c r="J316" s="102">
        <f t="shared" si="64"/>
        <v>0</v>
      </c>
      <c r="K316" s="484">
        <f t="shared" si="65"/>
        <v>5.0999999999999943</v>
      </c>
      <c r="L316" s="102">
        <f t="shared" si="66"/>
        <v>142</v>
      </c>
      <c r="N316" s="447"/>
      <c r="O316" s="13"/>
      <c r="P316" s="76"/>
      <c r="Q316" s="446"/>
      <c r="R316" s="4"/>
      <c r="S316" s="100"/>
      <c r="T316" s="76"/>
      <c r="U316" s="446"/>
      <c r="V316" s="4"/>
      <c r="W316" s="100"/>
      <c r="X316" s="6"/>
      <c r="Y316" s="100"/>
    </row>
    <row r="317" spans="1:30">
      <c r="A317" s="13">
        <f t="shared" si="70"/>
        <v>2009</v>
      </c>
      <c r="B317" s="13">
        <f t="shared" si="71"/>
        <v>1</v>
      </c>
      <c r="C317" s="200">
        <f>RESID!J317</f>
        <v>65.599999999999994</v>
      </c>
      <c r="D317" s="200">
        <f>RESID!K317</f>
        <v>49.5</v>
      </c>
      <c r="E317" s="13">
        <f t="shared" si="61"/>
        <v>16.099999999999994</v>
      </c>
      <c r="F317" s="100">
        <f t="shared" si="62"/>
        <v>0</v>
      </c>
      <c r="G317" s="200">
        <f>RESID!M317</f>
        <v>90.9</v>
      </c>
      <c r="H317" s="200">
        <f>RESID!N317</f>
        <v>131.6</v>
      </c>
      <c r="I317" s="200">
        <f t="shared" si="63"/>
        <v>-40.699999999999989</v>
      </c>
      <c r="J317" s="100">
        <f t="shared" si="64"/>
        <v>1</v>
      </c>
      <c r="K317" s="171">
        <f t="shared" si="65"/>
        <v>-24.599999999999994</v>
      </c>
      <c r="L317" s="100">
        <f t="shared" si="66"/>
        <v>143</v>
      </c>
      <c r="N317" s="447"/>
      <c r="O317" s="13"/>
      <c r="P317" s="76"/>
      <c r="Q317" s="446"/>
      <c r="R317" s="4"/>
      <c r="S317" s="100"/>
      <c r="T317" s="76"/>
      <c r="U317" s="446"/>
      <c r="V317" s="4"/>
      <c r="W317" s="100"/>
      <c r="X317" s="6"/>
      <c r="Y317" s="100"/>
    </row>
    <row r="318" spans="1:30">
      <c r="A318" s="13">
        <f t="shared" si="70"/>
        <v>2009</v>
      </c>
      <c r="B318" s="13">
        <f t="shared" si="71"/>
        <v>2</v>
      </c>
      <c r="C318" s="200">
        <f>RESID!J318</f>
        <v>29.7</v>
      </c>
      <c r="D318" s="200">
        <f>RESID!K318</f>
        <v>43.3</v>
      </c>
      <c r="E318" s="13">
        <f t="shared" si="61"/>
        <v>-13.599999999999998</v>
      </c>
      <c r="F318" s="100">
        <f t="shared" si="62"/>
        <v>1</v>
      </c>
      <c r="G318" s="200">
        <f>RESID!M318</f>
        <v>195.6</v>
      </c>
      <c r="H318" s="200">
        <f>RESID!N318</f>
        <v>127.9</v>
      </c>
      <c r="I318" s="200">
        <f t="shared" si="63"/>
        <v>67.699999999999989</v>
      </c>
      <c r="J318" s="100">
        <f t="shared" si="64"/>
        <v>0</v>
      </c>
      <c r="K318" s="171">
        <f t="shared" si="65"/>
        <v>54.099999999999994</v>
      </c>
      <c r="L318" s="100">
        <f t="shared" si="66"/>
        <v>143</v>
      </c>
    </row>
    <row r="319" spans="1:30">
      <c r="A319" s="13">
        <f t="shared" si="70"/>
        <v>2009</v>
      </c>
      <c r="B319" s="13">
        <f t="shared" si="71"/>
        <v>3</v>
      </c>
      <c r="C319" s="200">
        <f>RESID!J319</f>
        <v>57.7</v>
      </c>
      <c r="D319" s="200">
        <f>RESID!K319</f>
        <v>77.2</v>
      </c>
      <c r="E319" s="13">
        <f t="shared" si="61"/>
        <v>-19.5</v>
      </c>
      <c r="F319" s="100">
        <f t="shared" si="62"/>
        <v>1</v>
      </c>
      <c r="G319" s="200">
        <f>RESID!M319</f>
        <v>114.2</v>
      </c>
      <c r="H319" s="200">
        <f>RESID!N319</f>
        <v>82.3</v>
      </c>
      <c r="I319" s="200">
        <f t="shared" si="63"/>
        <v>31.900000000000006</v>
      </c>
      <c r="J319" s="100">
        <f t="shared" si="64"/>
        <v>0</v>
      </c>
      <c r="K319" s="171">
        <f t="shared" si="65"/>
        <v>12.400000000000006</v>
      </c>
      <c r="L319" s="100">
        <f t="shared" si="66"/>
        <v>143</v>
      </c>
    </row>
    <row r="320" spans="1:30">
      <c r="A320" s="13">
        <f t="shared" si="70"/>
        <v>2009</v>
      </c>
      <c r="B320" s="13">
        <f t="shared" si="71"/>
        <v>4</v>
      </c>
      <c r="C320" s="200">
        <f>RESID!J320</f>
        <v>152.6</v>
      </c>
      <c r="D320" s="200">
        <f>RESID!K320</f>
        <v>138.1</v>
      </c>
      <c r="E320" s="13">
        <f t="shared" si="61"/>
        <v>14.5</v>
      </c>
      <c r="F320" s="100">
        <f t="shared" si="62"/>
        <v>0</v>
      </c>
      <c r="G320" s="200">
        <f>RESID!M320</f>
        <v>24.5</v>
      </c>
      <c r="H320" s="200">
        <f>RESID!N320</f>
        <v>37.299999999999997</v>
      </c>
      <c r="I320" s="200">
        <f t="shared" si="63"/>
        <v>-12.799999999999997</v>
      </c>
      <c r="J320" s="100">
        <f t="shared" si="64"/>
        <v>1</v>
      </c>
      <c r="K320" s="171">
        <f t="shared" si="65"/>
        <v>1.7000000000000028</v>
      </c>
      <c r="L320" s="100">
        <f t="shared" si="66"/>
        <v>143</v>
      </c>
    </row>
    <row r="321" spans="1:12">
      <c r="A321" s="13">
        <f t="shared" si="70"/>
        <v>2009</v>
      </c>
      <c r="B321" s="13">
        <f t="shared" si="71"/>
        <v>5</v>
      </c>
      <c r="C321" s="200">
        <f>RESID!J321</f>
        <v>252.5</v>
      </c>
      <c r="D321" s="200">
        <f>RESID!K321</f>
        <v>224.4</v>
      </c>
      <c r="E321" s="13">
        <f t="shared" si="61"/>
        <v>28.099999999999994</v>
      </c>
      <c r="F321" s="100">
        <f t="shared" si="62"/>
        <v>0</v>
      </c>
      <c r="G321" s="200">
        <f>RESID!M321</f>
        <v>8.6</v>
      </c>
      <c r="H321" s="200">
        <f>RESID!N321</f>
        <v>11.2</v>
      </c>
      <c r="I321" s="200">
        <f t="shared" si="63"/>
        <v>-2.5999999999999996</v>
      </c>
      <c r="J321" s="100">
        <f t="shared" si="64"/>
        <v>1</v>
      </c>
      <c r="K321" s="171">
        <f t="shared" si="65"/>
        <v>25.499999999999993</v>
      </c>
      <c r="L321" s="100">
        <f t="shared" si="66"/>
        <v>143</v>
      </c>
    </row>
    <row r="322" spans="1:12">
      <c r="A322" s="13">
        <f t="shared" si="70"/>
        <v>2009</v>
      </c>
      <c r="B322" s="13">
        <f t="shared" si="71"/>
        <v>6</v>
      </c>
      <c r="C322" s="200">
        <f>RESID!J322</f>
        <v>365.8</v>
      </c>
      <c r="D322" s="200">
        <f>RESID!K322</f>
        <v>382.8</v>
      </c>
      <c r="E322" s="13">
        <f t="shared" si="61"/>
        <v>-17</v>
      </c>
      <c r="F322" s="100">
        <f t="shared" si="62"/>
        <v>1</v>
      </c>
      <c r="G322" s="200">
        <f>RESID!M322</f>
        <v>0.3</v>
      </c>
      <c r="H322" s="200">
        <f>RESID!N322</f>
        <v>0.9</v>
      </c>
      <c r="I322" s="200">
        <f t="shared" si="63"/>
        <v>-0.60000000000000009</v>
      </c>
      <c r="J322" s="100">
        <f t="shared" si="64"/>
        <v>1</v>
      </c>
      <c r="K322" s="171">
        <f t="shared" si="65"/>
        <v>-17.600000000000001</v>
      </c>
      <c r="L322" s="100">
        <f t="shared" si="66"/>
        <v>144</v>
      </c>
    </row>
    <row r="323" spans="1:12">
      <c r="A323" s="13">
        <f t="shared" si="70"/>
        <v>2009</v>
      </c>
      <c r="B323" s="13">
        <f t="shared" si="71"/>
        <v>7</v>
      </c>
      <c r="C323" s="200">
        <f>RESID!J323</f>
        <v>477.6</v>
      </c>
      <c r="D323" s="200">
        <f>RESID!K323</f>
        <v>454.9</v>
      </c>
      <c r="E323" s="13">
        <f t="shared" si="61"/>
        <v>22.700000000000045</v>
      </c>
      <c r="F323" s="100">
        <f t="shared" si="62"/>
        <v>0</v>
      </c>
      <c r="G323" s="200">
        <f>RESID!M323</f>
        <v>0</v>
      </c>
      <c r="H323" s="200">
        <f>RESID!N323</f>
        <v>0</v>
      </c>
      <c r="I323" s="200">
        <f t="shared" si="63"/>
        <v>0</v>
      </c>
      <c r="J323" s="100">
        <f t="shared" si="64"/>
        <v>0</v>
      </c>
      <c r="K323" s="171">
        <f t="shared" si="65"/>
        <v>22.700000000000045</v>
      </c>
      <c r="L323" s="100">
        <f t="shared" si="66"/>
        <v>144</v>
      </c>
    </row>
    <row r="324" spans="1:12">
      <c r="A324" s="13">
        <f t="shared" si="70"/>
        <v>2009</v>
      </c>
      <c r="B324" s="13">
        <f t="shared" si="71"/>
        <v>8</v>
      </c>
      <c r="C324" s="200">
        <f>RESID!J324</f>
        <v>471.2</v>
      </c>
      <c r="D324" s="200">
        <f>RESID!K324</f>
        <v>481.4</v>
      </c>
      <c r="E324" s="13">
        <f t="shared" si="61"/>
        <v>-10.199999999999989</v>
      </c>
      <c r="F324" s="100">
        <f t="shared" si="62"/>
        <v>1</v>
      </c>
      <c r="G324" s="200">
        <f>RESID!M324</f>
        <v>0</v>
      </c>
      <c r="H324" s="200">
        <f>RESID!N324</f>
        <v>0</v>
      </c>
      <c r="I324" s="200">
        <f t="shared" si="63"/>
        <v>0</v>
      </c>
      <c r="J324" s="100">
        <f t="shared" si="64"/>
        <v>0</v>
      </c>
      <c r="K324" s="171">
        <f t="shared" si="65"/>
        <v>-10.199999999999989</v>
      </c>
      <c r="L324" s="100">
        <f t="shared" si="66"/>
        <v>145</v>
      </c>
    </row>
    <row r="325" spans="1:12">
      <c r="A325" s="13">
        <f t="shared" si="70"/>
        <v>2009</v>
      </c>
      <c r="B325" s="13">
        <f t="shared" si="71"/>
        <v>9</v>
      </c>
      <c r="C325" s="200">
        <f>RESID!J325</f>
        <v>459.2</v>
      </c>
      <c r="D325" s="200">
        <f>RESID!K325</f>
        <v>473.7</v>
      </c>
      <c r="E325" s="13">
        <f t="shared" si="61"/>
        <v>-14.5</v>
      </c>
      <c r="F325" s="100">
        <f t="shared" si="62"/>
        <v>1</v>
      </c>
      <c r="G325" s="200">
        <f>RESID!M325</f>
        <v>0</v>
      </c>
      <c r="H325" s="200">
        <f>RESID!N325</f>
        <v>0</v>
      </c>
      <c r="I325" s="200">
        <f t="shared" si="63"/>
        <v>0</v>
      </c>
      <c r="J325" s="100">
        <f t="shared" si="64"/>
        <v>0</v>
      </c>
      <c r="K325" s="171">
        <f t="shared" si="65"/>
        <v>-14.5</v>
      </c>
      <c r="L325" s="100">
        <f t="shared" si="66"/>
        <v>146</v>
      </c>
    </row>
    <row r="326" spans="1:12">
      <c r="A326" s="13">
        <f t="shared" si="70"/>
        <v>2009</v>
      </c>
      <c r="B326" s="13">
        <f t="shared" si="71"/>
        <v>10</v>
      </c>
      <c r="C326" s="200">
        <f>RESID!J326</f>
        <v>423.2</v>
      </c>
      <c r="D326" s="200">
        <f>RESID!K326</f>
        <v>373.2</v>
      </c>
      <c r="E326" s="13">
        <f t="shared" si="61"/>
        <v>50</v>
      </c>
      <c r="F326" s="100">
        <f t="shared" si="62"/>
        <v>0</v>
      </c>
      <c r="G326" s="200">
        <f>RESID!M326</f>
        <v>2.6</v>
      </c>
      <c r="H326" s="200">
        <f>RESID!N326</f>
        <v>1.3</v>
      </c>
      <c r="I326" s="200">
        <f t="shared" si="63"/>
        <v>1.3</v>
      </c>
      <c r="J326" s="100">
        <f t="shared" si="64"/>
        <v>0</v>
      </c>
      <c r="K326" s="171">
        <f t="shared" si="65"/>
        <v>51.3</v>
      </c>
      <c r="L326" s="100">
        <f t="shared" si="66"/>
        <v>146</v>
      </c>
    </row>
    <row r="327" spans="1:12">
      <c r="A327" s="13">
        <f t="shared" si="70"/>
        <v>2009</v>
      </c>
      <c r="B327" s="13">
        <f t="shared" si="71"/>
        <v>11</v>
      </c>
      <c r="C327" s="200">
        <f>RESID!J327</f>
        <v>264.8</v>
      </c>
      <c r="D327" s="200">
        <f>RESID!K327</f>
        <v>204.3</v>
      </c>
      <c r="E327" s="13">
        <f t="shared" si="61"/>
        <v>60.5</v>
      </c>
      <c r="F327" s="100">
        <f t="shared" si="62"/>
        <v>0</v>
      </c>
      <c r="G327" s="200">
        <f>RESID!M327</f>
        <v>14.6</v>
      </c>
      <c r="H327" s="200">
        <f>RESID!N327</f>
        <v>24.1</v>
      </c>
      <c r="I327" s="200">
        <f t="shared" si="63"/>
        <v>-9.5000000000000018</v>
      </c>
      <c r="J327" s="100">
        <f t="shared" si="64"/>
        <v>1</v>
      </c>
      <c r="K327" s="171">
        <f t="shared" si="65"/>
        <v>51</v>
      </c>
      <c r="L327" s="100">
        <f t="shared" si="66"/>
        <v>146</v>
      </c>
    </row>
    <row r="328" spans="1:12">
      <c r="A328" s="90">
        <f t="shared" si="70"/>
        <v>2009</v>
      </c>
      <c r="B328" s="90">
        <f t="shared" si="71"/>
        <v>12</v>
      </c>
      <c r="C328" s="210">
        <f>RESID!J328</f>
        <v>110.2</v>
      </c>
      <c r="D328" s="210">
        <f>RESID!K328</f>
        <v>88</v>
      </c>
      <c r="E328" s="90">
        <f t="shared" si="61"/>
        <v>22.200000000000003</v>
      </c>
      <c r="F328" s="102">
        <f t="shared" si="62"/>
        <v>0</v>
      </c>
      <c r="G328" s="210">
        <f>RESID!M328</f>
        <v>52.5</v>
      </c>
      <c r="H328" s="210">
        <f>RESID!N328</f>
        <v>83.9</v>
      </c>
      <c r="I328" s="210">
        <f t="shared" si="63"/>
        <v>-31.400000000000006</v>
      </c>
      <c r="J328" s="102">
        <f t="shared" si="64"/>
        <v>1</v>
      </c>
      <c r="K328" s="484">
        <f t="shared" si="65"/>
        <v>-9.2000000000000028</v>
      </c>
      <c r="L328" s="102">
        <f t="shared" si="66"/>
        <v>147</v>
      </c>
    </row>
    <row r="329" spans="1:12">
      <c r="A329" s="13">
        <f t="shared" si="70"/>
        <v>2010</v>
      </c>
      <c r="B329" s="13">
        <f t="shared" si="71"/>
        <v>1</v>
      </c>
      <c r="C329" s="200">
        <f>RESID!J329</f>
        <v>35.299999999999997</v>
      </c>
      <c r="D329" s="200">
        <f>RESID!K329</f>
        <v>49.5</v>
      </c>
      <c r="E329" s="13">
        <f t="shared" si="61"/>
        <v>-14.200000000000003</v>
      </c>
      <c r="F329" s="100">
        <f t="shared" si="62"/>
        <v>1</v>
      </c>
      <c r="G329" s="200">
        <f>RESID!M329</f>
        <v>256.8</v>
      </c>
      <c r="H329" s="200">
        <f>RESID!N329</f>
        <v>131.6</v>
      </c>
      <c r="I329" s="200">
        <f t="shared" si="63"/>
        <v>125.20000000000002</v>
      </c>
      <c r="J329" s="100">
        <f t="shared" si="64"/>
        <v>0</v>
      </c>
      <c r="K329" s="171">
        <f t="shared" si="65"/>
        <v>111.00000000000001</v>
      </c>
      <c r="L329" s="100">
        <f t="shared" si="66"/>
        <v>147</v>
      </c>
    </row>
    <row r="330" spans="1:12">
      <c r="A330" s="13">
        <f t="shared" si="70"/>
        <v>2010</v>
      </c>
      <c r="B330" s="13">
        <f t="shared" si="71"/>
        <v>2</v>
      </c>
      <c r="C330" s="200">
        <f>RESID!J330</f>
        <v>18.600000000000001</v>
      </c>
      <c r="D330" s="200">
        <f>RESID!K330</f>
        <v>43.3</v>
      </c>
      <c r="E330" s="13">
        <f t="shared" si="61"/>
        <v>-24.699999999999996</v>
      </c>
      <c r="F330" s="100">
        <f t="shared" si="62"/>
        <v>1</v>
      </c>
      <c r="G330" s="200">
        <f>RESID!M330</f>
        <v>218.6</v>
      </c>
      <c r="H330" s="200">
        <f>RESID!N330</f>
        <v>127.9</v>
      </c>
      <c r="I330" s="200">
        <f t="shared" si="63"/>
        <v>90.699999999999989</v>
      </c>
      <c r="J330" s="100">
        <f t="shared" si="64"/>
        <v>0</v>
      </c>
      <c r="K330" s="171">
        <f t="shared" si="65"/>
        <v>66</v>
      </c>
      <c r="L330" s="100">
        <f t="shared" si="66"/>
        <v>147</v>
      </c>
    </row>
    <row r="331" spans="1:12">
      <c r="A331" s="13">
        <f t="shared" si="70"/>
        <v>2010</v>
      </c>
      <c r="B331" s="13">
        <f t="shared" si="71"/>
        <v>3</v>
      </c>
      <c r="C331" s="200">
        <f>RESID!J331</f>
        <v>8.6</v>
      </c>
      <c r="D331" s="200">
        <f>RESID!K331</f>
        <v>77.2</v>
      </c>
      <c r="E331" s="13">
        <f t="shared" si="61"/>
        <v>-68.600000000000009</v>
      </c>
      <c r="F331" s="100">
        <f t="shared" si="62"/>
        <v>1</v>
      </c>
      <c r="G331" s="200">
        <f>RESID!M331</f>
        <v>231.4</v>
      </c>
      <c r="H331" s="200">
        <f>RESID!N331</f>
        <v>82.3</v>
      </c>
      <c r="I331" s="200">
        <f t="shared" si="63"/>
        <v>149.10000000000002</v>
      </c>
      <c r="J331" s="100">
        <f t="shared" si="64"/>
        <v>0</v>
      </c>
      <c r="K331" s="171">
        <f t="shared" si="65"/>
        <v>80.500000000000014</v>
      </c>
      <c r="L331" s="100">
        <f t="shared" si="66"/>
        <v>147</v>
      </c>
    </row>
    <row r="332" spans="1:12">
      <c r="A332" s="13">
        <f t="shared" si="70"/>
        <v>2010</v>
      </c>
      <c r="B332" s="13">
        <f t="shared" si="71"/>
        <v>4</v>
      </c>
      <c r="C332" s="200">
        <f>RESID!J332</f>
        <v>70.8</v>
      </c>
      <c r="D332" s="200">
        <f>RESID!K332</f>
        <v>138.1</v>
      </c>
      <c r="E332" s="13">
        <f t="shared" si="61"/>
        <v>-67.3</v>
      </c>
      <c r="F332" s="100">
        <f t="shared" si="62"/>
        <v>1</v>
      </c>
      <c r="G332" s="200">
        <f>RESID!M332</f>
        <v>60.7</v>
      </c>
      <c r="H332" s="200">
        <f>RESID!N332</f>
        <v>37.299999999999997</v>
      </c>
      <c r="I332" s="200">
        <f t="shared" si="63"/>
        <v>23.400000000000006</v>
      </c>
      <c r="J332" s="100">
        <f t="shared" si="64"/>
        <v>0</v>
      </c>
      <c r="K332" s="171">
        <f t="shared" si="65"/>
        <v>-43.899999999999991</v>
      </c>
      <c r="L332" s="100">
        <f t="shared" si="66"/>
        <v>148</v>
      </c>
    </row>
    <row r="333" spans="1:12">
      <c r="A333" s="13">
        <f t="shared" si="70"/>
        <v>2010</v>
      </c>
      <c r="B333" s="13">
        <f t="shared" si="71"/>
        <v>5</v>
      </c>
      <c r="C333" s="200">
        <f>RESID!J333</f>
        <v>242.3</v>
      </c>
      <c r="D333" s="200">
        <f>RESID!K333</f>
        <v>224.4</v>
      </c>
      <c r="E333" s="13">
        <f t="shared" si="61"/>
        <v>17.900000000000006</v>
      </c>
      <c r="F333" s="100">
        <f t="shared" si="62"/>
        <v>0</v>
      </c>
      <c r="G333" s="200">
        <f>RESID!M333</f>
        <v>5.6</v>
      </c>
      <c r="H333" s="200">
        <f>RESID!N333</f>
        <v>11.2</v>
      </c>
      <c r="I333" s="200">
        <f t="shared" si="63"/>
        <v>-5.6</v>
      </c>
      <c r="J333" s="100">
        <f t="shared" si="64"/>
        <v>1</v>
      </c>
      <c r="K333" s="171">
        <f t="shared" si="65"/>
        <v>12.300000000000006</v>
      </c>
      <c r="L333" s="100">
        <f t="shared" si="66"/>
        <v>148</v>
      </c>
    </row>
    <row r="334" spans="1:12">
      <c r="A334" s="13">
        <f t="shared" si="70"/>
        <v>2010</v>
      </c>
      <c r="B334" s="13">
        <f t="shared" si="71"/>
        <v>6</v>
      </c>
      <c r="C334" s="200">
        <f>RESID!J334</f>
        <v>429.1</v>
      </c>
      <c r="D334" s="200">
        <f>RESID!K334</f>
        <v>382.8</v>
      </c>
      <c r="E334" s="13">
        <f t="shared" si="61"/>
        <v>46.300000000000011</v>
      </c>
      <c r="F334" s="100">
        <f t="shared" si="62"/>
        <v>0</v>
      </c>
      <c r="G334" s="200">
        <f>RESID!M334</f>
        <v>0.2</v>
      </c>
      <c r="H334" s="200">
        <f>RESID!N334</f>
        <v>0.9</v>
      </c>
      <c r="I334" s="200">
        <f t="shared" si="63"/>
        <v>-0.7</v>
      </c>
      <c r="J334" s="100">
        <f t="shared" si="64"/>
        <v>1</v>
      </c>
      <c r="K334" s="171">
        <f t="shared" si="65"/>
        <v>45.600000000000009</v>
      </c>
      <c r="L334" s="100">
        <f t="shared" si="66"/>
        <v>148</v>
      </c>
    </row>
    <row r="335" spans="1:12">
      <c r="A335" s="13">
        <f t="shared" si="70"/>
        <v>2010</v>
      </c>
      <c r="B335" s="13">
        <f t="shared" si="71"/>
        <v>7</v>
      </c>
      <c r="C335" s="200">
        <f>RESID!J335</f>
        <v>511.2</v>
      </c>
      <c r="D335" s="200">
        <f>RESID!K335</f>
        <v>454.9</v>
      </c>
      <c r="E335" s="13">
        <f t="shared" si="61"/>
        <v>56.300000000000011</v>
      </c>
      <c r="F335" s="100">
        <f t="shared" si="62"/>
        <v>0</v>
      </c>
      <c r="G335" s="200">
        <f>RESID!M335</f>
        <v>0</v>
      </c>
      <c r="H335" s="200">
        <f>RESID!N335</f>
        <v>0</v>
      </c>
      <c r="I335" s="200">
        <f t="shared" si="63"/>
        <v>0</v>
      </c>
      <c r="J335" s="100">
        <f t="shared" si="64"/>
        <v>0</v>
      </c>
      <c r="K335" s="171">
        <f t="shared" si="65"/>
        <v>56.300000000000011</v>
      </c>
      <c r="L335" s="100">
        <f t="shared" si="66"/>
        <v>148</v>
      </c>
    </row>
    <row r="336" spans="1:12">
      <c r="A336" s="13">
        <f t="shared" si="70"/>
        <v>2010</v>
      </c>
      <c r="B336" s="13">
        <f t="shared" si="71"/>
        <v>8</v>
      </c>
      <c r="C336" s="200">
        <f>RESID!J336</f>
        <v>537.20000000000005</v>
      </c>
      <c r="D336" s="200">
        <f>RESID!K336</f>
        <v>481.4</v>
      </c>
      <c r="E336" s="13">
        <f t="shared" si="61"/>
        <v>55.800000000000068</v>
      </c>
      <c r="F336" s="100">
        <f t="shared" si="62"/>
        <v>0</v>
      </c>
      <c r="G336" s="200">
        <f>RESID!M336</f>
        <v>0</v>
      </c>
      <c r="H336" s="200">
        <f>RESID!N336</f>
        <v>0</v>
      </c>
      <c r="I336" s="200">
        <f t="shared" si="63"/>
        <v>0</v>
      </c>
      <c r="J336" s="100">
        <f t="shared" si="64"/>
        <v>0</v>
      </c>
      <c r="K336" s="171">
        <f t="shared" si="65"/>
        <v>55.800000000000068</v>
      </c>
      <c r="L336" s="100">
        <f t="shared" si="66"/>
        <v>148</v>
      </c>
    </row>
    <row r="337" spans="1:17">
      <c r="A337" s="13">
        <f t="shared" si="70"/>
        <v>2010</v>
      </c>
      <c r="B337" s="13">
        <f t="shared" si="71"/>
        <v>9</v>
      </c>
      <c r="C337" s="200">
        <f>RESID!J337</f>
        <v>500.3</v>
      </c>
      <c r="D337" s="200">
        <f>RESID!K337</f>
        <v>473.7</v>
      </c>
      <c r="E337" s="13">
        <f t="shared" si="61"/>
        <v>26.600000000000023</v>
      </c>
      <c r="F337" s="100">
        <f t="shared" si="62"/>
        <v>0</v>
      </c>
      <c r="G337" s="200">
        <f>RESID!M337</f>
        <v>0</v>
      </c>
      <c r="H337" s="200">
        <f>RESID!N337</f>
        <v>0</v>
      </c>
      <c r="I337" s="200">
        <f t="shared" si="63"/>
        <v>0</v>
      </c>
      <c r="J337" s="100">
        <f t="shared" si="64"/>
        <v>0</v>
      </c>
      <c r="K337" s="171">
        <f t="shared" si="65"/>
        <v>26.600000000000023</v>
      </c>
      <c r="L337" s="100">
        <f t="shared" si="66"/>
        <v>148</v>
      </c>
    </row>
    <row r="338" spans="1:17">
      <c r="A338" s="13">
        <f t="shared" si="70"/>
        <v>2010</v>
      </c>
      <c r="B338" s="13">
        <f t="shared" si="71"/>
        <v>10</v>
      </c>
      <c r="C338" s="200">
        <f>RESID!J338</f>
        <v>391</v>
      </c>
      <c r="D338" s="200">
        <f>RESID!K338</f>
        <v>373.2</v>
      </c>
      <c r="E338" s="13">
        <f t="shared" ref="E338:E352" si="91">C338-D338</f>
        <v>17.800000000000011</v>
      </c>
      <c r="F338" s="100">
        <f t="shared" ref="F338:F352" si="92">IF(E338&lt;0,1,0)</f>
        <v>0</v>
      </c>
      <c r="G338" s="200">
        <f>RESID!M338</f>
        <v>1.9</v>
      </c>
      <c r="H338" s="200">
        <f>RESID!N338</f>
        <v>1.3</v>
      </c>
      <c r="I338" s="200">
        <f t="shared" ref="I338:I353" si="93">G338-H338</f>
        <v>0.59999999999999987</v>
      </c>
      <c r="J338" s="100">
        <f t="shared" ref="J338:J352" si="94">IF(I338&lt;0,1,0)</f>
        <v>0</v>
      </c>
      <c r="K338" s="171">
        <f t="shared" ref="K338:K352" si="95">E338+I338</f>
        <v>18.400000000000013</v>
      </c>
      <c r="L338" s="100">
        <f t="shared" ref="L338:L352" si="96">IF(K338&lt;0,1+L337,L337)</f>
        <v>148</v>
      </c>
    </row>
    <row r="339" spans="1:17">
      <c r="A339" s="13">
        <f t="shared" si="70"/>
        <v>2010</v>
      </c>
      <c r="B339" s="13">
        <f t="shared" si="71"/>
        <v>11</v>
      </c>
      <c r="C339" s="200">
        <f>RESID!J339</f>
        <v>230.3</v>
      </c>
      <c r="D339" s="200">
        <f>RESID!K339</f>
        <v>204.3</v>
      </c>
      <c r="E339" s="13">
        <f t="shared" si="91"/>
        <v>26</v>
      </c>
      <c r="F339" s="100">
        <f t="shared" si="92"/>
        <v>0</v>
      </c>
      <c r="G339" s="200">
        <f>RESID!M339</f>
        <v>20.5</v>
      </c>
      <c r="H339" s="200">
        <f>RESID!N339</f>
        <v>24.1</v>
      </c>
      <c r="I339" s="200">
        <f t="shared" si="93"/>
        <v>-3.6000000000000014</v>
      </c>
      <c r="J339" s="100">
        <f t="shared" si="94"/>
        <v>1</v>
      </c>
      <c r="K339" s="171">
        <f t="shared" si="95"/>
        <v>22.4</v>
      </c>
      <c r="L339" s="100">
        <f t="shared" si="96"/>
        <v>148</v>
      </c>
    </row>
    <row r="340" spans="1:17">
      <c r="A340" s="90">
        <f t="shared" si="70"/>
        <v>2010</v>
      </c>
      <c r="B340" s="90">
        <f t="shared" si="71"/>
        <v>12</v>
      </c>
      <c r="C340" s="210">
        <f>RESID!J340</f>
        <v>94.7</v>
      </c>
      <c r="D340" s="210">
        <f>RESID!K340</f>
        <v>88</v>
      </c>
      <c r="E340" s="90">
        <f t="shared" si="91"/>
        <v>6.7000000000000028</v>
      </c>
      <c r="F340" s="102">
        <f t="shared" si="92"/>
        <v>0</v>
      </c>
      <c r="G340" s="210">
        <f>RESID!M340</f>
        <v>122.8</v>
      </c>
      <c r="H340" s="210">
        <f>RESID!N340</f>
        <v>83.9</v>
      </c>
      <c r="I340" s="210">
        <f t="shared" si="93"/>
        <v>38.899999999999991</v>
      </c>
      <c r="J340" s="102">
        <f t="shared" si="94"/>
        <v>0</v>
      </c>
      <c r="K340" s="484">
        <f t="shared" si="95"/>
        <v>45.599999999999994</v>
      </c>
      <c r="L340" s="102">
        <f t="shared" si="96"/>
        <v>148</v>
      </c>
    </row>
    <row r="341" spans="1:17">
      <c r="A341" s="13">
        <f t="shared" si="70"/>
        <v>2011</v>
      </c>
      <c r="B341" s="13">
        <f t="shared" si="71"/>
        <v>1</v>
      </c>
      <c r="C341" s="200">
        <f>RESID!J341</f>
        <v>14.5</v>
      </c>
      <c r="D341" s="200">
        <f>RESID!K341</f>
        <v>49.5</v>
      </c>
      <c r="E341" s="13">
        <f t="shared" si="91"/>
        <v>-35</v>
      </c>
      <c r="F341" s="100">
        <f t="shared" si="92"/>
        <v>1</v>
      </c>
      <c r="G341" s="200">
        <f>RESID!M341</f>
        <v>270.2</v>
      </c>
      <c r="H341" s="200">
        <f>RESID!N341</f>
        <v>131.6</v>
      </c>
      <c r="I341" s="200">
        <f t="shared" si="93"/>
        <v>138.6</v>
      </c>
      <c r="J341" s="100">
        <f t="shared" si="94"/>
        <v>0</v>
      </c>
      <c r="K341" s="171">
        <f t="shared" si="95"/>
        <v>103.6</v>
      </c>
      <c r="L341" s="100">
        <f t="shared" si="96"/>
        <v>148</v>
      </c>
    </row>
    <row r="342" spans="1:17">
      <c r="A342" s="13">
        <f t="shared" si="70"/>
        <v>2011</v>
      </c>
      <c r="B342" s="13">
        <f t="shared" si="71"/>
        <v>2</v>
      </c>
      <c r="C342" s="200">
        <f>RESID!J342</f>
        <v>27</v>
      </c>
      <c r="D342" s="200">
        <f>RESID!K342</f>
        <v>43.3</v>
      </c>
      <c r="E342" s="13">
        <f t="shared" si="91"/>
        <v>-16.299999999999997</v>
      </c>
      <c r="F342" s="100">
        <f t="shared" si="92"/>
        <v>1</v>
      </c>
      <c r="G342" s="200">
        <f>RESID!M342</f>
        <v>164.2</v>
      </c>
      <c r="H342" s="200">
        <f>RESID!N342</f>
        <v>127.9</v>
      </c>
      <c r="I342" s="200">
        <f t="shared" si="93"/>
        <v>36.299999999999983</v>
      </c>
      <c r="J342" s="100">
        <f t="shared" si="94"/>
        <v>0</v>
      </c>
      <c r="K342" s="171">
        <f t="shared" si="95"/>
        <v>19.999999999999986</v>
      </c>
      <c r="L342" s="100">
        <f t="shared" si="96"/>
        <v>148</v>
      </c>
    </row>
    <row r="343" spans="1:17">
      <c r="A343" s="13">
        <f t="shared" si="70"/>
        <v>2011</v>
      </c>
      <c r="B343" s="13">
        <f t="shared" si="71"/>
        <v>3</v>
      </c>
      <c r="C343" s="200">
        <f>RESID!J343</f>
        <v>84.6</v>
      </c>
      <c r="D343" s="200">
        <f>RESID!K343</f>
        <v>77.2</v>
      </c>
      <c r="E343" s="13">
        <f t="shared" si="91"/>
        <v>7.3999999999999915</v>
      </c>
      <c r="F343" s="100">
        <f t="shared" si="92"/>
        <v>0</v>
      </c>
      <c r="G343" s="200">
        <f>RESID!M343</f>
        <v>62.7</v>
      </c>
      <c r="H343" s="200">
        <f>RESID!N343</f>
        <v>82.3</v>
      </c>
      <c r="I343" s="200">
        <f t="shared" si="93"/>
        <v>-19.599999999999994</v>
      </c>
      <c r="J343" s="100">
        <f t="shared" si="94"/>
        <v>1</v>
      </c>
      <c r="K343" s="171">
        <f t="shared" si="95"/>
        <v>-12.200000000000003</v>
      </c>
      <c r="L343" s="100">
        <f t="shared" si="96"/>
        <v>149</v>
      </c>
    </row>
    <row r="344" spans="1:17">
      <c r="A344" s="13">
        <f t="shared" si="70"/>
        <v>2011</v>
      </c>
      <c r="B344" s="13">
        <f t="shared" si="71"/>
        <v>4</v>
      </c>
      <c r="C344" s="200">
        <f>RESID!J344</f>
        <v>154.80000000000001</v>
      </c>
      <c r="D344" s="200">
        <f>RESID!K344</f>
        <v>138.1</v>
      </c>
      <c r="E344" s="13">
        <f t="shared" si="91"/>
        <v>16.700000000000017</v>
      </c>
      <c r="F344" s="100">
        <f t="shared" si="92"/>
        <v>0</v>
      </c>
      <c r="G344" s="200">
        <f>RESID!M344</f>
        <v>23.4</v>
      </c>
      <c r="H344" s="200">
        <f>RESID!N344</f>
        <v>37.299999999999997</v>
      </c>
      <c r="I344" s="200">
        <f t="shared" si="93"/>
        <v>-13.899999999999999</v>
      </c>
      <c r="J344" s="100">
        <f t="shared" si="94"/>
        <v>1</v>
      </c>
      <c r="K344" s="171">
        <f t="shared" si="95"/>
        <v>2.8000000000000185</v>
      </c>
      <c r="L344" s="100">
        <f t="shared" si="96"/>
        <v>149</v>
      </c>
    </row>
    <row r="345" spans="1:17">
      <c r="A345" s="13">
        <f t="shared" si="70"/>
        <v>2011</v>
      </c>
      <c r="B345" s="13">
        <f t="shared" si="71"/>
        <v>5</v>
      </c>
      <c r="C345" s="200">
        <f>RESID!J345</f>
        <v>303.5</v>
      </c>
      <c r="D345" s="200">
        <f>RESID!K345</f>
        <v>224.4</v>
      </c>
      <c r="E345" s="13">
        <f t="shared" si="91"/>
        <v>79.099999999999994</v>
      </c>
      <c r="F345" s="100">
        <f t="shared" si="92"/>
        <v>0</v>
      </c>
      <c r="G345" s="200">
        <f>RESID!M345</f>
        <v>4.5999999999999996</v>
      </c>
      <c r="H345" s="200">
        <f>RESID!N345</f>
        <v>11.2</v>
      </c>
      <c r="I345" s="200">
        <f t="shared" si="93"/>
        <v>-6.6</v>
      </c>
      <c r="J345" s="100">
        <f t="shared" si="94"/>
        <v>1</v>
      </c>
      <c r="K345" s="171">
        <f t="shared" si="95"/>
        <v>72.5</v>
      </c>
      <c r="L345" s="100">
        <f t="shared" si="96"/>
        <v>149</v>
      </c>
    </row>
    <row r="346" spans="1:17">
      <c r="A346" s="13">
        <f t="shared" si="70"/>
        <v>2011</v>
      </c>
      <c r="B346" s="13">
        <f t="shared" si="71"/>
        <v>6</v>
      </c>
      <c r="C346" s="200">
        <f>RESID!J346</f>
        <v>391.5</v>
      </c>
      <c r="D346" s="200">
        <f>RESID!K346</f>
        <v>382.8</v>
      </c>
      <c r="E346" s="13">
        <f t="shared" si="91"/>
        <v>8.6999999999999886</v>
      </c>
      <c r="F346" s="100">
        <f t="shared" si="92"/>
        <v>0</v>
      </c>
      <c r="G346" s="200">
        <f>RESID!M346</f>
        <v>1.5</v>
      </c>
      <c r="H346" s="200">
        <f>RESID!N346</f>
        <v>0.9</v>
      </c>
      <c r="I346" s="200">
        <f t="shared" si="93"/>
        <v>0.6</v>
      </c>
      <c r="J346" s="100">
        <f t="shared" si="94"/>
        <v>0</v>
      </c>
      <c r="K346" s="171">
        <f t="shared" si="95"/>
        <v>9.2999999999999883</v>
      </c>
      <c r="L346" s="100">
        <f t="shared" si="96"/>
        <v>149</v>
      </c>
    </row>
    <row r="347" spans="1:17">
      <c r="A347" s="13">
        <f t="shared" si="70"/>
        <v>2011</v>
      </c>
      <c r="B347" s="13">
        <f t="shared" si="71"/>
        <v>7</v>
      </c>
      <c r="C347" s="200">
        <f>RESID!J347</f>
        <v>481.9</v>
      </c>
      <c r="D347" s="200">
        <f>RESID!K347</f>
        <v>454.9</v>
      </c>
      <c r="E347" s="13">
        <f t="shared" si="91"/>
        <v>27</v>
      </c>
      <c r="F347" s="100">
        <f t="shared" si="92"/>
        <v>0</v>
      </c>
      <c r="G347" s="200">
        <f>RESID!M347</f>
        <v>0.1</v>
      </c>
      <c r="H347" s="200">
        <f>RESID!N347</f>
        <v>0</v>
      </c>
      <c r="I347" s="200">
        <f t="shared" si="93"/>
        <v>0.1</v>
      </c>
      <c r="J347" s="100">
        <f t="shared" si="94"/>
        <v>0</v>
      </c>
      <c r="K347" s="171">
        <f t="shared" si="95"/>
        <v>27.1</v>
      </c>
      <c r="L347" s="100">
        <f t="shared" si="96"/>
        <v>149</v>
      </c>
    </row>
    <row r="348" spans="1:17">
      <c r="A348" s="13">
        <f t="shared" si="70"/>
        <v>2011</v>
      </c>
      <c r="B348" s="13">
        <f t="shared" si="71"/>
        <v>8</v>
      </c>
      <c r="C348" s="200">
        <f>RESID!J348</f>
        <v>527.9</v>
      </c>
      <c r="D348" s="200">
        <f>RESID!K348</f>
        <v>481.4</v>
      </c>
      <c r="E348" s="13">
        <f t="shared" si="91"/>
        <v>46.5</v>
      </c>
      <c r="F348" s="100">
        <f t="shared" si="92"/>
        <v>0</v>
      </c>
      <c r="G348" s="200">
        <f>RESID!M348</f>
        <v>0</v>
      </c>
      <c r="H348" s="200">
        <f>RESID!N348</f>
        <v>0</v>
      </c>
      <c r="I348" s="200">
        <f t="shared" si="93"/>
        <v>0</v>
      </c>
      <c r="J348" s="100">
        <f t="shared" si="94"/>
        <v>0</v>
      </c>
      <c r="K348" s="171">
        <f t="shared" si="95"/>
        <v>46.5</v>
      </c>
      <c r="L348" s="100">
        <f t="shared" si="96"/>
        <v>149</v>
      </c>
    </row>
    <row r="349" spans="1:17">
      <c r="A349" s="13">
        <f t="shared" si="70"/>
        <v>2011</v>
      </c>
      <c r="B349" s="13">
        <f t="shared" si="71"/>
        <v>9</v>
      </c>
      <c r="C349" s="200">
        <f>RESID!J349</f>
        <v>486.9</v>
      </c>
      <c r="D349" s="200">
        <f>RESID!K349</f>
        <v>473.7</v>
      </c>
      <c r="E349" s="13">
        <f t="shared" si="91"/>
        <v>13.199999999999989</v>
      </c>
      <c r="F349" s="100">
        <f t="shared" si="92"/>
        <v>0</v>
      </c>
      <c r="G349" s="200">
        <f>RESID!M349</f>
        <v>0.1</v>
      </c>
      <c r="H349" s="200">
        <f>RESID!N349</f>
        <v>0</v>
      </c>
      <c r="I349" s="200">
        <f t="shared" si="93"/>
        <v>0.1</v>
      </c>
      <c r="J349" s="100">
        <f t="shared" si="94"/>
        <v>0</v>
      </c>
      <c r="K349" s="171">
        <f t="shared" si="95"/>
        <v>13.299999999999988</v>
      </c>
      <c r="L349" s="100">
        <f t="shared" si="96"/>
        <v>149</v>
      </c>
      <c r="M349" s="227"/>
      <c r="N349" s="29"/>
      <c r="O349" s="29"/>
      <c r="P349" s="29"/>
      <c r="Q349" s="29"/>
    </row>
    <row r="350" spans="1:17">
      <c r="A350" s="13">
        <f t="shared" ref="A350:A372" si="97">A338+1</f>
        <v>2011</v>
      </c>
      <c r="B350" s="13">
        <f t="shared" ref="B350:B372" si="98">B338</f>
        <v>10</v>
      </c>
      <c r="C350" s="200">
        <f>RESID!J350</f>
        <v>374.6</v>
      </c>
      <c r="D350" s="200">
        <f>RESID!K350</f>
        <v>373.2</v>
      </c>
      <c r="E350" s="13">
        <f t="shared" si="91"/>
        <v>1.4000000000000341</v>
      </c>
      <c r="F350" s="100">
        <f t="shared" si="92"/>
        <v>0</v>
      </c>
      <c r="G350" s="200">
        <f>RESID!M350</f>
        <v>2</v>
      </c>
      <c r="H350" s="200">
        <f>RESID!N350</f>
        <v>1.3</v>
      </c>
      <c r="I350" s="200">
        <f t="shared" si="93"/>
        <v>0.7</v>
      </c>
      <c r="J350" s="100">
        <f t="shared" si="94"/>
        <v>0</v>
      </c>
      <c r="K350" s="171">
        <f t="shared" si="95"/>
        <v>2.1000000000000343</v>
      </c>
      <c r="L350" s="100">
        <f t="shared" si="96"/>
        <v>149</v>
      </c>
      <c r="M350" s="227"/>
      <c r="N350" s="29"/>
      <c r="O350" s="29"/>
      <c r="P350" s="29"/>
      <c r="Q350" s="29"/>
    </row>
    <row r="351" spans="1:17">
      <c r="A351" s="13">
        <f t="shared" si="97"/>
        <v>2011</v>
      </c>
      <c r="B351" s="13">
        <f t="shared" si="98"/>
        <v>11</v>
      </c>
      <c r="C351" s="200">
        <f>RESID!J351</f>
        <v>156.80000000000001</v>
      </c>
      <c r="D351" s="200">
        <f>RESID!K351</f>
        <v>204.3</v>
      </c>
      <c r="E351" s="13">
        <f t="shared" si="91"/>
        <v>-47.5</v>
      </c>
      <c r="F351" s="100">
        <f t="shared" si="92"/>
        <v>1</v>
      </c>
      <c r="G351" s="200">
        <f>RESID!M351</f>
        <v>20.3</v>
      </c>
      <c r="H351" s="200">
        <f>RESID!N351</f>
        <v>24.1</v>
      </c>
      <c r="I351" s="200">
        <f t="shared" si="93"/>
        <v>-3.8000000000000007</v>
      </c>
      <c r="J351" s="100">
        <f t="shared" si="94"/>
        <v>1</v>
      </c>
      <c r="K351" s="171">
        <f t="shared" si="95"/>
        <v>-51.3</v>
      </c>
      <c r="L351" s="100">
        <f t="shared" si="96"/>
        <v>150</v>
      </c>
      <c r="N351" s="29"/>
      <c r="O351" s="29"/>
      <c r="P351" s="29"/>
      <c r="Q351" s="29"/>
    </row>
    <row r="352" spans="1:17">
      <c r="A352" s="90">
        <f t="shared" si="97"/>
        <v>2011</v>
      </c>
      <c r="B352" s="90">
        <f t="shared" si="98"/>
        <v>12</v>
      </c>
      <c r="C352" s="210">
        <f>RESID!J352</f>
        <v>106</v>
      </c>
      <c r="D352" s="210">
        <f>RESID!K352</f>
        <v>88</v>
      </c>
      <c r="E352" s="90">
        <f t="shared" si="91"/>
        <v>18</v>
      </c>
      <c r="F352" s="102">
        <f t="shared" si="92"/>
        <v>0</v>
      </c>
      <c r="G352" s="210">
        <f>RESID!M352</f>
        <v>41.7</v>
      </c>
      <c r="H352" s="210">
        <f>RESID!N352</f>
        <v>83.9</v>
      </c>
      <c r="I352" s="210">
        <f t="shared" si="93"/>
        <v>-42.2</v>
      </c>
      <c r="J352" s="102">
        <f t="shared" si="94"/>
        <v>1</v>
      </c>
      <c r="K352" s="484">
        <f t="shared" si="95"/>
        <v>-24.200000000000003</v>
      </c>
      <c r="L352" s="102">
        <f t="shared" si="96"/>
        <v>151</v>
      </c>
      <c r="M352" s="228"/>
      <c r="N352" s="452" t="s">
        <v>323</v>
      </c>
      <c r="O352" s="229"/>
      <c r="P352" s="29"/>
      <c r="Q352" s="29"/>
    </row>
    <row r="353" spans="1:15">
      <c r="A353" s="13">
        <f t="shared" si="97"/>
        <v>2012</v>
      </c>
      <c r="B353" s="13">
        <f t="shared" si="98"/>
        <v>1</v>
      </c>
      <c r="C353" s="200">
        <f>RESID!J353</f>
        <v>58.5</v>
      </c>
      <c r="D353" s="200">
        <f>RESID!K353</f>
        <v>49.5</v>
      </c>
      <c r="E353" s="13">
        <f t="shared" ref="E353" si="99">C353-D353</f>
        <v>9</v>
      </c>
      <c r="F353" s="100">
        <f t="shared" ref="F353" si="100">IF(E353&lt;0,1,0)</f>
        <v>0</v>
      </c>
      <c r="G353" s="200">
        <f>RESID!M353</f>
        <v>103.1</v>
      </c>
      <c r="H353" s="200">
        <f>RESID!N353</f>
        <v>131.6</v>
      </c>
      <c r="I353" s="200">
        <f t="shared" si="93"/>
        <v>-28.5</v>
      </c>
      <c r="J353" s="100">
        <f t="shared" ref="J353" si="101">IF(I353&lt;0,1,0)</f>
        <v>1</v>
      </c>
      <c r="K353" s="171">
        <f t="shared" ref="K353" si="102">E353+I353</f>
        <v>-19.5</v>
      </c>
      <c r="L353" s="100">
        <f t="shared" ref="L353" si="103">IF(K353&lt;0,1+L352,L352)</f>
        <v>152</v>
      </c>
      <c r="M353" s="228" t="s">
        <v>281</v>
      </c>
      <c r="N353" s="229" t="s">
        <v>283</v>
      </c>
      <c r="O353" s="229" t="s">
        <v>282</v>
      </c>
    </row>
    <row r="354" spans="1:15">
      <c r="A354" s="13">
        <f t="shared" si="97"/>
        <v>2012</v>
      </c>
      <c r="B354" s="13">
        <f t="shared" si="98"/>
        <v>2</v>
      </c>
      <c r="C354" s="200">
        <f>RESID!J354</f>
        <v>58</v>
      </c>
      <c r="D354" s="200">
        <f>RESID!K354</f>
        <v>43.3</v>
      </c>
      <c r="E354" s="13">
        <f t="shared" ref="E354" si="104">C354-D354</f>
        <v>14.700000000000003</v>
      </c>
      <c r="F354" s="100">
        <f t="shared" ref="F354" si="105">IF(E354&lt;0,1,0)</f>
        <v>0</v>
      </c>
      <c r="G354" s="200">
        <f>RESID!M354</f>
        <v>90.5</v>
      </c>
      <c r="H354" s="200">
        <f>RESID!N354</f>
        <v>127.9</v>
      </c>
      <c r="I354" s="200">
        <f t="shared" ref="I354" si="106">G354-H354</f>
        <v>-37.400000000000006</v>
      </c>
      <c r="J354" s="100">
        <f t="shared" ref="J354" si="107">IF(I354&lt;0,1,0)</f>
        <v>1</v>
      </c>
      <c r="K354" s="171">
        <f t="shared" ref="K354" si="108">E354+I354</f>
        <v>-22.700000000000003</v>
      </c>
      <c r="L354" s="100">
        <f t="shared" ref="L354" si="109">IF(K354&lt;0,1+L353,L353)</f>
        <v>153</v>
      </c>
      <c r="M354" s="227">
        <f>ROWS(L$17:L354)</f>
        <v>338</v>
      </c>
      <c r="N354" s="464">
        <f>L353/M354</f>
        <v>0.44970414201183434</v>
      </c>
      <c r="O354" s="341">
        <f>M354/12</f>
        <v>28.166666666666668</v>
      </c>
    </row>
    <row r="355" spans="1:15">
      <c r="A355" s="13">
        <f t="shared" si="97"/>
        <v>2012</v>
      </c>
      <c r="B355" s="13">
        <f t="shared" si="98"/>
        <v>3</v>
      </c>
      <c r="C355" s="200">
        <f>RESID!J355</f>
        <v>112.8</v>
      </c>
      <c r="D355" s="200">
        <f>RESID!K355</f>
        <v>77.2</v>
      </c>
      <c r="E355" s="13">
        <f t="shared" ref="E355" si="110">C355-D355</f>
        <v>35.599999999999994</v>
      </c>
      <c r="F355" s="100">
        <f t="shared" ref="F355" si="111">IF(E355&lt;0,1,0)</f>
        <v>0</v>
      </c>
      <c r="G355" s="200">
        <f>RESID!M355</f>
        <v>45.2</v>
      </c>
      <c r="H355" s="200">
        <f>RESID!N355</f>
        <v>82.3</v>
      </c>
      <c r="I355" s="200">
        <f t="shared" ref="I355" si="112">G355-H355</f>
        <v>-37.099999999999994</v>
      </c>
      <c r="J355" s="100">
        <f t="shared" ref="J355" si="113">IF(I355&lt;0,1,0)</f>
        <v>1</v>
      </c>
      <c r="K355" s="171">
        <f t="shared" ref="K355" si="114">E355+I355</f>
        <v>-1.5</v>
      </c>
      <c r="L355" s="100">
        <f t="shared" ref="L355" si="115">IF(K355&lt;0,1+L354,L354)</f>
        <v>154</v>
      </c>
      <c r="M355" s="227">
        <f>ROWS(L$17:L355)</f>
        <v>339</v>
      </c>
      <c r="N355" s="464">
        <f>L354/M355</f>
        <v>0.45132743362831856</v>
      </c>
      <c r="O355" s="341">
        <f>M355/12</f>
        <v>28.25</v>
      </c>
    </row>
    <row r="356" spans="1:15">
      <c r="A356" s="13">
        <f t="shared" si="97"/>
        <v>2012</v>
      </c>
      <c r="B356" s="13">
        <f t="shared" si="98"/>
        <v>4</v>
      </c>
      <c r="C356" s="200">
        <f>RESID!J356</f>
        <v>208.7</v>
      </c>
      <c r="D356" s="200">
        <f>RESID!K356</f>
        <v>138.1</v>
      </c>
      <c r="E356" s="13">
        <f t="shared" ref="E356" si="116">C356-D356</f>
        <v>70.599999999999994</v>
      </c>
      <c r="F356" s="100">
        <f t="shared" ref="F356" si="117">IF(E356&lt;0,1,0)</f>
        <v>0</v>
      </c>
      <c r="G356" s="200">
        <f>RESID!M356</f>
        <v>6.7</v>
      </c>
      <c r="H356" s="200">
        <f>RESID!N356</f>
        <v>37.299999999999997</v>
      </c>
      <c r="I356" s="200">
        <f t="shared" ref="I356" si="118">G356-H356</f>
        <v>-30.599999999999998</v>
      </c>
      <c r="J356" s="100">
        <f t="shared" ref="J356" si="119">IF(I356&lt;0,1,0)</f>
        <v>1</v>
      </c>
      <c r="K356" s="171">
        <f t="shared" ref="K356" si="120">E356+I356</f>
        <v>40</v>
      </c>
      <c r="L356" s="100">
        <f t="shared" ref="L356" si="121">IF(K356&lt;0,1+L355,L355)</f>
        <v>154</v>
      </c>
      <c r="M356" s="227">
        <f>ROWS(L$17:L356)</f>
        <v>340</v>
      </c>
      <c r="N356" s="464">
        <f>L355/M356</f>
        <v>0.45294117647058824</v>
      </c>
      <c r="O356" s="341">
        <f>M356/12</f>
        <v>28.333333333333332</v>
      </c>
    </row>
    <row r="357" spans="1:15">
      <c r="A357" s="13">
        <f t="shared" si="97"/>
        <v>2012</v>
      </c>
      <c r="B357" s="13">
        <f t="shared" si="98"/>
        <v>5</v>
      </c>
      <c r="C357" s="200">
        <f>RESID!J357</f>
        <v>242.3</v>
      </c>
      <c r="D357" s="200">
        <f>RESID!K357</f>
        <v>224.4</v>
      </c>
      <c r="E357" s="13">
        <f t="shared" ref="E357:E359" si="122">C357-D357</f>
        <v>17.900000000000006</v>
      </c>
      <c r="F357" s="100">
        <f t="shared" ref="F357:F359" si="123">IF(E357&lt;0,1,0)</f>
        <v>0</v>
      </c>
      <c r="G357" s="200">
        <f>RESID!M357</f>
        <v>7.3</v>
      </c>
      <c r="H357" s="200">
        <f>RESID!N357</f>
        <v>11.2</v>
      </c>
      <c r="I357" s="200">
        <f t="shared" ref="I357:I359" si="124">G357-H357</f>
        <v>-3.8999999999999995</v>
      </c>
      <c r="J357" s="100">
        <f t="shared" ref="J357:J359" si="125">IF(I357&lt;0,1,0)</f>
        <v>1</v>
      </c>
      <c r="K357" s="171">
        <f t="shared" ref="K357:K359" si="126">E357+I357</f>
        <v>14.000000000000007</v>
      </c>
      <c r="L357" s="100">
        <f t="shared" ref="L357:L359" si="127">IF(K357&lt;0,1+L356,L356)</f>
        <v>154</v>
      </c>
      <c r="M357" s="227">
        <f>ROWS(L$17:L357)</f>
        <v>341</v>
      </c>
      <c r="N357" s="464">
        <f t="shared" ref="N357:N359" si="128">L356/M357</f>
        <v>0.45161290322580644</v>
      </c>
      <c r="O357" s="341">
        <f t="shared" ref="O357:O359" si="129">M357/12</f>
        <v>28.416666666666668</v>
      </c>
    </row>
    <row r="358" spans="1:15">
      <c r="A358" s="13">
        <f t="shared" si="97"/>
        <v>2012</v>
      </c>
      <c r="B358" s="13">
        <f t="shared" si="98"/>
        <v>6</v>
      </c>
      <c r="C358" s="200">
        <f>RESID!J358</f>
        <v>380.4</v>
      </c>
      <c r="D358" s="200">
        <f>RESID!K358</f>
        <v>382.8</v>
      </c>
      <c r="E358" s="13">
        <f t="shared" si="122"/>
        <v>-2.4000000000000341</v>
      </c>
      <c r="F358" s="100">
        <f t="shared" si="123"/>
        <v>1</v>
      </c>
      <c r="G358" s="200">
        <f>RESID!M358</f>
        <v>0.3</v>
      </c>
      <c r="H358" s="200">
        <f>RESID!N358</f>
        <v>0.9</v>
      </c>
      <c r="I358" s="200">
        <f t="shared" si="124"/>
        <v>-0.60000000000000009</v>
      </c>
      <c r="J358" s="100">
        <f t="shared" si="125"/>
        <v>1</v>
      </c>
      <c r="K358" s="171">
        <f t="shared" si="126"/>
        <v>-3.0000000000000342</v>
      </c>
      <c r="L358" s="100">
        <f t="shared" si="127"/>
        <v>155</v>
      </c>
      <c r="M358" s="227">
        <f>ROWS(L$17:L358)</f>
        <v>342</v>
      </c>
      <c r="N358" s="464">
        <f t="shared" si="128"/>
        <v>0.45029239766081869</v>
      </c>
      <c r="O358" s="341">
        <f t="shared" si="129"/>
        <v>28.5</v>
      </c>
    </row>
    <row r="359" spans="1:15">
      <c r="A359" s="13">
        <f t="shared" si="97"/>
        <v>2012</v>
      </c>
      <c r="B359" s="13">
        <f t="shared" si="98"/>
        <v>7</v>
      </c>
      <c r="C359" s="200">
        <f>RESID!J359</f>
        <v>425.7</v>
      </c>
      <c r="D359" s="200">
        <f>RESID!K359</f>
        <v>454.9</v>
      </c>
      <c r="E359" s="13">
        <f t="shared" si="122"/>
        <v>-29.199999999999989</v>
      </c>
      <c r="F359" s="100">
        <f t="shared" si="123"/>
        <v>1</v>
      </c>
      <c r="G359" s="200">
        <f>RESID!M359</f>
        <v>0</v>
      </c>
      <c r="H359" s="200">
        <f>RESID!N359</f>
        <v>0</v>
      </c>
      <c r="I359" s="200">
        <f t="shared" si="124"/>
        <v>0</v>
      </c>
      <c r="J359" s="100">
        <f t="shared" si="125"/>
        <v>0</v>
      </c>
      <c r="K359" s="171">
        <f t="shared" si="126"/>
        <v>-29.199999999999989</v>
      </c>
      <c r="L359" s="100">
        <f t="shared" si="127"/>
        <v>156</v>
      </c>
      <c r="M359" s="227">
        <f>ROWS(L$17:L359)</f>
        <v>343</v>
      </c>
      <c r="N359" s="464">
        <f t="shared" si="128"/>
        <v>0.45189504373177841</v>
      </c>
      <c r="O359" s="341">
        <f t="shared" si="129"/>
        <v>28.583333333333332</v>
      </c>
    </row>
    <row r="360" spans="1:15">
      <c r="A360" s="13">
        <f t="shared" si="97"/>
        <v>2012</v>
      </c>
      <c r="B360" s="13">
        <f t="shared" si="98"/>
        <v>8</v>
      </c>
      <c r="C360" s="200">
        <f>RESID!J360</f>
        <v>495.5</v>
      </c>
      <c r="D360" s="200">
        <f>RESID!K360</f>
        <v>481.4</v>
      </c>
      <c r="E360" s="13">
        <f t="shared" ref="E360:E363" si="130">C360-D360</f>
        <v>14.100000000000023</v>
      </c>
      <c r="F360" s="100">
        <f t="shared" ref="F360:F363" si="131">IF(E360&lt;0,1,0)</f>
        <v>0</v>
      </c>
      <c r="G360" s="200">
        <f>RESID!M360</f>
        <v>0</v>
      </c>
      <c r="H360" s="200">
        <f>RESID!N360</f>
        <v>0</v>
      </c>
      <c r="I360" s="200">
        <f t="shared" ref="I360:I363" si="132">G360-H360</f>
        <v>0</v>
      </c>
      <c r="J360" s="100">
        <f t="shared" ref="J360:J363" si="133">IF(I360&lt;0,1,0)</f>
        <v>0</v>
      </c>
      <c r="K360" s="171">
        <f t="shared" ref="K360:K363" si="134">E360+I360</f>
        <v>14.100000000000023</v>
      </c>
      <c r="L360" s="100">
        <f t="shared" ref="L360:L363" si="135">IF(K360&lt;0,1+L359,L359)</f>
        <v>156</v>
      </c>
      <c r="M360" s="227">
        <f>ROWS(L$17:L360)</f>
        <v>344</v>
      </c>
      <c r="N360" s="464">
        <f t="shared" ref="N360:N363" si="136">L359/M360</f>
        <v>0.45348837209302323</v>
      </c>
      <c r="O360" s="341">
        <f t="shared" ref="O360:O363" si="137">M360/12</f>
        <v>28.666666666666668</v>
      </c>
    </row>
    <row r="361" spans="1:15">
      <c r="A361" s="13">
        <f t="shared" si="97"/>
        <v>2012</v>
      </c>
      <c r="B361" s="13">
        <f t="shared" si="98"/>
        <v>9</v>
      </c>
      <c r="C361" s="200">
        <f>RESID!J361</f>
        <v>456.6</v>
      </c>
      <c r="D361" s="200">
        <f>RESID!K361</f>
        <v>473.7</v>
      </c>
      <c r="E361" s="13">
        <f t="shared" si="130"/>
        <v>-17.099999999999966</v>
      </c>
      <c r="F361" s="100">
        <f t="shared" si="131"/>
        <v>1</v>
      </c>
      <c r="G361" s="200">
        <f>RESID!M361</f>
        <v>0</v>
      </c>
      <c r="H361" s="200">
        <f>RESID!N361</f>
        <v>0</v>
      </c>
      <c r="I361" s="200">
        <f t="shared" si="132"/>
        <v>0</v>
      </c>
      <c r="J361" s="100">
        <f t="shared" si="133"/>
        <v>0</v>
      </c>
      <c r="K361" s="171">
        <f t="shared" si="134"/>
        <v>-17.099999999999966</v>
      </c>
      <c r="L361" s="100">
        <f t="shared" si="135"/>
        <v>157</v>
      </c>
      <c r="M361" s="227">
        <f>ROWS(L$17:L361)</f>
        <v>345</v>
      </c>
      <c r="N361" s="464">
        <f t="shared" si="136"/>
        <v>0.45217391304347826</v>
      </c>
      <c r="O361" s="341">
        <f t="shared" si="137"/>
        <v>28.75</v>
      </c>
    </row>
    <row r="362" spans="1:15">
      <c r="A362" s="13">
        <f t="shared" si="97"/>
        <v>2012</v>
      </c>
      <c r="B362" s="13">
        <f t="shared" si="98"/>
        <v>10</v>
      </c>
      <c r="C362" s="200">
        <f>RESID!J362</f>
        <v>396.8</v>
      </c>
      <c r="D362" s="200">
        <f>RESID!K362</f>
        <v>373.2</v>
      </c>
      <c r="E362" s="13">
        <f t="shared" si="130"/>
        <v>23.600000000000023</v>
      </c>
      <c r="F362" s="100">
        <f t="shared" si="131"/>
        <v>0</v>
      </c>
      <c r="G362" s="200">
        <f>RESID!M362</f>
        <v>0.2</v>
      </c>
      <c r="H362" s="200">
        <f>RESID!N362</f>
        <v>1.3</v>
      </c>
      <c r="I362" s="200">
        <f t="shared" si="132"/>
        <v>-1.1000000000000001</v>
      </c>
      <c r="J362" s="100">
        <f t="shared" si="133"/>
        <v>1</v>
      </c>
      <c r="K362" s="171">
        <f t="shared" si="134"/>
        <v>22.500000000000021</v>
      </c>
      <c r="L362" s="100">
        <f t="shared" si="135"/>
        <v>157</v>
      </c>
      <c r="M362" s="227">
        <f>ROWS(L$17:L362)</f>
        <v>346</v>
      </c>
      <c r="N362" s="464">
        <f>L361/M362</f>
        <v>0.45375722543352603</v>
      </c>
      <c r="O362" s="341">
        <f t="shared" si="137"/>
        <v>28.833333333333332</v>
      </c>
    </row>
    <row r="363" spans="1:15">
      <c r="A363" s="13">
        <f t="shared" si="97"/>
        <v>2012</v>
      </c>
      <c r="B363" s="13">
        <f t="shared" si="98"/>
        <v>11</v>
      </c>
      <c r="C363" s="200">
        <f>RESID!J363</f>
        <v>209.7</v>
      </c>
      <c r="D363" s="200">
        <f>RESID!K363</f>
        <v>204.3</v>
      </c>
      <c r="E363" s="13">
        <f t="shared" si="130"/>
        <v>5.3999999999999773</v>
      </c>
      <c r="F363" s="100">
        <f t="shared" si="131"/>
        <v>0</v>
      </c>
      <c r="G363" s="200">
        <f>RESID!M363</f>
        <v>20.3</v>
      </c>
      <c r="H363" s="200">
        <f>RESID!N363</f>
        <v>24.1</v>
      </c>
      <c r="I363" s="200">
        <f t="shared" si="132"/>
        <v>-3.8000000000000007</v>
      </c>
      <c r="J363" s="100">
        <f t="shared" si="133"/>
        <v>1</v>
      </c>
      <c r="K363" s="171">
        <f t="shared" si="134"/>
        <v>1.5999999999999766</v>
      </c>
      <c r="L363" s="100">
        <f t="shared" si="135"/>
        <v>157</v>
      </c>
      <c r="M363" s="227">
        <f>ROWS(L$17:L363)</f>
        <v>347</v>
      </c>
      <c r="N363" s="464">
        <f t="shared" si="136"/>
        <v>0.45244956772334294</v>
      </c>
      <c r="O363" s="341">
        <f t="shared" si="137"/>
        <v>28.916666666666668</v>
      </c>
    </row>
    <row r="364" spans="1:15">
      <c r="A364" s="90">
        <f t="shared" si="97"/>
        <v>2012</v>
      </c>
      <c r="B364" s="90">
        <f t="shared" si="98"/>
        <v>12</v>
      </c>
      <c r="C364" s="210">
        <f>RESID!J364</f>
        <v>70.599999999999994</v>
      </c>
      <c r="D364" s="210">
        <f>RESID!K364</f>
        <v>88</v>
      </c>
      <c r="E364" s="90">
        <f t="shared" ref="E364" si="138">C364-D364</f>
        <v>-17.400000000000006</v>
      </c>
      <c r="F364" s="102">
        <f t="shared" ref="F364" si="139">IF(E364&lt;0,1,0)</f>
        <v>1</v>
      </c>
      <c r="G364" s="210">
        <f>RESID!M364</f>
        <v>54</v>
      </c>
      <c r="H364" s="210">
        <f>RESID!N364</f>
        <v>83.9</v>
      </c>
      <c r="I364" s="210">
        <f t="shared" ref="I364" si="140">G364-H364</f>
        <v>-29.900000000000006</v>
      </c>
      <c r="J364" s="102">
        <f t="shared" ref="J364" si="141">IF(I364&lt;0,1,0)</f>
        <v>1</v>
      </c>
      <c r="K364" s="484">
        <f t="shared" ref="K364" si="142">E364+I364</f>
        <v>-47.300000000000011</v>
      </c>
      <c r="L364" s="102">
        <f t="shared" ref="L364" si="143">IF(K364&lt;0,1+L363,L363)</f>
        <v>158</v>
      </c>
      <c r="M364" s="489">
        <f>ROWS(L$17:L364)</f>
        <v>348</v>
      </c>
      <c r="N364" s="544">
        <f t="shared" ref="N364" si="144">L363/M364</f>
        <v>0.4511494252873563</v>
      </c>
      <c r="O364" s="110">
        <f t="shared" ref="O364" si="145">M364/12</f>
        <v>29</v>
      </c>
    </row>
    <row r="365" spans="1:15">
      <c r="A365" s="13">
        <f t="shared" si="97"/>
        <v>2013</v>
      </c>
      <c r="B365" s="13">
        <f t="shared" si="98"/>
        <v>1</v>
      </c>
      <c r="C365" s="200">
        <f>RESID!J365</f>
        <v>75</v>
      </c>
      <c r="D365" s="200">
        <f>RESID!K365</f>
        <v>49.5</v>
      </c>
      <c r="E365" s="13">
        <f t="shared" ref="E365" si="146">C365-D365</f>
        <v>25.5</v>
      </c>
      <c r="F365" s="100">
        <f t="shared" ref="F365" si="147">IF(E365&lt;0,1,0)</f>
        <v>0</v>
      </c>
      <c r="G365" s="200">
        <f>RESID!M365</f>
        <v>89.3</v>
      </c>
      <c r="H365" s="200">
        <f>RESID!N365</f>
        <v>131.6</v>
      </c>
      <c r="I365" s="200">
        <f t="shared" ref="I365" si="148">G365-H365</f>
        <v>-42.3</v>
      </c>
      <c r="J365" s="100">
        <f t="shared" ref="J365" si="149">IF(I365&lt;0,1,0)</f>
        <v>1</v>
      </c>
      <c r="K365" s="171">
        <f t="shared" ref="K365" si="150">E365+I365</f>
        <v>-16.799999999999997</v>
      </c>
      <c r="L365" s="100">
        <f t="shared" ref="L365" si="151">IF(K365&lt;0,1+L364,L364)</f>
        <v>159</v>
      </c>
      <c r="M365" s="227">
        <f>ROWS(L$17:L365)</f>
        <v>349</v>
      </c>
      <c r="N365" s="464">
        <f t="shared" ref="N365" si="152">L364/M365</f>
        <v>0.45272206303724927</v>
      </c>
      <c r="O365" s="341">
        <f t="shared" ref="O365" si="153">M365/12</f>
        <v>29.083333333333332</v>
      </c>
    </row>
    <row r="366" spans="1:15">
      <c r="A366" s="13">
        <f t="shared" si="97"/>
        <v>2013</v>
      </c>
      <c r="B366" s="13">
        <f t="shared" si="98"/>
        <v>2</v>
      </c>
      <c r="C366" s="200">
        <f>RESID!J366</f>
        <v>70.599999999999994</v>
      </c>
      <c r="D366" s="200">
        <f>RESID!K366</f>
        <v>43.3</v>
      </c>
      <c r="E366" s="13">
        <f t="shared" ref="E366:E367" si="154">C366-D366</f>
        <v>27.299999999999997</v>
      </c>
      <c r="F366" s="100">
        <f t="shared" ref="F366:F367" si="155">IF(E366&lt;0,1,0)</f>
        <v>0</v>
      </c>
      <c r="G366" s="200">
        <f>RESID!M366</f>
        <v>76.099999999999994</v>
      </c>
      <c r="H366" s="200">
        <f>RESID!N366</f>
        <v>127.9</v>
      </c>
      <c r="I366" s="200">
        <f t="shared" ref="I366:I367" si="156">G366-H366</f>
        <v>-51.800000000000011</v>
      </c>
      <c r="J366" s="100">
        <f t="shared" ref="J366:J367" si="157">IF(I366&lt;0,1,0)</f>
        <v>1</v>
      </c>
      <c r="K366" s="171">
        <f t="shared" ref="K366:K367" si="158">E366+I366</f>
        <v>-24.500000000000014</v>
      </c>
      <c r="L366" s="100">
        <f t="shared" ref="L366:L367" si="159">IF(K366&lt;0,1+L365,L365)</f>
        <v>160</v>
      </c>
      <c r="M366" s="227">
        <f>ROWS(L$17:L366)</f>
        <v>350</v>
      </c>
      <c r="N366" s="464">
        <f t="shared" ref="N366:N367" si="160">L365/M366</f>
        <v>0.45428571428571429</v>
      </c>
      <c r="O366" s="341">
        <f t="shared" ref="O366:O367" si="161">M366/12</f>
        <v>29.166666666666668</v>
      </c>
    </row>
    <row r="367" spans="1:15">
      <c r="A367" s="13">
        <f t="shared" si="97"/>
        <v>2013</v>
      </c>
      <c r="B367" s="13">
        <f t="shared" si="98"/>
        <v>3</v>
      </c>
      <c r="C367" s="200">
        <f>RESID!J367</f>
        <v>63.9</v>
      </c>
      <c r="D367" s="200">
        <f>RESID!K367</f>
        <v>77.2</v>
      </c>
      <c r="E367" s="13">
        <f t="shared" si="154"/>
        <v>-13.300000000000004</v>
      </c>
      <c r="F367" s="100">
        <f t="shared" si="155"/>
        <v>1</v>
      </c>
      <c r="G367" s="200">
        <f>RESID!M367</f>
        <v>107</v>
      </c>
      <c r="H367" s="200">
        <f>RESID!N367</f>
        <v>82.3</v>
      </c>
      <c r="I367" s="200">
        <f t="shared" si="156"/>
        <v>24.700000000000003</v>
      </c>
      <c r="J367" s="100">
        <f t="shared" si="157"/>
        <v>0</v>
      </c>
      <c r="K367" s="171">
        <f t="shared" si="158"/>
        <v>11.399999999999999</v>
      </c>
      <c r="L367" s="100">
        <f t="shared" si="159"/>
        <v>160</v>
      </c>
      <c r="M367" s="227">
        <f>ROWS(L$17:L367)</f>
        <v>351</v>
      </c>
      <c r="N367" s="464">
        <f t="shared" si="160"/>
        <v>0.45584045584045585</v>
      </c>
      <c r="O367" s="341">
        <f t="shared" si="161"/>
        <v>29.25</v>
      </c>
    </row>
    <row r="368" spans="1:15">
      <c r="A368" s="13">
        <f t="shared" si="97"/>
        <v>2013</v>
      </c>
      <c r="B368" s="13">
        <f t="shared" si="98"/>
        <v>4</v>
      </c>
      <c r="C368" s="200">
        <f>RESID!J368</f>
        <v>100</v>
      </c>
      <c r="D368" s="200">
        <f>RESID!K368</f>
        <v>138.1</v>
      </c>
      <c r="E368" s="13">
        <f t="shared" ref="E368:E369" si="162">C368-D368</f>
        <v>-38.099999999999994</v>
      </c>
      <c r="F368" s="100">
        <f t="shared" ref="F368:F369" si="163">IF(E368&lt;0,1,0)</f>
        <v>1</v>
      </c>
      <c r="G368" s="200">
        <f>RESID!M368</f>
        <v>82.9</v>
      </c>
      <c r="H368" s="200">
        <f>RESID!N368</f>
        <v>37.299999999999997</v>
      </c>
      <c r="I368" s="200">
        <f t="shared" ref="I368:I369" si="164">G368-H368</f>
        <v>45.600000000000009</v>
      </c>
      <c r="J368" s="100">
        <f t="shared" ref="J368:J369" si="165">IF(I368&lt;0,1,0)</f>
        <v>0</v>
      </c>
      <c r="K368" s="171">
        <f t="shared" ref="K368:K369" si="166">E368+I368</f>
        <v>7.5000000000000142</v>
      </c>
      <c r="L368" s="100">
        <f t="shared" ref="L368:L369" si="167">IF(K368&lt;0,1+L367,L367)</f>
        <v>160</v>
      </c>
      <c r="M368" s="227">
        <f>ROWS(L$17:L368)</f>
        <v>352</v>
      </c>
      <c r="N368" s="464">
        <f t="shared" ref="N368:N369" si="168">L367/M368</f>
        <v>0.45454545454545453</v>
      </c>
      <c r="O368" s="341">
        <f t="shared" ref="O368:O369" si="169">M368/12</f>
        <v>29.333333333333332</v>
      </c>
    </row>
    <row r="369" spans="1:15">
      <c r="A369" s="13">
        <f t="shared" si="97"/>
        <v>2013</v>
      </c>
      <c r="B369" s="13">
        <f t="shared" si="98"/>
        <v>5</v>
      </c>
      <c r="C369" s="200">
        <f>RESID!J369</f>
        <v>235.2</v>
      </c>
      <c r="D369" s="200">
        <f>RESID!K369</f>
        <v>224.4</v>
      </c>
      <c r="E369" s="13">
        <f t="shared" si="162"/>
        <v>10.799999999999983</v>
      </c>
      <c r="F369" s="100">
        <f t="shared" si="163"/>
        <v>0</v>
      </c>
      <c r="G369" s="200">
        <f>RESID!M369</f>
        <v>7.3</v>
      </c>
      <c r="H369" s="200">
        <f>RESID!N369</f>
        <v>11.2</v>
      </c>
      <c r="I369" s="200">
        <f t="shared" si="164"/>
        <v>-3.8999999999999995</v>
      </c>
      <c r="J369" s="100">
        <f t="shared" si="165"/>
        <v>1</v>
      </c>
      <c r="K369" s="171">
        <f t="shared" si="166"/>
        <v>6.8999999999999835</v>
      </c>
      <c r="L369" s="100">
        <f t="shared" si="167"/>
        <v>160</v>
      </c>
      <c r="M369" s="227">
        <f>ROWS(L$17:L369)</f>
        <v>353</v>
      </c>
      <c r="N369" s="464">
        <f t="shared" si="168"/>
        <v>0.45325779036827196</v>
      </c>
      <c r="O369" s="341">
        <f t="shared" si="169"/>
        <v>29.416666666666668</v>
      </c>
    </row>
    <row r="370" spans="1:15">
      <c r="A370" s="13">
        <f t="shared" si="97"/>
        <v>2013</v>
      </c>
      <c r="B370" s="13">
        <f t="shared" si="98"/>
        <v>6</v>
      </c>
      <c r="C370" s="200">
        <f>RESID!J370</f>
        <v>360.8</v>
      </c>
      <c r="D370" s="200">
        <f>RESID!K370</f>
        <v>382.8</v>
      </c>
      <c r="E370" s="13">
        <f t="shared" ref="E370:E371" si="170">C370-D370</f>
        <v>-22</v>
      </c>
      <c r="F370" s="100">
        <f t="shared" ref="F370:F371" si="171">IF(E370&lt;0,1,0)</f>
        <v>1</v>
      </c>
      <c r="G370" s="200">
        <f>RESID!M370</f>
        <v>1.5</v>
      </c>
      <c r="H370" s="200">
        <f>RESID!N370</f>
        <v>0.9</v>
      </c>
      <c r="I370" s="200">
        <f t="shared" ref="I370:I371" si="172">G370-H370</f>
        <v>0.6</v>
      </c>
      <c r="J370" s="100">
        <f t="shared" ref="J370:J371" si="173">IF(I370&lt;0,1,0)</f>
        <v>0</v>
      </c>
      <c r="K370" s="171">
        <f t="shared" ref="K370:K371" si="174">E370+I370</f>
        <v>-21.4</v>
      </c>
      <c r="L370" s="100">
        <f t="shared" ref="L370:L371" si="175">IF(K370&lt;0,1+L369,L369)</f>
        <v>161</v>
      </c>
      <c r="M370" s="227">
        <f>ROWS(L$17:L370)</f>
        <v>354</v>
      </c>
      <c r="N370" s="464">
        <f t="shared" ref="N370:N371" si="176">L369/M370</f>
        <v>0.4519774011299435</v>
      </c>
      <c r="O370" s="341">
        <f t="shared" ref="O370:O371" si="177">M370/12</f>
        <v>29.5</v>
      </c>
    </row>
    <row r="371" spans="1:15">
      <c r="A371" s="13">
        <f t="shared" si="97"/>
        <v>2013</v>
      </c>
      <c r="B371" s="13">
        <f t="shared" si="98"/>
        <v>7</v>
      </c>
      <c r="C371" s="200">
        <f>RESID!J371</f>
        <v>454.6</v>
      </c>
      <c r="D371" s="200">
        <f>RESID!K371</f>
        <v>454.9</v>
      </c>
      <c r="E371" s="13">
        <f t="shared" si="170"/>
        <v>-0.29999999999995453</v>
      </c>
      <c r="F371" s="100">
        <f t="shared" si="171"/>
        <v>1</v>
      </c>
      <c r="G371" s="200">
        <f>RESID!M371</f>
        <v>0</v>
      </c>
      <c r="H371" s="200">
        <f>RESID!N371</f>
        <v>0</v>
      </c>
      <c r="I371" s="200">
        <f t="shared" si="172"/>
        <v>0</v>
      </c>
      <c r="J371" s="100">
        <f t="shared" si="173"/>
        <v>0</v>
      </c>
      <c r="K371" s="171">
        <f t="shared" si="174"/>
        <v>-0.29999999999995453</v>
      </c>
      <c r="L371" s="100">
        <f t="shared" si="175"/>
        <v>162</v>
      </c>
      <c r="M371" s="227">
        <f>ROWS(L$17:L371)</f>
        <v>355</v>
      </c>
      <c r="N371" s="464">
        <f t="shared" si="176"/>
        <v>0.45352112676056339</v>
      </c>
      <c r="O371" s="341">
        <f t="shared" si="177"/>
        <v>29.583333333333332</v>
      </c>
    </row>
    <row r="372" spans="1:15">
      <c r="A372" s="13">
        <f t="shared" si="97"/>
        <v>2013</v>
      </c>
      <c r="B372" s="13">
        <f t="shared" si="98"/>
        <v>8</v>
      </c>
      <c r="C372" s="200">
        <f>RESID!J372</f>
        <v>473.2</v>
      </c>
      <c r="D372" s="200">
        <f>RESID!K372</f>
        <v>481.4</v>
      </c>
      <c r="E372" s="13">
        <f t="shared" ref="E372" si="178">C372-D372</f>
        <v>-8.1999999999999886</v>
      </c>
      <c r="F372" s="100">
        <f t="shared" ref="F372" si="179">IF(E372&lt;0,1,0)</f>
        <v>1</v>
      </c>
      <c r="G372" s="200">
        <f>RESID!M372</f>
        <v>0</v>
      </c>
      <c r="H372" s="200">
        <f>RESID!N372</f>
        <v>0</v>
      </c>
      <c r="I372" s="200">
        <f t="shared" ref="I372" si="180">G372-H372</f>
        <v>0</v>
      </c>
      <c r="J372" s="100">
        <f t="shared" ref="J372" si="181">IF(I372&lt;0,1,0)</f>
        <v>0</v>
      </c>
      <c r="K372" s="171">
        <f t="shared" ref="K372" si="182">E372+I372</f>
        <v>-8.1999999999999886</v>
      </c>
      <c r="L372" s="100">
        <f t="shared" ref="L372" si="183">IF(K372&lt;0,1+L371,L371)</f>
        <v>163</v>
      </c>
      <c r="M372" s="227">
        <f>ROWS(L$17:L372)</f>
        <v>356</v>
      </c>
      <c r="N372" s="464">
        <f t="shared" ref="N372" si="184">L371/M372</f>
        <v>0.4550561797752809</v>
      </c>
      <c r="O372" s="341">
        <f t="shared" ref="O372" si="185">M372/12</f>
        <v>29.666666666666668</v>
      </c>
    </row>
  </sheetData>
  <mergeCells count="4">
    <mergeCell ref="P14:R14"/>
    <mergeCell ref="T14:V14"/>
    <mergeCell ref="C14:E14"/>
    <mergeCell ref="G14:I14"/>
  </mergeCells>
  <pageMargins left="0.75" right="0.75" top="1" bottom="1" header="0.5" footer="0.5"/>
  <pageSetup orientation="portrait" r:id="rId1"/>
  <headerFooter alignWithMargins="0">
    <oddFooter>&amp;R14LGBRA-NRGPOD1-6-DOC 33
14BGBRA-STAFFROG1-19A-DOC 33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M377"/>
  <sheetViews>
    <sheetView tabSelected="1" topLeftCell="A8" zoomScale="80" zoomScaleNormal="80" workbookViewId="0">
      <selection activeCell="AW37" sqref="AW37"/>
    </sheetView>
  </sheetViews>
  <sheetFormatPr defaultColWidth="8.88671875" defaultRowHeight="12.75"/>
  <cols>
    <col min="1" max="1" width="6.5546875" style="4" customWidth="1"/>
    <col min="2" max="2" width="3.5546875" style="4" bestFit="1" customWidth="1"/>
    <col min="3" max="4" width="10.109375" style="4" bestFit="1" customWidth="1"/>
    <col min="5" max="5" width="5.33203125" style="4" customWidth="1"/>
    <col min="6" max="24" width="1.5546875" style="4" customWidth="1"/>
    <col min="25" max="25" width="9" style="4" customWidth="1"/>
    <col min="26" max="26" width="10.109375" style="4" bestFit="1" customWidth="1"/>
    <col min="27" max="27" width="9.44140625" style="4" bestFit="1" customWidth="1"/>
    <col min="28" max="28" width="10.77734375" style="4" bestFit="1" customWidth="1"/>
    <col min="29" max="37" width="1.5546875" style="4" customWidth="1"/>
    <col min="38" max="38" width="5.21875" style="4" bestFit="1" customWidth="1"/>
    <col min="39" max="39" width="9.44140625" style="4" bestFit="1" customWidth="1"/>
    <col min="40" max="40" width="6.109375" style="4" bestFit="1" customWidth="1"/>
    <col min="41" max="41" width="2" style="4" customWidth="1"/>
    <col min="42" max="42" width="9.44140625" style="4" bestFit="1" customWidth="1"/>
    <col min="43" max="43" width="5.77734375" style="4" bestFit="1" customWidth="1"/>
    <col min="44" max="44" width="8.6640625" style="4" bestFit="1" customWidth="1"/>
    <col min="45" max="45" width="5.77734375" style="4" bestFit="1" customWidth="1"/>
    <col min="46" max="47" width="3.21875" style="4" customWidth="1"/>
    <col min="48" max="48" width="1.77734375" style="4" customWidth="1"/>
    <col min="49" max="49" width="8.33203125" style="4" bestFit="1" customWidth="1"/>
    <col min="50" max="50" width="5.77734375" style="4" bestFit="1" customWidth="1"/>
    <col min="51" max="65" width="1.109375" style="4" customWidth="1"/>
    <col min="66" max="66" width="5.88671875" style="4" customWidth="1"/>
    <col min="67" max="67" width="3.21875" style="4" bestFit="1" customWidth="1"/>
    <col min="68" max="68" width="10.109375" style="4" bestFit="1" customWidth="1"/>
    <col min="69" max="71" width="2.88671875" style="4" customWidth="1"/>
    <col min="72" max="72" width="10.109375" style="6" bestFit="1" customWidth="1"/>
    <col min="73" max="73" width="10.5546875" style="4" bestFit="1" customWidth="1"/>
    <col min="74" max="74" width="7.33203125" style="4" customWidth="1"/>
    <col min="75" max="75" width="9.44140625" style="4" bestFit="1" customWidth="1"/>
    <col min="76" max="76" width="9.44140625" style="4" customWidth="1"/>
    <col min="77" max="86" width="1.77734375" style="4" customWidth="1"/>
    <col min="87" max="87" width="8.88671875" style="4"/>
    <col min="88" max="88" width="12.6640625" style="4" bestFit="1" customWidth="1"/>
    <col min="89" max="89" width="8.88671875" style="4"/>
    <col min="90" max="90" width="12.6640625" style="4" bestFit="1" customWidth="1"/>
    <col min="91" max="16384" width="8.88671875" style="4"/>
  </cols>
  <sheetData>
    <row r="1" spans="1:91" ht="18">
      <c r="A1" s="428" t="s">
        <v>261</v>
      </c>
      <c r="AL1" s="7" t="s">
        <v>160</v>
      </c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</row>
    <row r="2" spans="1:91">
      <c r="AL2" s="7" t="s">
        <v>244</v>
      </c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</row>
    <row r="5" spans="1:91">
      <c r="AN5" s="15"/>
      <c r="AP5" s="524" t="s">
        <v>296</v>
      </c>
      <c r="AQ5" s="17"/>
      <c r="AR5" s="18"/>
      <c r="AS5" s="17"/>
      <c r="AT5" s="19"/>
      <c r="AU5" s="18"/>
      <c r="AV5" s="17"/>
      <c r="AW5" s="20"/>
      <c r="AX5" s="21"/>
      <c r="CI5" s="22" t="s">
        <v>130</v>
      </c>
      <c r="CJ5" s="23"/>
    </row>
    <row r="6" spans="1:91">
      <c r="AM6" s="122" t="s">
        <v>308</v>
      </c>
      <c r="AN6" s="15" t="s">
        <v>4</v>
      </c>
      <c r="AP6" s="25" t="s">
        <v>3</v>
      </c>
      <c r="AQ6" s="26"/>
      <c r="AR6" s="27" t="s">
        <v>44</v>
      </c>
      <c r="AS6" s="26"/>
      <c r="AT6" s="162" t="s">
        <v>124</v>
      </c>
      <c r="AW6" s="27" t="s">
        <v>3</v>
      </c>
      <c r="AX6" s="26"/>
      <c r="CJ6" s="29" t="s">
        <v>40</v>
      </c>
      <c r="CL6" s="30" t="s">
        <v>3</v>
      </c>
    </row>
    <row r="7" spans="1:91">
      <c r="AL7" s="31" t="s">
        <v>8</v>
      </c>
      <c r="AM7" s="32" t="s">
        <v>4</v>
      </c>
      <c r="AN7" s="31" t="s">
        <v>9</v>
      </c>
      <c r="AO7" s="69"/>
      <c r="AP7" s="163" t="s">
        <v>122</v>
      </c>
      <c r="AQ7" s="33" t="s">
        <v>9</v>
      </c>
      <c r="AR7" s="164" t="s">
        <v>123</v>
      </c>
      <c r="AS7" s="33" t="s">
        <v>9</v>
      </c>
      <c r="AT7" s="164" t="s">
        <v>123</v>
      </c>
      <c r="AU7" s="33" t="s">
        <v>9</v>
      </c>
      <c r="AW7" s="527" t="s">
        <v>309</v>
      </c>
      <c r="AX7" s="33" t="s">
        <v>9</v>
      </c>
      <c r="CI7" s="34" t="s">
        <v>8</v>
      </c>
      <c r="CJ7" s="123" t="s">
        <v>264</v>
      </c>
      <c r="CK7" s="36" t="s">
        <v>42</v>
      </c>
      <c r="CL7" s="124" t="str">
        <f>CJ7</f>
        <v>SysSALES</v>
      </c>
      <c r="CM7" s="36" t="s">
        <v>42</v>
      </c>
    </row>
    <row r="8" spans="1:91">
      <c r="AL8" s="4">
        <v>1984</v>
      </c>
      <c r="AM8" s="108">
        <f>ROUND(SUM(C17:C28),0)</f>
        <v>19393145</v>
      </c>
      <c r="AP8" s="39">
        <f>ROUND(SUM(Z17:Z28),0)</f>
        <v>19427642</v>
      </c>
      <c r="AQ8" s="26"/>
      <c r="AR8" s="39">
        <f>ROUND(AVERAGE(D17:D28),0)</f>
        <v>900836</v>
      </c>
      <c r="AS8" s="26"/>
      <c r="AT8" s="39"/>
      <c r="AW8" s="39">
        <f t="shared" ref="AW8:AW27" si="0">ROUND((AP8/AR8*1000),0)</f>
        <v>21566</v>
      </c>
      <c r="AX8" s="26"/>
      <c r="CI8" s="22">
        <v>1984</v>
      </c>
    </row>
    <row r="9" spans="1:91">
      <c r="AL9" s="4">
        <v>1985</v>
      </c>
      <c r="AM9" s="108">
        <f>ROUND(SUM(C29:C40),0)</f>
        <v>20473100</v>
      </c>
      <c r="AN9" s="42">
        <f t="shared" ref="AN9:AN27" si="1">(AM9/AM8-1)*100</f>
        <v>5.5687460698097269</v>
      </c>
      <c r="AP9" s="39">
        <f>ROUND(SUM(Z29:Z40),0)</f>
        <v>19606969</v>
      </c>
      <c r="AQ9" s="43">
        <f t="shared" ref="AQ9:AQ27" si="2">(AP9/AP8-1)*100</f>
        <v>0.92305077476722008</v>
      </c>
      <c r="AR9" s="39">
        <f>ROUND(AVERAGE(D29:D40),0)</f>
        <v>940976</v>
      </c>
      <c r="AS9" s="43">
        <f t="shared" ref="AS9:AS27" si="3">(AR9/AR8-1)*100</f>
        <v>4.4558610002264576</v>
      </c>
      <c r="AT9" s="39"/>
      <c r="AW9" s="39">
        <f t="shared" si="0"/>
        <v>20837</v>
      </c>
      <c r="AX9" s="43">
        <f t="shared" ref="AX9:AX27" si="4">(AW9/AW8-1)*100</f>
        <v>-3.380320875452103</v>
      </c>
      <c r="CI9" s="22">
        <v>1985</v>
      </c>
    </row>
    <row r="10" spans="1:91">
      <c r="AL10" s="4">
        <v>1986</v>
      </c>
      <c r="AM10" s="108">
        <f>ROUND(SUM(C41:C52),0)</f>
        <v>21241279</v>
      </c>
      <c r="AN10" s="42">
        <f t="shared" si="1"/>
        <v>3.7521381715519331</v>
      </c>
      <c r="AP10" s="39">
        <f>ROUND(SUM(Z41:Z52),0)</f>
        <v>20572007</v>
      </c>
      <c r="AQ10" s="43">
        <f t="shared" si="2"/>
        <v>4.9219132238134344</v>
      </c>
      <c r="AR10" s="39">
        <f>ROUND(AVERAGE(D41:D52),0)</f>
        <v>980427</v>
      </c>
      <c r="AS10" s="43">
        <f t="shared" si="3"/>
        <v>4.1925617656560776</v>
      </c>
      <c r="AT10" s="39"/>
      <c r="AW10" s="39">
        <f t="shared" si="0"/>
        <v>20983</v>
      </c>
      <c r="AX10" s="43">
        <f t="shared" si="4"/>
        <v>0.70067668090416646</v>
      </c>
      <c r="CI10" s="22">
        <v>1986</v>
      </c>
    </row>
    <row r="11" spans="1:91">
      <c r="AL11" s="4">
        <v>1987</v>
      </c>
      <c r="AM11" s="108">
        <f>ROUND(SUM(C53:C64),0)</f>
        <v>22480490</v>
      </c>
      <c r="AN11" s="42">
        <f t="shared" si="1"/>
        <v>5.833975439991157</v>
      </c>
      <c r="AP11" s="39">
        <f>ROUND(SUM(Z53:Z64),0)</f>
        <v>22646474</v>
      </c>
      <c r="AQ11" s="43">
        <f t="shared" si="2"/>
        <v>10.083931042800053</v>
      </c>
      <c r="AR11" s="39">
        <f>ROUND(AVERAGE(D53:D64),0)</f>
        <v>1022531</v>
      </c>
      <c r="AS11" s="43">
        <f t="shared" si="3"/>
        <v>4.2944553750559722</v>
      </c>
      <c r="AT11" s="39"/>
      <c r="AW11" s="39">
        <f t="shared" si="0"/>
        <v>22147</v>
      </c>
      <c r="AX11" s="43">
        <f t="shared" si="4"/>
        <v>5.5473478530238873</v>
      </c>
      <c r="CI11" s="22">
        <v>1987</v>
      </c>
    </row>
    <row r="12" spans="1:91">
      <c r="AB12" s="507" t="s">
        <v>305</v>
      </c>
      <c r="AL12" s="4">
        <v>1988</v>
      </c>
      <c r="AM12" s="108">
        <f>ROUND(SUM(C65:C76),0)</f>
        <v>24124052</v>
      </c>
      <c r="AN12" s="42">
        <f t="shared" si="1"/>
        <v>7.3110595009272528</v>
      </c>
      <c r="AP12" s="39">
        <f>ROUND(SUM(Z65:Z76),0)</f>
        <v>24148079</v>
      </c>
      <c r="AQ12" s="43">
        <f t="shared" si="2"/>
        <v>6.6306348617449329</v>
      </c>
      <c r="AR12" s="39">
        <f>ROUND(AVERAGE(D65:D76),0)</f>
        <v>1060970</v>
      </c>
      <c r="AS12" s="43">
        <f t="shared" si="3"/>
        <v>3.7592014325237955</v>
      </c>
      <c r="AT12" s="39"/>
      <c r="AW12" s="39">
        <f t="shared" si="0"/>
        <v>22760</v>
      </c>
      <c r="AX12" s="43">
        <f t="shared" si="4"/>
        <v>2.7678692373684921</v>
      </c>
      <c r="CI12" s="22">
        <v>1988</v>
      </c>
    </row>
    <row r="13" spans="1:91">
      <c r="AB13" s="491" t="s">
        <v>304</v>
      </c>
      <c r="AL13" s="23">
        <v>1989</v>
      </c>
      <c r="AM13" s="50">
        <f>ROUND(SUM(C77:C88),0)</f>
        <v>25652521</v>
      </c>
      <c r="AN13" s="47">
        <f t="shared" si="1"/>
        <v>6.3358717681424315</v>
      </c>
      <c r="AO13" s="23"/>
      <c r="AP13" s="48">
        <f>ROUND(SUM(Z77:Z88),0)</f>
        <v>25047923</v>
      </c>
      <c r="AQ13" s="47">
        <f t="shared" si="2"/>
        <v>3.7263585231769314</v>
      </c>
      <c r="AR13" s="48">
        <f>ROUND(AVERAGE(D77:D88),0)</f>
        <v>1101817</v>
      </c>
      <c r="AS13" s="49">
        <f t="shared" si="3"/>
        <v>3.8499674825866803</v>
      </c>
      <c r="AT13" s="50"/>
      <c r="AV13" s="28"/>
      <c r="AW13" s="50">
        <f t="shared" si="0"/>
        <v>22733</v>
      </c>
      <c r="AX13" s="43">
        <f t="shared" si="4"/>
        <v>-0.1186291739894596</v>
      </c>
      <c r="CI13" s="51">
        <v>1989</v>
      </c>
    </row>
    <row r="14" spans="1:91">
      <c r="C14" s="52" t="s">
        <v>12</v>
      </c>
      <c r="D14" s="52" t="s">
        <v>12</v>
      </c>
      <c r="Z14" s="52" t="s">
        <v>118</v>
      </c>
      <c r="AB14" s="508" t="s">
        <v>303</v>
      </c>
      <c r="AL14" s="4">
        <v>1990</v>
      </c>
      <c r="AM14" s="108">
        <f>ROUND(SUM(C89:C100),0)</f>
        <v>26426312</v>
      </c>
      <c r="AN14" s="42">
        <f t="shared" si="1"/>
        <v>3.0164325759639787</v>
      </c>
      <c r="AP14" s="39">
        <f>ROUND(SUM(Z89:Z100),0)</f>
        <v>25951470</v>
      </c>
      <c r="AQ14" s="43">
        <f t="shared" si="2"/>
        <v>3.6072731459610541</v>
      </c>
      <c r="AR14" s="39">
        <f>ROUND(AVERAGE(D89:D100),0)</f>
        <v>1135499</v>
      </c>
      <c r="AS14" s="43">
        <f t="shared" si="3"/>
        <v>3.0569504736267517</v>
      </c>
      <c r="AT14" s="39"/>
      <c r="AW14" s="39">
        <f t="shared" si="0"/>
        <v>22855</v>
      </c>
      <c r="AX14" s="43">
        <f t="shared" si="4"/>
        <v>0.53666476048035427</v>
      </c>
      <c r="BP14" s="13" t="s">
        <v>12</v>
      </c>
      <c r="BQ14" s="52"/>
      <c r="BR14" s="63"/>
      <c r="BS14" s="64"/>
      <c r="BT14" s="171" t="s">
        <v>17</v>
      </c>
      <c r="CI14" s="22">
        <v>1990</v>
      </c>
    </row>
    <row r="15" spans="1:91">
      <c r="C15" s="52" t="s">
        <v>4</v>
      </c>
      <c r="D15" s="52" t="s">
        <v>4</v>
      </c>
      <c r="E15" s="354"/>
      <c r="Y15" s="4" t="s">
        <v>127</v>
      </c>
      <c r="Z15" s="52" t="s">
        <v>4</v>
      </c>
      <c r="AA15" s="15" t="s">
        <v>126</v>
      </c>
      <c r="AB15" s="508" t="s">
        <v>4</v>
      </c>
      <c r="AL15" s="4">
        <v>1991</v>
      </c>
      <c r="AM15" s="108">
        <f>ROUND(SUM(C101:C112),0)</f>
        <v>26589945</v>
      </c>
      <c r="AN15" s="42">
        <f t="shared" si="1"/>
        <v>0.61920482888417894</v>
      </c>
      <c r="AP15" s="39">
        <f>ROUND(SUM(Z101:Z112),0)</f>
        <v>26180811</v>
      </c>
      <c r="AQ15" s="43">
        <f t="shared" si="2"/>
        <v>0.88373028579884494</v>
      </c>
      <c r="AR15" s="39">
        <f>ROUND(AVERAGE(D101:D112),0)</f>
        <v>1159237</v>
      </c>
      <c r="AS15" s="43">
        <f t="shared" si="3"/>
        <v>2.0905346460014407</v>
      </c>
      <c r="AT15" s="39"/>
      <c r="AW15" s="39">
        <f t="shared" si="0"/>
        <v>22585</v>
      </c>
      <c r="AX15" s="43">
        <f t="shared" si="4"/>
        <v>-1.1813607525705483</v>
      </c>
      <c r="BP15" s="13" t="s">
        <v>28</v>
      </c>
      <c r="BQ15" s="52"/>
      <c r="BR15" s="63"/>
      <c r="BS15" s="63"/>
      <c r="BT15" s="283" t="s">
        <v>28</v>
      </c>
      <c r="BW15" s="15" t="s">
        <v>41</v>
      </c>
      <c r="CI15" s="22">
        <v>1991</v>
      </c>
    </row>
    <row r="16" spans="1:91">
      <c r="A16" s="31" t="s">
        <v>8</v>
      </c>
      <c r="B16" s="31" t="s">
        <v>29</v>
      </c>
      <c r="C16" s="66" t="s">
        <v>140</v>
      </c>
      <c r="D16" s="66" t="s">
        <v>141</v>
      </c>
      <c r="E16" s="354"/>
      <c r="Y16" s="36" t="s">
        <v>17</v>
      </c>
      <c r="Z16" s="66" t="s">
        <v>111</v>
      </c>
      <c r="AA16" s="66" t="s">
        <v>111</v>
      </c>
      <c r="AB16" s="513" t="s">
        <v>307</v>
      </c>
      <c r="AL16" s="4">
        <v>1992</v>
      </c>
      <c r="AM16" s="108">
        <f>ROUND(SUM(C113:C124),0)</f>
        <v>26884691</v>
      </c>
      <c r="AN16" s="42">
        <f t="shared" si="1"/>
        <v>1.108486685474519</v>
      </c>
      <c r="AP16" s="39">
        <f>ROUND(SUM(Z113:Z124),0)</f>
        <v>27407682</v>
      </c>
      <c r="AQ16" s="43">
        <f t="shared" si="2"/>
        <v>4.6861458951749091</v>
      </c>
      <c r="AR16" s="39">
        <f>ROUND(AVERAGE(D113:D124),0)</f>
        <v>1182170</v>
      </c>
      <c r="AS16" s="43">
        <f t="shared" si="3"/>
        <v>1.9782839919705753</v>
      </c>
      <c r="AT16" s="39"/>
      <c r="AW16" s="39">
        <f t="shared" si="0"/>
        <v>23184</v>
      </c>
      <c r="AX16" s="43">
        <f t="shared" si="4"/>
        <v>2.6522027894620326</v>
      </c>
      <c r="BN16" s="31" t="s">
        <v>8</v>
      </c>
      <c r="BO16" s="31" t="s">
        <v>29</v>
      </c>
      <c r="BP16" s="129" t="s">
        <v>142</v>
      </c>
      <c r="BQ16" s="38"/>
      <c r="BR16" s="72"/>
      <c r="BS16" s="72"/>
      <c r="BT16" s="238" t="s">
        <v>140</v>
      </c>
      <c r="BW16" s="15" t="s">
        <v>143</v>
      </c>
      <c r="CI16" s="22">
        <v>1992</v>
      </c>
    </row>
    <row r="17" spans="1:91">
      <c r="A17" s="4">
        <v>1984</v>
      </c>
      <c r="B17" s="4">
        <v>1</v>
      </c>
      <c r="C17" s="108">
        <f>Whole!C17+Whole!D17+'Tot Retail'!C17</f>
        <v>1995761</v>
      </c>
      <c r="D17" s="108">
        <f>Whole!E17+'Tot Retail'!D17</f>
        <v>904395</v>
      </c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75">
        <f>Whole!Z17+'Tot Retail'!Z17</f>
        <v>1733109</v>
      </c>
      <c r="AA17" s="108">
        <f t="shared" ref="AA17:AA80" si="5">Z17-C17</f>
        <v>-262652</v>
      </c>
      <c r="AB17" s="379">
        <f>Z17</f>
        <v>1733109</v>
      </c>
      <c r="AL17" s="4">
        <v>1993</v>
      </c>
      <c r="AM17" s="108">
        <f>ROUND(SUM(C125:C136),0)</f>
        <v>28223130</v>
      </c>
      <c r="AN17" s="42">
        <f t="shared" si="1"/>
        <v>4.9784429361676485</v>
      </c>
      <c r="AP17" s="39">
        <f>ROUND(SUM(Z125:Z136),0)</f>
        <v>28723871</v>
      </c>
      <c r="AQ17" s="43">
        <f t="shared" si="2"/>
        <v>4.8022631027315521</v>
      </c>
      <c r="AR17" s="39">
        <f>ROUND(AVERAGE(D125:D136),0)</f>
        <v>1214653</v>
      </c>
      <c r="AS17" s="43">
        <f t="shared" si="3"/>
        <v>2.7477435563413088</v>
      </c>
      <c r="AT17" s="39"/>
      <c r="AW17" s="39">
        <f t="shared" si="0"/>
        <v>23648</v>
      </c>
      <c r="AX17" s="43">
        <f t="shared" si="4"/>
        <v>2.00138026224983</v>
      </c>
      <c r="BN17" s="4">
        <v>1984</v>
      </c>
      <c r="BO17" s="4">
        <v>1</v>
      </c>
      <c r="CI17" s="22">
        <v>1993</v>
      </c>
    </row>
    <row r="18" spans="1:91">
      <c r="A18" s="4">
        <v>1984</v>
      </c>
      <c r="B18" s="4">
        <v>2</v>
      </c>
      <c r="C18" s="108">
        <f>Whole!C18+Whole!D18+'Tot Retail'!C18</f>
        <v>1697569</v>
      </c>
      <c r="D18" s="108">
        <f>Whole!E18+'Tot Retail'!D18</f>
        <v>892684</v>
      </c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75">
        <f>Whole!Z18+'Tot Retail'!Z18</f>
        <v>1583717</v>
      </c>
      <c r="AA18" s="108">
        <f t="shared" si="5"/>
        <v>-113852</v>
      </c>
      <c r="AB18" s="379">
        <f t="shared" ref="AB18:AB81" si="6">Z18</f>
        <v>1583717</v>
      </c>
      <c r="AL18" s="23">
        <v>1994</v>
      </c>
      <c r="AM18" s="50">
        <f>ROUND(SUM(C137:C148),0)</f>
        <v>29496930</v>
      </c>
      <c r="AN18" s="47">
        <f t="shared" si="1"/>
        <v>4.5133193944115968</v>
      </c>
      <c r="AO18" s="23"/>
      <c r="AP18" s="39">
        <f>ROUND(SUM(Z137:Z148),0)</f>
        <v>29609087</v>
      </c>
      <c r="AQ18" s="43">
        <f t="shared" si="2"/>
        <v>3.0818130327907367</v>
      </c>
      <c r="AR18" s="39">
        <f>ROUND(AVERAGE(D137:D148),0)</f>
        <v>1243891</v>
      </c>
      <c r="AS18" s="43">
        <f t="shared" si="3"/>
        <v>2.4071072149823847</v>
      </c>
      <c r="AT18" s="39"/>
      <c r="AW18" s="39">
        <f t="shared" si="0"/>
        <v>23804</v>
      </c>
      <c r="AX18" s="43">
        <f t="shared" si="4"/>
        <v>0.65967523680650064</v>
      </c>
      <c r="BN18" s="4">
        <v>1984</v>
      </c>
      <c r="BO18" s="4">
        <v>2</v>
      </c>
      <c r="CI18" s="51">
        <v>1994</v>
      </c>
    </row>
    <row r="19" spans="1:91">
      <c r="A19" s="4">
        <v>1984</v>
      </c>
      <c r="B19" s="4">
        <v>3</v>
      </c>
      <c r="C19" s="108">
        <f>Whole!C19+Whole!D19+'Tot Retail'!C19</f>
        <v>1436428</v>
      </c>
      <c r="D19" s="108">
        <f>Whole!E19+'Tot Retail'!D19</f>
        <v>902838</v>
      </c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75">
        <f>Whole!Z19+'Tot Retail'!Z19</f>
        <v>1387930</v>
      </c>
      <c r="AA19" s="108">
        <f t="shared" si="5"/>
        <v>-48498</v>
      </c>
      <c r="AB19" s="379">
        <f t="shared" si="6"/>
        <v>1387930</v>
      </c>
      <c r="AL19" s="4">
        <v>1995</v>
      </c>
      <c r="AM19" s="50">
        <f>ROUND(SUM(C149:C160),0)</f>
        <v>31345895</v>
      </c>
      <c r="AN19" s="47">
        <f t="shared" si="1"/>
        <v>6.2683302974241739</v>
      </c>
      <c r="AO19" s="23"/>
      <c r="AP19" s="39">
        <f>ROUND(SUM(Z149:Z160),0)</f>
        <v>31114717</v>
      </c>
      <c r="AQ19" s="43">
        <f t="shared" si="2"/>
        <v>5.0850267689780404</v>
      </c>
      <c r="AR19" s="39">
        <f>ROUND(AVERAGE(D149:D160),0)</f>
        <v>1271785</v>
      </c>
      <c r="AS19" s="43">
        <f t="shared" si="3"/>
        <v>2.2424794455462749</v>
      </c>
      <c r="AT19" s="39"/>
      <c r="AW19" s="39">
        <f t="shared" si="0"/>
        <v>24465</v>
      </c>
      <c r="AX19" s="43">
        <f t="shared" si="4"/>
        <v>2.776844227860864</v>
      </c>
      <c r="BN19" s="4">
        <v>1984</v>
      </c>
      <c r="BO19" s="4">
        <v>3</v>
      </c>
      <c r="CI19" s="22">
        <v>1995</v>
      </c>
    </row>
    <row r="20" spans="1:91">
      <c r="A20" s="4">
        <v>1984</v>
      </c>
      <c r="B20" s="4">
        <v>4</v>
      </c>
      <c r="C20" s="108">
        <f>Whole!C20+Whole!D20+'Tot Retail'!C20</f>
        <v>1306472</v>
      </c>
      <c r="D20" s="108">
        <f>Whole!E20+'Tot Retail'!D20</f>
        <v>900889</v>
      </c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75">
        <f>Whole!Z20+'Tot Retail'!Z20</f>
        <v>1366533</v>
      </c>
      <c r="AA20" s="108">
        <f t="shared" si="5"/>
        <v>60061</v>
      </c>
      <c r="AB20" s="379">
        <f t="shared" si="6"/>
        <v>1366533</v>
      </c>
      <c r="AL20" s="23">
        <v>1996</v>
      </c>
      <c r="AM20" s="50">
        <f>ROUND(SUM(C161:C172),0)</f>
        <v>32873544</v>
      </c>
      <c r="AN20" s="47">
        <f t="shared" si="1"/>
        <v>4.8735217163204281</v>
      </c>
      <c r="AP20" s="39">
        <f>ROUND(SUM(Z161:Z172),0)</f>
        <v>32246153</v>
      </c>
      <c r="AQ20" s="43">
        <f t="shared" si="2"/>
        <v>3.6363371069709549</v>
      </c>
      <c r="AR20" s="39">
        <f>ROUND(AVERAGE(D161:D172),0)</f>
        <v>1290407</v>
      </c>
      <c r="AS20" s="43">
        <f t="shared" si="3"/>
        <v>1.4642412042916053</v>
      </c>
      <c r="AT20" s="39"/>
      <c r="AW20" s="39">
        <f t="shared" si="0"/>
        <v>24989</v>
      </c>
      <c r="AX20" s="43">
        <f t="shared" si="4"/>
        <v>2.1418352748824754</v>
      </c>
      <c r="BN20" s="4">
        <v>1984</v>
      </c>
      <c r="BO20" s="4">
        <v>4</v>
      </c>
      <c r="CI20" s="51">
        <v>1996</v>
      </c>
    </row>
    <row r="21" spans="1:91">
      <c r="A21" s="4">
        <v>1984</v>
      </c>
      <c r="B21" s="4">
        <v>5</v>
      </c>
      <c r="C21" s="108">
        <f>Whole!C21+Whole!D21+'Tot Retail'!C21</f>
        <v>1427902</v>
      </c>
      <c r="D21" s="108">
        <f>Whole!E21+'Tot Retail'!D21</f>
        <v>890742</v>
      </c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75">
        <f>Whole!Z21+'Tot Retail'!Z21</f>
        <v>1427060</v>
      </c>
      <c r="AA21" s="108">
        <f t="shared" si="5"/>
        <v>-842</v>
      </c>
      <c r="AB21" s="379">
        <f t="shared" si="6"/>
        <v>1427060</v>
      </c>
      <c r="AL21" s="4">
        <v>1997</v>
      </c>
      <c r="AM21" s="50">
        <f>ROUND(SUM(C173:C184),0)</f>
        <v>32608395</v>
      </c>
      <c r="AN21" s="47">
        <f t="shared" si="1"/>
        <v>-0.80657260440188949</v>
      </c>
      <c r="AP21" s="39">
        <f>ROUND(SUM(Z173:Z184),0)</f>
        <v>33074660</v>
      </c>
      <c r="AQ21" s="43">
        <f t="shared" si="2"/>
        <v>2.5693204395575542</v>
      </c>
      <c r="AR21" s="39">
        <f>ROUND(AVERAGE(D173:D184),0)</f>
        <v>1314508</v>
      </c>
      <c r="AS21" s="43">
        <f t="shared" si="3"/>
        <v>1.8677053053803849</v>
      </c>
      <c r="AT21" s="39"/>
      <c r="AW21" s="39">
        <f t="shared" si="0"/>
        <v>25161</v>
      </c>
      <c r="AX21" s="43">
        <f t="shared" si="4"/>
        <v>0.68830285325542917</v>
      </c>
      <c r="BN21" s="4">
        <v>1984</v>
      </c>
      <c r="BO21" s="4">
        <v>5</v>
      </c>
      <c r="CI21" s="22">
        <v>1997</v>
      </c>
      <c r="CJ21" s="84">
        <f>ROUND(SUM(BP173:BP184),0)</f>
        <v>32615497</v>
      </c>
      <c r="CK21" s="47"/>
      <c r="CL21" s="84">
        <f>ROUND(SUM(BT173:BT184),0)</f>
        <v>32960779</v>
      </c>
    </row>
    <row r="22" spans="1:91">
      <c r="A22" s="4">
        <v>1984</v>
      </c>
      <c r="B22" s="4">
        <v>6</v>
      </c>
      <c r="C22" s="108">
        <f>Whole!C22+Whole!D22+'Tot Retail'!C22</f>
        <v>1538608</v>
      </c>
      <c r="D22" s="108">
        <f>Whole!E22+'Tot Retail'!D22</f>
        <v>887933</v>
      </c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75">
        <f>Whole!Z22+'Tot Retail'!Z22</f>
        <v>1721879</v>
      </c>
      <c r="AA22" s="108">
        <f t="shared" si="5"/>
        <v>183271</v>
      </c>
      <c r="AB22" s="379">
        <f t="shared" si="6"/>
        <v>1721879</v>
      </c>
      <c r="AL22" s="23">
        <v>1998</v>
      </c>
      <c r="AM22" s="50">
        <f>ROUND(SUM(C185:C196),0)</f>
        <v>35726324</v>
      </c>
      <c r="AN22" s="47">
        <f t="shared" si="1"/>
        <v>9.5617370925493272</v>
      </c>
      <c r="AP22" s="39">
        <f>ROUND(SUM(Z185:Z196),0)</f>
        <v>34867451</v>
      </c>
      <c r="AQ22" s="43">
        <f t="shared" si="2"/>
        <v>5.4204366726672282</v>
      </c>
      <c r="AR22" s="39">
        <f>ROUND(AVERAGE(D185:D196),0)</f>
        <v>1340853</v>
      </c>
      <c r="AS22" s="43">
        <f t="shared" si="3"/>
        <v>2.0041719030998717</v>
      </c>
      <c r="AT22" s="39"/>
      <c r="AW22" s="39">
        <f t="shared" si="0"/>
        <v>26004</v>
      </c>
      <c r="AX22" s="43">
        <f t="shared" si="4"/>
        <v>3.3504232741147</v>
      </c>
      <c r="BN22" s="4">
        <v>1984</v>
      </c>
      <c r="BO22" s="4">
        <v>6</v>
      </c>
      <c r="CI22" s="51">
        <v>1998</v>
      </c>
      <c r="CJ22" s="84">
        <f>ROUND(SUM(BP185:BP196),0)</f>
        <v>35749293</v>
      </c>
      <c r="CK22" s="47">
        <f t="shared" ref="CK22:CK27" si="7">(CJ22/CJ21-1)*100</f>
        <v>9.6083036845950875</v>
      </c>
      <c r="CL22" s="84">
        <f>ROUND(SUM(BT185:BT196),0)</f>
        <v>34847851</v>
      </c>
      <c r="CM22" s="47">
        <f t="shared" ref="CM22:CM27" si="8">(CL22/CL21-1)*100</f>
        <v>5.7252044922845968</v>
      </c>
    </row>
    <row r="23" spans="1:91">
      <c r="A23" s="4">
        <v>1984</v>
      </c>
      <c r="B23" s="4">
        <v>7</v>
      </c>
      <c r="C23" s="108">
        <f>Whole!C23+Whole!D23+'Tot Retail'!C23</f>
        <v>1728043</v>
      </c>
      <c r="D23" s="108">
        <f>Whole!E23+'Tot Retail'!D23</f>
        <v>890135</v>
      </c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75">
        <f>Whole!Z23+'Tot Retail'!Z23</f>
        <v>1842128</v>
      </c>
      <c r="AA23" s="108">
        <f t="shared" si="5"/>
        <v>114085</v>
      </c>
      <c r="AB23" s="379">
        <f t="shared" si="6"/>
        <v>1842128</v>
      </c>
      <c r="AL23" s="4">
        <v>1999</v>
      </c>
      <c r="AM23" s="50">
        <f>ROUND(SUM(C197:C208),0)</f>
        <v>36707736</v>
      </c>
      <c r="AN23" s="47">
        <f t="shared" si="1"/>
        <v>2.7470276538946514</v>
      </c>
      <c r="AP23" s="39">
        <f>ROUND(SUM(Z197:Z208),0)</f>
        <v>36818847</v>
      </c>
      <c r="AQ23" s="43">
        <f t="shared" si="2"/>
        <v>5.5966121526922041</v>
      </c>
      <c r="AR23" s="39">
        <f>ROUND(AVERAGE(D197:D208),0)</f>
        <v>1376597</v>
      </c>
      <c r="AS23" s="43">
        <f t="shared" si="3"/>
        <v>2.6657657476248264</v>
      </c>
      <c r="AT23" s="39"/>
      <c r="AW23" s="39">
        <f t="shared" si="0"/>
        <v>26746</v>
      </c>
      <c r="AX23" s="43">
        <f t="shared" si="4"/>
        <v>2.853407168127986</v>
      </c>
      <c r="BN23" s="4">
        <v>1984</v>
      </c>
      <c r="BO23" s="4">
        <v>7</v>
      </c>
      <c r="CI23" s="22">
        <v>1999</v>
      </c>
      <c r="CJ23" s="84">
        <f>ROUND(SUM(BP197:BP208),0)</f>
        <v>36959552</v>
      </c>
      <c r="CK23" s="47">
        <f t="shared" si="7"/>
        <v>3.3854068107025181</v>
      </c>
      <c r="CL23" s="84">
        <f>ROUND(SUM(BT197:BT208),0)</f>
        <v>36946749</v>
      </c>
      <c r="CM23" s="47">
        <f t="shared" si="8"/>
        <v>6.023034246788983</v>
      </c>
    </row>
    <row r="24" spans="1:91">
      <c r="A24" s="4">
        <v>1984</v>
      </c>
      <c r="B24" s="4">
        <v>8</v>
      </c>
      <c r="C24" s="108">
        <f>Whole!C24+Whole!D24+'Tot Retail'!C24</f>
        <v>1830998</v>
      </c>
      <c r="D24" s="108">
        <f>Whole!E24+'Tot Retail'!D24</f>
        <v>893261</v>
      </c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75">
        <f>Whole!Z24+'Tot Retail'!Z24</f>
        <v>1882835</v>
      </c>
      <c r="AA24" s="108">
        <f t="shared" si="5"/>
        <v>51837</v>
      </c>
      <c r="AB24" s="379">
        <f t="shared" si="6"/>
        <v>1882835</v>
      </c>
      <c r="AL24" s="23">
        <v>2000</v>
      </c>
      <c r="AM24" s="50">
        <f>ROUND(SUM(C209:C220),0)</f>
        <v>38564001</v>
      </c>
      <c r="AN24" s="47">
        <f t="shared" si="1"/>
        <v>5.0568768392580843</v>
      </c>
      <c r="AP24" s="555">
        <f>ROUND(SUM(AB209:AB220),0)</f>
        <v>36818847</v>
      </c>
      <c r="AQ24" s="43">
        <f t="shared" si="2"/>
        <v>0</v>
      </c>
      <c r="AR24" s="39">
        <f>ROUND(AVERAGE(D209:D220),0)</f>
        <v>1400299</v>
      </c>
      <c r="AS24" s="43">
        <f t="shared" si="3"/>
        <v>1.7217820465975198</v>
      </c>
      <c r="AT24" s="39"/>
      <c r="AW24" s="555">
        <f t="shared" si="0"/>
        <v>26294</v>
      </c>
      <c r="AX24" s="43">
        <f t="shared" si="4"/>
        <v>-1.6899723323113736</v>
      </c>
      <c r="BN24" s="4">
        <v>1984</v>
      </c>
      <c r="BO24" s="4">
        <v>8</v>
      </c>
      <c r="CI24" s="51">
        <v>2000</v>
      </c>
      <c r="CJ24" s="84">
        <f>ROUND(SUM(BP209:BP220),0)</f>
        <v>38907785</v>
      </c>
      <c r="CK24" s="47">
        <f t="shared" si="7"/>
        <v>5.2712570758433497</v>
      </c>
      <c r="CL24" s="84">
        <f>ROUND(SUM(BT209:BT220),0)</f>
        <v>38508433</v>
      </c>
      <c r="CM24" s="47">
        <f t="shared" si="8"/>
        <v>4.2268509199550941</v>
      </c>
    </row>
    <row r="25" spans="1:91">
      <c r="A25" s="4">
        <v>1984</v>
      </c>
      <c r="B25" s="4">
        <v>9</v>
      </c>
      <c r="C25" s="108">
        <f>Whole!C25+Whole!D25+'Tot Retail'!C25</f>
        <v>1914999</v>
      </c>
      <c r="D25" s="108">
        <f>Whole!E25+'Tot Retail'!D25</f>
        <v>897800</v>
      </c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75">
        <f>Whole!Z25+'Tot Retail'!Z25</f>
        <v>1943565</v>
      </c>
      <c r="AA25" s="108">
        <f t="shared" si="5"/>
        <v>28566</v>
      </c>
      <c r="AB25" s="379">
        <f t="shared" si="6"/>
        <v>1943565</v>
      </c>
      <c r="AL25" s="4">
        <v>2001</v>
      </c>
      <c r="AM25" s="50">
        <f>ROUND(SUM(C221:C232),0)</f>
        <v>39102302</v>
      </c>
      <c r="AN25" s="47">
        <f t="shared" si="1"/>
        <v>1.395863982059331</v>
      </c>
      <c r="AP25" s="555">
        <f>ROUND(SUM(AB221:AB232),0)</f>
        <v>38577813</v>
      </c>
      <c r="AQ25" s="43">
        <f t="shared" si="2"/>
        <v>4.7773522076886232</v>
      </c>
      <c r="AR25" s="39">
        <f>ROUND(AVERAGE(D221:D232),0)</f>
        <v>1444958</v>
      </c>
      <c r="AS25" s="43">
        <f t="shared" si="3"/>
        <v>3.1892474392968939</v>
      </c>
      <c r="AT25" s="39"/>
      <c r="AW25" s="555">
        <f t="shared" si="0"/>
        <v>26698</v>
      </c>
      <c r="AX25" s="43">
        <f t="shared" si="4"/>
        <v>1.536472198980765</v>
      </c>
      <c r="BN25" s="4">
        <v>1984</v>
      </c>
      <c r="BO25" s="4">
        <v>9</v>
      </c>
      <c r="CI25" s="22">
        <v>2001</v>
      </c>
      <c r="CJ25" s="84">
        <f>ROUND(SUM(BP221:BP232),0)</f>
        <v>38591009</v>
      </c>
      <c r="CK25" s="47">
        <f t="shared" si="7"/>
        <v>-0.81417125133182999</v>
      </c>
      <c r="CL25" s="84">
        <f>ROUND(SUM(BT221:BT232),0)</f>
        <v>38800543</v>
      </c>
      <c r="CM25" s="47">
        <f t="shared" si="8"/>
        <v>0.75856111828804806</v>
      </c>
    </row>
    <row r="26" spans="1:91">
      <c r="A26" s="4">
        <v>1984</v>
      </c>
      <c r="B26" s="4">
        <v>10</v>
      </c>
      <c r="C26" s="108">
        <f>Whole!C26+Whole!D26+'Tot Retail'!C26</f>
        <v>1574821</v>
      </c>
      <c r="D26" s="108">
        <f>Whole!E26+'Tot Retail'!D26</f>
        <v>903613</v>
      </c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75">
        <f>Whole!Z26+'Tot Retail'!Z26</f>
        <v>1722270</v>
      </c>
      <c r="AA26" s="108">
        <f t="shared" si="5"/>
        <v>147449</v>
      </c>
      <c r="AB26" s="379">
        <f t="shared" si="6"/>
        <v>1722270</v>
      </c>
      <c r="AL26" s="23">
        <v>2002</v>
      </c>
      <c r="AM26" s="50">
        <f>ROUND(SUM(C233:C244),0)</f>
        <v>40032411</v>
      </c>
      <c r="AN26" s="47">
        <f t="shared" si="1"/>
        <v>2.3786553538459154</v>
      </c>
      <c r="AP26" s="555">
        <f>ROUND(SUM(AB233:AB244),0)</f>
        <v>39156508</v>
      </c>
      <c r="AQ26" s="43">
        <f t="shared" si="2"/>
        <v>1.5000720751070062</v>
      </c>
      <c r="AR26" s="39">
        <f>ROUND(AVERAGE(D233:D244),0)</f>
        <v>1475783</v>
      </c>
      <c r="AS26" s="43">
        <f t="shared" si="3"/>
        <v>2.1332799984497886</v>
      </c>
      <c r="AT26" s="39"/>
      <c r="AW26" s="555">
        <f t="shared" si="0"/>
        <v>26533</v>
      </c>
      <c r="AX26" s="43">
        <f t="shared" si="4"/>
        <v>-0.61802382200913941</v>
      </c>
      <c r="BN26" s="4">
        <v>1984</v>
      </c>
      <c r="BO26" s="4">
        <v>10</v>
      </c>
      <c r="CI26" s="51">
        <v>2002</v>
      </c>
      <c r="CJ26" s="84">
        <f>ROUND(SUM(BP233:BP244),0)</f>
        <v>40037061</v>
      </c>
      <c r="CK26" s="47">
        <f t="shared" si="7"/>
        <v>3.7471215121636314</v>
      </c>
      <c r="CL26" s="84">
        <f>ROUND(SUM(BT233:BT244),0)</f>
        <v>39228106</v>
      </c>
      <c r="CM26" s="47">
        <f t="shared" si="8"/>
        <v>1.1019510732104942</v>
      </c>
    </row>
    <row r="27" spans="1:91">
      <c r="A27" s="4">
        <v>1984</v>
      </c>
      <c r="B27" s="4">
        <v>11</v>
      </c>
      <c r="C27" s="108">
        <f>Whole!C27+Whole!D27+'Tot Retail'!C27</f>
        <v>1525507</v>
      </c>
      <c r="D27" s="108">
        <f>Whole!E27+'Tot Retail'!D27</f>
        <v>917060</v>
      </c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75">
        <f>Whole!Z27+'Tot Retail'!Z27</f>
        <v>1403131</v>
      </c>
      <c r="AA27" s="108">
        <f t="shared" si="5"/>
        <v>-122376</v>
      </c>
      <c r="AB27" s="379">
        <f t="shared" si="6"/>
        <v>1403131</v>
      </c>
      <c r="AL27" s="4">
        <v>2003</v>
      </c>
      <c r="AM27" s="50">
        <f>ROUND(SUM(C245:C256),0)</f>
        <v>41316133</v>
      </c>
      <c r="AN27" s="47">
        <f t="shared" si="1"/>
        <v>3.2067066857402127</v>
      </c>
      <c r="AP27" s="555">
        <f>ROUND(SUM(AB245:AB256),0)</f>
        <v>39261958</v>
      </c>
      <c r="AQ27" s="43">
        <f t="shared" si="2"/>
        <v>0.26930389196095916</v>
      </c>
      <c r="AR27" s="39">
        <f>ROUND(AVERAGE(D245:D256),0)</f>
        <v>1510516</v>
      </c>
      <c r="AS27" s="43">
        <f t="shared" si="3"/>
        <v>2.3535302954431625</v>
      </c>
      <c r="AT27" s="39"/>
      <c r="AW27" s="555">
        <f t="shared" si="0"/>
        <v>25992</v>
      </c>
      <c r="AX27" s="43">
        <f t="shared" si="4"/>
        <v>-2.0389703388233538</v>
      </c>
      <c r="BN27" s="4">
        <v>1984</v>
      </c>
      <c r="BO27" s="4">
        <v>11</v>
      </c>
      <c r="CI27" s="51">
        <v>2003</v>
      </c>
      <c r="CJ27" s="84">
        <f>ROUND(SUM(BP245:BP256),0)</f>
        <v>41549223</v>
      </c>
      <c r="CK27" s="47">
        <f t="shared" si="7"/>
        <v>3.7769056025366066</v>
      </c>
      <c r="CL27" s="84">
        <f>ROUND(SUM(BT245:BT256),0)</f>
        <v>40928182</v>
      </c>
      <c r="CM27" s="47">
        <f t="shared" si="8"/>
        <v>4.3338212658036612</v>
      </c>
    </row>
    <row r="28" spans="1:91">
      <c r="A28" s="4">
        <v>1984</v>
      </c>
      <c r="B28" s="4">
        <v>12</v>
      </c>
      <c r="C28" s="108">
        <f>Whole!C28+Whole!D28+'Tot Retail'!C28</f>
        <v>1416037</v>
      </c>
      <c r="D28" s="108">
        <f>Whole!E28+'Tot Retail'!D28</f>
        <v>928676</v>
      </c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75">
        <f>Whole!Z28+'Tot Retail'!Z28</f>
        <v>1413485</v>
      </c>
      <c r="AA28" s="108">
        <f t="shared" si="5"/>
        <v>-2552</v>
      </c>
      <c r="AB28" s="379">
        <f t="shared" si="6"/>
        <v>1413485</v>
      </c>
      <c r="AL28" s="4">
        <v>2004</v>
      </c>
      <c r="AM28" s="50">
        <f>ROUND(SUM(C257:C268),0)</f>
        <v>42494194</v>
      </c>
      <c r="AN28" s="47">
        <f t="shared" ref="AN28:AN33" si="9">(AM28/AM27-1)*100</f>
        <v>2.8513341265505199</v>
      </c>
      <c r="AP28" s="555">
        <f>ROUND(SUM(AB257:AB268),0)</f>
        <v>40805622</v>
      </c>
      <c r="AQ28" s="43">
        <f t="shared" ref="AQ28:AQ33" si="10">(AP28/AP27-1)*100</f>
        <v>3.9317040683503279</v>
      </c>
      <c r="AR28" s="39">
        <f>ROUND(AVERAGE(D257:D268),0)</f>
        <v>1548627</v>
      </c>
      <c r="AS28" s="43">
        <f t="shared" ref="AS28:AS33" si="11">(AR28/AR27-1)*100</f>
        <v>2.523045105116406</v>
      </c>
      <c r="AT28" s="39"/>
      <c r="AW28" s="555">
        <f t="shared" ref="AW28:AW33" si="12">ROUND((AP28/AR28*1000),0)</f>
        <v>26350</v>
      </c>
      <c r="AX28" s="43">
        <f t="shared" ref="AX28:AX33" si="13">(AW28/AW27-1)*100</f>
        <v>1.3773468759618268</v>
      </c>
      <c r="BN28" s="4">
        <v>1984</v>
      </c>
      <c r="BO28" s="4">
        <v>12</v>
      </c>
      <c r="CI28" s="51">
        <v>2004</v>
      </c>
      <c r="CJ28" s="84">
        <f>ROUND(SUM(BP257:BP268),0)</f>
        <v>42852795</v>
      </c>
      <c r="CK28" s="47">
        <f t="shared" ref="CK28:CK33" si="14">(CJ28/CJ27-1)*100</f>
        <v>3.1374160715351929</v>
      </c>
      <c r="CL28" s="182">
        <f>ROUND(SUM(BT257:BT268),0)</f>
        <v>42906544</v>
      </c>
      <c r="CM28" s="47">
        <f t="shared" ref="CM28:CM33" si="15">(CL28/CL27-1)*100</f>
        <v>4.8337402330746126</v>
      </c>
    </row>
    <row r="29" spans="1:91">
      <c r="A29" s="4">
        <v>1985</v>
      </c>
      <c r="B29" s="4">
        <v>1</v>
      </c>
      <c r="C29" s="108">
        <f>Whole!C29+Whole!D29+'Tot Retail'!C29</f>
        <v>1561806</v>
      </c>
      <c r="D29" s="108">
        <f>Whole!E29+'Tot Retail'!D29</f>
        <v>936074</v>
      </c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>
        <f t="shared" ref="Y29:Y92" si="16">Z29-Z17</f>
        <v>-229563</v>
      </c>
      <c r="Z29" s="175">
        <f>Whole!Z29+'Tot Retail'!Z29</f>
        <v>1503546</v>
      </c>
      <c r="AA29" s="108">
        <f t="shared" si="5"/>
        <v>-58260</v>
      </c>
      <c r="AB29" s="379">
        <f t="shared" si="6"/>
        <v>1503546</v>
      </c>
      <c r="AL29" s="4">
        <v>2005</v>
      </c>
      <c r="AM29" s="50">
        <f>ROUND(SUM(C269:C280),0)</f>
        <v>44371824</v>
      </c>
      <c r="AN29" s="47">
        <f t="shared" si="9"/>
        <v>4.4185565679866867</v>
      </c>
      <c r="AP29" s="555">
        <f>ROUND(SUM(AB269:AB280),0)</f>
        <v>42813527</v>
      </c>
      <c r="AQ29" s="43">
        <f t="shared" si="10"/>
        <v>4.9206577466212931</v>
      </c>
      <c r="AR29" s="39">
        <f>ROUND(AVERAGE(D269:D280),0)</f>
        <v>1583417</v>
      </c>
      <c r="AS29" s="43">
        <f t="shared" si="11"/>
        <v>2.2465060986280205</v>
      </c>
      <c r="AT29" s="39"/>
      <c r="AW29" s="555">
        <f t="shared" si="12"/>
        <v>27039</v>
      </c>
      <c r="AX29" s="43">
        <f t="shared" si="13"/>
        <v>2.6148007590132805</v>
      </c>
      <c r="BN29" s="4">
        <v>1985</v>
      </c>
      <c r="BO29" s="4">
        <v>1</v>
      </c>
      <c r="CI29" s="51">
        <v>2005</v>
      </c>
      <c r="CJ29" s="84">
        <f>ROUND(SUM(BP269:BP280),0)</f>
        <v>44167297</v>
      </c>
      <c r="CK29" s="47">
        <f t="shared" si="14"/>
        <v>3.0674825294359387</v>
      </c>
      <c r="CL29" s="84">
        <f>ROUND(SUM(BT269:BT280),0)</f>
        <v>43938567</v>
      </c>
      <c r="CM29" s="47">
        <f t="shared" si="15"/>
        <v>2.4052811151604292</v>
      </c>
    </row>
    <row r="30" spans="1:91">
      <c r="A30" s="4">
        <v>1985</v>
      </c>
      <c r="B30" s="4">
        <v>2</v>
      </c>
      <c r="C30" s="108">
        <f>Whole!C30+Whole!D30+'Tot Retail'!C30</f>
        <v>1774123</v>
      </c>
      <c r="D30" s="108">
        <f>Whole!E30+'Tot Retail'!D30</f>
        <v>941403</v>
      </c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>
        <f t="shared" si="16"/>
        <v>-115933</v>
      </c>
      <c r="Z30" s="175">
        <f>Whole!Z30+'Tot Retail'!Z30</f>
        <v>1467784</v>
      </c>
      <c r="AA30" s="108">
        <f t="shared" si="5"/>
        <v>-306339</v>
      </c>
      <c r="AB30" s="379">
        <f t="shared" si="6"/>
        <v>1467784</v>
      </c>
      <c r="AL30" s="4">
        <v>2006</v>
      </c>
      <c r="AM30" s="50">
        <f>ROUND(SUM(C281:C292),0)</f>
        <v>43652017</v>
      </c>
      <c r="AN30" s="47">
        <f t="shared" si="9"/>
        <v>-1.6222163866871919</v>
      </c>
      <c r="AP30" s="555">
        <f>ROUND(SUM(AB281:AB292),0)</f>
        <v>44091155</v>
      </c>
      <c r="AQ30" s="43">
        <f t="shared" si="10"/>
        <v>2.9841689987372355</v>
      </c>
      <c r="AR30" s="39">
        <f>ROUND(AVERAGE(D281:D292),0)</f>
        <v>1620396</v>
      </c>
      <c r="AS30" s="43">
        <f t="shared" si="11"/>
        <v>2.3353923824235734</v>
      </c>
      <c r="AT30" s="39"/>
      <c r="AW30" s="555">
        <f t="shared" si="12"/>
        <v>27210</v>
      </c>
      <c r="AX30" s="43">
        <f t="shared" si="13"/>
        <v>0.63241983801176627</v>
      </c>
      <c r="BN30" s="4">
        <v>1985</v>
      </c>
      <c r="BO30" s="4">
        <v>2</v>
      </c>
      <c r="CI30" s="51">
        <v>2006</v>
      </c>
      <c r="CJ30" s="84">
        <f>ROUND(SUM(BP281:BP292),0)</f>
        <v>43418566</v>
      </c>
      <c r="CK30" s="47">
        <f t="shared" si="14"/>
        <v>-1.6952158063917699</v>
      </c>
      <c r="CL30" s="84">
        <f>ROUND(SUM(BT281:BT292),0)</f>
        <v>43513970</v>
      </c>
      <c r="CM30" s="47">
        <f t="shared" si="15"/>
        <v>-0.96634239346039541</v>
      </c>
    </row>
    <row r="31" spans="1:91">
      <c r="A31" s="4">
        <v>1985</v>
      </c>
      <c r="B31" s="4">
        <v>3</v>
      </c>
      <c r="C31" s="108">
        <f>Whole!C31+Whole!D31+'Tot Retail'!C31</f>
        <v>1498498</v>
      </c>
      <c r="D31" s="108">
        <f>Whole!E31+'Tot Retail'!D31</f>
        <v>945277</v>
      </c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>
        <f t="shared" si="16"/>
        <v>43352</v>
      </c>
      <c r="Z31" s="175">
        <f>Whole!Z31+'Tot Retail'!Z31</f>
        <v>1431282</v>
      </c>
      <c r="AA31" s="108">
        <f t="shared" si="5"/>
        <v>-67216</v>
      </c>
      <c r="AB31" s="379">
        <f t="shared" si="6"/>
        <v>1431282</v>
      </c>
      <c r="AL31" s="4">
        <v>2007</v>
      </c>
      <c r="AM31" s="50">
        <f>ROUND(SUM(C293:C304),0)</f>
        <v>44879572</v>
      </c>
      <c r="AN31" s="47">
        <f t="shared" si="9"/>
        <v>2.8121380966199094</v>
      </c>
      <c r="AP31" s="555">
        <f>ROUND(SUM(AB293:AB304),0)</f>
        <v>43647737</v>
      </c>
      <c r="AQ31" s="43">
        <f t="shared" si="10"/>
        <v>-1.0056847002533731</v>
      </c>
      <c r="AR31" s="39">
        <f>ROUND(AVERAGE(D293:D304),0)</f>
        <v>1632368</v>
      </c>
      <c r="AS31" s="43">
        <f t="shared" si="11"/>
        <v>0.738831742364221</v>
      </c>
      <c r="AT31" s="39"/>
      <c r="AW31" s="555">
        <f t="shared" si="12"/>
        <v>26739</v>
      </c>
      <c r="AX31" s="43">
        <f t="shared" si="13"/>
        <v>-1.7309812568908511</v>
      </c>
      <c r="BN31" s="4">
        <v>1985</v>
      </c>
      <c r="BO31" s="4">
        <v>3</v>
      </c>
      <c r="CI31" s="22">
        <v>2007</v>
      </c>
      <c r="CJ31" s="84">
        <f>ROUND(SUM(BP293:BP304),0)</f>
        <v>44967597</v>
      </c>
      <c r="CK31" s="47">
        <f t="shared" si="14"/>
        <v>3.5676696462061841</v>
      </c>
      <c r="CL31" s="84">
        <f>ROUND(SUM(BT293:BT304),0)</f>
        <v>44992212</v>
      </c>
      <c r="CM31" s="47">
        <f t="shared" si="15"/>
        <v>3.3971664732038942</v>
      </c>
    </row>
    <row r="32" spans="1:91">
      <c r="A32" s="4">
        <v>1985</v>
      </c>
      <c r="B32" s="4">
        <v>4</v>
      </c>
      <c r="C32" s="108">
        <f>Whole!C32+Whole!D32+'Tot Retail'!C32</f>
        <v>1395521</v>
      </c>
      <c r="D32" s="108">
        <f>Whole!E32+'Tot Retail'!D32</f>
        <v>942598</v>
      </c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>
        <f t="shared" si="16"/>
        <v>71727</v>
      </c>
      <c r="Z32" s="175">
        <f>Whole!Z32+'Tot Retail'!Z32</f>
        <v>1438260</v>
      </c>
      <c r="AA32" s="108">
        <f t="shared" si="5"/>
        <v>42739</v>
      </c>
      <c r="AB32" s="379">
        <f t="shared" si="6"/>
        <v>1438260</v>
      </c>
      <c r="AL32" s="4">
        <v>2008</v>
      </c>
      <c r="AM32" s="50">
        <f>ROUND(SUM(C305:C316),0)</f>
        <v>45175183</v>
      </c>
      <c r="AN32" s="47">
        <f t="shared" si="9"/>
        <v>0.65867606758815977</v>
      </c>
      <c r="AP32" s="555">
        <f>ROUND(SUM(AB305:AB316),0)</f>
        <v>45052372</v>
      </c>
      <c r="AQ32" s="43">
        <f t="shared" si="10"/>
        <v>3.2181164398053408</v>
      </c>
      <c r="AR32" s="39">
        <f>ROUND(AVERAGE(D305:D316),0)</f>
        <v>1638935</v>
      </c>
      <c r="AS32" s="43">
        <f t="shared" si="11"/>
        <v>0.40229899140389325</v>
      </c>
      <c r="AT32" s="39"/>
      <c r="AW32" s="555">
        <f t="shared" si="12"/>
        <v>27489</v>
      </c>
      <c r="AX32" s="43">
        <f t="shared" si="13"/>
        <v>2.804891731179171</v>
      </c>
      <c r="BN32" s="4">
        <v>1985</v>
      </c>
      <c r="BO32" s="4">
        <v>4</v>
      </c>
      <c r="CI32" s="22">
        <v>2008</v>
      </c>
      <c r="CJ32" s="84">
        <f>ROUND(SUM(BP305:BP316),0)</f>
        <v>45051689</v>
      </c>
      <c r="CK32" s="47">
        <f t="shared" si="14"/>
        <v>0.18700576773091893</v>
      </c>
      <c r="CL32" s="84">
        <f>ROUND(SUM(BT305:BT316),0)</f>
        <v>45223119</v>
      </c>
      <c r="CM32" s="47">
        <f t="shared" si="15"/>
        <v>0.51321548716030119</v>
      </c>
    </row>
    <row r="33" spans="1:91">
      <c r="A33" s="4">
        <v>1985</v>
      </c>
      <c r="B33" s="4">
        <v>5</v>
      </c>
      <c r="C33" s="108">
        <f>Whole!C33+Whole!D33+'Tot Retail'!C33</f>
        <v>1493030</v>
      </c>
      <c r="D33" s="108">
        <f>Whole!E33+'Tot Retail'!D33</f>
        <v>931500</v>
      </c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>
        <f t="shared" si="16"/>
        <v>26603</v>
      </c>
      <c r="Z33" s="175">
        <f>Whole!Z33+'Tot Retail'!Z33</f>
        <v>1453663</v>
      </c>
      <c r="AA33" s="108">
        <f t="shared" si="5"/>
        <v>-39367</v>
      </c>
      <c r="AB33" s="379">
        <f t="shared" si="6"/>
        <v>1453663</v>
      </c>
      <c r="AL33" s="4">
        <v>2009</v>
      </c>
      <c r="AM33" s="50">
        <f>ROUND(SUM(C317:C328),0)</f>
        <v>41520419</v>
      </c>
      <c r="AN33" s="47">
        <f t="shared" si="9"/>
        <v>-8.0902029771523054</v>
      </c>
      <c r="AP33" s="555">
        <f>ROUND(SUM(AB317:AB328),0)</f>
        <v>45423692</v>
      </c>
      <c r="AQ33" s="43">
        <f t="shared" si="10"/>
        <v>0.82419633754244881</v>
      </c>
      <c r="AR33" s="39">
        <f>ROUND(AVERAGE(D317:D328),0)</f>
        <v>1630195</v>
      </c>
      <c r="AS33" s="43">
        <f t="shared" si="11"/>
        <v>-0.53327313163731294</v>
      </c>
      <c r="AT33" s="39"/>
      <c r="AW33" s="555">
        <f t="shared" si="12"/>
        <v>27864</v>
      </c>
      <c r="AX33" s="43">
        <f t="shared" si="13"/>
        <v>1.3641820364509449</v>
      </c>
      <c r="BN33" s="4">
        <v>1985</v>
      </c>
      <c r="BO33" s="4">
        <v>5</v>
      </c>
      <c r="CI33" s="22">
        <v>2009</v>
      </c>
      <c r="CJ33" s="84">
        <f>ROUND(SUM(BP317:BP328),0)</f>
        <v>41444349</v>
      </c>
      <c r="CK33" s="47">
        <f t="shared" si="14"/>
        <v>-8.0071137843466857</v>
      </c>
      <c r="CL33" s="84">
        <f>ROUND(SUM(BT317:BT328),0)</f>
        <v>40558261</v>
      </c>
      <c r="CM33" s="47">
        <f t="shared" si="15"/>
        <v>-10.315206255455312</v>
      </c>
    </row>
    <row r="34" spans="1:91">
      <c r="A34" s="4">
        <v>1985</v>
      </c>
      <c r="B34" s="4">
        <v>6</v>
      </c>
      <c r="C34" s="108">
        <f>Whole!C34+Whole!D34+'Tot Retail'!C34</f>
        <v>1852300</v>
      </c>
      <c r="D34" s="108">
        <f>Whole!E34+'Tot Retail'!D34</f>
        <v>928883</v>
      </c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>
        <f t="shared" si="16"/>
        <v>49114</v>
      </c>
      <c r="Z34" s="175">
        <f>Whole!Z34+'Tot Retail'!Z34</f>
        <v>1770993</v>
      </c>
      <c r="AA34" s="108">
        <f t="shared" si="5"/>
        <v>-81307</v>
      </c>
      <c r="AB34" s="379">
        <f t="shared" si="6"/>
        <v>1770993</v>
      </c>
      <c r="AL34" s="4">
        <v>2010</v>
      </c>
      <c r="AM34" s="50">
        <f>ROUND(SUM(C329:C340),0)</f>
        <v>42418098</v>
      </c>
      <c r="AN34" s="47">
        <f t="shared" ref="AN34" si="17">(AM34/AM33-1)*100</f>
        <v>2.1620181626779811</v>
      </c>
      <c r="AP34" s="555">
        <f>ROUND(SUM(AB329:AB340),0)</f>
        <v>40887716</v>
      </c>
      <c r="AQ34" s="43">
        <f t="shared" ref="AQ34" si="18">(AP34/AP33-1)*100</f>
        <v>-9.9859254065037266</v>
      </c>
      <c r="AR34" s="39">
        <f>ROUND(AVERAGE(D329:D340),0)</f>
        <v>1640833</v>
      </c>
      <c r="AS34" s="43">
        <f t="shared" ref="AS34" si="19">(AR34/AR33-1)*100</f>
        <v>0.6525599698195661</v>
      </c>
      <c r="AT34" s="39"/>
      <c r="AW34" s="555">
        <f t="shared" ref="AW34" si="20">ROUND((AP34/AR34*1000),0)</f>
        <v>24919</v>
      </c>
      <c r="AX34" s="43">
        <f t="shared" ref="AX34" si="21">(AW34/AW33-1)*100</f>
        <v>-10.569193224231988</v>
      </c>
      <c r="BN34" s="4">
        <v>1985</v>
      </c>
      <c r="BO34" s="4">
        <v>6</v>
      </c>
      <c r="CI34" s="22">
        <v>2010</v>
      </c>
      <c r="CJ34" s="84">
        <f>ROUND(SUM(BP329:BP340),0)</f>
        <v>43042454</v>
      </c>
      <c r="CK34" s="47">
        <f t="shared" ref="CK34" si="22">(CJ34/CJ33-1)*100</f>
        <v>3.8560263065056333</v>
      </c>
      <c r="CL34" s="84">
        <f>ROUND(SUM(BT329:BT340),0)</f>
        <v>40049953</v>
      </c>
      <c r="CM34" s="47">
        <f t="shared" ref="CM34" si="23">(CL34/CL33-1)*100</f>
        <v>-1.2532785860813855</v>
      </c>
    </row>
    <row r="35" spans="1:91">
      <c r="A35" s="4">
        <v>1985</v>
      </c>
      <c r="B35" s="4">
        <v>7</v>
      </c>
      <c r="C35" s="108">
        <f>Whole!C35+Whole!D35+'Tot Retail'!C35</f>
        <v>1922530</v>
      </c>
      <c r="D35" s="108">
        <f>Whole!E35+'Tot Retail'!D35</f>
        <v>930620</v>
      </c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>
        <f t="shared" si="16"/>
        <v>60732</v>
      </c>
      <c r="Z35" s="175">
        <f>Whole!Z35+'Tot Retail'!Z35</f>
        <v>1902860</v>
      </c>
      <c r="AA35" s="108">
        <f t="shared" si="5"/>
        <v>-19670</v>
      </c>
      <c r="AB35" s="379">
        <f t="shared" si="6"/>
        <v>1902860</v>
      </c>
      <c r="AL35" s="4">
        <v>2011</v>
      </c>
      <c r="AM35" s="50">
        <f>ROUND(SUM(C341:C352),0)</f>
        <v>40309332</v>
      </c>
      <c r="AN35" s="47">
        <f t="shared" ref="AN35" si="24">(AM35/AM34-1)*100</f>
        <v>-4.9713827338510042</v>
      </c>
      <c r="AP35" s="555">
        <f>ROUND(SUM(AB341:AB352),0)</f>
        <v>39936207</v>
      </c>
      <c r="AQ35" s="43">
        <f t="shared" ref="AQ35" si="25">(AP35/AP34-1)*100</f>
        <v>-2.3271268074744</v>
      </c>
      <c r="AR35" s="39">
        <f>ROUND(AVERAGE(D341:D352),0)</f>
        <v>1642161</v>
      </c>
      <c r="AS35" s="43">
        <f t="shared" ref="AS35" si="26">(AR35/AR34-1)*100</f>
        <v>8.0934500951657107E-2</v>
      </c>
      <c r="AT35" s="39"/>
      <c r="AW35" s="555">
        <f t="shared" ref="AW35" si="27">ROUND((AP35/AR35*1000),0)</f>
        <v>24319</v>
      </c>
      <c r="AX35" s="43">
        <f t="shared" ref="AX35" si="28">(AW35/AW34-1)*100</f>
        <v>-2.4078012761346801</v>
      </c>
      <c r="BN35" s="4">
        <v>1985</v>
      </c>
      <c r="BO35" s="4">
        <v>7</v>
      </c>
      <c r="CI35" s="22">
        <v>2011</v>
      </c>
      <c r="CJ35" s="84">
        <f>ROUND(SUM(BP341:BP352),0)</f>
        <v>39527986</v>
      </c>
      <c r="CK35" s="47">
        <f t="shared" ref="CK35" si="29">(CJ35/CJ34-1)*100</f>
        <v>-8.1651199534301675</v>
      </c>
      <c r="CL35" s="84">
        <f>ROUND(SUM(BT341:BT352),0)</f>
        <v>39159989</v>
      </c>
      <c r="CM35" s="47">
        <f t="shared" ref="CM35" si="30">(CL35/CL34-1)*100</f>
        <v>-2.2221349423306447</v>
      </c>
    </row>
    <row r="36" spans="1:91">
      <c r="A36" s="4">
        <v>1985</v>
      </c>
      <c r="B36" s="4">
        <v>8</v>
      </c>
      <c r="C36" s="108">
        <f>Whole!C36+Whole!D36+'Tot Retail'!C36</f>
        <v>1971518</v>
      </c>
      <c r="D36" s="108">
        <f>Whole!E36+'Tot Retail'!D36</f>
        <v>933030</v>
      </c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>
        <f t="shared" si="16"/>
        <v>122873</v>
      </c>
      <c r="Z36" s="175">
        <f>Whole!Z36+'Tot Retail'!Z36</f>
        <v>2005708</v>
      </c>
      <c r="AA36" s="108">
        <f t="shared" si="5"/>
        <v>34190</v>
      </c>
      <c r="AB36" s="379">
        <f t="shared" si="6"/>
        <v>2005708</v>
      </c>
      <c r="AL36" s="4">
        <v>2012</v>
      </c>
      <c r="AM36" s="50">
        <f>ROUND(SUM(C353:C364),0)</f>
        <v>38149010</v>
      </c>
      <c r="AN36" s="47">
        <f t="shared" ref="AN36" si="31">(AM36/AM35-1)*100</f>
        <v>-5.3593594654458681</v>
      </c>
      <c r="AP36" s="555">
        <f>ROUND(SUM(AB353:AB364),0)</f>
        <v>39485845</v>
      </c>
      <c r="AQ36" s="43">
        <f t="shared" ref="AQ36" si="32">(AP36/AP35-1)*100</f>
        <v>-1.1277034897179905</v>
      </c>
      <c r="AR36" s="39">
        <f>ROUND(AVERAGE(D353:D364),0)</f>
        <v>1649839</v>
      </c>
      <c r="AS36" s="43">
        <f t="shared" ref="AS36" si="33">(AR36/AR35-1)*100</f>
        <v>0.46755464293695148</v>
      </c>
      <c r="AT36" s="39"/>
      <c r="AW36" s="555">
        <f t="shared" ref="AW36" si="34">ROUND((AP36/AR36*1000),0)</f>
        <v>23933</v>
      </c>
      <c r="AX36" s="43">
        <f t="shared" ref="AX36" si="35">(AW36/AW35-1)*100</f>
        <v>-1.5872363172827808</v>
      </c>
      <c r="BN36" s="4">
        <v>1985</v>
      </c>
      <c r="BO36" s="4">
        <v>8</v>
      </c>
      <c r="CI36" s="22">
        <v>2012</v>
      </c>
      <c r="CJ36" s="84">
        <f>ROUND(SUM(BP353:BP364),0)</f>
        <v>38481867</v>
      </c>
      <c r="CK36" s="47">
        <f t="shared" ref="CK36" si="36">(CJ36/CJ35-1)*100</f>
        <v>-2.6465274501969338</v>
      </c>
      <c r="CL36" s="84">
        <f>ROUND(SUM(BT353:BT364),0)</f>
        <v>38520838</v>
      </c>
      <c r="CM36" s="47">
        <f t="shared" ref="CM36" si="37">(CL36/CL35-1)*100</f>
        <v>-1.63215316531371</v>
      </c>
    </row>
    <row r="37" spans="1:91">
      <c r="A37" s="4">
        <v>1985</v>
      </c>
      <c r="B37" s="4">
        <v>9</v>
      </c>
      <c r="C37" s="108">
        <f>Whole!C37+Whole!D37+'Tot Retail'!C37</f>
        <v>1948151</v>
      </c>
      <c r="D37" s="108">
        <f>Whole!E37+'Tot Retail'!D37</f>
        <v>936902</v>
      </c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>
        <f t="shared" si="16"/>
        <v>62635</v>
      </c>
      <c r="Z37" s="175">
        <f>Whole!Z37+'Tot Retail'!Z37</f>
        <v>2006200</v>
      </c>
      <c r="AA37" s="108">
        <f t="shared" si="5"/>
        <v>58049</v>
      </c>
      <c r="AB37" s="379">
        <f t="shared" si="6"/>
        <v>2006200</v>
      </c>
      <c r="AL37" s="4">
        <v>2013</v>
      </c>
      <c r="AM37" s="50">
        <f>ROUND(SUM(C365:C376),0)</f>
        <v>38104484</v>
      </c>
      <c r="AN37" s="47">
        <f t="shared" ref="AN37" si="38">(AM37/AM36-1)*100</f>
        <v>-0.11671600390154024</v>
      </c>
      <c r="AP37" s="555">
        <f>ROUND(SUM(AB365:AB376),0)</f>
        <v>38443709</v>
      </c>
      <c r="AQ37" s="43">
        <f t="shared" ref="AQ37" si="39">(AP37/AP36-1)*100</f>
        <v>-2.6392647795684732</v>
      </c>
      <c r="AR37" s="39">
        <f>ROUND(AVERAGE(D365:D376),0)</f>
        <v>1682197</v>
      </c>
      <c r="AS37" s="43">
        <f t="shared" ref="AS37" si="40">(AR37/AR36-1)*100</f>
        <v>1.9612822826954535</v>
      </c>
      <c r="AT37" s="39"/>
      <c r="AW37" s="555">
        <f t="shared" ref="AW37" si="41">ROUND((AP37/AR37*1000),0)</f>
        <v>22853</v>
      </c>
      <c r="AX37" s="43">
        <f t="shared" ref="AX37" si="42">(AW37/AW36-1)*100</f>
        <v>-4.5125976684912033</v>
      </c>
      <c r="BN37" s="4">
        <v>1985</v>
      </c>
      <c r="BO37" s="4">
        <v>9</v>
      </c>
    </row>
    <row r="38" spans="1:91">
      <c r="A38" s="4">
        <v>1985</v>
      </c>
      <c r="B38" s="4">
        <v>10</v>
      </c>
      <c r="C38" s="108">
        <f>Whole!C38+Whole!D38+'Tot Retail'!C38</f>
        <v>1773034</v>
      </c>
      <c r="D38" s="108">
        <f>Whole!E38+'Tot Retail'!D38</f>
        <v>942284</v>
      </c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>
        <f t="shared" si="16"/>
        <v>37369</v>
      </c>
      <c r="Z38" s="175">
        <f>Whole!Z38+'Tot Retail'!Z38</f>
        <v>1759639</v>
      </c>
      <c r="AA38" s="108">
        <f t="shared" si="5"/>
        <v>-13395</v>
      </c>
      <c r="AB38" s="379">
        <f t="shared" si="6"/>
        <v>1759639</v>
      </c>
      <c r="BN38" s="4">
        <v>1985</v>
      </c>
      <c r="BO38" s="4">
        <v>10</v>
      </c>
    </row>
    <row r="39" spans="1:91">
      <c r="A39" s="4">
        <v>1985</v>
      </c>
      <c r="B39" s="4">
        <v>11</v>
      </c>
      <c r="C39" s="108">
        <f>Whole!C39+Whole!D39+'Tot Retail'!C39</f>
        <v>1682455</v>
      </c>
      <c r="D39" s="108">
        <f>Whole!E39+'Tot Retail'!D39</f>
        <v>955102</v>
      </c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>
        <f t="shared" si="16"/>
        <v>22158</v>
      </c>
      <c r="Z39" s="175">
        <f>Whole!Z39+'Tot Retail'!Z39</f>
        <v>1425289</v>
      </c>
      <c r="AA39" s="108">
        <f t="shared" si="5"/>
        <v>-257166</v>
      </c>
      <c r="AB39" s="379">
        <f t="shared" si="6"/>
        <v>1425289</v>
      </c>
      <c r="BN39" s="4">
        <v>1985</v>
      </c>
      <c r="BO39" s="4">
        <v>11</v>
      </c>
    </row>
    <row r="40" spans="1:91">
      <c r="A40" s="4">
        <v>1985</v>
      </c>
      <c r="B40" s="4">
        <v>12</v>
      </c>
      <c r="C40" s="108">
        <f>Whole!C40+Whole!D40+'Tot Retail'!C40</f>
        <v>1600134</v>
      </c>
      <c r="D40" s="108">
        <f>Whole!E40+'Tot Retail'!D40</f>
        <v>968033</v>
      </c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>
        <f t="shared" si="16"/>
        <v>28260</v>
      </c>
      <c r="Z40" s="175">
        <f>Whole!Z40+'Tot Retail'!Z40</f>
        <v>1441745</v>
      </c>
      <c r="AA40" s="108">
        <f t="shared" si="5"/>
        <v>-158389</v>
      </c>
      <c r="AB40" s="379">
        <f t="shared" si="6"/>
        <v>1441745</v>
      </c>
      <c r="BN40" s="4">
        <v>1985</v>
      </c>
      <c r="BO40" s="4">
        <v>12</v>
      </c>
    </row>
    <row r="41" spans="1:91">
      <c r="A41" s="4">
        <v>1986</v>
      </c>
      <c r="B41" s="4">
        <v>1</v>
      </c>
      <c r="C41" s="108">
        <f>Whole!C41+Whole!D41+'Tot Retail'!C41</f>
        <v>1859653</v>
      </c>
      <c r="D41" s="108">
        <f>Whole!E41+'Tot Retail'!D41</f>
        <v>976528</v>
      </c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>
        <f t="shared" si="16"/>
        <v>185418</v>
      </c>
      <c r="Z41" s="175">
        <f>Whole!Z41+'Tot Retail'!Z41</f>
        <v>1688964</v>
      </c>
      <c r="AA41" s="108">
        <f t="shared" si="5"/>
        <v>-170689</v>
      </c>
      <c r="AB41" s="379">
        <f t="shared" si="6"/>
        <v>1688964</v>
      </c>
      <c r="BN41" s="4">
        <v>1986</v>
      </c>
      <c r="BO41" s="4">
        <v>1</v>
      </c>
    </row>
    <row r="42" spans="1:91">
      <c r="A42" s="4">
        <v>1986</v>
      </c>
      <c r="B42" s="4">
        <v>2</v>
      </c>
      <c r="C42" s="108">
        <f>Whole!C42+Whole!D42+'Tot Retail'!C42</f>
        <v>1657635</v>
      </c>
      <c r="D42" s="108">
        <f>Whole!E42+'Tot Retail'!D42</f>
        <v>982617</v>
      </c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>
        <f t="shared" si="16"/>
        <v>129995</v>
      </c>
      <c r="Z42" s="175">
        <f>Whole!Z42+'Tot Retail'!Z42</f>
        <v>1597779</v>
      </c>
      <c r="AA42" s="108">
        <f t="shared" si="5"/>
        <v>-59856</v>
      </c>
      <c r="AB42" s="379">
        <f t="shared" si="6"/>
        <v>1597779</v>
      </c>
      <c r="BN42" s="4">
        <v>1986</v>
      </c>
      <c r="BO42" s="4">
        <v>2</v>
      </c>
    </row>
    <row r="43" spans="1:91">
      <c r="A43" s="4">
        <v>1986</v>
      </c>
      <c r="B43" s="4">
        <v>3</v>
      </c>
      <c r="C43" s="108">
        <f>Whole!C43+Whole!D43+'Tot Retail'!C43</f>
        <v>1562825</v>
      </c>
      <c r="D43" s="108">
        <f>Whole!E43+'Tot Retail'!D43</f>
        <v>985693</v>
      </c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>
        <f t="shared" si="16"/>
        <v>70426</v>
      </c>
      <c r="Z43" s="175">
        <f>Whole!Z43+'Tot Retail'!Z43</f>
        <v>1501708</v>
      </c>
      <c r="AA43" s="108">
        <f t="shared" si="5"/>
        <v>-61117</v>
      </c>
      <c r="AB43" s="379">
        <f t="shared" si="6"/>
        <v>1501708</v>
      </c>
      <c r="BN43" s="4">
        <v>1986</v>
      </c>
      <c r="BO43" s="4">
        <v>3</v>
      </c>
    </row>
    <row r="44" spans="1:91">
      <c r="A44" s="4">
        <v>1986</v>
      </c>
      <c r="B44" s="4">
        <v>4</v>
      </c>
      <c r="C44" s="108">
        <f>Whole!C44+Whole!D44+'Tot Retail'!C44</f>
        <v>1543337</v>
      </c>
      <c r="D44" s="108">
        <f>Whole!E44+'Tot Retail'!D44</f>
        <v>981681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>
        <f t="shared" si="16"/>
        <v>80821</v>
      </c>
      <c r="Z44" s="175">
        <f>Whole!Z44+'Tot Retail'!Z44</f>
        <v>1519081</v>
      </c>
      <c r="AA44" s="108">
        <f t="shared" si="5"/>
        <v>-24256</v>
      </c>
      <c r="AB44" s="379">
        <f t="shared" si="6"/>
        <v>1519081</v>
      </c>
      <c r="BN44" s="4">
        <v>1986</v>
      </c>
      <c r="BO44" s="4">
        <v>4</v>
      </c>
    </row>
    <row r="45" spans="1:91">
      <c r="A45" s="4">
        <v>1986</v>
      </c>
      <c r="B45" s="4">
        <v>5</v>
      </c>
      <c r="C45" s="108">
        <f>Whole!C45+Whole!D45+'Tot Retail'!C45</f>
        <v>1411643</v>
      </c>
      <c r="D45" s="108">
        <f>Whole!E45+'Tot Retail'!D45</f>
        <v>969409</v>
      </c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>
        <f t="shared" si="16"/>
        <v>13044</v>
      </c>
      <c r="Z45" s="175">
        <f>Whole!Z45+'Tot Retail'!Z45</f>
        <v>1466707</v>
      </c>
      <c r="AA45" s="108">
        <f t="shared" si="5"/>
        <v>55064</v>
      </c>
      <c r="AB45" s="379">
        <f t="shared" si="6"/>
        <v>1466707</v>
      </c>
      <c r="BN45" s="4">
        <v>1986</v>
      </c>
      <c r="BO45" s="4">
        <v>5</v>
      </c>
    </row>
    <row r="46" spans="1:91">
      <c r="A46" s="4">
        <v>1986</v>
      </c>
      <c r="B46" s="4">
        <v>6</v>
      </c>
      <c r="C46" s="108">
        <f>Whole!C46+Whole!D46+'Tot Retail'!C46</f>
        <v>1771052</v>
      </c>
      <c r="D46" s="108">
        <f>Whole!E46+'Tot Retail'!D46</f>
        <v>966239</v>
      </c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>
        <f t="shared" si="16"/>
        <v>-13034</v>
      </c>
      <c r="Z46" s="175">
        <f>Whole!Z46+'Tot Retail'!Z46</f>
        <v>1757959</v>
      </c>
      <c r="AA46" s="108">
        <f t="shared" si="5"/>
        <v>-13093</v>
      </c>
      <c r="AB46" s="379">
        <f t="shared" si="6"/>
        <v>1757959</v>
      </c>
      <c r="BN46" s="4">
        <v>1986</v>
      </c>
      <c r="BO46" s="4">
        <v>6</v>
      </c>
    </row>
    <row r="47" spans="1:91">
      <c r="A47" s="4">
        <v>1986</v>
      </c>
      <c r="B47" s="4">
        <v>7</v>
      </c>
      <c r="C47" s="108">
        <f>Whole!C47+Whole!D47+'Tot Retail'!C47</f>
        <v>1950528</v>
      </c>
      <c r="D47" s="108">
        <f>Whole!E47+'Tot Retail'!D47</f>
        <v>967928</v>
      </c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>
        <f t="shared" si="16"/>
        <v>74436</v>
      </c>
      <c r="Z47" s="175">
        <f>Whole!Z47+'Tot Retail'!Z47</f>
        <v>1977296</v>
      </c>
      <c r="AA47" s="108">
        <f t="shared" si="5"/>
        <v>26768</v>
      </c>
      <c r="AB47" s="379">
        <f t="shared" si="6"/>
        <v>1977296</v>
      </c>
      <c r="BN47" s="4">
        <v>1986</v>
      </c>
      <c r="BO47" s="4">
        <v>7</v>
      </c>
    </row>
    <row r="48" spans="1:91">
      <c r="A48" s="4">
        <v>1986</v>
      </c>
      <c r="B48" s="4">
        <v>8</v>
      </c>
      <c r="C48" s="108">
        <f>Whole!C48+Whole!D48+'Tot Retail'!C48</f>
        <v>2096119</v>
      </c>
      <c r="D48" s="108">
        <f>Whole!E48+'Tot Retail'!D48</f>
        <v>970650</v>
      </c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>
        <f t="shared" si="16"/>
        <v>58051</v>
      </c>
      <c r="Z48" s="175">
        <f>Whole!Z48+'Tot Retail'!Z48</f>
        <v>2063759</v>
      </c>
      <c r="AA48" s="108">
        <f t="shared" si="5"/>
        <v>-32360</v>
      </c>
      <c r="AB48" s="379">
        <f t="shared" si="6"/>
        <v>2063759</v>
      </c>
      <c r="BN48" s="4">
        <v>1986</v>
      </c>
      <c r="BO48" s="4">
        <v>8</v>
      </c>
    </row>
    <row r="49" spans="1:67">
      <c r="A49" s="4">
        <v>1986</v>
      </c>
      <c r="B49" s="4">
        <v>9</v>
      </c>
      <c r="C49" s="108">
        <f>Whole!C49+Whole!D49+'Tot Retail'!C49</f>
        <v>2076502</v>
      </c>
      <c r="D49" s="108">
        <f>Whole!E49+'Tot Retail'!D49</f>
        <v>975833</v>
      </c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>
        <f t="shared" si="16"/>
        <v>69341</v>
      </c>
      <c r="Z49" s="175">
        <f>Whole!Z49+'Tot Retail'!Z49</f>
        <v>2075541</v>
      </c>
      <c r="AA49" s="108">
        <f t="shared" si="5"/>
        <v>-961</v>
      </c>
      <c r="AB49" s="379">
        <f t="shared" si="6"/>
        <v>2075541</v>
      </c>
      <c r="BN49" s="4">
        <v>1986</v>
      </c>
      <c r="BO49" s="4">
        <v>9</v>
      </c>
    </row>
    <row r="50" spans="1:67">
      <c r="A50" s="4">
        <v>1986</v>
      </c>
      <c r="B50" s="4">
        <v>10</v>
      </c>
      <c r="C50" s="108">
        <f>Whole!C50+Whole!D50+'Tot Retail'!C50</f>
        <v>1977034</v>
      </c>
      <c r="D50" s="108">
        <f>Whole!E50+'Tot Retail'!D50</f>
        <v>982303</v>
      </c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>
        <f t="shared" si="16"/>
        <v>82629</v>
      </c>
      <c r="Z50" s="175">
        <f>Whole!Z50+'Tot Retail'!Z50</f>
        <v>1842268</v>
      </c>
      <c r="AA50" s="108">
        <f t="shared" si="5"/>
        <v>-134766</v>
      </c>
      <c r="AB50" s="379">
        <f t="shared" si="6"/>
        <v>1842268</v>
      </c>
      <c r="BN50" s="4">
        <v>1986</v>
      </c>
      <c r="BO50" s="4">
        <v>10</v>
      </c>
    </row>
    <row r="51" spans="1:67">
      <c r="A51" s="4">
        <v>1986</v>
      </c>
      <c r="B51" s="4">
        <v>11</v>
      </c>
      <c r="C51" s="108">
        <f>Whole!C51+Whole!D51+'Tot Retail'!C51</f>
        <v>1670297</v>
      </c>
      <c r="D51" s="108">
        <f>Whole!E51+'Tot Retail'!D51</f>
        <v>996796</v>
      </c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>
        <f t="shared" si="16"/>
        <v>121602</v>
      </c>
      <c r="Z51" s="175">
        <f>Whole!Z51+'Tot Retail'!Z51</f>
        <v>1546891</v>
      </c>
      <c r="AA51" s="108">
        <f t="shared" si="5"/>
        <v>-123406</v>
      </c>
      <c r="AB51" s="379">
        <f t="shared" si="6"/>
        <v>1546891</v>
      </c>
      <c r="BN51" s="4">
        <v>1986</v>
      </c>
      <c r="BO51" s="4">
        <v>11</v>
      </c>
    </row>
    <row r="52" spans="1:67">
      <c r="A52" s="4">
        <v>1986</v>
      </c>
      <c r="B52" s="4">
        <v>12</v>
      </c>
      <c r="C52" s="108">
        <f>Whole!C52+Whole!D52+'Tot Retail'!C52</f>
        <v>1664654</v>
      </c>
      <c r="D52" s="108">
        <f>Whole!E52+'Tot Retail'!D52</f>
        <v>1009441</v>
      </c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>
        <f t="shared" si="16"/>
        <v>92309</v>
      </c>
      <c r="Z52" s="175">
        <f>Whole!Z52+'Tot Retail'!Z52</f>
        <v>1534054</v>
      </c>
      <c r="AA52" s="108">
        <f t="shared" si="5"/>
        <v>-130600</v>
      </c>
      <c r="AB52" s="379">
        <f t="shared" si="6"/>
        <v>1534054</v>
      </c>
      <c r="BN52" s="4">
        <v>1986</v>
      </c>
      <c r="BO52" s="4">
        <v>12</v>
      </c>
    </row>
    <row r="53" spans="1:67">
      <c r="A53" s="4">
        <v>1987</v>
      </c>
      <c r="B53" s="4">
        <v>1</v>
      </c>
      <c r="C53" s="108">
        <f>Whole!C53+Whole!D53+'Tot Retail'!C53</f>
        <v>1685276</v>
      </c>
      <c r="D53" s="108">
        <f>Whole!E53+'Tot Retail'!D53</f>
        <v>1018604</v>
      </c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>
        <f t="shared" si="16"/>
        <v>46213</v>
      </c>
      <c r="Z53" s="175">
        <f>Whole!Z53+'Tot Retail'!Z53</f>
        <v>1735177</v>
      </c>
      <c r="AA53" s="108">
        <f t="shared" si="5"/>
        <v>49901</v>
      </c>
      <c r="AB53" s="379">
        <f t="shared" si="6"/>
        <v>1735177</v>
      </c>
      <c r="BN53" s="4">
        <v>1987</v>
      </c>
      <c r="BO53" s="4">
        <v>1</v>
      </c>
    </row>
    <row r="54" spans="1:67">
      <c r="A54" s="4">
        <v>1987</v>
      </c>
      <c r="B54" s="4">
        <v>2</v>
      </c>
      <c r="C54" s="108">
        <f>Whole!C54+Whole!D54+'Tot Retail'!C54</f>
        <v>1709980</v>
      </c>
      <c r="D54" s="108">
        <f>Whole!E54+'Tot Retail'!D54</f>
        <v>1024663</v>
      </c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>
        <f t="shared" si="16"/>
        <v>45960</v>
      </c>
      <c r="Z54" s="175">
        <f>Whole!Z54+'Tot Retail'!Z54</f>
        <v>1643739</v>
      </c>
      <c r="AA54" s="108">
        <f t="shared" si="5"/>
        <v>-66241</v>
      </c>
      <c r="AB54" s="379">
        <f t="shared" si="6"/>
        <v>1643739</v>
      </c>
      <c r="BN54" s="4">
        <v>1987</v>
      </c>
      <c r="BO54" s="4">
        <v>2</v>
      </c>
    </row>
    <row r="55" spans="1:67">
      <c r="A55" s="4">
        <v>1987</v>
      </c>
      <c r="B55" s="4">
        <v>3</v>
      </c>
      <c r="C55" s="108">
        <f>Whole!C55+Whole!D55+'Tot Retail'!C55</f>
        <v>1591753</v>
      </c>
      <c r="D55" s="108">
        <f>Whole!E55+'Tot Retail'!D55</f>
        <v>1028151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>
        <f t="shared" si="16"/>
        <v>157284</v>
      </c>
      <c r="Z55" s="175">
        <f>Whole!Z55+'Tot Retail'!Z55</f>
        <v>1658992</v>
      </c>
      <c r="AA55" s="108">
        <f t="shared" si="5"/>
        <v>67239</v>
      </c>
      <c r="AB55" s="379">
        <f t="shared" si="6"/>
        <v>1658992</v>
      </c>
      <c r="BN55" s="4">
        <v>1987</v>
      </c>
      <c r="BO55" s="4">
        <v>3</v>
      </c>
    </row>
    <row r="56" spans="1:67">
      <c r="A56" s="4">
        <v>1987</v>
      </c>
      <c r="B56" s="4">
        <v>4</v>
      </c>
      <c r="C56" s="108">
        <f>Whole!C56+Whole!D56+'Tot Retail'!C56</f>
        <v>1584686</v>
      </c>
      <c r="D56" s="108">
        <f>Whole!E56+'Tot Retail'!D56</f>
        <v>1024907</v>
      </c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>
        <f t="shared" si="16"/>
        <v>95431</v>
      </c>
      <c r="Z56" s="175">
        <f>Whole!Z56+'Tot Retail'!Z56</f>
        <v>1614512</v>
      </c>
      <c r="AA56" s="108">
        <f t="shared" si="5"/>
        <v>29826</v>
      </c>
      <c r="AB56" s="379">
        <f t="shared" si="6"/>
        <v>1614512</v>
      </c>
      <c r="BN56" s="4">
        <v>1987</v>
      </c>
      <c r="BO56" s="4">
        <v>4</v>
      </c>
    </row>
    <row r="57" spans="1:67">
      <c r="A57" s="4">
        <v>1987</v>
      </c>
      <c r="B57" s="4">
        <v>5</v>
      </c>
      <c r="C57" s="108">
        <f>Whole!C57+Whole!D57+'Tot Retail'!C57</f>
        <v>1637354</v>
      </c>
      <c r="D57" s="108">
        <f>Whole!E57+'Tot Retail'!D57</f>
        <v>1010545</v>
      </c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>
        <f t="shared" si="16"/>
        <v>209127</v>
      </c>
      <c r="Z57" s="175">
        <f>Whole!Z57+'Tot Retail'!Z57</f>
        <v>1675834</v>
      </c>
      <c r="AA57" s="108">
        <f t="shared" si="5"/>
        <v>38480</v>
      </c>
      <c r="AB57" s="379">
        <f t="shared" si="6"/>
        <v>1675834</v>
      </c>
      <c r="BN57" s="4">
        <v>1987</v>
      </c>
      <c r="BO57" s="4">
        <v>5</v>
      </c>
    </row>
    <row r="58" spans="1:67">
      <c r="A58" s="4">
        <v>1987</v>
      </c>
      <c r="B58" s="4">
        <v>6</v>
      </c>
      <c r="C58" s="108">
        <f>Whole!C58+Whole!D58+'Tot Retail'!C58</f>
        <v>1949704</v>
      </c>
      <c r="D58" s="108">
        <f>Whole!E58+'Tot Retail'!D58</f>
        <v>1010243</v>
      </c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>
        <f t="shared" si="16"/>
        <v>214739</v>
      </c>
      <c r="Z58" s="175">
        <f>Whole!Z58+'Tot Retail'!Z58</f>
        <v>1972698</v>
      </c>
      <c r="AA58" s="108">
        <f t="shared" si="5"/>
        <v>22994</v>
      </c>
      <c r="AB58" s="379">
        <f t="shared" si="6"/>
        <v>1972698</v>
      </c>
      <c r="BN58" s="4">
        <v>1987</v>
      </c>
      <c r="BO58" s="4">
        <v>6</v>
      </c>
    </row>
    <row r="59" spans="1:67">
      <c r="A59" s="4">
        <v>1987</v>
      </c>
      <c r="B59" s="4">
        <v>7</v>
      </c>
      <c r="C59" s="108">
        <f>Whole!C59+Whole!D59+'Tot Retail'!C59</f>
        <v>2274910</v>
      </c>
      <c r="D59" s="108">
        <f>Whole!E59+'Tot Retail'!D59</f>
        <v>1010640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>
        <f t="shared" si="16"/>
        <v>192485</v>
      </c>
      <c r="Z59" s="175">
        <f>Whole!Z59+'Tot Retail'!Z59</f>
        <v>2169781</v>
      </c>
      <c r="AA59" s="108">
        <f t="shared" si="5"/>
        <v>-105129</v>
      </c>
      <c r="AB59" s="379">
        <f t="shared" si="6"/>
        <v>2169781</v>
      </c>
      <c r="BN59" s="4">
        <v>1987</v>
      </c>
      <c r="BO59" s="4">
        <v>7</v>
      </c>
    </row>
    <row r="60" spans="1:67">
      <c r="A60" s="4">
        <v>1987</v>
      </c>
      <c r="B60" s="4">
        <v>8</v>
      </c>
      <c r="C60" s="108">
        <f>Whole!C60+Whole!D60+'Tot Retail'!C60</f>
        <v>2315152</v>
      </c>
      <c r="D60" s="108">
        <f>Whole!E60+'Tot Retail'!D60</f>
        <v>1014217</v>
      </c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>
        <f t="shared" si="16"/>
        <v>178095</v>
      </c>
      <c r="Z60" s="175">
        <f>Whole!Z60+'Tot Retail'!Z60</f>
        <v>2241854</v>
      </c>
      <c r="AA60" s="108">
        <f t="shared" si="5"/>
        <v>-73298</v>
      </c>
      <c r="AB60" s="379">
        <f t="shared" si="6"/>
        <v>2241854</v>
      </c>
      <c r="BN60" s="4">
        <v>1987</v>
      </c>
      <c r="BO60" s="4">
        <v>8</v>
      </c>
    </row>
    <row r="61" spans="1:67">
      <c r="A61" s="4">
        <v>1987</v>
      </c>
      <c r="B61" s="4">
        <v>9</v>
      </c>
      <c r="C61" s="108">
        <f>Whole!C61+Whole!D61+'Tot Retail'!C61</f>
        <v>2361160</v>
      </c>
      <c r="D61" s="108">
        <f>Whole!E61+'Tot Retail'!D61</f>
        <v>1017602</v>
      </c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>
        <f t="shared" si="16"/>
        <v>235033</v>
      </c>
      <c r="Z61" s="175">
        <f>Whole!Z61+'Tot Retail'!Z61</f>
        <v>2310574</v>
      </c>
      <c r="AA61" s="108">
        <f t="shared" si="5"/>
        <v>-50586</v>
      </c>
      <c r="AB61" s="379">
        <f t="shared" si="6"/>
        <v>2310574</v>
      </c>
      <c r="BN61" s="4">
        <v>1987</v>
      </c>
      <c r="BO61" s="4">
        <v>9</v>
      </c>
    </row>
    <row r="62" spans="1:67">
      <c r="A62" s="4">
        <v>1987</v>
      </c>
      <c r="B62" s="4">
        <v>10</v>
      </c>
      <c r="C62" s="108">
        <f>Whole!C62+Whole!D62+'Tot Retail'!C62</f>
        <v>2028182</v>
      </c>
      <c r="D62" s="108">
        <f>Whole!E62+'Tot Retail'!D62</f>
        <v>1023920</v>
      </c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>
        <f t="shared" si="16"/>
        <v>270463</v>
      </c>
      <c r="Z62" s="175">
        <f>Whole!Z62+'Tot Retail'!Z62</f>
        <v>2112731</v>
      </c>
      <c r="AA62" s="108">
        <f t="shared" si="5"/>
        <v>84549</v>
      </c>
      <c r="AB62" s="379">
        <f t="shared" si="6"/>
        <v>2112731</v>
      </c>
      <c r="BN62" s="4">
        <v>1987</v>
      </c>
      <c r="BO62" s="4">
        <v>10</v>
      </c>
    </row>
    <row r="63" spans="1:67">
      <c r="A63" s="4">
        <v>1987</v>
      </c>
      <c r="B63" s="4">
        <v>11</v>
      </c>
      <c r="C63" s="108">
        <f>Whole!C63+Whole!D63+'Tot Retail'!C63</f>
        <v>1637014</v>
      </c>
      <c r="D63" s="108">
        <f>Whole!E63+'Tot Retail'!D63</f>
        <v>1038245</v>
      </c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>
        <f t="shared" si="16"/>
        <v>243337</v>
      </c>
      <c r="Z63" s="175">
        <f>Whole!Z63+'Tot Retail'!Z63</f>
        <v>1790228</v>
      </c>
      <c r="AA63" s="108">
        <f t="shared" si="5"/>
        <v>153214</v>
      </c>
      <c r="AB63" s="379">
        <f t="shared" si="6"/>
        <v>1790228</v>
      </c>
      <c r="BN63" s="4">
        <v>1987</v>
      </c>
      <c r="BO63" s="4">
        <v>11</v>
      </c>
    </row>
    <row r="64" spans="1:67">
      <c r="A64" s="4">
        <v>1987</v>
      </c>
      <c r="B64" s="4">
        <v>12</v>
      </c>
      <c r="C64" s="108">
        <f>Whole!C64+Whole!D64+'Tot Retail'!C64</f>
        <v>1705319</v>
      </c>
      <c r="D64" s="108">
        <f>Whole!E64+'Tot Retail'!D64</f>
        <v>1048631</v>
      </c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>
        <f t="shared" si="16"/>
        <v>186300</v>
      </c>
      <c r="Z64" s="175">
        <f>Whole!Z64+'Tot Retail'!Z64</f>
        <v>1720354</v>
      </c>
      <c r="AA64" s="108">
        <f t="shared" si="5"/>
        <v>15035</v>
      </c>
      <c r="AB64" s="379">
        <f t="shared" si="6"/>
        <v>1720354</v>
      </c>
      <c r="BN64" s="4">
        <v>1987</v>
      </c>
      <c r="BO64" s="4">
        <v>12</v>
      </c>
    </row>
    <row r="65" spans="1:67">
      <c r="A65" s="4">
        <v>1988</v>
      </c>
      <c r="B65" s="4">
        <v>1</v>
      </c>
      <c r="C65" s="108">
        <f>Whole!C65+Whole!D65+'Tot Retail'!C65</f>
        <v>1884764</v>
      </c>
      <c r="D65" s="108">
        <f>Whole!E65+'Tot Retail'!D65</f>
        <v>1058763</v>
      </c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>
        <f t="shared" si="16"/>
        <v>128628</v>
      </c>
      <c r="Z65" s="175">
        <f>Whole!Z65+'Tot Retail'!Z65</f>
        <v>1863805</v>
      </c>
      <c r="AA65" s="108">
        <f t="shared" si="5"/>
        <v>-20959</v>
      </c>
      <c r="AB65" s="379">
        <f t="shared" si="6"/>
        <v>1863805</v>
      </c>
      <c r="BN65" s="4">
        <v>1988</v>
      </c>
      <c r="BO65" s="4">
        <v>1</v>
      </c>
    </row>
    <row r="66" spans="1:67">
      <c r="A66" s="4">
        <v>1988</v>
      </c>
      <c r="B66" s="4">
        <v>2</v>
      </c>
      <c r="C66" s="108">
        <f>Whole!C66+Whole!D66+'Tot Retail'!C66</f>
        <v>2006670</v>
      </c>
      <c r="D66" s="108">
        <f>Whole!E66+'Tot Retail'!D66</f>
        <v>1064603</v>
      </c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>
        <f t="shared" si="16"/>
        <v>160672</v>
      </c>
      <c r="Z66" s="175">
        <f>Whole!Z66+'Tot Retail'!Z66</f>
        <v>1804411</v>
      </c>
      <c r="AA66" s="108">
        <f t="shared" si="5"/>
        <v>-202259</v>
      </c>
      <c r="AB66" s="379">
        <f t="shared" si="6"/>
        <v>1804411</v>
      </c>
      <c r="BN66" s="4">
        <v>1988</v>
      </c>
      <c r="BO66" s="4">
        <v>2</v>
      </c>
    </row>
    <row r="67" spans="1:67">
      <c r="A67" s="4">
        <v>1988</v>
      </c>
      <c r="B67" s="4">
        <v>3</v>
      </c>
      <c r="C67" s="108">
        <f>Whole!C67+Whole!D67+'Tot Retail'!C67</f>
        <v>1833091</v>
      </c>
      <c r="D67" s="108">
        <f>Whole!E67+'Tot Retail'!D67</f>
        <v>1067426</v>
      </c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>
        <f t="shared" si="16"/>
        <v>83764</v>
      </c>
      <c r="Z67" s="175">
        <f>Whole!Z67+'Tot Retail'!Z67</f>
        <v>1742756</v>
      </c>
      <c r="AA67" s="108">
        <f t="shared" si="5"/>
        <v>-90335</v>
      </c>
      <c r="AB67" s="379">
        <f t="shared" si="6"/>
        <v>1742756</v>
      </c>
      <c r="BN67" s="4">
        <v>1988</v>
      </c>
      <c r="BO67" s="4">
        <v>3</v>
      </c>
    </row>
    <row r="68" spans="1:67">
      <c r="A68" s="4">
        <v>1988</v>
      </c>
      <c r="B68" s="4">
        <v>4</v>
      </c>
      <c r="C68" s="108">
        <f>Whole!C68+Whole!D68+'Tot Retail'!C68</f>
        <v>1797227</v>
      </c>
      <c r="D68" s="108">
        <f>Whole!E68+'Tot Retail'!D68</f>
        <v>1062162</v>
      </c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>
        <f t="shared" si="16"/>
        <v>140426</v>
      </c>
      <c r="Z68" s="175">
        <f>Whole!Z68+'Tot Retail'!Z68</f>
        <v>1754938</v>
      </c>
      <c r="AA68" s="108">
        <f t="shared" si="5"/>
        <v>-42289</v>
      </c>
      <c r="AB68" s="379">
        <f t="shared" si="6"/>
        <v>1754938</v>
      </c>
      <c r="BN68" s="4">
        <v>1988</v>
      </c>
      <c r="BO68" s="4">
        <v>4</v>
      </c>
    </row>
    <row r="69" spans="1:67">
      <c r="A69" s="4">
        <v>1988</v>
      </c>
      <c r="B69" s="4">
        <v>5</v>
      </c>
      <c r="C69" s="108">
        <f>Whole!C69+Whole!D69+'Tot Retail'!C69</f>
        <v>1695376</v>
      </c>
      <c r="D69" s="108">
        <f>Whole!E69+'Tot Retail'!D69</f>
        <v>1049426</v>
      </c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>
        <f t="shared" si="16"/>
        <v>99861</v>
      </c>
      <c r="Z69" s="175">
        <f>Whole!Z69+'Tot Retail'!Z69</f>
        <v>1775695</v>
      </c>
      <c r="AA69" s="108">
        <f t="shared" si="5"/>
        <v>80319</v>
      </c>
      <c r="AB69" s="379">
        <f t="shared" si="6"/>
        <v>1775695</v>
      </c>
      <c r="BN69" s="4">
        <v>1988</v>
      </c>
      <c r="BO69" s="4">
        <v>5</v>
      </c>
    </row>
    <row r="70" spans="1:67">
      <c r="A70" s="4">
        <v>1988</v>
      </c>
      <c r="B70" s="4">
        <v>6</v>
      </c>
      <c r="C70" s="108">
        <f>Whole!C70+Whole!D70+'Tot Retail'!C70</f>
        <v>1971524</v>
      </c>
      <c r="D70" s="108">
        <f>Whole!E70+'Tot Retail'!D70</f>
        <v>1046740</v>
      </c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>
        <f t="shared" si="16"/>
        <v>171000</v>
      </c>
      <c r="Z70" s="175">
        <f>Whole!Z70+'Tot Retail'!Z70</f>
        <v>2143698</v>
      </c>
      <c r="AA70" s="108">
        <f t="shared" si="5"/>
        <v>172174</v>
      </c>
      <c r="AB70" s="379">
        <f t="shared" si="6"/>
        <v>2143698</v>
      </c>
      <c r="BN70" s="4">
        <v>1988</v>
      </c>
      <c r="BO70" s="4">
        <v>6</v>
      </c>
    </row>
    <row r="71" spans="1:67">
      <c r="A71" s="4">
        <v>1988</v>
      </c>
      <c r="B71" s="4">
        <v>7</v>
      </c>
      <c r="C71" s="108">
        <f>Whole!C71+Whole!D71+'Tot Retail'!C71</f>
        <v>2265454</v>
      </c>
      <c r="D71" s="108">
        <f>Whole!E71+'Tot Retail'!D71</f>
        <v>1048166</v>
      </c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>
        <f t="shared" si="16"/>
        <v>144637</v>
      </c>
      <c r="Z71" s="175">
        <f>Whole!Z71+'Tot Retail'!Z71</f>
        <v>2314418</v>
      </c>
      <c r="AA71" s="108">
        <f t="shared" si="5"/>
        <v>48964</v>
      </c>
      <c r="AB71" s="379">
        <f t="shared" si="6"/>
        <v>2314418</v>
      </c>
      <c r="BN71" s="4">
        <v>1988</v>
      </c>
      <c r="BO71" s="4">
        <v>7</v>
      </c>
    </row>
    <row r="72" spans="1:67">
      <c r="A72" s="4">
        <v>1988</v>
      </c>
      <c r="B72" s="4">
        <v>8</v>
      </c>
      <c r="C72" s="108">
        <f>Whole!C72+Whole!D72+'Tot Retail'!C72</f>
        <v>2312748</v>
      </c>
      <c r="D72" s="108">
        <f>Whole!E72+'Tot Retail'!D72</f>
        <v>1051373</v>
      </c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>
        <f t="shared" si="16"/>
        <v>160631</v>
      </c>
      <c r="Z72" s="175">
        <f>Whole!Z72+'Tot Retail'!Z72</f>
        <v>2402485</v>
      </c>
      <c r="AA72" s="108">
        <f t="shared" si="5"/>
        <v>89737</v>
      </c>
      <c r="AB72" s="379">
        <f t="shared" si="6"/>
        <v>2402485</v>
      </c>
      <c r="BN72" s="4">
        <v>1988</v>
      </c>
      <c r="BO72" s="4">
        <v>8</v>
      </c>
    </row>
    <row r="73" spans="1:67">
      <c r="A73" s="4">
        <v>1988</v>
      </c>
      <c r="B73" s="4">
        <v>9</v>
      </c>
      <c r="C73" s="108">
        <f>Whole!C73+Whole!D73+'Tot Retail'!C73</f>
        <v>2492478</v>
      </c>
      <c r="D73" s="108">
        <f>Whole!E73+'Tot Retail'!D73</f>
        <v>1054980</v>
      </c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>
        <f t="shared" si="16"/>
        <v>105472</v>
      </c>
      <c r="Z73" s="175">
        <f>Whole!Z73+'Tot Retail'!Z73</f>
        <v>2416046</v>
      </c>
      <c r="AA73" s="108">
        <f t="shared" si="5"/>
        <v>-76432</v>
      </c>
      <c r="AB73" s="379">
        <f t="shared" si="6"/>
        <v>2416046</v>
      </c>
      <c r="BN73" s="4">
        <v>1988</v>
      </c>
      <c r="BO73" s="4">
        <v>9</v>
      </c>
    </row>
    <row r="74" spans="1:67">
      <c r="A74" s="4">
        <v>1988</v>
      </c>
      <c r="B74" s="4">
        <v>10</v>
      </c>
      <c r="C74" s="108">
        <f>Whole!C74+Whole!D74+'Tot Retail'!C74</f>
        <v>2242075</v>
      </c>
      <c r="D74" s="108">
        <f>Whole!E74+'Tot Retail'!D74</f>
        <v>1062840</v>
      </c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>
        <f t="shared" si="16"/>
        <v>150762</v>
      </c>
      <c r="Z74" s="175">
        <f>Whole!Z74+'Tot Retail'!Z74</f>
        <v>2263493</v>
      </c>
      <c r="AA74" s="108">
        <f t="shared" si="5"/>
        <v>21418</v>
      </c>
      <c r="AB74" s="379">
        <f t="shared" si="6"/>
        <v>2263493</v>
      </c>
      <c r="BN74" s="4">
        <v>1988</v>
      </c>
      <c r="BO74" s="4">
        <v>10</v>
      </c>
    </row>
    <row r="75" spans="1:67">
      <c r="A75" s="4">
        <v>1988</v>
      </c>
      <c r="B75" s="4">
        <v>11</v>
      </c>
      <c r="C75" s="108">
        <f>Whole!C75+Whole!D75+'Tot Retail'!C75</f>
        <v>1756002</v>
      </c>
      <c r="D75" s="108">
        <f>Whole!E75+'Tot Retail'!D75</f>
        <v>1076605</v>
      </c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>
        <f t="shared" si="16"/>
        <v>61081</v>
      </c>
      <c r="Z75" s="175">
        <f>Whole!Z75+'Tot Retail'!Z75</f>
        <v>1851309</v>
      </c>
      <c r="AA75" s="108">
        <f t="shared" si="5"/>
        <v>95307</v>
      </c>
      <c r="AB75" s="379">
        <f t="shared" si="6"/>
        <v>1851309</v>
      </c>
      <c r="BN75" s="4">
        <v>1988</v>
      </c>
      <c r="BO75" s="4">
        <v>11</v>
      </c>
    </row>
    <row r="76" spans="1:67">
      <c r="A76" s="4">
        <v>1988</v>
      </c>
      <c r="B76" s="4">
        <v>12</v>
      </c>
      <c r="C76" s="108">
        <f>Whole!C76+Whole!D76+'Tot Retail'!C76</f>
        <v>1866643</v>
      </c>
      <c r="D76" s="108">
        <f>Whole!E76+'Tot Retail'!D76</f>
        <v>1088560</v>
      </c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>
        <f t="shared" si="16"/>
        <v>94671</v>
      </c>
      <c r="Z76" s="175">
        <f>Whole!Z76+'Tot Retail'!Z76</f>
        <v>1815025</v>
      </c>
      <c r="AA76" s="108">
        <f t="shared" si="5"/>
        <v>-51618</v>
      </c>
      <c r="AB76" s="379">
        <f t="shared" si="6"/>
        <v>1815025</v>
      </c>
      <c r="BN76" s="4">
        <v>1988</v>
      </c>
      <c r="BO76" s="4">
        <v>12</v>
      </c>
    </row>
    <row r="77" spans="1:67">
      <c r="A77" s="4">
        <v>1989</v>
      </c>
      <c r="B77" s="4">
        <v>1</v>
      </c>
      <c r="C77" s="108">
        <f>Whole!C77+Whole!D77+'Tot Retail'!C77</f>
        <v>1851809</v>
      </c>
      <c r="D77" s="108">
        <f>Whole!E77+'Tot Retail'!D77</f>
        <v>1098051</v>
      </c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>
        <f t="shared" si="16"/>
        <v>28304</v>
      </c>
      <c r="Z77" s="175">
        <f>Whole!Z77+'Tot Retail'!Z77</f>
        <v>1892109</v>
      </c>
      <c r="AA77" s="108">
        <f t="shared" si="5"/>
        <v>40300</v>
      </c>
      <c r="AB77" s="379">
        <f t="shared" si="6"/>
        <v>1892109</v>
      </c>
      <c r="BN77" s="4">
        <v>1989</v>
      </c>
      <c r="BO77" s="4">
        <v>1</v>
      </c>
    </row>
    <row r="78" spans="1:67">
      <c r="A78" s="4">
        <v>1989</v>
      </c>
      <c r="B78" s="4">
        <v>2</v>
      </c>
      <c r="C78" s="108">
        <f>Whole!C78+Whole!D78+'Tot Retail'!C78</f>
        <v>1755593</v>
      </c>
      <c r="D78" s="108">
        <f>Whole!E78+'Tot Retail'!D78</f>
        <v>1102516</v>
      </c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>
        <f t="shared" si="16"/>
        <v>30285</v>
      </c>
      <c r="Z78" s="175">
        <f>Whole!Z78+'Tot Retail'!Z78</f>
        <v>1834696</v>
      </c>
      <c r="AA78" s="108">
        <f t="shared" si="5"/>
        <v>79103</v>
      </c>
      <c r="AB78" s="379">
        <f t="shared" si="6"/>
        <v>1834696</v>
      </c>
      <c r="BN78" s="4">
        <v>1989</v>
      </c>
      <c r="BO78" s="4">
        <v>2</v>
      </c>
    </row>
    <row r="79" spans="1:67">
      <c r="A79" s="4">
        <v>1989</v>
      </c>
      <c r="B79" s="4">
        <v>3</v>
      </c>
      <c r="C79" s="108">
        <f>Whole!C79+Whole!D79+'Tot Retail'!C79</f>
        <v>1916244</v>
      </c>
      <c r="D79" s="108">
        <f>Whole!E79+'Tot Retail'!D79</f>
        <v>1106190</v>
      </c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>
        <f t="shared" si="16"/>
        <v>-13413</v>
      </c>
      <c r="Z79" s="175">
        <f>Whole!Z79+'Tot Retail'!Z79</f>
        <v>1729343</v>
      </c>
      <c r="AA79" s="108">
        <f t="shared" si="5"/>
        <v>-186901</v>
      </c>
      <c r="AB79" s="379">
        <f t="shared" si="6"/>
        <v>1729343</v>
      </c>
      <c r="BN79" s="4">
        <v>1989</v>
      </c>
      <c r="BO79" s="4">
        <v>3</v>
      </c>
    </row>
    <row r="80" spans="1:67">
      <c r="A80" s="4">
        <v>1989</v>
      </c>
      <c r="B80" s="4">
        <v>4</v>
      </c>
      <c r="C80" s="108">
        <f>Whole!C80+Whole!D80+'Tot Retail'!C80</f>
        <v>1984082</v>
      </c>
      <c r="D80" s="108">
        <f>Whole!E80+'Tot Retail'!D80</f>
        <v>1104423</v>
      </c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>
        <f t="shared" si="16"/>
        <v>126499</v>
      </c>
      <c r="Z80" s="175">
        <f>Whole!Z80+'Tot Retail'!Z80</f>
        <v>1881437</v>
      </c>
      <c r="AA80" s="108">
        <f t="shared" si="5"/>
        <v>-102645</v>
      </c>
      <c r="AB80" s="379">
        <f t="shared" si="6"/>
        <v>1881437</v>
      </c>
      <c r="BN80" s="4">
        <v>1989</v>
      </c>
      <c r="BO80" s="4">
        <v>4</v>
      </c>
    </row>
    <row r="81" spans="1:67">
      <c r="A81" s="4">
        <v>1989</v>
      </c>
      <c r="B81" s="4">
        <v>5</v>
      </c>
      <c r="C81" s="108">
        <f>Whole!C81+Whole!D81+'Tot Retail'!C81</f>
        <v>1851343</v>
      </c>
      <c r="D81" s="108">
        <f>Whole!E81+'Tot Retail'!D81</f>
        <v>1091762</v>
      </c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>
        <f t="shared" si="16"/>
        <v>36738</v>
      </c>
      <c r="Z81" s="175">
        <f>Whole!Z81+'Tot Retail'!Z81</f>
        <v>1812433</v>
      </c>
      <c r="AA81" s="108">
        <f t="shared" ref="AA81:AA144" si="43">Z81-C81</f>
        <v>-38910</v>
      </c>
      <c r="AB81" s="379">
        <f t="shared" si="6"/>
        <v>1812433</v>
      </c>
      <c r="BN81" s="4">
        <v>1989</v>
      </c>
      <c r="BO81" s="4">
        <v>5</v>
      </c>
    </row>
    <row r="82" spans="1:67">
      <c r="A82" s="4">
        <v>1989</v>
      </c>
      <c r="B82" s="4">
        <v>6</v>
      </c>
      <c r="C82" s="108">
        <f>Whole!C82+Whole!D82+'Tot Retail'!C82</f>
        <v>2340816</v>
      </c>
      <c r="D82" s="108">
        <f>Whole!E82+'Tot Retail'!D82</f>
        <v>1088691</v>
      </c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>
        <f t="shared" si="16"/>
        <v>94452</v>
      </c>
      <c r="Z82" s="175">
        <f>Whole!Z82+'Tot Retail'!Z82</f>
        <v>2238150</v>
      </c>
      <c r="AA82" s="108">
        <f t="shared" si="43"/>
        <v>-102666</v>
      </c>
      <c r="AB82" s="379">
        <f t="shared" ref="AB82:AB145" si="44">Z82</f>
        <v>2238150</v>
      </c>
      <c r="BN82" s="4">
        <v>1989</v>
      </c>
      <c r="BO82" s="4">
        <v>6</v>
      </c>
    </row>
    <row r="83" spans="1:67">
      <c r="A83" s="4">
        <v>1989</v>
      </c>
      <c r="B83" s="4">
        <v>7</v>
      </c>
      <c r="C83" s="108">
        <f>Whole!C83+Whole!D83+'Tot Retail'!C83</f>
        <v>2493455</v>
      </c>
      <c r="D83" s="108">
        <f>Whole!E83+'Tot Retail'!D83</f>
        <v>1089621</v>
      </c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>
        <f t="shared" si="16"/>
        <v>141607</v>
      </c>
      <c r="Z83" s="175">
        <f>Whole!Z83+'Tot Retail'!Z83</f>
        <v>2456025</v>
      </c>
      <c r="AA83" s="108">
        <f t="shared" si="43"/>
        <v>-37430</v>
      </c>
      <c r="AB83" s="379">
        <f t="shared" si="44"/>
        <v>2456025</v>
      </c>
      <c r="BN83" s="4">
        <v>1989</v>
      </c>
      <c r="BO83" s="4">
        <v>7</v>
      </c>
    </row>
    <row r="84" spans="1:67">
      <c r="A84" s="4">
        <v>1989</v>
      </c>
      <c r="B84" s="4">
        <v>8</v>
      </c>
      <c r="C84" s="108">
        <f>Whole!C84+Whole!D84+'Tot Retail'!C84</f>
        <v>2527106</v>
      </c>
      <c r="D84" s="108">
        <f>Whole!E84+'Tot Retail'!D84</f>
        <v>1092496</v>
      </c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>
        <f t="shared" si="16"/>
        <v>125195</v>
      </c>
      <c r="Z84" s="175">
        <f>Whole!Z84+'Tot Retail'!Z84</f>
        <v>2527680</v>
      </c>
      <c r="AA84" s="108">
        <f t="shared" si="43"/>
        <v>574</v>
      </c>
      <c r="AB84" s="379">
        <f t="shared" si="44"/>
        <v>2527680</v>
      </c>
      <c r="BN84" s="4">
        <v>1989</v>
      </c>
      <c r="BO84" s="4">
        <v>8</v>
      </c>
    </row>
    <row r="85" spans="1:67">
      <c r="A85" s="4">
        <v>1989</v>
      </c>
      <c r="B85" s="4">
        <v>9</v>
      </c>
      <c r="C85" s="108">
        <f>Whole!C85+Whole!D85+'Tot Retail'!C85</f>
        <v>2703467</v>
      </c>
      <c r="D85" s="108">
        <f>Whole!E85+'Tot Retail'!D85</f>
        <v>1096764</v>
      </c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>
        <f t="shared" si="16"/>
        <v>169410</v>
      </c>
      <c r="Z85" s="175">
        <f>Whole!Z85+'Tot Retail'!Z85</f>
        <v>2585456</v>
      </c>
      <c r="AA85" s="108">
        <f t="shared" si="43"/>
        <v>-118011</v>
      </c>
      <c r="AB85" s="379">
        <f t="shared" si="44"/>
        <v>2585456</v>
      </c>
      <c r="BN85" s="4">
        <v>1989</v>
      </c>
      <c r="BO85" s="4">
        <v>9</v>
      </c>
    </row>
    <row r="86" spans="1:67">
      <c r="A86" s="4">
        <v>1989</v>
      </c>
      <c r="B86" s="4">
        <v>10</v>
      </c>
      <c r="C86" s="108">
        <f>Whole!C86+Whole!D86+'Tot Retail'!C86</f>
        <v>2360374</v>
      </c>
      <c r="D86" s="108">
        <f>Whole!E86+'Tot Retail'!D86</f>
        <v>1103694</v>
      </c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>
        <f t="shared" si="16"/>
        <v>19115</v>
      </c>
      <c r="Z86" s="175">
        <f>Whole!Z86+'Tot Retail'!Z86</f>
        <v>2282608</v>
      </c>
      <c r="AA86" s="108">
        <f t="shared" si="43"/>
        <v>-77766</v>
      </c>
      <c r="AB86" s="379">
        <f t="shared" si="44"/>
        <v>2282608</v>
      </c>
      <c r="BN86" s="4">
        <v>1989</v>
      </c>
      <c r="BO86" s="4">
        <v>10</v>
      </c>
    </row>
    <row r="87" spans="1:67">
      <c r="A87" s="4">
        <v>1989</v>
      </c>
      <c r="B87" s="4">
        <v>11</v>
      </c>
      <c r="C87" s="108">
        <f>Whole!C87+Whole!D87+'Tot Retail'!C87</f>
        <v>1930577</v>
      </c>
      <c r="D87" s="108">
        <f>Whole!E87+'Tot Retail'!D87</f>
        <v>1118516</v>
      </c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>
        <f t="shared" si="16"/>
        <v>89339</v>
      </c>
      <c r="Z87" s="175">
        <f>Whole!Z87+'Tot Retail'!Z87</f>
        <v>1940648</v>
      </c>
      <c r="AA87" s="108">
        <f t="shared" si="43"/>
        <v>10071</v>
      </c>
      <c r="AB87" s="379">
        <f t="shared" si="44"/>
        <v>1940648</v>
      </c>
      <c r="BN87" s="4">
        <v>1989</v>
      </c>
      <c r="BO87" s="4">
        <v>11</v>
      </c>
    </row>
    <row r="88" spans="1:67">
      <c r="A88" s="85">
        <v>1989</v>
      </c>
      <c r="B88" s="85">
        <v>12</v>
      </c>
      <c r="C88" s="108">
        <f>Whole!C88+Whole!D88+'Tot Retail'!C88</f>
        <v>1937655</v>
      </c>
      <c r="D88" s="108">
        <f>Whole!E88+'Tot Retail'!D88</f>
        <v>1129078</v>
      </c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>
        <f t="shared" si="16"/>
        <v>52313</v>
      </c>
      <c r="Z88" s="175">
        <f>Whole!Z88+'Tot Retail'!Z88</f>
        <v>1867338</v>
      </c>
      <c r="AA88" s="108">
        <f t="shared" si="43"/>
        <v>-70317</v>
      </c>
      <c r="AB88" s="379">
        <f t="shared" si="44"/>
        <v>1867338</v>
      </c>
      <c r="BN88" s="85">
        <v>1989</v>
      </c>
      <c r="BO88" s="85">
        <v>12</v>
      </c>
    </row>
    <row r="89" spans="1:67">
      <c r="A89" s="4">
        <v>1990</v>
      </c>
      <c r="B89" s="4">
        <v>1</v>
      </c>
      <c r="C89" s="108">
        <f>Whole!C89+Whole!D89+'Tot Retail'!C89</f>
        <v>2260510</v>
      </c>
      <c r="D89" s="108">
        <f>Whole!E89+'Tot Retail'!D89</f>
        <v>1136609</v>
      </c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>
        <f t="shared" si="16"/>
        <v>87442</v>
      </c>
      <c r="Z89" s="175">
        <f>Whole!Z89+'Tot Retail'!Z89</f>
        <v>1979551</v>
      </c>
      <c r="AA89" s="108">
        <f t="shared" si="43"/>
        <v>-280959</v>
      </c>
      <c r="AB89" s="379">
        <f t="shared" si="44"/>
        <v>1979551</v>
      </c>
      <c r="BN89" s="4">
        <v>1990</v>
      </c>
      <c r="BO89" s="4">
        <v>1</v>
      </c>
    </row>
    <row r="90" spans="1:67">
      <c r="A90" s="4">
        <v>1990</v>
      </c>
      <c r="B90" s="4">
        <v>2</v>
      </c>
      <c r="C90" s="108">
        <f>Whole!C90+Whole!D90+'Tot Retail'!C90</f>
        <v>1991841</v>
      </c>
      <c r="D90" s="108">
        <f>Whole!E90+'Tot Retail'!D90</f>
        <v>1141405</v>
      </c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>
        <f t="shared" si="16"/>
        <v>182402</v>
      </c>
      <c r="Z90" s="175">
        <f>Whole!Z90+'Tot Retail'!Z90</f>
        <v>2017098</v>
      </c>
      <c r="AA90" s="108">
        <f t="shared" si="43"/>
        <v>25257</v>
      </c>
      <c r="AB90" s="379">
        <f t="shared" si="44"/>
        <v>2017098</v>
      </c>
      <c r="BN90" s="4">
        <v>1990</v>
      </c>
      <c r="BO90" s="4">
        <v>2</v>
      </c>
    </row>
    <row r="91" spans="1:67">
      <c r="A91" s="4">
        <v>1990</v>
      </c>
      <c r="B91" s="4">
        <v>3</v>
      </c>
      <c r="C91" s="108">
        <f>Whole!C91+Whole!D91+'Tot Retail'!C91</f>
        <v>1827689</v>
      </c>
      <c r="D91" s="108">
        <f>Whole!E91+'Tot Retail'!D91</f>
        <v>1144631</v>
      </c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>
        <f t="shared" si="16"/>
        <v>156242</v>
      </c>
      <c r="Z91" s="175">
        <f>Whole!Z91+'Tot Retail'!Z91</f>
        <v>1885585</v>
      </c>
      <c r="AA91" s="108">
        <f t="shared" si="43"/>
        <v>57896</v>
      </c>
      <c r="AB91" s="379">
        <f t="shared" si="44"/>
        <v>1885585</v>
      </c>
      <c r="BN91" s="4">
        <v>1990</v>
      </c>
      <c r="BO91" s="4">
        <v>3</v>
      </c>
    </row>
    <row r="92" spans="1:67">
      <c r="A92" s="4">
        <v>1990</v>
      </c>
      <c r="B92" s="4">
        <v>4</v>
      </c>
      <c r="C92" s="108">
        <f>Whole!C92+Whole!D92+'Tot Retail'!C92</f>
        <v>1782345</v>
      </c>
      <c r="D92" s="108">
        <f>Whole!E92+'Tot Retail'!D92</f>
        <v>1139790</v>
      </c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>
        <f t="shared" si="16"/>
        <v>-75382</v>
      </c>
      <c r="Z92" s="175">
        <f>Whole!Z92+'Tot Retail'!Z92</f>
        <v>1806055</v>
      </c>
      <c r="AA92" s="108">
        <f t="shared" si="43"/>
        <v>23710</v>
      </c>
      <c r="AB92" s="379">
        <f t="shared" si="44"/>
        <v>1806055</v>
      </c>
      <c r="BN92" s="4">
        <v>1990</v>
      </c>
      <c r="BO92" s="4">
        <v>4</v>
      </c>
    </row>
    <row r="93" spans="1:67">
      <c r="A93" s="4">
        <v>1990</v>
      </c>
      <c r="B93" s="4">
        <v>5</v>
      </c>
      <c r="C93" s="108">
        <f>Whole!C93+Whole!D93+'Tot Retail'!C93</f>
        <v>1955203</v>
      </c>
      <c r="D93" s="108">
        <f>Whole!E93+'Tot Retail'!D93</f>
        <v>1125445</v>
      </c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>
        <f t="shared" ref="Y93:Y156" si="45">Z93-Z81</f>
        <v>60236</v>
      </c>
      <c r="Z93" s="175">
        <f>Whole!Z93+'Tot Retail'!Z93</f>
        <v>1872669</v>
      </c>
      <c r="AA93" s="108">
        <f t="shared" si="43"/>
        <v>-82534</v>
      </c>
      <c r="AB93" s="379">
        <f t="shared" si="44"/>
        <v>1872669</v>
      </c>
      <c r="BN93" s="4">
        <v>1990</v>
      </c>
      <c r="BO93" s="4">
        <v>5</v>
      </c>
    </row>
    <row r="94" spans="1:67">
      <c r="A94" s="4">
        <v>1990</v>
      </c>
      <c r="B94" s="4">
        <v>6</v>
      </c>
      <c r="C94" s="108">
        <f>Whole!C94+Whole!D94+'Tot Retail'!C94</f>
        <v>2342714</v>
      </c>
      <c r="D94" s="108">
        <f>Whole!E94+'Tot Retail'!D94</f>
        <v>1122312</v>
      </c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>
        <f t="shared" si="45"/>
        <v>21575</v>
      </c>
      <c r="Z94" s="175">
        <f>Whole!Z94+'Tot Retail'!Z94</f>
        <v>2259725</v>
      </c>
      <c r="AA94" s="108">
        <f t="shared" si="43"/>
        <v>-82989</v>
      </c>
      <c r="AB94" s="379">
        <f t="shared" si="44"/>
        <v>2259725</v>
      </c>
      <c r="BN94" s="4">
        <v>1990</v>
      </c>
      <c r="BO94" s="4">
        <v>6</v>
      </c>
    </row>
    <row r="95" spans="1:67">
      <c r="A95" s="4">
        <v>1990</v>
      </c>
      <c r="B95" s="4">
        <v>7</v>
      </c>
      <c r="C95" s="108">
        <f>Whole!C95+Whole!D95+'Tot Retail'!C95</f>
        <v>2498163</v>
      </c>
      <c r="D95" s="108">
        <f>Whole!E95+'Tot Retail'!D95</f>
        <v>1123256</v>
      </c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>
        <f t="shared" si="45"/>
        <v>51709</v>
      </c>
      <c r="Z95" s="175">
        <f>Whole!Z95+'Tot Retail'!Z95</f>
        <v>2507734</v>
      </c>
      <c r="AA95" s="108">
        <f t="shared" si="43"/>
        <v>9571</v>
      </c>
      <c r="AB95" s="379">
        <f t="shared" si="44"/>
        <v>2507734</v>
      </c>
      <c r="BN95" s="4">
        <v>1990</v>
      </c>
      <c r="BO95" s="4">
        <v>7</v>
      </c>
    </row>
    <row r="96" spans="1:67">
      <c r="A96" s="4">
        <v>1990</v>
      </c>
      <c r="B96" s="4">
        <v>8</v>
      </c>
      <c r="C96" s="108">
        <f>Whole!C96+Whole!D96+'Tot Retail'!C96</f>
        <v>2658083</v>
      </c>
      <c r="D96" s="108">
        <f>Whole!E96+'Tot Retail'!D96</f>
        <v>1125295</v>
      </c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>
        <f t="shared" si="45"/>
        <v>93168</v>
      </c>
      <c r="Z96" s="175">
        <f>Whole!Z96+'Tot Retail'!Z96</f>
        <v>2620848</v>
      </c>
      <c r="AA96" s="108">
        <f t="shared" si="43"/>
        <v>-37235</v>
      </c>
      <c r="AB96" s="379">
        <f t="shared" si="44"/>
        <v>2620848</v>
      </c>
      <c r="BN96" s="4">
        <v>1990</v>
      </c>
      <c r="BO96" s="4">
        <v>8</v>
      </c>
    </row>
    <row r="97" spans="1:67">
      <c r="A97" s="4">
        <v>1990</v>
      </c>
      <c r="B97" s="4">
        <v>9</v>
      </c>
      <c r="C97" s="108">
        <f>Whole!C97+Whole!D97+'Tot Retail'!C97</f>
        <v>2648898</v>
      </c>
      <c r="D97" s="108">
        <f>Whole!E97+'Tot Retail'!D97</f>
        <v>1127843</v>
      </c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>
        <f t="shared" si="45"/>
        <v>53890</v>
      </c>
      <c r="Z97" s="175">
        <f>Whole!Z97+'Tot Retail'!Z97</f>
        <v>2639346</v>
      </c>
      <c r="AA97" s="108">
        <f t="shared" si="43"/>
        <v>-9552</v>
      </c>
      <c r="AB97" s="379">
        <f t="shared" si="44"/>
        <v>2639346</v>
      </c>
      <c r="BN97" s="4">
        <v>1990</v>
      </c>
      <c r="BO97" s="4">
        <v>9</v>
      </c>
    </row>
    <row r="98" spans="1:67">
      <c r="A98" s="4">
        <v>1990</v>
      </c>
      <c r="B98" s="4">
        <v>10</v>
      </c>
      <c r="C98" s="108">
        <f>Whole!C98+Whole!D98+'Tot Retail'!C98</f>
        <v>2452461</v>
      </c>
      <c r="D98" s="108">
        <f>Whole!E98+'Tot Retail'!D98</f>
        <v>1133831</v>
      </c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>
        <f t="shared" si="45"/>
        <v>79848</v>
      </c>
      <c r="Z98" s="175">
        <f>Whole!Z98+'Tot Retail'!Z98</f>
        <v>2362456</v>
      </c>
      <c r="AA98" s="108">
        <f t="shared" si="43"/>
        <v>-90005</v>
      </c>
      <c r="AB98" s="379">
        <f t="shared" si="44"/>
        <v>2362456</v>
      </c>
      <c r="BN98" s="4">
        <v>1990</v>
      </c>
      <c r="BO98" s="4">
        <v>10</v>
      </c>
    </row>
    <row r="99" spans="1:67">
      <c r="A99" s="4">
        <v>1990</v>
      </c>
      <c r="B99" s="4">
        <v>11</v>
      </c>
      <c r="C99" s="108">
        <f>Whole!C99+Whole!D99+'Tot Retail'!C99</f>
        <v>2082852</v>
      </c>
      <c r="D99" s="108">
        <f>Whole!E99+'Tot Retail'!D99</f>
        <v>1147602</v>
      </c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>
        <f t="shared" si="45"/>
        <v>100322</v>
      </c>
      <c r="Z99" s="175">
        <f>Whole!Z99+'Tot Retail'!Z99</f>
        <v>2040970</v>
      </c>
      <c r="AA99" s="108">
        <f t="shared" si="43"/>
        <v>-41882</v>
      </c>
      <c r="AB99" s="379">
        <f t="shared" si="44"/>
        <v>2040970</v>
      </c>
      <c r="BN99" s="4">
        <v>1990</v>
      </c>
      <c r="BO99" s="4">
        <v>11</v>
      </c>
    </row>
    <row r="100" spans="1:67">
      <c r="A100" s="85">
        <v>1990</v>
      </c>
      <c r="B100" s="85">
        <v>12</v>
      </c>
      <c r="C100" s="108">
        <f>Whole!C100+Whole!D100+'Tot Retail'!C100</f>
        <v>1925553</v>
      </c>
      <c r="D100" s="108">
        <f>Whole!E100+'Tot Retail'!D100</f>
        <v>1157966</v>
      </c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>
        <f t="shared" si="45"/>
        <v>92095</v>
      </c>
      <c r="Z100" s="175">
        <f>Whole!Z100+'Tot Retail'!Z100</f>
        <v>1959433</v>
      </c>
      <c r="AA100" s="108">
        <f t="shared" si="43"/>
        <v>33880</v>
      </c>
      <c r="AB100" s="379">
        <f t="shared" si="44"/>
        <v>1959433</v>
      </c>
      <c r="BN100" s="85">
        <v>1990</v>
      </c>
      <c r="BO100" s="85">
        <v>12</v>
      </c>
    </row>
    <row r="101" spans="1:67">
      <c r="A101" s="4">
        <v>1991</v>
      </c>
      <c r="B101" s="4">
        <v>1</v>
      </c>
      <c r="C101" s="108">
        <f>Whole!C101+Whole!D101+'Tot Retail'!C101</f>
        <v>1966123</v>
      </c>
      <c r="D101" s="108">
        <f>Whole!E101+'Tot Retail'!D101</f>
        <v>1165101</v>
      </c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>
        <f t="shared" si="45"/>
        <v>32510</v>
      </c>
      <c r="Z101" s="175">
        <f>Whole!Z101+'Tot Retail'!Z101</f>
        <v>2012061</v>
      </c>
      <c r="AA101" s="108">
        <f t="shared" si="43"/>
        <v>45938</v>
      </c>
      <c r="AB101" s="379">
        <f t="shared" si="44"/>
        <v>2012061</v>
      </c>
      <c r="BN101" s="4">
        <v>1991</v>
      </c>
      <c r="BO101" s="4">
        <v>1</v>
      </c>
    </row>
    <row r="102" spans="1:67">
      <c r="A102" s="4">
        <v>1991</v>
      </c>
      <c r="B102" s="4">
        <v>2</v>
      </c>
      <c r="C102" s="108">
        <f>Whole!C102+Whole!D102+'Tot Retail'!C102</f>
        <v>1877128</v>
      </c>
      <c r="D102" s="108">
        <f>Whole!E102+'Tot Retail'!D102</f>
        <v>1169321</v>
      </c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>
        <f t="shared" si="45"/>
        <v>-68281</v>
      </c>
      <c r="Z102" s="175">
        <f>Whole!Z102+'Tot Retail'!Z102</f>
        <v>1948817</v>
      </c>
      <c r="AA102" s="108">
        <f t="shared" si="43"/>
        <v>71689</v>
      </c>
      <c r="AB102" s="379">
        <f t="shared" si="44"/>
        <v>1948817</v>
      </c>
      <c r="BN102" s="4">
        <v>1991</v>
      </c>
      <c r="BO102" s="4">
        <v>2</v>
      </c>
    </row>
    <row r="103" spans="1:67">
      <c r="A103" s="4">
        <v>1991</v>
      </c>
      <c r="B103" s="4">
        <v>3</v>
      </c>
      <c r="C103" s="108">
        <f>Whole!C103+Whole!D103+'Tot Retail'!C103</f>
        <v>1858502</v>
      </c>
      <c r="D103" s="108">
        <f>Whole!E103+'Tot Retail'!D103</f>
        <v>1171778</v>
      </c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>
        <f t="shared" si="45"/>
        <v>-12383</v>
      </c>
      <c r="Z103" s="175">
        <f>Whole!Z103+'Tot Retail'!Z103</f>
        <v>1873202</v>
      </c>
      <c r="AA103" s="108">
        <f t="shared" si="43"/>
        <v>14700</v>
      </c>
      <c r="AB103" s="379">
        <f t="shared" si="44"/>
        <v>1873202</v>
      </c>
      <c r="BN103" s="4">
        <v>1991</v>
      </c>
      <c r="BO103" s="4">
        <v>3</v>
      </c>
    </row>
    <row r="104" spans="1:67">
      <c r="A104" s="4">
        <v>1991</v>
      </c>
      <c r="B104" s="4">
        <v>4</v>
      </c>
      <c r="C104" s="108">
        <f>Whole!C104+Whole!D104+'Tot Retail'!C104</f>
        <v>1927165</v>
      </c>
      <c r="D104" s="108">
        <f>Whole!E104+'Tot Retail'!D104</f>
        <v>1164699</v>
      </c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>
        <f t="shared" si="45"/>
        <v>67026</v>
      </c>
      <c r="Z104" s="175">
        <f>Whole!Z104+'Tot Retail'!Z104</f>
        <v>1873081</v>
      </c>
      <c r="AA104" s="108">
        <f t="shared" si="43"/>
        <v>-54084</v>
      </c>
      <c r="AB104" s="379">
        <f t="shared" si="44"/>
        <v>1873081</v>
      </c>
      <c r="BN104" s="4">
        <v>1991</v>
      </c>
      <c r="BO104" s="4">
        <v>4</v>
      </c>
    </row>
    <row r="105" spans="1:67">
      <c r="A105" s="4">
        <v>1991</v>
      </c>
      <c r="B105" s="4">
        <v>5</v>
      </c>
      <c r="C105" s="108">
        <f>Whole!C105+Whole!D105+'Tot Retail'!C105</f>
        <v>2164081</v>
      </c>
      <c r="D105" s="108">
        <f>Whole!E105+'Tot Retail'!D105</f>
        <v>1149944</v>
      </c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>
        <f t="shared" si="45"/>
        <v>2975</v>
      </c>
      <c r="Z105" s="175">
        <f>Whole!Z105+'Tot Retail'!Z105</f>
        <v>1875644</v>
      </c>
      <c r="AA105" s="108">
        <f t="shared" si="43"/>
        <v>-288437</v>
      </c>
      <c r="AB105" s="379">
        <f t="shared" si="44"/>
        <v>1875644</v>
      </c>
      <c r="BN105" s="4">
        <v>1991</v>
      </c>
      <c r="BO105" s="4">
        <v>5</v>
      </c>
    </row>
    <row r="106" spans="1:67">
      <c r="A106" s="4">
        <v>1991</v>
      </c>
      <c r="B106" s="4">
        <v>6</v>
      </c>
      <c r="C106" s="108">
        <f>Whole!C106+Whole!D106+'Tot Retail'!C106</f>
        <v>2392785</v>
      </c>
      <c r="D106" s="108">
        <f>Whole!E106+'Tot Retail'!D106</f>
        <v>1145558</v>
      </c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>
        <f t="shared" si="45"/>
        <v>78087</v>
      </c>
      <c r="Z106" s="175">
        <f>Whole!Z106+'Tot Retail'!Z106</f>
        <v>2337812</v>
      </c>
      <c r="AA106" s="108">
        <f t="shared" si="43"/>
        <v>-54973</v>
      </c>
      <c r="AB106" s="379">
        <f t="shared" si="44"/>
        <v>2337812</v>
      </c>
      <c r="BN106" s="4">
        <v>1991</v>
      </c>
      <c r="BO106" s="4">
        <v>6</v>
      </c>
    </row>
    <row r="107" spans="1:67">
      <c r="A107" s="4">
        <v>1991</v>
      </c>
      <c r="B107" s="4">
        <v>7</v>
      </c>
      <c r="C107" s="108">
        <f>Whole!C107+Whole!D107+'Tot Retail'!C107</f>
        <v>2555378</v>
      </c>
      <c r="D107" s="108">
        <f>Whole!E107+'Tot Retail'!D107</f>
        <v>1145715</v>
      </c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>
        <f t="shared" si="45"/>
        <v>5243</v>
      </c>
      <c r="Z107" s="175">
        <f>Whole!Z107+'Tot Retail'!Z107</f>
        <v>2512977</v>
      </c>
      <c r="AA107" s="108">
        <f t="shared" si="43"/>
        <v>-42401</v>
      </c>
      <c r="AB107" s="379">
        <f t="shared" si="44"/>
        <v>2512977</v>
      </c>
      <c r="BN107" s="4">
        <v>1991</v>
      </c>
      <c r="BO107" s="4">
        <v>7</v>
      </c>
    </row>
    <row r="108" spans="1:67">
      <c r="A108" s="4">
        <v>1991</v>
      </c>
      <c r="B108" s="4">
        <v>8</v>
      </c>
      <c r="C108" s="108">
        <f>Whole!C108+Whole!D108+'Tot Retail'!C108</f>
        <v>2715721</v>
      </c>
      <c r="D108" s="108">
        <f>Whole!E108+'Tot Retail'!D108</f>
        <v>1146538</v>
      </c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>
        <f t="shared" si="45"/>
        <v>40120</v>
      </c>
      <c r="Z108" s="175">
        <f>Whole!Z108+'Tot Retail'!Z108</f>
        <v>2660968</v>
      </c>
      <c r="AA108" s="108">
        <f t="shared" si="43"/>
        <v>-54753</v>
      </c>
      <c r="AB108" s="379">
        <f t="shared" si="44"/>
        <v>2660968</v>
      </c>
      <c r="BN108" s="4">
        <v>1991</v>
      </c>
      <c r="BO108" s="4">
        <v>8</v>
      </c>
    </row>
    <row r="109" spans="1:67">
      <c r="A109" s="4">
        <v>1991</v>
      </c>
      <c r="B109" s="4">
        <v>9</v>
      </c>
      <c r="C109" s="108">
        <f>Whole!C109+Whole!D109+'Tot Retail'!C109</f>
        <v>2701364</v>
      </c>
      <c r="D109" s="108">
        <f>Whole!E109+'Tot Retail'!D109</f>
        <v>1149205</v>
      </c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>
        <f t="shared" si="45"/>
        <v>32237</v>
      </c>
      <c r="Z109" s="175">
        <f>Whole!Z109+'Tot Retail'!Z109</f>
        <v>2671583</v>
      </c>
      <c r="AA109" s="108">
        <f t="shared" si="43"/>
        <v>-29781</v>
      </c>
      <c r="AB109" s="379">
        <f t="shared" si="44"/>
        <v>2671583</v>
      </c>
      <c r="BN109" s="4">
        <v>1991</v>
      </c>
      <c r="BO109" s="4">
        <v>9</v>
      </c>
    </row>
    <row r="110" spans="1:67">
      <c r="A110" s="4">
        <v>1991</v>
      </c>
      <c r="B110" s="4">
        <v>10</v>
      </c>
      <c r="C110" s="108">
        <f>Whole!C110+Whole!D110+'Tot Retail'!C110</f>
        <v>2382635</v>
      </c>
      <c r="D110" s="108">
        <f>Whole!E110+'Tot Retail'!D110</f>
        <v>1155082</v>
      </c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>
        <f t="shared" si="45"/>
        <v>54907</v>
      </c>
      <c r="Z110" s="175">
        <f>Whole!Z110+'Tot Retail'!Z110</f>
        <v>2417363</v>
      </c>
      <c r="AA110" s="108">
        <f t="shared" si="43"/>
        <v>34728</v>
      </c>
      <c r="AB110" s="379">
        <f t="shared" si="44"/>
        <v>2417363</v>
      </c>
      <c r="BN110" s="4">
        <v>1991</v>
      </c>
      <c r="BO110" s="4">
        <v>10</v>
      </c>
    </row>
    <row r="111" spans="1:67">
      <c r="A111" s="4">
        <v>1991</v>
      </c>
      <c r="B111" s="4">
        <v>11</v>
      </c>
      <c r="C111" s="108">
        <f>Whole!C111+Whole!D111+'Tot Retail'!C111</f>
        <v>2019709</v>
      </c>
      <c r="D111" s="108">
        <f>Whole!E111+'Tot Retail'!D111</f>
        <v>1168398</v>
      </c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>
        <f t="shared" si="45"/>
        <v>-9166</v>
      </c>
      <c r="Z111" s="175">
        <f>Whole!Z111+'Tot Retail'!Z111</f>
        <v>2031804</v>
      </c>
      <c r="AA111" s="108">
        <f t="shared" si="43"/>
        <v>12095</v>
      </c>
      <c r="AB111" s="379">
        <f t="shared" si="44"/>
        <v>2031804</v>
      </c>
      <c r="BN111" s="4">
        <v>1991</v>
      </c>
      <c r="BO111" s="4">
        <v>11</v>
      </c>
    </row>
    <row r="112" spans="1:67">
      <c r="A112" s="85">
        <v>1991</v>
      </c>
      <c r="B112" s="85">
        <v>12</v>
      </c>
      <c r="C112" s="108">
        <f>Whole!C112+Whole!D112+'Tot Retail'!C112</f>
        <v>2029354</v>
      </c>
      <c r="D112" s="108">
        <f>Whole!E112+'Tot Retail'!D112</f>
        <v>1179507</v>
      </c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>
        <f t="shared" si="45"/>
        <v>6066</v>
      </c>
      <c r="Z112" s="175">
        <f>Whole!Z112+'Tot Retail'!Z112</f>
        <v>1965499</v>
      </c>
      <c r="AA112" s="108">
        <f t="shared" si="43"/>
        <v>-63855</v>
      </c>
      <c r="AB112" s="379">
        <f t="shared" si="44"/>
        <v>1965499</v>
      </c>
      <c r="BN112" s="85">
        <v>1991</v>
      </c>
      <c r="BO112" s="85">
        <v>12</v>
      </c>
    </row>
    <row r="113" spans="1:72">
      <c r="A113" s="4">
        <v>1992</v>
      </c>
      <c r="B113" s="4">
        <v>1</v>
      </c>
      <c r="C113" s="108">
        <f>Whole!C113+Whole!D113+'Tot Retail'!C113</f>
        <v>2121445</v>
      </c>
      <c r="D113" s="108">
        <f>Whole!E113+'Tot Retail'!D113</f>
        <v>1186923</v>
      </c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>
        <f t="shared" si="45"/>
        <v>159153</v>
      </c>
      <c r="Z113" s="175">
        <f>Whole!Z113+'Tot Retail'!Z113</f>
        <v>2171214</v>
      </c>
      <c r="AA113" s="108">
        <f t="shared" si="43"/>
        <v>49769</v>
      </c>
      <c r="AB113" s="379">
        <f t="shared" si="44"/>
        <v>2171214</v>
      </c>
      <c r="BN113" s="4">
        <v>1992</v>
      </c>
      <c r="BO113" s="4">
        <v>1</v>
      </c>
    </row>
    <row r="114" spans="1:72">
      <c r="A114" s="4">
        <v>1992</v>
      </c>
      <c r="B114" s="4">
        <v>2</v>
      </c>
      <c r="C114" s="108">
        <f>Whole!C114+Whole!D114+'Tot Retail'!C114</f>
        <v>2090248</v>
      </c>
      <c r="D114" s="108">
        <f>Whole!E114+'Tot Retail'!D114</f>
        <v>1191528</v>
      </c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>
        <f t="shared" si="45"/>
        <v>117292</v>
      </c>
      <c r="Z114" s="175">
        <f>Whole!Z114+'Tot Retail'!Z114</f>
        <v>2066109</v>
      </c>
      <c r="AA114" s="108">
        <f t="shared" si="43"/>
        <v>-24139</v>
      </c>
      <c r="AB114" s="379">
        <f t="shared" si="44"/>
        <v>2066109</v>
      </c>
      <c r="BN114" s="4">
        <v>1992</v>
      </c>
      <c r="BO114" s="4">
        <v>2</v>
      </c>
    </row>
    <row r="115" spans="1:72">
      <c r="A115" s="4">
        <v>1992</v>
      </c>
      <c r="B115" s="4">
        <v>3</v>
      </c>
      <c r="C115" s="108">
        <f>Whole!C115+Whole!D115+'Tot Retail'!C115</f>
        <v>1869623</v>
      </c>
      <c r="D115" s="108">
        <f>Whole!E115+'Tot Retail'!D115</f>
        <v>1193157</v>
      </c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>
        <f t="shared" si="45"/>
        <v>52757</v>
      </c>
      <c r="Z115" s="175">
        <f>Whole!Z115+'Tot Retail'!Z115</f>
        <v>1925959</v>
      </c>
      <c r="AA115" s="108">
        <f t="shared" si="43"/>
        <v>56336</v>
      </c>
      <c r="AB115" s="379">
        <f t="shared" si="44"/>
        <v>1925959</v>
      </c>
      <c r="BN115" s="4">
        <v>1992</v>
      </c>
      <c r="BO115" s="4">
        <v>3</v>
      </c>
    </row>
    <row r="116" spans="1:72">
      <c r="A116" s="4">
        <v>1992</v>
      </c>
      <c r="B116" s="4">
        <v>4</v>
      </c>
      <c r="C116" s="108">
        <f>Whole!C116+Whole!D116+'Tot Retail'!C116</f>
        <v>1840771</v>
      </c>
      <c r="D116" s="108">
        <f>Whole!E116+'Tot Retail'!D116</f>
        <v>1185672</v>
      </c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>
        <f t="shared" si="45"/>
        <v>50127</v>
      </c>
      <c r="Z116" s="175">
        <f>Whole!Z116+'Tot Retail'!Z116</f>
        <v>1923208</v>
      </c>
      <c r="AA116" s="108">
        <f t="shared" si="43"/>
        <v>82437</v>
      </c>
      <c r="AB116" s="379">
        <f t="shared" si="44"/>
        <v>1923208</v>
      </c>
      <c r="BN116" s="4">
        <v>1992</v>
      </c>
      <c r="BO116" s="4">
        <v>4</v>
      </c>
    </row>
    <row r="117" spans="1:72">
      <c r="A117" s="4">
        <v>1992</v>
      </c>
      <c r="B117" s="4">
        <v>5</v>
      </c>
      <c r="C117" s="108">
        <f>Whole!C117+Whole!D117+'Tot Retail'!C117</f>
        <v>1908613</v>
      </c>
      <c r="D117" s="108">
        <f>Whole!E117+'Tot Retail'!D117</f>
        <v>1171063</v>
      </c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>
        <f t="shared" si="45"/>
        <v>174595</v>
      </c>
      <c r="Z117" s="175">
        <f>Whole!Z117+'Tot Retail'!Z117</f>
        <v>2050239</v>
      </c>
      <c r="AA117" s="108">
        <f t="shared" si="43"/>
        <v>141626</v>
      </c>
      <c r="AB117" s="379">
        <f t="shared" si="44"/>
        <v>2050239</v>
      </c>
      <c r="BN117" s="4">
        <v>1992</v>
      </c>
      <c r="BO117" s="4">
        <v>5</v>
      </c>
    </row>
    <row r="118" spans="1:72">
      <c r="A118" s="4">
        <v>1992</v>
      </c>
      <c r="B118" s="4">
        <v>6</v>
      </c>
      <c r="C118" s="108">
        <f>Whole!C118+Whole!D118+'Tot Retail'!C118</f>
        <v>2251962</v>
      </c>
      <c r="D118" s="108">
        <f>Whole!E118+'Tot Retail'!D118</f>
        <v>1167506</v>
      </c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>
        <f t="shared" si="45"/>
        <v>51355</v>
      </c>
      <c r="Z118" s="175">
        <f>Whole!Z118+'Tot Retail'!Z118</f>
        <v>2389167</v>
      </c>
      <c r="AA118" s="108">
        <f t="shared" si="43"/>
        <v>137205</v>
      </c>
      <c r="AB118" s="379">
        <f t="shared" si="44"/>
        <v>2389167</v>
      </c>
      <c r="BN118" s="4">
        <v>1992</v>
      </c>
      <c r="BO118" s="4">
        <v>6</v>
      </c>
    </row>
    <row r="119" spans="1:72">
      <c r="A119" s="4">
        <v>1992</v>
      </c>
      <c r="B119" s="4">
        <v>7</v>
      </c>
      <c r="C119" s="108">
        <f>Whole!C119+Whole!D119+'Tot Retail'!C119</f>
        <v>2691874</v>
      </c>
      <c r="D119" s="108">
        <f>Whole!E119+'Tot Retail'!D119</f>
        <v>1168613</v>
      </c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>
        <f t="shared" si="45"/>
        <v>134002</v>
      </c>
      <c r="Z119" s="175">
        <f>Whole!Z119+'Tot Retail'!Z119</f>
        <v>2646979</v>
      </c>
      <c r="AA119" s="108">
        <f t="shared" si="43"/>
        <v>-44895</v>
      </c>
      <c r="AB119" s="379">
        <f t="shared" si="44"/>
        <v>2646979</v>
      </c>
      <c r="BN119" s="4">
        <v>1992</v>
      </c>
      <c r="BO119" s="4">
        <v>7</v>
      </c>
    </row>
    <row r="120" spans="1:72">
      <c r="A120" s="4">
        <v>1992</v>
      </c>
      <c r="B120" s="4">
        <v>8</v>
      </c>
      <c r="C120" s="108">
        <f>Whole!C120+Whole!D120+'Tot Retail'!C120</f>
        <v>2826498</v>
      </c>
      <c r="D120" s="108">
        <f>Whole!E120+'Tot Retail'!D120</f>
        <v>1170711</v>
      </c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>
        <f t="shared" si="45"/>
        <v>121229</v>
      </c>
      <c r="Z120" s="175">
        <f>Whole!Z120+'Tot Retail'!Z120</f>
        <v>2782197</v>
      </c>
      <c r="AA120" s="108">
        <f t="shared" si="43"/>
        <v>-44301</v>
      </c>
      <c r="AB120" s="379">
        <f t="shared" si="44"/>
        <v>2782197</v>
      </c>
      <c r="BN120" s="4">
        <v>1992</v>
      </c>
      <c r="BO120" s="4">
        <v>8</v>
      </c>
    </row>
    <row r="121" spans="1:72">
      <c r="A121" s="4">
        <v>1992</v>
      </c>
      <c r="B121" s="4">
        <v>9</v>
      </c>
      <c r="C121" s="108">
        <f>Whole!C121+Whole!D121+'Tot Retail'!C121</f>
        <v>2711702</v>
      </c>
      <c r="D121" s="108">
        <f>Whole!E121+'Tot Retail'!D121</f>
        <v>1173457</v>
      </c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>
        <f t="shared" si="45"/>
        <v>116404</v>
      </c>
      <c r="Z121" s="175">
        <f>Whole!Z121+'Tot Retail'!Z121</f>
        <v>2787987</v>
      </c>
      <c r="AA121" s="108">
        <f t="shared" si="43"/>
        <v>76285</v>
      </c>
      <c r="AB121" s="379">
        <f t="shared" si="44"/>
        <v>2787987</v>
      </c>
      <c r="BN121" s="4">
        <v>1992</v>
      </c>
      <c r="BO121" s="4">
        <v>9</v>
      </c>
    </row>
    <row r="122" spans="1:72">
      <c r="A122" s="4">
        <v>1992</v>
      </c>
      <c r="B122" s="4">
        <v>10</v>
      </c>
      <c r="C122" s="108">
        <f>Whole!C122+Whole!D122+'Tot Retail'!C122</f>
        <v>2427547</v>
      </c>
      <c r="D122" s="108">
        <f>Whole!E122+'Tot Retail'!D122</f>
        <v>1178958</v>
      </c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>
        <f t="shared" si="45"/>
        <v>94566</v>
      </c>
      <c r="Z122" s="175">
        <f>Whole!Z122+'Tot Retail'!Z122</f>
        <v>2511929</v>
      </c>
      <c r="AA122" s="108">
        <f t="shared" si="43"/>
        <v>84382</v>
      </c>
      <c r="AB122" s="379">
        <f t="shared" si="44"/>
        <v>2511929</v>
      </c>
      <c r="BN122" s="4">
        <v>1992</v>
      </c>
      <c r="BO122" s="4">
        <v>10</v>
      </c>
    </row>
    <row r="123" spans="1:72">
      <c r="A123" s="4">
        <v>1992</v>
      </c>
      <c r="B123" s="4">
        <v>11</v>
      </c>
      <c r="C123" s="108">
        <f>Whole!C123+Whole!D123+'Tot Retail'!C123</f>
        <v>2021856</v>
      </c>
      <c r="D123" s="108">
        <f>Whole!E123+'Tot Retail'!D123</f>
        <v>1193931</v>
      </c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>
        <f t="shared" si="45"/>
        <v>92478</v>
      </c>
      <c r="Z123" s="175">
        <f>Whole!Z123+'Tot Retail'!Z123</f>
        <v>2124282</v>
      </c>
      <c r="AA123" s="108">
        <f t="shared" si="43"/>
        <v>102426</v>
      </c>
      <c r="AB123" s="379">
        <f t="shared" si="44"/>
        <v>2124282</v>
      </c>
      <c r="BN123" s="4">
        <v>1992</v>
      </c>
      <c r="BO123" s="4">
        <v>11</v>
      </c>
    </row>
    <row r="124" spans="1:72" s="89" customFormat="1">
      <c r="A124" s="89">
        <v>1992</v>
      </c>
      <c r="B124" s="89">
        <v>12</v>
      </c>
      <c r="C124" s="117">
        <f>Whole!C124+Whole!D124+'Tot Retail'!C124</f>
        <v>2122552</v>
      </c>
      <c r="D124" s="117">
        <f>Whole!E124+'Tot Retail'!D124</f>
        <v>1204522</v>
      </c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  <c r="V124" s="117"/>
      <c r="W124" s="117"/>
      <c r="X124" s="117"/>
      <c r="Y124" s="117">
        <f t="shared" si="45"/>
        <v>62913</v>
      </c>
      <c r="Z124" s="176">
        <f>Whole!Z124+'Tot Retail'!Z124</f>
        <v>2028412</v>
      </c>
      <c r="AA124" s="117">
        <f t="shared" si="43"/>
        <v>-94140</v>
      </c>
      <c r="AB124" s="517">
        <f t="shared" si="44"/>
        <v>2028412</v>
      </c>
      <c r="BN124" s="89">
        <v>1992</v>
      </c>
      <c r="BO124" s="89">
        <v>12</v>
      </c>
      <c r="BT124" s="96"/>
    </row>
    <row r="125" spans="1:72">
      <c r="A125" s="4">
        <v>1993</v>
      </c>
      <c r="B125" s="4">
        <v>1</v>
      </c>
      <c r="C125" s="108">
        <f>Whole!C125+Whole!D125+'Tot Retail'!C125</f>
        <v>2018813</v>
      </c>
      <c r="D125" s="108">
        <f>Whole!E125+'Tot Retail'!D125</f>
        <v>1211954</v>
      </c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>
        <f t="shared" si="45"/>
        <v>-10463</v>
      </c>
      <c r="Z125" s="175">
        <f>Whole!Z125+'Tot Retail'!Z125</f>
        <v>2160751</v>
      </c>
      <c r="AA125" s="108">
        <f t="shared" si="43"/>
        <v>141938</v>
      </c>
      <c r="AB125" s="379">
        <f t="shared" si="44"/>
        <v>2160751</v>
      </c>
      <c r="BN125" s="4">
        <v>1993</v>
      </c>
      <c r="BO125" s="4">
        <v>1</v>
      </c>
    </row>
    <row r="126" spans="1:72">
      <c r="A126" s="4">
        <v>1993</v>
      </c>
      <c r="B126" s="4">
        <v>2</v>
      </c>
      <c r="C126" s="108">
        <f>Whole!C126+Whole!D126+'Tot Retail'!C126</f>
        <v>1983693</v>
      </c>
      <c r="D126" s="108">
        <f>Whole!E126+'Tot Retail'!D126</f>
        <v>1216388</v>
      </c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>
        <f t="shared" si="45"/>
        <v>21898</v>
      </c>
      <c r="Z126" s="175">
        <f>Whole!Z126+'Tot Retail'!Z126</f>
        <v>2088007</v>
      </c>
      <c r="AA126" s="108">
        <f t="shared" si="43"/>
        <v>104314</v>
      </c>
      <c r="AB126" s="379">
        <f t="shared" si="44"/>
        <v>2088007</v>
      </c>
      <c r="BN126" s="4">
        <v>1993</v>
      </c>
      <c r="BO126" s="4">
        <v>2</v>
      </c>
    </row>
    <row r="127" spans="1:72">
      <c r="A127" s="4">
        <v>1993</v>
      </c>
      <c r="B127" s="4">
        <v>3</v>
      </c>
      <c r="C127" s="108">
        <f>Whole!C127+Whole!D127+'Tot Retail'!C127</f>
        <v>2033630</v>
      </c>
      <c r="D127" s="108">
        <f>Whole!E127+'Tot Retail'!D127</f>
        <v>1218547</v>
      </c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>
        <f t="shared" si="45"/>
        <v>106021</v>
      </c>
      <c r="Z127" s="175">
        <f>Whole!Z127+'Tot Retail'!Z127</f>
        <v>2031980</v>
      </c>
      <c r="AA127" s="108">
        <f t="shared" si="43"/>
        <v>-1650</v>
      </c>
      <c r="AB127" s="379">
        <f t="shared" si="44"/>
        <v>2031980</v>
      </c>
      <c r="BN127" s="4">
        <v>1993</v>
      </c>
      <c r="BO127" s="4">
        <v>3</v>
      </c>
    </row>
    <row r="128" spans="1:72">
      <c r="A128" s="4">
        <v>1993</v>
      </c>
      <c r="B128" s="4">
        <v>4</v>
      </c>
      <c r="C128" s="108">
        <f>Whole!C128+Whole!D128+'Tot Retail'!C128</f>
        <v>1965494</v>
      </c>
      <c r="D128" s="108">
        <f>Whole!E128+'Tot Retail'!D128</f>
        <v>1220652</v>
      </c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>
        <f t="shared" si="45"/>
        <v>118597</v>
      </c>
      <c r="Z128" s="175">
        <f>Whole!Z128+'Tot Retail'!Z128</f>
        <v>2041805</v>
      </c>
      <c r="AA128" s="108">
        <f t="shared" si="43"/>
        <v>76311</v>
      </c>
      <c r="AB128" s="379">
        <f t="shared" si="44"/>
        <v>2041805</v>
      </c>
      <c r="BN128" s="4">
        <v>1993</v>
      </c>
      <c r="BO128" s="4">
        <v>4</v>
      </c>
    </row>
    <row r="129" spans="1:72">
      <c r="A129" s="4">
        <v>1993</v>
      </c>
      <c r="B129" s="4">
        <v>5</v>
      </c>
      <c r="C129" s="108">
        <f>Whole!C129+Whole!D129+'Tot Retail'!C129</f>
        <v>2002119</v>
      </c>
      <c r="D129" s="108">
        <f>Whole!E129+'Tot Retail'!D129</f>
        <v>1206516</v>
      </c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>
        <f t="shared" si="45"/>
        <v>127801</v>
      </c>
      <c r="Z129" s="175">
        <f>Whole!Z129+'Tot Retail'!Z129</f>
        <v>2178040</v>
      </c>
      <c r="AA129" s="108">
        <f t="shared" si="43"/>
        <v>175921</v>
      </c>
      <c r="AB129" s="379">
        <f t="shared" si="44"/>
        <v>2178040</v>
      </c>
      <c r="BN129" s="4">
        <v>1993</v>
      </c>
      <c r="BO129" s="4">
        <v>5</v>
      </c>
    </row>
    <row r="130" spans="1:72">
      <c r="A130" s="4">
        <v>1993</v>
      </c>
      <c r="B130" s="4">
        <v>6</v>
      </c>
      <c r="C130" s="108">
        <f>Whole!C130+Whole!D130+'Tot Retail'!C130</f>
        <v>2396947</v>
      </c>
      <c r="D130" s="108">
        <f>Whole!E130+'Tot Retail'!D130</f>
        <v>1202651</v>
      </c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>
        <f t="shared" si="45"/>
        <v>151648</v>
      </c>
      <c r="Z130" s="175">
        <f>Whole!Z130+'Tot Retail'!Z130</f>
        <v>2540815</v>
      </c>
      <c r="AA130" s="108">
        <f t="shared" si="43"/>
        <v>143868</v>
      </c>
      <c r="AB130" s="379">
        <f t="shared" si="44"/>
        <v>2540815</v>
      </c>
      <c r="BN130" s="4">
        <v>1993</v>
      </c>
      <c r="BO130" s="4">
        <v>6</v>
      </c>
    </row>
    <row r="131" spans="1:72">
      <c r="A131" s="4">
        <v>1993</v>
      </c>
      <c r="B131" s="4">
        <v>7</v>
      </c>
      <c r="C131" s="108">
        <f>Whole!C131+Whole!D131+'Tot Retail'!C131</f>
        <v>2703933</v>
      </c>
      <c r="D131" s="108">
        <f>Whole!E131+'Tot Retail'!D131</f>
        <v>1202924</v>
      </c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>
        <f t="shared" si="45"/>
        <v>45540</v>
      </c>
      <c r="Z131" s="175">
        <f>Whole!Z131+'Tot Retail'!Z131</f>
        <v>2692519</v>
      </c>
      <c r="AA131" s="108">
        <f t="shared" si="43"/>
        <v>-11414</v>
      </c>
      <c r="AB131" s="379">
        <f t="shared" si="44"/>
        <v>2692519</v>
      </c>
      <c r="BN131" s="4">
        <v>1993</v>
      </c>
      <c r="BO131" s="4">
        <v>7</v>
      </c>
    </row>
    <row r="132" spans="1:72">
      <c r="A132" s="4">
        <v>1993</v>
      </c>
      <c r="B132" s="4">
        <v>8</v>
      </c>
      <c r="C132" s="108">
        <f>Whole!C132+Whole!D132+'Tot Retail'!C132</f>
        <v>3089048</v>
      </c>
      <c r="D132" s="108">
        <f>Whole!E132+'Tot Retail'!D132</f>
        <v>1205328</v>
      </c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>
        <f t="shared" si="45"/>
        <v>148650</v>
      </c>
      <c r="Z132" s="175">
        <f>Whole!Z132+'Tot Retail'!Z132</f>
        <v>2930847</v>
      </c>
      <c r="AA132" s="108">
        <f t="shared" si="43"/>
        <v>-158201</v>
      </c>
      <c r="AB132" s="379">
        <f t="shared" si="44"/>
        <v>2930847</v>
      </c>
      <c r="BN132" s="4">
        <v>1993</v>
      </c>
      <c r="BO132" s="4">
        <v>8</v>
      </c>
    </row>
    <row r="133" spans="1:72">
      <c r="A133" s="4">
        <v>1993</v>
      </c>
      <c r="B133" s="4">
        <v>9</v>
      </c>
      <c r="C133" s="108">
        <f>Whole!C133+Whole!D133+'Tot Retail'!C133</f>
        <v>2952325</v>
      </c>
      <c r="D133" s="108">
        <f>Whole!E133+'Tot Retail'!D133</f>
        <v>1209445</v>
      </c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>
        <f t="shared" si="45"/>
        <v>186293</v>
      </c>
      <c r="Z133" s="175">
        <f>Whole!Z133+'Tot Retail'!Z133</f>
        <v>2974280</v>
      </c>
      <c r="AA133" s="108">
        <f t="shared" si="43"/>
        <v>21955</v>
      </c>
      <c r="AB133" s="379">
        <f t="shared" si="44"/>
        <v>2974280</v>
      </c>
      <c r="BN133" s="4">
        <v>1993</v>
      </c>
      <c r="BO133" s="4">
        <v>9</v>
      </c>
    </row>
    <row r="134" spans="1:72">
      <c r="A134" s="4">
        <v>1993</v>
      </c>
      <c r="B134" s="4">
        <v>10</v>
      </c>
      <c r="C134" s="108">
        <f>Whole!C134+Whole!D134+'Tot Retail'!C134</f>
        <v>2665385</v>
      </c>
      <c r="D134" s="108">
        <f>Whole!E134+'Tot Retail'!D134</f>
        <v>1216004</v>
      </c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>
        <f t="shared" si="45"/>
        <v>165023</v>
      </c>
      <c r="Z134" s="175">
        <f>Whole!Z134+'Tot Retail'!Z134</f>
        <v>2676952</v>
      </c>
      <c r="AA134" s="108">
        <f t="shared" si="43"/>
        <v>11567</v>
      </c>
      <c r="AB134" s="379">
        <f t="shared" si="44"/>
        <v>2676952</v>
      </c>
      <c r="BN134" s="4">
        <v>1993</v>
      </c>
      <c r="BO134" s="4">
        <v>10</v>
      </c>
    </row>
    <row r="135" spans="1:72">
      <c r="A135" s="4">
        <v>1993</v>
      </c>
      <c r="B135" s="4">
        <v>11</v>
      </c>
      <c r="C135" s="108">
        <f>Whole!C135+Whole!D135+'Tot Retail'!C135</f>
        <v>2241034</v>
      </c>
      <c r="D135" s="108">
        <f>Whole!E135+'Tot Retail'!D135</f>
        <v>1222892</v>
      </c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>
        <f t="shared" si="45"/>
        <v>88388</v>
      </c>
      <c r="Z135" s="175">
        <f>Whole!Z135+'Tot Retail'!Z135</f>
        <v>2212670</v>
      </c>
      <c r="AA135" s="108">
        <f t="shared" si="43"/>
        <v>-28364</v>
      </c>
      <c r="AB135" s="379">
        <f t="shared" si="44"/>
        <v>2212670</v>
      </c>
      <c r="BN135" s="4">
        <v>1993</v>
      </c>
      <c r="BO135" s="4">
        <v>11</v>
      </c>
    </row>
    <row r="136" spans="1:72" s="89" customFormat="1">
      <c r="A136" s="89">
        <v>1993</v>
      </c>
      <c r="B136" s="89">
        <v>12</v>
      </c>
      <c r="C136" s="117">
        <f>Whole!C136+Whole!D136+'Tot Retail'!C136</f>
        <v>2170709</v>
      </c>
      <c r="D136" s="117">
        <f>Whole!E136+'Tot Retail'!D136</f>
        <v>1242529</v>
      </c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  <c r="V136" s="117"/>
      <c r="W136" s="117"/>
      <c r="X136" s="117"/>
      <c r="Y136" s="117">
        <f t="shared" si="45"/>
        <v>166793</v>
      </c>
      <c r="Z136" s="176">
        <f>Whole!Z136+'Tot Retail'!Z136</f>
        <v>2195205</v>
      </c>
      <c r="AA136" s="117">
        <f t="shared" si="43"/>
        <v>24496</v>
      </c>
      <c r="AB136" s="517">
        <f t="shared" si="44"/>
        <v>2195205</v>
      </c>
      <c r="BN136" s="89">
        <v>1993</v>
      </c>
      <c r="BO136" s="89">
        <v>12</v>
      </c>
      <c r="BT136" s="96"/>
    </row>
    <row r="137" spans="1:72">
      <c r="A137" s="4">
        <v>1994</v>
      </c>
      <c r="B137" s="4">
        <v>1</v>
      </c>
      <c r="C137" s="108">
        <f>Whole!C137+Whole!D137+'Tot Retail'!C137</f>
        <v>2341318</v>
      </c>
      <c r="D137" s="108">
        <f>Whole!E137+'Tot Retail'!D137</f>
        <v>1249944</v>
      </c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>
        <f t="shared" si="45"/>
        <v>48871</v>
      </c>
      <c r="Z137" s="175">
        <f>Whole!Z137+'Tot Retail'!Z137</f>
        <v>2209622</v>
      </c>
      <c r="AA137" s="108">
        <f t="shared" si="43"/>
        <v>-131696</v>
      </c>
      <c r="AB137" s="379">
        <f t="shared" si="44"/>
        <v>2209622</v>
      </c>
      <c r="BN137" s="4">
        <v>1994</v>
      </c>
      <c r="BO137" s="4">
        <v>1</v>
      </c>
    </row>
    <row r="138" spans="1:72">
      <c r="A138" s="4">
        <v>1994</v>
      </c>
      <c r="B138" s="4">
        <v>2</v>
      </c>
      <c r="C138" s="108">
        <f>Whole!C138+Whole!D138+'Tot Retail'!C138</f>
        <v>2194728</v>
      </c>
      <c r="D138" s="108">
        <f>Whole!E138+'Tot Retail'!D138</f>
        <v>1254868</v>
      </c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>
        <f t="shared" si="45"/>
        <v>66640</v>
      </c>
      <c r="Z138" s="175">
        <f>Whole!Z138+'Tot Retail'!Z138</f>
        <v>2154647</v>
      </c>
      <c r="AA138" s="108">
        <f t="shared" si="43"/>
        <v>-40081</v>
      </c>
      <c r="AB138" s="379">
        <f t="shared" si="44"/>
        <v>2154647</v>
      </c>
      <c r="BN138" s="4">
        <v>1994</v>
      </c>
      <c r="BO138" s="4">
        <v>2</v>
      </c>
    </row>
    <row r="139" spans="1:72">
      <c r="A139" s="4">
        <v>1994</v>
      </c>
      <c r="B139" s="4">
        <v>3</v>
      </c>
      <c r="C139" s="108">
        <f>Whole!C139+Whole!D139+'Tot Retail'!C139</f>
        <v>2043371</v>
      </c>
      <c r="D139" s="108">
        <f>Whole!E139+'Tot Retail'!D139</f>
        <v>1257561</v>
      </c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>
        <f t="shared" si="45"/>
        <v>82181</v>
      </c>
      <c r="Z139" s="175">
        <f>Whole!Z139+'Tot Retail'!Z139</f>
        <v>2114161</v>
      </c>
      <c r="AA139" s="108">
        <f t="shared" si="43"/>
        <v>70790</v>
      </c>
      <c r="AB139" s="379">
        <f t="shared" si="44"/>
        <v>2114161</v>
      </c>
      <c r="BN139" s="4">
        <v>1994</v>
      </c>
      <c r="BO139" s="4">
        <v>3</v>
      </c>
    </row>
    <row r="140" spans="1:72">
      <c r="A140" s="4">
        <v>1994</v>
      </c>
      <c r="B140" s="4">
        <v>4</v>
      </c>
      <c r="C140" s="108">
        <f>Whole!C140+Whole!D140+'Tot Retail'!C140</f>
        <v>2283181</v>
      </c>
      <c r="D140" s="108">
        <f>Whole!E140+'Tot Retail'!D140</f>
        <v>1248177</v>
      </c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>
        <f t="shared" si="45"/>
        <v>141264</v>
      </c>
      <c r="Z140" s="175">
        <f>Whole!Z140+'Tot Retail'!Z140</f>
        <v>2183069</v>
      </c>
      <c r="AA140" s="108">
        <f t="shared" si="43"/>
        <v>-100112</v>
      </c>
      <c r="AB140" s="379">
        <f t="shared" si="44"/>
        <v>2183069</v>
      </c>
      <c r="BN140" s="4">
        <v>1994</v>
      </c>
      <c r="BO140" s="4">
        <v>4</v>
      </c>
    </row>
    <row r="141" spans="1:72">
      <c r="A141" s="4">
        <v>1994</v>
      </c>
      <c r="B141" s="4">
        <v>5</v>
      </c>
      <c r="C141" s="108">
        <f>Whole!C141+Whole!D141+'Tot Retail'!C141</f>
        <v>2362993</v>
      </c>
      <c r="D141" s="108">
        <f>Whole!E141+'Tot Retail'!D141</f>
        <v>1232396</v>
      </c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>
        <f t="shared" si="45"/>
        <v>14002</v>
      </c>
      <c r="Z141" s="175">
        <f>Whole!Z141+'Tot Retail'!Z141</f>
        <v>2192042</v>
      </c>
      <c r="AA141" s="108">
        <f t="shared" si="43"/>
        <v>-170951</v>
      </c>
      <c r="AB141" s="379">
        <f t="shared" si="44"/>
        <v>2192042</v>
      </c>
      <c r="BN141" s="4">
        <v>1994</v>
      </c>
      <c r="BO141" s="4">
        <v>5</v>
      </c>
    </row>
    <row r="142" spans="1:72">
      <c r="A142" s="4">
        <v>1994</v>
      </c>
      <c r="B142" s="4">
        <v>6</v>
      </c>
      <c r="C142" s="108">
        <f>Whole!C142+Whole!D142+'Tot Retail'!C142</f>
        <v>2628487</v>
      </c>
      <c r="D142" s="108">
        <f>Whole!E142+'Tot Retail'!D142</f>
        <v>1228898</v>
      </c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>
        <f t="shared" si="45"/>
        <v>158528</v>
      </c>
      <c r="Z142" s="175">
        <f>Whole!Z142+'Tot Retail'!Z142</f>
        <v>2699343</v>
      </c>
      <c r="AA142" s="108">
        <f t="shared" si="43"/>
        <v>70856</v>
      </c>
      <c r="AB142" s="379">
        <f t="shared" si="44"/>
        <v>2699343</v>
      </c>
      <c r="BN142" s="4">
        <v>1994</v>
      </c>
      <c r="BO142" s="4">
        <v>6</v>
      </c>
    </row>
    <row r="143" spans="1:72">
      <c r="A143" s="4">
        <v>1994</v>
      </c>
      <c r="B143" s="4">
        <v>7</v>
      </c>
      <c r="C143" s="108">
        <f>Whole!C143+Whole!D143+'Tot Retail'!C143</f>
        <v>2895150</v>
      </c>
      <c r="D143" s="108">
        <f>Whole!E143+'Tot Retail'!D143</f>
        <v>1228912</v>
      </c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>
        <f t="shared" si="45"/>
        <v>152923</v>
      </c>
      <c r="Z143" s="175">
        <f>Whole!Z143+'Tot Retail'!Z143</f>
        <v>2845442</v>
      </c>
      <c r="AA143" s="108">
        <f t="shared" si="43"/>
        <v>-49708</v>
      </c>
      <c r="AB143" s="379">
        <f t="shared" si="44"/>
        <v>2845442</v>
      </c>
      <c r="BN143" s="4">
        <v>1994</v>
      </c>
      <c r="BO143" s="4">
        <v>7</v>
      </c>
    </row>
    <row r="144" spans="1:72">
      <c r="A144" s="4">
        <v>1994</v>
      </c>
      <c r="B144" s="4">
        <v>8</v>
      </c>
      <c r="C144" s="108">
        <f>Whole!C144+Whole!D144+'Tot Retail'!C144</f>
        <v>2809683</v>
      </c>
      <c r="D144" s="108">
        <f>Whole!E144+'Tot Retail'!D144</f>
        <v>1230116</v>
      </c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>
        <f t="shared" si="45"/>
        <v>43982</v>
      </c>
      <c r="Z144" s="175">
        <f>Whole!Z144+'Tot Retail'!Z144</f>
        <v>2974829</v>
      </c>
      <c r="AA144" s="108">
        <f t="shared" si="43"/>
        <v>165146</v>
      </c>
      <c r="AB144" s="379">
        <f t="shared" si="44"/>
        <v>2974829</v>
      </c>
      <c r="BN144" s="4">
        <v>1994</v>
      </c>
      <c r="BO144" s="4">
        <v>8</v>
      </c>
    </row>
    <row r="145" spans="1:72">
      <c r="A145" s="4">
        <v>1994</v>
      </c>
      <c r="B145" s="4">
        <v>9</v>
      </c>
      <c r="C145" s="108">
        <f>Whole!C145+Whole!D145+'Tot Retail'!C145</f>
        <v>2939005</v>
      </c>
      <c r="D145" s="108">
        <f>Whole!E145+'Tot Retail'!D145</f>
        <v>1233005</v>
      </c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>
        <f t="shared" si="45"/>
        <v>89401</v>
      </c>
      <c r="Z145" s="175">
        <f>Whole!Z145+'Tot Retail'!Z145</f>
        <v>3063681</v>
      </c>
      <c r="AA145" s="108">
        <f t="shared" ref="AA145:AA208" si="46">Z145-C145</f>
        <v>124676</v>
      </c>
      <c r="AB145" s="379">
        <f t="shared" si="44"/>
        <v>3063681</v>
      </c>
      <c r="BN145" s="4">
        <v>1994</v>
      </c>
      <c r="BO145" s="4">
        <v>9</v>
      </c>
    </row>
    <row r="146" spans="1:72">
      <c r="A146" s="4">
        <v>1994</v>
      </c>
      <c r="B146" s="4">
        <v>10</v>
      </c>
      <c r="C146" s="108">
        <f>Whole!C146+Whole!D146+'Tot Retail'!C146</f>
        <v>2558973</v>
      </c>
      <c r="D146" s="108">
        <f>Whole!E146+'Tot Retail'!D146</f>
        <v>1240090</v>
      </c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>
        <f t="shared" si="45"/>
        <v>43332</v>
      </c>
      <c r="Z146" s="175">
        <f>Whole!Z146+'Tot Retail'!Z146</f>
        <v>2720284</v>
      </c>
      <c r="AA146" s="108">
        <f t="shared" si="46"/>
        <v>161311</v>
      </c>
      <c r="AB146" s="379">
        <f t="shared" ref="AB146:AB208" si="47">Z146</f>
        <v>2720284</v>
      </c>
      <c r="BN146" s="4">
        <v>1994</v>
      </c>
      <c r="BO146" s="4">
        <v>10</v>
      </c>
    </row>
    <row r="147" spans="1:72">
      <c r="A147" s="4">
        <v>1994</v>
      </c>
      <c r="B147" s="4">
        <v>11</v>
      </c>
      <c r="C147" s="108">
        <f>Whole!C147+Whole!D147+'Tot Retail'!C147</f>
        <v>2268894</v>
      </c>
      <c r="D147" s="108">
        <f>Whole!E147+'Tot Retail'!D147</f>
        <v>1255427</v>
      </c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>
        <f t="shared" si="45"/>
        <v>44478</v>
      </c>
      <c r="Z147" s="175">
        <f>Whole!Z147+'Tot Retail'!Z147</f>
        <v>2257148</v>
      </c>
      <c r="AA147" s="108">
        <f t="shared" si="46"/>
        <v>-11746</v>
      </c>
      <c r="AB147" s="379">
        <f t="shared" si="47"/>
        <v>2257148</v>
      </c>
      <c r="BN147" s="4">
        <v>1994</v>
      </c>
      <c r="BO147" s="4">
        <v>11</v>
      </c>
    </row>
    <row r="148" spans="1:72" s="89" customFormat="1">
      <c r="A148" s="89">
        <v>1994</v>
      </c>
      <c r="B148" s="89">
        <v>12</v>
      </c>
      <c r="C148" s="117">
        <f>Whole!C148+Whole!D148+'Tot Retail'!C148</f>
        <v>2171147</v>
      </c>
      <c r="D148" s="117">
        <f>Whole!E148+'Tot Retail'!D148</f>
        <v>1267301</v>
      </c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  <c r="V148" s="117"/>
      <c r="W148" s="117"/>
      <c r="X148" s="117"/>
      <c r="Y148" s="117">
        <f t="shared" si="45"/>
        <v>-386</v>
      </c>
      <c r="Z148" s="176">
        <f>Whole!Z148+'Tot Retail'!Z148</f>
        <v>2194819</v>
      </c>
      <c r="AA148" s="117">
        <f t="shared" si="46"/>
        <v>23672</v>
      </c>
      <c r="AB148" s="517">
        <f t="shared" si="47"/>
        <v>2194819</v>
      </c>
      <c r="BN148" s="89">
        <v>1994</v>
      </c>
      <c r="BO148" s="89">
        <v>12</v>
      </c>
      <c r="BT148" s="96"/>
    </row>
    <row r="149" spans="1:72">
      <c r="A149" s="4">
        <v>1995</v>
      </c>
      <c r="B149" s="4">
        <v>1</v>
      </c>
      <c r="C149" s="108">
        <f>Whole!C149+Whole!D149+'Tot Retail'!C149</f>
        <v>2220955</v>
      </c>
      <c r="D149" s="108">
        <f>Whole!E149+'Tot Retail'!D149</f>
        <v>1275738</v>
      </c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>
        <f t="shared" si="45"/>
        <v>119008</v>
      </c>
      <c r="Z149" s="175">
        <f>Whole!Z149+'Tot Retail'!Z149</f>
        <v>2328630</v>
      </c>
      <c r="AA149" s="108">
        <f t="shared" si="46"/>
        <v>107675</v>
      </c>
      <c r="AB149" s="379">
        <f t="shared" si="47"/>
        <v>2328630</v>
      </c>
      <c r="BN149" s="4">
        <v>1995</v>
      </c>
      <c r="BO149" s="4">
        <v>1</v>
      </c>
    </row>
    <row r="150" spans="1:72">
      <c r="A150" s="4">
        <v>1995</v>
      </c>
      <c r="B150" s="4">
        <v>2</v>
      </c>
      <c r="C150" s="108">
        <f>Whole!C150+Whole!D150+'Tot Retail'!C150</f>
        <v>2347777</v>
      </c>
      <c r="D150" s="108">
        <f>Whole!E150+'Tot Retail'!D150</f>
        <v>1280247</v>
      </c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>
        <f t="shared" si="45"/>
        <v>34163</v>
      </c>
      <c r="Z150" s="175">
        <f>Whole!Z150+'Tot Retail'!Z150</f>
        <v>2188810</v>
      </c>
      <c r="AA150" s="108">
        <f t="shared" si="46"/>
        <v>-158967</v>
      </c>
      <c r="AB150" s="379">
        <f t="shared" si="47"/>
        <v>2188810</v>
      </c>
      <c r="BN150" s="4">
        <v>1995</v>
      </c>
      <c r="BO150" s="4">
        <v>2</v>
      </c>
    </row>
    <row r="151" spans="1:72">
      <c r="A151" s="4">
        <v>1995</v>
      </c>
      <c r="B151" s="4">
        <v>3</v>
      </c>
      <c r="C151" s="108">
        <f>Whole!C151+Whole!D151+'Tot Retail'!C151</f>
        <v>2126490</v>
      </c>
      <c r="D151" s="108">
        <f>Whole!E151+'Tot Retail'!D151</f>
        <v>1257016</v>
      </c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>
        <f t="shared" si="45"/>
        <v>39666</v>
      </c>
      <c r="Z151" s="175">
        <f>Whole!Z151+'Tot Retail'!Z151</f>
        <v>2153827</v>
      </c>
      <c r="AA151" s="108">
        <f t="shared" si="46"/>
        <v>27337</v>
      </c>
      <c r="AB151" s="379">
        <f t="shared" si="47"/>
        <v>2153827</v>
      </c>
      <c r="BN151" s="4">
        <v>1995</v>
      </c>
      <c r="BO151" s="4">
        <v>3</v>
      </c>
    </row>
    <row r="152" spans="1:72">
      <c r="A152" s="4">
        <v>1995</v>
      </c>
      <c r="B152" s="4">
        <v>4</v>
      </c>
      <c r="C152" s="108">
        <f>Whole!C152+Whole!D152+'Tot Retail'!C152</f>
        <v>2296020</v>
      </c>
      <c r="D152" s="108">
        <f>Whole!E152+'Tot Retail'!D152</f>
        <v>1331670</v>
      </c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>
        <f t="shared" si="45"/>
        <v>160083</v>
      </c>
      <c r="Z152" s="175">
        <f>Whole!Z152+'Tot Retail'!Z152</f>
        <v>2343152</v>
      </c>
      <c r="AA152" s="108">
        <f t="shared" si="46"/>
        <v>47132</v>
      </c>
      <c r="AB152" s="379">
        <f t="shared" si="47"/>
        <v>2343152</v>
      </c>
      <c r="BN152" s="4">
        <v>1995</v>
      </c>
      <c r="BO152" s="4">
        <v>4</v>
      </c>
    </row>
    <row r="153" spans="1:72">
      <c r="A153" s="4">
        <v>1995</v>
      </c>
      <c r="B153" s="4">
        <v>5</v>
      </c>
      <c r="C153" s="108">
        <f>Whole!C153+Whole!D153+'Tot Retail'!C153</f>
        <v>2433803</v>
      </c>
      <c r="D153" s="108">
        <f>Whole!E153+'Tot Retail'!D153</f>
        <v>1238523</v>
      </c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>
        <f t="shared" si="45"/>
        <v>51745</v>
      </c>
      <c r="Z153" s="175">
        <f>Whole!Z153+'Tot Retail'!Z153</f>
        <v>2243787</v>
      </c>
      <c r="AA153" s="108">
        <f t="shared" si="46"/>
        <v>-190016</v>
      </c>
      <c r="AB153" s="379">
        <f t="shared" si="47"/>
        <v>2243787</v>
      </c>
      <c r="BN153" s="4">
        <v>1995</v>
      </c>
      <c r="BO153" s="4">
        <v>5</v>
      </c>
    </row>
    <row r="154" spans="1:72">
      <c r="A154" s="4">
        <v>1995</v>
      </c>
      <c r="B154" s="4">
        <v>6</v>
      </c>
      <c r="C154" s="108">
        <f>Whole!C154+Whole!D154+'Tot Retail'!C154</f>
        <v>2924425</v>
      </c>
      <c r="D154" s="108">
        <f>Whole!E154+'Tot Retail'!D154</f>
        <v>1262754</v>
      </c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>
        <f t="shared" si="45"/>
        <v>112333</v>
      </c>
      <c r="Z154" s="175">
        <f>Whole!Z154+'Tot Retail'!Z154</f>
        <v>2811676</v>
      </c>
      <c r="AA154" s="108">
        <f t="shared" si="46"/>
        <v>-112749</v>
      </c>
      <c r="AB154" s="379">
        <f t="shared" si="47"/>
        <v>2811676</v>
      </c>
      <c r="BN154" s="4">
        <v>1995</v>
      </c>
      <c r="BO154" s="4">
        <v>6</v>
      </c>
    </row>
    <row r="155" spans="1:72">
      <c r="A155" s="4">
        <v>1995</v>
      </c>
      <c r="B155" s="4">
        <v>7</v>
      </c>
      <c r="C155" s="108">
        <f>Whole!C155+Whole!D155+'Tot Retail'!C155</f>
        <v>2952571</v>
      </c>
      <c r="D155" s="108">
        <f>Whole!E155+'Tot Retail'!D155</f>
        <v>1238783</v>
      </c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>
        <f t="shared" si="45"/>
        <v>194288</v>
      </c>
      <c r="Z155" s="175">
        <f>Whole!Z155+'Tot Retail'!Z155</f>
        <v>3039730</v>
      </c>
      <c r="AA155" s="108">
        <f t="shared" si="46"/>
        <v>87159</v>
      </c>
      <c r="AB155" s="379">
        <f t="shared" si="47"/>
        <v>3039730</v>
      </c>
      <c r="BN155" s="4">
        <v>1995</v>
      </c>
      <c r="BO155" s="4">
        <v>7</v>
      </c>
    </row>
    <row r="156" spans="1:72">
      <c r="A156" s="4">
        <v>1995</v>
      </c>
      <c r="B156" s="4">
        <v>8</v>
      </c>
      <c r="C156" s="108">
        <f>Whole!C156+Whole!D156+'Tot Retail'!C156</f>
        <v>3019518</v>
      </c>
      <c r="D156" s="108">
        <f>Whole!E156+'Tot Retail'!D156</f>
        <v>1241673</v>
      </c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>
        <f t="shared" si="45"/>
        <v>145351</v>
      </c>
      <c r="Z156" s="175">
        <f>Whole!Z156+'Tot Retail'!Z156</f>
        <v>3120180</v>
      </c>
      <c r="AA156" s="108">
        <f t="shared" si="46"/>
        <v>100662</v>
      </c>
      <c r="AB156" s="379">
        <f t="shared" si="47"/>
        <v>3120180</v>
      </c>
      <c r="BN156" s="4">
        <v>1995</v>
      </c>
      <c r="BO156" s="4">
        <v>8</v>
      </c>
    </row>
    <row r="157" spans="1:72">
      <c r="A157" s="4">
        <v>1995</v>
      </c>
      <c r="B157" s="4">
        <v>9</v>
      </c>
      <c r="C157" s="108">
        <f>Whole!C157+Whole!D157+'Tot Retail'!C157</f>
        <v>3294464</v>
      </c>
      <c r="D157" s="108">
        <f>Whole!E157+'Tot Retail'!D157</f>
        <v>1284453</v>
      </c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>
        <f t="shared" ref="Y157:Y220" si="48">Z157-Z145</f>
        <v>208068</v>
      </c>
      <c r="Z157" s="175">
        <f>Whole!Z157+'Tot Retail'!Z157</f>
        <v>3271749</v>
      </c>
      <c r="AA157" s="108">
        <f t="shared" si="46"/>
        <v>-22715</v>
      </c>
      <c r="AB157" s="379">
        <f t="shared" si="47"/>
        <v>3271749</v>
      </c>
      <c r="BN157" s="4">
        <v>1995</v>
      </c>
      <c r="BO157" s="4">
        <v>9</v>
      </c>
    </row>
    <row r="158" spans="1:72">
      <c r="A158" s="4">
        <v>1995</v>
      </c>
      <c r="B158" s="4">
        <v>10</v>
      </c>
      <c r="C158" s="108">
        <f>Whole!C158+Whole!D158+'Tot Retail'!C158</f>
        <v>2952121</v>
      </c>
      <c r="D158" s="108">
        <f>Whole!E158+'Tot Retail'!D158</f>
        <v>1264468</v>
      </c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>
        <f t="shared" si="48"/>
        <v>128688</v>
      </c>
      <c r="Z158" s="175">
        <f>Whole!Z158+'Tot Retail'!Z158</f>
        <v>2848972</v>
      </c>
      <c r="AA158" s="108">
        <f t="shared" si="46"/>
        <v>-103149</v>
      </c>
      <c r="AB158" s="379">
        <f t="shared" si="47"/>
        <v>2848972</v>
      </c>
      <c r="BN158" s="4">
        <v>1995</v>
      </c>
      <c r="BO158" s="4">
        <v>10</v>
      </c>
    </row>
    <row r="159" spans="1:72">
      <c r="A159" s="4">
        <v>1995</v>
      </c>
      <c r="B159" s="4">
        <v>11</v>
      </c>
      <c r="C159" s="108">
        <f>Whole!C159+Whole!D159+'Tot Retail'!C159</f>
        <v>2514687</v>
      </c>
      <c r="D159" s="108">
        <f>Whole!E159+'Tot Retail'!D159</f>
        <v>1312026</v>
      </c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>
        <f t="shared" si="48"/>
        <v>214620</v>
      </c>
      <c r="Z159" s="175">
        <f>Whole!Z159+'Tot Retail'!Z159</f>
        <v>2471768</v>
      </c>
      <c r="AA159" s="108">
        <f t="shared" si="46"/>
        <v>-42919</v>
      </c>
      <c r="AB159" s="379">
        <f t="shared" si="47"/>
        <v>2471768</v>
      </c>
      <c r="BN159" s="4">
        <v>1995</v>
      </c>
      <c r="BO159" s="4">
        <v>11</v>
      </c>
    </row>
    <row r="160" spans="1:72" s="89" customFormat="1">
      <c r="A160" s="89">
        <v>1995</v>
      </c>
      <c r="B160" s="89">
        <v>12</v>
      </c>
      <c r="C160" s="117">
        <f>Whole!C160+Whole!D160+'Tot Retail'!C160</f>
        <v>2263064</v>
      </c>
      <c r="D160" s="117">
        <f>Whole!E160+'Tot Retail'!D160</f>
        <v>1274066</v>
      </c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>
        <f t="shared" si="48"/>
        <v>97617</v>
      </c>
      <c r="Z160" s="176">
        <f>Whole!Z160+'Tot Retail'!Z160</f>
        <v>2292436</v>
      </c>
      <c r="AA160" s="117">
        <f t="shared" si="46"/>
        <v>29372</v>
      </c>
      <c r="AB160" s="517">
        <f t="shared" si="47"/>
        <v>2292436</v>
      </c>
      <c r="BN160" s="89">
        <v>1995</v>
      </c>
      <c r="BO160" s="89">
        <v>12</v>
      </c>
      <c r="BT160" s="96"/>
    </row>
    <row r="161" spans="1:75">
      <c r="A161" s="4">
        <v>1996</v>
      </c>
      <c r="B161" s="4">
        <v>1</v>
      </c>
      <c r="C161" s="108">
        <f>Whole!C161+Whole!D161+'Tot Retail'!C161</f>
        <v>2619842</v>
      </c>
      <c r="D161" s="108">
        <f>Whole!E161+'Tot Retail'!D161</f>
        <v>1282552</v>
      </c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>
        <f t="shared" si="48"/>
        <v>-35446</v>
      </c>
      <c r="Z161" s="175">
        <f>Whole!Z161+'Tot Retail'!Z161</f>
        <v>2293184</v>
      </c>
      <c r="AA161" s="108">
        <f t="shared" si="46"/>
        <v>-326658</v>
      </c>
      <c r="AB161" s="379">
        <f t="shared" si="47"/>
        <v>2293184</v>
      </c>
      <c r="BN161" s="4">
        <v>1996</v>
      </c>
      <c r="BO161" s="4">
        <v>1</v>
      </c>
    </row>
    <row r="162" spans="1:75">
      <c r="A162" s="4">
        <v>1996</v>
      </c>
      <c r="B162" s="4">
        <v>2</v>
      </c>
      <c r="C162" s="108">
        <f>Whole!C162+Whole!D162+'Tot Retail'!C162</f>
        <v>2645310</v>
      </c>
      <c r="D162" s="108">
        <f>Whole!E162+'Tot Retail'!D162</f>
        <v>1307177</v>
      </c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>
        <f t="shared" si="48"/>
        <v>234907</v>
      </c>
      <c r="Z162" s="175">
        <f>Whole!Z162+'Tot Retail'!Z162</f>
        <v>2423717</v>
      </c>
      <c r="AA162" s="108">
        <f t="shared" si="46"/>
        <v>-221593</v>
      </c>
      <c r="AB162" s="379">
        <f t="shared" si="47"/>
        <v>2423717</v>
      </c>
      <c r="BN162" s="4">
        <v>1996</v>
      </c>
      <c r="BO162" s="4">
        <v>2</v>
      </c>
    </row>
    <row r="163" spans="1:75">
      <c r="A163" s="4">
        <v>1996</v>
      </c>
      <c r="B163" s="4">
        <v>3</v>
      </c>
      <c r="C163" s="108">
        <f>Whole!C163+Whole!D163+'Tot Retail'!C163</f>
        <v>2492652</v>
      </c>
      <c r="D163" s="108">
        <f>Whole!E163+'Tot Retail'!D163</f>
        <v>1300635</v>
      </c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>
        <f t="shared" si="48"/>
        <v>169733</v>
      </c>
      <c r="Z163" s="175">
        <f>Whole!Z163+'Tot Retail'!Z163</f>
        <v>2323560</v>
      </c>
      <c r="AA163" s="108">
        <f t="shared" si="46"/>
        <v>-169092</v>
      </c>
      <c r="AB163" s="379">
        <f t="shared" si="47"/>
        <v>2323560</v>
      </c>
      <c r="BN163" s="4">
        <v>1996</v>
      </c>
      <c r="BO163" s="4">
        <v>3</v>
      </c>
    </row>
    <row r="164" spans="1:75">
      <c r="A164" s="4">
        <v>1996</v>
      </c>
      <c r="B164" s="4">
        <v>4</v>
      </c>
      <c r="C164" s="108">
        <f>Whole!C164+Whole!D164+'Tot Retail'!C164</f>
        <v>2401100</v>
      </c>
      <c r="D164" s="108">
        <f>Whole!E164+'Tot Retail'!D164</f>
        <v>1293755</v>
      </c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>
        <f t="shared" si="48"/>
        <v>15427</v>
      </c>
      <c r="Z164" s="175">
        <f>Whole!Z164+'Tot Retail'!Z164</f>
        <v>2358579</v>
      </c>
      <c r="AA164" s="108">
        <f t="shared" si="46"/>
        <v>-42521</v>
      </c>
      <c r="AB164" s="379">
        <f t="shared" si="47"/>
        <v>2358579</v>
      </c>
      <c r="BN164" s="4">
        <v>1996</v>
      </c>
      <c r="BO164" s="4">
        <v>4</v>
      </c>
    </row>
    <row r="165" spans="1:75">
      <c r="A165" s="4">
        <v>1996</v>
      </c>
      <c r="B165" s="4">
        <v>5</v>
      </c>
      <c r="C165" s="108">
        <f>Whole!C165+Whole!D165+'Tot Retail'!C165</f>
        <v>2432601</v>
      </c>
      <c r="D165" s="108">
        <f>Whole!E165+'Tot Retail'!D165</f>
        <v>1257659</v>
      </c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>
        <f t="shared" si="48"/>
        <v>133263</v>
      </c>
      <c r="Z165" s="175">
        <f>Whole!Z165+'Tot Retail'!Z165</f>
        <v>2377050</v>
      </c>
      <c r="AA165" s="108">
        <f t="shared" si="46"/>
        <v>-55551</v>
      </c>
      <c r="AB165" s="379">
        <f t="shared" si="47"/>
        <v>2377050</v>
      </c>
      <c r="BN165" s="4">
        <v>1996</v>
      </c>
      <c r="BO165" s="4">
        <v>5</v>
      </c>
    </row>
    <row r="166" spans="1:75">
      <c r="A166" s="4">
        <v>1996</v>
      </c>
      <c r="B166" s="4">
        <v>6</v>
      </c>
      <c r="C166" s="108">
        <f>Whole!C166+Whole!D166+'Tot Retail'!C166</f>
        <v>3014492</v>
      </c>
      <c r="D166" s="108">
        <f>Whole!E166+'Tot Retail'!D166</f>
        <v>1288353</v>
      </c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>
        <f t="shared" si="48"/>
        <v>134498</v>
      </c>
      <c r="Z166" s="175">
        <f>Whole!Z166+'Tot Retail'!Z166</f>
        <v>2946174</v>
      </c>
      <c r="AA166" s="108">
        <f t="shared" si="46"/>
        <v>-68318</v>
      </c>
      <c r="AB166" s="379">
        <f t="shared" si="47"/>
        <v>2946174</v>
      </c>
      <c r="BN166" s="4">
        <v>1996</v>
      </c>
      <c r="BO166" s="4">
        <v>6</v>
      </c>
    </row>
    <row r="167" spans="1:75">
      <c r="A167" s="4">
        <v>1996</v>
      </c>
      <c r="B167" s="4">
        <v>7</v>
      </c>
      <c r="C167" s="108">
        <f>Whole!C167+Whole!D167+'Tot Retail'!C167</f>
        <v>3011654</v>
      </c>
      <c r="D167" s="108">
        <f>Whole!E167+'Tot Retail'!D167</f>
        <v>1245662</v>
      </c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>
        <f t="shared" si="48"/>
        <v>10222</v>
      </c>
      <c r="Z167" s="175">
        <f>Whole!Z167+'Tot Retail'!Z167</f>
        <v>3049952</v>
      </c>
      <c r="AA167" s="108">
        <f t="shared" si="46"/>
        <v>38298</v>
      </c>
      <c r="AB167" s="379">
        <f t="shared" si="47"/>
        <v>3049952</v>
      </c>
      <c r="BN167" s="4">
        <v>1996</v>
      </c>
      <c r="BO167" s="4">
        <v>7</v>
      </c>
    </row>
    <row r="168" spans="1:75">
      <c r="A168" s="4">
        <v>1996</v>
      </c>
      <c r="B168" s="4">
        <v>8</v>
      </c>
      <c r="C168" s="108">
        <f>Whole!C168+Whole!D168+'Tot Retail'!C168</f>
        <v>3353101</v>
      </c>
      <c r="D168" s="108">
        <f>Whole!E168+'Tot Retail'!D168</f>
        <v>1305089</v>
      </c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>
        <f t="shared" si="48"/>
        <v>183878</v>
      </c>
      <c r="Z168" s="175">
        <f>Whole!Z168+'Tot Retail'!Z168</f>
        <v>3304058</v>
      </c>
      <c r="AA168" s="108">
        <f t="shared" si="46"/>
        <v>-49043</v>
      </c>
      <c r="AB168" s="379">
        <f t="shared" si="47"/>
        <v>3304058</v>
      </c>
      <c r="BN168" s="4">
        <v>1996</v>
      </c>
      <c r="BO168" s="4">
        <v>8</v>
      </c>
    </row>
    <row r="169" spans="1:75">
      <c r="A169" s="4">
        <v>1996</v>
      </c>
      <c r="B169" s="4">
        <v>9</v>
      </c>
      <c r="C169" s="108">
        <f>Whole!C169+Whole!D169+'Tot Retail'!C169</f>
        <v>3243695</v>
      </c>
      <c r="D169" s="108">
        <f>Whole!E169+'Tot Retail'!D169</f>
        <v>1285672</v>
      </c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>
        <f t="shared" si="48"/>
        <v>42835</v>
      </c>
      <c r="Z169" s="175">
        <f>Whole!Z169+'Tot Retail'!Z169</f>
        <v>3314584</v>
      </c>
      <c r="AA169" s="108">
        <f t="shared" si="46"/>
        <v>70889</v>
      </c>
      <c r="AB169" s="379">
        <f t="shared" si="47"/>
        <v>3314584</v>
      </c>
      <c r="BN169" s="4">
        <v>1996</v>
      </c>
      <c r="BO169" s="4">
        <v>9</v>
      </c>
    </row>
    <row r="170" spans="1:75">
      <c r="A170" s="4">
        <v>1996</v>
      </c>
      <c r="B170" s="4">
        <v>10</v>
      </c>
      <c r="C170" s="108">
        <f>Whole!C170+Whole!D170+'Tot Retail'!C170</f>
        <v>2811909</v>
      </c>
      <c r="D170" s="108">
        <f>Whole!E170+'Tot Retail'!D170</f>
        <v>1272725</v>
      </c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>
        <f t="shared" si="48"/>
        <v>77705</v>
      </c>
      <c r="Z170" s="175">
        <f>Whole!Z170+'Tot Retail'!Z170</f>
        <v>2926677</v>
      </c>
      <c r="AA170" s="108">
        <f t="shared" si="46"/>
        <v>114768</v>
      </c>
      <c r="AB170" s="379">
        <f t="shared" si="47"/>
        <v>2926677</v>
      </c>
      <c r="BN170" s="4">
        <v>1996</v>
      </c>
      <c r="BO170" s="4">
        <v>10</v>
      </c>
      <c r="BW170" s="13"/>
    </row>
    <row r="171" spans="1:75">
      <c r="A171" s="4">
        <v>1996</v>
      </c>
      <c r="B171" s="4">
        <v>11</v>
      </c>
      <c r="C171" s="108">
        <f>Whole!C171+Whole!D171+'Tot Retail'!C171</f>
        <v>2542130</v>
      </c>
      <c r="D171" s="108">
        <f>Whole!E171+'Tot Retail'!D171</f>
        <v>1327858</v>
      </c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>
        <f t="shared" si="48"/>
        <v>80833</v>
      </c>
      <c r="Z171" s="175">
        <f>Whole!Z171+'Tot Retail'!Z171</f>
        <v>2552601</v>
      </c>
      <c r="AA171" s="108">
        <f t="shared" si="46"/>
        <v>10471</v>
      </c>
      <c r="AB171" s="379">
        <f t="shared" si="47"/>
        <v>2552601</v>
      </c>
      <c r="BN171" s="4">
        <v>1996</v>
      </c>
      <c r="BO171" s="4">
        <v>11</v>
      </c>
      <c r="BW171" s="4" t="s">
        <v>39</v>
      </c>
    </row>
    <row r="172" spans="1:75" s="89" customFormat="1">
      <c r="A172" s="89">
        <v>1996</v>
      </c>
      <c r="B172" s="89">
        <v>12</v>
      </c>
      <c r="C172" s="117">
        <f>Whole!C172+Whole!D172+'Tot Retail'!C172</f>
        <v>2305058</v>
      </c>
      <c r="D172" s="117">
        <f>Whole!E172+'Tot Retail'!D172</f>
        <v>1317743</v>
      </c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>
        <f t="shared" si="48"/>
        <v>83581</v>
      </c>
      <c r="Z172" s="176">
        <f>Whole!Z172+'Tot Retail'!Z172</f>
        <v>2376017</v>
      </c>
      <c r="AA172" s="117">
        <f t="shared" si="46"/>
        <v>70959</v>
      </c>
      <c r="AB172" s="517">
        <f t="shared" si="47"/>
        <v>2376017</v>
      </c>
      <c r="BN172" s="89">
        <v>1996</v>
      </c>
      <c r="BO172" s="89">
        <v>12</v>
      </c>
      <c r="BT172" s="96"/>
      <c r="BW172" s="90" t="s">
        <v>40</v>
      </c>
    </row>
    <row r="173" spans="1:75">
      <c r="A173" s="23">
        <v>1997</v>
      </c>
      <c r="B173" s="4">
        <v>1</v>
      </c>
      <c r="C173" s="108">
        <f>Whole!C173+Whole!D173+'Tot Retail'!C173</f>
        <v>2527231</v>
      </c>
      <c r="D173" s="108">
        <f>Whole!E173+'Tot Retail'!D173</f>
        <v>1317219</v>
      </c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>
        <f t="shared" si="48"/>
        <v>228918</v>
      </c>
      <c r="Z173" s="175">
        <f>Whole!Z173+'Tot Retail'!Z173</f>
        <v>2522102</v>
      </c>
      <c r="AA173" s="108">
        <f t="shared" si="46"/>
        <v>-5129</v>
      </c>
      <c r="AB173" s="379">
        <f t="shared" si="47"/>
        <v>2522102</v>
      </c>
      <c r="BN173" s="23">
        <v>1997</v>
      </c>
      <c r="BO173" s="4">
        <v>1</v>
      </c>
      <c r="BP173" s="108">
        <f>Whole!BP173+Whole!BQ173+'Tot Retail'!BP173</f>
        <v>2538104</v>
      </c>
      <c r="BQ173" s="108"/>
      <c r="BR173" s="108"/>
      <c r="BS173" s="108"/>
      <c r="BT173" s="175">
        <f>Whole!BT173+'Tot Retail'!BT173</f>
        <v>2484440.1043702378</v>
      </c>
      <c r="BU173" s="108"/>
      <c r="BV173" s="108"/>
      <c r="BW173" s="108">
        <f t="shared" ref="BW173:BW204" si="49">BT173-BP173</f>
        <v>-53663.895629762206</v>
      </c>
    </row>
    <row r="174" spans="1:75">
      <c r="A174" s="23">
        <v>1997</v>
      </c>
      <c r="B174" s="4">
        <v>2</v>
      </c>
      <c r="C174" s="108">
        <f>Whole!C174+Whole!D174+'Tot Retail'!C174</f>
        <v>2388112</v>
      </c>
      <c r="D174" s="108">
        <f>Whole!E174+'Tot Retail'!D174</f>
        <v>1318594</v>
      </c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>
        <f t="shared" si="48"/>
        <v>-47904</v>
      </c>
      <c r="Z174" s="175">
        <f>Whole!Z174+'Tot Retail'!Z174</f>
        <v>2375813</v>
      </c>
      <c r="AA174" s="108">
        <f t="shared" si="46"/>
        <v>-12299</v>
      </c>
      <c r="AB174" s="379">
        <f t="shared" si="47"/>
        <v>2375813</v>
      </c>
      <c r="BN174" s="23">
        <v>1997</v>
      </c>
      <c r="BO174" s="4">
        <v>2</v>
      </c>
      <c r="BP174" s="108">
        <f>Whole!BP174+Whole!BQ174+'Tot Retail'!BP174</f>
        <v>2124752</v>
      </c>
      <c r="BQ174" s="108"/>
      <c r="BR174" s="108"/>
      <c r="BS174" s="108"/>
      <c r="BT174" s="175">
        <f>Whole!BT174+'Tot Retail'!BT174</f>
        <v>2182381.2577128797</v>
      </c>
      <c r="BU174" s="108"/>
      <c r="BV174" s="108"/>
      <c r="BW174" s="108">
        <f t="shared" si="49"/>
        <v>57629.257712879684</v>
      </c>
    </row>
    <row r="175" spans="1:75">
      <c r="A175" s="23">
        <v>1997</v>
      </c>
      <c r="B175" s="4">
        <v>3</v>
      </c>
      <c r="C175" s="108">
        <f>Whole!C175+Whole!D175+'Tot Retail'!C175</f>
        <v>2312790</v>
      </c>
      <c r="D175" s="108">
        <f>Whole!E175+'Tot Retail'!D175</f>
        <v>1328889</v>
      </c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>
        <f t="shared" si="48"/>
        <v>-24686</v>
      </c>
      <c r="Z175" s="175">
        <f>Whole!Z175+'Tot Retail'!Z175</f>
        <v>2298874</v>
      </c>
      <c r="AA175" s="108">
        <f t="shared" si="46"/>
        <v>-13916</v>
      </c>
      <c r="AB175" s="379">
        <f t="shared" si="47"/>
        <v>2298874</v>
      </c>
      <c r="BN175" s="23">
        <v>1997</v>
      </c>
      <c r="BO175" s="4">
        <v>3</v>
      </c>
      <c r="BP175" s="108">
        <f>Whole!BP175+Whole!BQ175+'Tot Retail'!BP175</f>
        <v>2400169</v>
      </c>
      <c r="BQ175" s="108"/>
      <c r="BR175" s="108"/>
      <c r="BS175" s="108"/>
      <c r="BT175" s="175">
        <f>Whole!BT175+'Tot Retail'!BT175</f>
        <v>2304996.0855268016</v>
      </c>
      <c r="BU175" s="108"/>
      <c r="BV175" s="108"/>
      <c r="BW175" s="108">
        <f t="shared" si="49"/>
        <v>-95172.914473198354</v>
      </c>
    </row>
    <row r="176" spans="1:75">
      <c r="A176" s="23">
        <v>1997</v>
      </c>
      <c r="B176" s="4">
        <v>4</v>
      </c>
      <c r="C176" s="108">
        <f>Whole!C176+Whole!D176+'Tot Retail'!C176</f>
        <v>2344986</v>
      </c>
      <c r="D176" s="108">
        <f>Whole!E176+'Tot Retail'!D176</f>
        <v>1303836</v>
      </c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>
        <f t="shared" si="48"/>
        <v>-7044</v>
      </c>
      <c r="Z176" s="175">
        <f>Whole!Z176+'Tot Retail'!Z176</f>
        <v>2351535</v>
      </c>
      <c r="AA176" s="108">
        <f t="shared" si="46"/>
        <v>6549</v>
      </c>
      <c r="AB176" s="379">
        <f t="shared" si="47"/>
        <v>2351535</v>
      </c>
      <c r="BN176" s="23">
        <v>1997</v>
      </c>
      <c r="BO176" s="4">
        <v>4</v>
      </c>
      <c r="BP176" s="108">
        <f>Whole!BP176+Whole!BQ176+'Tot Retail'!BP176</f>
        <v>2249347</v>
      </c>
      <c r="BQ176" s="108"/>
      <c r="BR176" s="108"/>
      <c r="BS176" s="108"/>
      <c r="BT176" s="175">
        <f>Whole!BT176+'Tot Retail'!BT176</f>
        <v>2377951.9871242275</v>
      </c>
      <c r="BU176" s="108"/>
      <c r="BV176" s="108"/>
      <c r="BW176" s="108">
        <f t="shared" si="49"/>
        <v>128604.98712422745</v>
      </c>
    </row>
    <row r="177" spans="1:75">
      <c r="A177" s="23">
        <v>1997</v>
      </c>
      <c r="B177" s="4">
        <v>5</v>
      </c>
      <c r="C177" s="108">
        <f>Whole!C177+Whole!D177+'Tot Retail'!C177</f>
        <v>2342371</v>
      </c>
      <c r="D177" s="108">
        <f>Whole!E177+'Tot Retail'!D177</f>
        <v>1313781</v>
      </c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>
        <f t="shared" si="48"/>
        <v>97588</v>
      </c>
      <c r="Z177" s="175">
        <f>Whole!Z177+'Tot Retail'!Z177</f>
        <v>2474638</v>
      </c>
      <c r="AA177" s="108">
        <f t="shared" si="46"/>
        <v>132267</v>
      </c>
      <c r="AB177" s="379">
        <f t="shared" si="47"/>
        <v>2474638</v>
      </c>
      <c r="BN177" s="23">
        <v>1997</v>
      </c>
      <c r="BO177" s="4">
        <v>5</v>
      </c>
      <c r="BP177" s="108">
        <f>Whole!BP177+Whole!BQ177+'Tot Retail'!BP177</f>
        <v>2818342</v>
      </c>
      <c r="BQ177" s="108"/>
      <c r="BR177" s="108"/>
      <c r="BS177" s="108"/>
      <c r="BT177" s="175">
        <f>Whole!BT177+'Tot Retail'!BT177</f>
        <v>2940531.4920842997</v>
      </c>
      <c r="BU177" s="108"/>
      <c r="BV177" s="108"/>
      <c r="BW177" s="108">
        <f t="shared" si="49"/>
        <v>122189.49208429968</v>
      </c>
    </row>
    <row r="178" spans="1:75">
      <c r="A178" s="23">
        <v>1997</v>
      </c>
      <c r="B178" s="4">
        <v>6</v>
      </c>
      <c r="C178" s="108">
        <f>Whole!C178+Whole!D178+'Tot Retail'!C178</f>
        <v>2820996</v>
      </c>
      <c r="D178" s="108">
        <f>Whole!E178+'Tot Retail'!D178</f>
        <v>1300263</v>
      </c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>
        <f t="shared" si="48"/>
        <v>27349</v>
      </c>
      <c r="Z178" s="175">
        <f>Whole!Z178+'Tot Retail'!Z178</f>
        <v>2973523</v>
      </c>
      <c r="AA178" s="108">
        <f t="shared" si="46"/>
        <v>152527</v>
      </c>
      <c r="AB178" s="379">
        <f t="shared" si="47"/>
        <v>2973523</v>
      </c>
      <c r="BN178" s="23">
        <v>1997</v>
      </c>
      <c r="BO178" s="4">
        <v>6</v>
      </c>
      <c r="BP178" s="108">
        <f>Whole!BP178+Whole!BQ178+'Tot Retail'!BP178</f>
        <v>3053745</v>
      </c>
      <c r="BQ178" s="108"/>
      <c r="BR178" s="108"/>
      <c r="BS178" s="108"/>
      <c r="BT178" s="175">
        <f>Whole!BT178+'Tot Retail'!BT178</f>
        <v>3144609.7058630176</v>
      </c>
      <c r="BU178" s="108"/>
      <c r="BV178" s="108"/>
      <c r="BW178" s="108">
        <f t="shared" si="49"/>
        <v>90864.705863017589</v>
      </c>
    </row>
    <row r="179" spans="1:75">
      <c r="A179" s="23">
        <v>1997</v>
      </c>
      <c r="B179" s="4">
        <v>7</v>
      </c>
      <c r="C179" s="108">
        <f>Whole!C179+Whole!D179+'Tot Retail'!C179</f>
        <v>3156833</v>
      </c>
      <c r="D179" s="108">
        <f>Whole!E179+'Tot Retail'!D179</f>
        <v>1292199</v>
      </c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>
        <f t="shared" si="48"/>
        <v>119098</v>
      </c>
      <c r="Z179" s="175">
        <f>Whole!Z179+'Tot Retail'!Z179</f>
        <v>3169050</v>
      </c>
      <c r="AA179" s="108">
        <f t="shared" si="46"/>
        <v>12217</v>
      </c>
      <c r="AB179" s="379">
        <f t="shared" si="47"/>
        <v>3169050</v>
      </c>
      <c r="BN179" s="23">
        <v>1997</v>
      </c>
      <c r="BO179" s="4">
        <v>7</v>
      </c>
      <c r="BP179" s="108">
        <f>Whole!BP179+Whole!BQ179+'Tot Retail'!BP179</f>
        <v>3329499</v>
      </c>
      <c r="BQ179" s="108"/>
      <c r="BR179" s="108"/>
      <c r="BS179" s="108"/>
      <c r="BT179" s="175">
        <f>Whole!BT179+'Tot Retail'!BT179</f>
        <v>3337929.700621774</v>
      </c>
      <c r="BU179" s="108"/>
      <c r="BV179" s="108"/>
      <c r="BW179" s="108">
        <f t="shared" si="49"/>
        <v>8430.7006217739545</v>
      </c>
    </row>
    <row r="180" spans="1:75">
      <c r="A180" s="23">
        <v>1997</v>
      </c>
      <c r="B180" s="4">
        <v>8</v>
      </c>
      <c r="C180" s="108">
        <f>Whole!C180+Whole!D180+'Tot Retail'!C180</f>
        <v>3226213</v>
      </c>
      <c r="D180" s="108">
        <f>Whole!E180+'Tot Retail'!D180</f>
        <v>1308516</v>
      </c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>
        <f t="shared" si="48"/>
        <v>-12961</v>
      </c>
      <c r="Z180" s="175">
        <f>Whole!Z180+'Tot Retail'!Z180</f>
        <v>3291097</v>
      </c>
      <c r="AA180" s="108">
        <f t="shared" si="46"/>
        <v>64884</v>
      </c>
      <c r="AB180" s="379">
        <f t="shared" si="47"/>
        <v>3291097</v>
      </c>
      <c r="BN180" s="23">
        <v>1997</v>
      </c>
      <c r="BO180" s="4">
        <v>8</v>
      </c>
      <c r="BP180" s="108">
        <f>Whole!BP180+Whole!BQ180+'Tot Retail'!BP180</f>
        <v>3471425</v>
      </c>
      <c r="BQ180" s="108"/>
      <c r="BR180" s="108"/>
      <c r="BS180" s="108"/>
      <c r="BT180" s="175">
        <f>Whole!BT180+'Tot Retail'!BT180</f>
        <v>3462730.042074882</v>
      </c>
      <c r="BU180" s="108"/>
      <c r="BV180" s="108"/>
      <c r="BW180" s="108">
        <f t="shared" si="49"/>
        <v>-8694.9579251180403</v>
      </c>
    </row>
    <row r="181" spans="1:75">
      <c r="A181" s="23">
        <v>1997</v>
      </c>
      <c r="B181" s="4">
        <v>9</v>
      </c>
      <c r="C181" s="108">
        <f>Whole!C181+Whole!D181+'Tot Retail'!C181</f>
        <v>3340984</v>
      </c>
      <c r="D181" s="108">
        <f>Whole!E181+'Tot Retail'!D181</f>
        <v>1289773</v>
      </c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>
        <f t="shared" si="48"/>
        <v>41892</v>
      </c>
      <c r="Z181" s="175">
        <f>Whole!Z181+'Tot Retail'!Z181</f>
        <v>3356476</v>
      </c>
      <c r="AA181" s="108">
        <f t="shared" si="46"/>
        <v>15492</v>
      </c>
      <c r="AB181" s="379">
        <f t="shared" si="47"/>
        <v>3356476</v>
      </c>
      <c r="BN181" s="23">
        <v>1997</v>
      </c>
      <c r="BO181" s="4">
        <v>9</v>
      </c>
      <c r="BP181" s="108">
        <f>Whole!BP181+Whole!BQ181+'Tot Retail'!BP181</f>
        <v>3156392</v>
      </c>
      <c r="BQ181" s="108"/>
      <c r="BR181" s="108"/>
      <c r="BS181" s="108"/>
      <c r="BT181" s="175">
        <f>Whole!BT181+'Tot Retail'!BT181</f>
        <v>3173377.3814387098</v>
      </c>
      <c r="BU181" s="108"/>
      <c r="BV181" s="108"/>
      <c r="BW181" s="108">
        <f t="shared" si="49"/>
        <v>16985.381438709795</v>
      </c>
    </row>
    <row r="182" spans="1:75">
      <c r="A182" s="23">
        <v>1997</v>
      </c>
      <c r="B182" s="4">
        <v>10</v>
      </c>
      <c r="C182" s="108">
        <f>Whole!C182+Whole!D182+'Tot Retail'!C182</f>
        <v>3170547</v>
      </c>
      <c r="D182" s="108">
        <f>Whole!E182+'Tot Retail'!D182</f>
        <v>1320051</v>
      </c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>
        <f t="shared" si="48"/>
        <v>167792</v>
      </c>
      <c r="Z182" s="175">
        <f>Whole!Z182+'Tot Retail'!Z182</f>
        <v>3094469</v>
      </c>
      <c r="AA182" s="108">
        <f t="shared" si="46"/>
        <v>-76078</v>
      </c>
      <c r="AB182" s="379">
        <f t="shared" si="47"/>
        <v>3094469</v>
      </c>
      <c r="BN182" s="23">
        <v>1997</v>
      </c>
      <c r="BO182" s="4">
        <v>10</v>
      </c>
      <c r="BP182" s="108">
        <f>Whole!BP182+Whole!BQ182+'Tot Retail'!BP182</f>
        <v>2682469</v>
      </c>
      <c r="BQ182" s="108"/>
      <c r="BR182" s="108"/>
      <c r="BS182" s="108"/>
      <c r="BT182" s="175">
        <f>Whole!BT182+'Tot Retail'!BT182</f>
        <v>2772635.5898895785</v>
      </c>
      <c r="BU182" s="108"/>
      <c r="BV182" s="108"/>
      <c r="BW182" s="108">
        <f t="shared" si="49"/>
        <v>90166.589889578521</v>
      </c>
    </row>
    <row r="183" spans="1:75">
      <c r="A183" s="23">
        <v>1997</v>
      </c>
      <c r="B183" s="4">
        <v>11</v>
      </c>
      <c r="C183" s="108">
        <f>Whole!C183+Whole!D183+'Tot Retail'!C183</f>
        <v>2600054</v>
      </c>
      <c r="D183" s="108">
        <f>Whole!E183+'Tot Retail'!D183</f>
        <v>1360902</v>
      </c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>
        <f t="shared" si="48"/>
        <v>190206</v>
      </c>
      <c r="Z183" s="175">
        <f>Whole!Z183+'Tot Retail'!Z183</f>
        <v>2742807</v>
      </c>
      <c r="AA183" s="108">
        <f t="shared" si="46"/>
        <v>142753</v>
      </c>
      <c r="AB183" s="379">
        <f t="shared" si="47"/>
        <v>2742807</v>
      </c>
      <c r="BN183" s="23">
        <v>1997</v>
      </c>
      <c r="BO183" s="4">
        <v>11</v>
      </c>
      <c r="BP183" s="108">
        <f>Whole!BP183+Whole!BQ183+'Tot Retail'!BP183</f>
        <v>2395715</v>
      </c>
      <c r="BQ183" s="108"/>
      <c r="BR183" s="108"/>
      <c r="BS183" s="108"/>
      <c r="BT183" s="175">
        <f>Whole!BT183+'Tot Retail'!BT183</f>
        <v>2470407.1772463154</v>
      </c>
      <c r="BU183" s="108"/>
      <c r="BV183" s="108"/>
      <c r="BW183" s="108">
        <f t="shared" si="49"/>
        <v>74692.177246315405</v>
      </c>
    </row>
    <row r="184" spans="1:75" s="89" customFormat="1">
      <c r="A184" s="89">
        <v>1997</v>
      </c>
      <c r="B184" s="89">
        <v>12</v>
      </c>
      <c r="C184" s="117">
        <f>Whole!C184+Whole!D184+'Tot Retail'!C184</f>
        <v>2377278</v>
      </c>
      <c r="D184" s="117">
        <f>Whole!E184+'Tot Retail'!D184</f>
        <v>1320077</v>
      </c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>
        <f t="shared" si="48"/>
        <v>48259</v>
      </c>
      <c r="Z184" s="176">
        <f>Whole!Z184+'Tot Retail'!Z184</f>
        <v>2424276</v>
      </c>
      <c r="AA184" s="117">
        <f t="shared" si="46"/>
        <v>46998</v>
      </c>
      <c r="AB184" s="517">
        <f t="shared" si="47"/>
        <v>2424276</v>
      </c>
      <c r="BN184" s="89">
        <v>1997</v>
      </c>
      <c r="BO184" s="89">
        <v>12</v>
      </c>
      <c r="BP184" s="117">
        <f>Whole!BP184+Whole!BQ184+'Tot Retail'!BP184</f>
        <v>2395538</v>
      </c>
      <c r="BQ184" s="117"/>
      <c r="BR184" s="117"/>
      <c r="BS184" s="117"/>
      <c r="BT184" s="176">
        <f>Whole!BT184+'Tot Retail'!BT184</f>
        <v>2308788.8131952155</v>
      </c>
      <c r="BU184" s="117"/>
      <c r="BV184" s="117"/>
      <c r="BW184" s="117">
        <f t="shared" si="49"/>
        <v>-86749.186804784462</v>
      </c>
    </row>
    <row r="185" spans="1:75">
      <c r="A185" s="4">
        <v>1998</v>
      </c>
      <c r="B185" s="4">
        <v>1</v>
      </c>
      <c r="C185" s="108">
        <f>Whole!C185+Whole!D185+'Tot Retail'!C185</f>
        <v>2599353</v>
      </c>
      <c r="D185" s="108">
        <f>Whole!E185+'Tot Retail'!D185</f>
        <v>1332712</v>
      </c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>
        <f t="shared" si="48"/>
        <v>70268</v>
      </c>
      <c r="Z185" s="175">
        <f>Whole!Z185+'Tot Retail'!Z185</f>
        <v>2592370</v>
      </c>
      <c r="AA185" s="108">
        <f t="shared" si="46"/>
        <v>-6983</v>
      </c>
      <c r="AB185" s="379">
        <f t="shared" si="47"/>
        <v>2592370</v>
      </c>
      <c r="BN185" s="4">
        <v>1998</v>
      </c>
      <c r="BO185" s="4">
        <v>1</v>
      </c>
      <c r="BP185" s="108">
        <f>Whole!BP185+Whole!BQ185+'Tot Retail'!BP185</f>
        <v>2519584</v>
      </c>
      <c r="BQ185" s="108"/>
      <c r="BR185" s="108"/>
      <c r="BS185" s="108"/>
      <c r="BT185" s="175">
        <f>Whole!BT185+'Tot Retail'!BT185</f>
        <v>2612565.4064482292</v>
      </c>
      <c r="BU185" s="108">
        <f t="shared" ref="BU185:BU216" si="50">BT185-BT173</f>
        <v>128125.30207799142</v>
      </c>
      <c r="BV185" s="108"/>
      <c r="BW185" s="108">
        <f t="shared" si="49"/>
        <v>92981.406448229216</v>
      </c>
    </row>
    <row r="186" spans="1:75">
      <c r="A186" s="4">
        <v>1998</v>
      </c>
      <c r="B186" s="4">
        <v>2</v>
      </c>
      <c r="C186" s="108">
        <f>Whole!C186+Whole!D186+'Tot Retail'!C186</f>
        <v>2457348</v>
      </c>
      <c r="D186" s="108">
        <f>Whole!E186+'Tot Retail'!D186</f>
        <v>1358722</v>
      </c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>
        <f t="shared" si="48"/>
        <v>140664</v>
      </c>
      <c r="Z186" s="175">
        <f>Whole!Z186+'Tot Retail'!Z186</f>
        <v>2516477</v>
      </c>
      <c r="AA186" s="108">
        <f t="shared" si="46"/>
        <v>59129</v>
      </c>
      <c r="AB186" s="379">
        <f t="shared" si="47"/>
        <v>2516477</v>
      </c>
      <c r="BN186" s="4">
        <v>1998</v>
      </c>
      <c r="BO186" s="4">
        <v>2</v>
      </c>
      <c r="BP186" s="108">
        <f>Whole!BP186+Whole!BQ186+'Tot Retail'!BP186</f>
        <v>2363280</v>
      </c>
      <c r="BQ186" s="108"/>
      <c r="BR186" s="108"/>
      <c r="BS186" s="108"/>
      <c r="BT186" s="175">
        <f>Whole!BT186+'Tot Retail'!BT186</f>
        <v>2402549.44090555</v>
      </c>
      <c r="BU186" s="108">
        <f t="shared" si="50"/>
        <v>220168.18319267035</v>
      </c>
      <c r="BV186" s="108"/>
      <c r="BW186" s="108">
        <f t="shared" si="49"/>
        <v>39269.440905550029</v>
      </c>
    </row>
    <row r="187" spans="1:75">
      <c r="A187" s="4">
        <v>1998</v>
      </c>
      <c r="B187" s="4">
        <v>3</v>
      </c>
      <c r="C187" s="108">
        <f>Whole!C187+Whole!D187+'Tot Retail'!C187</f>
        <v>2391510</v>
      </c>
      <c r="D187" s="108">
        <f>Whole!E187+'Tot Retail'!D187</f>
        <v>1337062</v>
      </c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>
        <f t="shared" si="48"/>
        <v>81063</v>
      </c>
      <c r="Z187" s="175">
        <f>Whole!Z187+'Tot Retail'!Z187</f>
        <v>2379937</v>
      </c>
      <c r="AA187" s="108">
        <f t="shared" si="46"/>
        <v>-11573</v>
      </c>
      <c r="AB187" s="379">
        <f t="shared" si="47"/>
        <v>2379937</v>
      </c>
      <c r="BN187" s="4">
        <v>1998</v>
      </c>
      <c r="BO187" s="4">
        <v>3</v>
      </c>
      <c r="BP187" s="108">
        <f>Whole!BP187+Whole!BQ187+'Tot Retail'!BP187</f>
        <v>2558978</v>
      </c>
      <c r="BQ187" s="108"/>
      <c r="BR187" s="108"/>
      <c r="BS187" s="108"/>
      <c r="BT187" s="175">
        <f>Whole!BT187+'Tot Retail'!BT187</f>
        <v>2424328.7261846038</v>
      </c>
      <c r="BU187" s="108">
        <f t="shared" si="50"/>
        <v>119332.64065780211</v>
      </c>
      <c r="BV187" s="108"/>
      <c r="BW187" s="108">
        <f t="shared" si="49"/>
        <v>-134649.27381539624</v>
      </c>
    </row>
    <row r="188" spans="1:75">
      <c r="A188" s="4">
        <v>1998</v>
      </c>
      <c r="B188" s="4">
        <v>4</v>
      </c>
      <c r="C188" s="108">
        <f>Whole!C188+Whole!D188+'Tot Retail'!C188</f>
        <v>2542880</v>
      </c>
      <c r="D188" s="108">
        <f>Whole!E188+'Tot Retail'!D188</f>
        <v>1360323</v>
      </c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>
        <f t="shared" si="48"/>
        <v>139730</v>
      </c>
      <c r="Z188" s="175">
        <f>Whole!Z188+'Tot Retail'!Z188</f>
        <v>2491265</v>
      </c>
      <c r="AA188" s="108">
        <f t="shared" si="46"/>
        <v>-51615</v>
      </c>
      <c r="AB188" s="379">
        <f t="shared" si="47"/>
        <v>2491265</v>
      </c>
      <c r="BN188" s="4">
        <v>1998</v>
      </c>
      <c r="BO188" s="4">
        <v>4</v>
      </c>
      <c r="BP188" s="108">
        <f>Whole!BP188+Whole!BQ188+'Tot Retail'!BP188</f>
        <v>2473633</v>
      </c>
      <c r="BQ188" s="108"/>
      <c r="BR188" s="108"/>
      <c r="BS188" s="108"/>
      <c r="BT188" s="175">
        <f>Whole!BT188+'Tot Retail'!BT188</f>
        <v>2509133.0887511736</v>
      </c>
      <c r="BU188" s="108">
        <f t="shared" si="50"/>
        <v>131181.10162694613</v>
      </c>
      <c r="BV188" s="108"/>
      <c r="BW188" s="108">
        <f t="shared" si="49"/>
        <v>35500.088751173578</v>
      </c>
    </row>
    <row r="189" spans="1:75">
      <c r="A189" s="4">
        <v>1998</v>
      </c>
      <c r="B189" s="4">
        <v>5</v>
      </c>
      <c r="C189" s="108">
        <f>Whole!C189+Whole!D189+'Tot Retail'!C189</f>
        <v>2602991</v>
      </c>
      <c r="D189" s="108">
        <f>Whole!E189+'Tot Retail'!D189</f>
        <v>1317801</v>
      </c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>
        <f t="shared" si="48"/>
        <v>118581</v>
      </c>
      <c r="Z189" s="175">
        <f>Whole!Z189+'Tot Retail'!Z189</f>
        <v>2593219</v>
      </c>
      <c r="AA189" s="108">
        <f t="shared" si="46"/>
        <v>-9772</v>
      </c>
      <c r="AB189" s="379">
        <f t="shared" si="47"/>
        <v>2593219</v>
      </c>
      <c r="BN189" s="4">
        <v>1998</v>
      </c>
      <c r="BO189" s="4">
        <v>5</v>
      </c>
      <c r="BP189" s="108">
        <f>Whole!BP189+Whole!BQ189+'Tot Retail'!BP189</f>
        <v>3102464</v>
      </c>
      <c r="BQ189" s="108"/>
      <c r="BR189" s="108"/>
      <c r="BS189" s="108"/>
      <c r="BT189" s="175">
        <f>Whole!BT189+'Tot Retail'!BT189</f>
        <v>3034678.7228641817</v>
      </c>
      <c r="BU189" s="108">
        <f t="shared" si="50"/>
        <v>94147.230779882055</v>
      </c>
      <c r="BV189" s="108"/>
      <c r="BW189" s="108">
        <f t="shared" si="49"/>
        <v>-67785.277135818265</v>
      </c>
    </row>
    <row r="190" spans="1:75">
      <c r="A190" s="4">
        <v>1998</v>
      </c>
      <c r="B190" s="4">
        <v>6</v>
      </c>
      <c r="C190" s="108">
        <f>Whole!C190+Whole!D190+'Tot Retail'!C190</f>
        <v>3280084</v>
      </c>
      <c r="D190" s="108">
        <f>Whole!E190+'Tot Retail'!D190</f>
        <v>1324450</v>
      </c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>
        <f t="shared" si="48"/>
        <v>87809</v>
      </c>
      <c r="Z190" s="175">
        <f>Whole!Z190+'Tot Retail'!Z190</f>
        <v>3061332</v>
      </c>
      <c r="AA190" s="108">
        <f t="shared" si="46"/>
        <v>-218752</v>
      </c>
      <c r="AB190" s="379">
        <f t="shared" si="47"/>
        <v>3061332</v>
      </c>
      <c r="BN190" s="4">
        <v>1998</v>
      </c>
      <c r="BO190" s="4">
        <v>6</v>
      </c>
      <c r="BP190" s="108">
        <f>Whole!BP190+Whole!BQ190+'Tot Retail'!BP190</f>
        <v>3828334.0000000005</v>
      </c>
      <c r="BQ190" s="108"/>
      <c r="BR190" s="108"/>
      <c r="BS190" s="108"/>
      <c r="BT190" s="175">
        <f>Whole!BT190+'Tot Retail'!BT190</f>
        <v>3441576.8991935635</v>
      </c>
      <c r="BU190" s="108">
        <f t="shared" si="50"/>
        <v>296967.19333054591</v>
      </c>
      <c r="BV190" s="108"/>
      <c r="BW190" s="108">
        <f t="shared" si="49"/>
        <v>-386757.10080643697</v>
      </c>
    </row>
    <row r="191" spans="1:75">
      <c r="A191" s="4">
        <v>1998</v>
      </c>
      <c r="B191" s="4">
        <v>7</v>
      </c>
      <c r="C191" s="108">
        <f>Whole!C191+Whole!D191+'Tot Retail'!C191</f>
        <v>3574298</v>
      </c>
      <c r="D191" s="108">
        <f>Whole!E191+'Tot Retail'!D191</f>
        <v>1317166</v>
      </c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>
        <f t="shared" si="48"/>
        <v>181303</v>
      </c>
      <c r="Z191" s="175">
        <f>Whole!Z191+'Tot Retail'!Z191</f>
        <v>3350353</v>
      </c>
      <c r="AA191" s="108">
        <f t="shared" si="46"/>
        <v>-223945</v>
      </c>
      <c r="AB191" s="379">
        <f t="shared" si="47"/>
        <v>3350353</v>
      </c>
      <c r="BN191" s="4">
        <v>1998</v>
      </c>
      <c r="BO191" s="4">
        <v>7</v>
      </c>
      <c r="BP191" s="108">
        <f>Whole!BP191+Whole!BQ191+'Tot Retail'!BP191</f>
        <v>3637540.9999999995</v>
      </c>
      <c r="BQ191" s="108"/>
      <c r="BR191" s="108"/>
      <c r="BS191" s="108"/>
      <c r="BT191" s="175">
        <f>Whole!BT191+'Tot Retail'!BT191</f>
        <v>3494312.4769902956</v>
      </c>
      <c r="BU191" s="108">
        <f t="shared" si="50"/>
        <v>156382.77636852162</v>
      </c>
      <c r="BV191" s="108"/>
      <c r="BW191" s="108">
        <f t="shared" si="49"/>
        <v>-143228.52300970396</v>
      </c>
    </row>
    <row r="192" spans="1:75">
      <c r="A192" s="4">
        <v>1998</v>
      </c>
      <c r="B192" s="4">
        <v>8</v>
      </c>
      <c r="C192" s="108">
        <f>Whole!C192+Whole!D192+'Tot Retail'!C192</f>
        <v>3827049</v>
      </c>
      <c r="D192" s="108">
        <f>Whole!E192+'Tot Retail'!D192</f>
        <v>1367479</v>
      </c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>
        <f t="shared" si="48"/>
        <v>433228</v>
      </c>
      <c r="Z192" s="175">
        <f>Whole!Z192+'Tot Retail'!Z192</f>
        <v>3724325</v>
      </c>
      <c r="AA192" s="108">
        <f t="shared" si="46"/>
        <v>-102724</v>
      </c>
      <c r="AB192" s="379">
        <f t="shared" si="47"/>
        <v>3724325</v>
      </c>
      <c r="BN192" s="4">
        <v>1998</v>
      </c>
      <c r="BO192" s="4">
        <v>8</v>
      </c>
      <c r="BP192" s="108">
        <f>Whole!BP192+Whole!BQ192+'Tot Retail'!BP192</f>
        <v>3920036</v>
      </c>
      <c r="BQ192" s="108"/>
      <c r="BR192" s="108"/>
      <c r="BS192" s="108"/>
      <c r="BT192" s="175">
        <f>Whole!BT192+'Tot Retail'!BT192</f>
        <v>3813704.4466480659</v>
      </c>
      <c r="BU192" s="108">
        <f t="shared" si="50"/>
        <v>350974.40457318397</v>
      </c>
      <c r="BV192" s="108"/>
      <c r="BW192" s="108">
        <f t="shared" si="49"/>
        <v>-106331.55335193407</v>
      </c>
    </row>
    <row r="193" spans="1:75">
      <c r="A193" s="4">
        <v>1998</v>
      </c>
      <c r="B193" s="4">
        <v>9</v>
      </c>
      <c r="C193" s="108">
        <f>Whole!C193+Whole!D193+'Tot Retail'!C193</f>
        <v>3541080</v>
      </c>
      <c r="D193" s="108">
        <f>Whole!E193+'Tot Retail'!D193</f>
        <v>1289183</v>
      </c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>
        <f t="shared" si="48"/>
        <v>148518</v>
      </c>
      <c r="Z193" s="175">
        <f>Whole!Z193+'Tot Retail'!Z193</f>
        <v>3504994</v>
      </c>
      <c r="AA193" s="108">
        <f t="shared" si="46"/>
        <v>-36086</v>
      </c>
      <c r="AB193" s="379">
        <f t="shared" si="47"/>
        <v>3504994</v>
      </c>
      <c r="BN193" s="4">
        <v>1998</v>
      </c>
      <c r="BO193" s="4">
        <v>9</v>
      </c>
      <c r="BP193" s="108">
        <f>Whole!BP193+Whole!BQ193+'Tot Retail'!BP193</f>
        <v>3284754</v>
      </c>
      <c r="BQ193" s="108"/>
      <c r="BR193" s="108"/>
      <c r="BS193" s="108"/>
      <c r="BT193" s="175">
        <f>Whole!BT193+'Tot Retail'!BT193</f>
        <v>3299690.3279484999</v>
      </c>
      <c r="BU193" s="108">
        <f t="shared" si="50"/>
        <v>126312.94650979014</v>
      </c>
      <c r="BV193" s="108"/>
      <c r="BW193" s="108">
        <f t="shared" si="49"/>
        <v>14936.327948499937</v>
      </c>
    </row>
    <row r="194" spans="1:75">
      <c r="A194" s="4">
        <v>1998</v>
      </c>
      <c r="B194" s="4">
        <v>10</v>
      </c>
      <c r="C194" s="108">
        <f>Whole!C194+Whole!D194+'Tot Retail'!C194</f>
        <v>3401667</v>
      </c>
      <c r="D194" s="108">
        <f>Whole!E194+'Tot Retail'!D194</f>
        <v>1377107</v>
      </c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>
        <f t="shared" si="48"/>
        <v>164708</v>
      </c>
      <c r="Z194" s="175">
        <f>Whole!Z194+'Tot Retail'!Z194</f>
        <v>3259177</v>
      </c>
      <c r="AA194" s="108">
        <f t="shared" si="46"/>
        <v>-142490</v>
      </c>
      <c r="AB194" s="379">
        <f t="shared" si="47"/>
        <v>3259177</v>
      </c>
      <c r="BN194" s="4">
        <v>1998</v>
      </c>
      <c r="BO194" s="4">
        <v>10</v>
      </c>
      <c r="BP194" s="108">
        <f>Whole!BP194+Whole!BQ194+'Tot Retail'!BP194</f>
        <v>3047662</v>
      </c>
      <c r="BQ194" s="108"/>
      <c r="BR194" s="108"/>
      <c r="BS194" s="108"/>
      <c r="BT194" s="175">
        <f>Whole!BT194+'Tot Retail'!BT194</f>
        <v>2887158.8310604468</v>
      </c>
      <c r="BU194" s="108">
        <f t="shared" si="50"/>
        <v>114523.24117086828</v>
      </c>
      <c r="BV194" s="108"/>
      <c r="BW194" s="108">
        <f t="shared" si="49"/>
        <v>-160503.1689395532</v>
      </c>
    </row>
    <row r="195" spans="1:75">
      <c r="A195" s="4">
        <v>1998</v>
      </c>
      <c r="B195" s="4">
        <v>11</v>
      </c>
      <c r="C195" s="108">
        <f>Whole!C195+Whole!D195+'Tot Retail'!C195</f>
        <v>2803996</v>
      </c>
      <c r="D195" s="108">
        <f>Whole!E195+'Tot Retail'!D195</f>
        <v>1359250</v>
      </c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>
        <f t="shared" si="48"/>
        <v>-12698</v>
      </c>
      <c r="Z195" s="175">
        <f>Whole!Z195+'Tot Retail'!Z195</f>
        <v>2730109</v>
      </c>
      <c r="AA195" s="108">
        <f t="shared" si="46"/>
        <v>-73887</v>
      </c>
      <c r="AB195" s="379">
        <f t="shared" si="47"/>
        <v>2730109</v>
      </c>
      <c r="BN195" s="4">
        <v>1998</v>
      </c>
      <c r="BO195" s="4">
        <v>11</v>
      </c>
      <c r="BP195" s="108">
        <f>Whole!BP195+Whole!BQ195+'Tot Retail'!BP195</f>
        <v>2479092</v>
      </c>
      <c r="BQ195" s="108"/>
      <c r="BR195" s="108"/>
      <c r="BS195" s="108"/>
      <c r="BT195" s="175">
        <f>Whole!BT195+'Tot Retail'!BT195</f>
        <v>2372945.4216932864</v>
      </c>
      <c r="BU195" s="108">
        <f t="shared" si="50"/>
        <v>-97461.755553029012</v>
      </c>
      <c r="BV195" s="108"/>
      <c r="BW195" s="108">
        <f t="shared" si="49"/>
        <v>-106146.57830671361</v>
      </c>
    </row>
    <row r="196" spans="1:75" s="89" customFormat="1">
      <c r="A196" s="89">
        <v>1998</v>
      </c>
      <c r="B196" s="89">
        <v>12</v>
      </c>
      <c r="C196" s="117">
        <f>Whole!C196+Whole!D196+'Tot Retail'!C196</f>
        <v>2704068</v>
      </c>
      <c r="D196" s="117">
        <f>Whole!E196+'Tot Retail'!D196</f>
        <v>1348975</v>
      </c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>
        <f t="shared" si="48"/>
        <v>239617</v>
      </c>
      <c r="Z196" s="176">
        <f>Whole!Z196+'Tot Retail'!Z196</f>
        <v>2663893</v>
      </c>
      <c r="AA196" s="117">
        <f t="shared" si="46"/>
        <v>-40175</v>
      </c>
      <c r="AB196" s="517">
        <f t="shared" si="47"/>
        <v>2663893</v>
      </c>
      <c r="BN196" s="89">
        <v>1998</v>
      </c>
      <c r="BO196" s="89">
        <v>12</v>
      </c>
      <c r="BP196" s="117">
        <f>Whole!BP196+Whole!BQ196+'Tot Retail'!BP196</f>
        <v>2533935</v>
      </c>
      <c r="BQ196" s="117"/>
      <c r="BR196" s="117"/>
      <c r="BS196" s="117"/>
      <c r="BT196" s="176">
        <f>Whole!BT196+'Tot Retail'!BT196</f>
        <v>2555207.1806808431</v>
      </c>
      <c r="BU196" s="117">
        <f t="shared" si="50"/>
        <v>246418.36748562753</v>
      </c>
      <c r="BV196" s="117"/>
      <c r="BW196" s="117">
        <f t="shared" si="49"/>
        <v>21272.18068084307</v>
      </c>
    </row>
    <row r="197" spans="1:75">
      <c r="A197" s="4">
        <v>1999</v>
      </c>
      <c r="B197" s="4">
        <v>1</v>
      </c>
      <c r="C197" s="108">
        <f>Whole!C197+Whole!D197+'Tot Retail'!C197</f>
        <v>2691163</v>
      </c>
      <c r="D197" s="108">
        <f>Whole!E197+'Tot Retail'!D197</f>
        <v>1365319</v>
      </c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>
        <f t="shared" si="48"/>
        <v>42711</v>
      </c>
      <c r="Z197" s="175">
        <f>Whole!Z197+'Tot Retail'!Z197</f>
        <v>2635081</v>
      </c>
      <c r="AA197" s="108">
        <f t="shared" si="46"/>
        <v>-56082</v>
      </c>
      <c r="AB197" s="379">
        <f t="shared" si="47"/>
        <v>2635081</v>
      </c>
      <c r="BN197" s="4">
        <v>1999</v>
      </c>
      <c r="BO197" s="4">
        <v>1</v>
      </c>
      <c r="BP197" s="108">
        <f>Whole!BP197+Whole!BQ197+'Tot Retail'!BP197</f>
        <v>2727207</v>
      </c>
      <c r="BQ197" s="108"/>
      <c r="BR197" s="108"/>
      <c r="BS197" s="108"/>
      <c r="BT197" s="175">
        <f>Whole!BT197+'Tot Retail'!BT197</f>
        <v>2684448.6520643877</v>
      </c>
      <c r="BU197" s="108">
        <f t="shared" si="50"/>
        <v>71883.245616158471</v>
      </c>
      <c r="BV197" s="108"/>
      <c r="BW197" s="108">
        <f t="shared" si="49"/>
        <v>-42758.347935612313</v>
      </c>
    </row>
    <row r="198" spans="1:75">
      <c r="A198" s="4">
        <v>1999</v>
      </c>
      <c r="B198" s="4">
        <v>2</v>
      </c>
      <c r="C198" s="108">
        <f>Whole!C198+Whole!D198+'Tot Retail'!C198</f>
        <v>2369044</v>
      </c>
      <c r="D198" s="108">
        <f>Whole!E198+'Tot Retail'!D198</f>
        <v>1374595</v>
      </c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>
        <f t="shared" si="48"/>
        <v>-52180</v>
      </c>
      <c r="Z198" s="175">
        <f>Whole!Z198+'Tot Retail'!Z198</f>
        <v>2464297</v>
      </c>
      <c r="AA198" s="108">
        <f t="shared" si="46"/>
        <v>95253</v>
      </c>
      <c r="AB198" s="379">
        <f t="shared" si="47"/>
        <v>2464297</v>
      </c>
      <c r="BN198" s="4">
        <v>1999</v>
      </c>
      <c r="BO198" s="4">
        <v>2</v>
      </c>
      <c r="BP198" s="108">
        <f>Whole!BP198+Whole!BQ198+'Tot Retail'!BP198</f>
        <v>2259621</v>
      </c>
      <c r="BQ198" s="108"/>
      <c r="BR198" s="108"/>
      <c r="BS198" s="108"/>
      <c r="BT198" s="175">
        <f>Whole!BT198+'Tot Retail'!BT198</f>
        <v>2256940.0585330967</v>
      </c>
      <c r="BU198" s="108">
        <f t="shared" si="50"/>
        <v>-145609.38237245334</v>
      </c>
      <c r="BV198" s="108"/>
      <c r="BW198" s="108">
        <f t="shared" si="49"/>
        <v>-2680.941466903314</v>
      </c>
    </row>
    <row r="199" spans="1:75">
      <c r="A199" s="4">
        <v>1999</v>
      </c>
      <c r="B199" s="4">
        <v>3</v>
      </c>
      <c r="C199" s="108">
        <f>Whole!C199+Whole!D199+'Tot Retail'!C199</f>
        <v>2567131</v>
      </c>
      <c r="D199" s="108">
        <f>Whole!E199+'Tot Retail'!D199</f>
        <v>1363561</v>
      </c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>
        <f t="shared" si="48"/>
        <v>158791</v>
      </c>
      <c r="Z199" s="175">
        <f>Whole!Z199+'Tot Retail'!Z199</f>
        <v>2538728</v>
      </c>
      <c r="AA199" s="108">
        <f t="shared" si="46"/>
        <v>-28403</v>
      </c>
      <c r="AB199" s="379">
        <f t="shared" si="47"/>
        <v>2538728</v>
      </c>
      <c r="BN199" s="4">
        <v>1999</v>
      </c>
      <c r="BO199" s="4">
        <v>3</v>
      </c>
      <c r="BP199" s="108">
        <f>Whole!BP199+Whole!BQ199+'Tot Retail'!BP199</f>
        <v>2625034</v>
      </c>
      <c r="BQ199" s="108"/>
      <c r="BR199" s="108"/>
      <c r="BS199" s="108"/>
      <c r="BT199" s="175">
        <f>Whole!BT199+'Tot Retail'!BT199</f>
        <v>2622316.1765735159</v>
      </c>
      <c r="BU199" s="108">
        <f t="shared" si="50"/>
        <v>197987.45038891211</v>
      </c>
      <c r="BV199" s="108"/>
      <c r="BW199" s="108">
        <f t="shared" si="49"/>
        <v>-2717.8234264841303</v>
      </c>
    </row>
    <row r="200" spans="1:75">
      <c r="A200" s="4">
        <v>1999</v>
      </c>
      <c r="B200" s="4">
        <v>4</v>
      </c>
      <c r="C200" s="108">
        <f>Whole!C200+Whole!D200+'Tot Retail'!C200</f>
        <v>2630948</v>
      </c>
      <c r="D200" s="108">
        <f>Whole!E200+'Tot Retail'!D200</f>
        <v>1368096</v>
      </c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>
        <f t="shared" si="48"/>
        <v>76311</v>
      </c>
      <c r="Z200" s="175">
        <f>Whole!Z200+'Tot Retail'!Z200</f>
        <v>2567576</v>
      </c>
      <c r="AA200" s="108">
        <f t="shared" si="46"/>
        <v>-63372</v>
      </c>
      <c r="AB200" s="379">
        <f t="shared" si="47"/>
        <v>2567576</v>
      </c>
      <c r="BN200" s="4">
        <v>1999</v>
      </c>
      <c r="BO200" s="4">
        <v>4</v>
      </c>
      <c r="BP200" s="108">
        <f>Whole!BP200+Whole!BQ200+'Tot Retail'!BP200</f>
        <v>2931382</v>
      </c>
      <c r="BQ200" s="108"/>
      <c r="BR200" s="108"/>
      <c r="BS200" s="108"/>
      <c r="BT200" s="175">
        <f>Whole!BT200+'Tot Retail'!BT200</f>
        <v>2739090.6681170007</v>
      </c>
      <c r="BU200" s="108">
        <f t="shared" si="50"/>
        <v>229957.57936582714</v>
      </c>
      <c r="BV200" s="108"/>
      <c r="BW200" s="108">
        <f t="shared" si="49"/>
        <v>-192291.33188299928</v>
      </c>
    </row>
    <row r="201" spans="1:75">
      <c r="A201" s="4">
        <v>1999</v>
      </c>
      <c r="B201" s="4">
        <v>5</v>
      </c>
      <c r="C201" s="108">
        <f>Whole!C201+Whole!D201+'Tot Retail'!C201</f>
        <v>2699632</v>
      </c>
      <c r="D201" s="108">
        <f>Whole!E201+'Tot Retail'!D201</f>
        <v>1390154</v>
      </c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>
        <f t="shared" si="48"/>
        <v>33926</v>
      </c>
      <c r="Z201" s="175">
        <f>Whole!Z201+'Tot Retail'!Z201</f>
        <v>2627145</v>
      </c>
      <c r="AA201" s="108">
        <f t="shared" si="46"/>
        <v>-72487</v>
      </c>
      <c r="AB201" s="379">
        <f t="shared" si="47"/>
        <v>2627145</v>
      </c>
      <c r="BN201" s="4">
        <v>1999</v>
      </c>
      <c r="BO201" s="4">
        <v>5</v>
      </c>
      <c r="BP201" s="108">
        <f>Whole!BP201+Whole!BQ201+'Tot Retail'!BP201</f>
        <v>3134948</v>
      </c>
      <c r="BQ201" s="108"/>
      <c r="BR201" s="108"/>
      <c r="BS201" s="108"/>
      <c r="BT201" s="175">
        <f>Whole!BT201+'Tot Retail'!BT201</f>
        <v>3230706.5666392185</v>
      </c>
      <c r="BU201" s="108">
        <f t="shared" si="50"/>
        <v>196027.84377503674</v>
      </c>
      <c r="BV201" s="108"/>
      <c r="BW201" s="108">
        <f t="shared" si="49"/>
        <v>95758.566639218479</v>
      </c>
    </row>
    <row r="202" spans="1:75">
      <c r="A202" s="4">
        <v>1999</v>
      </c>
      <c r="B202" s="4">
        <v>6</v>
      </c>
      <c r="C202" s="108">
        <f>Whole!C202+Whole!D202+'Tot Retail'!C202</f>
        <v>3354268</v>
      </c>
      <c r="D202" s="108">
        <f>Whole!E202+'Tot Retail'!D202</f>
        <v>1335197</v>
      </c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>
        <f t="shared" si="48"/>
        <v>365760</v>
      </c>
      <c r="Z202" s="175">
        <f>Whole!Z202+'Tot Retail'!Z202</f>
        <v>3427092</v>
      </c>
      <c r="AA202" s="108">
        <f t="shared" si="46"/>
        <v>72824</v>
      </c>
      <c r="AB202" s="379">
        <f t="shared" si="47"/>
        <v>3427092</v>
      </c>
      <c r="BN202" s="4">
        <v>1999</v>
      </c>
      <c r="BO202" s="4">
        <v>6</v>
      </c>
      <c r="BP202" s="108">
        <f>Whole!BP202+Whole!BQ202+'Tot Retail'!BP202</f>
        <v>3300842</v>
      </c>
      <c r="BQ202" s="108"/>
      <c r="BR202" s="108"/>
      <c r="BS202" s="108"/>
      <c r="BT202" s="175">
        <f>Whole!BT202+'Tot Retail'!BT202</f>
        <v>3365226.916822358</v>
      </c>
      <c r="BU202" s="108">
        <f t="shared" si="50"/>
        <v>-76349.982371205464</v>
      </c>
      <c r="BV202" s="108"/>
      <c r="BW202" s="108">
        <f t="shared" si="49"/>
        <v>64384.916822358035</v>
      </c>
    </row>
    <row r="203" spans="1:75">
      <c r="A203" s="4">
        <v>1999</v>
      </c>
      <c r="B203" s="4">
        <v>7</v>
      </c>
      <c r="C203" s="108">
        <f>Whole!C203+Whole!D203+'Tot Retail'!C203</f>
        <v>3463695</v>
      </c>
      <c r="D203" s="108">
        <f>Whole!E203+'Tot Retail'!D203</f>
        <v>1354676</v>
      </c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>
        <f t="shared" si="48"/>
        <v>186495</v>
      </c>
      <c r="Z203" s="175">
        <f>Whole!Z203+'Tot Retail'!Z203</f>
        <v>3536848</v>
      </c>
      <c r="AA203" s="108">
        <f t="shared" si="46"/>
        <v>73153</v>
      </c>
      <c r="AB203" s="379">
        <f t="shared" si="47"/>
        <v>3536848</v>
      </c>
      <c r="BN203" s="4">
        <v>1999</v>
      </c>
      <c r="BO203" s="4">
        <v>7</v>
      </c>
      <c r="BP203" s="108">
        <f>Whole!BP203+Whole!BQ203+'Tot Retail'!BP203</f>
        <v>3943052</v>
      </c>
      <c r="BQ203" s="108"/>
      <c r="BR203" s="108"/>
      <c r="BS203" s="108"/>
      <c r="BT203" s="175">
        <f>Whole!BT203+'Tot Retail'!BT203</f>
        <v>3880556.8269725167</v>
      </c>
      <c r="BU203" s="108">
        <f t="shared" si="50"/>
        <v>386244.34998222115</v>
      </c>
      <c r="BV203" s="108"/>
      <c r="BW203" s="108">
        <f t="shared" si="49"/>
        <v>-62495.173027483281</v>
      </c>
    </row>
    <row r="204" spans="1:75">
      <c r="A204" s="4">
        <v>1999</v>
      </c>
      <c r="B204" s="4">
        <v>8</v>
      </c>
      <c r="C204" s="108">
        <f>Whole!C204+Whole!D204+'Tot Retail'!C204</f>
        <v>3989477</v>
      </c>
      <c r="D204" s="108">
        <f>Whole!E204+'Tot Retail'!D204</f>
        <v>1376865</v>
      </c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>
        <f t="shared" si="48"/>
        <v>125441</v>
      </c>
      <c r="Z204" s="175">
        <f>Whole!Z204+'Tot Retail'!Z204</f>
        <v>3849766</v>
      </c>
      <c r="AA204" s="108">
        <f t="shared" si="46"/>
        <v>-139711</v>
      </c>
      <c r="AB204" s="379">
        <f t="shared" si="47"/>
        <v>3849766</v>
      </c>
      <c r="BN204" s="4">
        <v>1999</v>
      </c>
      <c r="BO204" s="4">
        <v>8</v>
      </c>
      <c r="BP204" s="108">
        <f>Whole!BP204+Whole!BQ204+'Tot Retail'!BP204</f>
        <v>3943615</v>
      </c>
      <c r="BQ204" s="108"/>
      <c r="BR204" s="108"/>
      <c r="BS204" s="108"/>
      <c r="BT204" s="175">
        <f>Whole!BT204+'Tot Retail'!BT204</f>
        <v>3876357.070687199</v>
      </c>
      <c r="BU204" s="108">
        <f t="shared" si="50"/>
        <v>62652.624039133079</v>
      </c>
      <c r="BV204" s="108"/>
      <c r="BW204" s="108">
        <f t="shared" si="49"/>
        <v>-67257.929312800989</v>
      </c>
    </row>
    <row r="205" spans="1:75">
      <c r="A205" s="4">
        <v>1999</v>
      </c>
      <c r="B205" s="4">
        <v>9</v>
      </c>
      <c r="C205" s="108">
        <f>Whole!C205+Whole!D205+'Tot Retail'!C205</f>
        <v>3858515</v>
      </c>
      <c r="D205" s="108">
        <f>Whole!E205+'Tot Retail'!D205</f>
        <v>1372558</v>
      </c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>
        <f t="shared" si="48"/>
        <v>381478</v>
      </c>
      <c r="Z205" s="175">
        <f>Whole!Z205+'Tot Retail'!Z205</f>
        <v>3886472</v>
      </c>
      <c r="AA205" s="108">
        <f t="shared" si="46"/>
        <v>27957</v>
      </c>
      <c r="AB205" s="379">
        <f t="shared" si="47"/>
        <v>3886472</v>
      </c>
      <c r="BN205" s="4">
        <v>1999</v>
      </c>
      <c r="BO205" s="4">
        <v>9</v>
      </c>
      <c r="BP205" s="108">
        <f>Whole!BP205+Whole!BQ205+'Tot Retail'!BP205</f>
        <v>3527709</v>
      </c>
      <c r="BQ205" s="108"/>
      <c r="BR205" s="108"/>
      <c r="BS205" s="108"/>
      <c r="BT205" s="175">
        <f>Whole!BT205+'Tot Retail'!BT205</f>
        <v>3644599.4937845138</v>
      </c>
      <c r="BU205" s="108">
        <f t="shared" si="50"/>
        <v>344909.16583601385</v>
      </c>
      <c r="BV205" s="108"/>
      <c r="BW205" s="108">
        <f t="shared" ref="BW205:BW236" si="51">BT205-BP205</f>
        <v>116890.49378451379</v>
      </c>
    </row>
    <row r="206" spans="1:75">
      <c r="A206" s="4">
        <v>1999</v>
      </c>
      <c r="B206" s="4">
        <v>10</v>
      </c>
      <c r="C206" s="108">
        <f>Whole!C206+Whole!D206+'Tot Retail'!C206</f>
        <v>3410814</v>
      </c>
      <c r="D206" s="108">
        <f>Whole!E206+'Tot Retail'!D206</f>
        <v>1366020</v>
      </c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>
        <f t="shared" si="48"/>
        <v>189707</v>
      </c>
      <c r="Z206" s="175">
        <f>Whole!Z206+'Tot Retail'!Z206</f>
        <v>3448884</v>
      </c>
      <c r="AA206" s="108">
        <f t="shared" si="46"/>
        <v>38070</v>
      </c>
      <c r="AB206" s="379">
        <f t="shared" si="47"/>
        <v>3448884</v>
      </c>
      <c r="BN206" s="4">
        <v>1999</v>
      </c>
      <c r="BO206" s="4">
        <v>10</v>
      </c>
      <c r="BP206" s="108">
        <f>Whole!BP206+Whole!BQ206+'Tot Retail'!BP206</f>
        <v>3179466</v>
      </c>
      <c r="BQ206" s="108"/>
      <c r="BR206" s="108"/>
      <c r="BS206" s="108"/>
      <c r="BT206" s="175">
        <f>Whole!BT206+'Tot Retail'!BT206</f>
        <v>3193929.7536664996</v>
      </c>
      <c r="BU206" s="108">
        <f t="shared" si="50"/>
        <v>306770.92260605283</v>
      </c>
      <c r="BV206" s="108"/>
      <c r="BW206" s="108">
        <f t="shared" si="51"/>
        <v>14463.75366649963</v>
      </c>
    </row>
    <row r="207" spans="1:75">
      <c r="A207" s="4">
        <v>1999</v>
      </c>
      <c r="B207" s="4">
        <v>11</v>
      </c>
      <c r="C207" s="108">
        <f>Whole!C207+Whole!D207+'Tot Retail'!C207</f>
        <v>2971580</v>
      </c>
      <c r="D207" s="108">
        <f>Whole!E207+'Tot Retail'!D207</f>
        <v>1439756</v>
      </c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>
        <f t="shared" si="48"/>
        <v>311583</v>
      </c>
      <c r="Z207" s="175">
        <f>Whole!Z207+'Tot Retail'!Z207</f>
        <v>3041692</v>
      </c>
      <c r="AA207" s="108">
        <f t="shared" si="46"/>
        <v>70112</v>
      </c>
      <c r="AB207" s="379">
        <f t="shared" si="47"/>
        <v>3041692</v>
      </c>
      <c r="BN207" s="4">
        <v>1999</v>
      </c>
      <c r="BO207" s="4">
        <v>11</v>
      </c>
      <c r="BP207" s="108">
        <f>Whole!BP207+Whole!BQ207+'Tot Retail'!BP207</f>
        <v>2585622</v>
      </c>
      <c r="BQ207" s="108"/>
      <c r="BR207" s="108"/>
      <c r="BS207" s="108"/>
      <c r="BT207" s="175">
        <f>Whole!BT207+'Tot Retail'!BT207</f>
        <v>2654848.1252775732</v>
      </c>
      <c r="BU207" s="108">
        <f t="shared" si="50"/>
        <v>281902.70358428685</v>
      </c>
      <c r="BV207" s="108"/>
      <c r="BW207" s="108">
        <f t="shared" si="51"/>
        <v>69226.125277573243</v>
      </c>
    </row>
    <row r="208" spans="1:75" s="89" customFormat="1">
      <c r="A208" s="89">
        <v>1999</v>
      </c>
      <c r="B208" s="89">
        <v>12</v>
      </c>
      <c r="C208" s="117">
        <f>Whole!C208+Whole!D208+'Tot Retail'!C208</f>
        <v>2701469</v>
      </c>
      <c r="D208" s="117">
        <f>Whole!E208+'Tot Retail'!D208</f>
        <v>1412367</v>
      </c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>
        <f t="shared" si="48"/>
        <v>131373</v>
      </c>
      <c r="Z208" s="176">
        <f>Whole!Z208+'Tot Retail'!Z208</f>
        <v>2795266</v>
      </c>
      <c r="AA208" s="117">
        <f t="shared" si="46"/>
        <v>93797</v>
      </c>
      <c r="AB208" s="517">
        <f t="shared" si="47"/>
        <v>2795266</v>
      </c>
      <c r="BN208" s="89">
        <v>1999</v>
      </c>
      <c r="BO208" s="89">
        <v>12</v>
      </c>
      <c r="BP208" s="117">
        <f>Whole!BP208+Whole!BQ208+'Tot Retail'!BP208</f>
        <v>2801054</v>
      </c>
      <c r="BQ208" s="117"/>
      <c r="BR208" s="117"/>
      <c r="BS208" s="117"/>
      <c r="BT208" s="176">
        <f>Whole!BT208+'Tot Retail'!BT208</f>
        <v>2797728.2742743604</v>
      </c>
      <c r="BU208" s="117">
        <f t="shared" si="50"/>
        <v>242521.09359351732</v>
      </c>
      <c r="BV208" s="117"/>
      <c r="BW208" s="117">
        <f t="shared" si="51"/>
        <v>-3325.7257256396115</v>
      </c>
    </row>
    <row r="209" spans="1:75">
      <c r="A209" s="4">
        <v>2000</v>
      </c>
      <c r="B209" s="4">
        <v>1</v>
      </c>
      <c r="C209" s="108">
        <f>Whole!C209+Whole!D209+'Tot Retail'!C209</f>
        <v>2668858</v>
      </c>
      <c r="D209" s="108">
        <f>Whole!E209+'Tot Retail'!D209</f>
        <v>1310134</v>
      </c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>
        <f t="shared" si="48"/>
        <v>107563</v>
      </c>
      <c r="Z209" s="175">
        <f>Whole!Z209+'Tot Retail'!Z209</f>
        <v>2742644</v>
      </c>
      <c r="AA209" s="108">
        <f t="shared" ref="AA209:AA261" si="52">Z209-C209</f>
        <v>73786</v>
      </c>
      <c r="AB209" s="523">
        <f>Whole!Z197+'Tot Retail'!AB197</f>
        <v>2635081</v>
      </c>
      <c r="BN209" s="4">
        <v>2000</v>
      </c>
      <c r="BO209" s="4">
        <v>1</v>
      </c>
      <c r="BP209" s="108">
        <f>Whole!BP209+Whole!BQ209+'Tot Retail'!BP209</f>
        <v>2915876</v>
      </c>
      <c r="BQ209" s="108"/>
      <c r="BR209" s="108"/>
      <c r="BS209" s="108"/>
      <c r="BT209" s="175">
        <f>Whole!BT209+'Tot Retail'!BT209</f>
        <v>2843362.4098480856</v>
      </c>
      <c r="BU209" s="108">
        <f t="shared" si="50"/>
        <v>158913.75778369792</v>
      </c>
      <c r="BV209" s="108"/>
      <c r="BW209" s="108">
        <f t="shared" si="51"/>
        <v>-72513.590151914395</v>
      </c>
    </row>
    <row r="210" spans="1:75">
      <c r="A210" s="4">
        <v>2000</v>
      </c>
      <c r="B210" s="4">
        <v>2</v>
      </c>
      <c r="C210" s="108">
        <f>Whole!C210+Whole!D210+'Tot Retail'!C210</f>
        <v>3105082</v>
      </c>
      <c r="D210" s="108">
        <f>Whole!E210+'Tot Retail'!D210</f>
        <v>1424980</v>
      </c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>
        <f t="shared" si="48"/>
        <v>452711</v>
      </c>
      <c r="Z210" s="175">
        <f>Whole!Z210+'Tot Retail'!Z210</f>
        <v>2917008</v>
      </c>
      <c r="AA210" s="108">
        <f t="shared" si="52"/>
        <v>-188074</v>
      </c>
      <c r="AB210" s="523">
        <f>Whole!Z198+'Tot Retail'!AB198</f>
        <v>2464297</v>
      </c>
      <c r="BN210" s="4">
        <v>2000</v>
      </c>
      <c r="BO210" s="4">
        <v>2</v>
      </c>
      <c r="BP210" s="108">
        <f>Whole!BP210+Whole!BQ210+'Tot Retail'!BP210</f>
        <v>2616170</v>
      </c>
      <c r="BQ210" s="108"/>
      <c r="BR210" s="108"/>
      <c r="BS210" s="108"/>
      <c r="BT210" s="175">
        <f>Whole!BT210+'Tot Retail'!BT210</f>
        <v>2606570.83153571</v>
      </c>
      <c r="BU210" s="108">
        <f t="shared" si="50"/>
        <v>349630.77300261334</v>
      </c>
      <c r="BV210" s="108"/>
      <c r="BW210" s="108">
        <f t="shared" si="51"/>
        <v>-9599.1684642899781</v>
      </c>
    </row>
    <row r="211" spans="1:75">
      <c r="A211" s="4">
        <v>2000</v>
      </c>
      <c r="B211" s="4">
        <v>3</v>
      </c>
      <c r="C211" s="108">
        <f>Whole!C211+Whole!D211+'Tot Retail'!C211</f>
        <v>2591420</v>
      </c>
      <c r="D211" s="108">
        <f>Whole!E211+'Tot Retail'!D211</f>
        <v>1395057</v>
      </c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>
        <f t="shared" si="48"/>
        <v>114917</v>
      </c>
      <c r="Z211" s="175">
        <f>Whole!Z211+'Tot Retail'!Z211</f>
        <v>2653645</v>
      </c>
      <c r="AA211" s="108">
        <f t="shared" si="52"/>
        <v>62225</v>
      </c>
      <c r="AB211" s="523">
        <f>Whole!Z199+'Tot Retail'!AB199</f>
        <v>2538728</v>
      </c>
      <c r="BN211" s="4">
        <v>2000</v>
      </c>
      <c r="BO211" s="4">
        <v>3</v>
      </c>
      <c r="BP211" s="108">
        <f>Whole!BP211+Whole!BQ211+'Tot Retail'!BP211</f>
        <v>2810298</v>
      </c>
      <c r="BQ211" s="108"/>
      <c r="BR211" s="108"/>
      <c r="BS211" s="108"/>
      <c r="BT211" s="175">
        <f>Whole!BT211+'Tot Retail'!BT211</f>
        <v>2810016.2202606481</v>
      </c>
      <c r="BU211" s="108">
        <f t="shared" si="50"/>
        <v>187700.04368713219</v>
      </c>
      <c r="BV211" s="108"/>
      <c r="BW211" s="108">
        <f t="shared" si="51"/>
        <v>-281.77973935194314</v>
      </c>
    </row>
    <row r="212" spans="1:75">
      <c r="A212" s="4">
        <v>2000</v>
      </c>
      <c r="B212" s="4">
        <v>4</v>
      </c>
      <c r="C212" s="108">
        <f>Whole!C212+Whole!D212+'Tot Retail'!C212</f>
        <v>2777323</v>
      </c>
      <c r="D212" s="108">
        <f>Whole!E212+'Tot Retail'!D212</f>
        <v>1418136</v>
      </c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>
        <f t="shared" si="48"/>
        <v>215305</v>
      </c>
      <c r="Z212" s="175">
        <f>Whole!Z212+'Tot Retail'!Z212</f>
        <v>2782881</v>
      </c>
      <c r="AA212" s="108">
        <f t="shared" si="52"/>
        <v>5558</v>
      </c>
      <c r="AB212" s="523">
        <f>Whole!Z200+'Tot Retail'!AB200</f>
        <v>2567576</v>
      </c>
      <c r="BN212" s="4">
        <v>2000</v>
      </c>
      <c r="BO212" s="4">
        <v>4</v>
      </c>
      <c r="BP212" s="108">
        <f>Whole!BP212+Whole!BQ212+'Tot Retail'!BP212</f>
        <v>2663818</v>
      </c>
      <c r="BQ212" s="108"/>
      <c r="BR212" s="108"/>
      <c r="BS212" s="108"/>
      <c r="BT212" s="175">
        <f>Whole!BT212+'Tot Retail'!BT212</f>
        <v>2728512.0365136135</v>
      </c>
      <c r="BU212" s="108">
        <f t="shared" si="50"/>
        <v>-10578.631603387184</v>
      </c>
      <c r="BV212" s="108"/>
      <c r="BW212" s="108">
        <f t="shared" si="51"/>
        <v>64694.036513613537</v>
      </c>
    </row>
    <row r="213" spans="1:75">
      <c r="A213" s="4">
        <v>2000</v>
      </c>
      <c r="B213" s="4">
        <v>5</v>
      </c>
      <c r="C213" s="108">
        <f>Whole!C213+Whole!D213+'Tot Retail'!C213</f>
        <v>2882310</v>
      </c>
      <c r="D213" s="108">
        <f>Whole!E213+'Tot Retail'!D213</f>
        <v>1385278</v>
      </c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>
        <f t="shared" si="48"/>
        <v>256783</v>
      </c>
      <c r="Z213" s="175">
        <f>Whole!Z213+'Tot Retail'!Z213</f>
        <v>2883928</v>
      </c>
      <c r="AA213" s="108">
        <f t="shared" si="52"/>
        <v>1618</v>
      </c>
      <c r="AB213" s="523">
        <f>Whole!Z201+'Tot Retail'!AB201</f>
        <v>2627145</v>
      </c>
      <c r="BN213" s="4">
        <v>2000</v>
      </c>
      <c r="BO213" s="4">
        <v>5</v>
      </c>
      <c r="BP213" s="108">
        <f>Whole!BP213+Whole!BQ213+'Tot Retail'!BP213</f>
        <v>3530158</v>
      </c>
      <c r="BQ213" s="108"/>
      <c r="BR213" s="108"/>
      <c r="BS213" s="108"/>
      <c r="BT213" s="175">
        <f>Whole!BT213+'Tot Retail'!BT213</f>
        <v>3415362.1186891245</v>
      </c>
      <c r="BU213" s="108">
        <f t="shared" si="50"/>
        <v>184655.55204990599</v>
      </c>
      <c r="BV213" s="108"/>
      <c r="BW213" s="108">
        <f t="shared" si="51"/>
        <v>-114795.88131087553</v>
      </c>
    </row>
    <row r="214" spans="1:75">
      <c r="A214" s="4">
        <v>2000</v>
      </c>
      <c r="B214" s="4">
        <v>6</v>
      </c>
      <c r="C214" s="108">
        <f>Whole!C214+Whole!D214+'Tot Retail'!C214</f>
        <v>3673488</v>
      </c>
      <c r="D214" s="108">
        <f>Whole!E214+'Tot Retail'!D214</f>
        <v>1381217</v>
      </c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>
        <f t="shared" si="48"/>
        <v>99888</v>
      </c>
      <c r="Z214" s="175">
        <f>Whole!Z214+'Tot Retail'!Z214</f>
        <v>3526980</v>
      </c>
      <c r="AA214" s="108">
        <f t="shared" si="52"/>
        <v>-146508</v>
      </c>
      <c r="AB214" s="523">
        <f>Whole!Z202+'Tot Retail'!AB202</f>
        <v>3427092</v>
      </c>
      <c r="BN214" s="4">
        <v>2000</v>
      </c>
      <c r="BO214" s="4">
        <v>6</v>
      </c>
      <c r="BP214" s="108">
        <f>Whole!BP214+Whole!BQ214+'Tot Retail'!BP214</f>
        <v>3660613</v>
      </c>
      <c r="BQ214" s="108"/>
      <c r="BR214" s="108"/>
      <c r="BS214" s="108"/>
      <c r="BT214" s="175">
        <f>Whole!BT214+'Tot Retail'!BT214</f>
        <v>3613356.3524274235</v>
      </c>
      <c r="BU214" s="108">
        <f t="shared" si="50"/>
        <v>248129.43560506543</v>
      </c>
      <c r="BV214" s="108"/>
      <c r="BW214" s="108">
        <f t="shared" si="51"/>
        <v>-47256.647572576534</v>
      </c>
    </row>
    <row r="215" spans="1:75">
      <c r="A215" s="4">
        <v>2000</v>
      </c>
      <c r="B215" s="4">
        <v>7</v>
      </c>
      <c r="C215" s="108">
        <f>Whole!C215+Whole!D215+'Tot Retail'!C215</f>
        <v>3903117</v>
      </c>
      <c r="D215" s="108">
        <f>Whole!E215+'Tot Retail'!D215</f>
        <v>1397021</v>
      </c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>
        <f t="shared" si="48"/>
        <v>291648</v>
      </c>
      <c r="Z215" s="175">
        <f>Whole!Z215+'Tot Retail'!Z215</f>
        <v>3828496</v>
      </c>
      <c r="AA215" s="108">
        <f t="shared" si="52"/>
        <v>-74621</v>
      </c>
      <c r="AB215" s="523">
        <f>Whole!Z203+'Tot Retail'!AB203</f>
        <v>3536848</v>
      </c>
      <c r="BN215" s="4">
        <v>2000</v>
      </c>
      <c r="BO215" s="4">
        <v>7</v>
      </c>
      <c r="BP215" s="108">
        <f>Whole!BP215+Whole!BQ215+'Tot Retail'!BP215</f>
        <v>3862823</v>
      </c>
      <c r="BQ215" s="108"/>
      <c r="BR215" s="108"/>
      <c r="BS215" s="108"/>
      <c r="BT215" s="175">
        <f>Whole!BT215+'Tot Retail'!BT215</f>
        <v>3865617.5134809995</v>
      </c>
      <c r="BU215" s="108">
        <f t="shared" si="50"/>
        <v>-14939.313491517212</v>
      </c>
      <c r="BV215" s="108"/>
      <c r="BW215" s="108">
        <f t="shared" si="51"/>
        <v>2794.513480999507</v>
      </c>
    </row>
    <row r="216" spans="1:75">
      <c r="A216" s="4">
        <v>2000</v>
      </c>
      <c r="B216" s="4">
        <v>8</v>
      </c>
      <c r="C216" s="108">
        <f>Whole!C216+Whole!D216+'Tot Retail'!C216</f>
        <v>3768800</v>
      </c>
      <c r="D216" s="108">
        <f>Whole!E216+'Tot Retail'!D216</f>
        <v>1410326</v>
      </c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>
        <f t="shared" si="48"/>
        <v>-36541</v>
      </c>
      <c r="Z216" s="175">
        <f>Whole!Z216+'Tot Retail'!Z216</f>
        <v>3813225</v>
      </c>
      <c r="AA216" s="108">
        <f t="shared" si="52"/>
        <v>44425</v>
      </c>
      <c r="AB216" s="523">
        <f>Whole!Z204+'Tot Retail'!AB204</f>
        <v>3849766</v>
      </c>
      <c r="BN216" s="4">
        <v>2000</v>
      </c>
      <c r="BO216" s="4">
        <v>8</v>
      </c>
      <c r="BP216" s="108">
        <f>Whole!BP216+Whole!BQ216+'Tot Retail'!BP216</f>
        <v>3990970</v>
      </c>
      <c r="BQ216" s="108"/>
      <c r="BR216" s="108"/>
      <c r="BS216" s="108"/>
      <c r="BT216" s="175">
        <f>Whole!BT216+'Tot Retail'!BT216</f>
        <v>3983377.3526484356</v>
      </c>
      <c r="BU216" s="108">
        <f t="shared" si="50"/>
        <v>107020.28196123661</v>
      </c>
      <c r="BV216" s="108"/>
      <c r="BW216" s="108">
        <f t="shared" si="51"/>
        <v>-7592.6473515643738</v>
      </c>
    </row>
    <row r="217" spans="1:75">
      <c r="A217" s="4">
        <v>2000</v>
      </c>
      <c r="B217" s="4">
        <v>9</v>
      </c>
      <c r="C217" s="108">
        <f>Whole!C217+Whole!D217+'Tot Retail'!C217</f>
        <v>4027470</v>
      </c>
      <c r="D217" s="108">
        <f>Whole!E217+'Tot Retail'!D217</f>
        <v>1418294</v>
      </c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>
        <f t="shared" si="48"/>
        <v>78053</v>
      </c>
      <c r="Z217" s="175">
        <f>Whole!Z217+'Tot Retail'!Z217</f>
        <v>3964525</v>
      </c>
      <c r="AA217" s="108">
        <f t="shared" si="52"/>
        <v>-62945</v>
      </c>
      <c r="AB217" s="523">
        <f>Whole!Z205+'Tot Retail'!AB205</f>
        <v>3886472</v>
      </c>
      <c r="BN217" s="4">
        <v>2000</v>
      </c>
      <c r="BO217" s="4">
        <v>9</v>
      </c>
      <c r="BP217" s="108">
        <f>Whole!BP217+Whole!BQ217+'Tot Retail'!BP217</f>
        <v>3623904</v>
      </c>
      <c r="BQ217" s="108"/>
      <c r="BR217" s="108"/>
      <c r="BS217" s="108"/>
      <c r="BT217" s="175">
        <f>Whole!BT217+'Tot Retail'!BT217</f>
        <v>3610799.2414379804</v>
      </c>
      <c r="BU217" s="108">
        <f t="shared" ref="BU217:BU248" si="53">BT217-BT205</f>
        <v>-33800.252346533351</v>
      </c>
      <c r="BV217" s="108"/>
      <c r="BW217" s="108">
        <f t="shared" si="51"/>
        <v>-13104.75856201956</v>
      </c>
    </row>
    <row r="218" spans="1:75">
      <c r="A218" s="4">
        <v>2000</v>
      </c>
      <c r="B218" s="4">
        <v>10</v>
      </c>
      <c r="C218" s="108">
        <f>Whole!C218+Whole!D218+'Tot Retail'!C218</f>
        <v>3361545</v>
      </c>
      <c r="D218" s="108">
        <f>Whole!E218+'Tot Retail'!D218</f>
        <v>1403443</v>
      </c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>
        <f t="shared" si="48"/>
        <v>25551</v>
      </c>
      <c r="Z218" s="175">
        <f>Whole!Z218+'Tot Retail'!Z218</f>
        <v>3474435</v>
      </c>
      <c r="AA218" s="108">
        <f t="shared" si="52"/>
        <v>112890</v>
      </c>
      <c r="AB218" s="523">
        <f>Whole!Z206+'Tot Retail'!AB206</f>
        <v>3448884</v>
      </c>
      <c r="BN218" s="4">
        <v>2000</v>
      </c>
      <c r="BO218" s="4">
        <v>10</v>
      </c>
      <c r="BP218" s="108">
        <f>Whole!BP218+Whole!BQ218+'Tot Retail'!BP218</f>
        <v>3066646</v>
      </c>
      <c r="BQ218" s="108"/>
      <c r="BR218" s="108"/>
      <c r="BS218" s="108"/>
      <c r="BT218" s="175">
        <f>Whole!BT218+'Tot Retail'!BT218</f>
        <v>3256584.0236440292</v>
      </c>
      <c r="BU218" s="108">
        <f t="shared" si="53"/>
        <v>62654.269977529533</v>
      </c>
      <c r="BV218" s="108"/>
      <c r="BW218" s="108">
        <f t="shared" si="51"/>
        <v>189938.02364402916</v>
      </c>
    </row>
    <row r="219" spans="1:75">
      <c r="A219" s="4">
        <v>2000</v>
      </c>
      <c r="B219" s="4">
        <v>11</v>
      </c>
      <c r="C219" s="108">
        <f>Whole!C219+Whole!D219+'Tot Retail'!C219</f>
        <v>2912549</v>
      </c>
      <c r="D219" s="108">
        <f>Whole!E219+'Tot Retail'!D219</f>
        <v>1476059</v>
      </c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>
        <f t="shared" si="48"/>
        <v>12436</v>
      </c>
      <c r="Z219" s="175">
        <f>Whole!Z219+'Tot Retail'!Z219</f>
        <v>3054128</v>
      </c>
      <c r="AA219" s="108">
        <f t="shared" si="52"/>
        <v>141579</v>
      </c>
      <c r="AB219" s="523">
        <f>Whole!Z207+'Tot Retail'!AB207</f>
        <v>3041692</v>
      </c>
      <c r="BN219" s="4">
        <v>2000</v>
      </c>
      <c r="BO219" s="4">
        <v>11</v>
      </c>
      <c r="BP219" s="108">
        <f>Whole!BP219+Whole!BQ219+'Tot Retail'!BP219</f>
        <v>2855555</v>
      </c>
      <c r="BQ219" s="108"/>
      <c r="BR219" s="108"/>
      <c r="BS219" s="108"/>
      <c r="BT219" s="175">
        <f>Whole!BT219+'Tot Retail'!BT219</f>
        <v>2781532.7746036416</v>
      </c>
      <c r="BU219" s="108">
        <f t="shared" si="53"/>
        <v>126684.64932606835</v>
      </c>
      <c r="BV219" s="108"/>
      <c r="BW219" s="108">
        <f t="shared" si="51"/>
        <v>-74022.225396358408</v>
      </c>
    </row>
    <row r="220" spans="1:75" s="89" customFormat="1">
      <c r="A220" s="89">
        <v>2000</v>
      </c>
      <c r="B220" s="89">
        <v>12</v>
      </c>
      <c r="C220" s="117">
        <f>Whole!C220+Whole!D220+'Tot Retail'!C220</f>
        <v>2892039</v>
      </c>
      <c r="D220" s="117">
        <f>Whole!E220+'Tot Retail'!D220</f>
        <v>1383648</v>
      </c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>
        <f t="shared" si="48"/>
        <v>20390</v>
      </c>
      <c r="Z220" s="176">
        <f>Whole!Z220+'Tot Retail'!Z220</f>
        <v>2815656</v>
      </c>
      <c r="AA220" s="117">
        <f t="shared" si="52"/>
        <v>-76383</v>
      </c>
      <c r="AB220" s="501">
        <f>Whole!Z208+'Tot Retail'!AB208</f>
        <v>2795266</v>
      </c>
      <c r="BN220" s="89">
        <v>2000</v>
      </c>
      <c r="BO220" s="89">
        <v>12</v>
      </c>
      <c r="BP220" s="117">
        <f>Whole!BP220+Whole!BQ220+'Tot Retail'!BP220</f>
        <v>3310954</v>
      </c>
      <c r="BQ220" s="117"/>
      <c r="BR220" s="117"/>
      <c r="BS220" s="117"/>
      <c r="BT220" s="176">
        <f>Whole!BT220+'Tot Retail'!BT220</f>
        <v>2993342.255560067</v>
      </c>
      <c r="BU220" s="117">
        <f t="shared" si="53"/>
        <v>195613.98128570663</v>
      </c>
      <c r="BV220" s="117"/>
      <c r="BW220" s="117">
        <f t="shared" si="51"/>
        <v>-317611.74443993298</v>
      </c>
    </row>
    <row r="221" spans="1:75">
      <c r="A221" s="4">
        <f t="shared" ref="A221:A252" si="54">A209+1</f>
        <v>2001</v>
      </c>
      <c r="B221" s="4">
        <f t="shared" ref="B221:B252" si="55">B209</f>
        <v>1</v>
      </c>
      <c r="C221" s="108">
        <f>Whole!C221+Whole!D221+'Tot Retail'!C221</f>
        <v>3651021</v>
      </c>
      <c r="D221" s="108">
        <f>Whole!E221+'Tot Retail'!D221</f>
        <v>1465055</v>
      </c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>
        <f t="shared" ref="Y221:Y263" si="56">Z221-Z209</f>
        <v>361705</v>
      </c>
      <c r="Z221" s="175">
        <f>Whole!Z221+'Tot Retail'!Z221</f>
        <v>3104349</v>
      </c>
      <c r="AA221" s="108">
        <f t="shared" si="52"/>
        <v>-546672</v>
      </c>
      <c r="AB221" s="523">
        <f>Whole!Z209+'Tot Retail'!AB209</f>
        <v>2857675</v>
      </c>
      <c r="BN221" s="4">
        <f t="shared" ref="BN221:BN295" si="57">BN209+1</f>
        <v>2001</v>
      </c>
      <c r="BO221" s="4">
        <f t="shared" ref="BO221:BO295" si="58">BO209</f>
        <v>1</v>
      </c>
      <c r="BP221" s="108">
        <f>Whole!BP221+Whole!BQ221+'Tot Retail'!BP221</f>
        <v>3466726</v>
      </c>
      <c r="BQ221" s="108"/>
      <c r="BR221" s="108"/>
      <c r="BS221" s="108"/>
      <c r="BT221" s="175">
        <f>Whole!BT221+'Tot Retail'!BT221</f>
        <v>3011262.6205351194</v>
      </c>
      <c r="BU221" s="108">
        <f t="shared" si="53"/>
        <v>167900.21068703383</v>
      </c>
      <c r="BV221" s="108"/>
      <c r="BW221" s="108">
        <f t="shared" si="51"/>
        <v>-455463.37946488056</v>
      </c>
    </row>
    <row r="222" spans="1:75">
      <c r="A222" s="4">
        <f t="shared" si="54"/>
        <v>2001</v>
      </c>
      <c r="B222" s="4">
        <f t="shared" si="55"/>
        <v>2</v>
      </c>
      <c r="C222" s="108">
        <f>Whole!C222+Whole!D222+'Tot Retail'!C222</f>
        <v>2988627</v>
      </c>
      <c r="D222" s="108">
        <f>Whole!E222+'Tot Retail'!D222</f>
        <v>1434861</v>
      </c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>
        <f t="shared" si="56"/>
        <v>-57508</v>
      </c>
      <c r="Z222" s="175">
        <f>Whole!Z222+'Tot Retail'!Z222</f>
        <v>2859500</v>
      </c>
      <c r="AA222" s="108">
        <f t="shared" si="52"/>
        <v>-129127</v>
      </c>
      <c r="AB222" s="523">
        <f>Whole!Z210+'Tot Retail'!AB210</f>
        <v>2882267</v>
      </c>
      <c r="BN222" s="4">
        <f t="shared" si="57"/>
        <v>2001</v>
      </c>
      <c r="BO222" s="4">
        <f t="shared" si="58"/>
        <v>2</v>
      </c>
      <c r="BP222" s="108">
        <f>Whole!BP222+Whole!BQ222+'Tot Retail'!BP222</f>
        <v>2508504</v>
      </c>
      <c r="BQ222" s="108"/>
      <c r="BR222" s="108"/>
      <c r="BS222" s="108"/>
      <c r="BT222" s="175">
        <f>Whole!BT222+'Tot Retail'!BT222</f>
        <v>2559811.3310217001</v>
      </c>
      <c r="BU222" s="108">
        <f t="shared" si="53"/>
        <v>-46759.500514009967</v>
      </c>
      <c r="BV222" s="108"/>
      <c r="BW222" s="108">
        <f t="shared" si="51"/>
        <v>51307.331021700054</v>
      </c>
    </row>
    <row r="223" spans="1:75">
      <c r="A223" s="4">
        <f t="shared" si="54"/>
        <v>2001</v>
      </c>
      <c r="B223" s="4">
        <f t="shared" si="55"/>
        <v>3</v>
      </c>
      <c r="C223" s="108">
        <f>Whole!C223+Whole!D223+'Tot Retail'!C223</f>
        <v>2618604</v>
      </c>
      <c r="D223" s="108">
        <f>Whole!E223+'Tot Retail'!D223</f>
        <v>1387526</v>
      </c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>
        <f t="shared" si="56"/>
        <v>-3010</v>
      </c>
      <c r="Z223" s="175">
        <f>Whole!Z223+'Tot Retail'!Z223</f>
        <v>2650635</v>
      </c>
      <c r="AA223" s="108">
        <f t="shared" si="52"/>
        <v>32031</v>
      </c>
      <c r="AB223" s="523">
        <f>Whole!Z211+'Tot Retail'!AB211</f>
        <v>2703343</v>
      </c>
      <c r="BN223" s="4">
        <f t="shared" si="57"/>
        <v>2001</v>
      </c>
      <c r="BO223" s="4">
        <f t="shared" si="58"/>
        <v>3</v>
      </c>
      <c r="BP223" s="108">
        <f>Whole!BP223+Whole!BQ223+'Tot Retail'!BP223</f>
        <v>2787424</v>
      </c>
      <c r="BQ223" s="108"/>
      <c r="BR223" s="108"/>
      <c r="BS223" s="108"/>
      <c r="BT223" s="175">
        <f>Whole!BT223+'Tot Retail'!BT223</f>
        <v>2801890.7593399235</v>
      </c>
      <c r="BU223" s="108">
        <f t="shared" si="53"/>
        <v>-8125.4609207245521</v>
      </c>
      <c r="BV223" s="108"/>
      <c r="BW223" s="108">
        <f t="shared" si="51"/>
        <v>14466.759339923505</v>
      </c>
    </row>
    <row r="224" spans="1:75">
      <c r="A224" s="4">
        <f t="shared" si="54"/>
        <v>2001</v>
      </c>
      <c r="B224" s="4">
        <f t="shared" si="55"/>
        <v>4</v>
      </c>
      <c r="C224" s="108">
        <f>Whole!C224+Whole!D224+'Tot Retail'!C224</f>
        <v>2856598</v>
      </c>
      <c r="D224" s="108">
        <f>Whole!E224+'Tot Retail'!D224</f>
        <v>1476178</v>
      </c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>
        <f t="shared" si="56"/>
        <v>98929</v>
      </c>
      <c r="Z224" s="175">
        <f>Whole!Z224+'Tot Retail'!Z224</f>
        <v>2881810</v>
      </c>
      <c r="AA224" s="108">
        <f t="shared" si="52"/>
        <v>25212</v>
      </c>
      <c r="AB224" s="523">
        <f>Whole!Z212+'Tot Retail'!AB212</f>
        <v>2764817</v>
      </c>
      <c r="BN224" s="4">
        <f t="shared" si="57"/>
        <v>2001</v>
      </c>
      <c r="BO224" s="4">
        <f t="shared" si="58"/>
        <v>4</v>
      </c>
      <c r="BP224" s="108">
        <f>Whole!BP224+Whole!BQ224+'Tot Retail'!BP224</f>
        <v>2953604</v>
      </c>
      <c r="BQ224" s="108"/>
      <c r="BR224" s="108"/>
      <c r="BS224" s="108"/>
      <c r="BT224" s="175">
        <f>Whole!BT224+'Tot Retail'!BT224</f>
        <v>2937663.5065165348</v>
      </c>
      <c r="BU224" s="108">
        <f t="shared" si="53"/>
        <v>209151.4700029213</v>
      </c>
      <c r="BV224" s="108"/>
      <c r="BW224" s="108">
        <f t="shared" si="51"/>
        <v>-15940.493483465165</v>
      </c>
    </row>
    <row r="225" spans="1:75">
      <c r="A225" s="4">
        <f t="shared" si="54"/>
        <v>2001</v>
      </c>
      <c r="B225" s="4">
        <f t="shared" si="55"/>
        <v>5</v>
      </c>
      <c r="C225" s="108">
        <f>Whole!C225+Whole!D225+'Tot Retail'!C225</f>
        <v>2944433</v>
      </c>
      <c r="D225" s="108">
        <f>Whole!E225+'Tot Retail'!D225</f>
        <v>1440060</v>
      </c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>
        <f t="shared" si="56"/>
        <v>123476</v>
      </c>
      <c r="Z225" s="175">
        <f>Whole!Z225+'Tot Retail'!Z225</f>
        <v>3007404</v>
      </c>
      <c r="AA225" s="108">
        <f t="shared" si="52"/>
        <v>62971</v>
      </c>
      <c r="AB225" s="523">
        <f>Whole!Z213+'Tot Retail'!AB213</f>
        <v>2895429</v>
      </c>
      <c r="BN225" s="4">
        <f t="shared" si="57"/>
        <v>2001</v>
      </c>
      <c r="BO225" s="4">
        <f t="shared" si="58"/>
        <v>5</v>
      </c>
      <c r="BP225" s="108">
        <f>Whole!BP225+Whole!BQ225+'Tot Retail'!BP225</f>
        <v>3313984</v>
      </c>
      <c r="BQ225" s="108"/>
      <c r="BR225" s="108"/>
      <c r="BS225" s="108"/>
      <c r="BT225" s="175">
        <f>Whole!BT225+'Tot Retail'!BT225</f>
        <v>3441712.2608865476</v>
      </c>
      <c r="BU225" s="108">
        <f t="shared" si="53"/>
        <v>26350.142197423149</v>
      </c>
      <c r="BV225" s="108"/>
      <c r="BW225" s="108">
        <f t="shared" si="51"/>
        <v>127728.26088654762</v>
      </c>
    </row>
    <row r="226" spans="1:75">
      <c r="A226" s="4">
        <f t="shared" si="54"/>
        <v>2001</v>
      </c>
      <c r="B226" s="4">
        <f t="shared" si="55"/>
        <v>6</v>
      </c>
      <c r="C226" s="108">
        <f>Whole!C226+Whole!D226+'Tot Retail'!C226</f>
        <v>3580950</v>
      </c>
      <c r="D226" s="108">
        <f>Whole!E226+'Tot Retail'!D226</f>
        <v>1440999</v>
      </c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>
        <f t="shared" si="56"/>
        <v>52269</v>
      </c>
      <c r="Z226" s="175">
        <f>Whole!Z226+'Tot Retail'!Z226</f>
        <v>3579249</v>
      </c>
      <c r="AA226" s="108">
        <f t="shared" si="52"/>
        <v>-1701</v>
      </c>
      <c r="AB226" s="523">
        <f>Whole!Z214+'Tot Retail'!AB214</f>
        <v>3535743</v>
      </c>
      <c r="BN226" s="4">
        <f t="shared" si="57"/>
        <v>2001</v>
      </c>
      <c r="BO226" s="4">
        <f t="shared" si="58"/>
        <v>6</v>
      </c>
      <c r="BP226" s="108">
        <f>Whole!BP226+Whole!BQ226+'Tot Retail'!BP226</f>
        <v>3669090</v>
      </c>
      <c r="BQ226" s="108"/>
      <c r="BR226" s="108"/>
      <c r="BS226" s="108"/>
      <c r="BT226" s="175">
        <f>Whole!BT226+'Tot Retail'!BT226</f>
        <v>3670637.6960278433</v>
      </c>
      <c r="BU226" s="108">
        <f t="shared" si="53"/>
        <v>57281.343600419816</v>
      </c>
      <c r="BV226" s="108"/>
      <c r="BW226" s="108">
        <f t="shared" si="51"/>
        <v>1547.6960278432816</v>
      </c>
    </row>
    <row r="227" spans="1:75">
      <c r="A227" s="4">
        <f t="shared" si="54"/>
        <v>2001</v>
      </c>
      <c r="B227" s="4">
        <f t="shared" si="55"/>
        <v>7</v>
      </c>
      <c r="C227" s="108">
        <f>Whole!C227+Whole!D227+'Tot Retail'!C227</f>
        <v>3669239</v>
      </c>
      <c r="D227" s="108">
        <f>Whole!E227+'Tot Retail'!D227</f>
        <v>1419247</v>
      </c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>
        <f t="shared" si="56"/>
        <v>-96826</v>
      </c>
      <c r="Z227" s="175">
        <f>Whole!Z227+'Tot Retail'!Z227</f>
        <v>3731670</v>
      </c>
      <c r="AA227" s="108">
        <f t="shared" si="52"/>
        <v>62431</v>
      </c>
      <c r="AB227" s="523">
        <f>Whole!Z215+'Tot Retail'!AB215</f>
        <v>3833494</v>
      </c>
      <c r="BN227" s="4">
        <f t="shared" si="57"/>
        <v>2001</v>
      </c>
      <c r="BO227" s="4">
        <f t="shared" si="58"/>
        <v>7</v>
      </c>
      <c r="BP227" s="108">
        <f>Whole!BP227+Whole!BQ227+'Tot Retail'!BP227</f>
        <v>3739581</v>
      </c>
      <c r="BQ227" s="108"/>
      <c r="BR227" s="108"/>
      <c r="BS227" s="108"/>
      <c r="BT227" s="175">
        <f>Whole!BT227+'Tot Retail'!BT227</f>
        <v>3830270.5026853713</v>
      </c>
      <c r="BU227" s="108">
        <f t="shared" si="53"/>
        <v>-35347.010795628186</v>
      </c>
      <c r="BV227" s="108"/>
      <c r="BW227" s="108">
        <f t="shared" si="51"/>
        <v>90689.502685371321</v>
      </c>
    </row>
    <row r="228" spans="1:75">
      <c r="A228" s="4">
        <f t="shared" si="54"/>
        <v>2001</v>
      </c>
      <c r="B228" s="4">
        <f t="shared" si="55"/>
        <v>8</v>
      </c>
      <c r="C228" s="108">
        <f>Whole!C228+Whole!D228+'Tot Retail'!C228</f>
        <v>3705606</v>
      </c>
      <c r="D228" s="108">
        <f>Whole!E228+'Tot Retail'!D228</f>
        <v>1449904</v>
      </c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>
        <f t="shared" si="56"/>
        <v>64660</v>
      </c>
      <c r="Z228" s="175">
        <f>Whole!Z228+'Tot Retail'!Z228</f>
        <v>3877885</v>
      </c>
      <c r="AA228" s="108">
        <f t="shared" si="52"/>
        <v>172279</v>
      </c>
      <c r="AB228" s="523">
        <f>Whole!Z216+'Tot Retail'!AB216</f>
        <v>3797012</v>
      </c>
      <c r="BN228" s="4">
        <f t="shared" si="57"/>
        <v>2001</v>
      </c>
      <c r="BO228" s="4">
        <f t="shared" si="58"/>
        <v>8</v>
      </c>
      <c r="BP228" s="108">
        <f>Whole!BP228+Whole!BQ228+'Tot Retail'!BP228</f>
        <v>4067657</v>
      </c>
      <c r="BQ228" s="108"/>
      <c r="BR228" s="108"/>
      <c r="BS228" s="108"/>
      <c r="BT228" s="175">
        <f>Whole!BT228+'Tot Retail'!BT228</f>
        <v>4087953.3041799907</v>
      </c>
      <c r="BU228" s="108">
        <f t="shared" si="53"/>
        <v>104575.95153155504</v>
      </c>
      <c r="BV228" s="108"/>
      <c r="BW228" s="108">
        <f t="shared" si="51"/>
        <v>20296.304179990664</v>
      </c>
    </row>
    <row r="229" spans="1:75">
      <c r="A229" s="4">
        <f t="shared" si="54"/>
        <v>2001</v>
      </c>
      <c r="B229" s="4">
        <f t="shared" si="55"/>
        <v>9</v>
      </c>
      <c r="C229" s="108">
        <f>Whole!C229+Whole!D229+'Tot Retail'!C229</f>
        <v>4043995</v>
      </c>
      <c r="D229" s="108">
        <f>Whole!E229+'Tot Retail'!D229</f>
        <v>1452336</v>
      </c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>
        <f t="shared" si="56"/>
        <v>63204</v>
      </c>
      <c r="Z229" s="175">
        <f>Whole!Z229+'Tot Retail'!Z229</f>
        <v>4027729</v>
      </c>
      <c r="AA229" s="108">
        <f t="shared" si="52"/>
        <v>-16266</v>
      </c>
      <c r="AB229" s="523">
        <f>Whole!Z217+'Tot Retail'!AB217</f>
        <v>3949637</v>
      </c>
      <c r="BN229" s="4">
        <f t="shared" si="57"/>
        <v>2001</v>
      </c>
      <c r="BO229" s="4">
        <f t="shared" si="58"/>
        <v>9</v>
      </c>
      <c r="BP229" s="108">
        <f>Whole!BP229+Whole!BQ229+'Tot Retail'!BP229</f>
        <v>3430509.0000000005</v>
      </c>
      <c r="BQ229" s="108"/>
      <c r="BR229" s="108"/>
      <c r="BS229" s="108"/>
      <c r="BT229" s="175">
        <f>Whole!BT229+'Tot Retail'!BT229</f>
        <v>3709532.9646654981</v>
      </c>
      <c r="BU229" s="108">
        <f t="shared" si="53"/>
        <v>98733.723227517679</v>
      </c>
      <c r="BV229" s="108"/>
      <c r="BW229" s="108">
        <f t="shared" si="51"/>
        <v>279023.96466549765</v>
      </c>
    </row>
    <row r="230" spans="1:75">
      <c r="A230" s="4">
        <f t="shared" si="54"/>
        <v>2001</v>
      </c>
      <c r="B230" s="4">
        <f t="shared" si="55"/>
        <v>10</v>
      </c>
      <c r="C230" s="108">
        <f>Whole!C230+Whole!D230+'Tot Retail'!C230</f>
        <v>3195171</v>
      </c>
      <c r="D230" s="108">
        <f>Whole!E230+'Tot Retail'!D230</f>
        <v>1443624</v>
      </c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>
        <f t="shared" si="56"/>
        <v>-625</v>
      </c>
      <c r="Z230" s="175">
        <f>Whole!Z230+'Tot Retail'!Z230</f>
        <v>3473810</v>
      </c>
      <c r="AA230" s="108">
        <f t="shared" si="52"/>
        <v>278639</v>
      </c>
      <c r="AB230" s="523">
        <f>Whole!Z218+'Tot Retail'!AB218</f>
        <v>3507449</v>
      </c>
      <c r="BN230" s="4">
        <f t="shared" si="57"/>
        <v>2001</v>
      </c>
      <c r="BO230" s="4">
        <f t="shared" si="58"/>
        <v>10</v>
      </c>
      <c r="BP230" s="108">
        <f>Whole!BP230+Whole!BQ230+'Tot Retail'!BP230</f>
        <v>3102063</v>
      </c>
      <c r="BQ230" s="108"/>
      <c r="BR230" s="108"/>
      <c r="BS230" s="108"/>
      <c r="BT230" s="175">
        <f>Whole!BT230+'Tot Retail'!BT230</f>
        <v>3198832.7822155501</v>
      </c>
      <c r="BU230" s="108">
        <f t="shared" si="53"/>
        <v>-57751.241428479087</v>
      </c>
      <c r="BV230" s="108"/>
      <c r="BW230" s="108">
        <f t="shared" si="51"/>
        <v>96769.782215550076</v>
      </c>
    </row>
    <row r="231" spans="1:75">
      <c r="A231" s="4">
        <f t="shared" si="54"/>
        <v>2001</v>
      </c>
      <c r="B231" s="4">
        <f t="shared" si="55"/>
        <v>11</v>
      </c>
      <c r="C231" s="108">
        <f>Whole!C231+Whole!D231+'Tot Retail'!C231</f>
        <v>3014045</v>
      </c>
      <c r="D231" s="108">
        <f>Whole!E231+'Tot Retail'!D231</f>
        <v>1495922</v>
      </c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>
        <f t="shared" si="56"/>
        <v>36022</v>
      </c>
      <c r="Z231" s="175">
        <f>Whole!Z231+'Tot Retail'!Z231</f>
        <v>3090150</v>
      </c>
      <c r="AA231" s="108">
        <f t="shared" si="52"/>
        <v>76105</v>
      </c>
      <c r="AB231" s="523">
        <f>Whole!Z219+'Tot Retail'!AB219</f>
        <v>2974604</v>
      </c>
      <c r="BN231" s="4">
        <f t="shared" si="57"/>
        <v>2001</v>
      </c>
      <c r="BO231" s="4">
        <f t="shared" si="58"/>
        <v>11</v>
      </c>
      <c r="BP231" s="108">
        <f>Whole!BP231+Whole!BQ231+'Tot Retail'!BP231</f>
        <v>2692618</v>
      </c>
      <c r="BQ231" s="108"/>
      <c r="BR231" s="108"/>
      <c r="BS231" s="108"/>
      <c r="BT231" s="175">
        <f>Whole!BT231+'Tot Retail'!BT231</f>
        <v>2749996.9970809976</v>
      </c>
      <c r="BU231" s="108">
        <f t="shared" si="53"/>
        <v>-31535.777522644028</v>
      </c>
      <c r="BV231" s="108"/>
      <c r="BW231" s="108">
        <f t="shared" si="51"/>
        <v>57378.997080997564</v>
      </c>
    </row>
    <row r="232" spans="1:75" s="89" customFormat="1">
      <c r="A232" s="89">
        <f t="shared" si="54"/>
        <v>2001</v>
      </c>
      <c r="B232" s="89">
        <f t="shared" si="55"/>
        <v>12</v>
      </c>
      <c r="C232" s="117">
        <f>Whole!C232+Whole!D232+'Tot Retail'!C232</f>
        <v>2834013</v>
      </c>
      <c r="D232" s="117">
        <f>Whole!E232+'Tot Retail'!D232</f>
        <v>1433779</v>
      </c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>
        <f t="shared" si="56"/>
        <v>81779</v>
      </c>
      <c r="Z232" s="176">
        <f>Whole!Z232+'Tot Retail'!Z232</f>
        <v>2897435</v>
      </c>
      <c r="AA232" s="117">
        <f t="shared" si="52"/>
        <v>63422</v>
      </c>
      <c r="AB232" s="501">
        <f>Whole!Z220+'Tot Retail'!AB220</f>
        <v>2876343</v>
      </c>
      <c r="BN232" s="89">
        <f t="shared" si="57"/>
        <v>2001</v>
      </c>
      <c r="BO232" s="89">
        <f t="shared" si="58"/>
        <v>12</v>
      </c>
      <c r="BP232" s="117">
        <f>Whole!BP232+Whole!BQ232+'Tot Retail'!BP232</f>
        <v>2859249</v>
      </c>
      <c r="BQ232" s="117"/>
      <c r="BR232" s="117"/>
      <c r="BS232" s="117"/>
      <c r="BT232" s="176">
        <f>Whole!BT232+'Tot Retail'!BT232</f>
        <v>2800977.8773209983</v>
      </c>
      <c r="BU232" s="117">
        <f t="shared" si="53"/>
        <v>-192364.37823906867</v>
      </c>
      <c r="BV232" s="117"/>
      <c r="BW232" s="117">
        <f t="shared" si="51"/>
        <v>-58271.122679001652</v>
      </c>
    </row>
    <row r="233" spans="1:75">
      <c r="A233" s="4">
        <f t="shared" si="54"/>
        <v>2002</v>
      </c>
      <c r="B233" s="4">
        <f t="shared" si="55"/>
        <v>1</v>
      </c>
      <c r="C233" s="108">
        <f>Whole!C233+Whole!D233+'Tot Retail'!C233</f>
        <v>3189579</v>
      </c>
      <c r="D233" s="108">
        <f>Whole!E233+'Tot Retail'!D233</f>
        <v>1475858</v>
      </c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>
        <f t="shared" si="56"/>
        <v>-138342</v>
      </c>
      <c r="Z233" s="175">
        <f>Whole!Z233+'Tot Retail'!Z233</f>
        <v>2966007</v>
      </c>
      <c r="AA233" s="108">
        <f t="shared" si="52"/>
        <v>-223572</v>
      </c>
      <c r="AB233" s="523">
        <f>Whole!Z221+'Tot Retail'!AB221</f>
        <v>3057664</v>
      </c>
      <c r="BN233" s="4">
        <f t="shared" si="57"/>
        <v>2002</v>
      </c>
      <c r="BO233" s="4">
        <f t="shared" si="58"/>
        <v>1</v>
      </c>
      <c r="BP233" s="108">
        <f>Whole!BP233+Whole!BQ233+'Tot Retail'!BP233</f>
        <v>3122012</v>
      </c>
      <c r="BQ233" s="108"/>
      <c r="BR233" s="108"/>
      <c r="BS233" s="108"/>
      <c r="BT233" s="175">
        <f>Whole!BT233+'Tot Retail'!BT233</f>
        <v>2934710.4670997546</v>
      </c>
      <c r="BU233" s="108">
        <f t="shared" si="53"/>
        <v>-76552.153435364831</v>
      </c>
      <c r="BV233" s="108"/>
      <c r="BW233" s="108">
        <f t="shared" si="51"/>
        <v>-187301.53290024539</v>
      </c>
    </row>
    <row r="234" spans="1:75">
      <c r="A234" s="4">
        <f t="shared" si="54"/>
        <v>2002</v>
      </c>
      <c r="B234" s="4">
        <f t="shared" si="55"/>
        <v>2</v>
      </c>
      <c r="C234" s="108">
        <f>Whole!C234+Whole!D234+'Tot Retail'!C234</f>
        <v>2688759</v>
      </c>
      <c r="D234" s="108">
        <f>Whole!E234+'Tot Retail'!D234</f>
        <v>1477897</v>
      </c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>
        <f t="shared" si="56"/>
        <v>-112636</v>
      </c>
      <c r="Z234" s="175">
        <f>Whole!Z234+'Tot Retail'!Z234</f>
        <v>2746864</v>
      </c>
      <c r="AA234" s="108">
        <f t="shared" si="52"/>
        <v>58105</v>
      </c>
      <c r="AB234" s="523">
        <f>Whole!Z222+'Tot Retail'!AB222</f>
        <v>2900368</v>
      </c>
      <c r="BN234" s="4">
        <f t="shared" si="57"/>
        <v>2002</v>
      </c>
      <c r="BO234" s="4">
        <f t="shared" si="58"/>
        <v>2</v>
      </c>
      <c r="BP234" s="108">
        <f>Whole!BP234+Whole!BQ234+'Tot Retail'!BP234</f>
        <v>2515106</v>
      </c>
      <c r="BQ234" s="108"/>
      <c r="BR234" s="108"/>
      <c r="BS234" s="108"/>
      <c r="BT234" s="175">
        <f>Whole!BT234+'Tot Retail'!BT234</f>
        <v>2540359.5383757353</v>
      </c>
      <c r="BU234" s="108">
        <f t="shared" si="53"/>
        <v>-19451.792645964772</v>
      </c>
      <c r="BV234" s="108"/>
      <c r="BW234" s="108">
        <f t="shared" si="51"/>
        <v>25253.538375735283</v>
      </c>
    </row>
    <row r="235" spans="1:75">
      <c r="A235" s="4">
        <f t="shared" si="54"/>
        <v>2002</v>
      </c>
      <c r="B235" s="4">
        <f t="shared" si="55"/>
        <v>3</v>
      </c>
      <c r="C235" s="108">
        <f>Whole!C235+Whole!D235+'Tot Retail'!C235</f>
        <v>2719131</v>
      </c>
      <c r="D235" s="108">
        <f>Whole!E235+'Tot Retail'!D235</f>
        <v>1469322</v>
      </c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>
        <f t="shared" si="56"/>
        <v>-11269</v>
      </c>
      <c r="Z235" s="175">
        <f>Whole!Z235+'Tot Retail'!Z235</f>
        <v>2639366</v>
      </c>
      <c r="AA235" s="108">
        <f t="shared" si="52"/>
        <v>-79765</v>
      </c>
      <c r="AB235" s="523">
        <f>Whole!Z223+'Tot Retail'!AB223</f>
        <v>2732851</v>
      </c>
      <c r="BN235" s="4">
        <f t="shared" si="57"/>
        <v>2002</v>
      </c>
      <c r="BO235" s="4">
        <f t="shared" si="58"/>
        <v>3</v>
      </c>
      <c r="BP235" s="108">
        <f>Whole!BP235+Whole!BQ235+'Tot Retail'!BP235</f>
        <v>2991754</v>
      </c>
      <c r="BQ235" s="108"/>
      <c r="BR235" s="108"/>
      <c r="BS235" s="108"/>
      <c r="BT235" s="175">
        <f>Whole!BT235+'Tot Retail'!BT235</f>
        <v>2832169.3181420877</v>
      </c>
      <c r="BU235" s="108">
        <f t="shared" si="53"/>
        <v>30278.55880216416</v>
      </c>
      <c r="BV235" s="108"/>
      <c r="BW235" s="108">
        <f t="shared" si="51"/>
        <v>-159584.68185791234</v>
      </c>
    </row>
    <row r="236" spans="1:75">
      <c r="A236" s="4">
        <f t="shared" si="54"/>
        <v>2002</v>
      </c>
      <c r="B236" s="4">
        <f t="shared" si="55"/>
        <v>4</v>
      </c>
      <c r="C236" s="108">
        <f>Whole!C236+Whole!D236+'Tot Retail'!C236</f>
        <v>2861273</v>
      </c>
      <c r="D236" s="108">
        <f>Whole!E236+'Tot Retail'!D236</f>
        <v>1405242</v>
      </c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>
        <f t="shared" si="56"/>
        <v>-122249</v>
      </c>
      <c r="Z236" s="175">
        <f>Whole!Z236+'Tot Retail'!Z236</f>
        <v>2759561</v>
      </c>
      <c r="AA236" s="108">
        <f t="shared" si="52"/>
        <v>-101712</v>
      </c>
      <c r="AB236" s="523">
        <f>Whole!Z224+'Tot Retail'!AB224</f>
        <v>2823336</v>
      </c>
      <c r="BN236" s="4">
        <f t="shared" si="57"/>
        <v>2002</v>
      </c>
      <c r="BO236" s="4">
        <f t="shared" si="58"/>
        <v>4</v>
      </c>
      <c r="BP236" s="108">
        <f>Whole!BP236+Whole!BQ236+'Tot Retail'!BP236</f>
        <v>3137419</v>
      </c>
      <c r="BQ236" s="108"/>
      <c r="BR236" s="108"/>
      <c r="BS236" s="108"/>
      <c r="BT236" s="175">
        <f>Whole!BT236+'Tot Retail'!BT236</f>
        <v>2952078.1620119456</v>
      </c>
      <c r="BU236" s="108">
        <f t="shared" si="53"/>
        <v>14414.655495410785</v>
      </c>
      <c r="BV236" s="108"/>
      <c r="BW236" s="108">
        <f t="shared" si="51"/>
        <v>-185340.83798805438</v>
      </c>
    </row>
    <row r="237" spans="1:75">
      <c r="A237" s="4">
        <f t="shared" si="54"/>
        <v>2002</v>
      </c>
      <c r="B237" s="4">
        <f t="shared" si="55"/>
        <v>5</v>
      </c>
      <c r="C237" s="108">
        <f>Whole!C237+Whole!D237+'Tot Retail'!C237</f>
        <v>3654443</v>
      </c>
      <c r="D237" s="108">
        <f>Whole!E237+'Tot Retail'!D237</f>
        <v>1535730</v>
      </c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>
        <f t="shared" si="56"/>
        <v>290443</v>
      </c>
      <c r="Z237" s="175">
        <f>Whole!Z237+'Tot Retail'!Z237</f>
        <v>3297847</v>
      </c>
      <c r="AA237" s="108">
        <f t="shared" si="52"/>
        <v>-356596</v>
      </c>
      <c r="AB237" s="523">
        <f>Whole!Z225+'Tot Retail'!AB225</f>
        <v>2997402</v>
      </c>
      <c r="BN237" s="4">
        <f t="shared" si="57"/>
        <v>2002</v>
      </c>
      <c r="BO237" s="4">
        <f t="shared" si="58"/>
        <v>5</v>
      </c>
      <c r="BP237" s="108">
        <f>Whole!BP237+Whole!BQ237+'Tot Retail'!BP237</f>
        <v>3687062</v>
      </c>
      <c r="BQ237" s="108"/>
      <c r="BR237" s="108"/>
      <c r="BS237" s="108"/>
      <c r="BT237" s="175">
        <f>Whole!BT237+'Tot Retail'!BT237</f>
        <v>3615600.5831495719</v>
      </c>
      <c r="BU237" s="108">
        <f t="shared" si="53"/>
        <v>173888.32226302428</v>
      </c>
      <c r="BV237" s="108"/>
      <c r="BW237" s="108">
        <f t="shared" ref="BW237:BW261" si="59">BT237-BP237</f>
        <v>-71461.416850428097</v>
      </c>
    </row>
    <row r="238" spans="1:75">
      <c r="A238" s="4">
        <f t="shared" si="54"/>
        <v>2002</v>
      </c>
      <c r="B238" s="4">
        <f t="shared" si="55"/>
        <v>6</v>
      </c>
      <c r="C238" s="108">
        <f>Whole!C238+Whole!D238+'Tot Retail'!C238</f>
        <v>3396865</v>
      </c>
      <c r="D238" s="108">
        <f>Whole!E238+'Tot Retail'!D238</f>
        <v>1402612</v>
      </c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>
        <f t="shared" si="56"/>
        <v>-140152</v>
      </c>
      <c r="Z238" s="175">
        <f>Whole!Z238+'Tot Retail'!Z238</f>
        <v>3439097</v>
      </c>
      <c r="AA238" s="108">
        <f t="shared" si="52"/>
        <v>42232</v>
      </c>
      <c r="AB238" s="523">
        <f>Whole!Z226+'Tot Retail'!AB226</f>
        <v>3548833</v>
      </c>
      <c r="BN238" s="4">
        <f t="shared" si="57"/>
        <v>2002</v>
      </c>
      <c r="BO238" s="4">
        <f t="shared" si="58"/>
        <v>6</v>
      </c>
      <c r="BP238" s="108">
        <f>Whole!BP238+Whole!BQ238+'Tot Retail'!BP238</f>
        <v>3531443</v>
      </c>
      <c r="BQ238" s="108"/>
      <c r="BR238" s="108"/>
      <c r="BS238" s="108"/>
      <c r="BT238" s="175">
        <f>Whole!BT238+'Tot Retail'!BT238</f>
        <v>3620255.046800517</v>
      </c>
      <c r="BU238" s="108">
        <f t="shared" si="53"/>
        <v>-50382.64922732627</v>
      </c>
      <c r="BV238" s="108"/>
      <c r="BW238" s="108">
        <f t="shared" si="59"/>
        <v>88812.046800517011</v>
      </c>
    </row>
    <row r="239" spans="1:75">
      <c r="A239" s="4">
        <f t="shared" si="54"/>
        <v>2002</v>
      </c>
      <c r="B239" s="4">
        <f t="shared" si="55"/>
        <v>7</v>
      </c>
      <c r="C239" s="108">
        <f>Whole!C239+Whole!D239+'Tot Retail'!C239</f>
        <v>3729765</v>
      </c>
      <c r="D239" s="108">
        <f>Whole!E239+'Tot Retail'!D239</f>
        <v>1514794</v>
      </c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>
        <f t="shared" si="56"/>
        <v>175915</v>
      </c>
      <c r="Z239" s="175">
        <f>Whole!Z239+'Tot Retail'!Z239</f>
        <v>3907585</v>
      </c>
      <c r="AA239" s="108">
        <f t="shared" si="52"/>
        <v>177820</v>
      </c>
      <c r="AB239" s="523">
        <f>Whole!Z227+'Tot Retail'!AB227</f>
        <v>3776025</v>
      </c>
      <c r="BN239" s="4">
        <f t="shared" si="57"/>
        <v>2002</v>
      </c>
      <c r="BO239" s="4">
        <f t="shared" si="58"/>
        <v>7</v>
      </c>
      <c r="BP239" s="108">
        <f>Whole!BP239+Whole!BQ239+'Tot Retail'!BP239</f>
        <v>3871215</v>
      </c>
      <c r="BQ239" s="108"/>
      <c r="BR239" s="108"/>
      <c r="BS239" s="108"/>
      <c r="BT239" s="175">
        <f>Whole!BT239+'Tot Retail'!BT239</f>
        <v>3936153.1581223859</v>
      </c>
      <c r="BU239" s="108">
        <f t="shared" si="53"/>
        <v>105882.65543701453</v>
      </c>
      <c r="BV239" s="108"/>
      <c r="BW239" s="108">
        <f t="shared" si="59"/>
        <v>64938.158122385852</v>
      </c>
    </row>
    <row r="240" spans="1:75">
      <c r="A240" s="4">
        <f t="shared" si="54"/>
        <v>2002</v>
      </c>
      <c r="B240" s="4">
        <f t="shared" si="55"/>
        <v>8</v>
      </c>
      <c r="C240" s="108">
        <f>Whole!C240+Whole!D240+'Tot Retail'!C240</f>
        <v>3739701</v>
      </c>
      <c r="D240" s="108">
        <f>Whole!E240+'Tot Retail'!D240</f>
        <v>1474582</v>
      </c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>
        <f t="shared" si="56"/>
        <v>-44154</v>
      </c>
      <c r="Z240" s="175">
        <f>Whole!Z240+'Tot Retail'!Z240</f>
        <v>3833731</v>
      </c>
      <c r="AA240" s="108">
        <f t="shared" si="52"/>
        <v>94030</v>
      </c>
      <c r="AB240" s="523">
        <f>Whole!Z228+'Tot Retail'!AB228</f>
        <v>3844165</v>
      </c>
      <c r="BN240" s="4">
        <f t="shared" si="57"/>
        <v>2002</v>
      </c>
      <c r="BO240" s="4">
        <f t="shared" si="58"/>
        <v>8</v>
      </c>
      <c r="BP240" s="108">
        <f>Whole!BP240+Whole!BQ240+'Tot Retail'!BP240</f>
        <v>3872366</v>
      </c>
      <c r="BQ240" s="108"/>
      <c r="BR240" s="108"/>
      <c r="BS240" s="108"/>
      <c r="BT240" s="175">
        <f>Whole!BT240+'Tot Retail'!BT240</f>
        <v>3979690.9130278844</v>
      </c>
      <c r="BU240" s="108">
        <f t="shared" si="53"/>
        <v>-108262.39115210623</v>
      </c>
      <c r="BV240" s="108"/>
      <c r="BW240" s="108">
        <f t="shared" si="59"/>
        <v>107324.91302788444</v>
      </c>
    </row>
    <row r="241" spans="1:75">
      <c r="A241" s="4">
        <f t="shared" si="54"/>
        <v>2002</v>
      </c>
      <c r="B241" s="4">
        <f t="shared" si="55"/>
        <v>9</v>
      </c>
      <c r="C241" s="108">
        <f>Whole!C241+Whole!D241+'Tot Retail'!C241</f>
        <v>3847976</v>
      </c>
      <c r="D241" s="108">
        <f>Whole!E241+'Tot Retail'!D241</f>
        <v>1490857</v>
      </c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>
        <f t="shared" si="56"/>
        <v>-115389</v>
      </c>
      <c r="Z241" s="175">
        <f>Whole!Z241+'Tot Retail'!Z241</f>
        <v>3912340</v>
      </c>
      <c r="AA241" s="108">
        <f t="shared" si="52"/>
        <v>64364</v>
      </c>
      <c r="AB241" s="523">
        <f>Whole!Z229+'Tot Retail'!AB229</f>
        <v>4021983</v>
      </c>
      <c r="BN241" s="4">
        <f t="shared" si="57"/>
        <v>2002</v>
      </c>
      <c r="BO241" s="4">
        <f t="shared" si="58"/>
        <v>9</v>
      </c>
      <c r="BP241" s="108">
        <f>Whole!BP241+Whole!BQ241+'Tot Retail'!BP241</f>
        <v>3788386</v>
      </c>
      <c r="BQ241" s="108"/>
      <c r="BR241" s="108"/>
      <c r="BS241" s="108"/>
      <c r="BT241" s="175">
        <f>Whole!BT241+'Tot Retail'!BT241</f>
        <v>3695566.9755115635</v>
      </c>
      <c r="BU241" s="108">
        <f t="shared" si="53"/>
        <v>-13965.989153934643</v>
      </c>
      <c r="BV241" s="108"/>
      <c r="BW241" s="108">
        <f t="shared" si="59"/>
        <v>-92819.024488436524</v>
      </c>
    </row>
    <row r="242" spans="1:75">
      <c r="A242" s="4">
        <f t="shared" si="54"/>
        <v>2002</v>
      </c>
      <c r="B242" s="4">
        <f t="shared" si="55"/>
        <v>10</v>
      </c>
      <c r="C242" s="108">
        <f>Whole!C242+Whole!D242+'Tot Retail'!C242</f>
        <v>3625032</v>
      </c>
      <c r="D242" s="108">
        <f>Whole!E242+'Tot Retail'!D242</f>
        <v>1432933</v>
      </c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>
        <f t="shared" si="56"/>
        <v>-15814</v>
      </c>
      <c r="Z242" s="175">
        <f>Whole!Z242+'Tot Retail'!Z242</f>
        <v>3457996</v>
      </c>
      <c r="AA242" s="108">
        <f t="shared" si="52"/>
        <v>-167036</v>
      </c>
      <c r="AB242" s="523">
        <f>Whole!Z230+'Tot Retail'!AB230</f>
        <v>3494885</v>
      </c>
      <c r="BN242" s="4">
        <f t="shared" si="57"/>
        <v>2002</v>
      </c>
      <c r="BO242" s="4">
        <f t="shared" si="58"/>
        <v>10</v>
      </c>
      <c r="BP242" s="108">
        <f>Whole!BP242+Whole!BQ242+'Tot Retail'!BP242</f>
        <v>3648892</v>
      </c>
      <c r="BQ242" s="108"/>
      <c r="BR242" s="108"/>
      <c r="BS242" s="108"/>
      <c r="BT242" s="175">
        <f>Whole!BT242+'Tot Retail'!BT242</f>
        <v>3412222.8882510141</v>
      </c>
      <c r="BU242" s="108">
        <f t="shared" si="53"/>
        <v>213390.10603546398</v>
      </c>
      <c r="BV242" s="108"/>
      <c r="BW242" s="108">
        <f t="shared" si="59"/>
        <v>-236669.11174898595</v>
      </c>
    </row>
    <row r="243" spans="1:75">
      <c r="A243" s="4">
        <f t="shared" si="54"/>
        <v>2002</v>
      </c>
      <c r="B243" s="4">
        <f t="shared" si="55"/>
        <v>11</v>
      </c>
      <c r="C243" s="108">
        <f>Whole!C243+Whole!D243+'Tot Retail'!C243</f>
        <v>3501067</v>
      </c>
      <c r="D243" s="108">
        <f>Whole!E243+'Tot Retail'!D243</f>
        <v>1565142</v>
      </c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>
        <f t="shared" si="56"/>
        <v>219723</v>
      </c>
      <c r="Z243" s="175">
        <f>Whole!Z243+'Tot Retail'!Z243</f>
        <v>3309873</v>
      </c>
      <c r="AA243" s="108">
        <f t="shared" si="52"/>
        <v>-191194</v>
      </c>
      <c r="AB243" s="523">
        <f>Whole!Z231+'Tot Retail'!AB231</f>
        <v>3024142</v>
      </c>
      <c r="BN243" s="4">
        <f t="shared" si="57"/>
        <v>2002</v>
      </c>
      <c r="BO243" s="4">
        <f t="shared" si="58"/>
        <v>11</v>
      </c>
      <c r="BP243" s="108">
        <f>Whole!BP243+Whole!BQ243+'Tot Retail'!BP243</f>
        <v>2851842</v>
      </c>
      <c r="BQ243" s="108"/>
      <c r="BR243" s="108"/>
      <c r="BS243" s="108"/>
      <c r="BT243" s="175">
        <f>Whole!BT243+'Tot Retail'!BT243</f>
        <v>2780454.691313915</v>
      </c>
      <c r="BU243" s="108">
        <f t="shared" si="53"/>
        <v>30457.694232917391</v>
      </c>
      <c r="BV243" s="108"/>
      <c r="BW243" s="108">
        <f t="shared" si="59"/>
        <v>-71387.308686085045</v>
      </c>
    </row>
    <row r="244" spans="1:75" s="89" customFormat="1">
      <c r="A244" s="89">
        <f t="shared" si="54"/>
        <v>2002</v>
      </c>
      <c r="B244" s="89">
        <f t="shared" si="55"/>
        <v>12</v>
      </c>
      <c r="C244" s="117">
        <f>Whole!C244+Whole!D244+'Tot Retail'!C244</f>
        <v>3078820</v>
      </c>
      <c r="D244" s="117">
        <f>Whole!E244+'Tot Retail'!D244</f>
        <v>1464421</v>
      </c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7"/>
      <c r="W244" s="117"/>
      <c r="X244" s="117"/>
      <c r="Y244" s="117">
        <f t="shared" si="56"/>
        <v>127984</v>
      </c>
      <c r="Z244" s="176">
        <f>Whole!Z244+'Tot Retail'!Z244</f>
        <v>3025419</v>
      </c>
      <c r="AA244" s="117">
        <f t="shared" si="52"/>
        <v>-53401</v>
      </c>
      <c r="AB244" s="501">
        <f>Whole!Z232+'Tot Retail'!AB232</f>
        <v>2934854</v>
      </c>
      <c r="BN244" s="89">
        <f t="shared" si="57"/>
        <v>2002</v>
      </c>
      <c r="BO244" s="89">
        <f t="shared" si="58"/>
        <v>12</v>
      </c>
      <c r="BP244" s="117">
        <f>Whole!BP244+Whole!BQ244+'Tot Retail'!BP244</f>
        <v>3019564</v>
      </c>
      <c r="BQ244" s="117"/>
      <c r="BR244" s="117"/>
      <c r="BS244" s="117"/>
      <c r="BT244" s="176">
        <f>Whole!BT244+'Tot Retail'!BT244</f>
        <v>2928843.8146165041</v>
      </c>
      <c r="BU244" s="117">
        <f t="shared" si="53"/>
        <v>127865.93729550578</v>
      </c>
      <c r="BV244" s="117"/>
      <c r="BW244" s="117">
        <f t="shared" si="59"/>
        <v>-90720.185383495875</v>
      </c>
    </row>
    <row r="245" spans="1:75">
      <c r="A245" s="4">
        <f t="shared" si="54"/>
        <v>2003</v>
      </c>
      <c r="B245" s="4">
        <f t="shared" si="55"/>
        <v>1</v>
      </c>
      <c r="C245" s="108">
        <f>Whole!C245+Whole!D245+'Tot Retail'!C245</f>
        <v>3307511</v>
      </c>
      <c r="D245" s="108">
        <f>Whole!E245+'Tot Retail'!D245</f>
        <v>1490370</v>
      </c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>
        <f t="shared" si="56"/>
        <v>90436</v>
      </c>
      <c r="Z245" s="175">
        <f>Whole!Z245+'Tot Retail'!Z245</f>
        <v>3056443</v>
      </c>
      <c r="AA245" s="108">
        <f t="shared" si="52"/>
        <v>-251068</v>
      </c>
      <c r="AB245" s="523">
        <f>Whole!Z233+'Tot Retail'!AB233</f>
        <v>2958808</v>
      </c>
      <c r="BN245" s="4">
        <f t="shared" si="57"/>
        <v>2003</v>
      </c>
      <c r="BO245" s="4">
        <f t="shared" si="58"/>
        <v>1</v>
      </c>
      <c r="BP245" s="108">
        <f>Whole!BP245+Whole!BQ245+'Tot Retail'!BP245</f>
        <v>3623696</v>
      </c>
      <c r="BQ245" s="108"/>
      <c r="BR245" s="108"/>
      <c r="BS245" s="108"/>
      <c r="BT245" s="175">
        <f>Whole!BT245+'Tot Retail'!BT245</f>
        <v>3142240.7471236573</v>
      </c>
      <c r="BU245" s="108">
        <f t="shared" si="53"/>
        <v>207530.28002390265</v>
      </c>
      <c r="BV245" s="108"/>
      <c r="BW245" s="108">
        <f t="shared" si="59"/>
        <v>-481455.25287634274</v>
      </c>
    </row>
    <row r="246" spans="1:75">
      <c r="A246" s="4">
        <f t="shared" si="54"/>
        <v>2003</v>
      </c>
      <c r="B246" s="4">
        <f t="shared" si="55"/>
        <v>2</v>
      </c>
      <c r="C246" s="108">
        <f>Whole!C246+Whole!D246+'Tot Retail'!C246</f>
        <v>3216943</v>
      </c>
      <c r="D246" s="108">
        <f>Whole!E246+'Tot Retail'!D246</f>
        <v>1504920</v>
      </c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>
        <f t="shared" si="56"/>
        <v>198608</v>
      </c>
      <c r="Z246" s="175">
        <f>Whole!Z246+'Tot Retail'!Z246</f>
        <v>2945472</v>
      </c>
      <c r="AA246" s="108">
        <f t="shared" si="52"/>
        <v>-271471</v>
      </c>
      <c r="AB246" s="523">
        <f>Whole!Z234+'Tot Retail'!AB234</f>
        <v>2753520</v>
      </c>
      <c r="BN246" s="4">
        <f t="shared" si="57"/>
        <v>2003</v>
      </c>
      <c r="BO246" s="4">
        <f t="shared" si="58"/>
        <v>2</v>
      </c>
      <c r="BP246" s="108">
        <f>Whole!BP246+Whole!BQ246+'Tot Retail'!BP246</f>
        <v>2690697</v>
      </c>
      <c r="BQ246" s="108"/>
      <c r="BR246" s="108"/>
      <c r="BS246" s="108"/>
      <c r="BT246" s="175">
        <f>Whole!BT246+'Tot Retail'!BT246</f>
        <v>2744076.5078947572</v>
      </c>
      <c r="BU246" s="108">
        <f t="shared" si="53"/>
        <v>203716.96951902192</v>
      </c>
      <c r="BV246" s="108"/>
      <c r="BW246" s="108">
        <f t="shared" si="59"/>
        <v>53379.507894757204</v>
      </c>
    </row>
    <row r="247" spans="1:75">
      <c r="A247" s="4">
        <f t="shared" si="54"/>
        <v>2003</v>
      </c>
      <c r="B247" s="4">
        <f t="shared" si="55"/>
        <v>3</v>
      </c>
      <c r="C247" s="108">
        <f>Whole!C247+Whole!D247+'Tot Retail'!C247</f>
        <v>2790508</v>
      </c>
      <c r="D247" s="108">
        <f>Whole!E247+'Tot Retail'!D247</f>
        <v>1483084</v>
      </c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>
        <f t="shared" si="56"/>
        <v>182145</v>
      </c>
      <c r="Z247" s="175">
        <f>Whole!Z247+'Tot Retail'!Z247</f>
        <v>2821511</v>
      </c>
      <c r="AA247" s="108">
        <f t="shared" si="52"/>
        <v>31003</v>
      </c>
      <c r="AB247" s="523">
        <f>Whole!Z235+'Tot Retail'!AB235</f>
        <v>2633951</v>
      </c>
      <c r="BN247" s="4">
        <f t="shared" si="57"/>
        <v>2003</v>
      </c>
      <c r="BO247" s="4">
        <f t="shared" si="58"/>
        <v>3</v>
      </c>
      <c r="BP247" s="108">
        <f>Whole!BP247+Whole!BQ247+'Tot Retail'!BP247</f>
        <v>3055912</v>
      </c>
      <c r="BQ247" s="108"/>
      <c r="BR247" s="108"/>
      <c r="BS247" s="108"/>
      <c r="BT247" s="175">
        <f>Whole!BT247+'Tot Retail'!BT247</f>
        <v>2971172.0327983564</v>
      </c>
      <c r="BU247" s="108">
        <f t="shared" si="53"/>
        <v>139002.71465626871</v>
      </c>
      <c r="BV247" s="108"/>
      <c r="BW247" s="108">
        <f t="shared" si="59"/>
        <v>-84739.967201643623</v>
      </c>
    </row>
    <row r="248" spans="1:75">
      <c r="A248" s="4">
        <f t="shared" si="54"/>
        <v>2003</v>
      </c>
      <c r="B248" s="4">
        <f t="shared" si="55"/>
        <v>4</v>
      </c>
      <c r="C248" s="108">
        <f>Whole!C248+Whole!D248+'Tot Retail'!C248</f>
        <v>3012170</v>
      </c>
      <c r="D248" s="108">
        <f>Whole!E248+'Tot Retail'!D248</f>
        <v>1513782</v>
      </c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>
        <f t="shared" si="56"/>
        <v>211198</v>
      </c>
      <c r="Z248" s="175">
        <f>Whole!Z248+'Tot Retail'!Z248</f>
        <v>2970759</v>
      </c>
      <c r="AA248" s="108">
        <f t="shared" si="52"/>
        <v>-41411</v>
      </c>
      <c r="AB248" s="523">
        <f>Whole!Z236+'Tot Retail'!AB236</f>
        <v>2866155</v>
      </c>
      <c r="BN248" s="4">
        <f t="shared" si="57"/>
        <v>2003</v>
      </c>
      <c r="BO248" s="4">
        <f t="shared" si="58"/>
        <v>4</v>
      </c>
      <c r="BP248" s="108">
        <f>Whole!BP248+Whole!BQ248+'Tot Retail'!BP248</f>
        <v>3042330</v>
      </c>
      <c r="BQ248" s="108"/>
      <c r="BR248" s="108"/>
      <c r="BS248" s="108"/>
      <c r="BT248" s="175">
        <f>Whole!BT248+'Tot Retail'!BT248</f>
        <v>3040999.3886709716</v>
      </c>
      <c r="BU248" s="108">
        <f t="shared" si="53"/>
        <v>88921.226659025997</v>
      </c>
      <c r="BV248" s="108"/>
      <c r="BW248" s="108">
        <f t="shared" si="59"/>
        <v>-1330.6113290283829</v>
      </c>
    </row>
    <row r="249" spans="1:75">
      <c r="A249" s="4">
        <f t="shared" si="54"/>
        <v>2003</v>
      </c>
      <c r="B249" s="4">
        <f t="shared" si="55"/>
        <v>5</v>
      </c>
      <c r="C249" s="108">
        <f>Whole!C249+Whole!D249+'Tot Retail'!C249</f>
        <v>3354330</v>
      </c>
      <c r="D249" s="108">
        <f>Whole!E249+'Tot Retail'!D249</f>
        <v>1503066</v>
      </c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>
        <f t="shared" si="56"/>
        <v>-138125</v>
      </c>
      <c r="Z249" s="175">
        <f>Whole!Z249+'Tot Retail'!Z249</f>
        <v>3159722</v>
      </c>
      <c r="AA249" s="108">
        <f t="shared" si="52"/>
        <v>-194608</v>
      </c>
      <c r="AB249" s="523">
        <f>Whole!Z237+'Tot Retail'!AB237</f>
        <v>3159394</v>
      </c>
      <c r="BN249" s="4">
        <f t="shared" si="57"/>
        <v>2003</v>
      </c>
      <c r="BO249" s="4">
        <f t="shared" si="58"/>
        <v>5</v>
      </c>
      <c r="BP249" s="108">
        <f>Whole!BP249+Whole!BQ249+'Tot Retail'!BP249</f>
        <v>3827020</v>
      </c>
      <c r="BQ249" s="108"/>
      <c r="BR249" s="108"/>
      <c r="BS249" s="108"/>
      <c r="BT249" s="175">
        <f>Whole!BT249+'Tot Retail'!BT249</f>
        <v>3648104.1123906169</v>
      </c>
      <c r="BU249" s="108">
        <f t="shared" ref="BU249:BU261" si="60">BT249-BT237</f>
        <v>32503.529241045006</v>
      </c>
      <c r="BV249" s="108"/>
      <c r="BW249" s="108">
        <f t="shared" si="59"/>
        <v>-178915.88760938309</v>
      </c>
    </row>
    <row r="250" spans="1:75">
      <c r="A250" s="4">
        <f t="shared" si="54"/>
        <v>2003</v>
      </c>
      <c r="B250" s="4">
        <f t="shared" si="55"/>
        <v>6</v>
      </c>
      <c r="C250" s="108">
        <f>Whole!C250+Whole!D250+'Tot Retail'!C250</f>
        <v>3803521</v>
      </c>
      <c r="D250" s="108">
        <f>Whole!E250+'Tot Retail'!D250</f>
        <v>1497420</v>
      </c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>
        <f t="shared" si="56"/>
        <v>298049</v>
      </c>
      <c r="Z250" s="175">
        <f>Whole!Z250+'Tot Retail'!Z250</f>
        <v>3737146</v>
      </c>
      <c r="AA250" s="108">
        <f t="shared" si="52"/>
        <v>-66375</v>
      </c>
      <c r="AB250" s="523">
        <f>Whole!Z238+'Tot Retail'!AB238</f>
        <v>3589403</v>
      </c>
      <c r="BN250" s="4">
        <f t="shared" si="57"/>
        <v>2003</v>
      </c>
      <c r="BO250" s="4">
        <f t="shared" si="58"/>
        <v>6</v>
      </c>
      <c r="BP250" s="108">
        <f>Whole!BP250+Whole!BQ250+'Tot Retail'!BP250</f>
        <v>3798916</v>
      </c>
      <c r="BQ250" s="108"/>
      <c r="BR250" s="108"/>
      <c r="BS250" s="108"/>
      <c r="BT250" s="175">
        <f>Whole!BT250+'Tot Retail'!BT250</f>
        <v>3842057.8546143509</v>
      </c>
      <c r="BU250" s="108">
        <f t="shared" si="60"/>
        <v>221802.80781383393</v>
      </c>
      <c r="BV250" s="108"/>
      <c r="BW250" s="108">
        <f t="shared" si="59"/>
        <v>43141.854614350945</v>
      </c>
    </row>
    <row r="251" spans="1:75">
      <c r="A251" s="4">
        <f t="shared" si="54"/>
        <v>2003</v>
      </c>
      <c r="B251" s="4">
        <f t="shared" si="55"/>
        <v>7</v>
      </c>
      <c r="C251" s="108">
        <f>Whole!C251+Whole!D251+'Tot Retail'!C251</f>
        <v>3903792</v>
      </c>
      <c r="D251" s="108">
        <f>Whole!E251+'Tot Retail'!D251</f>
        <v>1512515</v>
      </c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>
        <f t="shared" si="56"/>
        <v>30624</v>
      </c>
      <c r="Z251" s="175">
        <f>Whole!Z251+'Tot Retail'!Z251</f>
        <v>3938209</v>
      </c>
      <c r="AA251" s="108">
        <f t="shared" si="52"/>
        <v>34417</v>
      </c>
      <c r="AB251" s="523">
        <f>Whole!Z239+'Tot Retail'!AB239</f>
        <v>3796245</v>
      </c>
      <c r="BN251" s="4">
        <f t="shared" si="57"/>
        <v>2003</v>
      </c>
      <c r="BO251" s="4">
        <f t="shared" si="58"/>
        <v>7</v>
      </c>
      <c r="BP251" s="108">
        <f>Whole!BP251+Whole!BQ251+'Tot Retail'!BP251</f>
        <v>4104646.9999999995</v>
      </c>
      <c r="BQ251" s="108"/>
      <c r="BR251" s="108"/>
      <c r="BS251" s="108"/>
      <c r="BT251" s="175">
        <f>Whole!BT251+'Tot Retail'!BT251</f>
        <v>4129475.5245965561</v>
      </c>
      <c r="BU251" s="108">
        <f t="shared" si="60"/>
        <v>193322.36647417024</v>
      </c>
      <c r="BV251" s="108"/>
      <c r="BW251" s="108">
        <f t="shared" si="59"/>
        <v>24828.524596556555</v>
      </c>
    </row>
    <row r="252" spans="1:75">
      <c r="A252" s="4">
        <f t="shared" si="54"/>
        <v>2003</v>
      </c>
      <c r="B252" s="4">
        <f t="shared" si="55"/>
        <v>8</v>
      </c>
      <c r="C252" s="108">
        <f>Whole!C252+Whole!D252+'Tot Retail'!C252</f>
        <v>3798273</v>
      </c>
      <c r="D252" s="108">
        <f>Whole!E252+'Tot Retail'!D252</f>
        <v>1502388</v>
      </c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>
        <f t="shared" si="56"/>
        <v>130978</v>
      </c>
      <c r="Z252" s="175">
        <f>Whole!Z252+'Tot Retail'!Z252</f>
        <v>3964709</v>
      </c>
      <c r="AA252" s="108">
        <f t="shared" si="52"/>
        <v>166436</v>
      </c>
      <c r="AB252" s="523">
        <f>Whole!Z240+'Tot Retail'!AB240</f>
        <v>3842545</v>
      </c>
      <c r="BN252" s="4">
        <f t="shared" si="57"/>
        <v>2003</v>
      </c>
      <c r="BO252" s="4">
        <f t="shared" si="58"/>
        <v>8</v>
      </c>
      <c r="BP252" s="108">
        <f>Whole!BP252+Whole!BQ252+'Tot Retail'!BP252</f>
        <v>3940128</v>
      </c>
      <c r="BQ252" s="108"/>
      <c r="BR252" s="108"/>
      <c r="BS252" s="108"/>
      <c r="BT252" s="175">
        <f>Whole!BT252+'Tot Retail'!BT252</f>
        <v>4082485.4293358582</v>
      </c>
      <c r="BU252" s="108">
        <f t="shared" si="60"/>
        <v>102794.51630797377</v>
      </c>
      <c r="BV252" s="108"/>
      <c r="BW252" s="108">
        <f t="shared" si="59"/>
        <v>142357.42933585821</v>
      </c>
    </row>
    <row r="253" spans="1:75">
      <c r="A253" s="4">
        <f t="shared" ref="A253:A325" si="61">A241+1</f>
        <v>2003</v>
      </c>
      <c r="B253" s="4">
        <f t="shared" ref="B253:B325" si="62">B241</f>
        <v>9</v>
      </c>
      <c r="C253" s="108">
        <f>Whole!C253+Whole!D253+'Tot Retail'!C253</f>
        <v>4164229</v>
      </c>
      <c r="D253" s="108">
        <f>Whole!E253+'Tot Retail'!D253</f>
        <v>1535479</v>
      </c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>
        <f t="shared" si="56"/>
        <v>320719</v>
      </c>
      <c r="Z253" s="175">
        <f>Whole!Z253+'Tot Retail'!Z253</f>
        <v>4233059</v>
      </c>
      <c r="AA253" s="108">
        <f t="shared" si="52"/>
        <v>68830</v>
      </c>
      <c r="AB253" s="523">
        <f>Whole!Z241+'Tot Retail'!AB241</f>
        <v>3897674</v>
      </c>
      <c r="BN253" s="4">
        <f t="shared" si="57"/>
        <v>2003</v>
      </c>
      <c r="BO253" s="4">
        <f t="shared" si="58"/>
        <v>9</v>
      </c>
      <c r="BP253" s="108">
        <f>Whole!BP253+Whole!BQ253+'Tot Retail'!BP253</f>
        <v>3708866</v>
      </c>
      <c r="BQ253" s="108"/>
      <c r="BR253" s="108"/>
      <c r="BS253" s="108"/>
      <c r="BT253" s="175">
        <f>Whole!BT253+'Tot Retail'!BT253</f>
        <v>3836432.142631196</v>
      </c>
      <c r="BU253" s="108">
        <f t="shared" si="60"/>
        <v>140865.16711963248</v>
      </c>
      <c r="BV253" s="108"/>
      <c r="BW253" s="108">
        <f t="shared" si="59"/>
        <v>127566.14263119595</v>
      </c>
    </row>
    <row r="254" spans="1:75">
      <c r="A254" s="4">
        <f t="shared" si="61"/>
        <v>2003</v>
      </c>
      <c r="B254" s="4">
        <f t="shared" si="62"/>
        <v>10</v>
      </c>
      <c r="C254" s="108">
        <f>Whole!C254+Whole!D254+'Tot Retail'!C254</f>
        <v>3573414</v>
      </c>
      <c r="D254" s="108">
        <f>Whole!E254+'Tot Retail'!D254</f>
        <v>1532610</v>
      </c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>
        <f t="shared" si="56"/>
        <v>249681</v>
      </c>
      <c r="Z254" s="175">
        <f>Whole!Z254+'Tot Retail'!Z254</f>
        <v>3707677</v>
      </c>
      <c r="AA254" s="108">
        <f t="shared" si="52"/>
        <v>134263</v>
      </c>
      <c r="AB254" s="523">
        <f>Whole!Z242+'Tot Retail'!AB242</f>
        <v>3549417</v>
      </c>
      <c r="BN254" s="4">
        <f t="shared" si="57"/>
        <v>2003</v>
      </c>
      <c r="BO254" s="4">
        <f t="shared" si="58"/>
        <v>10</v>
      </c>
      <c r="BP254" s="108">
        <f>Whole!BP254+Whole!BQ254+'Tot Retail'!BP254</f>
        <v>3605369</v>
      </c>
      <c r="BQ254" s="108"/>
      <c r="BR254" s="108"/>
      <c r="BS254" s="108"/>
      <c r="BT254" s="175">
        <f>Whole!BT254+'Tot Retail'!BT254</f>
        <v>3630261.763213384</v>
      </c>
      <c r="BU254" s="108">
        <f t="shared" si="60"/>
        <v>218038.87496236991</v>
      </c>
      <c r="BV254" s="108"/>
      <c r="BW254" s="108">
        <f t="shared" si="59"/>
        <v>24892.763213383965</v>
      </c>
    </row>
    <row r="255" spans="1:75">
      <c r="A255" s="4">
        <f t="shared" si="61"/>
        <v>2003</v>
      </c>
      <c r="B255" s="4">
        <f t="shared" si="62"/>
        <v>11</v>
      </c>
      <c r="C255" s="108">
        <f>Whole!C255+Whole!D255+'Tot Retail'!C255</f>
        <v>3306696</v>
      </c>
      <c r="D255" s="108">
        <f>Whole!E255+'Tot Retail'!D255</f>
        <v>1530830</v>
      </c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>
        <f t="shared" si="56"/>
        <v>-91910</v>
      </c>
      <c r="Z255" s="175">
        <f>Whole!Z255+'Tot Retail'!Z255</f>
        <v>3217963</v>
      </c>
      <c r="AA255" s="108">
        <f t="shared" si="52"/>
        <v>-88733</v>
      </c>
      <c r="AB255" s="523">
        <f>Whole!Z243+'Tot Retail'!AB243</f>
        <v>3182754</v>
      </c>
      <c r="BN255" s="4">
        <f t="shared" si="57"/>
        <v>2003</v>
      </c>
      <c r="BO255" s="4">
        <f t="shared" si="58"/>
        <v>11</v>
      </c>
      <c r="BP255" s="108">
        <f>Whole!BP255+Whole!BQ255+'Tot Retail'!BP255</f>
        <v>2858253</v>
      </c>
      <c r="BQ255" s="108"/>
      <c r="BR255" s="108"/>
      <c r="BS255" s="108"/>
      <c r="BT255" s="175">
        <f>Whole!BT255+'Tot Retail'!BT255</f>
        <v>2688281.7889729803</v>
      </c>
      <c r="BU255" s="108">
        <f t="shared" si="60"/>
        <v>-92172.902340934612</v>
      </c>
      <c r="BV255" s="108"/>
      <c r="BW255" s="108">
        <f t="shared" si="59"/>
        <v>-169971.21102701966</v>
      </c>
    </row>
    <row r="256" spans="1:75" s="89" customFormat="1">
      <c r="A256" s="89">
        <f t="shared" si="61"/>
        <v>2003</v>
      </c>
      <c r="B256" s="89">
        <f t="shared" si="62"/>
        <v>12</v>
      </c>
      <c r="C256" s="117">
        <f>Whole!C256+Whole!D256+'Tot Retail'!C256</f>
        <v>3084746</v>
      </c>
      <c r="D256" s="117">
        <f>Whole!E256+'Tot Retail'!D256</f>
        <v>1519728</v>
      </c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>
        <f t="shared" si="56"/>
        <v>-26385</v>
      </c>
      <c r="Z256" s="176">
        <f>Whole!Z256+'Tot Retail'!Z256</f>
        <v>2999034</v>
      </c>
      <c r="AA256" s="117">
        <f t="shared" si="52"/>
        <v>-85712</v>
      </c>
      <c r="AB256" s="501">
        <f>Whole!Z244+'Tot Retail'!AB244</f>
        <v>3032092</v>
      </c>
      <c r="BN256" s="89">
        <f t="shared" si="57"/>
        <v>2003</v>
      </c>
      <c r="BO256" s="89">
        <f t="shared" si="58"/>
        <v>12</v>
      </c>
      <c r="BP256" s="117">
        <f>Whole!BP256+Whole!BQ256+'Tot Retail'!BP256</f>
        <v>3293389</v>
      </c>
      <c r="BQ256" s="117"/>
      <c r="BR256" s="117"/>
      <c r="BS256" s="117"/>
      <c r="BT256" s="176">
        <f>Whole!BT256+'Tot Retail'!BT256</f>
        <v>3172595.0465899147</v>
      </c>
      <c r="BU256" s="117">
        <f t="shared" si="60"/>
        <v>243751.23197341058</v>
      </c>
      <c r="BV256" s="117"/>
      <c r="BW256" s="117">
        <f t="shared" si="59"/>
        <v>-120793.95341008529</v>
      </c>
    </row>
    <row r="257" spans="1:76">
      <c r="A257" s="4">
        <f t="shared" si="61"/>
        <v>2004</v>
      </c>
      <c r="B257" s="4">
        <f t="shared" si="62"/>
        <v>1</v>
      </c>
      <c r="C257" s="108">
        <f>Whole!C257+Whole!D257+'Tot Retail'!C257</f>
        <v>3323469</v>
      </c>
      <c r="D257" s="108">
        <f>Whole!E257+'Tot Retail'!D257</f>
        <v>1528605</v>
      </c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>
        <f t="shared" si="56"/>
        <v>184742</v>
      </c>
      <c r="Z257" s="175">
        <f>Whole!Z257+'Tot Retail'!Z257</f>
        <v>3241185</v>
      </c>
      <c r="AA257" s="108">
        <f t="shared" si="52"/>
        <v>-82284</v>
      </c>
      <c r="AB257" s="523">
        <f>Whole!Z245+'Tot Retail'!AB245</f>
        <v>3094970</v>
      </c>
      <c r="BN257" s="4">
        <f t="shared" si="57"/>
        <v>2004</v>
      </c>
      <c r="BO257" s="4">
        <f t="shared" si="58"/>
        <v>1</v>
      </c>
      <c r="BP257" s="108">
        <f>Whole!BP257+Whole!BQ257+'Tot Retail'!BP257</f>
        <v>3216719</v>
      </c>
      <c r="BQ257" s="108"/>
      <c r="BR257" s="108"/>
      <c r="BS257" s="108"/>
      <c r="BT257" s="175">
        <f>Whole!BT257+'Tot Retail'!BT257</f>
        <v>3111312.8949561627</v>
      </c>
      <c r="BU257" s="108">
        <f t="shared" si="60"/>
        <v>-30927.852167494595</v>
      </c>
      <c r="BV257" s="108"/>
      <c r="BW257" s="108">
        <f t="shared" si="59"/>
        <v>-105406.10504383733</v>
      </c>
    </row>
    <row r="258" spans="1:76">
      <c r="A258" s="4">
        <f t="shared" si="61"/>
        <v>2004</v>
      </c>
      <c r="B258" s="4">
        <f t="shared" si="62"/>
        <v>2</v>
      </c>
      <c r="C258" s="108">
        <f>Whole!C258+Whole!D258+'Tot Retail'!C258</f>
        <v>2927260</v>
      </c>
      <c r="D258" s="108">
        <f>Whole!E258+'Tot Retail'!D258</f>
        <v>1493000</v>
      </c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>
        <f t="shared" si="56"/>
        <v>-43128</v>
      </c>
      <c r="Z258" s="175">
        <f>Whole!Z258+'Tot Retail'!Z258</f>
        <v>2902344</v>
      </c>
      <c r="AA258" s="108">
        <f t="shared" si="52"/>
        <v>-24916</v>
      </c>
      <c r="AB258" s="523">
        <f>Whole!Z246+'Tot Retail'!AB246</f>
        <v>2969614</v>
      </c>
      <c r="BN258" s="4">
        <f t="shared" si="57"/>
        <v>2004</v>
      </c>
      <c r="BO258" s="4">
        <f t="shared" si="58"/>
        <v>2</v>
      </c>
      <c r="BP258" s="108">
        <f>Whole!BP258+Whole!BQ258+'Tot Retail'!BP258</f>
        <v>2895676</v>
      </c>
      <c r="BQ258" s="108"/>
      <c r="BR258" s="108"/>
      <c r="BS258" s="108"/>
      <c r="BT258" s="175">
        <f>Whole!BT258+'Tot Retail'!BT258</f>
        <v>2884597.5228837905</v>
      </c>
      <c r="BU258" s="108">
        <f t="shared" si="60"/>
        <v>140521.01498903334</v>
      </c>
      <c r="BV258" s="108"/>
      <c r="BW258" s="108">
        <f t="shared" si="59"/>
        <v>-11078.477116209455</v>
      </c>
    </row>
    <row r="259" spans="1:76">
      <c r="A259" s="4">
        <f t="shared" si="61"/>
        <v>2004</v>
      </c>
      <c r="B259" s="4">
        <f t="shared" si="62"/>
        <v>3</v>
      </c>
      <c r="C259" s="108">
        <f>Whole!C259+Whole!D259+'Tot Retail'!C259</f>
        <v>3057995</v>
      </c>
      <c r="D259" s="108">
        <f>Whole!E259+'Tot Retail'!D259</f>
        <v>1577121</v>
      </c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>
        <f t="shared" si="56"/>
        <v>236150</v>
      </c>
      <c r="Z259" s="175">
        <f>Whole!Z259+'Tot Retail'!Z259</f>
        <v>3057661</v>
      </c>
      <c r="AA259" s="108">
        <f t="shared" si="52"/>
        <v>-334</v>
      </c>
      <c r="AB259" s="523">
        <f>Whole!Z247+'Tot Retail'!AB247</f>
        <v>2855476</v>
      </c>
      <c r="BN259" s="4">
        <f t="shared" si="57"/>
        <v>2004</v>
      </c>
      <c r="BO259" s="4">
        <f t="shared" si="58"/>
        <v>3</v>
      </c>
      <c r="BP259" s="108">
        <f>Whole!BP259+Whole!BQ259+'Tot Retail'!BP259</f>
        <v>3061435</v>
      </c>
      <c r="BQ259" s="108"/>
      <c r="BR259" s="108"/>
      <c r="BS259" s="108"/>
      <c r="BT259" s="175">
        <f>Whole!BT259+'Tot Retail'!BT259</f>
        <v>3102611.6838424644</v>
      </c>
      <c r="BU259" s="108">
        <f t="shared" si="60"/>
        <v>131439.65104410797</v>
      </c>
      <c r="BV259" s="108"/>
      <c r="BW259" s="108">
        <f t="shared" si="59"/>
        <v>41176.68384246435</v>
      </c>
    </row>
    <row r="260" spans="1:76">
      <c r="A260" s="4">
        <f t="shared" si="61"/>
        <v>2004</v>
      </c>
      <c r="B260" s="4">
        <f t="shared" si="62"/>
        <v>4</v>
      </c>
      <c r="C260" s="108">
        <f>Whole!C260+Whole!D260+'Tot Retail'!C260</f>
        <v>2934787</v>
      </c>
      <c r="D260" s="108">
        <f>Whole!E260+'Tot Retail'!D260</f>
        <v>1536180</v>
      </c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>
        <f t="shared" si="56"/>
        <v>59082</v>
      </c>
      <c r="Z260" s="175">
        <f>Whole!Z260+'Tot Retail'!Z260</f>
        <v>3029841</v>
      </c>
      <c r="AA260" s="108">
        <f t="shared" si="52"/>
        <v>95054</v>
      </c>
      <c r="AB260" s="523">
        <f>Whole!Z248+'Tot Retail'!AB248</f>
        <v>2955587</v>
      </c>
      <c r="BN260" s="4">
        <f t="shared" si="57"/>
        <v>2004</v>
      </c>
      <c r="BO260" s="4">
        <f t="shared" si="58"/>
        <v>4</v>
      </c>
      <c r="BP260" s="108">
        <f>Whole!BP260+Whole!BQ260+'Tot Retail'!BP260</f>
        <v>2971603</v>
      </c>
      <c r="BQ260" s="108"/>
      <c r="BR260" s="108"/>
      <c r="BS260" s="108"/>
      <c r="BT260" s="175">
        <f>Whole!BT260+'Tot Retail'!BT260</f>
        <v>3076967.0689582955</v>
      </c>
      <c r="BU260" s="108">
        <f t="shared" si="60"/>
        <v>35967.680287323892</v>
      </c>
      <c r="BV260" s="108"/>
      <c r="BW260" s="108">
        <f t="shared" si="59"/>
        <v>105364.06895829551</v>
      </c>
    </row>
    <row r="261" spans="1:76">
      <c r="A261" s="4">
        <f t="shared" si="61"/>
        <v>2004</v>
      </c>
      <c r="B261" s="4">
        <f t="shared" si="62"/>
        <v>5</v>
      </c>
      <c r="C261" s="108">
        <f>Whole!C261+Whole!D261+'Tot Retail'!C261</f>
        <v>3235564</v>
      </c>
      <c r="D261" s="108">
        <f>Whole!E261+'Tot Retail'!D261</f>
        <v>1548600</v>
      </c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>
        <f t="shared" si="56"/>
        <v>117982</v>
      </c>
      <c r="Z261" s="175">
        <f>Whole!Z261+'Tot Retail'!Z261</f>
        <v>3277704</v>
      </c>
      <c r="AA261" s="108">
        <f t="shared" si="52"/>
        <v>42140</v>
      </c>
      <c r="AB261" s="523">
        <f>Whole!Z249+'Tot Retail'!AB249</f>
        <v>3151034</v>
      </c>
      <c r="BN261" s="4">
        <f t="shared" si="57"/>
        <v>2004</v>
      </c>
      <c r="BO261" s="4">
        <f t="shared" si="58"/>
        <v>5</v>
      </c>
      <c r="BP261" s="108">
        <f>Whole!BP261+Whole!BQ261+'Tot Retail'!BP261</f>
        <v>3679851</v>
      </c>
      <c r="BQ261" s="108"/>
      <c r="BR261" s="108"/>
      <c r="BS261" s="108"/>
      <c r="BT261" s="175">
        <f>Whole!BT261+'Tot Retail'!BT261</f>
        <v>3689042.6356886029</v>
      </c>
      <c r="BU261" s="108">
        <f t="shared" si="60"/>
        <v>40938.523297986016</v>
      </c>
      <c r="BV261" s="108"/>
      <c r="BW261" s="108">
        <f t="shared" si="59"/>
        <v>9191.6356886029243</v>
      </c>
    </row>
    <row r="262" spans="1:76">
      <c r="A262" s="4">
        <f t="shared" si="61"/>
        <v>2004</v>
      </c>
      <c r="B262" s="4">
        <f t="shared" si="62"/>
        <v>6</v>
      </c>
      <c r="C262" s="108">
        <f>Whole!C262+Whole!D262+'Tot Retail'!C262</f>
        <v>3961805</v>
      </c>
      <c r="D262" s="108">
        <f>Whole!E262+'Tot Retail'!D262</f>
        <v>1543607</v>
      </c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>
        <f t="shared" si="56"/>
        <v>141237</v>
      </c>
      <c r="Z262" s="175">
        <f>Whole!Z262+'Tot Retail'!Z262</f>
        <v>3878383</v>
      </c>
      <c r="AA262" s="108">
        <f t="shared" ref="AA262:AA267" si="63">Z262-C262</f>
        <v>-83422</v>
      </c>
      <c r="AB262" s="523">
        <f>Whole!Z250+'Tot Retail'!AB250</f>
        <v>3757349</v>
      </c>
      <c r="BN262" s="4">
        <f t="shared" si="57"/>
        <v>2004</v>
      </c>
      <c r="BO262" s="4">
        <f t="shared" si="58"/>
        <v>6</v>
      </c>
      <c r="BP262" s="108">
        <f>Whole!BP262+Whole!BQ262+'Tot Retail'!BP262</f>
        <v>4270586</v>
      </c>
      <c r="BQ262" s="108"/>
      <c r="BR262" s="108"/>
      <c r="BS262" s="108"/>
      <c r="BT262" s="175">
        <f>Whole!BT262+'Tot Retail'!BT262</f>
        <v>4111574.2716592643</v>
      </c>
      <c r="BU262" s="108">
        <f t="shared" ref="BU262:BU267" si="64">BT262-BT250</f>
        <v>269516.4170449134</v>
      </c>
      <c r="BV262" s="108"/>
      <c r="BW262" s="108">
        <f t="shared" ref="BW262:BW267" si="65">BT262-BP262</f>
        <v>-159011.72834073566</v>
      </c>
      <c r="BX262" s="174"/>
    </row>
    <row r="263" spans="1:76">
      <c r="A263" s="4">
        <f t="shared" si="61"/>
        <v>2004</v>
      </c>
      <c r="B263" s="4">
        <f t="shared" si="62"/>
        <v>7</v>
      </c>
      <c r="C263" s="108">
        <f>Whole!C263+Whole!D263+'Tot Retail'!C263</f>
        <v>4271304</v>
      </c>
      <c r="D263" s="108">
        <f>Whole!E263+'Tot Retail'!D263</f>
        <v>1534547</v>
      </c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>
        <f t="shared" si="56"/>
        <v>217421</v>
      </c>
      <c r="Z263" s="175">
        <f>Whole!Z263+'Tot Retail'!Z263</f>
        <v>4155630</v>
      </c>
      <c r="AA263" s="108">
        <f t="shared" si="63"/>
        <v>-115674</v>
      </c>
      <c r="AB263" s="523">
        <f>Whole!Z251+'Tot Retail'!AB251</f>
        <v>3929681</v>
      </c>
      <c r="BN263" s="4">
        <f t="shared" si="57"/>
        <v>2004</v>
      </c>
      <c r="BO263" s="4">
        <f t="shared" si="58"/>
        <v>7</v>
      </c>
      <c r="BP263" s="108">
        <f>Whole!BP263+Whole!BQ263+'Tot Retail'!BP263</f>
        <v>4360745</v>
      </c>
      <c r="BQ263" s="108"/>
      <c r="BR263" s="108"/>
      <c r="BS263" s="108"/>
      <c r="BT263" s="175">
        <f>Whole!BT263+'Tot Retail'!BT263</f>
        <v>4367516.0342464959</v>
      </c>
      <c r="BU263" s="108">
        <f t="shared" si="64"/>
        <v>238040.50964993984</v>
      </c>
      <c r="BV263" s="108"/>
      <c r="BW263" s="108">
        <f t="shared" si="65"/>
        <v>6771.0342464959249</v>
      </c>
      <c r="BX263" s="174"/>
    </row>
    <row r="264" spans="1:76">
      <c r="A264" s="3">
        <f t="shared" si="61"/>
        <v>2004</v>
      </c>
      <c r="B264" s="3">
        <f t="shared" si="62"/>
        <v>8</v>
      </c>
      <c r="C264" s="108">
        <f>Whole!C264+Whole!D264+'Tot Retail'!C264</f>
        <v>4170265</v>
      </c>
      <c r="D264" s="108">
        <f>Whole!E264+'Tot Retail'!D264</f>
        <v>1545848</v>
      </c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4">
        <f t="shared" ref="Y264:Y282" si="66">Z264-Z252</f>
        <v>437658</v>
      </c>
      <c r="Z264" s="175">
        <f>Whole!Z264+'Tot Retail'!Z264</f>
        <v>4402367</v>
      </c>
      <c r="AA264" s="108">
        <f t="shared" si="63"/>
        <v>232102</v>
      </c>
      <c r="AB264" s="523">
        <f>Whole!Z252+'Tot Retail'!AB252</f>
        <v>3982312</v>
      </c>
      <c r="BN264" s="3">
        <f t="shared" si="57"/>
        <v>2004</v>
      </c>
      <c r="BO264" s="3">
        <f t="shared" si="58"/>
        <v>8</v>
      </c>
      <c r="BP264" s="108">
        <f>Whole!BP264+Whole!BQ264+'Tot Retail'!BP264</f>
        <v>4198487</v>
      </c>
      <c r="BQ264" s="108"/>
      <c r="BR264" s="108"/>
      <c r="BS264" s="108"/>
      <c r="BT264" s="175">
        <f>Whole!BT264+'Tot Retail'!BT264</f>
        <v>4376440.0153722614</v>
      </c>
      <c r="BU264" s="108">
        <f t="shared" si="64"/>
        <v>293954.5860364032</v>
      </c>
      <c r="BV264" s="108"/>
      <c r="BW264" s="108">
        <f t="shared" si="65"/>
        <v>177953.0153722614</v>
      </c>
      <c r="BX264" s="174"/>
    </row>
    <row r="265" spans="1:76">
      <c r="A265" s="3">
        <f t="shared" si="61"/>
        <v>2004</v>
      </c>
      <c r="B265" s="3">
        <f t="shared" si="62"/>
        <v>9</v>
      </c>
      <c r="C265" s="108">
        <f>Whole!C265+Whole!D265+'Tot Retail'!C265</f>
        <v>4071452</v>
      </c>
      <c r="D265" s="108">
        <f>Whole!E265+'Tot Retail'!D265</f>
        <v>1564098</v>
      </c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4">
        <f t="shared" si="66"/>
        <v>10708</v>
      </c>
      <c r="Z265" s="175">
        <f>Whole!Z265+'Tot Retail'!Z265</f>
        <v>4243767</v>
      </c>
      <c r="AA265" s="108">
        <f t="shared" si="63"/>
        <v>172315</v>
      </c>
      <c r="AB265" s="523">
        <f>Whole!Z253+'Tot Retail'!AB253</f>
        <v>4186691</v>
      </c>
      <c r="BN265" s="3">
        <f t="shared" si="57"/>
        <v>2004</v>
      </c>
      <c r="BO265" s="3">
        <f t="shared" si="58"/>
        <v>9</v>
      </c>
      <c r="BP265" s="108">
        <f>Whole!BP265+Whole!BQ265+'Tot Retail'!BP265</f>
        <v>3808281</v>
      </c>
      <c r="BQ265" s="108"/>
      <c r="BR265" s="108"/>
      <c r="BS265" s="108"/>
      <c r="BT265" s="175">
        <f>Whole!BT265+'Tot Retail'!BT265</f>
        <v>3976554.3698132131</v>
      </c>
      <c r="BU265" s="108">
        <f t="shared" si="64"/>
        <v>140122.22718201717</v>
      </c>
      <c r="BV265" s="108"/>
      <c r="BW265" s="108">
        <f t="shared" si="65"/>
        <v>168273.36981321312</v>
      </c>
      <c r="BX265" s="174"/>
    </row>
    <row r="266" spans="1:76">
      <c r="A266" s="4">
        <f t="shared" si="61"/>
        <v>2004</v>
      </c>
      <c r="B266" s="4">
        <f t="shared" si="62"/>
        <v>10</v>
      </c>
      <c r="C266" s="108">
        <f>Whole!C266+Whole!D266+'Tot Retail'!C266</f>
        <v>3826321</v>
      </c>
      <c r="D266" s="108">
        <f>Whole!E266+'Tot Retail'!D266</f>
        <v>1558485</v>
      </c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>
        <f t="shared" si="66"/>
        <v>106761</v>
      </c>
      <c r="Z266" s="175">
        <f>Whole!Z266+'Tot Retail'!Z266</f>
        <v>3814438</v>
      </c>
      <c r="AA266" s="108">
        <f t="shared" si="63"/>
        <v>-11883</v>
      </c>
      <c r="AB266" s="523">
        <f>Whole!Z254+'Tot Retail'!AB254</f>
        <v>3709344</v>
      </c>
      <c r="BN266" s="4">
        <f t="shared" si="57"/>
        <v>2004</v>
      </c>
      <c r="BO266" s="4">
        <f t="shared" si="58"/>
        <v>10</v>
      </c>
      <c r="BP266" s="108">
        <f>Whole!BP266+Whole!BQ266+'Tot Retail'!BP266</f>
        <v>3752873</v>
      </c>
      <c r="BQ266" s="108"/>
      <c r="BR266" s="108"/>
      <c r="BS266" s="108"/>
      <c r="BT266" s="175">
        <f>Whole!BT266+'Tot Retail'!BT266</f>
        <v>3722226.6308970465</v>
      </c>
      <c r="BU266" s="108">
        <f t="shared" si="64"/>
        <v>91964.867683662567</v>
      </c>
      <c r="BV266" s="108"/>
      <c r="BW266" s="108">
        <f t="shared" si="65"/>
        <v>-30646.369102953468</v>
      </c>
    </row>
    <row r="267" spans="1:76">
      <c r="A267" s="4">
        <f t="shared" si="61"/>
        <v>2004</v>
      </c>
      <c r="B267" s="4">
        <f t="shared" si="62"/>
        <v>11</v>
      </c>
      <c r="C267" s="108">
        <f>Whole!C267+Whole!D267+'Tot Retail'!C267</f>
        <v>3406028</v>
      </c>
      <c r="D267" s="108">
        <f>Whole!E267+'Tot Retail'!D267</f>
        <v>1576123</v>
      </c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>
        <f t="shared" si="66"/>
        <v>155399</v>
      </c>
      <c r="Z267" s="175">
        <f>Whole!Z267+'Tot Retail'!Z267</f>
        <v>3373362</v>
      </c>
      <c r="AA267" s="108">
        <f t="shared" si="63"/>
        <v>-32666</v>
      </c>
      <c r="AB267" s="523">
        <f>Whole!Z255+'Tot Retail'!AB255</f>
        <v>3171635</v>
      </c>
      <c r="BN267" s="4">
        <f t="shared" si="57"/>
        <v>2004</v>
      </c>
      <c r="BO267" s="4">
        <f t="shared" si="58"/>
        <v>11</v>
      </c>
      <c r="BP267" s="108">
        <f>Whole!BP267+Whole!BQ267+'Tot Retail'!BP267</f>
        <v>3104483</v>
      </c>
      <c r="BQ267" s="108"/>
      <c r="BR267" s="108"/>
      <c r="BS267" s="108"/>
      <c r="BT267" s="175">
        <f>Whole!BT267+'Tot Retail'!BT267</f>
        <v>3100644.5572576672</v>
      </c>
      <c r="BU267" s="108">
        <f t="shared" si="64"/>
        <v>412362.76828468684</v>
      </c>
      <c r="BV267" s="108"/>
      <c r="BW267" s="108">
        <f t="shared" si="65"/>
        <v>-3838.4427423328161</v>
      </c>
    </row>
    <row r="268" spans="1:76" s="89" customFormat="1">
      <c r="A268" s="89">
        <f t="shared" si="61"/>
        <v>2004</v>
      </c>
      <c r="B268" s="89">
        <f t="shared" si="62"/>
        <v>12</v>
      </c>
      <c r="C268" s="117">
        <f>Whole!C268+Whole!D268+'Tot Retail'!C268</f>
        <v>3307944</v>
      </c>
      <c r="D268" s="117">
        <f>Whole!E268+'Tot Retail'!D268</f>
        <v>1577313</v>
      </c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>
        <f t="shared" si="66"/>
        <v>334000</v>
      </c>
      <c r="Z268" s="176">
        <f>Whole!Z268+'Tot Retail'!Z268</f>
        <v>3333034</v>
      </c>
      <c r="AA268" s="117">
        <f t="shared" ref="AA268:AA273" si="67">Z268-C268</f>
        <v>25090</v>
      </c>
      <c r="AB268" s="501">
        <f>Whole!Z256+'Tot Retail'!AB256</f>
        <v>3041929</v>
      </c>
      <c r="BN268" s="89">
        <f t="shared" si="57"/>
        <v>2004</v>
      </c>
      <c r="BO268" s="89">
        <f t="shared" si="58"/>
        <v>12</v>
      </c>
      <c r="BP268" s="117">
        <f>Whole!BP268+Whole!BQ268+'Tot Retail'!BP268</f>
        <v>3532055.9999999995</v>
      </c>
      <c r="BQ268" s="117"/>
      <c r="BR268" s="117"/>
      <c r="BS268" s="117"/>
      <c r="BT268" s="176">
        <f>Whole!BT268+'Tot Retail'!BT268</f>
        <v>3387056.5633939328</v>
      </c>
      <c r="BU268" s="117">
        <f t="shared" ref="BU268:BU273" si="68">BT268-BT256</f>
        <v>214461.51680401806</v>
      </c>
      <c r="BV268" s="117"/>
      <c r="BW268" s="117">
        <f t="shared" ref="BW268:BW273" si="69">BT268-BP268</f>
        <v>-144999.43660606677</v>
      </c>
    </row>
    <row r="269" spans="1:76" s="23" customFormat="1">
      <c r="A269" s="23">
        <f t="shared" si="61"/>
        <v>2005</v>
      </c>
      <c r="B269" s="23">
        <f t="shared" si="62"/>
        <v>1</v>
      </c>
      <c r="C269" s="50">
        <f>Whole!C269+Whole!D269+'Tot Retail'!C269</f>
        <v>3427225</v>
      </c>
      <c r="D269" s="50">
        <f>Whole!E269+'Tot Retail'!D269</f>
        <v>1549041</v>
      </c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>
        <f t="shared" si="66"/>
        <v>137274</v>
      </c>
      <c r="Z269" s="178">
        <f>Whole!Z269+'Tot Retail'!Z269</f>
        <v>3378459</v>
      </c>
      <c r="AA269" s="50">
        <f t="shared" si="67"/>
        <v>-48766</v>
      </c>
      <c r="AB269" s="500">
        <f>Whole!Z257+'Tot Retail'!AB257</f>
        <v>3212964</v>
      </c>
      <c r="BN269" s="23">
        <f t="shared" si="57"/>
        <v>2005</v>
      </c>
      <c r="BO269" s="23">
        <f t="shared" si="58"/>
        <v>1</v>
      </c>
      <c r="BP269" s="50">
        <f>Whole!BP269+Whole!BQ269+'Tot Retail'!BP269</f>
        <v>3284442</v>
      </c>
      <c r="BQ269" s="50"/>
      <c r="BR269" s="50"/>
      <c r="BS269" s="50"/>
      <c r="BT269" s="178">
        <f>Whole!BT269+'Tot Retail'!BT269</f>
        <v>3286944.7151723499</v>
      </c>
      <c r="BU269" s="50">
        <f t="shared" si="68"/>
        <v>175631.82021618728</v>
      </c>
      <c r="BV269" s="50"/>
      <c r="BW269" s="50">
        <f t="shared" si="69"/>
        <v>2502.715172349941</v>
      </c>
    </row>
    <row r="270" spans="1:76">
      <c r="A270" s="4">
        <f t="shared" si="61"/>
        <v>2005</v>
      </c>
      <c r="B270" s="4">
        <f t="shared" si="62"/>
        <v>2</v>
      </c>
      <c r="C270" s="108">
        <f>Whole!C270+Whole!D270+'Tot Retail'!C270</f>
        <v>3202836</v>
      </c>
      <c r="D270" s="108">
        <f>Whole!E270+'Tot Retail'!D270</f>
        <v>1560106</v>
      </c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>
        <f t="shared" si="66"/>
        <v>285972</v>
      </c>
      <c r="Z270" s="175">
        <f>Whole!Z270+'Tot Retail'!Z270</f>
        <v>3188316</v>
      </c>
      <c r="AA270" s="108">
        <f t="shared" si="67"/>
        <v>-14520</v>
      </c>
      <c r="AB270" s="523">
        <f>Whole!Z258+'Tot Retail'!AB258</f>
        <v>3018037</v>
      </c>
      <c r="BN270" s="4">
        <f t="shared" si="57"/>
        <v>2005</v>
      </c>
      <c r="BO270" s="4">
        <f t="shared" si="58"/>
        <v>2</v>
      </c>
      <c r="BP270" s="108">
        <f>Whole!BP270+Whole!BQ270+'Tot Retail'!BP270</f>
        <v>2943179</v>
      </c>
      <c r="BQ270" s="108"/>
      <c r="BR270" s="108"/>
      <c r="BS270" s="108"/>
      <c r="BT270" s="175">
        <f>Whole!BT270+'Tot Retail'!BT270</f>
        <v>3038304.1699149222</v>
      </c>
      <c r="BU270" s="108">
        <f t="shared" si="68"/>
        <v>153706.64703113167</v>
      </c>
      <c r="BV270" s="108"/>
      <c r="BW270" s="108">
        <f t="shared" si="69"/>
        <v>95125.169914922211</v>
      </c>
    </row>
    <row r="271" spans="1:76">
      <c r="A271" s="4">
        <f t="shared" si="61"/>
        <v>2005</v>
      </c>
      <c r="B271" s="4">
        <f t="shared" si="62"/>
        <v>3</v>
      </c>
      <c r="C271" s="108">
        <f>Whole!C271+Whole!D271+'Tot Retail'!C271</f>
        <v>3140925</v>
      </c>
      <c r="D271" s="108">
        <f>Whole!E271+'Tot Retail'!D271</f>
        <v>1593001</v>
      </c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>
        <f t="shared" si="66"/>
        <v>112906</v>
      </c>
      <c r="Z271" s="175">
        <f>Whole!Z271+'Tot Retail'!Z271</f>
        <v>3170567</v>
      </c>
      <c r="AA271" s="108">
        <f t="shared" si="67"/>
        <v>29642</v>
      </c>
      <c r="AB271" s="523">
        <f>Whole!Z259+'Tot Retail'!AB259</f>
        <v>2976866</v>
      </c>
      <c r="BN271" s="4">
        <f t="shared" si="57"/>
        <v>2005</v>
      </c>
      <c r="BO271" s="4">
        <f t="shared" si="58"/>
        <v>3</v>
      </c>
      <c r="BP271" s="108">
        <f>Whole!BP271+Whole!BQ271+'Tot Retail'!BP271</f>
        <v>3440001</v>
      </c>
      <c r="BQ271" s="108"/>
      <c r="BR271" s="108"/>
      <c r="BS271" s="108"/>
      <c r="BT271" s="175">
        <f>Whole!BT271+'Tot Retail'!BT271</f>
        <v>3339632.1690615942</v>
      </c>
      <c r="BU271" s="108">
        <f t="shared" si="68"/>
        <v>237020.48521912983</v>
      </c>
      <c r="BV271" s="108"/>
      <c r="BW271" s="108">
        <f t="shared" si="69"/>
        <v>-100368.83093840582</v>
      </c>
    </row>
    <row r="272" spans="1:76">
      <c r="A272" s="4">
        <f t="shared" si="61"/>
        <v>2005</v>
      </c>
      <c r="B272" s="4">
        <f t="shared" si="62"/>
        <v>4</v>
      </c>
      <c r="C272" s="108">
        <f>Whole!C272+Whole!D272+'Tot Retail'!C272</f>
        <v>3336827</v>
      </c>
      <c r="D272" s="108">
        <f>Whole!E272+'Tot Retail'!D272</f>
        <v>1564760</v>
      </c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>
        <f t="shared" si="66"/>
        <v>323476</v>
      </c>
      <c r="Z272" s="175">
        <f>Whole!Z272+'Tot Retail'!Z272</f>
        <v>3353317</v>
      </c>
      <c r="AA272" s="108">
        <f t="shared" si="67"/>
        <v>16490</v>
      </c>
      <c r="AB272" s="523">
        <f>Whole!Z260+'Tot Retail'!AB260</f>
        <v>3049254</v>
      </c>
      <c r="BN272" s="4">
        <f t="shared" si="57"/>
        <v>2005</v>
      </c>
      <c r="BO272" s="4">
        <f t="shared" si="58"/>
        <v>4</v>
      </c>
      <c r="BP272" s="108">
        <f>Whole!BP272+Whole!BQ272+'Tot Retail'!BP272</f>
        <v>3123656</v>
      </c>
      <c r="BQ272" s="108"/>
      <c r="BR272" s="108"/>
      <c r="BS272" s="108"/>
      <c r="BT272" s="175">
        <f>Whole!BT272+'Tot Retail'!BT272</f>
        <v>3301260.4355709045</v>
      </c>
      <c r="BU272" s="108">
        <f t="shared" si="68"/>
        <v>224293.36661260901</v>
      </c>
      <c r="BV272" s="108"/>
      <c r="BW272" s="108">
        <f t="shared" si="69"/>
        <v>177604.43557090452</v>
      </c>
    </row>
    <row r="273" spans="1:75">
      <c r="A273" s="4">
        <f t="shared" si="61"/>
        <v>2005</v>
      </c>
      <c r="B273" s="4">
        <f t="shared" si="62"/>
        <v>5</v>
      </c>
      <c r="C273" s="108">
        <f>Whole!C273+Whole!D273+'Tot Retail'!C273</f>
        <v>3221843</v>
      </c>
      <c r="D273" s="108">
        <f>Whole!E273+'Tot Retail'!D273</f>
        <v>1625359</v>
      </c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>
        <f t="shared" si="66"/>
        <v>181336</v>
      </c>
      <c r="Z273" s="175">
        <f>Whole!Z273+'Tot Retail'!Z273</f>
        <v>3459040</v>
      </c>
      <c r="AA273" s="108">
        <f t="shared" si="67"/>
        <v>237197</v>
      </c>
      <c r="AB273" s="523">
        <f>Whole!Z261+'Tot Retail'!AB261</f>
        <v>3242615</v>
      </c>
      <c r="BN273" s="4">
        <f t="shared" si="57"/>
        <v>2005</v>
      </c>
      <c r="BO273" s="4">
        <f t="shared" si="58"/>
        <v>5</v>
      </c>
      <c r="BP273" s="108">
        <f>Whole!BP273+Whole!BQ273+'Tot Retail'!BP273</f>
        <v>3698604</v>
      </c>
      <c r="BQ273" s="108"/>
      <c r="BR273" s="108"/>
      <c r="BS273" s="108"/>
      <c r="BT273" s="175">
        <f>Whole!BT273+'Tot Retail'!BT273</f>
        <v>3901908.5359995053</v>
      </c>
      <c r="BU273" s="108">
        <f t="shared" si="68"/>
        <v>212865.90031090239</v>
      </c>
      <c r="BV273" s="108"/>
      <c r="BW273" s="108">
        <f t="shared" si="69"/>
        <v>203304.53599950531</v>
      </c>
    </row>
    <row r="274" spans="1:75">
      <c r="A274" s="4">
        <f t="shared" si="61"/>
        <v>2005</v>
      </c>
      <c r="B274" s="4">
        <f t="shared" si="62"/>
        <v>6</v>
      </c>
      <c r="C274" s="108">
        <f>Whole!C274+Whole!D274+'Tot Retail'!C274</f>
        <v>3745537</v>
      </c>
      <c r="D274" s="108">
        <f>Whole!E274+'Tot Retail'!D274</f>
        <v>1495021</v>
      </c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>
        <f t="shared" si="66"/>
        <v>10823</v>
      </c>
      <c r="Z274" s="175">
        <f>Whole!Z274+'Tot Retail'!Z274</f>
        <v>3889206</v>
      </c>
      <c r="AA274" s="108">
        <f t="shared" ref="AA274:AA279" si="70">Z274-C274</f>
        <v>143669</v>
      </c>
      <c r="AB274" s="523">
        <f>Whole!Z262+'Tot Retail'!AB262</f>
        <v>3861762</v>
      </c>
      <c r="BN274" s="4">
        <f t="shared" si="57"/>
        <v>2005</v>
      </c>
      <c r="BO274" s="4">
        <f t="shared" si="58"/>
        <v>6</v>
      </c>
      <c r="BP274" s="108">
        <f>Whole!BP274+Whole!BQ274+'Tot Retail'!BP274</f>
        <v>3910192</v>
      </c>
      <c r="BQ274" s="108"/>
      <c r="BR274" s="108"/>
      <c r="BS274" s="108"/>
      <c r="BT274" s="175">
        <f>Whole!BT274+'Tot Retail'!BT274</f>
        <v>3996086.7738781124</v>
      </c>
      <c r="BU274" s="108">
        <f t="shared" ref="BU274:BU279" si="71">BT274-BT262</f>
        <v>-115487.49778115191</v>
      </c>
      <c r="BV274" s="108"/>
      <c r="BW274" s="108">
        <f t="shared" ref="BW274:BW279" si="72">BT274-BP274</f>
        <v>85894.773878112435</v>
      </c>
    </row>
    <row r="275" spans="1:75">
      <c r="A275" s="4">
        <f t="shared" si="61"/>
        <v>2005</v>
      </c>
      <c r="B275" s="4">
        <f t="shared" si="62"/>
        <v>7</v>
      </c>
      <c r="C275" s="108">
        <f>Whole!C275+Whole!D275+'Tot Retail'!C275</f>
        <v>4298161</v>
      </c>
      <c r="D275" s="108">
        <f>Whole!E275+'Tot Retail'!D275</f>
        <v>1613490</v>
      </c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>
        <f t="shared" si="66"/>
        <v>116333</v>
      </c>
      <c r="Z275" s="175">
        <f>Whole!Z275+'Tot Retail'!Z275</f>
        <v>4271963</v>
      </c>
      <c r="AA275" s="108">
        <f t="shared" si="70"/>
        <v>-26198</v>
      </c>
      <c r="AB275" s="523">
        <f>Whole!Z263+'Tot Retail'!AB263</f>
        <v>4194050</v>
      </c>
      <c r="BN275" s="4">
        <f t="shared" si="57"/>
        <v>2005</v>
      </c>
      <c r="BO275" s="4">
        <f t="shared" si="58"/>
        <v>7</v>
      </c>
      <c r="BP275" s="108">
        <f>Whole!BP275+Whole!BQ275+'Tot Retail'!BP275</f>
        <v>4690369</v>
      </c>
      <c r="BQ275" s="108"/>
      <c r="BR275" s="108"/>
      <c r="BS275" s="108"/>
      <c r="BT275" s="175">
        <f>Whole!BT275+'Tot Retail'!BT275</f>
        <v>4487941.8329860307</v>
      </c>
      <c r="BU275" s="108">
        <f t="shared" si="71"/>
        <v>120425.7987395348</v>
      </c>
      <c r="BV275" s="108"/>
      <c r="BW275" s="108">
        <f t="shared" si="72"/>
        <v>-202427.16701396927</v>
      </c>
    </row>
    <row r="276" spans="1:75">
      <c r="A276" s="4">
        <f t="shared" si="61"/>
        <v>2005</v>
      </c>
      <c r="B276" s="4">
        <f t="shared" si="62"/>
        <v>8</v>
      </c>
      <c r="C276" s="108">
        <f>Whole!C276+Whole!D276+'Tot Retail'!C276</f>
        <v>4530703</v>
      </c>
      <c r="D276" s="108">
        <f>Whole!E276+'Tot Retail'!D276</f>
        <v>1580544</v>
      </c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>
        <f t="shared" si="66"/>
        <v>-97881</v>
      </c>
      <c r="Z276" s="175">
        <f>Whole!Z276+'Tot Retail'!Z276</f>
        <v>4304486</v>
      </c>
      <c r="AA276" s="108">
        <f t="shared" si="70"/>
        <v>-226217</v>
      </c>
      <c r="AB276" s="523">
        <f>Whole!Z264+'Tot Retail'!AB264</f>
        <v>4488354</v>
      </c>
      <c r="BN276" s="4">
        <f t="shared" si="57"/>
        <v>2005</v>
      </c>
      <c r="BO276" s="4">
        <f t="shared" si="58"/>
        <v>8</v>
      </c>
      <c r="BP276" s="108">
        <f>Whole!BP276+Whole!BQ276+'Tot Retail'!BP276</f>
        <v>4692668</v>
      </c>
      <c r="BQ276" s="108"/>
      <c r="BR276" s="108"/>
      <c r="BS276" s="108"/>
      <c r="BT276" s="175">
        <f>Whole!BT276+'Tot Retail'!BT276</f>
        <v>4453275.351342041</v>
      </c>
      <c r="BU276" s="108">
        <f t="shared" si="71"/>
        <v>76835.33596977964</v>
      </c>
      <c r="BV276" s="108"/>
      <c r="BW276" s="108">
        <f t="shared" si="72"/>
        <v>-239392.64865795895</v>
      </c>
    </row>
    <row r="277" spans="1:75">
      <c r="A277" s="4">
        <f t="shared" si="61"/>
        <v>2005</v>
      </c>
      <c r="B277" s="4">
        <f t="shared" si="62"/>
        <v>9</v>
      </c>
      <c r="C277" s="108">
        <f>Whole!C277+Whole!D277+'Tot Retail'!C277</f>
        <v>4680675</v>
      </c>
      <c r="D277" s="108">
        <f>Whole!E277+'Tot Retail'!D277</f>
        <v>1599410</v>
      </c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>
        <f t="shared" si="66"/>
        <v>256496</v>
      </c>
      <c r="Z277" s="175">
        <f>Whole!Z277+'Tot Retail'!Z277</f>
        <v>4500263</v>
      </c>
      <c r="AA277" s="108">
        <f t="shared" si="70"/>
        <v>-180412</v>
      </c>
      <c r="AB277" s="523">
        <f>Whole!Z265+'Tot Retail'!AB265</f>
        <v>4300883</v>
      </c>
      <c r="BN277" s="4">
        <f t="shared" si="57"/>
        <v>2005</v>
      </c>
      <c r="BO277" s="4">
        <f t="shared" si="58"/>
        <v>9</v>
      </c>
      <c r="BP277" s="108">
        <f>Whole!BP277+Whole!BQ277+'Tot Retail'!BP277</f>
        <v>4321187</v>
      </c>
      <c r="BQ277" s="108"/>
      <c r="BR277" s="108"/>
      <c r="BS277" s="108"/>
      <c r="BT277" s="175">
        <f>Whole!BT277+'Tot Retail'!BT277</f>
        <v>4214528.4114839649</v>
      </c>
      <c r="BU277" s="108">
        <f t="shared" si="71"/>
        <v>237974.04167075176</v>
      </c>
      <c r="BV277" s="108"/>
      <c r="BW277" s="108">
        <f t="shared" si="72"/>
        <v>-106658.58851603512</v>
      </c>
    </row>
    <row r="278" spans="1:75">
      <c r="A278" s="4">
        <f t="shared" si="61"/>
        <v>2005</v>
      </c>
      <c r="B278" s="4">
        <f t="shared" si="62"/>
        <v>10</v>
      </c>
      <c r="C278" s="108">
        <f>Whole!C278+Whole!D278+'Tot Retail'!C278</f>
        <v>4071355</v>
      </c>
      <c r="D278" s="108">
        <f>Whole!E278+'Tot Retail'!D278</f>
        <v>1581884</v>
      </c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>
        <f t="shared" si="66"/>
        <v>63374</v>
      </c>
      <c r="Z278" s="175">
        <f>Whole!Z278+'Tot Retail'!Z278</f>
        <v>3877812</v>
      </c>
      <c r="AA278" s="108">
        <f t="shared" si="70"/>
        <v>-193543</v>
      </c>
      <c r="AB278" s="523">
        <f>Whole!Z266+'Tot Retail'!AB266</f>
        <v>3831367</v>
      </c>
      <c r="BN278" s="4">
        <f t="shared" si="57"/>
        <v>2005</v>
      </c>
      <c r="BO278" s="4">
        <f t="shared" si="58"/>
        <v>10</v>
      </c>
      <c r="BP278" s="108">
        <f>Whole!BP278+Whole!BQ278+'Tot Retail'!BP278</f>
        <v>3677184</v>
      </c>
      <c r="BQ278" s="108"/>
      <c r="BR278" s="108"/>
      <c r="BS278" s="108"/>
      <c r="BT278" s="175">
        <f>Whole!BT278+'Tot Retail'!BT278</f>
        <v>3558660.6601476651</v>
      </c>
      <c r="BU278" s="108">
        <f t="shared" si="71"/>
        <v>-163565.97074938146</v>
      </c>
      <c r="BV278" s="108"/>
      <c r="BW278" s="108">
        <f t="shared" si="72"/>
        <v>-118523.33985233493</v>
      </c>
    </row>
    <row r="279" spans="1:75">
      <c r="A279" s="4">
        <f t="shared" si="61"/>
        <v>2005</v>
      </c>
      <c r="B279" s="4">
        <f t="shared" si="62"/>
        <v>11</v>
      </c>
      <c r="C279" s="108">
        <f>Whole!C279+Whole!D279+'Tot Retail'!C279</f>
        <v>3501073</v>
      </c>
      <c r="D279" s="108">
        <f>Whole!E279+'Tot Retail'!D279</f>
        <v>1639230</v>
      </c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>
        <f t="shared" si="66"/>
        <v>120510</v>
      </c>
      <c r="Z279" s="175">
        <f>Whole!Z279+'Tot Retail'!Z279</f>
        <v>3493872</v>
      </c>
      <c r="AA279" s="108">
        <f t="shared" si="70"/>
        <v>-7201</v>
      </c>
      <c r="AB279" s="523">
        <f>Whole!Z267+'Tot Retail'!AB267</f>
        <v>3324024</v>
      </c>
      <c r="BN279" s="4">
        <f t="shared" si="57"/>
        <v>2005</v>
      </c>
      <c r="BO279" s="4">
        <f t="shared" si="58"/>
        <v>11</v>
      </c>
      <c r="BP279" s="108">
        <f>Whole!BP279+Whole!BQ279+'Tot Retail'!BP279</f>
        <v>3004060</v>
      </c>
      <c r="BQ279" s="108"/>
      <c r="BR279" s="108"/>
      <c r="BS279" s="108"/>
      <c r="BT279" s="175">
        <f>Whole!BT279+'Tot Retail'!BT279</f>
        <v>3001768.8650543019</v>
      </c>
      <c r="BU279" s="108">
        <f t="shared" si="71"/>
        <v>-98875.692203365266</v>
      </c>
      <c r="BV279" s="108"/>
      <c r="BW279" s="108">
        <f t="shared" si="72"/>
        <v>-2291.1349456980824</v>
      </c>
    </row>
    <row r="280" spans="1:75" s="89" customFormat="1">
      <c r="A280" s="89">
        <f t="shared" si="61"/>
        <v>2005</v>
      </c>
      <c r="B280" s="89">
        <f t="shared" si="62"/>
        <v>12</v>
      </c>
      <c r="C280" s="117">
        <f>Whole!C280+Whole!D280+'Tot Retail'!C280</f>
        <v>3214664</v>
      </c>
      <c r="D280" s="117">
        <f>Whole!E280+'Tot Retail'!D280</f>
        <v>1599158</v>
      </c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  <c r="V280" s="117"/>
      <c r="W280" s="117"/>
      <c r="X280" s="117"/>
      <c r="Y280" s="117">
        <f t="shared" si="66"/>
        <v>-60250</v>
      </c>
      <c r="Z280" s="176">
        <f>Whole!Z280+'Tot Retail'!Z280</f>
        <v>3272784</v>
      </c>
      <c r="AA280" s="117">
        <f t="shared" ref="AA280:AA285" si="73">Z280-C280</f>
        <v>58120</v>
      </c>
      <c r="AB280" s="501">
        <f>Whole!Z268+'Tot Retail'!AB268</f>
        <v>3313351</v>
      </c>
      <c r="BN280" s="89">
        <f t="shared" si="57"/>
        <v>2005</v>
      </c>
      <c r="BO280" s="89">
        <f t="shared" si="58"/>
        <v>12</v>
      </c>
      <c r="BP280" s="117">
        <f>Whole!BP280+Whole!BQ280+'Tot Retail'!BP280</f>
        <v>3381755</v>
      </c>
      <c r="BQ280" s="117"/>
      <c r="BR280" s="117"/>
      <c r="BS280" s="117"/>
      <c r="BT280" s="176">
        <f>Whole!BT280+'Tot Retail'!BT280</f>
        <v>3358255.1867314633</v>
      </c>
      <c r="BU280" s="117">
        <f t="shared" ref="BU280:BU285" si="74">BT280-BT268</f>
        <v>-28801.376662469469</v>
      </c>
      <c r="BV280" s="117"/>
      <c r="BW280" s="117">
        <f t="shared" ref="BW280:BW285" si="75">BT280-BP280</f>
        <v>-23499.813268536702</v>
      </c>
    </row>
    <row r="281" spans="1:75">
      <c r="A281" s="4">
        <f t="shared" si="61"/>
        <v>2006</v>
      </c>
      <c r="B281" s="4">
        <f t="shared" si="62"/>
        <v>1</v>
      </c>
      <c r="C281" s="108">
        <f>Whole!C281+Whole!D281+'Tot Retail'!C281</f>
        <v>3418333</v>
      </c>
      <c r="D281" s="108">
        <f>Whole!E281+'Tot Retail'!D281</f>
        <v>1581856</v>
      </c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>
        <f t="shared" si="66"/>
        <v>34377</v>
      </c>
      <c r="Z281" s="175">
        <f>Whole!Z281+'Tot Retail'!Z281</f>
        <v>3412836</v>
      </c>
      <c r="AA281" s="108">
        <f t="shared" si="73"/>
        <v>-5497</v>
      </c>
      <c r="AB281" s="523">
        <f>Whole!Z269+'Tot Retail'!AB269</f>
        <v>3431041</v>
      </c>
      <c r="BN281" s="4">
        <f t="shared" si="57"/>
        <v>2006</v>
      </c>
      <c r="BO281" s="4">
        <f t="shared" si="58"/>
        <v>1</v>
      </c>
      <c r="BP281" s="108">
        <f>Whole!BP281+Whole!BQ281+'Tot Retail'!BP281</f>
        <v>3242924</v>
      </c>
      <c r="BQ281" s="108"/>
      <c r="BR281" s="108"/>
      <c r="BS281" s="108"/>
      <c r="BT281" s="175">
        <f>Whole!BT281+'Tot Retail'!BT281</f>
        <v>3310429.9197785892</v>
      </c>
      <c r="BU281" s="108">
        <f t="shared" si="74"/>
        <v>23485.204606239218</v>
      </c>
      <c r="BV281" s="108"/>
      <c r="BW281" s="108">
        <f t="shared" si="75"/>
        <v>67505.919778589159</v>
      </c>
    </row>
    <row r="282" spans="1:75">
      <c r="A282" s="4">
        <f t="shared" si="61"/>
        <v>2006</v>
      </c>
      <c r="B282" s="4">
        <f t="shared" si="62"/>
        <v>2</v>
      </c>
      <c r="C282" s="108">
        <f>Whole!C282+Whole!D282+'Tot Retail'!C282</f>
        <v>3074535</v>
      </c>
      <c r="D282" s="108">
        <f>Whole!E282+'Tot Retail'!D282</f>
        <v>1608407</v>
      </c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>
        <f t="shared" si="66"/>
        <v>-90617</v>
      </c>
      <c r="Z282" s="175">
        <f>Whole!Z282+'Tot Retail'!Z282</f>
        <v>3097699</v>
      </c>
      <c r="AA282" s="108">
        <f t="shared" si="73"/>
        <v>23164</v>
      </c>
      <c r="AB282" s="523">
        <f>Whole!Z270+'Tot Retail'!AB270</f>
        <v>3215854</v>
      </c>
      <c r="BN282" s="4">
        <f t="shared" si="57"/>
        <v>2006</v>
      </c>
      <c r="BO282" s="4">
        <f t="shared" si="58"/>
        <v>2</v>
      </c>
      <c r="BP282" s="108">
        <f>Whole!BP282+Whole!BQ282+'Tot Retail'!BP282</f>
        <v>2999647</v>
      </c>
      <c r="BQ282" s="108"/>
      <c r="BR282" s="108"/>
      <c r="BS282" s="108"/>
      <c r="BT282" s="175">
        <f>Whole!BT282+'Tot Retail'!BT282</f>
        <v>2926836.7586966227</v>
      </c>
      <c r="BU282" s="108">
        <f t="shared" si="74"/>
        <v>-111467.41121829953</v>
      </c>
      <c r="BV282" s="108"/>
      <c r="BW282" s="108">
        <f t="shared" si="75"/>
        <v>-72810.241303377319</v>
      </c>
    </row>
    <row r="283" spans="1:75">
      <c r="A283" s="4">
        <f t="shared" si="61"/>
        <v>2006</v>
      </c>
      <c r="B283" s="4">
        <f t="shared" si="62"/>
        <v>3</v>
      </c>
      <c r="C283" s="108">
        <f>Whole!C283+Whole!D283+'Tot Retail'!C283</f>
        <v>3018513</v>
      </c>
      <c r="D283" s="108">
        <f>Whole!E283+'Tot Retail'!D283</f>
        <v>1627306</v>
      </c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>
        <f t="shared" ref="Y283:Y288" si="76">Z283-Z271</f>
        <v>-164837</v>
      </c>
      <c r="Z283" s="175">
        <f>Whole!Z283+'Tot Retail'!Z283</f>
        <v>3005730</v>
      </c>
      <c r="AA283" s="108">
        <f t="shared" si="73"/>
        <v>-12783</v>
      </c>
      <c r="AB283" s="523">
        <f>Whole!Z271+'Tot Retail'!AB271</f>
        <v>3151628</v>
      </c>
      <c r="BN283" s="4">
        <f t="shared" si="57"/>
        <v>2006</v>
      </c>
      <c r="BO283" s="4">
        <f t="shared" si="58"/>
        <v>3</v>
      </c>
      <c r="BP283" s="108">
        <f>Whole!BP283+Whole!BQ283+'Tot Retail'!BP283</f>
        <v>3118531</v>
      </c>
      <c r="BQ283" s="108"/>
      <c r="BR283" s="108"/>
      <c r="BS283" s="108"/>
      <c r="BT283" s="175">
        <f>Whole!BT283+'Tot Retail'!BT283</f>
        <v>3082359.3716573198</v>
      </c>
      <c r="BU283" s="108">
        <f t="shared" si="74"/>
        <v>-257272.79740427434</v>
      </c>
      <c r="BV283" s="108"/>
      <c r="BW283" s="108">
        <f t="shared" si="75"/>
        <v>-36171.628342680167</v>
      </c>
    </row>
    <row r="284" spans="1:75">
      <c r="A284" s="4">
        <f t="shared" si="61"/>
        <v>2006</v>
      </c>
      <c r="B284" s="4">
        <f t="shared" si="62"/>
        <v>4</v>
      </c>
      <c r="C284" s="108">
        <f>Whole!C284+Whole!D284+'Tot Retail'!C284</f>
        <v>3064627</v>
      </c>
      <c r="D284" s="108">
        <f>Whole!E284+'Tot Retail'!D284</f>
        <v>1597545</v>
      </c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>
        <f t="shared" si="76"/>
        <v>-310530</v>
      </c>
      <c r="Z284" s="175">
        <f>Whole!Z284+'Tot Retail'!Z284</f>
        <v>3042787</v>
      </c>
      <c r="AA284" s="108">
        <f t="shared" si="73"/>
        <v>-21840</v>
      </c>
      <c r="AB284" s="523">
        <f>Whole!Z272+'Tot Retail'!AB272</f>
        <v>3352565</v>
      </c>
      <c r="BN284" s="4">
        <f t="shared" si="57"/>
        <v>2006</v>
      </c>
      <c r="BO284" s="4">
        <f t="shared" si="58"/>
        <v>4</v>
      </c>
      <c r="BP284" s="108">
        <f>Whole!BP284+Whole!BQ284+'Tot Retail'!BP284</f>
        <v>3330944</v>
      </c>
      <c r="BQ284" s="108"/>
      <c r="BR284" s="108"/>
      <c r="BS284" s="108"/>
      <c r="BT284" s="175">
        <f>Whole!BT284+'Tot Retail'!BT284</f>
        <v>3226694.4617045987</v>
      </c>
      <c r="BU284" s="108">
        <f t="shared" si="74"/>
        <v>-74565.97386630578</v>
      </c>
      <c r="BV284" s="108"/>
      <c r="BW284" s="108">
        <f t="shared" si="75"/>
        <v>-104249.53829540126</v>
      </c>
    </row>
    <row r="285" spans="1:75">
      <c r="A285" s="4">
        <f t="shared" si="61"/>
        <v>2006</v>
      </c>
      <c r="B285" s="4">
        <f t="shared" si="62"/>
        <v>5</v>
      </c>
      <c r="C285" s="108">
        <f>Whole!C285+Whole!D285+'Tot Retail'!C285</f>
        <v>3483888</v>
      </c>
      <c r="D285" s="108">
        <f>Whole!E285+'Tot Retail'!D285</f>
        <v>1619811</v>
      </c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>
        <f t="shared" si="76"/>
        <v>-77111</v>
      </c>
      <c r="Z285" s="175">
        <f>Whole!Z285+'Tot Retail'!Z285</f>
        <v>3381929</v>
      </c>
      <c r="AA285" s="108">
        <f t="shared" si="73"/>
        <v>-101959</v>
      </c>
      <c r="AB285" s="523">
        <f>Whole!Z273+'Tot Retail'!AB273</f>
        <v>3380438</v>
      </c>
      <c r="BN285" s="4">
        <f t="shared" si="57"/>
        <v>2006</v>
      </c>
      <c r="BO285" s="4">
        <f t="shared" si="58"/>
        <v>5</v>
      </c>
      <c r="BP285" s="108">
        <f>Whole!BP285+Whole!BQ285+'Tot Retail'!BP285</f>
        <v>3751895</v>
      </c>
      <c r="BQ285" s="108"/>
      <c r="BR285" s="108"/>
      <c r="BS285" s="108"/>
      <c r="BT285" s="175">
        <f>Whole!BT285+'Tot Retail'!BT285</f>
        <v>3795802.6675404543</v>
      </c>
      <c r="BU285" s="108">
        <f t="shared" si="74"/>
        <v>-106105.86845905101</v>
      </c>
      <c r="BV285" s="108"/>
      <c r="BW285" s="108">
        <f t="shared" si="75"/>
        <v>43907.667540454306</v>
      </c>
    </row>
    <row r="286" spans="1:75">
      <c r="A286" s="4">
        <f t="shared" si="61"/>
        <v>2006</v>
      </c>
      <c r="B286" s="4">
        <f t="shared" si="62"/>
        <v>6</v>
      </c>
      <c r="C286" s="108">
        <f>Whole!C286+Whole!D286+'Tot Retail'!C286</f>
        <v>3958611</v>
      </c>
      <c r="D286" s="108">
        <f>Whole!E286+'Tot Retail'!D286</f>
        <v>1623112</v>
      </c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>
        <f t="shared" si="76"/>
        <v>84602</v>
      </c>
      <c r="Z286" s="175">
        <f>Whole!Z286+'Tot Retail'!Z286</f>
        <v>3973808</v>
      </c>
      <c r="AA286" s="108">
        <f t="shared" ref="AA286:AA291" si="77">Z286-C286</f>
        <v>15197</v>
      </c>
      <c r="AB286" s="523">
        <f>Whole!Z274+'Tot Retail'!AB274</f>
        <v>4000429</v>
      </c>
      <c r="BN286" s="4">
        <f t="shared" si="57"/>
        <v>2006</v>
      </c>
      <c r="BO286" s="4">
        <f t="shared" si="58"/>
        <v>6</v>
      </c>
      <c r="BP286" s="108">
        <f>Whole!BP286+Whole!BQ286+'Tot Retail'!BP286</f>
        <v>4203069</v>
      </c>
      <c r="BQ286" s="108"/>
      <c r="BR286" s="108"/>
      <c r="BS286" s="108"/>
      <c r="BT286" s="175">
        <f>Whole!BT286+'Tot Retail'!BT286</f>
        <v>4206220.5957439812</v>
      </c>
      <c r="BU286" s="108">
        <f t="shared" ref="BU286:BU291" si="78">BT286-BT274</f>
        <v>210133.82186586875</v>
      </c>
      <c r="BV286" s="108"/>
      <c r="BW286" s="108">
        <f t="shared" ref="BW286:BW291" si="79">BT286-BP286</f>
        <v>3151.59574398119</v>
      </c>
    </row>
    <row r="287" spans="1:75">
      <c r="A287" s="4">
        <f t="shared" si="61"/>
        <v>2006</v>
      </c>
      <c r="B287" s="4">
        <f t="shared" si="62"/>
        <v>7</v>
      </c>
      <c r="C287" s="108">
        <f>Whole!C287+Whole!D287+'Tot Retail'!C287</f>
        <v>4056589</v>
      </c>
      <c r="D287" s="108">
        <f>Whole!E287+'Tot Retail'!D287</f>
        <v>1535483</v>
      </c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>
        <f t="shared" si="76"/>
        <v>-182133</v>
      </c>
      <c r="Z287" s="175">
        <f>Whole!Z287+'Tot Retail'!Z287</f>
        <v>4089830</v>
      </c>
      <c r="AA287" s="108">
        <f t="shared" si="77"/>
        <v>33241</v>
      </c>
      <c r="AB287" s="523">
        <f>Whole!Z275+'Tot Retail'!AB275</f>
        <v>4196230</v>
      </c>
      <c r="BN287" s="4">
        <f t="shared" si="57"/>
        <v>2006</v>
      </c>
      <c r="BO287" s="4">
        <f t="shared" si="58"/>
        <v>7</v>
      </c>
      <c r="BP287" s="108">
        <f>Whole!BP287+Whole!BQ287+'Tot Retail'!BP287</f>
        <v>4359589</v>
      </c>
      <c r="BQ287" s="108"/>
      <c r="BR287" s="108"/>
      <c r="BS287" s="108"/>
      <c r="BT287" s="175">
        <f>Whole!BT287+'Tot Retail'!BT287</f>
        <v>4394464.3086531367</v>
      </c>
      <c r="BU287" s="108">
        <f t="shared" si="78"/>
        <v>-93477.524332894012</v>
      </c>
      <c r="BV287" s="108"/>
      <c r="BW287" s="108">
        <f t="shared" si="79"/>
        <v>34875.308653136715</v>
      </c>
    </row>
    <row r="288" spans="1:75">
      <c r="A288" s="4">
        <f t="shared" si="61"/>
        <v>2006</v>
      </c>
      <c r="B288" s="4">
        <f t="shared" si="62"/>
        <v>8</v>
      </c>
      <c r="C288" s="108">
        <f>Whole!C288+Whole!D288+'Tot Retail'!C288</f>
        <v>4642024</v>
      </c>
      <c r="D288" s="108">
        <f>Whole!E288+'Tot Retail'!D288</f>
        <v>1692039</v>
      </c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>
        <f t="shared" si="76"/>
        <v>254666</v>
      </c>
      <c r="Z288" s="175">
        <f>Whole!Z288+'Tot Retail'!Z288</f>
        <v>4559152</v>
      </c>
      <c r="AA288" s="108">
        <f t="shared" si="77"/>
        <v>-82872</v>
      </c>
      <c r="AB288" s="523">
        <f>Whole!Z276+'Tot Retail'!AB276</f>
        <v>4291470</v>
      </c>
      <c r="BN288" s="4">
        <f t="shared" si="57"/>
        <v>2006</v>
      </c>
      <c r="BO288" s="4">
        <f t="shared" si="58"/>
        <v>8</v>
      </c>
      <c r="BP288" s="108">
        <f>Whole!BP288+Whole!BQ288+'Tot Retail'!BP288</f>
        <v>4685517</v>
      </c>
      <c r="BQ288" s="108"/>
      <c r="BR288" s="108"/>
      <c r="BS288" s="108"/>
      <c r="BT288" s="175">
        <f>Whole!BT288+'Tot Retail'!BT288</f>
        <v>4622620.5041464306</v>
      </c>
      <c r="BU288" s="108">
        <f t="shared" si="78"/>
        <v>169345.1528043896</v>
      </c>
      <c r="BV288" s="108"/>
      <c r="BW288" s="108">
        <f t="shared" si="79"/>
        <v>-62896.495853569359</v>
      </c>
    </row>
    <row r="289" spans="1:75">
      <c r="A289" s="4">
        <f t="shared" si="61"/>
        <v>2006</v>
      </c>
      <c r="B289" s="4">
        <f t="shared" si="62"/>
        <v>9</v>
      </c>
      <c r="C289" s="108">
        <f>Whole!C289+Whole!D289+'Tot Retail'!C289</f>
        <v>4455919</v>
      </c>
      <c r="D289" s="108">
        <f>Whole!E289+'Tot Retail'!D289</f>
        <v>1628960</v>
      </c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>
        <f t="shared" ref="Y289:Y296" si="80">Z289-Z277</f>
        <v>-10628</v>
      </c>
      <c r="Z289" s="175">
        <f>Whole!Z289+'Tot Retail'!Z289</f>
        <v>4489635</v>
      </c>
      <c r="AA289" s="108">
        <f t="shared" si="77"/>
        <v>33716</v>
      </c>
      <c r="AB289" s="523">
        <f>Whole!Z277+'Tot Retail'!AB277</f>
        <v>4457839</v>
      </c>
      <c r="BN289" s="4">
        <f t="shared" si="57"/>
        <v>2006</v>
      </c>
      <c r="BO289" s="4">
        <f t="shared" si="58"/>
        <v>9</v>
      </c>
      <c r="BP289" s="108">
        <f>Whole!BP289+Whole!BQ289+'Tot Retail'!BP289</f>
        <v>4012481</v>
      </c>
      <c r="BQ289" s="108"/>
      <c r="BR289" s="108"/>
      <c r="BS289" s="108"/>
      <c r="BT289" s="175">
        <f>Whole!BT289+'Tot Retail'!BT289</f>
        <v>4083119.0290644881</v>
      </c>
      <c r="BU289" s="108">
        <f t="shared" si="78"/>
        <v>-131409.38241947675</v>
      </c>
      <c r="BV289" s="108"/>
      <c r="BW289" s="108">
        <f t="shared" si="79"/>
        <v>70638.029064488132</v>
      </c>
    </row>
    <row r="290" spans="1:75">
      <c r="A290" s="4">
        <f t="shared" si="61"/>
        <v>2006</v>
      </c>
      <c r="B290" s="4">
        <f t="shared" si="62"/>
        <v>10</v>
      </c>
      <c r="C290" s="108">
        <f>Whole!C290+Whole!D290+'Tot Retail'!C290</f>
        <v>3835802</v>
      </c>
      <c r="D290" s="108">
        <f>Whole!E290+'Tot Retail'!D290</f>
        <v>1556374</v>
      </c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>
        <f t="shared" si="80"/>
        <v>37094</v>
      </c>
      <c r="Z290" s="175">
        <f>Whole!Z290+'Tot Retail'!Z290</f>
        <v>3914906</v>
      </c>
      <c r="AA290" s="108">
        <f t="shared" si="77"/>
        <v>79104</v>
      </c>
      <c r="AB290" s="523">
        <f>Whole!Z278+'Tot Retail'!AB278</f>
        <v>3906158</v>
      </c>
      <c r="BN290" s="4">
        <f t="shared" si="57"/>
        <v>2006</v>
      </c>
      <c r="BO290" s="4">
        <f t="shared" si="58"/>
        <v>10</v>
      </c>
      <c r="BP290" s="108">
        <f>Whole!BP290+Whole!BQ290+'Tot Retail'!BP290</f>
        <v>3565218</v>
      </c>
      <c r="BQ290" s="108"/>
      <c r="BR290" s="108"/>
      <c r="BS290" s="108"/>
      <c r="BT290" s="175">
        <f>Whole!BT290+'Tot Retail'!BT290</f>
        <v>3621853.8207071628</v>
      </c>
      <c r="BU290" s="108">
        <f t="shared" si="78"/>
        <v>63193.160559497774</v>
      </c>
      <c r="BV290" s="108"/>
      <c r="BW290" s="108">
        <f t="shared" si="79"/>
        <v>56635.820707162842</v>
      </c>
    </row>
    <row r="291" spans="1:75">
      <c r="A291" s="4">
        <f t="shared" si="61"/>
        <v>2006</v>
      </c>
      <c r="B291" s="4">
        <f t="shared" si="62"/>
        <v>11</v>
      </c>
      <c r="C291" s="108">
        <f>Whole!C291+Whole!D291+'Tot Retail'!C291</f>
        <v>3392306</v>
      </c>
      <c r="D291" s="108">
        <f>Whole!E291+'Tot Retail'!D291</f>
        <v>1694782</v>
      </c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>
        <f t="shared" si="80"/>
        <v>-29306</v>
      </c>
      <c r="Z291" s="175">
        <f>Whole!Z291+'Tot Retail'!Z291</f>
        <v>3464566</v>
      </c>
      <c r="AA291" s="108">
        <f t="shared" si="77"/>
        <v>72260</v>
      </c>
      <c r="AB291" s="523">
        <f>Whole!Z279+'Tot Retail'!AB279</f>
        <v>3436405</v>
      </c>
      <c r="BN291" s="4">
        <f t="shared" si="57"/>
        <v>2006</v>
      </c>
      <c r="BO291" s="4">
        <f t="shared" si="58"/>
        <v>11</v>
      </c>
      <c r="BP291" s="108">
        <f>Whole!BP291+Whole!BQ291+'Tot Retail'!BP291</f>
        <v>2989241</v>
      </c>
      <c r="BQ291" s="108"/>
      <c r="BR291" s="108"/>
      <c r="BS291" s="108"/>
      <c r="BT291" s="175">
        <f>Whole!BT291+'Tot Retail'!BT291</f>
        <v>2973787.9127125572</v>
      </c>
      <c r="BU291" s="108">
        <f t="shared" si="78"/>
        <v>-27980.952341744676</v>
      </c>
      <c r="BV291" s="108"/>
      <c r="BW291" s="108">
        <f t="shared" si="79"/>
        <v>-15453.087287442759</v>
      </c>
    </row>
    <row r="292" spans="1:75" s="89" customFormat="1">
      <c r="A292" s="89">
        <f t="shared" si="61"/>
        <v>2006</v>
      </c>
      <c r="B292" s="89">
        <f t="shared" si="62"/>
        <v>12</v>
      </c>
      <c r="C292" s="117">
        <f>Whole!C292+Whole!D292+'Tot Retail'!C292</f>
        <v>3250870</v>
      </c>
      <c r="D292" s="117">
        <f>Whole!E292+'Tot Retail'!D292</f>
        <v>1679076</v>
      </c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  <c r="V292" s="117"/>
      <c r="W292" s="117"/>
      <c r="X292" s="117"/>
      <c r="Y292" s="117">
        <f t="shared" si="80"/>
        <v>17548</v>
      </c>
      <c r="Z292" s="176">
        <f>Whole!Z292+'Tot Retail'!Z292</f>
        <v>3290332</v>
      </c>
      <c r="AA292" s="117">
        <f t="shared" ref="AA292:AA297" si="81">Z292-C292</f>
        <v>39462</v>
      </c>
      <c r="AB292" s="501">
        <f>Whole!Z280+'Tot Retail'!AB280</f>
        <v>3271098</v>
      </c>
      <c r="BN292" s="89">
        <f t="shared" si="57"/>
        <v>2006</v>
      </c>
      <c r="BO292" s="89">
        <f t="shared" si="58"/>
        <v>12</v>
      </c>
      <c r="BP292" s="117">
        <f>Whole!BP292+Whole!BQ292+'Tot Retail'!BP292</f>
        <v>3159510</v>
      </c>
      <c r="BQ292" s="117"/>
      <c r="BR292" s="117"/>
      <c r="BS292" s="117"/>
      <c r="BT292" s="176">
        <f>Whole!BT292+'Tot Retail'!BT292</f>
        <v>3269780.9710722705</v>
      </c>
      <c r="BU292" s="117">
        <f t="shared" ref="BU292:BU297" si="82">BT292-BT280</f>
        <v>-88474.215659192763</v>
      </c>
      <c r="BV292" s="117"/>
      <c r="BW292" s="117">
        <f t="shared" ref="BW292:BW297" si="83">BT292-BP292</f>
        <v>110270.97107227053</v>
      </c>
    </row>
    <row r="293" spans="1:75">
      <c r="A293" s="4">
        <f t="shared" si="61"/>
        <v>2007</v>
      </c>
      <c r="B293" s="4">
        <f t="shared" si="62"/>
        <v>1</v>
      </c>
      <c r="C293" s="108">
        <f>Whole!C293+Whole!D293+'Tot Retail'!C293</f>
        <v>3071615</v>
      </c>
      <c r="D293" s="108">
        <f>Whole!E293+'Tot Retail'!D293</f>
        <v>1565271</v>
      </c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>
        <f t="shared" si="80"/>
        <v>14777</v>
      </c>
      <c r="Z293" s="175">
        <f>Whole!Z293+'Tot Retail'!Z293</f>
        <v>3427613</v>
      </c>
      <c r="AA293" s="108">
        <f t="shared" si="81"/>
        <v>355998</v>
      </c>
      <c r="AB293" s="523">
        <f>Whole!Z281+'Tot Retail'!AB281</f>
        <v>3454393</v>
      </c>
      <c r="BN293" s="4">
        <f t="shared" si="57"/>
        <v>2007</v>
      </c>
      <c r="BO293" s="4">
        <f t="shared" si="58"/>
        <v>1</v>
      </c>
      <c r="BP293" s="108">
        <f>Whole!BP293+Whole!BQ293+'Tot Retail'!BP293</f>
        <v>3217165</v>
      </c>
      <c r="BQ293" s="108"/>
      <c r="BR293" s="108"/>
      <c r="BS293" s="108"/>
      <c r="BT293" s="175">
        <f>Whole!BT293+'Tot Retail'!BT293</f>
        <v>3451799.6578657925</v>
      </c>
      <c r="BU293" s="108">
        <f t="shared" si="82"/>
        <v>141369.73808720335</v>
      </c>
      <c r="BV293" s="108"/>
      <c r="BW293" s="108">
        <f t="shared" si="83"/>
        <v>234634.65786579251</v>
      </c>
    </row>
    <row r="294" spans="1:75">
      <c r="A294" s="4">
        <f t="shared" si="61"/>
        <v>2007</v>
      </c>
      <c r="B294" s="4">
        <f t="shared" si="62"/>
        <v>2</v>
      </c>
      <c r="C294" s="108">
        <f>Whole!C294+Whole!D294+'Tot Retail'!C294</f>
        <v>3213154</v>
      </c>
      <c r="D294" s="108">
        <f>Whole!E294+'Tot Retail'!D294</f>
        <v>1642883</v>
      </c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>
        <f t="shared" si="80"/>
        <v>55226</v>
      </c>
      <c r="Z294" s="175">
        <f>Whole!Z294+'Tot Retail'!Z294</f>
        <v>3152925</v>
      </c>
      <c r="AA294" s="108">
        <f t="shared" si="81"/>
        <v>-60229</v>
      </c>
      <c r="AB294" s="523">
        <f>Whole!Z282+'Tot Retail'!AB282</f>
        <v>3107672</v>
      </c>
      <c r="BN294" s="4">
        <f t="shared" si="57"/>
        <v>2007</v>
      </c>
      <c r="BO294" s="4">
        <f t="shared" si="58"/>
        <v>2</v>
      </c>
      <c r="BP294" s="108">
        <f>Whole!BP294+Whole!BQ294+'Tot Retail'!BP294</f>
        <v>3075504</v>
      </c>
      <c r="BQ294" s="108"/>
      <c r="BR294" s="108"/>
      <c r="BS294" s="108"/>
      <c r="BT294" s="175">
        <f>Whole!BT294+'Tot Retail'!BT294</f>
        <v>2957412.8988277023</v>
      </c>
      <c r="BU294" s="108">
        <f t="shared" si="82"/>
        <v>30576.140131079592</v>
      </c>
      <c r="BV294" s="108"/>
      <c r="BW294" s="108">
        <f t="shared" si="83"/>
        <v>-118091.10117229773</v>
      </c>
    </row>
    <row r="295" spans="1:75">
      <c r="A295" s="4">
        <f t="shared" si="61"/>
        <v>2007</v>
      </c>
      <c r="B295" s="4">
        <f t="shared" si="62"/>
        <v>3</v>
      </c>
      <c r="C295" s="108">
        <f>Whole!C295+Whole!D295+'Tot Retail'!C295</f>
        <v>3163915</v>
      </c>
      <c r="D295" s="108">
        <f>Whole!E295+'Tot Retail'!D295</f>
        <v>1629724</v>
      </c>
      <c r="Y295" s="108">
        <f t="shared" si="80"/>
        <v>94451</v>
      </c>
      <c r="Z295" s="175">
        <f>Whole!Z295+'Tot Retail'!Z295</f>
        <v>3100181</v>
      </c>
      <c r="AA295" s="108">
        <f t="shared" si="81"/>
        <v>-63734</v>
      </c>
      <c r="AB295" s="523">
        <f>Whole!Z283+'Tot Retail'!AB283</f>
        <v>2972378</v>
      </c>
      <c r="BN295" s="4">
        <f t="shared" si="57"/>
        <v>2007</v>
      </c>
      <c r="BO295" s="4">
        <f t="shared" si="58"/>
        <v>3</v>
      </c>
      <c r="BP295" s="108">
        <f>Whole!BP295+Whole!BQ295+'Tot Retail'!BP295</f>
        <v>3345838</v>
      </c>
      <c r="BQ295" s="130"/>
      <c r="BT295" s="175">
        <f>Whole!BT295+'Tot Retail'!BT295</f>
        <v>3328874.325463227</v>
      </c>
      <c r="BU295" s="108">
        <f t="shared" si="82"/>
        <v>246514.95380590716</v>
      </c>
      <c r="BV295" s="108"/>
      <c r="BW295" s="108">
        <f t="shared" si="83"/>
        <v>-16963.674536773004</v>
      </c>
    </row>
    <row r="296" spans="1:75">
      <c r="A296" s="4">
        <f t="shared" si="61"/>
        <v>2007</v>
      </c>
      <c r="B296" s="4">
        <f t="shared" si="62"/>
        <v>4</v>
      </c>
      <c r="C296" s="108">
        <f>Whole!C296+Whole!D296+'Tot Retail'!C296</f>
        <v>3225789</v>
      </c>
      <c r="D296" s="108">
        <f>Whole!E296+'Tot Retail'!D296</f>
        <v>1634170</v>
      </c>
      <c r="Y296" s="108">
        <f t="shared" si="80"/>
        <v>231208</v>
      </c>
      <c r="Z296" s="175">
        <f>Whole!Z296+'Tot Retail'!Z296</f>
        <v>3273995</v>
      </c>
      <c r="AA296" s="108">
        <f t="shared" si="81"/>
        <v>48206</v>
      </c>
      <c r="AB296" s="523">
        <f>Whole!Z284+'Tot Retail'!AB284</f>
        <v>3056419</v>
      </c>
      <c r="BN296" s="4">
        <f t="shared" ref="BN296:BN325" si="84">BN284+1</f>
        <v>2007</v>
      </c>
      <c r="BO296" s="4">
        <f t="shared" ref="BO296:BO325" si="85">BO284</f>
        <v>4</v>
      </c>
      <c r="BP296" s="108">
        <f>Whole!BP296+Whole!BQ296+'Tot Retail'!BP296</f>
        <v>3297476</v>
      </c>
      <c r="BQ296" s="130"/>
      <c r="BT296" s="175">
        <f>Whole!BT296+'Tot Retail'!BT296</f>
        <v>3384277.3007967276</v>
      </c>
      <c r="BU296" s="108">
        <f t="shared" si="82"/>
        <v>157582.83909212891</v>
      </c>
      <c r="BV296" s="108"/>
      <c r="BW296" s="108">
        <f t="shared" si="83"/>
        <v>86801.30079672765</v>
      </c>
    </row>
    <row r="297" spans="1:75">
      <c r="A297" s="4">
        <f t="shared" si="61"/>
        <v>2007</v>
      </c>
      <c r="B297" s="4">
        <f t="shared" si="62"/>
        <v>5</v>
      </c>
      <c r="C297" s="108">
        <f>Whole!C297+Whole!D297+'Tot Retail'!C297</f>
        <v>3495675</v>
      </c>
      <c r="D297" s="108">
        <f>Whole!E297+'Tot Retail'!D297</f>
        <v>1648810</v>
      </c>
      <c r="Y297" s="108">
        <f t="shared" ref="Y297:Y302" si="86">Z297-Z285</f>
        <v>150370</v>
      </c>
      <c r="Z297" s="175">
        <f>Whole!Z297+'Tot Retail'!Z297</f>
        <v>3532299</v>
      </c>
      <c r="AA297" s="108">
        <f t="shared" si="81"/>
        <v>36624</v>
      </c>
      <c r="AB297" s="523">
        <f>Whole!Z285+'Tot Retail'!AB285</f>
        <v>3365732</v>
      </c>
      <c r="BN297" s="4">
        <f t="shared" si="84"/>
        <v>2007</v>
      </c>
      <c r="BO297" s="4">
        <f t="shared" si="85"/>
        <v>5</v>
      </c>
      <c r="BP297" s="108">
        <f>Whole!BP297+Whole!BQ297+'Tot Retail'!BP297</f>
        <v>3847490</v>
      </c>
      <c r="BT297" s="175">
        <f>Whole!BT297+'Tot Retail'!BT297</f>
        <v>4034044.3965468337</v>
      </c>
      <c r="BU297" s="108">
        <f t="shared" si="82"/>
        <v>238241.72900637938</v>
      </c>
      <c r="BV297" s="108"/>
      <c r="BW297" s="108">
        <f t="shared" si="83"/>
        <v>186554.39654683368</v>
      </c>
    </row>
    <row r="298" spans="1:75">
      <c r="A298" s="4">
        <f t="shared" si="61"/>
        <v>2007</v>
      </c>
      <c r="B298" s="4">
        <f t="shared" si="62"/>
        <v>6</v>
      </c>
      <c r="C298" s="108">
        <f>Whole!C298+Whole!D298+'Tot Retail'!C298</f>
        <v>3834350</v>
      </c>
      <c r="D298" s="108">
        <f>Whole!E298+'Tot Retail'!D298</f>
        <v>1630387</v>
      </c>
      <c r="Y298" s="108">
        <f t="shared" si="86"/>
        <v>61551</v>
      </c>
      <c r="Z298" s="175">
        <f>Whole!Z298+'Tot Retail'!Z298</f>
        <v>4035359</v>
      </c>
      <c r="AA298" s="108">
        <f t="shared" ref="AA298:AA303" si="87">Z298-C298</f>
        <v>201009</v>
      </c>
      <c r="AB298" s="523">
        <f>Whole!Z286+'Tot Retail'!AB286</f>
        <v>3870975</v>
      </c>
      <c r="BN298" s="4">
        <f t="shared" si="84"/>
        <v>2007</v>
      </c>
      <c r="BO298" s="4">
        <f t="shared" si="85"/>
        <v>6</v>
      </c>
      <c r="BP298" s="108">
        <f>Whole!BP298+Whole!BQ298+'Tot Retail'!BP298</f>
        <v>4162072</v>
      </c>
      <c r="BT298" s="175">
        <f>Whole!BT298+'Tot Retail'!BT298</f>
        <v>4216487.4098943947</v>
      </c>
      <c r="BU298" s="108">
        <f t="shared" ref="BU298:BU303" si="88">BT298-BT286</f>
        <v>10266.814150413498</v>
      </c>
      <c r="BV298" s="108"/>
      <c r="BW298" s="108">
        <f t="shared" ref="BW298:BW303" si="89">BT298-BP298</f>
        <v>54415.409894394688</v>
      </c>
    </row>
    <row r="299" spans="1:75">
      <c r="A299" s="4">
        <f t="shared" si="61"/>
        <v>2007</v>
      </c>
      <c r="B299" s="4">
        <f t="shared" si="62"/>
        <v>7</v>
      </c>
      <c r="C299" s="108">
        <f>Whole!C299+Whole!D299+'Tot Retail'!C299</f>
        <v>4223226</v>
      </c>
      <c r="D299" s="108">
        <f>Whole!E299+'Tot Retail'!D299</f>
        <v>1549522</v>
      </c>
      <c r="Y299" s="108">
        <f t="shared" si="86"/>
        <v>113902</v>
      </c>
      <c r="Z299" s="175">
        <f>Whole!Z299+'Tot Retail'!Z299</f>
        <v>4203732</v>
      </c>
      <c r="AA299" s="108">
        <f t="shared" si="87"/>
        <v>-19494</v>
      </c>
      <c r="AB299" s="523">
        <f>Whole!Z287+'Tot Retail'!AB287</f>
        <v>4240841</v>
      </c>
      <c r="BN299" s="4">
        <f t="shared" si="84"/>
        <v>2007</v>
      </c>
      <c r="BO299" s="4">
        <f t="shared" si="85"/>
        <v>7</v>
      </c>
      <c r="BP299" s="108">
        <f>Whole!BP299+Whole!BQ299+'Tot Retail'!BP299</f>
        <v>4579463</v>
      </c>
      <c r="BT299" s="175">
        <f>Whole!BT299+'Tot Retail'!BT299</f>
        <v>4548393.6927079614</v>
      </c>
      <c r="BU299" s="108">
        <f t="shared" si="88"/>
        <v>153929.38405482471</v>
      </c>
      <c r="BV299" s="108"/>
      <c r="BW299" s="108">
        <f t="shared" si="89"/>
        <v>-31069.307292038575</v>
      </c>
    </row>
    <row r="300" spans="1:75">
      <c r="A300" s="4">
        <f t="shared" si="61"/>
        <v>2007</v>
      </c>
      <c r="B300" s="4">
        <f t="shared" si="62"/>
        <v>8</v>
      </c>
      <c r="C300" s="108">
        <f>Whole!C300+Whole!D300+'Tot Retail'!C300</f>
        <v>4865870</v>
      </c>
      <c r="D300" s="108">
        <f>Whole!E300+'Tot Retail'!D300</f>
        <v>1743101</v>
      </c>
      <c r="Y300" s="108">
        <f t="shared" si="86"/>
        <v>186771</v>
      </c>
      <c r="Z300" s="175">
        <f>Whole!Z300+'Tot Retail'!Z300</f>
        <v>4745923</v>
      </c>
      <c r="AA300" s="108">
        <f t="shared" si="87"/>
        <v>-119947</v>
      </c>
      <c r="AB300" s="523">
        <f>Whole!Z288+'Tot Retail'!AB288</f>
        <v>4435208</v>
      </c>
      <c r="BN300" s="4">
        <f t="shared" si="84"/>
        <v>2007</v>
      </c>
      <c r="BO300" s="4">
        <f t="shared" si="85"/>
        <v>8</v>
      </c>
      <c r="BP300" s="108">
        <f>Whole!BP300+Whole!BQ300+'Tot Retail'!BP300</f>
        <v>4952229</v>
      </c>
      <c r="BT300" s="175">
        <f>Whole!BT300+'Tot Retail'!BT300</f>
        <v>4744246.8732355647</v>
      </c>
      <c r="BU300" s="108">
        <f t="shared" si="88"/>
        <v>121626.36908913404</v>
      </c>
      <c r="BV300" s="108"/>
      <c r="BW300" s="108">
        <f t="shared" si="89"/>
        <v>-207982.12676443532</v>
      </c>
    </row>
    <row r="301" spans="1:75">
      <c r="A301" s="4">
        <f t="shared" si="61"/>
        <v>2007</v>
      </c>
      <c r="B301" s="4">
        <f t="shared" si="62"/>
        <v>9</v>
      </c>
      <c r="C301" s="108">
        <f>Whole!C301+Whole!D301+'Tot Retail'!C301</f>
        <v>4584208</v>
      </c>
      <c r="D301" s="108">
        <f>Whole!E301+'Tot Retail'!D301</f>
        <v>1562127</v>
      </c>
      <c r="Y301" s="108">
        <f t="shared" si="86"/>
        <v>-28132</v>
      </c>
      <c r="Z301" s="175">
        <f>Whole!Z301+'Tot Retail'!Z301</f>
        <v>4461503</v>
      </c>
      <c r="AA301" s="108">
        <f t="shared" si="87"/>
        <v>-122705</v>
      </c>
      <c r="AB301" s="523">
        <f>Whole!Z289+'Tot Retail'!AB289</f>
        <v>4466427</v>
      </c>
      <c r="BN301" s="4">
        <f t="shared" si="84"/>
        <v>2007</v>
      </c>
      <c r="BO301" s="4">
        <f t="shared" si="85"/>
        <v>9</v>
      </c>
      <c r="BP301" s="108">
        <f>Whole!BP301+Whole!BQ301+'Tot Retail'!BP301</f>
        <v>4119903</v>
      </c>
      <c r="BT301" s="175">
        <f>Whole!BT301+'Tot Retail'!BT301</f>
        <v>4080519.3370613679</v>
      </c>
      <c r="BU301" s="108">
        <f t="shared" si="88"/>
        <v>-2599.6920031202026</v>
      </c>
      <c r="BV301" s="108"/>
      <c r="BW301" s="108">
        <f t="shared" si="89"/>
        <v>-39383.662938632071</v>
      </c>
    </row>
    <row r="302" spans="1:75">
      <c r="A302" s="4">
        <f t="shared" si="61"/>
        <v>2007</v>
      </c>
      <c r="B302" s="4">
        <f t="shared" si="62"/>
        <v>10</v>
      </c>
      <c r="C302" s="108">
        <f>Whole!C302+Whole!D302+'Tot Retail'!C302</f>
        <v>4181084</v>
      </c>
      <c r="D302" s="108">
        <f>Whole!E302+'Tot Retail'!D302</f>
        <v>1633279</v>
      </c>
      <c r="Y302" s="108">
        <f t="shared" si="86"/>
        <v>154807</v>
      </c>
      <c r="Z302" s="175">
        <f>Whole!Z302+'Tot Retail'!Z302</f>
        <v>4069713</v>
      </c>
      <c r="AA302" s="108">
        <f t="shared" si="87"/>
        <v>-111371</v>
      </c>
      <c r="AB302" s="523">
        <f>Whole!Z290+'Tot Retail'!AB290</f>
        <v>4065661</v>
      </c>
      <c r="BN302" s="4">
        <f t="shared" si="84"/>
        <v>2007</v>
      </c>
      <c r="BO302" s="4">
        <f t="shared" si="85"/>
        <v>10</v>
      </c>
      <c r="BP302" s="108">
        <f>Whole!BP302+Whole!BQ302+'Tot Retail'!BP302</f>
        <v>4028352</v>
      </c>
      <c r="BT302" s="175">
        <f>Whole!BT302+'Tot Retail'!BT302</f>
        <v>3783053.4857398458</v>
      </c>
      <c r="BU302" s="108">
        <f t="shared" si="88"/>
        <v>161199.66503268294</v>
      </c>
      <c r="BV302" s="108"/>
      <c r="BW302" s="108">
        <f t="shared" si="89"/>
        <v>-245298.51426015422</v>
      </c>
    </row>
    <row r="303" spans="1:75">
      <c r="A303" s="4">
        <f t="shared" si="61"/>
        <v>2007</v>
      </c>
      <c r="B303" s="4">
        <f t="shared" si="62"/>
        <v>11</v>
      </c>
      <c r="C303" s="108">
        <f>Whole!C303+Whole!D303+'Tot Retail'!C303</f>
        <v>3711810</v>
      </c>
      <c r="D303" s="108">
        <f>Whole!E303+'Tot Retail'!D303</f>
        <v>1710617</v>
      </c>
      <c r="Y303" s="108">
        <f t="shared" ref="Y303:Y308" si="90">Z303-Z291</f>
        <v>162068</v>
      </c>
      <c r="Z303" s="175">
        <f>Whole!Z303+'Tot Retail'!Z303</f>
        <v>3626634</v>
      </c>
      <c r="AA303" s="108">
        <f t="shared" si="87"/>
        <v>-85176</v>
      </c>
      <c r="AB303" s="523">
        <f>Whole!Z291+'Tot Retail'!AB291</f>
        <v>3364780</v>
      </c>
      <c r="BN303" s="4">
        <f t="shared" si="84"/>
        <v>2007</v>
      </c>
      <c r="BO303" s="4">
        <f t="shared" si="85"/>
        <v>11</v>
      </c>
      <c r="BP303" s="108">
        <f>Whole!BP303+Whole!BQ303+'Tot Retail'!BP303</f>
        <v>3134359</v>
      </c>
      <c r="BT303" s="175">
        <f>Whole!BT303+'Tot Retail'!BT303</f>
        <v>3180366.8186314339</v>
      </c>
      <c r="BU303" s="108">
        <f t="shared" si="88"/>
        <v>206578.90591887664</v>
      </c>
      <c r="BV303" s="108"/>
      <c r="BW303" s="108">
        <f t="shared" si="89"/>
        <v>46007.818631433882</v>
      </c>
    </row>
    <row r="304" spans="1:75" s="89" customFormat="1">
      <c r="A304" s="89">
        <f t="shared" si="61"/>
        <v>2007</v>
      </c>
      <c r="B304" s="89">
        <f t="shared" si="62"/>
        <v>12</v>
      </c>
      <c r="C304" s="117">
        <f>Whole!C304+Whole!D304+'Tot Retail'!C304</f>
        <v>3308876</v>
      </c>
      <c r="D304" s="117">
        <f>Whole!E304+'Tot Retail'!D304</f>
        <v>1638524</v>
      </c>
      <c r="Y304" s="117">
        <f t="shared" si="90"/>
        <v>90465</v>
      </c>
      <c r="Z304" s="176">
        <f>Whole!Z304+'Tot Retail'!Z304</f>
        <v>3380797</v>
      </c>
      <c r="AA304" s="117">
        <f t="shared" ref="AA304:AA309" si="91">Z304-C304</f>
        <v>71921</v>
      </c>
      <c r="AB304" s="501">
        <f>Whole!Z292+'Tot Retail'!AB292</f>
        <v>3247251</v>
      </c>
      <c r="BN304" s="89">
        <f t="shared" si="84"/>
        <v>2007</v>
      </c>
      <c r="BO304" s="89">
        <f t="shared" si="85"/>
        <v>12</v>
      </c>
      <c r="BP304" s="117">
        <f>Whole!BP304+Whole!BQ304+'Tot Retail'!BP304</f>
        <v>3207746</v>
      </c>
      <c r="BT304" s="176">
        <f>Whole!BT304+'Tot Retail'!BT304</f>
        <v>3282735.6294891192</v>
      </c>
      <c r="BU304" s="117">
        <f t="shared" ref="BU304:BU309" si="92">BT304-BT292</f>
        <v>12954.65841684863</v>
      </c>
      <c r="BV304" s="117"/>
      <c r="BW304" s="117">
        <f t="shared" ref="BW304:BW309" si="93">BT304-BP304</f>
        <v>74989.629489119165</v>
      </c>
    </row>
    <row r="305" spans="1:75">
      <c r="A305" s="4">
        <f t="shared" si="61"/>
        <v>2008</v>
      </c>
      <c r="B305" s="4">
        <f t="shared" si="62"/>
        <v>1</v>
      </c>
      <c r="C305" s="108">
        <f>Whole!C305+Whole!D305+'Tot Retail'!C305</f>
        <v>3323217</v>
      </c>
      <c r="D305" s="108">
        <f>Whole!E305+'Tot Retail'!D305</f>
        <v>1631299</v>
      </c>
      <c r="Y305" s="108">
        <f t="shared" si="90"/>
        <v>-92874</v>
      </c>
      <c r="Z305" s="175">
        <f>Whole!Z305+'Tot Retail'!Z305</f>
        <v>3334739</v>
      </c>
      <c r="AA305" s="108">
        <f t="shared" si="91"/>
        <v>11522</v>
      </c>
      <c r="AB305" s="523">
        <f>Whole!Z293+'Tot Retail'!AB293</f>
        <v>3524726</v>
      </c>
      <c r="BN305" s="4">
        <f t="shared" si="84"/>
        <v>2008</v>
      </c>
      <c r="BO305" s="4">
        <f t="shared" si="85"/>
        <v>1</v>
      </c>
      <c r="BP305" s="108">
        <f>Whole!BP305+Whole!BQ305+'Tot Retail'!BP305</f>
        <v>3522201</v>
      </c>
      <c r="BT305" s="175">
        <f>Whole!BT305+'Tot Retail'!BT305</f>
        <v>3492117.5541466651</v>
      </c>
      <c r="BU305" s="108">
        <f t="shared" si="92"/>
        <v>40317.896280872636</v>
      </c>
      <c r="BV305" s="108"/>
      <c r="BW305" s="108">
        <f t="shared" si="93"/>
        <v>-30083.445853334852</v>
      </c>
    </row>
    <row r="306" spans="1:75">
      <c r="A306" s="4">
        <f t="shared" si="61"/>
        <v>2008</v>
      </c>
      <c r="B306" s="4">
        <f t="shared" si="62"/>
        <v>2</v>
      </c>
      <c r="C306" s="108">
        <f>Whole!C306+Whole!D306+'Tot Retail'!C306</f>
        <v>3146871</v>
      </c>
      <c r="D306" s="108">
        <f>Whole!E306+'Tot Retail'!D306</f>
        <v>1656977</v>
      </c>
      <c r="Y306" s="108">
        <f t="shared" si="90"/>
        <v>92197</v>
      </c>
      <c r="Z306" s="175">
        <f>Whole!Z306+'Tot Retail'!Z306</f>
        <v>3245122</v>
      </c>
      <c r="AA306" s="108">
        <f t="shared" si="91"/>
        <v>98251</v>
      </c>
      <c r="AB306" s="523">
        <f>Whole!Z294+'Tot Retail'!AB294</f>
        <v>3116972</v>
      </c>
      <c r="BN306" s="4">
        <f t="shared" si="84"/>
        <v>2008</v>
      </c>
      <c r="BO306" s="4">
        <f t="shared" si="85"/>
        <v>2</v>
      </c>
      <c r="BP306" s="108">
        <f>Whole!BP306+Whole!BQ306+'Tot Retail'!BP306</f>
        <v>2993412</v>
      </c>
      <c r="BT306" s="175">
        <f>Whole!BT306+'Tot Retail'!BT306</f>
        <v>3038179.7719473448</v>
      </c>
      <c r="BU306" s="108">
        <f t="shared" si="92"/>
        <v>80766.873119642492</v>
      </c>
      <c r="BV306" s="108"/>
      <c r="BW306" s="108">
        <f t="shared" si="93"/>
        <v>44767.771947344765</v>
      </c>
    </row>
    <row r="307" spans="1:75">
      <c r="A307" s="4">
        <f t="shared" si="61"/>
        <v>2008</v>
      </c>
      <c r="B307" s="4">
        <f t="shared" si="62"/>
        <v>3</v>
      </c>
      <c r="C307" s="108">
        <f>Whole!C307+Whole!D307+'Tot Retail'!C307</f>
        <v>3121354</v>
      </c>
      <c r="D307" s="108">
        <f>Whole!E307+'Tot Retail'!D307</f>
        <v>1593042</v>
      </c>
      <c r="Y307" s="108">
        <f t="shared" si="90"/>
        <v>76378</v>
      </c>
      <c r="Z307" s="175">
        <f>Whole!Z307+'Tot Retail'!Z307</f>
        <v>3176559</v>
      </c>
      <c r="AA307" s="108">
        <f t="shared" si="91"/>
        <v>55205</v>
      </c>
      <c r="AB307" s="523">
        <f>Whole!Z295+'Tot Retail'!AB295</f>
        <v>3147913</v>
      </c>
      <c r="BN307" s="4">
        <f t="shared" si="84"/>
        <v>2008</v>
      </c>
      <c r="BO307" s="4">
        <f t="shared" si="85"/>
        <v>3</v>
      </c>
      <c r="BP307" s="108">
        <f>Whole!BP307+Whole!BQ307+'Tot Retail'!BP307</f>
        <v>3295804</v>
      </c>
      <c r="BT307" s="175">
        <f>Whole!BT307+'Tot Retail'!BT307</f>
        <v>3353911.4370151162</v>
      </c>
      <c r="BU307" s="108">
        <f t="shared" si="92"/>
        <v>25037.111551889218</v>
      </c>
      <c r="BV307" s="108"/>
      <c r="BW307" s="108">
        <f t="shared" si="93"/>
        <v>58107.437015116215</v>
      </c>
    </row>
    <row r="308" spans="1:75">
      <c r="A308" s="4">
        <f t="shared" si="61"/>
        <v>2008</v>
      </c>
      <c r="B308" s="4">
        <f t="shared" si="62"/>
        <v>4</v>
      </c>
      <c r="C308" s="108">
        <f>Whole!C308+Whole!D308+'Tot Retail'!C308</f>
        <v>3404720</v>
      </c>
      <c r="D308" s="108">
        <f>Whole!E308+'Tot Retail'!D308</f>
        <v>1668756</v>
      </c>
      <c r="Y308" s="108">
        <f t="shared" si="90"/>
        <v>161178</v>
      </c>
      <c r="Z308" s="175">
        <f>Whole!Z308+'Tot Retail'!Z308</f>
        <v>3435173</v>
      </c>
      <c r="AA308" s="108">
        <f t="shared" si="91"/>
        <v>30453</v>
      </c>
      <c r="AB308" s="523">
        <f>Whole!Z296+'Tot Retail'!AB296</f>
        <v>3286326</v>
      </c>
      <c r="BN308" s="4">
        <f t="shared" si="84"/>
        <v>2008</v>
      </c>
      <c r="BO308" s="4">
        <f t="shared" si="85"/>
        <v>4</v>
      </c>
      <c r="BP308" s="108">
        <f>Whole!BP308+Whole!BQ308+'Tot Retail'!BP308</f>
        <v>3716431</v>
      </c>
      <c r="BT308" s="175">
        <f>Whole!BT308+'Tot Retail'!BT308</f>
        <v>3731559.8889790773</v>
      </c>
      <c r="BU308" s="108">
        <f t="shared" si="92"/>
        <v>347282.58818234969</v>
      </c>
      <c r="BV308" s="108"/>
      <c r="BW308" s="108">
        <f t="shared" si="93"/>
        <v>15128.888979077339</v>
      </c>
    </row>
    <row r="309" spans="1:75">
      <c r="A309" s="4">
        <f t="shared" si="61"/>
        <v>2008</v>
      </c>
      <c r="B309" s="4">
        <f t="shared" si="62"/>
        <v>5</v>
      </c>
      <c r="C309" s="108">
        <f>Whole!C309+Whole!D309+'Tot Retail'!C309</f>
        <v>3776081</v>
      </c>
      <c r="D309" s="108">
        <f>Whole!E309+'Tot Retail'!D309</f>
        <v>1636739</v>
      </c>
      <c r="Y309" s="108">
        <f t="shared" ref="Y309:Y314" si="94">Z309-Z297</f>
        <v>281737</v>
      </c>
      <c r="Z309" s="175">
        <f>Whole!Z309+'Tot Retail'!Z309</f>
        <v>3814036</v>
      </c>
      <c r="AA309" s="108">
        <f t="shared" si="91"/>
        <v>37955</v>
      </c>
      <c r="AB309" s="523">
        <f>Whole!Z297+'Tot Retail'!AB297</f>
        <v>3478603</v>
      </c>
      <c r="BN309" s="4">
        <f t="shared" si="84"/>
        <v>2008</v>
      </c>
      <c r="BO309" s="4">
        <f t="shared" si="85"/>
        <v>5</v>
      </c>
      <c r="BP309" s="108">
        <f>Whole!BP309+Whole!BQ309+'Tot Retail'!BP309</f>
        <v>4170403</v>
      </c>
      <c r="BT309" s="175">
        <f>Whole!BT309+'Tot Retail'!BT309</f>
        <v>4097100.2907442786</v>
      </c>
      <c r="BU309" s="108">
        <f t="shared" si="92"/>
        <v>63055.894197444897</v>
      </c>
      <c r="BV309" s="108"/>
      <c r="BW309" s="108">
        <f t="shared" si="93"/>
        <v>-73302.70925572142</v>
      </c>
    </row>
    <row r="310" spans="1:75">
      <c r="A310" s="4">
        <f t="shared" si="61"/>
        <v>2008</v>
      </c>
      <c r="B310" s="4">
        <f t="shared" si="62"/>
        <v>6</v>
      </c>
      <c r="C310" s="108">
        <f>Whole!C310+Whole!D310+'Tot Retail'!C310</f>
        <v>4368440</v>
      </c>
      <c r="D310" s="108">
        <f>Whole!E310+'Tot Retail'!D310</f>
        <v>1673654</v>
      </c>
      <c r="Y310" s="108">
        <f t="shared" si="94"/>
        <v>260337</v>
      </c>
      <c r="Z310" s="175">
        <f>Whole!Z310+'Tot Retail'!Z310</f>
        <v>4295696</v>
      </c>
      <c r="AA310" s="108">
        <f t="shared" ref="AA310:AA315" si="95">Z310-C310</f>
        <v>-72744</v>
      </c>
      <c r="AB310" s="523">
        <f>Whole!Z298+'Tot Retail'!AB298</f>
        <v>3997055</v>
      </c>
      <c r="BN310" s="4">
        <f t="shared" si="84"/>
        <v>2008</v>
      </c>
      <c r="BO310" s="4">
        <f t="shared" si="85"/>
        <v>6</v>
      </c>
      <c r="BP310" s="108">
        <f>Whole!BP310+Whole!BQ310+'Tot Retail'!BP310</f>
        <v>4377331</v>
      </c>
      <c r="BT310" s="175">
        <f>Whole!BT310+'Tot Retail'!BT310</f>
        <v>4308671.100505501</v>
      </c>
      <c r="BU310" s="108">
        <f t="shared" ref="BU310:BU315" si="96">BT310-BT298</f>
        <v>92183.690611106344</v>
      </c>
      <c r="BV310" s="108"/>
      <c r="BW310" s="108">
        <f t="shared" ref="BW310:BW315" si="97">BT310-BP310</f>
        <v>-68659.899494498968</v>
      </c>
    </row>
    <row r="311" spans="1:75">
      <c r="A311" s="4">
        <f t="shared" si="61"/>
        <v>2008</v>
      </c>
      <c r="B311" s="4">
        <f t="shared" si="62"/>
        <v>7</v>
      </c>
      <c r="C311" s="108">
        <f>Whole!C311+Whole!D311+'Tot Retail'!C311</f>
        <v>4165227</v>
      </c>
      <c r="D311" s="108">
        <f>Whole!E311+'Tot Retail'!D311</f>
        <v>1535494</v>
      </c>
      <c r="Y311" s="108">
        <f t="shared" si="94"/>
        <v>44219</v>
      </c>
      <c r="Z311" s="175">
        <f>Whole!Z311+'Tot Retail'!Z311</f>
        <v>4247951</v>
      </c>
      <c r="AA311" s="108">
        <f t="shared" si="95"/>
        <v>82724</v>
      </c>
      <c r="AB311" s="523">
        <f>Whole!Z299+'Tot Retail'!AB299</f>
        <v>4350672</v>
      </c>
      <c r="BN311" s="4">
        <f t="shared" si="84"/>
        <v>2008</v>
      </c>
      <c r="BO311" s="4">
        <f t="shared" si="85"/>
        <v>7</v>
      </c>
      <c r="BP311" s="108">
        <f>Whole!BP311+Whole!BQ311+'Tot Retail'!BP311</f>
        <v>4441640</v>
      </c>
      <c r="BT311" s="175">
        <f>Whole!BT311+'Tot Retail'!BT311</f>
        <v>4561951.4422517298</v>
      </c>
      <c r="BU311" s="108">
        <f t="shared" si="96"/>
        <v>13557.749543768354</v>
      </c>
      <c r="BV311" s="108"/>
      <c r="BW311" s="108">
        <f t="shared" si="97"/>
        <v>120311.44225172978</v>
      </c>
    </row>
    <row r="312" spans="1:75">
      <c r="A312" s="4">
        <f t="shared" si="61"/>
        <v>2008</v>
      </c>
      <c r="B312" s="4">
        <f t="shared" si="62"/>
        <v>8</v>
      </c>
      <c r="C312" s="108">
        <f>Whole!C312+Whole!D312+'Tot Retail'!C312</f>
        <v>4486059</v>
      </c>
      <c r="D312" s="108">
        <f>Whole!E312+'Tot Retail'!D312</f>
        <v>1646583</v>
      </c>
      <c r="Y312" s="108">
        <f t="shared" si="94"/>
        <v>-195264</v>
      </c>
      <c r="Z312" s="175">
        <f>Whole!Z312+'Tot Retail'!Z312</f>
        <v>4550659</v>
      </c>
      <c r="AA312" s="108">
        <f t="shared" si="95"/>
        <v>64600</v>
      </c>
      <c r="AB312" s="523">
        <f>Whole!Z300+'Tot Retail'!AB300</f>
        <v>4549727</v>
      </c>
      <c r="BN312" s="4">
        <f t="shared" si="84"/>
        <v>2008</v>
      </c>
      <c r="BO312" s="4">
        <f t="shared" si="85"/>
        <v>8</v>
      </c>
      <c r="BP312" s="108">
        <f>Whole!BP312+Whole!BQ312+'Tot Retail'!BP312</f>
        <v>4374162</v>
      </c>
      <c r="BT312" s="175">
        <f>Whole!BT312+'Tot Retail'!BT312</f>
        <v>4486329.1952888547</v>
      </c>
      <c r="BU312" s="108">
        <f t="shared" si="96"/>
        <v>-257917.67794671003</v>
      </c>
      <c r="BV312" s="108"/>
      <c r="BW312" s="108">
        <f t="shared" si="97"/>
        <v>112167.19528885465</v>
      </c>
    </row>
    <row r="313" spans="1:75">
      <c r="A313" s="4">
        <f t="shared" si="61"/>
        <v>2008</v>
      </c>
      <c r="B313" s="4">
        <f t="shared" si="62"/>
        <v>9</v>
      </c>
      <c r="C313" s="108">
        <f>Whole!C313+Whole!D313+'Tot Retail'!C313</f>
        <v>4761821</v>
      </c>
      <c r="D313" s="108">
        <f>Whole!E313+'Tot Retail'!D313</f>
        <v>1722186</v>
      </c>
      <c r="Y313" s="108">
        <f t="shared" si="94"/>
        <v>239676</v>
      </c>
      <c r="Z313" s="175">
        <f>Whole!Z313+'Tot Retail'!Z313</f>
        <v>4701179</v>
      </c>
      <c r="AA313" s="108">
        <f t="shared" si="95"/>
        <v>-60642</v>
      </c>
      <c r="AB313" s="523">
        <f>Whole!Z301+'Tot Retail'!AB301</f>
        <v>4578052</v>
      </c>
      <c r="BN313" s="4">
        <f t="shared" si="84"/>
        <v>2008</v>
      </c>
      <c r="BO313" s="4">
        <f t="shared" si="85"/>
        <v>9</v>
      </c>
      <c r="BP313" s="108">
        <f>Whole!BP313+Whole!BQ313+'Tot Retail'!BP313</f>
        <v>4413149</v>
      </c>
      <c r="BT313" s="175">
        <f>Whole!BT313+'Tot Retail'!BT313</f>
        <v>4381434.2189793754</v>
      </c>
      <c r="BU313" s="108">
        <f t="shared" si="96"/>
        <v>300914.88191800751</v>
      </c>
      <c r="BV313" s="108"/>
      <c r="BW313" s="108">
        <f t="shared" si="97"/>
        <v>-31714.781020624563</v>
      </c>
    </row>
    <row r="314" spans="1:75">
      <c r="A314" s="4">
        <f t="shared" si="61"/>
        <v>2008</v>
      </c>
      <c r="B314" s="4">
        <f t="shared" si="62"/>
        <v>10</v>
      </c>
      <c r="C314" s="108">
        <f>Whole!C314+Whole!D314+'Tot Retail'!C314</f>
        <v>3947584</v>
      </c>
      <c r="D314" s="108">
        <f>Whole!E314+'Tot Retail'!D314</f>
        <v>1566266</v>
      </c>
      <c r="Y314" s="108">
        <f t="shared" si="94"/>
        <v>-136443</v>
      </c>
      <c r="Z314" s="175">
        <f>Whole!Z314+'Tot Retail'!Z314</f>
        <v>3933270</v>
      </c>
      <c r="AA314" s="108">
        <f t="shared" si="95"/>
        <v>-14314</v>
      </c>
      <c r="AB314" s="523">
        <f>Whole!Z302+'Tot Retail'!AB302</f>
        <v>4114474</v>
      </c>
      <c r="BN314" s="4">
        <f t="shared" si="84"/>
        <v>2008</v>
      </c>
      <c r="BO314" s="4">
        <f t="shared" si="85"/>
        <v>10</v>
      </c>
      <c r="BP314" s="108">
        <f>Whole!BP314+Whole!BQ314+'Tot Retail'!BP314</f>
        <v>3461241</v>
      </c>
      <c r="BT314" s="175">
        <f>Whole!BT314+'Tot Retail'!BT314</f>
        <v>3472761.8099903124</v>
      </c>
      <c r="BU314" s="108">
        <f t="shared" si="96"/>
        <v>-310291.67574953334</v>
      </c>
      <c r="BV314" s="108"/>
      <c r="BW314" s="108">
        <f t="shared" si="97"/>
        <v>11520.809990312438</v>
      </c>
    </row>
    <row r="315" spans="1:75">
      <c r="A315" s="4">
        <f t="shared" si="61"/>
        <v>2008</v>
      </c>
      <c r="B315" s="4">
        <f t="shared" si="62"/>
        <v>11</v>
      </c>
      <c r="C315" s="108">
        <f>Whole!C315+Whole!D315+'Tot Retail'!C315</f>
        <v>3495318</v>
      </c>
      <c r="D315" s="108">
        <f>Whole!E315+'Tot Retail'!D315</f>
        <v>1699448</v>
      </c>
      <c r="Y315" s="108">
        <f t="shared" ref="Y315:Y320" si="98">Z315-Z303</f>
        <v>-89003</v>
      </c>
      <c r="Z315" s="175">
        <f>Whole!Z315+'Tot Retail'!Z315</f>
        <v>3537631</v>
      </c>
      <c r="AA315" s="108">
        <f t="shared" si="95"/>
        <v>42313</v>
      </c>
      <c r="AB315" s="523">
        <f>Whole!Z303+'Tot Retail'!AB303</f>
        <v>3575209</v>
      </c>
      <c r="BN315" s="4">
        <f t="shared" si="84"/>
        <v>2008</v>
      </c>
      <c r="BO315" s="4">
        <f t="shared" si="85"/>
        <v>11</v>
      </c>
      <c r="BP315" s="108">
        <f>Whole!BP315+Whole!BQ315+'Tot Retail'!BP315</f>
        <v>3160799</v>
      </c>
      <c r="BT315" s="175">
        <f>Whole!BT315+'Tot Retail'!BT315</f>
        <v>3066696.7216687724</v>
      </c>
      <c r="BU315" s="108">
        <f t="shared" si="96"/>
        <v>-113670.09696266148</v>
      </c>
      <c r="BV315" s="108"/>
      <c r="BW315" s="108">
        <f t="shared" si="97"/>
        <v>-94102.278331227601</v>
      </c>
    </row>
    <row r="316" spans="1:75" s="89" customFormat="1">
      <c r="A316" s="89">
        <f t="shared" si="61"/>
        <v>2008</v>
      </c>
      <c r="B316" s="89">
        <f t="shared" si="62"/>
        <v>12</v>
      </c>
      <c r="C316" s="117">
        <f>Whole!C316+Whole!D316+'Tot Retail'!C316</f>
        <v>3178491</v>
      </c>
      <c r="D316" s="117">
        <f>Whole!E316+'Tot Retail'!D316</f>
        <v>1636773</v>
      </c>
      <c r="Y316" s="117">
        <f t="shared" si="98"/>
        <v>-243862</v>
      </c>
      <c r="Z316" s="176">
        <f>Whole!Z316+'Tot Retail'!Z316</f>
        <v>3136935</v>
      </c>
      <c r="AA316" s="117">
        <f t="shared" ref="AA316:AA321" si="99">Z316-C316</f>
        <v>-41556</v>
      </c>
      <c r="AB316" s="501">
        <f>Whole!Z304+'Tot Retail'!AB304</f>
        <v>3332643</v>
      </c>
      <c r="BN316" s="89">
        <f t="shared" si="84"/>
        <v>2008</v>
      </c>
      <c r="BO316" s="89">
        <f t="shared" si="85"/>
        <v>12</v>
      </c>
      <c r="BP316" s="117">
        <f>Whole!BP316+Whole!BQ316+'Tot Retail'!BP316</f>
        <v>3125116</v>
      </c>
      <c r="BT316" s="176">
        <f>Whole!BT316+'Tot Retail'!BT316</f>
        <v>3232405.2424650807</v>
      </c>
      <c r="BU316" s="117">
        <f t="shared" ref="BU316:BU321" si="100">BT316-BT304</f>
        <v>-50330.387024038471</v>
      </c>
      <c r="BV316" s="117"/>
      <c r="BW316" s="117">
        <f t="shared" ref="BW316:BW321" si="101">BT316-BP316</f>
        <v>107289.24246508069</v>
      </c>
    </row>
    <row r="317" spans="1:75">
      <c r="A317" s="4">
        <f t="shared" si="61"/>
        <v>2009</v>
      </c>
      <c r="B317" s="4">
        <f t="shared" si="62"/>
        <v>1</v>
      </c>
      <c r="C317" s="108">
        <f>Whole!C317+Whole!D317+'Tot Retail'!C317</f>
        <v>3164394</v>
      </c>
      <c r="D317" s="108">
        <f>Whole!E317+'Tot Retail'!D317</f>
        <v>1616278</v>
      </c>
      <c r="Y317" s="108">
        <f t="shared" si="98"/>
        <v>-45245</v>
      </c>
      <c r="Z317" s="175">
        <f>Whole!Z317+'Tot Retail'!Z317</f>
        <v>3289494</v>
      </c>
      <c r="AA317" s="108">
        <f t="shared" si="99"/>
        <v>125100</v>
      </c>
      <c r="AB317" s="523">
        <f>Whole!Z305+'Tot Retail'!AB305</f>
        <v>3376156</v>
      </c>
      <c r="BN317" s="4">
        <f t="shared" si="84"/>
        <v>2009</v>
      </c>
      <c r="BO317" s="4">
        <f t="shared" si="85"/>
        <v>1</v>
      </c>
      <c r="BP317" s="108">
        <f>Whole!BP317+Whole!BQ317+'Tot Retail'!BP317</f>
        <v>3385525</v>
      </c>
      <c r="BT317" s="175">
        <f>Whole!BT317+'Tot Retail'!BT317</f>
        <v>3231838.4683919623</v>
      </c>
      <c r="BU317" s="108">
        <f t="shared" si="100"/>
        <v>-260279.0857547028</v>
      </c>
      <c r="BV317" s="108"/>
      <c r="BW317" s="108">
        <f t="shared" si="101"/>
        <v>-153686.53160803765</v>
      </c>
    </row>
    <row r="318" spans="1:75">
      <c r="A318" s="4">
        <f t="shared" si="61"/>
        <v>2009</v>
      </c>
      <c r="B318" s="4">
        <f t="shared" si="62"/>
        <v>2</v>
      </c>
      <c r="C318" s="108">
        <f>Whole!C318+Whole!D318+'Tot Retail'!C318</f>
        <v>3397329</v>
      </c>
      <c r="D318" s="108">
        <f>Whole!E318+'Tot Retail'!D318</f>
        <v>1659387</v>
      </c>
      <c r="Y318" s="108">
        <f t="shared" si="98"/>
        <v>-129583</v>
      </c>
      <c r="Z318" s="175">
        <f>Whole!Z318+'Tot Retail'!Z318</f>
        <v>3115539</v>
      </c>
      <c r="AA318" s="108">
        <f t="shared" si="99"/>
        <v>-281790</v>
      </c>
      <c r="AB318" s="523">
        <f>Whole!Z306+'Tot Retail'!AB306</f>
        <v>3278604</v>
      </c>
      <c r="BN318" s="4">
        <f t="shared" si="84"/>
        <v>2009</v>
      </c>
      <c r="BO318" s="4">
        <f t="shared" si="85"/>
        <v>2</v>
      </c>
      <c r="BP318" s="108">
        <f>Whole!BP318+Whole!BQ318+'Tot Retail'!BP318</f>
        <v>2968371</v>
      </c>
      <c r="BT318" s="175">
        <f>Whole!BT318+'Tot Retail'!BT318</f>
        <v>2847292.484908714</v>
      </c>
      <c r="BU318" s="108">
        <f t="shared" si="100"/>
        <v>-190887.28703863081</v>
      </c>
      <c r="BV318" s="108"/>
      <c r="BW318" s="108">
        <f t="shared" si="101"/>
        <v>-121078.51509128604</v>
      </c>
    </row>
    <row r="319" spans="1:75">
      <c r="A319" s="4">
        <f t="shared" si="61"/>
        <v>2009</v>
      </c>
      <c r="B319" s="4">
        <f t="shared" si="62"/>
        <v>3</v>
      </c>
      <c r="C319" s="108">
        <f>Whole!C319+Whole!D319+'Tot Retail'!C319</f>
        <v>2948087</v>
      </c>
      <c r="D319" s="108">
        <f>Whole!E319+'Tot Retail'!D319</f>
        <v>1618682</v>
      </c>
      <c r="Y319" s="108">
        <f t="shared" si="98"/>
        <v>-302575</v>
      </c>
      <c r="Z319" s="175">
        <f>Whole!Z319+'Tot Retail'!Z319</f>
        <v>2873984</v>
      </c>
      <c r="AA319" s="108">
        <f t="shared" si="99"/>
        <v>-74103</v>
      </c>
      <c r="AB319" s="523">
        <f>Whole!Z307+'Tot Retail'!AB307</f>
        <v>3223963</v>
      </c>
      <c r="BN319" s="4">
        <f t="shared" si="84"/>
        <v>2009</v>
      </c>
      <c r="BO319" s="4">
        <f t="shared" si="85"/>
        <v>3</v>
      </c>
      <c r="BP319" s="108">
        <f>Whole!BP319+Whole!BQ319+'Tot Retail'!BP319</f>
        <v>2985739</v>
      </c>
      <c r="BT319" s="175">
        <f>Whole!BT319+'Tot Retail'!BT319</f>
        <v>2881486.5201453343</v>
      </c>
      <c r="BU319" s="108">
        <f t="shared" si="100"/>
        <v>-472424.91686978191</v>
      </c>
      <c r="BV319" s="108"/>
      <c r="BW319" s="108">
        <f t="shared" si="101"/>
        <v>-104252.4798546657</v>
      </c>
    </row>
    <row r="320" spans="1:75">
      <c r="A320" s="4">
        <f t="shared" si="61"/>
        <v>2009</v>
      </c>
      <c r="B320" s="4">
        <f t="shared" si="62"/>
        <v>4</v>
      </c>
      <c r="C320" s="108">
        <f>Whole!C320+Whole!D320+'Tot Retail'!C320</f>
        <v>2907926</v>
      </c>
      <c r="D320" s="108">
        <f>Whole!E320+'Tot Retail'!D320</f>
        <v>1609186</v>
      </c>
      <c r="Y320" s="108">
        <f t="shared" si="98"/>
        <v>-528238</v>
      </c>
      <c r="Z320" s="175">
        <f>Whole!Z320+'Tot Retail'!Z320</f>
        <v>2906935</v>
      </c>
      <c r="AA320" s="108">
        <f t="shared" si="99"/>
        <v>-991</v>
      </c>
      <c r="AB320" s="523">
        <f>Whole!Z308+'Tot Retail'!AB308</f>
        <v>3411336</v>
      </c>
      <c r="BN320" s="4">
        <f t="shared" si="84"/>
        <v>2009</v>
      </c>
      <c r="BO320" s="4">
        <f t="shared" si="85"/>
        <v>4</v>
      </c>
      <c r="BP320" s="108">
        <f>Whole!BP320+Whole!BQ320+'Tot Retail'!BP320</f>
        <v>2960477</v>
      </c>
      <c r="BT320" s="175">
        <f>Whole!BT320+'Tot Retail'!BT320</f>
        <v>2947824.9568382697</v>
      </c>
      <c r="BU320" s="108">
        <f t="shared" si="100"/>
        <v>-783734.93214080762</v>
      </c>
      <c r="BV320" s="108"/>
      <c r="BW320" s="108">
        <f t="shared" si="101"/>
        <v>-12652.043161730282</v>
      </c>
    </row>
    <row r="321" spans="1:75">
      <c r="A321" s="4">
        <f t="shared" si="61"/>
        <v>2009</v>
      </c>
      <c r="B321" s="4">
        <f t="shared" si="62"/>
        <v>5</v>
      </c>
      <c r="C321" s="108">
        <f>Whole!C321+Whole!D321+'Tot Retail'!C321</f>
        <v>3192002</v>
      </c>
      <c r="D321" s="108">
        <f>Whole!E321+'Tot Retail'!D321</f>
        <v>1617151</v>
      </c>
      <c r="Y321" s="108">
        <f t="shared" ref="Y321" si="102">Z321-Z309</f>
        <v>-728969</v>
      </c>
      <c r="Z321" s="175">
        <f>Whole!Z321+'Tot Retail'!Z321</f>
        <v>3085067</v>
      </c>
      <c r="AA321" s="108">
        <f t="shared" si="99"/>
        <v>-106935</v>
      </c>
      <c r="AB321" s="523">
        <f>Whole!Z309+'Tot Retail'!AB309</f>
        <v>3729571</v>
      </c>
      <c r="BN321" s="4">
        <f t="shared" si="84"/>
        <v>2009</v>
      </c>
      <c r="BO321" s="4">
        <f t="shared" si="85"/>
        <v>5</v>
      </c>
      <c r="BP321" s="108">
        <f>Whole!BP321+Whole!BQ321+'Tot Retail'!BP321</f>
        <v>3616991</v>
      </c>
      <c r="BT321" s="175">
        <f>Whole!BT321+'Tot Retail'!BT321</f>
        <v>3601399.3988657342</v>
      </c>
      <c r="BU321" s="108">
        <f t="shared" si="100"/>
        <v>-495700.89187854435</v>
      </c>
      <c r="BV321" s="108"/>
      <c r="BW321" s="108">
        <f t="shared" si="101"/>
        <v>-15591.601134265773</v>
      </c>
    </row>
    <row r="322" spans="1:75">
      <c r="A322" s="4">
        <f t="shared" si="61"/>
        <v>2009</v>
      </c>
      <c r="B322" s="4">
        <f t="shared" si="62"/>
        <v>6</v>
      </c>
      <c r="C322" s="108">
        <f>Whole!C322+Whole!D322+'Tot Retail'!C322</f>
        <v>3727343</v>
      </c>
      <c r="D322" s="108">
        <f>Whole!E322+'Tot Retail'!D322</f>
        <v>1663199</v>
      </c>
      <c r="Y322" s="108">
        <f t="shared" ref="Y322" si="103">Z322-Z310</f>
        <v>-493889</v>
      </c>
      <c r="Z322" s="175">
        <f>Whole!Z322+'Tot Retail'!Z322</f>
        <v>3801807</v>
      </c>
      <c r="AA322" s="108">
        <f t="shared" ref="AA322" si="104">Z322-C322</f>
        <v>74464</v>
      </c>
      <c r="AB322" s="523">
        <f>Whole!Z310+'Tot Retail'!AB310</f>
        <v>4248026</v>
      </c>
      <c r="BN322" s="4">
        <f t="shared" si="84"/>
        <v>2009</v>
      </c>
      <c r="BO322" s="4">
        <f t="shared" si="85"/>
        <v>6</v>
      </c>
      <c r="BP322" s="108">
        <f>Whole!BP322+Whole!BQ322+'Tot Retail'!BP322</f>
        <v>4102767</v>
      </c>
      <c r="BT322" s="175">
        <f>Whole!BT322+'Tot Retail'!BT322</f>
        <v>3948221.2750369445</v>
      </c>
      <c r="BU322" s="108">
        <f t="shared" ref="BU322" si="105">BT322-BT310</f>
        <v>-360449.82546855649</v>
      </c>
      <c r="BV322" s="108"/>
      <c r="BW322" s="108">
        <f t="shared" ref="BW322" si="106">BT322-BP322</f>
        <v>-154545.72496305546</v>
      </c>
    </row>
    <row r="323" spans="1:75">
      <c r="A323" s="4">
        <f t="shared" si="61"/>
        <v>2009</v>
      </c>
      <c r="B323" s="4">
        <f t="shared" si="62"/>
        <v>7</v>
      </c>
      <c r="C323" s="108">
        <f>Whole!C323+Whole!D323+'Tot Retail'!C323</f>
        <v>4164893</v>
      </c>
      <c r="D323" s="108">
        <f>Whole!E323+'Tot Retail'!D323</f>
        <v>1627840</v>
      </c>
      <c r="Y323" s="108">
        <f t="shared" ref="Y323" si="107">Z323-Z311</f>
        <v>-177674</v>
      </c>
      <c r="Z323" s="175">
        <f>Whole!Z323+'Tot Retail'!Z323</f>
        <v>4070277</v>
      </c>
      <c r="AA323" s="108">
        <f t="shared" ref="AA323" si="108">Z323-C323</f>
        <v>-94616</v>
      </c>
      <c r="AB323" s="523">
        <f>Whole!Z311+'Tot Retail'!AB311</f>
        <v>4379969</v>
      </c>
      <c r="BN323" s="4">
        <f t="shared" si="84"/>
        <v>2009</v>
      </c>
      <c r="BO323" s="4">
        <f t="shared" si="85"/>
        <v>7</v>
      </c>
      <c r="BP323" s="108">
        <f>Whole!BP323+Whole!BQ323+'Tot Retail'!BP323</f>
        <v>4200269</v>
      </c>
      <c r="BT323" s="175">
        <f>Whole!BT323+'Tot Retail'!BT323</f>
        <v>4245788.0312690651</v>
      </c>
      <c r="BU323" s="108">
        <f t="shared" ref="BU323" si="109">BT323-BT311</f>
        <v>-316163.41098266467</v>
      </c>
      <c r="BV323" s="108"/>
      <c r="BW323" s="108">
        <f t="shared" ref="BW323" si="110">BT323-BP323</f>
        <v>45519.031269065104</v>
      </c>
    </row>
    <row r="324" spans="1:75">
      <c r="A324" s="4">
        <f t="shared" si="61"/>
        <v>2009</v>
      </c>
      <c r="B324" s="4">
        <f t="shared" si="62"/>
        <v>8</v>
      </c>
      <c r="C324" s="108">
        <f>Whole!C324+Whole!D324+'Tot Retail'!C324</f>
        <v>3917290</v>
      </c>
      <c r="D324" s="108">
        <f>Whole!E324+'Tot Retail'!D324</f>
        <v>1547717</v>
      </c>
      <c r="Y324" s="108">
        <f t="shared" ref="Y324" si="111">Z324-Z312</f>
        <v>-592530</v>
      </c>
      <c r="Z324" s="175">
        <f>Whole!Z324+'Tot Retail'!Z324</f>
        <v>3958129</v>
      </c>
      <c r="AA324" s="108">
        <f t="shared" ref="AA324" si="112">Z324-C324</f>
        <v>40839</v>
      </c>
      <c r="AB324" s="523">
        <f>Whole!Z312+'Tot Retail'!AB312</f>
        <v>4546513</v>
      </c>
      <c r="BN324" s="4">
        <f t="shared" si="84"/>
        <v>2009</v>
      </c>
      <c r="BO324" s="4">
        <f t="shared" si="85"/>
        <v>8</v>
      </c>
      <c r="BP324" s="108">
        <f>Whole!BP324+Whole!BQ324+'Tot Retail'!BP324</f>
        <v>4150077</v>
      </c>
      <c r="BT324" s="175">
        <f>Whole!BT324+'Tot Retail'!BT324</f>
        <v>4116310.5320653762</v>
      </c>
      <c r="BU324" s="108">
        <f t="shared" ref="BU324" si="113">BT324-BT312</f>
        <v>-370018.66322347848</v>
      </c>
      <c r="BV324" s="108"/>
      <c r="BW324" s="108">
        <f t="shared" ref="BW324" si="114">BT324-BP324</f>
        <v>-33766.467934623826</v>
      </c>
    </row>
    <row r="325" spans="1:75">
      <c r="A325" s="4">
        <f t="shared" si="61"/>
        <v>2009</v>
      </c>
      <c r="B325" s="4">
        <f t="shared" si="62"/>
        <v>9</v>
      </c>
      <c r="C325" s="108">
        <f>Whole!C325+Whole!D325+'Tot Retail'!C325</f>
        <v>4080912</v>
      </c>
      <c r="D325" s="108">
        <f>Whole!E325+'Tot Retail'!D325</f>
        <v>1610373</v>
      </c>
      <c r="Y325" s="108">
        <f t="shared" ref="Y325" si="115">Z325-Z313</f>
        <v>-563335</v>
      </c>
      <c r="Z325" s="175">
        <f>Whole!Z325+'Tot Retail'!Z325</f>
        <v>4137844</v>
      </c>
      <c r="AA325" s="108">
        <f t="shared" ref="AA325" si="116">Z325-C325</f>
        <v>56932</v>
      </c>
      <c r="AB325" s="523">
        <f>Whole!Z313+'Tot Retail'!AB313</f>
        <v>4574911</v>
      </c>
      <c r="BN325" s="4">
        <f t="shared" si="84"/>
        <v>2009</v>
      </c>
      <c r="BO325" s="4">
        <f t="shared" si="85"/>
        <v>9</v>
      </c>
      <c r="BP325" s="108">
        <f>Whole!BP325+Whole!BQ325+'Tot Retail'!BP325</f>
        <v>3737281</v>
      </c>
      <c r="BT325" s="175">
        <f>Whole!BT325+'Tot Retail'!BT325</f>
        <v>3714005.2850787239</v>
      </c>
      <c r="BU325" s="108">
        <f t="shared" ref="BU325" si="117">BT325-BT313</f>
        <v>-667428.93390065152</v>
      </c>
      <c r="BV325" s="108"/>
      <c r="BW325" s="108">
        <f t="shared" ref="BW325" si="118">BT325-BP325</f>
        <v>-23275.714921276085</v>
      </c>
    </row>
    <row r="326" spans="1:75">
      <c r="A326" s="4">
        <f t="shared" ref="A326:A377" si="119">A314+1</f>
        <v>2009</v>
      </c>
      <c r="B326" s="4">
        <f t="shared" ref="B326:B377" si="120">B314</f>
        <v>10</v>
      </c>
      <c r="C326" s="108">
        <f>Whole!C326+Whole!D326+'Tot Retail'!C326</f>
        <v>3688660</v>
      </c>
      <c r="D326" s="108">
        <f>Whole!E326+'Tot Retail'!D326</f>
        <v>1573910</v>
      </c>
      <c r="Y326" s="108">
        <f t="shared" ref="Y326:Y331" si="121">Z326-Z314</f>
        <v>-453908</v>
      </c>
      <c r="Z326" s="175">
        <f>Whole!Z326+'Tot Retail'!Z326</f>
        <v>3479362</v>
      </c>
      <c r="AA326" s="108">
        <f t="shared" ref="AA326" si="122">Z326-C326</f>
        <v>-209298</v>
      </c>
      <c r="AB326" s="523">
        <f>Whole!Z314+'Tot Retail'!AB314</f>
        <v>4064737</v>
      </c>
      <c r="BN326" s="4">
        <f t="shared" ref="BN326:BN376" si="123">BN314+1</f>
        <v>2009</v>
      </c>
      <c r="BO326" s="4">
        <f t="shared" ref="BO326:BO376" si="124">BO314</f>
        <v>10</v>
      </c>
      <c r="BP326" s="108">
        <f>Whole!BP326+Whole!BQ326+'Tot Retail'!BP326</f>
        <v>3586991</v>
      </c>
      <c r="BT326" s="175">
        <f>Whole!BT326+'Tot Retail'!BT326</f>
        <v>3294829.3651828337</v>
      </c>
      <c r="BU326" s="108">
        <f t="shared" ref="BU326:BU331" si="125">BT326-BT314</f>
        <v>-177932.44480747869</v>
      </c>
      <c r="BV326" s="108"/>
      <c r="BW326" s="108">
        <f t="shared" ref="BW326" si="126">BT326-BP326</f>
        <v>-292161.63481716625</v>
      </c>
    </row>
    <row r="327" spans="1:75">
      <c r="A327" s="4">
        <f t="shared" si="119"/>
        <v>2009</v>
      </c>
      <c r="B327" s="4">
        <f t="shared" si="120"/>
        <v>11</v>
      </c>
      <c r="C327" s="108">
        <f>Whole!C327+Whole!D327+'Tot Retail'!C327</f>
        <v>3544476</v>
      </c>
      <c r="D327" s="108">
        <f>Whole!E327+'Tot Retail'!D327</f>
        <v>1799883</v>
      </c>
      <c r="Y327" s="108">
        <f t="shared" si="121"/>
        <v>-220889</v>
      </c>
      <c r="Z327" s="175">
        <f>Whole!Z327+'Tot Retail'!Z327</f>
        <v>3316742</v>
      </c>
      <c r="AA327" s="108">
        <f t="shared" ref="AA327" si="127">Z327-C327</f>
        <v>-227734</v>
      </c>
      <c r="AB327" s="523">
        <f>Whole!Z315+'Tot Retail'!AB315</f>
        <v>3352487</v>
      </c>
      <c r="BN327" s="4">
        <f t="shared" si="123"/>
        <v>2009</v>
      </c>
      <c r="BO327" s="4">
        <f t="shared" si="124"/>
        <v>11</v>
      </c>
      <c r="BP327" s="108">
        <f>Whole!BP327+Whole!BQ327+'Tot Retail'!BP327</f>
        <v>2841980</v>
      </c>
      <c r="BT327" s="175">
        <f>Whole!BT327+'Tot Retail'!BT327</f>
        <v>2859107.5271217464</v>
      </c>
      <c r="BU327" s="108">
        <f t="shared" si="125"/>
        <v>-207589.19454702595</v>
      </c>
      <c r="BV327" s="108"/>
      <c r="BW327" s="108">
        <f t="shared" ref="BW327" si="128">BT327-BP327</f>
        <v>17127.527121746447</v>
      </c>
    </row>
    <row r="328" spans="1:75" s="89" customFormat="1">
      <c r="A328" s="89">
        <f t="shared" si="119"/>
        <v>2009</v>
      </c>
      <c r="B328" s="89">
        <f t="shared" si="120"/>
        <v>12</v>
      </c>
      <c r="C328" s="117">
        <f>Whole!C328+Whole!D328+'Tot Retail'!C328</f>
        <v>2787107</v>
      </c>
      <c r="D328" s="117">
        <f>Whole!E328+'Tot Retail'!D328</f>
        <v>1618733</v>
      </c>
      <c r="Y328" s="117">
        <f t="shared" si="121"/>
        <v>-293494</v>
      </c>
      <c r="Z328" s="176">
        <f>Whole!Z328+'Tot Retail'!Z328</f>
        <v>2843441</v>
      </c>
      <c r="AA328" s="117">
        <f t="shared" ref="AA328" si="129">Z328-C328</f>
        <v>56334</v>
      </c>
      <c r="AB328" s="501">
        <f>Whole!Z316+'Tot Retail'!AB316</f>
        <v>3237419</v>
      </c>
      <c r="BN328" s="89">
        <f t="shared" si="123"/>
        <v>2009</v>
      </c>
      <c r="BO328" s="89">
        <f t="shared" si="124"/>
        <v>12</v>
      </c>
      <c r="BP328" s="117">
        <f>Whole!BP328+Whole!BQ328+'Tot Retail'!BP328</f>
        <v>2907881</v>
      </c>
      <c r="BT328" s="176">
        <f>Whole!BT328+'Tot Retail'!BT328</f>
        <v>2870157.0625511841</v>
      </c>
      <c r="BU328" s="117">
        <f t="shared" si="125"/>
        <v>-362248.1799138966</v>
      </c>
      <c r="BV328" s="117"/>
      <c r="BW328" s="117">
        <f t="shared" ref="BW328" si="130">BT328-BP328</f>
        <v>-37723.937448815908</v>
      </c>
    </row>
    <row r="329" spans="1:75">
      <c r="A329" s="4">
        <f t="shared" si="119"/>
        <v>2010</v>
      </c>
      <c r="B329" s="4">
        <f t="shared" si="120"/>
        <v>1</v>
      </c>
      <c r="C329" s="108">
        <f>Whole!C329+Whole!D329+'Tot Retail'!C329</f>
        <v>3487141</v>
      </c>
      <c r="D329" s="108">
        <f>Whole!E329+'Tot Retail'!D329</f>
        <v>1623951</v>
      </c>
      <c r="Y329" s="108">
        <f t="shared" si="121"/>
        <v>-346642</v>
      </c>
      <c r="Z329" s="175">
        <f>Whole!Z329+'Tot Retail'!Z329</f>
        <v>2942852</v>
      </c>
      <c r="AA329" s="108">
        <f t="shared" ref="AA329" si="131">Z329-C329</f>
        <v>-544289</v>
      </c>
      <c r="AB329" s="523">
        <f>Whole!Z317+'Tot Retail'!AB317</f>
        <v>3301498</v>
      </c>
      <c r="BN329" s="4">
        <f t="shared" si="123"/>
        <v>2010</v>
      </c>
      <c r="BO329" s="4">
        <f t="shared" si="124"/>
        <v>1</v>
      </c>
      <c r="BP329" s="108">
        <f>Whole!BP329+Whole!BQ329+'Tot Retail'!BP329</f>
        <v>3909596</v>
      </c>
      <c r="BT329" s="175">
        <f>Whole!BT329+'Tot Retail'!BT329</f>
        <v>3173189.4219995174</v>
      </c>
      <c r="BU329" s="108">
        <f t="shared" si="125"/>
        <v>-58649.046392444987</v>
      </c>
      <c r="BV329" s="108"/>
      <c r="BW329" s="108">
        <f t="shared" ref="BW329" si="132">BT329-BP329</f>
        <v>-736406.57800048264</v>
      </c>
    </row>
    <row r="330" spans="1:75">
      <c r="A330" s="4">
        <f t="shared" si="119"/>
        <v>2010</v>
      </c>
      <c r="B330" s="4">
        <f t="shared" si="120"/>
        <v>2</v>
      </c>
      <c r="C330" s="108">
        <f>Whole!C330+Whole!D330+'Tot Retail'!C330</f>
        <v>3300501</v>
      </c>
      <c r="D330" s="108">
        <f>Whole!E330+'Tot Retail'!D330</f>
        <v>1593733</v>
      </c>
      <c r="Y330" s="108">
        <f t="shared" si="121"/>
        <v>-148785</v>
      </c>
      <c r="Z330" s="175">
        <f>Whole!Z330+'Tot Retail'!Z330</f>
        <v>2966754</v>
      </c>
      <c r="AA330" s="108">
        <f t="shared" ref="AA330" si="133">Z330-C330</f>
        <v>-333747</v>
      </c>
      <c r="AB330" s="523">
        <f>Whole!Z318+'Tot Retail'!AB318</f>
        <v>3104811</v>
      </c>
      <c r="BN330" s="4">
        <f t="shared" si="123"/>
        <v>2010</v>
      </c>
      <c r="BO330" s="4">
        <f t="shared" si="124"/>
        <v>2</v>
      </c>
      <c r="BP330" s="108">
        <f>Whole!BP330+Whole!BQ330+'Tot Retail'!BP330</f>
        <v>3190658</v>
      </c>
      <c r="BT330" s="175">
        <f>Whole!BT330+'Tot Retail'!BT330</f>
        <v>2697307.5883541759</v>
      </c>
      <c r="BU330" s="108">
        <f t="shared" si="125"/>
        <v>-149984.89655453805</v>
      </c>
      <c r="BV330" s="108"/>
      <c r="BW330" s="108">
        <f t="shared" ref="BW330" si="134">BT330-BP330</f>
        <v>-493350.41164582409</v>
      </c>
    </row>
    <row r="331" spans="1:75">
      <c r="A331" s="4">
        <f t="shared" si="119"/>
        <v>2010</v>
      </c>
      <c r="B331" s="4">
        <f t="shared" si="120"/>
        <v>3</v>
      </c>
      <c r="C331" s="108">
        <f>Whole!C331+Whole!D331+'Tot Retail'!C331</f>
        <v>3297978</v>
      </c>
      <c r="D331" s="108">
        <f>Whole!E331+'Tot Retail'!D331</f>
        <v>1651521</v>
      </c>
      <c r="Y331" s="108">
        <f t="shared" si="121"/>
        <v>-19324</v>
      </c>
      <c r="Z331" s="175">
        <f>Whole!Z331+'Tot Retail'!Z331</f>
        <v>2854660</v>
      </c>
      <c r="AA331" s="108">
        <f t="shared" ref="AA331" si="135">Z331-C331</f>
        <v>-443318</v>
      </c>
      <c r="AB331" s="523">
        <f>Whole!Z319+'Tot Retail'!AB319</f>
        <v>2912064</v>
      </c>
      <c r="BN331" s="4">
        <f t="shared" si="123"/>
        <v>2010</v>
      </c>
      <c r="BO331" s="4">
        <f t="shared" si="124"/>
        <v>3</v>
      </c>
      <c r="BP331" s="108">
        <f>Whole!BP331+Whole!BQ331+'Tot Retail'!BP331</f>
        <v>2968489</v>
      </c>
      <c r="BT331" s="175">
        <f>Whole!BT331+'Tot Retail'!BT331</f>
        <v>2984301.3154815705</v>
      </c>
      <c r="BU331" s="108">
        <f t="shared" si="125"/>
        <v>102814.79533623625</v>
      </c>
      <c r="BV331" s="108"/>
      <c r="BW331" s="108">
        <f t="shared" ref="BW331" si="136">BT331-BP331</f>
        <v>15812.315481570549</v>
      </c>
    </row>
    <row r="332" spans="1:75">
      <c r="A332" s="4">
        <f t="shared" si="119"/>
        <v>2010</v>
      </c>
      <c r="B332" s="4">
        <f t="shared" si="120"/>
        <v>4</v>
      </c>
      <c r="C332" s="108">
        <f>Whole!C332+Whole!D332+'Tot Retail'!C332</f>
        <v>2843897</v>
      </c>
      <c r="D332" s="108">
        <f>Whole!E332+'Tot Retail'!D332</f>
        <v>1635468</v>
      </c>
      <c r="Y332" s="108">
        <f t="shared" ref="Y332" si="137">Z332-Z320</f>
        <v>90695</v>
      </c>
      <c r="Z332" s="175">
        <f>Whole!Z332+'Tot Retail'!Z332</f>
        <v>2997630</v>
      </c>
      <c r="AA332" s="108">
        <f t="shared" ref="AA332" si="138">Z332-C332</f>
        <v>153733</v>
      </c>
      <c r="AB332" s="523">
        <f>Whole!Z320+'Tot Retail'!AB320</f>
        <v>2903432</v>
      </c>
      <c r="BN332" s="4">
        <f t="shared" si="123"/>
        <v>2010</v>
      </c>
      <c r="BO332" s="4">
        <f t="shared" si="124"/>
        <v>4</v>
      </c>
      <c r="BP332" s="108">
        <f>Whole!BP332+Whole!BQ332+'Tot Retail'!BP332</f>
        <v>2852191</v>
      </c>
      <c r="BT332" s="175">
        <f>Whole!BT332+'Tot Retail'!BT332</f>
        <v>2980073.01969634</v>
      </c>
      <c r="BU332" s="108">
        <f t="shared" ref="BU332" si="139">BT332-BT320</f>
        <v>32248.062858070247</v>
      </c>
      <c r="BV332" s="108"/>
      <c r="BW332" s="108">
        <f t="shared" ref="BW332" si="140">BT332-BP332</f>
        <v>127882.01969633996</v>
      </c>
    </row>
    <row r="333" spans="1:75">
      <c r="A333" s="4">
        <f t="shared" si="119"/>
        <v>2010</v>
      </c>
      <c r="B333" s="4">
        <f t="shared" si="120"/>
        <v>5</v>
      </c>
      <c r="C333" s="108">
        <f>Whole!C333+Whole!D333+'Tot Retail'!C333</f>
        <v>3140162</v>
      </c>
      <c r="D333" s="108">
        <f>Whole!E333+'Tot Retail'!D333</f>
        <v>1624173</v>
      </c>
      <c r="Y333" s="108">
        <f t="shared" ref="Y333" si="141">Z333-Z321</f>
        <v>6875</v>
      </c>
      <c r="Z333" s="175">
        <f>Whole!Z333+'Tot Retail'!Z333</f>
        <v>3091942</v>
      </c>
      <c r="AA333" s="108">
        <f t="shared" ref="AA333" si="142">Z333-C333</f>
        <v>-48220</v>
      </c>
      <c r="AB333" s="523">
        <f>Whole!Z321+'Tot Retail'!AB321</f>
        <v>3077584</v>
      </c>
      <c r="BN333" s="4">
        <f t="shared" si="123"/>
        <v>2010</v>
      </c>
      <c r="BO333" s="4">
        <f t="shared" si="124"/>
        <v>5</v>
      </c>
      <c r="BP333" s="108">
        <f>Whole!BP333+Whole!BQ333+'Tot Retail'!BP333</f>
        <v>3881661</v>
      </c>
      <c r="BT333" s="175">
        <f>Whole!BT333+'Tot Retail'!BT333</f>
        <v>3631483.429572924</v>
      </c>
      <c r="BU333" s="108">
        <f t="shared" ref="BU333" si="143">BT333-BT321</f>
        <v>30084.030707189813</v>
      </c>
      <c r="BV333" s="108"/>
      <c r="BW333" s="108">
        <f t="shared" ref="BW333" si="144">BT333-BP333</f>
        <v>-250177.57042707596</v>
      </c>
    </row>
    <row r="334" spans="1:75">
      <c r="A334" s="4">
        <f t="shared" si="119"/>
        <v>2010</v>
      </c>
      <c r="B334" s="4">
        <f t="shared" si="120"/>
        <v>6</v>
      </c>
      <c r="C334" s="108">
        <f>Whole!C334+Whole!D334+'Tot Retail'!C334</f>
        <v>4002542</v>
      </c>
      <c r="D334" s="108">
        <f>Whole!E334+'Tot Retail'!D334</f>
        <v>1658104</v>
      </c>
      <c r="Y334" s="108">
        <f t="shared" ref="Y334" si="145">Z334-Z322</f>
        <v>14677</v>
      </c>
      <c r="Z334" s="175">
        <f>Whole!Z334+'Tot Retail'!Z334</f>
        <v>3816484</v>
      </c>
      <c r="AA334" s="108">
        <f t="shared" ref="AA334" si="146">Z334-C334</f>
        <v>-186058</v>
      </c>
      <c r="AB334" s="523">
        <f>Whole!Z322+'Tot Retail'!AB322</f>
        <v>3735097</v>
      </c>
      <c r="BN334" s="4">
        <f t="shared" si="123"/>
        <v>2010</v>
      </c>
      <c r="BO334" s="4">
        <f t="shared" si="124"/>
        <v>6</v>
      </c>
      <c r="BP334" s="108">
        <f>Whole!BP334+Whole!BQ334+'Tot Retail'!BP334</f>
        <v>4294842</v>
      </c>
      <c r="BT334" s="175">
        <f>Whole!BT334+'Tot Retail'!BT334</f>
        <v>3923164.9493214302</v>
      </c>
      <c r="BU334" s="108">
        <f t="shared" ref="BU334" si="147">BT334-BT322</f>
        <v>-25056.325715514366</v>
      </c>
      <c r="BV334" s="108"/>
      <c r="BW334" s="108">
        <f t="shared" ref="BW334" si="148">BT334-BP334</f>
        <v>-371677.05067856982</v>
      </c>
    </row>
    <row r="335" spans="1:75">
      <c r="A335" s="4">
        <f t="shared" si="119"/>
        <v>2010</v>
      </c>
      <c r="B335" s="4">
        <f t="shared" si="120"/>
        <v>7</v>
      </c>
      <c r="C335" s="108">
        <f>Whole!C335+Whole!D335+'Tot Retail'!C335</f>
        <v>4244903</v>
      </c>
      <c r="D335" s="108">
        <f>Whole!E335+'Tot Retail'!D335</f>
        <v>1610693</v>
      </c>
      <c r="Y335" s="108">
        <f t="shared" ref="Y335" si="149">Z335-Z323</f>
        <v>-49602</v>
      </c>
      <c r="Z335" s="175">
        <f>Whole!Z335+'Tot Retail'!Z335</f>
        <v>4020675</v>
      </c>
      <c r="AA335" s="108">
        <f t="shared" ref="AA335" si="150">Z335-C335</f>
        <v>-224228</v>
      </c>
      <c r="AB335" s="523">
        <f>Whole!Z323+'Tot Retail'!AB323</f>
        <v>4051722</v>
      </c>
      <c r="BN335" s="4">
        <f t="shared" si="123"/>
        <v>2010</v>
      </c>
      <c r="BO335" s="4">
        <f t="shared" si="124"/>
        <v>7</v>
      </c>
      <c r="BP335" s="108">
        <f>Whole!BP335+Whole!BQ335+'Tot Retail'!BP335</f>
        <v>4332157</v>
      </c>
      <c r="BT335" s="175">
        <f>Whole!BT335+'Tot Retail'!BT335</f>
        <v>4134380.5338932052</v>
      </c>
      <c r="BU335" s="108">
        <f t="shared" ref="BU335" si="151">BT335-BT323</f>
        <v>-111407.49737585988</v>
      </c>
      <c r="BV335" s="108"/>
      <c r="BW335" s="108">
        <f t="shared" ref="BW335" si="152">BT335-BP335</f>
        <v>-197776.46610679477</v>
      </c>
    </row>
    <row r="336" spans="1:75">
      <c r="A336" s="4">
        <f t="shared" si="119"/>
        <v>2010</v>
      </c>
      <c r="B336" s="4">
        <f t="shared" si="120"/>
        <v>8</v>
      </c>
      <c r="C336" s="108">
        <f>Whole!C336+Whole!D336+'Tot Retail'!C336</f>
        <v>4291578</v>
      </c>
      <c r="D336" s="108">
        <f>Whole!E336+'Tot Retail'!D336</f>
        <v>1588951</v>
      </c>
      <c r="Y336" s="108">
        <f t="shared" ref="Y336:Y337" si="153">Z336-Z324</f>
        <v>113860</v>
      </c>
      <c r="Z336" s="175">
        <f>Whole!Z336+'Tot Retail'!Z336</f>
        <v>4071989</v>
      </c>
      <c r="AA336" s="108">
        <f t="shared" ref="AA336:AA337" si="154">Z336-C336</f>
        <v>-219589</v>
      </c>
      <c r="AB336" s="523">
        <f>Whole!Z324+'Tot Retail'!AB324</f>
        <v>4106051</v>
      </c>
      <c r="BN336" s="4">
        <f t="shared" si="123"/>
        <v>2010</v>
      </c>
      <c r="BO336" s="4">
        <f t="shared" si="124"/>
        <v>8</v>
      </c>
      <c r="BP336" s="108">
        <f>Whole!BP336+Whole!BQ336+'Tot Retail'!BP336</f>
        <v>4192283.0000000005</v>
      </c>
      <c r="BT336" s="175">
        <f>Whole!BT336+'Tot Retail'!BT336</f>
        <v>4035546.9504704154</v>
      </c>
      <c r="BU336" s="108">
        <f t="shared" ref="BU336:BU337" si="155">BT336-BT324</f>
        <v>-80763.581594960764</v>
      </c>
      <c r="BV336" s="108"/>
      <c r="BW336" s="108">
        <f t="shared" ref="BW336:BW337" si="156">BT336-BP336</f>
        <v>-156736.04952958506</v>
      </c>
    </row>
    <row r="337" spans="1:75">
      <c r="A337" s="4">
        <f t="shared" si="119"/>
        <v>2010</v>
      </c>
      <c r="B337" s="4">
        <f t="shared" si="120"/>
        <v>9</v>
      </c>
      <c r="C337" s="108">
        <f>Whole!C337+Whole!D337+'Tot Retail'!C337</f>
        <v>4131495</v>
      </c>
      <c r="D337" s="108">
        <f>Whole!E337+'Tot Retail'!D337</f>
        <v>1639493</v>
      </c>
      <c r="Y337" s="108">
        <f t="shared" si="153"/>
        <v>-116563</v>
      </c>
      <c r="Z337" s="175">
        <f>Whole!Z337+'Tot Retail'!Z337</f>
        <v>4021281</v>
      </c>
      <c r="AA337" s="108">
        <f t="shared" si="154"/>
        <v>-110214</v>
      </c>
      <c r="AB337" s="523">
        <f>Whole!Z325+'Tot Retail'!AB325</f>
        <v>4136227</v>
      </c>
      <c r="BN337" s="4">
        <f t="shared" si="123"/>
        <v>2010</v>
      </c>
      <c r="BO337" s="4">
        <f t="shared" si="124"/>
        <v>9</v>
      </c>
      <c r="BP337" s="108">
        <f>Whole!BP337+Whole!BQ337+'Tot Retail'!BP337</f>
        <v>3844778</v>
      </c>
      <c r="BT337" s="175">
        <f>Whole!BT337+'Tot Retail'!BT337</f>
        <v>3720186.2795920293</v>
      </c>
      <c r="BU337" s="108">
        <f t="shared" si="155"/>
        <v>6180.9945133053698</v>
      </c>
      <c r="BV337" s="108"/>
      <c r="BW337" s="108">
        <f t="shared" si="156"/>
        <v>-124591.72040797072</v>
      </c>
    </row>
    <row r="338" spans="1:75">
      <c r="A338" s="4">
        <f t="shared" si="119"/>
        <v>2010</v>
      </c>
      <c r="B338" s="4">
        <f t="shared" si="120"/>
        <v>10</v>
      </c>
      <c r="C338" s="108">
        <f>Whole!C338+Whole!D338+'Tot Retail'!C338</f>
        <v>3470557</v>
      </c>
      <c r="D338" s="108">
        <f>Whole!E338+'Tot Retail'!D338</f>
        <v>1544685</v>
      </c>
      <c r="Y338" s="108">
        <f t="shared" ref="Y338:Y339" si="157">Z338-Z326</f>
        <v>-79959</v>
      </c>
      <c r="Z338" s="175">
        <f>Whole!Z338+'Tot Retail'!Z338</f>
        <v>3399403</v>
      </c>
      <c r="AA338" s="108">
        <f t="shared" ref="AA338:AA339" si="158">Z338-C338</f>
        <v>-71154</v>
      </c>
      <c r="AB338" s="523">
        <f>Whole!Z326+'Tot Retail'!AB326</f>
        <v>3543705</v>
      </c>
      <c r="BN338" s="4">
        <f t="shared" si="123"/>
        <v>2010</v>
      </c>
      <c r="BO338" s="4">
        <f t="shared" si="124"/>
        <v>10</v>
      </c>
      <c r="BP338" s="108">
        <f>Whole!BP338+Whole!BQ338+'Tot Retail'!BP338</f>
        <v>3172534</v>
      </c>
      <c r="BT338" s="175">
        <f>Whole!BT338+'Tot Retail'!BT338</f>
        <v>3201444.3112095594</v>
      </c>
      <c r="BU338" s="108">
        <f t="shared" ref="BU338:BU339" si="159">BT338-BT326</f>
        <v>-93385.053973274305</v>
      </c>
      <c r="BV338" s="108"/>
      <c r="BW338" s="108">
        <f t="shared" ref="BW338:BW339" si="160">BT338-BP338</f>
        <v>28910.311209559441</v>
      </c>
    </row>
    <row r="339" spans="1:75">
      <c r="A339" s="4">
        <f t="shared" si="119"/>
        <v>2010</v>
      </c>
      <c r="B339" s="4">
        <f t="shared" si="120"/>
        <v>11</v>
      </c>
      <c r="C339" s="108">
        <f>Whole!C339+Whole!D339+'Tot Retail'!C339</f>
        <v>3147396</v>
      </c>
      <c r="D339" s="108">
        <f>Whole!E339+'Tot Retail'!D339</f>
        <v>1813020</v>
      </c>
      <c r="Y339" s="108">
        <f t="shared" si="157"/>
        <v>-266360</v>
      </c>
      <c r="Z339" s="175">
        <f>Whole!Z339+'Tot Retail'!Z339</f>
        <v>3050382</v>
      </c>
      <c r="AA339" s="108">
        <f t="shared" si="158"/>
        <v>-97014</v>
      </c>
      <c r="AB339" s="523">
        <f>Whole!Z327+'Tot Retail'!AB327</f>
        <v>3133540</v>
      </c>
      <c r="BN339" s="4">
        <f t="shared" si="123"/>
        <v>2010</v>
      </c>
      <c r="BO339" s="4">
        <f t="shared" si="124"/>
        <v>11</v>
      </c>
      <c r="BP339" s="108">
        <f>Whole!BP339+Whole!BQ339+'Tot Retail'!BP339</f>
        <v>2650121</v>
      </c>
      <c r="BT339" s="175">
        <f>Whole!BT339+'Tot Retail'!BT339</f>
        <v>2627738.6035427167</v>
      </c>
      <c r="BU339" s="108">
        <f t="shared" si="159"/>
        <v>-231368.92357902974</v>
      </c>
      <c r="BV339" s="108"/>
      <c r="BW339" s="108">
        <f t="shared" si="160"/>
        <v>-22382.396457283292</v>
      </c>
    </row>
    <row r="340" spans="1:75" s="89" customFormat="1">
      <c r="A340" s="89">
        <f t="shared" si="119"/>
        <v>2010</v>
      </c>
      <c r="B340" s="89">
        <f t="shared" si="120"/>
        <v>12</v>
      </c>
      <c r="C340" s="117">
        <f>Whole!C340+Whole!D340+'Tot Retail'!C340</f>
        <v>3059948</v>
      </c>
      <c r="D340" s="117">
        <f>Whole!E340+'Tot Retail'!D340</f>
        <v>1706198</v>
      </c>
      <c r="Y340" s="117">
        <f t="shared" ref="Y340" si="161">Z340-Z328</f>
        <v>-6302</v>
      </c>
      <c r="Z340" s="176">
        <f>Whole!Z340+'Tot Retail'!Z340</f>
        <v>2837139</v>
      </c>
      <c r="AA340" s="117">
        <f t="shared" ref="AA340" si="162">Z340-C340</f>
        <v>-222809</v>
      </c>
      <c r="AB340" s="501">
        <f>Whole!Z328+'Tot Retail'!AB328</f>
        <v>2881985</v>
      </c>
      <c r="BN340" s="89">
        <f t="shared" si="123"/>
        <v>2010</v>
      </c>
      <c r="BO340" s="89">
        <f t="shared" si="124"/>
        <v>12</v>
      </c>
      <c r="BP340" s="117">
        <f>Whole!BP340+Whole!BQ340+'Tot Retail'!BP340</f>
        <v>3753144</v>
      </c>
      <c r="BT340" s="176">
        <f>Whole!BT340+'Tot Retail'!BT340</f>
        <v>2941136.631570504</v>
      </c>
      <c r="BU340" s="117">
        <f t="shared" ref="BU340" si="163">BT340-BT328</f>
        <v>70979.569019319955</v>
      </c>
      <c r="BV340" s="117"/>
      <c r="BW340" s="117">
        <f t="shared" ref="BW340" si="164">BT340-BP340</f>
        <v>-812007.36842949595</v>
      </c>
    </row>
    <row r="341" spans="1:75">
      <c r="A341" s="4">
        <f t="shared" si="119"/>
        <v>2011</v>
      </c>
      <c r="B341" s="4">
        <f t="shared" si="120"/>
        <v>1</v>
      </c>
      <c r="C341" s="108">
        <f>Whole!C341+Whole!D341+'Tot Retail'!C341</f>
        <v>3470276</v>
      </c>
      <c r="D341" s="108">
        <f>Whole!E341+'Tot Retail'!D341</f>
        <v>1559210</v>
      </c>
      <c r="Y341" s="108">
        <f t="shared" ref="Y341" si="165">Z341-Z329</f>
        <v>27954</v>
      </c>
      <c r="Z341" s="175">
        <f>Whole!Z341+'Tot Retail'!Z341</f>
        <v>2970806</v>
      </c>
      <c r="AA341" s="108">
        <f t="shared" ref="AA341" si="166">Z341-C341</f>
        <v>-499470</v>
      </c>
      <c r="AB341" s="523">
        <f>Whole!Z329+'Tot Retail'!AB329</f>
        <v>2902522</v>
      </c>
      <c r="BN341" s="4">
        <f t="shared" si="123"/>
        <v>2011</v>
      </c>
      <c r="BO341" s="4">
        <f t="shared" si="124"/>
        <v>1</v>
      </c>
      <c r="BP341" s="108">
        <f>Whole!BP341+Whole!BQ341+'Tot Retail'!BP341</f>
        <v>3051100</v>
      </c>
      <c r="BT341" s="175">
        <f>Whole!BT341+'Tot Retail'!BT341</f>
        <v>2919578.6367156561</v>
      </c>
      <c r="BU341" s="108">
        <f t="shared" ref="BU341" si="167">BT341-BT329</f>
        <v>-253610.78528386122</v>
      </c>
      <c r="BV341" s="108"/>
      <c r="BW341" s="108">
        <f t="shared" ref="BW341" si="168">BT341-BP341</f>
        <v>-131521.36328434385</v>
      </c>
    </row>
    <row r="342" spans="1:75">
      <c r="A342" s="4">
        <f t="shared" si="119"/>
        <v>2011</v>
      </c>
      <c r="B342" s="4">
        <f t="shared" si="120"/>
        <v>2</v>
      </c>
      <c r="C342" s="108">
        <f>Whole!C342+Whole!D342+'Tot Retail'!C342</f>
        <v>2961740</v>
      </c>
      <c r="D342" s="108">
        <f>Whole!E342+'Tot Retail'!D342</f>
        <v>1643067</v>
      </c>
      <c r="Y342" s="108">
        <f t="shared" ref="Y342" si="169">Z342-Z330</f>
        <v>-116517</v>
      </c>
      <c r="Z342" s="175">
        <f>Whole!Z342+'Tot Retail'!Z342</f>
        <v>2850237</v>
      </c>
      <c r="AA342" s="108">
        <f t="shared" ref="AA342" si="170">Z342-C342</f>
        <v>-111503</v>
      </c>
      <c r="AB342" s="523">
        <f>Whole!Z330+'Tot Retail'!AB330</f>
        <v>3031114</v>
      </c>
      <c r="BN342" s="4">
        <f t="shared" si="123"/>
        <v>2011</v>
      </c>
      <c r="BO342" s="4">
        <f t="shared" si="124"/>
        <v>2</v>
      </c>
      <c r="BP342" s="108">
        <f>Whole!BP342+Whole!BQ342+'Tot Retail'!BP342</f>
        <v>2593401</v>
      </c>
      <c r="BT342" s="175">
        <f>Whole!BT342+'Tot Retail'!BT342</f>
        <v>2628701.4130094168</v>
      </c>
      <c r="BU342" s="108">
        <f t="shared" ref="BU342" si="171">BT342-BT330</f>
        <v>-68606.175344759133</v>
      </c>
      <c r="BV342" s="108"/>
      <c r="BW342" s="108">
        <f t="shared" ref="BW342" si="172">BT342-BP342</f>
        <v>35300.413009416778</v>
      </c>
    </row>
    <row r="343" spans="1:75">
      <c r="A343" s="4">
        <f t="shared" si="119"/>
        <v>2011</v>
      </c>
      <c r="B343" s="4">
        <f t="shared" si="120"/>
        <v>3</v>
      </c>
      <c r="C343" s="108">
        <f>Whole!C343+Whole!D343+'Tot Retail'!C343</f>
        <v>2554058</v>
      </c>
      <c r="D343" s="108">
        <f>Whole!E343+'Tot Retail'!D343</f>
        <v>1559107</v>
      </c>
      <c r="Y343" s="108">
        <f t="shared" ref="Y343" si="173">Z343-Z331</f>
        <v>-245738</v>
      </c>
      <c r="Z343" s="175">
        <f>Whole!Z343+'Tot Retail'!Z343</f>
        <v>2608922</v>
      </c>
      <c r="AA343" s="108">
        <f t="shared" ref="AA343" si="174">Z343-C343</f>
        <v>54864</v>
      </c>
      <c r="AB343" s="523">
        <f>Whole!Z331+'Tot Retail'!AB331</f>
        <v>2850485</v>
      </c>
      <c r="BN343" s="4">
        <f t="shared" si="123"/>
        <v>2011</v>
      </c>
      <c r="BO343" s="4">
        <f t="shared" si="124"/>
        <v>3</v>
      </c>
      <c r="BP343" s="108">
        <f>Whole!BP343+Whole!BQ343+'Tot Retail'!BP343</f>
        <v>2785185</v>
      </c>
      <c r="BT343" s="175">
        <f>Whole!BT343+'Tot Retail'!BT343</f>
        <v>2786866.0405711718</v>
      </c>
      <c r="BU343" s="108">
        <f t="shared" ref="BU343" si="175">BT343-BT331</f>
        <v>-197435.27491039876</v>
      </c>
      <c r="BV343" s="108"/>
      <c r="BW343" s="108">
        <f t="shared" ref="BW343" si="176">BT343-BP343</f>
        <v>1681.0405711717904</v>
      </c>
    </row>
    <row r="344" spans="1:75">
      <c r="A344" s="4">
        <f t="shared" si="119"/>
        <v>2011</v>
      </c>
      <c r="B344" s="4">
        <f t="shared" si="120"/>
        <v>4</v>
      </c>
      <c r="C344" s="108">
        <f>Whole!C344+Whole!D344+'Tot Retail'!C344</f>
        <v>2817414</v>
      </c>
      <c r="D344" s="108">
        <f>Whole!E344+'Tot Retail'!D344</f>
        <v>1633701</v>
      </c>
      <c r="Y344" s="108">
        <f t="shared" ref="Y344" si="177">Z344-Z332</f>
        <v>-181959</v>
      </c>
      <c r="Z344" s="175">
        <f>Whole!Z344+'Tot Retail'!Z344</f>
        <v>2815671</v>
      </c>
      <c r="AA344" s="108">
        <f t="shared" ref="AA344" si="178">Z344-C344</f>
        <v>-1743</v>
      </c>
      <c r="AB344" s="523">
        <f>Whole!Z332+'Tot Retail'!AB332</f>
        <v>2991521</v>
      </c>
      <c r="BN344" s="4">
        <f t="shared" si="123"/>
        <v>2011</v>
      </c>
      <c r="BO344" s="4">
        <f t="shared" si="124"/>
        <v>4</v>
      </c>
      <c r="BP344" s="108">
        <f>Whole!BP344+Whole!BQ344+'Tot Retail'!BP344</f>
        <v>3261795</v>
      </c>
      <c r="BT344" s="175">
        <f>Whole!BT344+'Tot Retail'!BT344</f>
        <v>2972893.0163932987</v>
      </c>
      <c r="BU344" s="108">
        <f t="shared" ref="BU344" si="179">BT344-BT332</f>
        <v>-7180.003303041216</v>
      </c>
      <c r="BV344" s="108"/>
      <c r="BW344" s="108">
        <f t="shared" ref="BW344" si="180">BT344-BP344</f>
        <v>-288901.98360670125</v>
      </c>
    </row>
    <row r="345" spans="1:75">
      <c r="A345" s="4">
        <f t="shared" si="119"/>
        <v>2011</v>
      </c>
      <c r="B345" s="4">
        <f t="shared" si="120"/>
        <v>5</v>
      </c>
      <c r="C345" s="108">
        <f>Whole!C345+Whole!D345+'Tot Retail'!C345</f>
        <v>3443691</v>
      </c>
      <c r="D345" s="108">
        <f>Whole!E345+'Tot Retail'!D345</f>
        <v>1643207</v>
      </c>
      <c r="Y345" s="108">
        <f t="shared" ref="Y345" si="181">Z345-Z333</f>
        <v>57385</v>
      </c>
      <c r="Z345" s="175">
        <f>Whole!Z345+'Tot Retail'!Z345</f>
        <v>3149327</v>
      </c>
      <c r="AA345" s="108">
        <f t="shared" ref="AA345" si="182">Z345-C345</f>
        <v>-294364</v>
      </c>
      <c r="AB345" s="523">
        <f>Whole!Z333+'Tot Retail'!AB333</f>
        <v>3066870</v>
      </c>
      <c r="BN345" s="4">
        <f t="shared" si="123"/>
        <v>2011</v>
      </c>
      <c r="BO345" s="4">
        <f t="shared" si="124"/>
        <v>5</v>
      </c>
      <c r="BP345" s="108">
        <f>Whole!BP345+Whole!BQ345+'Tot Retail'!BP345</f>
        <v>3618041</v>
      </c>
      <c r="BT345" s="175">
        <f>Whole!BT345+'Tot Retail'!BT345</f>
        <v>3538678.5200562128</v>
      </c>
      <c r="BU345" s="108">
        <f t="shared" ref="BU345" si="183">BT345-BT333</f>
        <v>-92804.909516711254</v>
      </c>
      <c r="BV345" s="108"/>
      <c r="BW345" s="108">
        <f t="shared" ref="BW345" si="184">BT345-BP345</f>
        <v>-79362.479943787213</v>
      </c>
    </row>
    <row r="346" spans="1:75">
      <c r="A346" s="4">
        <f t="shared" si="119"/>
        <v>2011</v>
      </c>
      <c r="B346" s="4">
        <f t="shared" si="120"/>
        <v>6</v>
      </c>
      <c r="C346" s="108">
        <f>Whole!C346+Whole!D346+'Tot Retail'!C346</f>
        <v>3753897</v>
      </c>
      <c r="D346" s="108">
        <f>Whole!E346+'Tot Retail'!D346</f>
        <v>1643932</v>
      </c>
      <c r="Y346" s="108">
        <f t="shared" ref="Y346" si="185">Z346-Z334</f>
        <v>-100542</v>
      </c>
      <c r="Z346" s="175">
        <f>Whole!Z346+'Tot Retail'!Z346</f>
        <v>3715942</v>
      </c>
      <c r="AA346" s="108">
        <f t="shared" ref="AA346" si="186">Z346-C346</f>
        <v>-37955</v>
      </c>
      <c r="AB346" s="523">
        <f>Whole!Z334+'Tot Retail'!AB334</f>
        <v>3749327</v>
      </c>
      <c r="BN346" s="4">
        <f t="shared" si="123"/>
        <v>2011</v>
      </c>
      <c r="BO346" s="4">
        <f t="shared" si="124"/>
        <v>6</v>
      </c>
      <c r="BP346" s="108">
        <f>Whole!BP346+Whole!BQ346+'Tot Retail'!BP346</f>
        <v>3961775</v>
      </c>
      <c r="BT346" s="175">
        <f>Whole!BT346+'Tot Retail'!BT346</f>
        <v>3795374.8342030002</v>
      </c>
      <c r="BU346" s="108">
        <f t="shared" ref="BU346" si="187">BT346-BT334</f>
        <v>-127790.11511843</v>
      </c>
      <c r="BV346" s="108"/>
      <c r="BW346" s="108">
        <f t="shared" ref="BW346" si="188">BT346-BP346</f>
        <v>-166400.16579699982</v>
      </c>
    </row>
    <row r="347" spans="1:75">
      <c r="A347" s="4">
        <f t="shared" si="119"/>
        <v>2011</v>
      </c>
      <c r="B347" s="4">
        <f t="shared" si="120"/>
        <v>7</v>
      </c>
      <c r="C347" s="108">
        <f>Whole!C347+Whole!D347+'Tot Retail'!C347</f>
        <v>3947647</v>
      </c>
      <c r="D347" s="108">
        <f>Whole!E347+'Tot Retail'!D347</f>
        <v>1636049</v>
      </c>
      <c r="Y347" s="108">
        <f t="shared" ref="Y347" si="189">Z347-Z335</f>
        <v>-182430</v>
      </c>
      <c r="Z347" s="175">
        <f>Whole!Z347+'Tot Retail'!Z347</f>
        <v>3838245</v>
      </c>
      <c r="AA347" s="108">
        <f t="shared" ref="AA347" si="190">Z347-C347</f>
        <v>-109402</v>
      </c>
      <c r="AB347" s="523">
        <f>Whole!Z335+'Tot Retail'!AB335</f>
        <v>4057349</v>
      </c>
      <c r="BN347" s="4">
        <f t="shared" si="123"/>
        <v>2011</v>
      </c>
      <c r="BO347" s="4">
        <f t="shared" si="124"/>
        <v>7</v>
      </c>
      <c r="BP347" s="108">
        <f>Whole!BP347+Whole!BQ347+'Tot Retail'!BP347</f>
        <v>4049613</v>
      </c>
      <c r="BT347" s="175">
        <f>Whole!BT347+'Tot Retail'!BT347</f>
        <v>3953600.4148243484</v>
      </c>
      <c r="BU347" s="108">
        <f t="shared" ref="BU347" si="191">BT347-BT335</f>
        <v>-180780.11906885682</v>
      </c>
      <c r="BV347" s="108"/>
      <c r="BW347" s="108">
        <f t="shared" ref="BW347" si="192">BT347-BP347</f>
        <v>-96012.585175651591</v>
      </c>
    </row>
    <row r="348" spans="1:75">
      <c r="A348" s="4">
        <f t="shared" si="119"/>
        <v>2011</v>
      </c>
      <c r="B348" s="4">
        <f t="shared" si="120"/>
        <v>8</v>
      </c>
      <c r="C348" s="108">
        <f>Whole!C348+Whole!D348+'Tot Retail'!C348</f>
        <v>4267935</v>
      </c>
      <c r="D348" s="108">
        <f>Whole!E348+'Tot Retail'!D348</f>
        <v>1735842</v>
      </c>
      <c r="Y348" s="108">
        <f t="shared" ref="Y348" si="193">Z348-Z336</f>
        <v>-2296</v>
      </c>
      <c r="Z348" s="175">
        <f>Whole!Z348+'Tot Retail'!Z348</f>
        <v>4069693</v>
      </c>
      <c r="AA348" s="108">
        <f t="shared" ref="AA348" si="194">Z348-C348</f>
        <v>-198242</v>
      </c>
      <c r="AB348" s="523">
        <f>Whole!Z336+'Tot Retail'!AB336</f>
        <v>4136932</v>
      </c>
      <c r="BN348" s="4">
        <f t="shared" si="123"/>
        <v>2011</v>
      </c>
      <c r="BO348" s="4">
        <f t="shared" si="124"/>
        <v>8</v>
      </c>
      <c r="BP348" s="108">
        <f>Whole!BP348+Whole!BQ348+'Tot Retail'!BP348</f>
        <v>4287150</v>
      </c>
      <c r="BT348" s="175">
        <f>Whole!BT348+'Tot Retail'!BT348</f>
        <v>4104249.3700451041</v>
      </c>
      <c r="BU348" s="108">
        <f t="shared" ref="BU348" si="195">BT348-BT336</f>
        <v>68702.419574688654</v>
      </c>
      <c r="BV348" s="108"/>
      <c r="BW348" s="108">
        <f t="shared" ref="BW348" si="196">BT348-BP348</f>
        <v>-182900.62995489594</v>
      </c>
    </row>
    <row r="349" spans="1:75">
      <c r="A349" s="4">
        <f t="shared" si="119"/>
        <v>2011</v>
      </c>
      <c r="B349" s="4">
        <f t="shared" si="120"/>
        <v>9</v>
      </c>
      <c r="C349" s="108">
        <f>Whole!C349+Whole!D349+'Tot Retail'!C349</f>
        <v>4031180</v>
      </c>
      <c r="D349" s="108">
        <f>Whole!E349+'Tot Retail'!D349</f>
        <v>1639493</v>
      </c>
      <c r="Y349" s="108">
        <f t="shared" ref="Y349" si="197">Z349-Z337</f>
        <v>-46611</v>
      </c>
      <c r="Z349" s="175">
        <f>Whole!Z349+'Tot Retail'!Z349</f>
        <v>3974670</v>
      </c>
      <c r="AA349" s="108">
        <f t="shared" ref="AA349" si="198">Z349-C349</f>
        <v>-56510</v>
      </c>
      <c r="AB349" s="523">
        <f>Whole!Z337+'Tot Retail'!AB337</f>
        <v>4040027</v>
      </c>
      <c r="BN349" s="4">
        <f t="shared" si="123"/>
        <v>2011</v>
      </c>
      <c r="BO349" s="4">
        <f t="shared" si="124"/>
        <v>9</v>
      </c>
      <c r="BP349" s="108">
        <f>Whole!BP349+Whole!BQ349+'Tot Retail'!BP349</f>
        <v>3656871</v>
      </c>
      <c r="BT349" s="175">
        <f>Whole!BT349+'Tot Retail'!BT349</f>
        <v>3651827.6908788369</v>
      </c>
      <c r="BU349" s="108">
        <f t="shared" ref="BU349" si="199">BT349-BT337</f>
        <v>-68358.588713192381</v>
      </c>
      <c r="BV349" s="108"/>
      <c r="BW349" s="108">
        <f t="shared" ref="BW349" si="200">BT349-BP349</f>
        <v>-5043.3091211630963</v>
      </c>
    </row>
    <row r="350" spans="1:75">
      <c r="A350" s="4">
        <f t="shared" si="119"/>
        <v>2011</v>
      </c>
      <c r="B350" s="4">
        <f t="shared" si="120"/>
        <v>10</v>
      </c>
      <c r="C350" s="108">
        <f>Whole!C350+Whole!D350+'Tot Retail'!C350</f>
        <v>3424641</v>
      </c>
      <c r="D350" s="108">
        <f>Whole!E350+'Tot Retail'!D350</f>
        <v>1549307</v>
      </c>
      <c r="Y350" s="108">
        <f t="shared" ref="Y350" si="201">Z350-Z338</f>
        <v>16389</v>
      </c>
      <c r="Z350" s="175">
        <f>Whole!Z350+'Tot Retail'!Z350</f>
        <v>3415792</v>
      </c>
      <c r="AA350" s="108">
        <f t="shared" ref="AA350" si="202">Z350-C350</f>
        <v>-8849</v>
      </c>
      <c r="AB350" s="523">
        <f>Whole!Z338+'Tot Retail'!AB338</f>
        <v>3529523</v>
      </c>
      <c r="BN350" s="4">
        <f t="shared" si="123"/>
        <v>2011</v>
      </c>
      <c r="BO350" s="4">
        <f t="shared" si="124"/>
        <v>10</v>
      </c>
      <c r="BP350" s="108">
        <f>Whole!BP350+Whole!BQ350+'Tot Retail'!BP350</f>
        <v>2948191</v>
      </c>
      <c r="BT350" s="175">
        <f>Whole!BT350+'Tot Retail'!BT350</f>
        <v>3233769.8048888505</v>
      </c>
      <c r="BU350" s="108">
        <f t="shared" ref="BU350" si="203">BT350-BT338</f>
        <v>32325.493679291103</v>
      </c>
      <c r="BV350" s="108"/>
      <c r="BW350" s="108">
        <f t="shared" ref="BW350" si="204">BT350-BP350</f>
        <v>285578.80488885054</v>
      </c>
    </row>
    <row r="351" spans="1:75">
      <c r="A351" s="4">
        <f t="shared" si="119"/>
        <v>2011</v>
      </c>
      <c r="B351" s="4">
        <f t="shared" si="120"/>
        <v>11</v>
      </c>
      <c r="C351" s="108">
        <f>Whole!C351+Whole!D351+'Tot Retail'!C351</f>
        <v>2961225</v>
      </c>
      <c r="D351" s="108">
        <f>Whole!E351+'Tot Retail'!D351</f>
        <v>1799811</v>
      </c>
      <c r="Y351" s="108">
        <f t="shared" ref="Y351" si="205">Z351-Z339</f>
        <v>138664</v>
      </c>
      <c r="Z351" s="175">
        <f>Whole!Z351+'Tot Retail'!Z351</f>
        <v>3189046</v>
      </c>
      <c r="AA351" s="108">
        <f t="shared" ref="AA351" si="206">Z351-C351</f>
        <v>227821</v>
      </c>
      <c r="AB351" s="523">
        <f>Whole!Z339+'Tot Retail'!AB339</f>
        <v>2879521</v>
      </c>
      <c r="BN351" s="4">
        <f t="shared" si="123"/>
        <v>2011</v>
      </c>
      <c r="BO351" s="4">
        <f t="shared" si="124"/>
        <v>11</v>
      </c>
      <c r="BP351" s="108">
        <f>Whole!BP351+Whole!BQ351+'Tot Retail'!BP351</f>
        <v>2671338</v>
      </c>
      <c r="BT351" s="175">
        <f>Whole!BT351+'Tot Retail'!BT351</f>
        <v>2744539.9502498959</v>
      </c>
      <c r="BU351" s="108">
        <f t="shared" ref="BU351" si="207">BT351-BT339</f>
        <v>116801.34670717921</v>
      </c>
      <c r="BV351" s="108"/>
      <c r="BW351" s="108">
        <f t="shared" ref="BW351" si="208">BT351-BP351</f>
        <v>73201.950249895919</v>
      </c>
    </row>
    <row r="352" spans="1:75" s="89" customFormat="1">
      <c r="A352" s="89">
        <f t="shared" si="119"/>
        <v>2011</v>
      </c>
      <c r="B352" s="89">
        <f t="shared" si="120"/>
        <v>12</v>
      </c>
      <c r="C352" s="117">
        <f>Whole!C352+Whole!D352+'Tot Retail'!C352</f>
        <v>2675628</v>
      </c>
      <c r="D352" s="117">
        <f>Whole!E352+'Tot Retail'!D352</f>
        <v>1663201</v>
      </c>
      <c r="Y352" s="117">
        <f t="shared" ref="Y352" si="209">Z352-Z340</f>
        <v>-34232</v>
      </c>
      <c r="Z352" s="176">
        <f>Whole!Z352+'Tot Retail'!Z352</f>
        <v>2802907</v>
      </c>
      <c r="AA352" s="117">
        <f t="shared" ref="AA352" si="210">Z352-C352</f>
        <v>127279</v>
      </c>
      <c r="AB352" s="501">
        <f>Whole!Z340+'Tot Retail'!AB340</f>
        <v>2701016</v>
      </c>
      <c r="BN352" s="89">
        <f t="shared" si="123"/>
        <v>2011</v>
      </c>
      <c r="BO352" s="89">
        <f t="shared" si="124"/>
        <v>12</v>
      </c>
      <c r="BP352" s="117">
        <f>Whole!BP352+Whole!BQ352+'Tot Retail'!BP352</f>
        <v>2643526</v>
      </c>
      <c r="BT352" s="176">
        <f>Whole!BT352+'Tot Retail'!BT352</f>
        <v>2829909.3162798686</v>
      </c>
      <c r="BU352" s="117">
        <f t="shared" ref="BU352" si="211">BT352-BT340</f>
        <v>-111227.31529063545</v>
      </c>
      <c r="BV352" s="117"/>
      <c r="BW352" s="117">
        <f t="shared" ref="BW352" si="212">BT352-BP352</f>
        <v>186383.3162798686</v>
      </c>
    </row>
    <row r="353" spans="1:75">
      <c r="A353" s="4">
        <f t="shared" si="119"/>
        <v>2012</v>
      </c>
      <c r="B353" s="4">
        <f t="shared" si="120"/>
        <v>1</v>
      </c>
      <c r="C353" s="108">
        <f>Whole!C353+Whole!D353+'Tot Retail'!C353</f>
        <v>2767857</v>
      </c>
      <c r="D353" s="108">
        <f>Whole!E353+'Tot Retail'!D353</f>
        <v>1573783</v>
      </c>
      <c r="Y353" s="108">
        <f t="shared" ref="Y353" si="213">Z353-Z341</f>
        <v>-119665</v>
      </c>
      <c r="Z353" s="175">
        <f>Whole!Z353+'Tot Retail'!Z353</f>
        <v>2851141</v>
      </c>
      <c r="AA353" s="108">
        <f t="shared" ref="AA353" si="214">Z353-C353</f>
        <v>83284</v>
      </c>
      <c r="AB353" s="523">
        <f>Whole!Z341+'Tot Retail'!AB341</f>
        <v>3057067</v>
      </c>
      <c r="BN353" s="4">
        <f t="shared" si="123"/>
        <v>2012</v>
      </c>
      <c r="BO353" s="4">
        <f t="shared" si="124"/>
        <v>1</v>
      </c>
      <c r="BP353" s="108">
        <f>Whole!BP353+Whole!BQ353+'Tot Retail'!BP353</f>
        <v>2959830</v>
      </c>
      <c r="BT353" s="175">
        <f>Whole!BT353+'Tot Retail'!BT353</f>
        <v>2966130.9418386994</v>
      </c>
      <c r="BU353" s="108">
        <f t="shared" ref="BU353" si="215">BT353-BT341</f>
        <v>46552.305123043247</v>
      </c>
      <c r="BV353" s="108"/>
      <c r="BW353" s="108">
        <f t="shared" ref="BW353" si="216">BT353-BP353</f>
        <v>6300.941838699393</v>
      </c>
    </row>
    <row r="354" spans="1:75">
      <c r="A354" s="4">
        <f t="shared" si="119"/>
        <v>2012</v>
      </c>
      <c r="B354" s="4">
        <f t="shared" si="120"/>
        <v>2</v>
      </c>
      <c r="C354" s="108">
        <f>Whole!C354+Whole!D354+'Tot Retail'!C354</f>
        <v>2617400</v>
      </c>
      <c r="D354" s="108">
        <f>Whole!E354+'Tot Retail'!D354</f>
        <v>1562288</v>
      </c>
      <c r="Y354" s="108">
        <f t="shared" ref="Y354" si="217">Z354-Z342</f>
        <v>-138838</v>
      </c>
      <c r="Z354" s="175">
        <f>Whole!Z354+'Tot Retail'!Z354</f>
        <v>2711399</v>
      </c>
      <c r="AA354" s="108">
        <f t="shared" ref="AA354" si="218">Z354-C354</f>
        <v>93999</v>
      </c>
      <c r="AB354" s="523">
        <f>Whole!Z342+'Tot Retail'!AB342</f>
        <v>2898590</v>
      </c>
      <c r="BN354" s="4">
        <f t="shared" si="123"/>
        <v>2012</v>
      </c>
      <c r="BO354" s="4">
        <f t="shared" si="124"/>
        <v>2</v>
      </c>
      <c r="BP354" s="108">
        <f>Whole!BP354+Whole!BQ354+'Tot Retail'!BP354</f>
        <v>2608642</v>
      </c>
      <c r="BT354" s="175">
        <f>Whole!BT354+'Tot Retail'!BT354</f>
        <v>2668560.6579692094</v>
      </c>
      <c r="BU354" s="108">
        <f t="shared" ref="BU354" si="219">BT354-BT342</f>
        <v>39859.244959792588</v>
      </c>
      <c r="BV354" s="108"/>
      <c r="BW354" s="108">
        <f t="shared" ref="BW354" si="220">BT354-BP354</f>
        <v>59918.657969209366</v>
      </c>
    </row>
    <row r="355" spans="1:75">
      <c r="A355" s="4">
        <f t="shared" si="119"/>
        <v>2012</v>
      </c>
      <c r="B355" s="4">
        <f t="shared" si="120"/>
        <v>3</v>
      </c>
      <c r="C355" s="108">
        <f>Whole!C355+Whole!D355+'Tot Retail'!C355</f>
        <v>2729777</v>
      </c>
      <c r="D355" s="108">
        <f>Whole!E355+'Tot Retail'!D355</f>
        <v>1661357</v>
      </c>
      <c r="Y355" s="108">
        <f t="shared" ref="Y355" si="221">Z355-Z343</f>
        <v>145617</v>
      </c>
      <c r="Z355" s="175">
        <f>Whole!Z355+'Tot Retail'!Z355</f>
        <v>2754539</v>
      </c>
      <c r="AA355" s="108">
        <f t="shared" ref="AA355" si="222">Z355-C355</f>
        <v>24762</v>
      </c>
      <c r="AB355" s="523">
        <f>Whole!Z343+'Tot Retail'!AB343</f>
        <v>2689018</v>
      </c>
      <c r="BN355" s="4">
        <f t="shared" si="123"/>
        <v>2012</v>
      </c>
      <c r="BO355" s="4">
        <f t="shared" si="124"/>
        <v>3</v>
      </c>
      <c r="BP355" s="108">
        <f>Whole!BP355+Whole!BQ355+'Tot Retail'!BP355</f>
        <v>2921386</v>
      </c>
      <c r="BT355" s="175">
        <f>Whole!BT355+'Tot Retail'!BT355</f>
        <v>2766184.108143534</v>
      </c>
      <c r="BU355" s="108">
        <f t="shared" ref="BU355" si="223">BT355-BT343</f>
        <v>-20681.932427637745</v>
      </c>
      <c r="BV355" s="108"/>
      <c r="BW355" s="108">
        <f t="shared" ref="BW355" si="224">BT355-BP355</f>
        <v>-155201.89185646595</v>
      </c>
    </row>
    <row r="356" spans="1:75">
      <c r="A356" s="4">
        <f t="shared" si="119"/>
        <v>2012</v>
      </c>
      <c r="B356" s="4">
        <f t="shared" si="120"/>
        <v>4</v>
      </c>
      <c r="C356" s="108">
        <f>Whole!C356+Whole!D356+'Tot Retail'!C356</f>
        <v>2926665</v>
      </c>
      <c r="D356" s="108">
        <f>Whole!E356+'Tot Retail'!D356</f>
        <v>1638088</v>
      </c>
      <c r="Y356" s="108">
        <f t="shared" ref="Y356" si="225">Z356-Z344</f>
        <v>-10163</v>
      </c>
      <c r="Z356" s="175">
        <f>Whole!Z356+'Tot Retail'!Z356</f>
        <v>2805508</v>
      </c>
      <c r="AA356" s="108">
        <f t="shared" ref="AA356" si="226">Z356-C356</f>
        <v>-121157</v>
      </c>
      <c r="AB356" s="523">
        <f>Whole!Z344+'Tot Retail'!AB344</f>
        <v>2803444</v>
      </c>
      <c r="BN356" s="4">
        <f t="shared" si="123"/>
        <v>2012</v>
      </c>
      <c r="BO356" s="4">
        <f t="shared" si="124"/>
        <v>4</v>
      </c>
      <c r="BP356" s="108">
        <f>Whole!BP356+Whole!BQ356+'Tot Retail'!BP356</f>
        <v>2960598</v>
      </c>
      <c r="BT356" s="175">
        <f>Whole!BT356+'Tot Retail'!BT356</f>
        <v>2907255.0661546947</v>
      </c>
      <c r="BU356" s="108">
        <f t="shared" ref="BU356" si="227">BT356-BT344</f>
        <v>-65637.950238604099</v>
      </c>
      <c r="BV356" s="108"/>
      <c r="BW356" s="108">
        <f t="shared" ref="BW356" si="228">BT356-BP356</f>
        <v>-53342.93384530535</v>
      </c>
    </row>
    <row r="357" spans="1:75">
      <c r="A357" s="4">
        <f t="shared" si="119"/>
        <v>2012</v>
      </c>
      <c r="B357" s="4">
        <f t="shared" si="120"/>
        <v>5</v>
      </c>
      <c r="C357" s="108">
        <f>Whole!C357+Whole!D357+'Tot Retail'!C357</f>
        <v>3054825</v>
      </c>
      <c r="D357" s="108">
        <f>Whole!E357+'Tot Retail'!D357</f>
        <v>1661788</v>
      </c>
      <c r="Y357" s="108">
        <f t="shared" ref="Y357" si="229">Z357-Z345</f>
        <v>-150772</v>
      </c>
      <c r="Z357" s="175">
        <f>Whole!Z357+'Tot Retail'!Z357</f>
        <v>2998555</v>
      </c>
      <c r="AA357" s="108">
        <f t="shared" ref="AA357" si="230">Z357-C357</f>
        <v>-56270</v>
      </c>
      <c r="AB357" s="523">
        <f>Whole!Z345+'Tot Retail'!AB345</f>
        <v>3144013</v>
      </c>
      <c r="BN357" s="4">
        <f t="shared" si="123"/>
        <v>2012</v>
      </c>
      <c r="BO357" s="4">
        <f t="shared" si="124"/>
        <v>5</v>
      </c>
      <c r="BP357" s="108">
        <f>Whole!BP357+Whole!BQ357+'Tot Retail'!BP357</f>
        <v>3523764</v>
      </c>
      <c r="BT357" s="175">
        <f>Whole!BT357+'Tot Retail'!BT357</f>
        <v>3385411.3447658559</v>
      </c>
      <c r="BU357" s="108">
        <f t="shared" ref="BU357" si="231">BT357-BT345</f>
        <v>-153267.17529035686</v>
      </c>
      <c r="BV357" s="108"/>
      <c r="BW357" s="108">
        <f t="shared" ref="BW357" si="232">BT357-BP357</f>
        <v>-138352.65523414407</v>
      </c>
    </row>
    <row r="358" spans="1:75">
      <c r="A358" s="4">
        <f t="shared" si="119"/>
        <v>2012</v>
      </c>
      <c r="B358" s="4">
        <f t="shared" si="120"/>
        <v>6</v>
      </c>
      <c r="C358" s="108">
        <f>Whole!C358+Whole!D358+'Tot Retail'!C358</f>
        <v>3534108</v>
      </c>
      <c r="D358" s="108">
        <f>Whole!E358+'Tot Retail'!D358</f>
        <v>1655485</v>
      </c>
      <c r="Y358" s="108">
        <f t="shared" ref="Y358" si="233">Z358-Z346</f>
        <v>-170308</v>
      </c>
      <c r="Z358" s="175">
        <f>Whole!Z358+'Tot Retail'!Z358</f>
        <v>3545634</v>
      </c>
      <c r="AA358" s="108">
        <f t="shared" ref="AA358" si="234">Z358-C358</f>
        <v>11526</v>
      </c>
      <c r="AB358" s="523">
        <f>Whole!Z346+'Tot Retail'!AB346</f>
        <v>3674995</v>
      </c>
      <c r="BN358" s="4">
        <f t="shared" si="123"/>
        <v>2012</v>
      </c>
      <c r="BO358" s="4">
        <f t="shared" si="124"/>
        <v>6</v>
      </c>
      <c r="BP358" s="108">
        <f>Whole!BP358+Whole!BQ358+'Tot Retail'!BP358</f>
        <v>3437405</v>
      </c>
      <c r="BT358" s="175">
        <f>Whole!BT358+'Tot Retail'!BT358</f>
        <v>3576544.7635523849</v>
      </c>
      <c r="BU358" s="108">
        <f t="shared" ref="BU358" si="235">BT358-BT346</f>
        <v>-218830.07065061526</v>
      </c>
      <c r="BV358" s="108"/>
      <c r="BW358" s="108">
        <f t="shared" ref="BW358" si="236">BT358-BP358</f>
        <v>139139.76355238492</v>
      </c>
    </row>
    <row r="359" spans="1:75">
      <c r="A359" s="4">
        <f t="shared" si="119"/>
        <v>2012</v>
      </c>
      <c r="B359" s="4">
        <f t="shared" si="120"/>
        <v>7</v>
      </c>
      <c r="C359" s="108">
        <f>Whole!C359+Whole!D359+'Tot Retail'!C359</f>
        <v>3498832</v>
      </c>
      <c r="D359" s="108">
        <f>Whole!E359+'Tot Retail'!D359</f>
        <v>1573047</v>
      </c>
      <c r="Y359" s="108">
        <f t="shared" ref="Y359" si="237">Z359-Z347</f>
        <v>-229652</v>
      </c>
      <c r="Z359" s="175">
        <f>Whole!Z359+'Tot Retail'!Z359</f>
        <v>3608593</v>
      </c>
      <c r="AA359" s="108">
        <f t="shared" ref="AA359" si="238">Z359-C359</f>
        <v>109761</v>
      </c>
      <c r="AB359" s="523">
        <f>Whole!Z347+'Tot Retail'!AB347</f>
        <v>3881511</v>
      </c>
      <c r="BN359" s="4">
        <f t="shared" si="123"/>
        <v>2012</v>
      </c>
      <c r="BO359" s="4">
        <f t="shared" si="124"/>
        <v>7</v>
      </c>
      <c r="BP359" s="108">
        <f>Whole!BP359+Whole!BQ359+'Tot Retail'!BP359</f>
        <v>3997886</v>
      </c>
      <c r="BT359" s="175">
        <f>Whole!BT359+'Tot Retail'!BT359</f>
        <v>3957699.2924150387</v>
      </c>
      <c r="BU359" s="108">
        <f t="shared" ref="BU359" si="239">BT359-BT347</f>
        <v>4098.8775906902738</v>
      </c>
      <c r="BV359" s="108"/>
      <c r="BW359" s="108">
        <f t="shared" ref="BW359" si="240">BT359-BP359</f>
        <v>-40186.707584961317</v>
      </c>
    </row>
    <row r="360" spans="1:75">
      <c r="A360" s="4">
        <f t="shared" si="119"/>
        <v>2012</v>
      </c>
      <c r="B360" s="4">
        <f t="shared" si="120"/>
        <v>8</v>
      </c>
      <c r="C360" s="108">
        <f>Whole!C360+Whole!D360+'Tot Retail'!C360</f>
        <v>4124610</v>
      </c>
      <c r="D360" s="108">
        <f>Whole!E360+'Tot Retail'!D360</f>
        <v>1740879</v>
      </c>
      <c r="Y360" s="108">
        <f t="shared" ref="Y360" si="241">Z360-Z348</f>
        <v>-3773</v>
      </c>
      <c r="Z360" s="175">
        <f>Whole!Z360+'Tot Retail'!Z360</f>
        <v>4065920</v>
      </c>
      <c r="AA360" s="108">
        <f t="shared" ref="AA360" si="242">Z360-C360</f>
        <v>-58690</v>
      </c>
      <c r="AB360" s="523">
        <f>Whole!Z348+'Tot Retail'!AB348</f>
        <v>3930150</v>
      </c>
      <c r="BN360" s="4">
        <f t="shared" si="123"/>
        <v>2012</v>
      </c>
      <c r="BO360" s="4">
        <f t="shared" si="124"/>
        <v>8</v>
      </c>
      <c r="BP360" s="108">
        <f>Whole!BP360+Whole!BQ360+'Tot Retail'!BP360</f>
        <v>3947076</v>
      </c>
      <c r="BT360" s="175">
        <f>Whole!BT360+'Tot Retail'!BT360</f>
        <v>3983351.1224161005</v>
      </c>
      <c r="BU360" s="108">
        <f t="shared" ref="BU360" si="243">BT360-BT348</f>
        <v>-120898.2476290036</v>
      </c>
      <c r="BV360" s="108"/>
      <c r="BW360" s="108">
        <f t="shared" ref="BW360" si="244">BT360-BP360</f>
        <v>36275.122416100465</v>
      </c>
    </row>
    <row r="361" spans="1:75">
      <c r="A361" s="4">
        <f t="shared" si="119"/>
        <v>2012</v>
      </c>
      <c r="B361" s="4">
        <f t="shared" si="120"/>
        <v>9</v>
      </c>
      <c r="C361" s="108">
        <f>Whole!C361+Whole!D361+'Tot Retail'!C361</f>
        <v>3723073</v>
      </c>
      <c r="D361" s="108">
        <f>Whole!E361+'Tot Retail'!D361</f>
        <v>1591782</v>
      </c>
      <c r="Y361" s="108">
        <f t="shared" ref="Y361" si="245">Z361-Z349</f>
        <v>-189426</v>
      </c>
      <c r="Z361" s="175">
        <f>Whole!Z361+'Tot Retail'!Z361</f>
        <v>3785244</v>
      </c>
      <c r="AA361" s="108">
        <f t="shared" ref="AA361" si="246">Z361-C361</f>
        <v>62171</v>
      </c>
      <c r="AB361" s="523">
        <f>Whole!Z349+'Tot Retail'!AB349</f>
        <v>3991565</v>
      </c>
      <c r="BN361" s="4">
        <f t="shared" si="123"/>
        <v>2012</v>
      </c>
      <c r="BO361" s="4">
        <f t="shared" si="124"/>
        <v>9</v>
      </c>
      <c r="BP361" s="108">
        <f>Whole!BP361+Whole!BQ361+'Tot Retail'!BP361</f>
        <v>3504986</v>
      </c>
      <c r="BT361" s="175">
        <f>Whole!BT361+'Tot Retail'!BT361</f>
        <v>3539838.6603330988</v>
      </c>
      <c r="BU361" s="108">
        <f t="shared" ref="BU361" si="247">BT361-BT349</f>
        <v>-111989.03054573806</v>
      </c>
      <c r="BV361" s="108"/>
      <c r="BW361" s="108">
        <f t="shared" ref="BW361" si="248">BT361-BP361</f>
        <v>34852.660333098844</v>
      </c>
    </row>
    <row r="362" spans="1:75">
      <c r="A362" s="4">
        <f t="shared" si="119"/>
        <v>2012</v>
      </c>
      <c r="B362" s="4">
        <f t="shared" si="120"/>
        <v>10</v>
      </c>
      <c r="C362" s="108">
        <f>Whole!C362+Whole!D362+'Tot Retail'!C362</f>
        <v>3491126</v>
      </c>
      <c r="D362" s="108">
        <f>Whole!E362+'Tot Retail'!D362</f>
        <v>1644016</v>
      </c>
      <c r="Y362" s="108">
        <f t="shared" ref="Y362" si="249">Z362-Z350</f>
        <v>-12994</v>
      </c>
      <c r="Z362" s="175">
        <f>Whole!Z362+'Tot Retail'!Z362</f>
        <v>3402798</v>
      </c>
      <c r="AA362" s="108">
        <f t="shared" ref="AA362" si="250">Z362-C362</f>
        <v>-88328</v>
      </c>
      <c r="AB362" s="523">
        <f>Whole!Z350+'Tot Retail'!AB350</f>
        <v>3574670</v>
      </c>
      <c r="BN362" s="4">
        <f t="shared" si="123"/>
        <v>2012</v>
      </c>
      <c r="BO362" s="4">
        <f t="shared" si="124"/>
        <v>10</v>
      </c>
      <c r="BP362" s="108">
        <f>Whole!BP362+Whole!BQ362+'Tot Retail'!BP362</f>
        <v>3203483</v>
      </c>
      <c r="BT362" s="175">
        <f>Whole!BT362+'Tot Retail'!BT362</f>
        <v>3151251.4985592188</v>
      </c>
      <c r="BU362" s="108">
        <f t="shared" ref="BU362" si="251">BT362-BT350</f>
        <v>-82518.306329631712</v>
      </c>
      <c r="BV362" s="108"/>
      <c r="BW362" s="108">
        <f t="shared" ref="BW362" si="252">BT362-BP362</f>
        <v>-52231.501440781169</v>
      </c>
    </row>
    <row r="363" spans="1:75">
      <c r="A363" s="4">
        <f t="shared" si="119"/>
        <v>2012</v>
      </c>
      <c r="B363" s="4">
        <f t="shared" si="120"/>
        <v>11</v>
      </c>
      <c r="C363" s="108">
        <f>Whole!C363+Whole!D363+'Tot Retail'!C363</f>
        <v>3078337</v>
      </c>
      <c r="D363" s="108">
        <f>Whole!E363+'Tot Retail'!D363</f>
        <v>1834839</v>
      </c>
      <c r="Y363" s="108">
        <f t="shared" ref="Y363" si="253">Z363-Z351</f>
        <v>-115947</v>
      </c>
      <c r="Z363" s="175">
        <f>Whole!Z363+'Tot Retail'!Z363</f>
        <v>3073099</v>
      </c>
      <c r="AA363" s="108">
        <f t="shared" ref="AA363" si="254">Z363-C363</f>
        <v>-5238</v>
      </c>
      <c r="AB363" s="523">
        <f>Whole!Z351+'Tot Retail'!AB351</f>
        <v>3024779</v>
      </c>
      <c r="BN363" s="4">
        <f t="shared" si="123"/>
        <v>2012</v>
      </c>
      <c r="BO363" s="4">
        <f t="shared" si="124"/>
        <v>11</v>
      </c>
      <c r="BP363" s="108">
        <f>Whole!BP363+Whole!BQ363+'Tot Retail'!BP363</f>
        <v>2555184</v>
      </c>
      <c r="BT363" s="175">
        <f>Whole!BT363+'Tot Retail'!BT363</f>
        <v>2721843.5411344543</v>
      </c>
      <c r="BU363" s="108">
        <f t="shared" ref="BU363" si="255">BT363-BT351</f>
        <v>-22696.409115441609</v>
      </c>
      <c r="BV363" s="108"/>
      <c r="BW363" s="108">
        <f t="shared" ref="BW363" si="256">BT363-BP363</f>
        <v>166659.54113445431</v>
      </c>
    </row>
    <row r="364" spans="1:75" s="89" customFormat="1">
      <c r="A364" s="89">
        <f t="shared" si="119"/>
        <v>2012</v>
      </c>
      <c r="B364" s="89">
        <f t="shared" si="120"/>
        <v>12</v>
      </c>
      <c r="C364" s="117">
        <f>Whole!C364+Whole!D364+'Tot Retail'!C364</f>
        <v>2602400</v>
      </c>
      <c r="D364" s="117">
        <f>Whole!E364+'Tot Retail'!D364</f>
        <v>1660716</v>
      </c>
      <c r="Y364" s="117">
        <f t="shared" ref="Y364" si="257">Z364-Z352</f>
        <v>-11887</v>
      </c>
      <c r="Z364" s="176">
        <f>Whole!Z364+'Tot Retail'!Z364</f>
        <v>2791020</v>
      </c>
      <c r="AA364" s="117">
        <f t="shared" ref="AA364" si="258">Z364-C364</f>
        <v>188620</v>
      </c>
      <c r="AB364" s="501">
        <f>Whole!Z352+'Tot Retail'!AB352</f>
        <v>2816043</v>
      </c>
      <c r="BN364" s="89">
        <f t="shared" si="123"/>
        <v>2012</v>
      </c>
      <c r="BO364" s="89">
        <f t="shared" si="124"/>
        <v>12</v>
      </c>
      <c r="BP364" s="117">
        <f>Whole!BP364+Whole!BQ364+'Tot Retail'!BP364</f>
        <v>2861627</v>
      </c>
      <c r="BT364" s="176">
        <f>Whole!BT364+'Tot Retail'!BT364</f>
        <v>2896766.561505069</v>
      </c>
      <c r="BU364" s="117">
        <f t="shared" ref="BU364" si="259">BT364-BT352</f>
        <v>66857.24522520043</v>
      </c>
      <c r="BV364" s="117"/>
      <c r="BW364" s="117">
        <f t="shared" ref="BW364" si="260">BT364-BP364</f>
        <v>35139.561505069025</v>
      </c>
    </row>
    <row r="365" spans="1:75">
      <c r="A365" s="4">
        <f t="shared" si="119"/>
        <v>2013</v>
      </c>
      <c r="B365" s="4">
        <f t="shared" si="120"/>
        <v>1</v>
      </c>
      <c r="C365" s="108">
        <f>Whole!C365+Whole!D365+'Tot Retail'!C365</f>
        <v>2730720</v>
      </c>
      <c r="D365" s="108">
        <f>Whole!E365+'Tot Retail'!D365</f>
        <v>1571101</v>
      </c>
      <c r="Y365" s="108">
        <f t="shared" ref="Y365" si="261">Z365-Z353</f>
        <v>-29774</v>
      </c>
      <c r="Z365" s="175">
        <f>Whole!Z365+'Tot Retail'!Z365</f>
        <v>2821367</v>
      </c>
      <c r="AA365" s="108">
        <f t="shared" ref="AA365" si="262">Z365-C365</f>
        <v>90647</v>
      </c>
      <c r="AB365" s="523">
        <f>Whole!Z353+'Tot Retail'!AB353</f>
        <v>2906159</v>
      </c>
      <c r="BN365" s="4">
        <f t="shared" si="123"/>
        <v>2013</v>
      </c>
      <c r="BO365" s="4">
        <f t="shared" si="124"/>
        <v>1</v>
      </c>
      <c r="BP365" s="108">
        <f>Whole!BP365+Whole!BQ365+'Tot Retail'!BP365</f>
        <v>2650524</v>
      </c>
      <c r="BT365" s="175">
        <f>Whole!BT365+'Tot Retail'!BT365</f>
        <v>2835084.7567254519</v>
      </c>
      <c r="BU365" s="108">
        <f t="shared" ref="BU365" si="263">BT365-BT353</f>
        <v>-131046.18511324748</v>
      </c>
      <c r="BV365" s="108"/>
      <c r="BW365" s="108">
        <f t="shared" ref="BW365" si="264">BT365-BP365</f>
        <v>184560.75672545191</v>
      </c>
    </row>
    <row r="366" spans="1:75">
      <c r="A366" s="4">
        <f t="shared" si="119"/>
        <v>2013</v>
      </c>
      <c r="B366" s="4">
        <f t="shared" si="120"/>
        <v>2</v>
      </c>
      <c r="C366" s="108">
        <f>Whole!C366+Whole!D366+'Tot Retail'!C366</f>
        <v>2647125</v>
      </c>
      <c r="D366" s="108">
        <f>Whole!E366+'Tot Retail'!D366</f>
        <v>1661134</v>
      </c>
      <c r="Y366" s="108">
        <f t="shared" ref="Y366" si="265">Z366-Z354</f>
        <v>62440</v>
      </c>
      <c r="Z366" s="175">
        <f>Whole!Z366+'Tot Retail'!Z366</f>
        <v>2773839</v>
      </c>
      <c r="AA366" s="108">
        <f t="shared" ref="AA366" si="266">Z366-C366</f>
        <v>126714</v>
      </c>
      <c r="AB366" s="523">
        <f>Whole!Z354+'Tot Retail'!AB354</f>
        <v>2789349</v>
      </c>
      <c r="BN366" s="4">
        <f t="shared" si="123"/>
        <v>2013</v>
      </c>
      <c r="BO366" s="4">
        <f t="shared" si="124"/>
        <v>2</v>
      </c>
      <c r="BP366" s="108">
        <f>Whole!BP366+Whole!BQ366+'Tot Retail'!BP366</f>
        <v>2523003</v>
      </c>
      <c r="BT366" s="175">
        <f>Whole!BT366+'Tot Retail'!BT366</f>
        <v>2556713.8586858232</v>
      </c>
      <c r="BU366" s="108">
        <f t="shared" ref="BU366" si="267">BT366-BT354</f>
        <v>-111846.79928338621</v>
      </c>
      <c r="BV366" s="108"/>
      <c r="BW366" s="108">
        <f t="shared" ref="BW366" si="268">BT366-BP366</f>
        <v>33710.858685823157</v>
      </c>
    </row>
    <row r="367" spans="1:75">
      <c r="A367" s="4">
        <f t="shared" si="119"/>
        <v>2013</v>
      </c>
      <c r="B367" s="4">
        <f t="shared" si="120"/>
        <v>3</v>
      </c>
      <c r="C367" s="108">
        <f>Whole!C367+Whole!D367+'Tot Retail'!C367</f>
        <v>2621508</v>
      </c>
      <c r="D367" s="108">
        <f>Whole!E367+'Tot Retail'!D367</f>
        <v>1587608</v>
      </c>
      <c r="Y367" s="108">
        <f t="shared" ref="Y367" si="269">Z367-Z355</f>
        <v>-171927</v>
      </c>
      <c r="Z367" s="175">
        <f>Whole!Z367+'Tot Retail'!Z367</f>
        <v>2582612</v>
      </c>
      <c r="AA367" s="108">
        <f t="shared" ref="AA367" si="270">Z367-C367</f>
        <v>-38896</v>
      </c>
      <c r="AB367" s="523">
        <f>Whole!Z355+'Tot Retail'!AB355</f>
        <v>2753822</v>
      </c>
      <c r="BN367" s="4">
        <f t="shared" si="123"/>
        <v>2013</v>
      </c>
      <c r="BO367" s="4">
        <f t="shared" si="124"/>
        <v>3</v>
      </c>
      <c r="BP367" s="108">
        <f>Whole!BP367+Whole!BQ367+'Tot Retail'!BP367</f>
        <v>2827264</v>
      </c>
      <c r="BT367" s="175">
        <f>Whole!BT367+'Tot Retail'!BT367</f>
        <v>2746540.1741222115</v>
      </c>
      <c r="BU367" s="108">
        <f t="shared" ref="BU367" si="271">BT367-BT355</f>
        <v>-19643.934021322522</v>
      </c>
      <c r="BV367" s="108"/>
      <c r="BW367" s="108">
        <f t="shared" ref="BW367" si="272">BT367-BP367</f>
        <v>-80723.825877788477</v>
      </c>
    </row>
    <row r="368" spans="1:75">
      <c r="A368" s="4">
        <f t="shared" si="119"/>
        <v>2013</v>
      </c>
      <c r="B368" s="4">
        <f t="shared" si="120"/>
        <v>4</v>
      </c>
      <c r="C368" s="108">
        <f>Whole!C368+Whole!D368+'Tot Retail'!C368</f>
        <v>2773269</v>
      </c>
      <c r="D368" s="108">
        <f>Whole!E368+'Tot Retail'!D368</f>
        <v>1666331</v>
      </c>
      <c r="Y368" s="108">
        <f t="shared" ref="Y368" si="273">Z368-Z356</f>
        <v>-94765</v>
      </c>
      <c r="Z368" s="175">
        <f>Whole!Z368+'Tot Retail'!Z368</f>
        <v>2710743</v>
      </c>
      <c r="AA368" s="108">
        <f t="shared" ref="AA368" si="274">Z368-C368</f>
        <v>-62526</v>
      </c>
      <c r="AB368" s="523">
        <f>Whole!Z356+'Tot Retail'!AB356</f>
        <v>2822832</v>
      </c>
      <c r="BN368" s="4">
        <f t="shared" si="123"/>
        <v>2013</v>
      </c>
      <c r="BO368" s="4">
        <f t="shared" si="124"/>
        <v>4</v>
      </c>
      <c r="BP368" s="108">
        <f>Whole!BP368+Whole!BQ368+'Tot Retail'!BP368</f>
        <v>2935923</v>
      </c>
      <c r="BT368" s="175">
        <f>Whole!BT368+'Tot Retail'!BT368</f>
        <v>2818186.5821092678</v>
      </c>
      <c r="BU368" s="108">
        <f t="shared" ref="BU368" si="275">BT368-BT356</f>
        <v>-89068.484045426827</v>
      </c>
      <c r="BV368" s="108"/>
      <c r="BW368" s="108">
        <f t="shared" ref="BW368" si="276">BT368-BP368</f>
        <v>-117736.41789073218</v>
      </c>
    </row>
    <row r="369" spans="1:75">
      <c r="A369" s="4">
        <f t="shared" si="119"/>
        <v>2013</v>
      </c>
      <c r="B369" s="4">
        <f t="shared" si="120"/>
        <v>5</v>
      </c>
      <c r="C369" s="108">
        <f>Whole!C369+Whole!D369+'Tot Retail'!C369</f>
        <v>3142695</v>
      </c>
      <c r="D369" s="108">
        <f>Whole!E369+'Tot Retail'!D369</f>
        <v>1753260</v>
      </c>
      <c r="Y369" s="108">
        <f t="shared" ref="Y369" si="277">Z369-Z357</f>
        <v>113386</v>
      </c>
      <c r="Z369" s="175">
        <f>Whole!Z369+'Tot Retail'!Z369</f>
        <v>3111941</v>
      </c>
      <c r="AA369" s="108">
        <f t="shared" ref="AA369" si="278">Z369-C369</f>
        <v>-30754</v>
      </c>
      <c r="AB369" s="523">
        <f>Whole!Z357+'Tot Retail'!AB357</f>
        <v>2985187</v>
      </c>
      <c r="BN369" s="4">
        <f t="shared" si="123"/>
        <v>2013</v>
      </c>
      <c r="BO369" s="4">
        <f t="shared" si="124"/>
        <v>5</v>
      </c>
      <c r="BP369" s="108">
        <f>Whole!BP369+Whole!BQ369+'Tot Retail'!BP369</f>
        <v>3235552</v>
      </c>
      <c r="BT369" s="175">
        <f>Whole!BT369+'Tot Retail'!BT369</f>
        <v>3425866.0906788856</v>
      </c>
      <c r="BU369" s="108">
        <f t="shared" ref="BU369" si="279">BT369-BT357</f>
        <v>40454.745913029648</v>
      </c>
      <c r="BV369" s="108"/>
      <c r="BW369" s="108">
        <f t="shared" ref="BW369" si="280">BT369-BP369</f>
        <v>190314.09067888558</v>
      </c>
    </row>
    <row r="370" spans="1:75">
      <c r="A370" s="4">
        <f t="shared" si="119"/>
        <v>2013</v>
      </c>
      <c r="B370" s="4">
        <f t="shared" si="120"/>
        <v>6</v>
      </c>
      <c r="C370" s="108">
        <f>Whole!C370+Whole!D370+'Tot Retail'!C370</f>
        <v>3454057</v>
      </c>
      <c r="D370" s="108">
        <f>Whole!E370+'Tot Retail'!D370</f>
        <v>1677700</v>
      </c>
      <c r="Y370" s="108">
        <f t="shared" ref="Y370" si="281">Z370-Z358</f>
        <v>-3969</v>
      </c>
      <c r="Z370" s="175">
        <f>Whole!Z370+'Tot Retail'!Z370</f>
        <v>3541665</v>
      </c>
      <c r="AA370" s="108">
        <f t="shared" ref="AA370" si="282">Z370-C370</f>
        <v>87608</v>
      </c>
      <c r="AB370" s="523">
        <f>Whole!Z358+'Tot Retail'!AB358</f>
        <v>3511041</v>
      </c>
      <c r="BN370" s="4">
        <f t="shared" si="123"/>
        <v>2013</v>
      </c>
      <c r="BO370" s="4">
        <f t="shared" si="124"/>
        <v>6</v>
      </c>
      <c r="BP370" s="108">
        <f>Whole!BP370+Whole!BQ370+'Tot Retail'!BP370</f>
        <v>3661087</v>
      </c>
      <c r="BT370" s="175">
        <f>Whole!BT370+'Tot Retail'!BT370</f>
        <v>3567906.6840482056</v>
      </c>
      <c r="BU370" s="108">
        <f t="shared" ref="BU370" si="283">BT370-BT358</f>
        <v>-8638.0795041793026</v>
      </c>
      <c r="BV370" s="108"/>
      <c r="BW370" s="108">
        <f t="shared" ref="BW370" si="284">BT370-BP370</f>
        <v>-93180.315951794386</v>
      </c>
    </row>
    <row r="371" spans="1:75">
      <c r="A371" s="4">
        <f t="shared" si="119"/>
        <v>2013</v>
      </c>
      <c r="B371" s="4">
        <f t="shared" si="120"/>
        <v>7</v>
      </c>
      <c r="C371" s="108">
        <f>Whole!C371+Whole!D371+'Tot Retail'!C371</f>
        <v>3732543</v>
      </c>
      <c r="D371" s="108">
        <f>Whole!E371+'Tot Retail'!D371</f>
        <v>1679755</v>
      </c>
      <c r="Y371" s="108">
        <f t="shared" ref="Y371" si="285">Z371-Z359</f>
        <v>125134</v>
      </c>
      <c r="Z371" s="175">
        <f>Whole!Z371+'Tot Retail'!Z371</f>
        <v>3733727</v>
      </c>
      <c r="AA371" s="108">
        <f t="shared" ref="AA371" si="286">Z371-C371</f>
        <v>1184</v>
      </c>
      <c r="AB371" s="523">
        <f>Whole!Z359+'Tot Retail'!AB359</f>
        <v>3720522</v>
      </c>
      <c r="BN371" s="4">
        <f t="shared" si="123"/>
        <v>2013</v>
      </c>
      <c r="BO371" s="4">
        <f t="shared" si="124"/>
        <v>7</v>
      </c>
      <c r="BP371" s="108">
        <f>Whole!BP371+Whole!BQ371+'Tot Retail'!BP371</f>
        <v>3705157</v>
      </c>
      <c r="BT371" s="175">
        <f>Whole!BT371+'Tot Retail'!BT371</f>
        <v>3789881.7067800732</v>
      </c>
      <c r="BU371" s="108">
        <f t="shared" ref="BU371" si="287">BT371-BT359</f>
        <v>-167817.58563496545</v>
      </c>
      <c r="BV371" s="108"/>
      <c r="BW371" s="108">
        <f t="shared" ref="BW371" si="288">BT371-BP371</f>
        <v>84724.706780073233</v>
      </c>
    </row>
    <row r="372" spans="1:75">
      <c r="A372" s="4">
        <f t="shared" si="119"/>
        <v>2013</v>
      </c>
      <c r="B372" s="4">
        <f t="shared" si="120"/>
        <v>8</v>
      </c>
      <c r="C372" s="108">
        <f>Whole!C372+Whole!D372+'Tot Retail'!C372</f>
        <v>3608097</v>
      </c>
      <c r="D372" s="108">
        <f>Whole!E372+'Tot Retail'!D372</f>
        <v>1589990</v>
      </c>
      <c r="Y372" s="108">
        <f t="shared" ref="Y372" si="289">Z372-Z360</f>
        <v>-425503</v>
      </c>
      <c r="Z372" s="175">
        <f>Whole!Z372+'Tot Retail'!Z372</f>
        <v>3640417</v>
      </c>
      <c r="AA372" s="108">
        <f t="shared" ref="AA372" si="290">Z372-C372</f>
        <v>32320</v>
      </c>
      <c r="AB372" s="523">
        <f>Whole!Z360+'Tot Retail'!AB360</f>
        <v>3961625</v>
      </c>
      <c r="BN372" s="4">
        <f t="shared" si="123"/>
        <v>2013</v>
      </c>
      <c r="BO372" s="4">
        <f t="shared" si="124"/>
        <v>8</v>
      </c>
      <c r="BP372" s="108">
        <f>Whole!BP372+Whole!BQ372+'Tot Retail'!BP372</f>
        <v>3966654</v>
      </c>
      <c r="BT372" s="175">
        <f>Whole!BT372+'Tot Retail'!BT372</f>
        <v>3843508.5575346118</v>
      </c>
      <c r="BU372" s="108">
        <f t="shared" ref="BU372" si="291">BT372-BT360</f>
        <v>-139842.56488148868</v>
      </c>
      <c r="BV372" s="108"/>
      <c r="BW372" s="108">
        <f t="shared" ref="BW372" si="292">BT372-BP372</f>
        <v>-123145.44246538822</v>
      </c>
    </row>
    <row r="373" spans="1:75">
      <c r="A373" s="4">
        <f t="shared" si="119"/>
        <v>2013</v>
      </c>
      <c r="B373" s="4">
        <f t="shared" si="120"/>
        <v>9</v>
      </c>
      <c r="C373" s="108">
        <f>Whole!C373+Whole!D373+'Tot Retail'!C373</f>
        <v>3867230</v>
      </c>
      <c r="D373" s="108">
        <f>Whole!E373+'Tot Retail'!D373</f>
        <v>1671272</v>
      </c>
      <c r="Y373" s="108">
        <f t="shared" ref="Y373:Y374" si="293">Z373-Z361</f>
        <v>-1061</v>
      </c>
      <c r="Z373" s="175">
        <f>Whole!Z373+'Tot Retail'!Z373</f>
        <v>3784183</v>
      </c>
      <c r="AA373" s="108">
        <f t="shared" ref="AA373:AA374" si="294">Z373-C373</f>
        <v>-83047</v>
      </c>
      <c r="AB373" s="523">
        <f>Whole!Z361+'Tot Retail'!AB361</f>
        <v>3876362</v>
      </c>
      <c r="BN373" s="4">
        <f t="shared" si="123"/>
        <v>2013</v>
      </c>
      <c r="BO373" s="4">
        <f t="shared" si="124"/>
        <v>9</v>
      </c>
      <c r="BP373" s="108">
        <f>Whole!BP373+Whole!BQ373+'Tot Retail'!BP373</f>
        <v>3586510</v>
      </c>
      <c r="BT373" s="175">
        <f>Whole!BT373+'Tot Retail'!BT373</f>
        <v>3592526.9255687823</v>
      </c>
      <c r="BU373" s="108">
        <f t="shared" ref="BU373:BU374" si="295">BT373-BT361</f>
        <v>52688.265235683415</v>
      </c>
      <c r="BV373" s="108"/>
      <c r="BW373" s="108">
        <f t="shared" ref="BW373:BW374" si="296">BT373-BP373</f>
        <v>6016.9255687822588</v>
      </c>
    </row>
    <row r="374" spans="1:75">
      <c r="A374" s="4">
        <f t="shared" si="119"/>
        <v>2013</v>
      </c>
      <c r="B374" s="4">
        <f t="shared" si="120"/>
        <v>10</v>
      </c>
      <c r="C374" s="108">
        <f>Whole!C374+Whole!D374+'Tot Retail'!C374</f>
        <v>3538479</v>
      </c>
      <c r="D374" s="108">
        <f>Whole!E374+'Tot Retail'!D374</f>
        <v>1686866</v>
      </c>
      <c r="Y374" s="108">
        <f t="shared" si="293"/>
        <v>52403</v>
      </c>
      <c r="Z374" s="175">
        <f>Whole!Z374+'Tot Retail'!Z374</f>
        <v>3455201</v>
      </c>
      <c r="AA374" s="108">
        <f t="shared" si="294"/>
        <v>-83278</v>
      </c>
      <c r="AB374" s="523">
        <f>Whole!Z362+'Tot Retail'!AB362</f>
        <v>3433484</v>
      </c>
      <c r="BN374" s="4">
        <f t="shared" si="123"/>
        <v>2013</v>
      </c>
      <c r="BO374" s="4">
        <f t="shared" si="124"/>
        <v>10</v>
      </c>
      <c r="BP374" s="108">
        <f>Whole!BP374+Whole!BQ374+'Tot Retail'!BP374</f>
        <v>3285221</v>
      </c>
      <c r="BT374" s="175">
        <f>Whole!BT374+'Tot Retail'!BT374</f>
        <v>3166655.5955704502</v>
      </c>
      <c r="BU374" s="108">
        <f t="shared" si="295"/>
        <v>15404.097011231352</v>
      </c>
      <c r="BV374" s="108"/>
      <c r="BW374" s="108">
        <f t="shared" si="296"/>
        <v>-118565.40442954982</v>
      </c>
    </row>
    <row r="375" spans="1:75">
      <c r="A375" s="4">
        <f t="shared" si="119"/>
        <v>2013</v>
      </c>
      <c r="B375" s="4">
        <f t="shared" si="120"/>
        <v>11</v>
      </c>
      <c r="C375" s="108">
        <f>Whole!C375+Whole!D375+'Tot Retail'!C375</f>
        <v>3083421</v>
      </c>
      <c r="D375" s="108">
        <f>Whole!E375+'Tot Retail'!D375</f>
        <v>1780185</v>
      </c>
      <c r="Y375" s="108">
        <f t="shared" ref="Y375" si="297">Z375-Z363</f>
        <v>-119259</v>
      </c>
      <c r="Z375" s="175">
        <f>Whole!Z375+'Tot Retail'!Z375</f>
        <v>2953840</v>
      </c>
      <c r="AA375" s="108">
        <f t="shared" ref="AA375" si="298">Z375-C375</f>
        <v>-129581</v>
      </c>
      <c r="AB375" s="523">
        <f>Whole!Z363+'Tot Retail'!AB363</f>
        <v>2888438</v>
      </c>
      <c r="BN375" s="4">
        <f t="shared" si="123"/>
        <v>2013</v>
      </c>
      <c r="BO375" s="4">
        <f t="shared" si="124"/>
        <v>11</v>
      </c>
      <c r="BP375" s="108">
        <f>Whole!BP375+Whole!BQ375+'Tot Retail'!BP375</f>
        <v>2770775</v>
      </c>
      <c r="BT375" s="175">
        <f>Whole!BT375+'Tot Retail'!BT375</f>
        <v>2674084.3755538133</v>
      </c>
      <c r="BU375" s="108">
        <f t="shared" ref="BU375" si="299">BT375-BT363</f>
        <v>-47759.165580641013</v>
      </c>
      <c r="BV375" s="108"/>
      <c r="BW375" s="108">
        <f t="shared" ref="BW375" si="300">BT375-BP375</f>
        <v>-96690.624446186703</v>
      </c>
    </row>
    <row r="376" spans="1:75">
      <c r="A376" s="4">
        <f t="shared" si="119"/>
        <v>2013</v>
      </c>
      <c r="B376" s="4">
        <f t="shared" si="120"/>
        <v>12</v>
      </c>
      <c r="C376" s="108">
        <f>Whole!C376+Whole!D376+'Tot Retail'!C376</f>
        <v>2905340</v>
      </c>
      <c r="D376" s="108">
        <f>Whole!E376+'Tot Retail'!D376</f>
        <v>1861159</v>
      </c>
      <c r="Y376" s="108">
        <f t="shared" ref="Y376" si="301">Z376-Z364</f>
        <v>121212</v>
      </c>
      <c r="Z376" s="175">
        <f>Whole!Z376+'Tot Retail'!Z376</f>
        <v>2912232</v>
      </c>
      <c r="AA376" s="108">
        <f t="shared" ref="AA376" si="302">Z376-C376</f>
        <v>6892</v>
      </c>
      <c r="AB376" s="523">
        <f>Whole!Z364+'Tot Retail'!AB364</f>
        <v>2794888</v>
      </c>
      <c r="BN376" s="4">
        <f t="shared" si="123"/>
        <v>2013</v>
      </c>
      <c r="BO376" s="4">
        <f t="shared" si="124"/>
        <v>12</v>
      </c>
      <c r="BP376" s="108">
        <f>Whole!BP376+Whole!BQ376+'Tot Retail'!BP376</f>
        <v>2766661</v>
      </c>
      <c r="BT376" s="175">
        <f>Whole!BT376+'Tot Retail'!BT376</f>
        <v>2880742.6352396244</v>
      </c>
      <c r="BU376" s="108">
        <f t="shared" ref="BU376" si="303">BT376-BT364</f>
        <v>-16023.926265444607</v>
      </c>
      <c r="BV376" s="108"/>
      <c r="BW376" s="108">
        <f t="shared" ref="BW376" si="304">BT376-BP376</f>
        <v>114081.63523962442</v>
      </c>
    </row>
    <row r="377" spans="1:75">
      <c r="A377" s="4">
        <f t="shared" si="119"/>
        <v>2014</v>
      </c>
      <c r="B377" s="4">
        <f t="shared" si="120"/>
        <v>1</v>
      </c>
    </row>
  </sheetData>
  <phoneticPr fontId="4" type="noConversion"/>
  <pageMargins left="0.75" right="0.75" top="1" bottom="1" header="0.5" footer="0.5"/>
  <pageSetup orientation="portrait" r:id="rId1"/>
  <headerFooter alignWithMargins="0">
    <oddFooter>&amp;R14LGBRA-NRGPOD1-6-DOC 33
14BGBRA-STAFFROG1-19A-DOC 33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O377"/>
  <sheetViews>
    <sheetView tabSelected="1" topLeftCell="A3" zoomScale="80" zoomScaleNormal="80" workbookViewId="0">
      <selection activeCell="AW37" sqref="AW37"/>
    </sheetView>
  </sheetViews>
  <sheetFormatPr defaultColWidth="8.88671875" defaultRowHeight="12.75"/>
  <cols>
    <col min="1" max="1" width="6.5546875" style="4" customWidth="1"/>
    <col min="2" max="2" width="3.5546875" style="4" bestFit="1" customWidth="1"/>
    <col min="3" max="3" width="9" style="4" bestFit="1" customWidth="1"/>
    <col min="4" max="4" width="8.6640625" style="4" bestFit="1" customWidth="1"/>
    <col min="5" max="5" width="7.77734375" style="4" customWidth="1"/>
    <col min="6" max="25" width="1.5546875" style="4" customWidth="1"/>
    <col min="26" max="26" width="9" style="4" bestFit="1" customWidth="1"/>
    <col min="27" max="27" width="3" style="4" customWidth="1"/>
    <col min="28" max="28" width="7.44140625" style="4" bestFit="1" customWidth="1"/>
    <col min="29" max="37" width="1.5546875" style="4" customWidth="1"/>
    <col min="38" max="38" width="5.21875" style="4" bestFit="1" customWidth="1"/>
    <col min="39" max="39" width="9" style="4" bestFit="1" customWidth="1"/>
    <col min="40" max="42" width="8.6640625" style="4" bestFit="1" customWidth="1"/>
    <col min="43" max="43" width="7" style="4" bestFit="1" customWidth="1"/>
    <col min="44" max="44" width="7.109375" style="4" bestFit="1" customWidth="1"/>
    <col min="45" max="45" width="5.77734375" style="4" bestFit="1" customWidth="1"/>
    <col min="46" max="48" width="2.5546875" style="4" customWidth="1"/>
    <col min="49" max="49" width="10.33203125" style="4" bestFit="1" customWidth="1"/>
    <col min="50" max="50" width="5.77734375" style="4" bestFit="1" customWidth="1"/>
    <col min="51" max="62" width="1.109375" style="4" customWidth="1"/>
    <col min="63" max="63" width="6.21875" style="4" bestFit="1" customWidth="1"/>
    <col min="64" max="65" width="1.109375" style="4" customWidth="1"/>
    <col min="66" max="66" width="5.77734375" style="4" bestFit="1" customWidth="1"/>
    <col min="67" max="67" width="3.21875" style="4" bestFit="1" customWidth="1"/>
    <col min="68" max="68" width="9" style="4" bestFit="1" customWidth="1"/>
    <col min="69" max="69" width="10.21875" style="4" customWidth="1"/>
    <col min="70" max="71" width="2.88671875" style="4" customWidth="1"/>
    <col min="72" max="72" width="8.88671875" style="4"/>
    <col min="73" max="73" width="2.6640625" style="4" customWidth="1"/>
    <col min="74" max="74" width="8.88671875" style="4" customWidth="1"/>
    <col min="75" max="75" width="6.6640625" style="4" customWidth="1"/>
    <col min="76" max="76" width="7.88671875" style="4" customWidth="1"/>
    <col min="77" max="77" width="6.88671875" style="4" customWidth="1"/>
    <col min="78" max="78" width="7.44140625" style="4" bestFit="1" customWidth="1"/>
    <col min="79" max="85" width="2.5546875" style="4" customWidth="1"/>
    <col min="86" max="87" width="8.77734375" style="4" bestFit="1" customWidth="1"/>
    <col min="88" max="88" width="12.6640625" style="4" bestFit="1" customWidth="1"/>
    <col min="89" max="89" width="8.88671875" style="4"/>
    <col min="90" max="90" width="11.109375" style="4" bestFit="1" customWidth="1"/>
    <col min="91" max="16384" width="8.88671875" style="4"/>
  </cols>
  <sheetData>
    <row r="1" spans="1:91" ht="18">
      <c r="A1" s="428" t="s">
        <v>262</v>
      </c>
      <c r="AL1" s="7" t="s">
        <v>263</v>
      </c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</row>
    <row r="2" spans="1:91">
      <c r="AL2" s="7" t="s">
        <v>244</v>
      </c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</row>
    <row r="5" spans="1:91">
      <c r="AM5" s="24" t="s">
        <v>208</v>
      </c>
      <c r="AN5" s="65" t="s">
        <v>134</v>
      </c>
      <c r="AO5" s="65" t="s">
        <v>133</v>
      </c>
      <c r="AP5" s="16" t="s">
        <v>137</v>
      </c>
      <c r="AQ5" s="17"/>
      <c r="AR5" s="18"/>
      <c r="AS5" s="17"/>
      <c r="AT5" s="19"/>
      <c r="AU5" s="18"/>
      <c r="AV5" s="17"/>
      <c r="AW5" s="20"/>
      <c r="AX5" s="21"/>
      <c r="CI5" s="433" t="s">
        <v>130</v>
      </c>
      <c r="CJ5" s="306" t="s">
        <v>199</v>
      </c>
      <c r="CL5" s="23"/>
    </row>
    <row r="6" spans="1:91">
      <c r="AM6" s="122" t="s">
        <v>136</v>
      </c>
      <c r="AN6" s="122" t="s">
        <v>136</v>
      </c>
      <c r="AO6" s="122" t="s">
        <v>136</v>
      </c>
      <c r="AP6" s="25" t="s">
        <v>3</v>
      </c>
      <c r="AQ6" s="26"/>
      <c r="AR6" s="27"/>
      <c r="AS6" s="26"/>
      <c r="AT6" s="162"/>
      <c r="AW6" s="27" t="s">
        <v>3</v>
      </c>
      <c r="AX6" s="26"/>
      <c r="CJ6" s="30" t="s">
        <v>3</v>
      </c>
      <c r="CK6" s="29" t="s">
        <v>40</v>
      </c>
      <c r="CL6" s="29" t="s">
        <v>40</v>
      </c>
    </row>
    <row r="7" spans="1:91">
      <c r="AL7" s="31" t="s">
        <v>8</v>
      </c>
      <c r="AM7" s="32" t="s">
        <v>4</v>
      </c>
      <c r="AN7" s="32" t="s">
        <v>4</v>
      </c>
      <c r="AO7" s="32" t="s">
        <v>4</v>
      </c>
      <c r="AP7" s="163" t="s">
        <v>122</v>
      </c>
      <c r="AQ7" s="33" t="s">
        <v>9</v>
      </c>
      <c r="AR7" s="164" t="s">
        <v>123</v>
      </c>
      <c r="AS7" s="33" t="s">
        <v>9</v>
      </c>
      <c r="AT7" s="164"/>
      <c r="AW7" s="164" t="s">
        <v>138</v>
      </c>
      <c r="AX7" s="33" t="s">
        <v>9</v>
      </c>
      <c r="CI7" s="34" t="s">
        <v>8</v>
      </c>
      <c r="CJ7" s="37" t="s">
        <v>139</v>
      </c>
      <c r="CK7" s="36" t="s">
        <v>134</v>
      </c>
      <c r="CL7" s="35" t="s">
        <v>133</v>
      </c>
      <c r="CM7" s="36" t="s">
        <v>42</v>
      </c>
    </row>
    <row r="8" spans="1:91">
      <c r="AL8" s="4">
        <v>1984</v>
      </c>
      <c r="AM8" s="108">
        <f>ROUND(SUM(Z17:Z28),0)</f>
        <v>2114097</v>
      </c>
      <c r="AN8" s="108">
        <f>ROUND(SUM(D17:D28),0)</f>
        <v>1607536</v>
      </c>
      <c r="AO8" s="108">
        <f>AM8-AN8</f>
        <v>506561</v>
      </c>
      <c r="AP8" s="39">
        <f>ROUND(SUM(Z17:Z28),0)</f>
        <v>2114097</v>
      </c>
      <c r="AQ8" s="26"/>
      <c r="AR8" s="39">
        <f>ROUND(AVERAGE(E17:E28),0)</f>
        <v>46</v>
      </c>
      <c r="AS8" s="26"/>
      <c r="AT8" s="39"/>
      <c r="AW8" s="39">
        <f t="shared" ref="AW8:AW27" si="0">ROUND((AP8/AR8*1000),0)</f>
        <v>45958630</v>
      </c>
      <c r="AX8" s="26"/>
      <c r="CI8" s="22">
        <v>1984</v>
      </c>
    </row>
    <row r="9" spans="1:91">
      <c r="AL9" s="4">
        <v>1985</v>
      </c>
      <c r="AM9" s="108">
        <f>ROUND(SUM(Z29:Z40),0)</f>
        <v>1757139</v>
      </c>
      <c r="AN9" s="108">
        <f>ROUND(SUM(D29:D40),0)</f>
        <v>1737438</v>
      </c>
      <c r="AO9" s="108">
        <f t="shared" ref="AO9:AO30" si="1">AM9-AN9</f>
        <v>19701</v>
      </c>
      <c r="AP9" s="39">
        <f>ROUND(SUM(Z29:Z40),0)</f>
        <v>1757139</v>
      </c>
      <c r="AQ9" s="43">
        <f t="shared" ref="AQ9:AQ27" si="2">(AP9/AP8-1)*100</f>
        <v>-16.884655718257015</v>
      </c>
      <c r="AR9" s="39">
        <f>ROUND(AVERAGE(E29:E40),0)</f>
        <v>23</v>
      </c>
      <c r="AS9" s="43">
        <f t="shared" ref="AS9:AS27" si="3">(AR9/AR8-1)*100</f>
        <v>-50</v>
      </c>
      <c r="AT9" s="39"/>
      <c r="AW9" s="39">
        <f t="shared" si="0"/>
        <v>76397348</v>
      </c>
      <c r="AX9" s="43">
        <f t="shared" ref="AX9:AX27" si="4">(AW9/AW8-1)*100</f>
        <v>66.230690514490973</v>
      </c>
      <c r="CI9" s="22">
        <v>1985</v>
      </c>
    </row>
    <row r="10" spans="1:91">
      <c r="AL10" s="4">
        <v>1986</v>
      </c>
      <c r="AM10" s="108">
        <f>ROUND(SUM(Z41:Z52),0)</f>
        <v>1407538</v>
      </c>
      <c r="AN10" s="108">
        <f>ROUND(SUM(D41:D52),0)</f>
        <v>1391918</v>
      </c>
      <c r="AO10" s="108">
        <f t="shared" si="1"/>
        <v>15620</v>
      </c>
      <c r="AP10" s="39">
        <f>ROUND(SUM(Z41:Z52),0)</f>
        <v>1407538</v>
      </c>
      <c r="AQ10" s="43">
        <f t="shared" si="2"/>
        <v>-19.896035544143064</v>
      </c>
      <c r="AR10" s="39">
        <f>ROUND(AVERAGE(E41:E52),0)</f>
        <v>17</v>
      </c>
      <c r="AS10" s="43">
        <f t="shared" si="3"/>
        <v>-26.086956521739136</v>
      </c>
      <c r="AT10" s="39"/>
      <c r="AW10" s="39">
        <f t="shared" si="0"/>
        <v>82796353</v>
      </c>
      <c r="AX10" s="43">
        <f t="shared" si="4"/>
        <v>8.3759517411520648</v>
      </c>
      <c r="CI10" s="22">
        <v>1986</v>
      </c>
    </row>
    <row r="11" spans="1:91">
      <c r="AL11" s="4">
        <v>1987</v>
      </c>
      <c r="AM11" s="108">
        <f>ROUND(SUM(Z53:Z64),0)</f>
        <v>1440889</v>
      </c>
      <c r="AN11" s="108">
        <f>ROUND(SUM(D53:D64),0)</f>
        <v>1392546</v>
      </c>
      <c r="AO11" s="108">
        <f t="shared" si="1"/>
        <v>48343</v>
      </c>
      <c r="AP11" s="39">
        <f>ROUND(SUM(Z53:Z64),0)</f>
        <v>1440889</v>
      </c>
      <c r="AQ11" s="43">
        <f t="shared" si="2"/>
        <v>2.3694564551720809</v>
      </c>
      <c r="AR11" s="39">
        <f>ROUND(AVERAGE(E53:E64),0)</f>
        <v>17</v>
      </c>
      <c r="AS11" s="43">
        <f t="shared" si="3"/>
        <v>0</v>
      </c>
      <c r="AT11" s="39"/>
      <c r="AW11" s="39">
        <f t="shared" si="0"/>
        <v>84758176</v>
      </c>
      <c r="AX11" s="43">
        <f t="shared" si="4"/>
        <v>2.3694558140743283</v>
      </c>
      <c r="CI11" s="22">
        <v>1987</v>
      </c>
    </row>
    <row r="12" spans="1:91">
      <c r="AL12" s="4">
        <v>1988</v>
      </c>
      <c r="AM12" s="108">
        <f>ROUND(SUM(Z65:Z76),0)</f>
        <v>1432392</v>
      </c>
      <c r="AN12" s="108">
        <f>ROUND(SUM(D65:D76),0)</f>
        <v>1342785</v>
      </c>
      <c r="AO12" s="108">
        <f t="shared" si="1"/>
        <v>89607</v>
      </c>
      <c r="AP12" s="39">
        <f>ROUND(SUM(Z65:Z76),0)</f>
        <v>1432392</v>
      </c>
      <c r="AQ12" s="43">
        <f t="shared" si="2"/>
        <v>-0.58970538327379751</v>
      </c>
      <c r="AR12" s="39">
        <f>ROUND(AVERAGE(E65:E76),0)</f>
        <v>16</v>
      </c>
      <c r="AS12" s="43">
        <f t="shared" si="3"/>
        <v>-5.8823529411764719</v>
      </c>
      <c r="AT12" s="39"/>
      <c r="AW12" s="39">
        <f t="shared" si="0"/>
        <v>89524500</v>
      </c>
      <c r="AX12" s="43">
        <f t="shared" si="4"/>
        <v>5.6234386167064221</v>
      </c>
      <c r="CI12" s="22">
        <v>1988</v>
      </c>
    </row>
    <row r="13" spans="1:91">
      <c r="AL13" s="23">
        <v>1989</v>
      </c>
      <c r="AM13" s="50">
        <f>ROUND(SUM(Z77:Z88),0)</f>
        <v>1529225</v>
      </c>
      <c r="AN13" s="50">
        <f>ROUND(SUM(D77:D88),0)</f>
        <v>1349117</v>
      </c>
      <c r="AO13" s="108">
        <f t="shared" si="1"/>
        <v>180108</v>
      </c>
      <c r="AP13" s="48">
        <f>ROUND(SUM(Z77:Z88),0)</f>
        <v>1529225</v>
      </c>
      <c r="AQ13" s="47">
        <f t="shared" si="2"/>
        <v>6.7602304397120339</v>
      </c>
      <c r="AR13" s="48">
        <f>ROUND(AVERAGE(E77:E88),0)</f>
        <v>16</v>
      </c>
      <c r="AS13" s="49">
        <f t="shared" si="3"/>
        <v>0</v>
      </c>
      <c r="AT13" s="50"/>
      <c r="AV13" s="28"/>
      <c r="AW13" s="50">
        <f t="shared" si="0"/>
        <v>95576563</v>
      </c>
      <c r="AX13" s="43">
        <f t="shared" si="4"/>
        <v>6.7602309982183639</v>
      </c>
      <c r="CI13" s="51">
        <v>1989</v>
      </c>
    </row>
    <row r="14" spans="1:91">
      <c r="C14" s="52" t="s">
        <v>12</v>
      </c>
      <c r="D14" s="52" t="s">
        <v>12</v>
      </c>
      <c r="Z14" s="52" t="s">
        <v>12</v>
      </c>
      <c r="AL14" s="4">
        <v>1990</v>
      </c>
      <c r="AM14" s="108">
        <f>ROUND(SUM(Z89:Z100),0)</f>
        <v>1547984</v>
      </c>
      <c r="AN14" s="108">
        <f>ROUND(SUM(D89:D100),0)</f>
        <v>1262847</v>
      </c>
      <c r="AO14" s="108">
        <f t="shared" si="1"/>
        <v>285137</v>
      </c>
      <c r="AP14" s="39">
        <f>ROUND(SUM(Z89:Z100),0)</f>
        <v>1547984</v>
      </c>
      <c r="AQ14" s="43">
        <f t="shared" si="2"/>
        <v>1.226699798917763</v>
      </c>
      <c r="AR14" s="39">
        <f>ROUND(AVERAGE(E89:E100),0)</f>
        <v>17</v>
      </c>
      <c r="AS14" s="43">
        <f t="shared" si="3"/>
        <v>6.25</v>
      </c>
      <c r="AT14" s="39"/>
      <c r="AW14" s="39">
        <f t="shared" si="0"/>
        <v>91057882</v>
      </c>
      <c r="AX14" s="43">
        <f t="shared" si="4"/>
        <v>-4.727812821643318</v>
      </c>
      <c r="BP14" s="15"/>
      <c r="BQ14" s="52"/>
      <c r="BR14" s="63"/>
      <c r="BS14" s="64"/>
      <c r="BT14" s="306" t="s">
        <v>199</v>
      </c>
      <c r="BU14" s="306"/>
      <c r="BW14" s="374" t="s">
        <v>133</v>
      </c>
      <c r="BX14" s="374" t="s">
        <v>134</v>
      </c>
      <c r="CI14" s="22">
        <v>1990</v>
      </c>
    </row>
    <row r="15" spans="1:91">
      <c r="C15" s="52" t="s">
        <v>4</v>
      </c>
      <c r="D15" s="52" t="s">
        <v>4</v>
      </c>
      <c r="E15" s="52" t="s">
        <v>135</v>
      </c>
      <c r="Z15" s="52" t="s">
        <v>4</v>
      </c>
      <c r="AA15" s="15"/>
      <c r="AB15" s="65" t="s">
        <v>190</v>
      </c>
      <c r="AL15" s="4">
        <v>1991</v>
      </c>
      <c r="AM15" s="108">
        <f>ROUND(SUM(Z101:Z112),0)</f>
        <v>1410831</v>
      </c>
      <c r="AN15" s="108">
        <f>ROUND(SUM(D101:D112),0)</f>
        <v>1147495</v>
      </c>
      <c r="AO15" s="108">
        <f t="shared" si="1"/>
        <v>263336</v>
      </c>
      <c r="AP15" s="39">
        <f>ROUND(SUM(Z101:Z112),0)</f>
        <v>1410831</v>
      </c>
      <c r="AQ15" s="43">
        <f t="shared" si="2"/>
        <v>-8.8601044972041016</v>
      </c>
      <c r="AR15" s="39">
        <f>ROUND(AVERAGE(E101:E112),0)</f>
        <v>17</v>
      </c>
      <c r="AS15" s="43">
        <f t="shared" si="3"/>
        <v>0</v>
      </c>
      <c r="AT15" s="39"/>
      <c r="AW15" s="39">
        <f t="shared" si="0"/>
        <v>82990059</v>
      </c>
      <c r="AX15" s="43">
        <f t="shared" si="4"/>
        <v>-8.8601039501445928</v>
      </c>
      <c r="BP15" s="15" t="s">
        <v>28</v>
      </c>
      <c r="BQ15" s="15" t="s">
        <v>28</v>
      </c>
      <c r="BR15" s="63"/>
      <c r="BS15" s="63"/>
      <c r="BT15" s="64" t="s">
        <v>28</v>
      </c>
      <c r="BW15" s="374" t="s">
        <v>311</v>
      </c>
      <c r="BX15" s="374" t="s">
        <v>311</v>
      </c>
      <c r="CI15" s="22">
        <v>1991</v>
      </c>
    </row>
    <row r="16" spans="1:91">
      <c r="A16" s="31" t="s">
        <v>8</v>
      </c>
      <c r="B16" s="31" t="s">
        <v>29</v>
      </c>
      <c r="C16" s="67" t="s">
        <v>133</v>
      </c>
      <c r="D16" s="67" t="s">
        <v>134</v>
      </c>
      <c r="E16" s="67" t="s">
        <v>10</v>
      </c>
      <c r="Z16" s="67" t="s">
        <v>135</v>
      </c>
      <c r="AA16" s="66"/>
      <c r="AB16" s="267" t="s">
        <v>156</v>
      </c>
      <c r="AL16" s="4">
        <v>1992</v>
      </c>
      <c r="AM16" s="108">
        <f>ROUND(SUM(Z113:Z124),0)</f>
        <v>1470677</v>
      </c>
      <c r="AN16" s="108">
        <f>ROUND(SUM(D113:D124),0)</f>
        <v>1125482</v>
      </c>
      <c r="AO16" s="108">
        <f t="shared" si="1"/>
        <v>345195</v>
      </c>
      <c r="AP16" s="39">
        <f>ROUND(SUM(Z113:Z124),0)</f>
        <v>1470677</v>
      </c>
      <c r="AQ16" s="43">
        <f t="shared" si="2"/>
        <v>4.2418971513951798</v>
      </c>
      <c r="AR16" s="39">
        <f>ROUND(AVERAGE(E113:E124),0)</f>
        <v>16</v>
      </c>
      <c r="AS16" s="43">
        <f t="shared" si="3"/>
        <v>-5.8823529411764719</v>
      </c>
      <c r="AT16" s="39"/>
      <c r="AW16" s="39">
        <f t="shared" si="0"/>
        <v>91917313</v>
      </c>
      <c r="AX16" s="43">
        <f t="shared" si="4"/>
        <v>10.757016090324756</v>
      </c>
      <c r="BN16" s="31" t="s">
        <v>8</v>
      </c>
      <c r="BO16" s="31" t="s">
        <v>29</v>
      </c>
      <c r="BP16" s="31" t="s">
        <v>133</v>
      </c>
      <c r="BQ16" s="31" t="s">
        <v>134</v>
      </c>
      <c r="BR16" s="72"/>
      <c r="BS16" s="72"/>
      <c r="BT16" s="66" t="s">
        <v>139</v>
      </c>
      <c r="BW16" s="229" t="s">
        <v>310</v>
      </c>
      <c r="BX16" s="229" t="s">
        <v>310</v>
      </c>
      <c r="CI16" s="22">
        <v>1992</v>
      </c>
    </row>
    <row r="17" spans="1:93">
      <c r="A17" s="4">
        <v>1984</v>
      </c>
      <c r="B17" s="4">
        <v>1</v>
      </c>
      <c r="C17" s="4">
        <f>'[2]FPC wSEB'!K114</f>
        <v>268843</v>
      </c>
      <c r="D17" s="4">
        <f>'[2]FPC wSEB'!L114</f>
        <v>142235</v>
      </c>
      <c r="E17" s="4">
        <f>SUM('[2]FPC wSEB'!$AC114:$AD114)</f>
        <v>130</v>
      </c>
      <c r="Z17" s="6">
        <f>C17+D17</f>
        <v>411078</v>
      </c>
      <c r="AB17" s="108"/>
      <c r="AL17" s="4">
        <v>1993</v>
      </c>
      <c r="AM17" s="108">
        <f>ROUND(SUM(Z125:Z136),0)</f>
        <v>1694869</v>
      </c>
      <c r="AN17" s="108">
        <f>ROUND(SUM(D125:D136),0)</f>
        <v>1257346</v>
      </c>
      <c r="AO17" s="108">
        <f t="shared" si="1"/>
        <v>437523</v>
      </c>
      <c r="AP17" s="39">
        <f>ROUND(SUM(Z125:Z136),0)</f>
        <v>1694869</v>
      </c>
      <c r="AQ17" s="43">
        <f t="shared" si="2"/>
        <v>15.244135863959251</v>
      </c>
      <c r="AR17" s="39">
        <f>ROUND(AVERAGE(E125:E136),0)</f>
        <v>16</v>
      </c>
      <c r="AS17" s="43">
        <f t="shared" si="3"/>
        <v>0</v>
      </c>
      <c r="AT17" s="39"/>
      <c r="AW17" s="39">
        <f t="shared" si="0"/>
        <v>105929313</v>
      </c>
      <c r="AX17" s="43">
        <f t="shared" si="4"/>
        <v>15.24413578103616</v>
      </c>
      <c r="BN17" s="4">
        <v>1984</v>
      </c>
      <c r="BO17" s="4">
        <v>1</v>
      </c>
      <c r="CI17" s="22">
        <v>1993</v>
      </c>
    </row>
    <row r="18" spans="1:93">
      <c r="A18" s="4">
        <v>1984</v>
      </c>
      <c r="B18" s="4">
        <v>2</v>
      </c>
      <c r="C18" s="4">
        <f>'[2]FPC wSEB'!K115</f>
        <v>150286</v>
      </c>
      <c r="D18" s="4">
        <f>'[2]FPC wSEB'!L115</f>
        <v>121581</v>
      </c>
      <c r="E18" s="4">
        <f>SUM('[2]FPC wSEB'!$AC115:$AD115)</f>
        <v>129</v>
      </c>
      <c r="Z18" s="6">
        <f t="shared" ref="Z18:Z81" si="5">C18+D18</f>
        <v>271867</v>
      </c>
      <c r="AL18" s="23">
        <v>1994</v>
      </c>
      <c r="AM18" s="50">
        <f>ROUND(SUM(Z137:Z148),0)</f>
        <v>1818945</v>
      </c>
      <c r="AN18" s="50">
        <f>ROUND(SUM(D137:D148),0)</f>
        <v>1363101</v>
      </c>
      <c r="AO18" s="108">
        <f t="shared" si="1"/>
        <v>455844</v>
      </c>
      <c r="AP18" s="39">
        <f>ROUND(SUM(Z137:Z148),0)</f>
        <v>1818945</v>
      </c>
      <c r="AQ18" s="43">
        <f t="shared" si="2"/>
        <v>7.320683781460402</v>
      </c>
      <c r="AR18" s="39">
        <f>ROUND(AVERAGE(E137:E148),0)</f>
        <v>16</v>
      </c>
      <c r="AS18" s="43">
        <f t="shared" si="3"/>
        <v>0</v>
      </c>
      <c r="AT18" s="39"/>
      <c r="AW18" s="39">
        <f t="shared" si="0"/>
        <v>113684063</v>
      </c>
      <c r="AX18" s="43">
        <f t="shared" si="4"/>
        <v>7.3206837469058206</v>
      </c>
      <c r="BN18" s="4">
        <v>1984</v>
      </c>
      <c r="BO18" s="4">
        <v>2</v>
      </c>
      <c r="CI18" s="51">
        <v>1994</v>
      </c>
    </row>
    <row r="19" spans="1:93">
      <c r="A19" s="4">
        <v>1984</v>
      </c>
      <c r="B19" s="4">
        <v>3</v>
      </c>
      <c r="C19" s="4">
        <f>'[2]FPC wSEB'!K116</f>
        <v>41212</v>
      </c>
      <c r="D19" s="4">
        <f>'[2]FPC wSEB'!L116</f>
        <v>112605</v>
      </c>
      <c r="E19" s="4">
        <f>SUM('[2]FPC wSEB'!$AC116:$AD116)</f>
        <v>91</v>
      </c>
      <c r="Z19" s="6">
        <f t="shared" si="5"/>
        <v>153817</v>
      </c>
      <c r="AL19" s="4">
        <v>1995</v>
      </c>
      <c r="AM19" s="50">
        <f>ROUND(SUM(Z149:Z160),0)</f>
        <v>1846422</v>
      </c>
      <c r="AN19" s="50">
        <f>ROUND(SUM(D149:D160),0)</f>
        <v>1174044</v>
      </c>
      <c r="AO19" s="108">
        <f t="shared" si="1"/>
        <v>672378</v>
      </c>
      <c r="AP19" s="39">
        <f>ROUND(SUM(Z149:Z160),0)</f>
        <v>1846422</v>
      </c>
      <c r="AQ19" s="43">
        <f t="shared" si="2"/>
        <v>1.5106009252616293</v>
      </c>
      <c r="AR19" s="39">
        <f>ROUND(AVERAGE(E149:E160),0)</f>
        <v>16</v>
      </c>
      <c r="AS19" s="43">
        <f t="shared" si="3"/>
        <v>0</v>
      </c>
      <c r="AT19" s="39"/>
      <c r="AW19" s="39">
        <f t="shared" si="0"/>
        <v>115401375</v>
      </c>
      <c r="AX19" s="43">
        <f t="shared" si="4"/>
        <v>1.5106004788023819</v>
      </c>
      <c r="BN19" s="4">
        <v>1984</v>
      </c>
      <c r="BO19" s="4">
        <v>3</v>
      </c>
      <c r="CI19" s="22">
        <v>1995</v>
      </c>
    </row>
    <row r="20" spans="1:93">
      <c r="A20" s="4">
        <v>1984</v>
      </c>
      <c r="B20" s="4">
        <v>4</v>
      </c>
      <c r="C20" s="4">
        <f>'[2]FPC wSEB'!K117</f>
        <v>8688</v>
      </c>
      <c r="D20" s="4">
        <f>'[2]FPC wSEB'!L117</f>
        <v>112526</v>
      </c>
      <c r="E20" s="4">
        <f>SUM('[2]FPC wSEB'!$AC117:$AD117)</f>
        <v>23</v>
      </c>
      <c r="Z20" s="6">
        <f t="shared" si="5"/>
        <v>121214</v>
      </c>
      <c r="AL20" s="23">
        <v>1996</v>
      </c>
      <c r="AM20" s="50">
        <f>ROUND(SUM(Z161:Z172),0)</f>
        <v>2088748</v>
      </c>
      <c r="AN20" s="50">
        <f>ROUND(SUM(D161:D172),0)</f>
        <v>1274800</v>
      </c>
      <c r="AO20" s="108">
        <f t="shared" si="1"/>
        <v>813948</v>
      </c>
      <c r="AP20" s="39">
        <f>ROUND(SUM(Z161:Z172),0)</f>
        <v>2088748</v>
      </c>
      <c r="AQ20" s="43">
        <f t="shared" si="2"/>
        <v>13.124085393263286</v>
      </c>
      <c r="AR20" s="39">
        <f>ROUND(AVERAGE(E161:E172),0)</f>
        <v>16</v>
      </c>
      <c r="AS20" s="43">
        <f t="shared" si="3"/>
        <v>0</v>
      </c>
      <c r="AT20" s="39"/>
      <c r="AW20" s="39">
        <f t="shared" si="0"/>
        <v>130546750</v>
      </c>
      <c r="AX20" s="43">
        <f t="shared" si="4"/>
        <v>13.124085393263286</v>
      </c>
      <c r="BN20" s="4">
        <v>1984</v>
      </c>
      <c r="BO20" s="4">
        <v>4</v>
      </c>
      <c r="CI20" s="51">
        <v>1996</v>
      </c>
    </row>
    <row r="21" spans="1:93">
      <c r="A21" s="4">
        <v>1984</v>
      </c>
      <c r="B21" s="4">
        <v>5</v>
      </c>
      <c r="C21" s="4">
        <f>'[2]FPC wSEB'!K118</f>
        <v>2759</v>
      </c>
      <c r="D21" s="4">
        <f>'[2]FPC wSEB'!L118</f>
        <v>125313</v>
      </c>
      <c r="E21" s="4">
        <f>SUM('[2]FPC wSEB'!$AC118:$AD118)</f>
        <v>23</v>
      </c>
      <c r="Z21" s="6">
        <f t="shared" si="5"/>
        <v>128072</v>
      </c>
      <c r="AL21" s="4">
        <v>1997</v>
      </c>
      <c r="AM21" s="50">
        <f>ROUND(SUM(Z173:Z184),0)</f>
        <v>1758128</v>
      </c>
      <c r="AN21" s="50">
        <f>ROUND(SUM(D173:D184),0)</f>
        <v>1035186</v>
      </c>
      <c r="AO21" s="108">
        <f t="shared" si="1"/>
        <v>722942</v>
      </c>
      <c r="AP21" s="39">
        <f>ROUND(SUM(Z173:Z184),0)</f>
        <v>1758128</v>
      </c>
      <c r="AQ21" s="43">
        <f t="shared" si="2"/>
        <v>-15.828620781444192</v>
      </c>
      <c r="AR21" s="39">
        <f>ROUND(AVERAGE(E173:E184),0)</f>
        <v>17</v>
      </c>
      <c r="AS21" s="43">
        <f t="shared" si="3"/>
        <v>6.25</v>
      </c>
      <c r="AT21" s="39"/>
      <c r="AW21" s="39">
        <f t="shared" si="0"/>
        <v>103419294</v>
      </c>
      <c r="AX21" s="43">
        <f t="shared" si="4"/>
        <v>-20.779878472654435</v>
      </c>
      <c r="BN21" s="4">
        <v>1984</v>
      </c>
      <c r="BO21" s="4">
        <v>5</v>
      </c>
      <c r="CI21" s="22">
        <v>1997</v>
      </c>
      <c r="CJ21" s="84">
        <f>ROUND(SUM(BT173:BT184),0)</f>
        <v>1750166</v>
      </c>
      <c r="CK21" s="84">
        <f>ROUND(SUM(BQ173:BQ184),0)</f>
        <v>975487</v>
      </c>
      <c r="CL21" s="84">
        <f>ROUND(SUM(BP173:BP184),0)</f>
        <v>774679</v>
      </c>
      <c r="CN21" s="4">
        <f>CJ21-CK21</f>
        <v>774679</v>
      </c>
    </row>
    <row r="22" spans="1:93">
      <c r="A22" s="4">
        <v>1984</v>
      </c>
      <c r="B22" s="4">
        <v>6</v>
      </c>
      <c r="C22" s="4">
        <f>'[2]FPC wSEB'!K119</f>
        <v>0</v>
      </c>
      <c r="D22" s="4">
        <f>'[2]FPC wSEB'!L119</f>
        <v>137092</v>
      </c>
      <c r="E22" s="4">
        <f>SUM('[2]FPC wSEB'!$AC119:$AD119)</f>
        <v>23</v>
      </c>
      <c r="Z22" s="6">
        <f t="shared" si="5"/>
        <v>137092</v>
      </c>
      <c r="AL22" s="23">
        <v>1998</v>
      </c>
      <c r="AM22" s="50">
        <f>ROUND(SUM(Z185:Z196),0)</f>
        <v>2339714</v>
      </c>
      <c r="AN22" s="50">
        <f>ROUND(SUM(D185:D196),0)</f>
        <v>1172157</v>
      </c>
      <c r="AO22" s="108">
        <f t="shared" si="1"/>
        <v>1167557</v>
      </c>
      <c r="AP22" s="39">
        <f>ROUND(SUM(Z185:Z196),0)</f>
        <v>2339714</v>
      </c>
      <c r="AQ22" s="43">
        <f t="shared" si="2"/>
        <v>33.079844015907824</v>
      </c>
      <c r="AR22" s="39">
        <f>ROUND(AVERAGE(E185:E196),0)</f>
        <v>17</v>
      </c>
      <c r="AS22" s="43">
        <f t="shared" si="3"/>
        <v>0</v>
      </c>
      <c r="AT22" s="39"/>
      <c r="AW22" s="39">
        <f t="shared" si="0"/>
        <v>137630235</v>
      </c>
      <c r="AX22" s="43">
        <f t="shared" si="4"/>
        <v>33.079843882902551</v>
      </c>
      <c r="BN22" s="4">
        <v>1984</v>
      </c>
      <c r="BO22" s="4">
        <v>6</v>
      </c>
      <c r="CI22" s="51">
        <v>1998</v>
      </c>
      <c r="CJ22" s="84">
        <f>ROUND(SUM(BT185:BT196),0)</f>
        <v>2298411</v>
      </c>
      <c r="CK22" s="84">
        <f>ROUND(SUM(BQ185:BQ196),0)</f>
        <v>1155895</v>
      </c>
      <c r="CL22" s="84">
        <f>ROUND(SUM(BP185:BP196),0)</f>
        <v>1142516</v>
      </c>
      <c r="CM22" s="47">
        <f t="shared" ref="CM22:CM35" si="6">(CJ22/CJ21-1)*100</f>
        <v>31.325314284473581</v>
      </c>
      <c r="CN22" s="4">
        <f t="shared" ref="CN22:CN35" si="7">CJ22-CK22</f>
        <v>1142516</v>
      </c>
    </row>
    <row r="23" spans="1:93">
      <c r="A23" s="4">
        <v>1984</v>
      </c>
      <c r="B23" s="4">
        <v>7</v>
      </c>
      <c r="C23" s="4">
        <f>'[2]FPC wSEB'!K120</f>
        <v>860</v>
      </c>
      <c r="D23" s="4">
        <f>'[2]FPC wSEB'!L120</f>
        <v>152107</v>
      </c>
      <c r="E23" s="4">
        <f>SUM('[2]FPC wSEB'!$AC120:$AD120)</f>
        <v>23</v>
      </c>
      <c r="Z23" s="6">
        <f t="shared" si="5"/>
        <v>152967</v>
      </c>
      <c r="AL23" s="4">
        <v>1999</v>
      </c>
      <c r="AM23" s="50">
        <f>ROUND(SUM(Z197:Z208),0)</f>
        <v>3266706</v>
      </c>
      <c r="AN23" s="50">
        <f>ROUND(SUM(D197:D208),0)</f>
        <v>1292217</v>
      </c>
      <c r="AO23" s="108">
        <f t="shared" si="1"/>
        <v>1974489</v>
      </c>
      <c r="AP23" s="39">
        <f>ROUND(SUM(Z197:Z208),0)</f>
        <v>3266706</v>
      </c>
      <c r="AQ23" s="43">
        <f t="shared" si="2"/>
        <v>39.619885165451848</v>
      </c>
      <c r="AR23" s="39">
        <f>ROUND(AVERAGE(E197:E208),0)</f>
        <v>18</v>
      </c>
      <c r="AS23" s="43">
        <f t="shared" si="3"/>
        <v>5.8823529411764719</v>
      </c>
      <c r="AT23" s="39"/>
      <c r="AW23" s="39">
        <f t="shared" si="0"/>
        <v>181483667</v>
      </c>
      <c r="AX23" s="43">
        <f t="shared" si="4"/>
        <v>31.863225402470619</v>
      </c>
      <c r="BN23" s="4">
        <v>1984</v>
      </c>
      <c r="BO23" s="4">
        <v>7</v>
      </c>
      <c r="CI23" s="22">
        <v>1999</v>
      </c>
      <c r="CJ23" s="84">
        <f>ROUND(SUM(BT197:BT208),0)</f>
        <v>3399156</v>
      </c>
      <c r="CK23" s="84">
        <f>ROUND(SUM(BQ197:BQ208),0)</f>
        <v>1315113</v>
      </c>
      <c r="CL23" s="84">
        <f>ROUND(SUM(BP197:BP208),0)</f>
        <v>2084043</v>
      </c>
      <c r="CM23" s="47">
        <f t="shared" si="6"/>
        <v>47.891565085617849</v>
      </c>
      <c r="CN23" s="4">
        <f t="shared" si="7"/>
        <v>2084043</v>
      </c>
    </row>
    <row r="24" spans="1:93">
      <c r="A24" s="4">
        <v>1984</v>
      </c>
      <c r="B24" s="4">
        <v>8</v>
      </c>
      <c r="C24" s="4">
        <f>'[2]FPC wSEB'!K121</f>
        <v>5134</v>
      </c>
      <c r="D24" s="4">
        <f>'[2]FPC wSEB'!L121</f>
        <v>160498</v>
      </c>
      <c r="E24" s="4">
        <f>SUM('[2]FPC wSEB'!$AC121:$AD121)</f>
        <v>23</v>
      </c>
      <c r="Z24" s="6">
        <f t="shared" si="5"/>
        <v>165632</v>
      </c>
      <c r="AL24" s="23">
        <v>2000</v>
      </c>
      <c r="AM24" s="50">
        <f>ROUND(SUM(Z209:Z220),0)</f>
        <v>3732035</v>
      </c>
      <c r="AN24" s="50">
        <f>ROUND(SUM(D209:D220),0)</f>
        <v>1214219</v>
      </c>
      <c r="AO24" s="108">
        <f t="shared" si="1"/>
        <v>2517816</v>
      </c>
      <c r="AP24" s="39">
        <f>ROUND(SUM(Z209:Z220),0)</f>
        <v>3732035</v>
      </c>
      <c r="AQ24" s="43">
        <f t="shared" si="2"/>
        <v>14.244593789584981</v>
      </c>
      <c r="AR24" s="39">
        <f>ROUND(AVERAGE(E209:E220),0)</f>
        <v>18</v>
      </c>
      <c r="AS24" s="43">
        <f t="shared" si="3"/>
        <v>0</v>
      </c>
      <c r="AT24" s="39"/>
      <c r="AW24" s="39">
        <f t="shared" si="0"/>
        <v>207335278</v>
      </c>
      <c r="AX24" s="43">
        <f t="shared" si="4"/>
        <v>14.244593702198017</v>
      </c>
      <c r="BN24" s="4">
        <v>1984</v>
      </c>
      <c r="BO24" s="4">
        <v>8</v>
      </c>
      <c r="CI24" s="51">
        <v>2000</v>
      </c>
      <c r="CJ24" s="84">
        <f>ROUND(SUM(BT209:BT220),0)</f>
        <v>3845872</v>
      </c>
      <c r="CK24" s="84">
        <f>ROUND(SUM(BQ209:BQ220),0)</f>
        <v>1239698</v>
      </c>
      <c r="CL24" s="84">
        <f>ROUND(SUM(BP209:BP220),0)</f>
        <v>2606174</v>
      </c>
      <c r="CM24" s="47">
        <f t="shared" si="6"/>
        <v>13.141968182690068</v>
      </c>
      <c r="CN24" s="4">
        <f t="shared" si="7"/>
        <v>2606174</v>
      </c>
    </row>
    <row r="25" spans="1:93">
      <c r="A25" s="4">
        <v>1984</v>
      </c>
      <c r="B25" s="4">
        <v>9</v>
      </c>
      <c r="C25" s="4">
        <f>'[2]FPC wSEB'!K122</f>
        <v>6361</v>
      </c>
      <c r="D25" s="4">
        <f>'[2]FPC wSEB'!L122</f>
        <v>163879</v>
      </c>
      <c r="E25" s="4">
        <f>SUM('[2]FPC wSEB'!$AC122:$AD122)</f>
        <v>22</v>
      </c>
      <c r="Z25" s="6">
        <f t="shared" si="5"/>
        <v>170240</v>
      </c>
      <c r="AL25" s="4">
        <v>2001</v>
      </c>
      <c r="AM25" s="50">
        <f>ROUND(SUM(Z221:Z232),0)</f>
        <v>3839393</v>
      </c>
      <c r="AN25" s="50">
        <f>ROUND(SUM(D221:D232),0)</f>
        <v>1378245</v>
      </c>
      <c r="AO25" s="108">
        <f t="shared" si="1"/>
        <v>2461148</v>
      </c>
      <c r="AP25" s="39">
        <f>ROUND(SUM(Z221:Z232),0)</f>
        <v>3839393</v>
      </c>
      <c r="AQ25" s="43">
        <f t="shared" si="2"/>
        <v>2.876661124560731</v>
      </c>
      <c r="AR25" s="39">
        <f>ROUND(AVERAGE(E221:E232),0)</f>
        <v>20</v>
      </c>
      <c r="AS25" s="43">
        <f t="shared" si="3"/>
        <v>11.111111111111116</v>
      </c>
      <c r="AT25" s="39"/>
      <c r="AW25" s="39">
        <f t="shared" si="0"/>
        <v>191969650</v>
      </c>
      <c r="AX25" s="43">
        <f t="shared" si="4"/>
        <v>-7.4110050871323496</v>
      </c>
      <c r="BN25" s="4">
        <v>1984</v>
      </c>
      <c r="BO25" s="4">
        <v>9</v>
      </c>
      <c r="CI25" s="22">
        <v>2001</v>
      </c>
      <c r="CJ25" s="84">
        <f>ROUND(SUM(BT221:BT232),0)</f>
        <v>3679209</v>
      </c>
      <c r="CK25" s="84">
        <f>ROUND(SUM(BQ221:BQ232),0)</f>
        <v>1361954</v>
      </c>
      <c r="CL25" s="84">
        <f>ROUND(SUM(BP221:BP232),0)</f>
        <v>2317255</v>
      </c>
      <c r="CM25" s="47">
        <f t="shared" si="6"/>
        <v>-4.333555562951652</v>
      </c>
      <c r="CN25" s="4">
        <f t="shared" si="7"/>
        <v>2317255</v>
      </c>
    </row>
    <row r="26" spans="1:93">
      <c r="A26" s="4">
        <v>1984</v>
      </c>
      <c r="B26" s="4">
        <v>10</v>
      </c>
      <c r="C26" s="4">
        <f>'[2]FPC wSEB'!K123</f>
        <v>16303</v>
      </c>
      <c r="D26" s="4">
        <f>'[2]FPC wSEB'!L123</f>
        <v>127987</v>
      </c>
      <c r="E26" s="4">
        <f>SUM('[2]FPC wSEB'!$AC123:$AD123)</f>
        <v>22</v>
      </c>
      <c r="Z26" s="6">
        <f t="shared" si="5"/>
        <v>144290</v>
      </c>
      <c r="AL26" s="23">
        <v>2002</v>
      </c>
      <c r="AM26" s="50">
        <f>ROUND(SUM(Z233:Z244),0)</f>
        <v>3173067</v>
      </c>
      <c r="AN26" s="50">
        <f>ROUND(SUM(D233:D244),0)</f>
        <v>2173417</v>
      </c>
      <c r="AO26" s="108">
        <f t="shared" si="1"/>
        <v>999650</v>
      </c>
      <c r="AP26" s="39">
        <f>ROUND(SUM(Z233:Z244),0)</f>
        <v>3173067</v>
      </c>
      <c r="AQ26" s="43">
        <f t="shared" si="2"/>
        <v>-17.354982936104747</v>
      </c>
      <c r="AR26" s="39">
        <f>ROUND(AVERAGE(E233:E244),0)</f>
        <v>22</v>
      </c>
      <c r="AS26" s="43">
        <f t="shared" si="3"/>
        <v>10.000000000000009</v>
      </c>
      <c r="AT26" s="39"/>
      <c r="AW26" s="39">
        <f t="shared" si="0"/>
        <v>144230318</v>
      </c>
      <c r="AX26" s="43">
        <f t="shared" si="4"/>
        <v>-24.868166400261703</v>
      </c>
      <c r="BN26" s="4">
        <v>1984</v>
      </c>
      <c r="BO26" s="4">
        <v>10</v>
      </c>
      <c r="CI26" s="51">
        <v>2002</v>
      </c>
      <c r="CJ26" s="84">
        <f>ROUND(SUM(BT233:BT244),0)</f>
        <v>3199327</v>
      </c>
      <c r="CK26" s="84">
        <f>ROUND(SUM(BQ233:BQ244),0)</f>
        <v>2233379</v>
      </c>
      <c r="CL26" s="84">
        <f>ROUND(SUM(BP233:BP244),0)</f>
        <v>965948</v>
      </c>
      <c r="CM26" s="47">
        <f t="shared" si="6"/>
        <v>-13.043075291455308</v>
      </c>
      <c r="CN26" s="4">
        <f t="shared" si="7"/>
        <v>965948</v>
      </c>
    </row>
    <row r="27" spans="1:93">
      <c r="A27" s="4">
        <v>1984</v>
      </c>
      <c r="B27" s="4">
        <v>11</v>
      </c>
      <c r="C27" s="4">
        <f>'[2]FPC wSEB'!K124</f>
        <v>5928</v>
      </c>
      <c r="D27" s="4">
        <f>'[2]FPC wSEB'!L124</f>
        <v>131553</v>
      </c>
      <c r="E27" s="4">
        <f>SUM('[2]FPC wSEB'!$AC124:$AD124)</f>
        <v>23</v>
      </c>
      <c r="Z27" s="6">
        <f t="shared" si="5"/>
        <v>137481</v>
      </c>
      <c r="AL27" s="4">
        <v>2003</v>
      </c>
      <c r="AM27" s="50">
        <f>ROUND(SUM(Z245:Z256),0)</f>
        <v>3359432</v>
      </c>
      <c r="AN27" s="50">
        <f>ROUND(SUM(D245:D256),0)</f>
        <v>2393124</v>
      </c>
      <c r="AO27" s="108">
        <f t="shared" si="1"/>
        <v>966308</v>
      </c>
      <c r="AP27" s="39">
        <f>ROUND(SUM(Z245:Z256),0)</f>
        <v>3359432</v>
      </c>
      <c r="AQ27" s="43">
        <f t="shared" si="2"/>
        <v>5.8733395796559007</v>
      </c>
      <c r="AR27" s="39">
        <f>ROUND(AVERAGE(E245:E256),0)</f>
        <v>22</v>
      </c>
      <c r="AS27" s="43">
        <f t="shared" si="3"/>
        <v>0</v>
      </c>
      <c r="AT27" s="39"/>
      <c r="AW27" s="39">
        <f t="shared" si="0"/>
        <v>152701455</v>
      </c>
      <c r="AX27" s="43">
        <f t="shared" si="4"/>
        <v>5.8733400282733994</v>
      </c>
      <c r="BN27" s="4">
        <v>1984</v>
      </c>
      <c r="BO27" s="4">
        <v>11</v>
      </c>
      <c r="CI27" s="22">
        <v>2003</v>
      </c>
      <c r="CJ27" s="84">
        <f>ROUND(SUM(BT245:BT256),0)</f>
        <v>3444837</v>
      </c>
      <c r="CK27" s="84">
        <f>ROUND(SUM(BQ245:BQ256),0)</f>
        <v>2433757</v>
      </c>
      <c r="CL27" s="84">
        <f>ROUND(SUM(BP245:BP256),0)</f>
        <v>1011080</v>
      </c>
      <c r="CM27" s="47">
        <f t="shared" si="6"/>
        <v>7.6738013963561613</v>
      </c>
      <c r="CN27" s="4">
        <f t="shared" si="7"/>
        <v>1011080</v>
      </c>
    </row>
    <row r="28" spans="1:93">
      <c r="A28" s="4">
        <v>1984</v>
      </c>
      <c r="B28" s="4">
        <v>12</v>
      </c>
      <c r="C28" s="4">
        <f>'[2]FPC wSEB'!K125</f>
        <v>187</v>
      </c>
      <c r="D28" s="4">
        <f>'[2]FPC wSEB'!L125</f>
        <v>120160</v>
      </c>
      <c r="E28" s="4">
        <f>SUM('[2]FPC wSEB'!$AC125:$AD125)</f>
        <v>23</v>
      </c>
      <c r="Z28" s="6">
        <f t="shared" si="5"/>
        <v>120347</v>
      </c>
      <c r="AL28" s="4">
        <v>2004</v>
      </c>
      <c r="AM28" s="50">
        <f>ROUND(SUM(Z257:Z268),0)</f>
        <v>4342344</v>
      </c>
      <c r="AN28" s="50">
        <f>ROUND(SUM(D257:D268),0)</f>
        <v>3210110</v>
      </c>
      <c r="AO28" s="108">
        <f t="shared" si="1"/>
        <v>1132234</v>
      </c>
      <c r="AP28" s="39">
        <f>ROUND(SUM(Z257:Z268),0)</f>
        <v>4342344</v>
      </c>
      <c r="AQ28" s="43">
        <f t="shared" ref="AQ28:AQ33" si="8">(AP28/AP27-1)*100</f>
        <v>29.258279375799233</v>
      </c>
      <c r="AR28" s="39">
        <f>ROUND(AVERAGE(E257:E268),0)</f>
        <v>25</v>
      </c>
      <c r="AS28" s="43">
        <f t="shared" ref="AS28:AS33" si="9">(AR28/AR27-1)*100</f>
        <v>13.636363636363647</v>
      </c>
      <c r="AT28" s="39"/>
      <c r="AW28" s="39">
        <f t="shared" ref="AW28:AW33" si="10">ROUND((AP28/AR28*1000),0)</f>
        <v>173693760</v>
      </c>
      <c r="AX28" s="43">
        <f t="shared" ref="AX28:AX33" si="11">(AW28/AW27-1)*100</f>
        <v>13.747285512112505</v>
      </c>
      <c r="BN28" s="4">
        <v>1984</v>
      </c>
      <c r="BO28" s="4">
        <v>12</v>
      </c>
      <c r="CI28" s="51">
        <v>2004</v>
      </c>
      <c r="CJ28" s="486">
        <f>ROUND(SUM(BT257:BT268),0)</f>
        <v>4440804</v>
      </c>
      <c r="CK28" s="307">
        <f>ROUND(SUM(BQ257:BQ268),0)</f>
        <v>3313738</v>
      </c>
      <c r="CL28" s="307">
        <f>ROUND(SUM(BP257:BP268),0)</f>
        <v>1064990</v>
      </c>
      <c r="CM28" s="47">
        <f t="shared" si="6"/>
        <v>28.9118759465252</v>
      </c>
      <c r="CN28" s="4">
        <f t="shared" si="7"/>
        <v>1127066</v>
      </c>
      <c r="CO28" s="485">
        <f>CN28-CL28</f>
        <v>62076</v>
      </c>
    </row>
    <row r="29" spans="1:93">
      <c r="A29" s="4">
        <v>1985</v>
      </c>
      <c r="B29" s="4">
        <v>1</v>
      </c>
      <c r="C29" s="4">
        <f>'[2]FPC wSEB'!K126</f>
        <v>3147</v>
      </c>
      <c r="D29" s="4">
        <f>'[2]FPC wSEB'!L126</f>
        <v>135426</v>
      </c>
      <c r="E29" s="4">
        <f>SUM('[2]FPC wSEB'!$AC126:$AD126)</f>
        <v>22</v>
      </c>
      <c r="Z29" s="6">
        <f t="shared" si="5"/>
        <v>138573</v>
      </c>
      <c r="AL29" s="4">
        <v>2005</v>
      </c>
      <c r="AM29" s="50">
        <f>ROUND(SUM(Z269:Z280),0)</f>
        <v>5195236</v>
      </c>
      <c r="AN29" s="50">
        <f>ROUND(SUM(D269:D280),0)</f>
        <v>3566265</v>
      </c>
      <c r="AO29" s="108">
        <f t="shared" si="1"/>
        <v>1628971</v>
      </c>
      <c r="AP29" s="39">
        <f>ROUND(SUM(Z269:Z280),0)</f>
        <v>5195236</v>
      </c>
      <c r="AQ29" s="43">
        <f t="shared" si="8"/>
        <v>19.641281298763992</v>
      </c>
      <c r="AR29" s="39">
        <f>ROUND(AVERAGE(E269:E280),0)</f>
        <v>26</v>
      </c>
      <c r="AS29" s="43">
        <f t="shared" si="9"/>
        <v>4.0000000000000036</v>
      </c>
      <c r="AT29" s="39"/>
      <c r="AW29" s="39">
        <f t="shared" si="10"/>
        <v>199816769</v>
      </c>
      <c r="AX29" s="43">
        <f t="shared" si="11"/>
        <v>15.039693423643996</v>
      </c>
      <c r="BN29" s="4">
        <v>1985</v>
      </c>
      <c r="BO29" s="4">
        <v>1</v>
      </c>
      <c r="CI29" s="22">
        <v>2005</v>
      </c>
      <c r="CJ29" s="84">
        <f>ROUND(SUM(BT269:BT280),0)</f>
        <v>5215154</v>
      </c>
      <c r="CK29" s="84">
        <f>ROUND(SUM(BQ269:BQ280),0)</f>
        <v>3502336</v>
      </c>
      <c r="CL29" s="84">
        <f>ROUND(SUM(BP269:BP280),0)</f>
        <v>1712818</v>
      </c>
      <c r="CM29" s="47">
        <f t="shared" si="6"/>
        <v>17.437157775934264</v>
      </c>
      <c r="CN29" s="4">
        <f t="shared" si="7"/>
        <v>1712818</v>
      </c>
    </row>
    <row r="30" spans="1:93">
      <c r="A30" s="4">
        <v>1985</v>
      </c>
      <c r="B30" s="4">
        <v>2</v>
      </c>
      <c r="C30" s="4">
        <f>'[2]FPC wSEB'!K127</f>
        <v>5137</v>
      </c>
      <c r="D30" s="4">
        <f>'[2]FPC wSEB'!L127</f>
        <v>129255</v>
      </c>
      <c r="E30" s="4">
        <f>SUM('[2]FPC wSEB'!$AC127:$AD127)</f>
        <v>22</v>
      </c>
      <c r="Z30" s="6">
        <f t="shared" si="5"/>
        <v>134392</v>
      </c>
      <c r="AL30" s="4">
        <v>2006</v>
      </c>
      <c r="AM30" s="50">
        <f>ROUND(SUM(Z281:Z292),0)</f>
        <v>4220177</v>
      </c>
      <c r="AN30" s="50">
        <f>ROUND(SUM(D281:D292),0)</f>
        <v>2624176</v>
      </c>
      <c r="AO30" s="108">
        <f t="shared" si="1"/>
        <v>1596001</v>
      </c>
      <c r="AP30" s="39">
        <f>ROUND(SUM(Z281:Z292),0)</f>
        <v>4220177</v>
      </c>
      <c r="AQ30" s="43">
        <f t="shared" si="8"/>
        <v>-18.768329292451781</v>
      </c>
      <c r="AR30" s="39">
        <f>ROUND(AVERAGE(E281:E292),0)</f>
        <v>23</v>
      </c>
      <c r="AS30" s="43">
        <f t="shared" si="9"/>
        <v>-11.538461538461542</v>
      </c>
      <c r="AT30" s="39"/>
      <c r="AW30" s="39">
        <f t="shared" si="10"/>
        <v>183485957</v>
      </c>
      <c r="AX30" s="43">
        <f t="shared" si="11"/>
        <v>-8.1728936373703487</v>
      </c>
      <c r="BN30" s="4">
        <v>1985</v>
      </c>
      <c r="BO30" s="4">
        <v>2</v>
      </c>
      <c r="CI30" s="51">
        <v>2006</v>
      </c>
      <c r="CJ30" s="84">
        <f>ROUND(SUM(BT281:BT292),0)</f>
        <v>4120875</v>
      </c>
      <c r="CK30" s="84">
        <f>ROUND(SUM(BQ281:BQ292),0)</f>
        <v>2558755</v>
      </c>
      <c r="CL30" s="84">
        <f>ROUND(SUM(BP281:BP292),0)</f>
        <v>1562120</v>
      </c>
      <c r="CM30" s="47">
        <f t="shared" si="6"/>
        <v>-20.98267855560929</v>
      </c>
      <c r="CN30" s="4">
        <f t="shared" si="7"/>
        <v>1562120</v>
      </c>
    </row>
    <row r="31" spans="1:93">
      <c r="A31" s="4">
        <v>1985</v>
      </c>
      <c r="B31" s="4">
        <v>3</v>
      </c>
      <c r="C31" s="4">
        <f>'[2]FPC wSEB'!K128</f>
        <v>9130</v>
      </c>
      <c r="D31" s="4">
        <f>'[2]FPC wSEB'!L128</f>
        <v>120891</v>
      </c>
      <c r="E31" s="4">
        <f>SUM('[2]FPC wSEB'!$AC128:$AD128)</f>
        <v>22</v>
      </c>
      <c r="Z31" s="6">
        <f t="shared" si="5"/>
        <v>130021</v>
      </c>
      <c r="AL31" s="4">
        <v>2007</v>
      </c>
      <c r="AM31" s="50">
        <f>ROUND(SUM(Z293:Z304),0)</f>
        <v>5597931</v>
      </c>
      <c r="AN31" s="50">
        <f>ROUND(SUM(D293:D304),0)</f>
        <v>2965499</v>
      </c>
      <c r="AO31" s="108">
        <f t="shared" ref="AO31:AO36" si="12">AM31-AN31</f>
        <v>2632432</v>
      </c>
      <c r="AP31" s="39">
        <f>ROUND(SUM(Z293:Z304),0)</f>
        <v>5597931</v>
      </c>
      <c r="AQ31" s="43">
        <f t="shared" si="8"/>
        <v>32.646829741975282</v>
      </c>
      <c r="AR31" s="39">
        <f>ROUND(AVERAGE(E293:E304),0)</f>
        <v>21</v>
      </c>
      <c r="AS31" s="43">
        <f t="shared" si="9"/>
        <v>-8.6956521739130483</v>
      </c>
      <c r="AT31" s="39"/>
      <c r="AW31" s="39">
        <f t="shared" si="10"/>
        <v>266568143</v>
      </c>
      <c r="AX31" s="43">
        <f t="shared" si="11"/>
        <v>45.279860845154495</v>
      </c>
      <c r="BN31" s="4">
        <v>1985</v>
      </c>
      <c r="BO31" s="4">
        <v>3</v>
      </c>
      <c r="CI31" s="22">
        <v>2007</v>
      </c>
      <c r="CJ31" s="84">
        <f>ROUND(SUM(BT293:BT304),0)</f>
        <v>5691498</v>
      </c>
      <c r="CK31" s="84">
        <f>ROUND(SUM(BQ293:BQ304),0)</f>
        <v>3033617</v>
      </c>
      <c r="CL31" s="84">
        <f>ROUND(SUM(BP293:BP304),0)</f>
        <v>2657881</v>
      </c>
      <c r="CM31" s="47">
        <f t="shared" si="6"/>
        <v>38.113822913822901</v>
      </c>
      <c r="CN31" s="4">
        <f t="shared" si="7"/>
        <v>2657881</v>
      </c>
    </row>
    <row r="32" spans="1:93">
      <c r="A32" s="4">
        <v>1985</v>
      </c>
      <c r="B32" s="4">
        <v>4</v>
      </c>
      <c r="C32" s="4">
        <f>'[2]FPC wSEB'!K129</f>
        <v>880</v>
      </c>
      <c r="D32" s="4">
        <f>'[2]FPC wSEB'!L129</f>
        <v>117805</v>
      </c>
      <c r="E32" s="4">
        <f>SUM('[2]FPC wSEB'!$AC129:$AD129)</f>
        <v>23</v>
      </c>
      <c r="Z32" s="6">
        <f t="shared" si="5"/>
        <v>118685</v>
      </c>
      <c r="AL32" s="4">
        <v>2008</v>
      </c>
      <c r="AM32" s="50">
        <f>ROUND(SUM(Z305:Z316),0)</f>
        <v>6619472</v>
      </c>
      <c r="AN32" s="50">
        <f>ROUND(SUM(D305:D316),0)</f>
        <v>3673887</v>
      </c>
      <c r="AO32" s="108">
        <f t="shared" si="12"/>
        <v>2945585</v>
      </c>
      <c r="AP32" s="39">
        <f>ROUND(SUM(Z305:Z316),0)</f>
        <v>6619472</v>
      </c>
      <c r="AQ32" s="43">
        <f t="shared" si="8"/>
        <v>18.248545757352129</v>
      </c>
      <c r="AR32" s="39">
        <f>ROUND(AVERAGE(E305:E316),0)</f>
        <v>24</v>
      </c>
      <c r="AS32" s="43">
        <f t="shared" si="9"/>
        <v>14.285714285714279</v>
      </c>
      <c r="AT32" s="39"/>
      <c r="AW32" s="39">
        <f t="shared" si="10"/>
        <v>275811333</v>
      </c>
      <c r="AX32" s="43">
        <f t="shared" si="11"/>
        <v>3.4674773571874207</v>
      </c>
      <c r="BN32" s="4">
        <v>1985</v>
      </c>
      <c r="BO32" s="4">
        <v>4</v>
      </c>
      <c r="CI32" s="51">
        <v>2008</v>
      </c>
      <c r="CJ32" s="84">
        <f>ROUND(SUM(BT305:BT316),0)</f>
        <v>6595747</v>
      </c>
      <c r="CK32" s="84">
        <f>ROUND(SUM(BQ305:BQ316),0)</f>
        <v>3686127</v>
      </c>
      <c r="CL32" s="84">
        <f>ROUND(SUM(BP305:BP316),0)</f>
        <v>2909620</v>
      </c>
      <c r="CM32" s="47">
        <f t="shared" si="6"/>
        <v>15.887715325561036</v>
      </c>
      <c r="CN32" s="4">
        <f t="shared" si="7"/>
        <v>2909620</v>
      </c>
    </row>
    <row r="33" spans="1:92">
      <c r="A33" s="4">
        <v>1985</v>
      </c>
      <c r="B33" s="4">
        <v>5</v>
      </c>
      <c r="C33" s="4">
        <f>'[2]FPC wSEB'!K130</f>
        <v>97</v>
      </c>
      <c r="D33" s="4">
        <f>'[2]FPC wSEB'!L130</f>
        <v>136188</v>
      </c>
      <c r="E33" s="4">
        <f>SUM('[2]FPC wSEB'!$AC130:$AD130)</f>
        <v>23</v>
      </c>
      <c r="Z33" s="6">
        <f t="shared" si="5"/>
        <v>136285</v>
      </c>
      <c r="AL33" s="4">
        <v>2009</v>
      </c>
      <c r="AM33" s="50">
        <f>ROUND(SUM(Z317:Z328),0)</f>
        <v>3696170</v>
      </c>
      <c r="AN33" s="50">
        <f>ROUND(SUM(D317:D328),0)</f>
        <v>2478667</v>
      </c>
      <c r="AO33" s="108">
        <f t="shared" si="12"/>
        <v>1217503</v>
      </c>
      <c r="AP33" s="39">
        <f>ROUND(SUM(Z317:Z328),0)</f>
        <v>3696170</v>
      </c>
      <c r="AQ33" s="43">
        <f t="shared" si="8"/>
        <v>-44.162162782771794</v>
      </c>
      <c r="AR33" s="39">
        <f>ROUND(AVERAGE(E317:E328),0)</f>
        <v>23</v>
      </c>
      <c r="AS33" s="43">
        <f t="shared" si="9"/>
        <v>-4.1666666666666625</v>
      </c>
      <c r="AT33" s="39"/>
      <c r="AW33" s="39">
        <f t="shared" si="10"/>
        <v>160703043</v>
      </c>
      <c r="AX33" s="43">
        <f t="shared" si="11"/>
        <v>-41.734430832833112</v>
      </c>
      <c r="BN33" s="4">
        <v>1985</v>
      </c>
      <c r="BO33" s="4">
        <v>5</v>
      </c>
      <c r="CI33" s="22">
        <v>2009</v>
      </c>
      <c r="CJ33" s="84">
        <f>ROUND(SUM(BT317:BT328),0)</f>
        <v>3489161</v>
      </c>
      <c r="CK33" s="84">
        <f>ROUND(SUM(BQ317:BQ328),0)</f>
        <v>2347391</v>
      </c>
      <c r="CL33" s="84">
        <f>ROUND(SUM(BP317:BP328),0)</f>
        <v>1141770</v>
      </c>
      <c r="CM33" s="47">
        <f t="shared" si="6"/>
        <v>-47.099835697154546</v>
      </c>
      <c r="CN33" s="4">
        <f t="shared" si="7"/>
        <v>1141770</v>
      </c>
    </row>
    <row r="34" spans="1:92">
      <c r="A34" s="4">
        <v>1985</v>
      </c>
      <c r="B34" s="4">
        <v>6</v>
      </c>
      <c r="C34" s="4">
        <f>'[2]FPC wSEB'!K131</f>
        <v>66</v>
      </c>
      <c r="D34" s="4">
        <f>'[2]FPC wSEB'!L131</f>
        <v>170214</v>
      </c>
      <c r="E34" s="4">
        <f>SUM('[2]FPC wSEB'!$AC131:$AD131)</f>
        <v>24</v>
      </c>
      <c r="Z34" s="6">
        <f t="shared" si="5"/>
        <v>170280</v>
      </c>
      <c r="AL34" s="4">
        <v>2010</v>
      </c>
      <c r="AM34" s="50">
        <f>ROUND(SUM(Z329:Z340),0)</f>
        <v>3493032</v>
      </c>
      <c r="AN34" s="50">
        <f>ROUND(SUM(D329:D340),0)</f>
        <v>2209127</v>
      </c>
      <c r="AO34" s="108">
        <f t="shared" si="12"/>
        <v>1283905</v>
      </c>
      <c r="AP34" s="39">
        <f>ROUND(SUM(Z329:Z340),0)</f>
        <v>3493032</v>
      </c>
      <c r="AQ34" s="43">
        <f t="shared" ref="AQ34" si="13">(AP34/AP33-1)*100</f>
        <v>-5.4959052208096493</v>
      </c>
      <c r="AR34" s="39">
        <f>ROUND(AVERAGE(E329:E340),0)</f>
        <v>19</v>
      </c>
      <c r="AS34" s="43">
        <f t="shared" ref="AS34" si="14">(AR34/AR33-1)*100</f>
        <v>-17.391304347826086</v>
      </c>
      <c r="AT34" s="39"/>
      <c r="AW34" s="39">
        <f t="shared" ref="AW34" si="15">ROUND((AP34/AR34*1000),0)</f>
        <v>183843789</v>
      </c>
      <c r="AX34" s="43">
        <f t="shared" ref="AX34" si="16">(AW34/AW33-1)*100</f>
        <v>14.399693725774698</v>
      </c>
      <c r="BN34" s="4">
        <v>1985</v>
      </c>
      <c r="BO34" s="4">
        <v>6</v>
      </c>
      <c r="CI34" s="51">
        <v>2010</v>
      </c>
      <c r="CJ34" s="84">
        <f>ROUND(SUM(BT329:BT340),0)</f>
        <v>3659326</v>
      </c>
      <c r="CK34" s="84">
        <f>ROUND(SUM(BQ329:BQ340),0)</f>
        <v>2259601</v>
      </c>
      <c r="CL34" s="84">
        <f>ROUND(SUM(BP329:BP340),0)</f>
        <v>1399725</v>
      </c>
      <c r="CM34" s="47">
        <f t="shared" si="6"/>
        <v>4.8769603924840421</v>
      </c>
      <c r="CN34" s="4">
        <f t="shared" si="7"/>
        <v>1399725</v>
      </c>
    </row>
    <row r="35" spans="1:92">
      <c r="A35" s="4">
        <v>1985</v>
      </c>
      <c r="B35" s="4">
        <v>7</v>
      </c>
      <c r="C35" s="4">
        <f>'[2]FPC wSEB'!K132</f>
        <v>66</v>
      </c>
      <c r="D35" s="4">
        <f>'[2]FPC wSEB'!L132</f>
        <v>158773</v>
      </c>
      <c r="E35" s="4">
        <f>SUM('[2]FPC wSEB'!$AC132:$AD132)</f>
        <v>23</v>
      </c>
      <c r="Z35" s="6">
        <f t="shared" si="5"/>
        <v>158839</v>
      </c>
      <c r="AL35" s="4">
        <v>2011</v>
      </c>
      <c r="AM35" s="50">
        <f>ROUND(SUM(Z341:Z352),0)</f>
        <v>2712395</v>
      </c>
      <c r="AN35" s="50">
        <f>ROUND(SUM(D341:D352),0)</f>
        <v>1410048</v>
      </c>
      <c r="AO35" s="108">
        <f t="shared" si="12"/>
        <v>1302347</v>
      </c>
      <c r="AP35" s="39">
        <f>ROUND(SUM(Z341:Z352),0)</f>
        <v>2712395</v>
      </c>
      <c r="AQ35" s="43">
        <f t="shared" ref="AQ35" si="17">(AP35/AP34-1)*100</f>
        <v>-22.348406770965745</v>
      </c>
      <c r="AR35" s="39">
        <f>ROUND(AVERAGE(E330:E341),0)</f>
        <v>19</v>
      </c>
      <c r="AS35" s="43">
        <f t="shared" ref="AS35" si="18">(AR35/AR34-1)*100</f>
        <v>0</v>
      </c>
      <c r="AT35" s="39"/>
      <c r="AW35" s="39">
        <f t="shared" ref="AW35" si="19">ROUND((AP35/AR35*1000),0)</f>
        <v>142757632</v>
      </c>
      <c r="AX35" s="43">
        <f t="shared" ref="AX35" si="20">(AW35/AW34-1)*100</f>
        <v>-22.348406341864504</v>
      </c>
      <c r="BN35" s="4">
        <v>1985</v>
      </c>
      <c r="BO35" s="4">
        <v>7</v>
      </c>
      <c r="CI35" s="51">
        <v>2011</v>
      </c>
      <c r="CJ35" s="84">
        <f>ROUND(SUM(BT341:BT352),0)</f>
        <v>2559683</v>
      </c>
      <c r="CK35" s="84">
        <f>ROUND(SUM(BQ341:BQ352),0)</f>
        <v>1299555</v>
      </c>
      <c r="CL35" s="84">
        <f>ROUND(SUM(BP341:BP352),0)</f>
        <v>1260128</v>
      </c>
      <c r="CM35" s="47">
        <f t="shared" si="6"/>
        <v>-30.050424586385581</v>
      </c>
      <c r="CN35" s="4">
        <f t="shared" si="7"/>
        <v>1260128</v>
      </c>
    </row>
    <row r="36" spans="1:92">
      <c r="A36" s="4">
        <v>1985</v>
      </c>
      <c r="B36" s="4">
        <v>8</v>
      </c>
      <c r="C36" s="4">
        <f>'[2]FPC wSEB'!K133</f>
        <v>650</v>
      </c>
      <c r="D36" s="4">
        <f>'[2]FPC wSEB'!L133</f>
        <v>171332</v>
      </c>
      <c r="E36" s="4">
        <f>SUM('[2]FPC wSEB'!$AC133:$AD133)</f>
        <v>23</v>
      </c>
      <c r="Z36" s="6">
        <f t="shared" si="5"/>
        <v>171982</v>
      </c>
      <c r="AL36" s="4">
        <v>2012</v>
      </c>
      <c r="AM36" s="50">
        <f>ROUND(SUM(Z353:Z364),0)</f>
        <v>1767552</v>
      </c>
      <c r="AN36" s="50">
        <f>ROUND(SUM(D353:D364),0)</f>
        <v>1031652</v>
      </c>
      <c r="AO36" s="108">
        <f t="shared" si="12"/>
        <v>735900</v>
      </c>
      <c r="AP36" s="39">
        <f>ROUND(SUM(Z353:Z364),0)</f>
        <v>1767552</v>
      </c>
      <c r="AQ36" s="43">
        <f t="shared" ref="AQ36" si="21">(AP36/AP35-1)*100</f>
        <v>-34.834270082344197</v>
      </c>
      <c r="AR36" s="39">
        <f>ROUND(AVERAGE(E331:E364),0)</f>
        <v>17</v>
      </c>
      <c r="AS36" s="43">
        <f t="shared" ref="AS36" si="22">(AR36/AR35-1)*100</f>
        <v>-10.526315789473683</v>
      </c>
      <c r="AT36" s="39"/>
      <c r="AW36" s="39">
        <f t="shared" ref="AW36" si="23">ROUND((AP36/AR36*1000),0)</f>
        <v>103973647</v>
      </c>
      <c r="AX36" s="43">
        <f t="shared" ref="AX36" si="24">(AW36/AW35-1)*100</f>
        <v>-27.167713877461907</v>
      </c>
      <c r="BN36" s="4">
        <v>1985</v>
      </c>
      <c r="BO36" s="4">
        <v>8</v>
      </c>
      <c r="CI36" s="51">
        <v>2012</v>
      </c>
      <c r="CJ36" s="84">
        <f>ROUND(SUM(BT353:BT364),0)</f>
        <v>1801394</v>
      </c>
      <c r="CK36" s="84">
        <f>ROUND(SUM(BQ353:BQ364),0)</f>
        <v>1043265</v>
      </c>
      <c r="CL36" s="84">
        <f>ROUND(SUM(BP353:BP364),0)</f>
        <v>758129</v>
      </c>
      <c r="CM36" s="47">
        <f t="shared" ref="CM36" si="25">(CJ36/CJ35-1)*100</f>
        <v>-29.624332388033991</v>
      </c>
      <c r="CN36" s="4">
        <f t="shared" ref="CN36" si="26">CJ36-CK36</f>
        <v>758129</v>
      </c>
    </row>
    <row r="37" spans="1:92">
      <c r="A37" s="4">
        <v>1985</v>
      </c>
      <c r="B37" s="4">
        <v>9</v>
      </c>
      <c r="C37" s="4">
        <f>'[2]FPC wSEB'!K134</f>
        <v>225</v>
      </c>
      <c r="D37" s="4">
        <f>'[2]FPC wSEB'!L134</f>
        <v>162107</v>
      </c>
      <c r="E37" s="4">
        <f>SUM('[2]FPC wSEB'!$AC134:$AD134)</f>
        <v>24</v>
      </c>
      <c r="Z37" s="6">
        <f t="shared" si="5"/>
        <v>162332</v>
      </c>
      <c r="AL37" s="4">
        <v>2013</v>
      </c>
      <c r="AM37" s="50">
        <f>ROUND(SUM(Z365:Z376),0)</f>
        <v>1488496</v>
      </c>
      <c r="AN37" s="50">
        <f>ROUND(SUM(D365:D376),0)</f>
        <v>860240</v>
      </c>
      <c r="AO37" s="108">
        <f t="shared" ref="AO37" si="27">AM37-AN37</f>
        <v>628256</v>
      </c>
      <c r="AP37" s="39">
        <f>ROUND(SUM(Z365:Z376),0)</f>
        <v>1488496</v>
      </c>
      <c r="AQ37" s="43">
        <f t="shared" ref="AQ37" si="28">(AP37/AP36-1)*100</f>
        <v>-15.787710913172571</v>
      </c>
      <c r="AR37" s="39">
        <f>ROUND(AVERAGE(E332:E365),0)</f>
        <v>16</v>
      </c>
      <c r="AS37" s="43">
        <f t="shared" ref="AS37" si="29">(AR37/AR36-1)*100</f>
        <v>-5.8823529411764719</v>
      </c>
      <c r="AT37" s="39"/>
      <c r="AW37" s="39">
        <f t="shared" ref="AW37" si="30">ROUND((AP37/AR37*1000),0)</f>
        <v>93031000</v>
      </c>
      <c r="AX37" s="43">
        <f t="shared" ref="AX37" si="31">(AW37/AW36-1)*100</f>
        <v>-10.524442794624678</v>
      </c>
      <c r="BN37" s="4">
        <v>1985</v>
      </c>
      <c r="BO37" s="4">
        <v>9</v>
      </c>
    </row>
    <row r="38" spans="1:92">
      <c r="A38" s="4">
        <v>1985</v>
      </c>
      <c r="B38" s="4">
        <v>10</v>
      </c>
      <c r="C38" s="4">
        <f>'[2]FPC wSEB'!K135</f>
        <v>105</v>
      </c>
      <c r="D38" s="4">
        <f>'[2]FPC wSEB'!L135</f>
        <v>161125</v>
      </c>
      <c r="E38" s="4">
        <f>SUM('[2]FPC wSEB'!$AC135:$AD135)</f>
        <v>22</v>
      </c>
      <c r="Z38" s="6">
        <f t="shared" si="5"/>
        <v>161230</v>
      </c>
      <c r="BN38" s="4">
        <v>1985</v>
      </c>
      <c r="BO38" s="4">
        <v>10</v>
      </c>
    </row>
    <row r="39" spans="1:92">
      <c r="A39" s="4">
        <v>1985</v>
      </c>
      <c r="B39" s="4">
        <v>11</v>
      </c>
      <c r="C39" s="4">
        <f>'[2]FPC wSEB'!K136</f>
        <v>104</v>
      </c>
      <c r="D39" s="4">
        <f>'[2]FPC wSEB'!L136</f>
        <v>137270</v>
      </c>
      <c r="E39" s="4">
        <f>SUM('[2]FPC wSEB'!$AC136:$AD136)</f>
        <v>23</v>
      </c>
      <c r="Z39" s="6">
        <f t="shared" si="5"/>
        <v>137374</v>
      </c>
      <c r="BN39" s="4">
        <v>1985</v>
      </c>
      <c r="BO39" s="4">
        <v>11</v>
      </c>
    </row>
    <row r="40" spans="1:92">
      <c r="A40" s="4">
        <v>1985</v>
      </c>
      <c r="B40" s="4">
        <v>12</v>
      </c>
      <c r="C40" s="4">
        <f>'[2]FPC wSEB'!K137</f>
        <v>94</v>
      </c>
      <c r="D40" s="4">
        <f>'[2]FPC wSEB'!L137</f>
        <v>137052</v>
      </c>
      <c r="E40" s="4">
        <f>SUM('[2]FPC wSEB'!$AC137:$AD137)</f>
        <v>23</v>
      </c>
      <c r="Z40" s="6">
        <f t="shared" si="5"/>
        <v>137146</v>
      </c>
      <c r="BN40" s="4">
        <v>1985</v>
      </c>
      <c r="BO40" s="4">
        <v>12</v>
      </c>
    </row>
    <row r="41" spans="1:92">
      <c r="A41" s="4">
        <v>1986</v>
      </c>
      <c r="B41" s="4">
        <v>1</v>
      </c>
      <c r="C41" s="4">
        <f>'[2]FPC wSEB'!K138</f>
        <v>80</v>
      </c>
      <c r="D41" s="4">
        <f>'[2]FPC wSEB'!L138</f>
        <v>153697</v>
      </c>
      <c r="E41" s="4">
        <f>SUM('[2]FPC wSEB'!$AC138:$AD138)</f>
        <v>21</v>
      </c>
      <c r="Z41" s="6">
        <f t="shared" si="5"/>
        <v>153777</v>
      </c>
      <c r="BN41" s="4">
        <v>1986</v>
      </c>
      <c r="BO41" s="4">
        <v>1</v>
      </c>
    </row>
    <row r="42" spans="1:92">
      <c r="A42" s="4">
        <v>1986</v>
      </c>
      <c r="B42" s="4">
        <v>2</v>
      </c>
      <c r="C42" s="4">
        <f>'[2]FPC wSEB'!K139</f>
        <v>4113</v>
      </c>
      <c r="D42" s="4">
        <f>'[2]FPC wSEB'!L139</f>
        <v>132919</v>
      </c>
      <c r="E42" s="4">
        <f>SUM('[2]FPC wSEB'!$AC139:$AD139)</f>
        <v>21</v>
      </c>
      <c r="Z42" s="6">
        <f t="shared" si="5"/>
        <v>137032</v>
      </c>
      <c r="BN42" s="4">
        <v>1986</v>
      </c>
      <c r="BO42" s="4">
        <v>2</v>
      </c>
    </row>
    <row r="43" spans="1:92">
      <c r="A43" s="4">
        <v>1986</v>
      </c>
      <c r="B43" s="4">
        <v>3</v>
      </c>
      <c r="C43" s="4">
        <f>'[2]FPC wSEB'!K140</f>
        <v>5534</v>
      </c>
      <c r="D43" s="4">
        <f>'[2]FPC wSEB'!L140</f>
        <v>129035</v>
      </c>
      <c r="E43" s="4">
        <f>SUM('[2]FPC wSEB'!$AC140:$AD140)</f>
        <v>21</v>
      </c>
      <c r="Z43" s="6">
        <f t="shared" si="5"/>
        <v>134569</v>
      </c>
      <c r="BN43" s="4">
        <v>1986</v>
      </c>
      <c r="BO43" s="4">
        <v>3</v>
      </c>
    </row>
    <row r="44" spans="1:92">
      <c r="A44" s="4">
        <v>1986</v>
      </c>
      <c r="B44" s="4">
        <v>4</v>
      </c>
      <c r="C44" s="4">
        <f>'[2]FPC wSEB'!K141</f>
        <v>762</v>
      </c>
      <c r="D44" s="4">
        <f>'[2]FPC wSEB'!L141</f>
        <v>123270</v>
      </c>
      <c r="E44" s="4">
        <f>SUM('[2]FPC wSEB'!$AC141:$AD141)</f>
        <v>21</v>
      </c>
      <c r="Z44" s="6">
        <f t="shared" si="5"/>
        <v>124032</v>
      </c>
      <c r="BN44" s="4">
        <v>1986</v>
      </c>
      <c r="BO44" s="4">
        <v>4</v>
      </c>
    </row>
    <row r="45" spans="1:92">
      <c r="A45" s="4">
        <v>1986</v>
      </c>
      <c r="B45" s="4">
        <v>5</v>
      </c>
      <c r="C45" s="4">
        <f>'[2]FPC wSEB'!K142</f>
        <v>476</v>
      </c>
      <c r="D45" s="4">
        <f>'[2]FPC wSEB'!L142</f>
        <v>66940</v>
      </c>
      <c r="E45" s="4">
        <f>SUM('[2]FPC wSEB'!$AC142:$AD142)</f>
        <v>14</v>
      </c>
      <c r="Z45" s="6">
        <f t="shared" si="5"/>
        <v>67416</v>
      </c>
      <c r="BN45" s="4">
        <v>1986</v>
      </c>
      <c r="BO45" s="4">
        <v>5</v>
      </c>
    </row>
    <row r="46" spans="1:92">
      <c r="A46" s="4">
        <v>1986</v>
      </c>
      <c r="B46" s="4">
        <v>6</v>
      </c>
      <c r="C46" s="4">
        <f>'[2]FPC wSEB'!K143</f>
        <v>70</v>
      </c>
      <c r="D46" s="4">
        <f>'[2]FPC wSEB'!L143</f>
        <v>94943</v>
      </c>
      <c r="E46" s="4">
        <f>SUM('[2]FPC wSEB'!$AC143:$AD143)</f>
        <v>15</v>
      </c>
      <c r="Z46" s="6">
        <f t="shared" si="5"/>
        <v>95013</v>
      </c>
      <c r="BN46" s="4">
        <v>1986</v>
      </c>
      <c r="BO46" s="4">
        <v>6</v>
      </c>
    </row>
    <row r="47" spans="1:92">
      <c r="A47" s="4">
        <v>1986</v>
      </c>
      <c r="B47" s="4">
        <v>7</v>
      </c>
      <c r="C47" s="4">
        <f>'[2]FPC wSEB'!K144</f>
        <v>72</v>
      </c>
      <c r="D47" s="4">
        <f>'[2]FPC wSEB'!L144</f>
        <v>106774</v>
      </c>
      <c r="E47" s="4">
        <f>SUM('[2]FPC wSEB'!$AC144:$AD144)</f>
        <v>16</v>
      </c>
      <c r="Z47" s="6">
        <f t="shared" si="5"/>
        <v>106846</v>
      </c>
      <c r="BN47" s="4">
        <v>1986</v>
      </c>
      <c r="BO47" s="4">
        <v>7</v>
      </c>
    </row>
    <row r="48" spans="1:92">
      <c r="A48" s="4">
        <v>1986</v>
      </c>
      <c r="B48" s="4">
        <v>8</v>
      </c>
      <c r="C48" s="4">
        <f>'[2]FPC wSEB'!K145</f>
        <v>182</v>
      </c>
      <c r="D48" s="4">
        <f>'[2]FPC wSEB'!L145</f>
        <v>121952</v>
      </c>
      <c r="E48" s="4">
        <f>SUM('[2]FPC wSEB'!$AC145:$AD145)</f>
        <v>16</v>
      </c>
      <c r="Z48" s="6">
        <f t="shared" si="5"/>
        <v>122134</v>
      </c>
      <c r="BN48" s="4">
        <v>1986</v>
      </c>
      <c r="BO48" s="4">
        <v>8</v>
      </c>
    </row>
    <row r="49" spans="1:67">
      <c r="A49" s="4">
        <v>1986</v>
      </c>
      <c r="B49" s="4">
        <v>9</v>
      </c>
      <c r="C49" s="4">
        <f>'[2]FPC wSEB'!K146</f>
        <v>2301</v>
      </c>
      <c r="D49" s="4">
        <f>'[2]FPC wSEB'!L146</f>
        <v>141820</v>
      </c>
      <c r="E49" s="4">
        <f>SUM('[2]FPC wSEB'!$AC146:$AD146)</f>
        <v>16</v>
      </c>
      <c r="Z49" s="6">
        <f t="shared" si="5"/>
        <v>144121</v>
      </c>
      <c r="BN49" s="4">
        <v>1986</v>
      </c>
      <c r="BO49" s="4">
        <v>9</v>
      </c>
    </row>
    <row r="50" spans="1:67">
      <c r="A50" s="4">
        <v>1986</v>
      </c>
      <c r="B50" s="4">
        <v>10</v>
      </c>
      <c r="C50" s="4">
        <f>'[2]FPC wSEB'!K147</f>
        <v>1156</v>
      </c>
      <c r="D50" s="4">
        <f>'[2]FPC wSEB'!L147</f>
        <v>112723</v>
      </c>
      <c r="E50" s="4">
        <f>SUM('[2]FPC wSEB'!$AC147:$AD147)</f>
        <v>16</v>
      </c>
      <c r="Z50" s="6">
        <f t="shared" si="5"/>
        <v>113879</v>
      </c>
      <c r="BN50" s="4">
        <v>1986</v>
      </c>
      <c r="BO50" s="4">
        <v>10</v>
      </c>
    </row>
    <row r="51" spans="1:67">
      <c r="A51" s="4">
        <v>1986</v>
      </c>
      <c r="B51" s="4">
        <v>11</v>
      </c>
      <c r="C51" s="4">
        <f>'[2]FPC wSEB'!K148</f>
        <v>347</v>
      </c>
      <c r="D51" s="4">
        <f>'[2]FPC wSEB'!L148</f>
        <v>113342</v>
      </c>
      <c r="E51" s="4">
        <f>SUM('[2]FPC wSEB'!$AC148:$AD148)</f>
        <v>16</v>
      </c>
      <c r="Z51" s="6">
        <f t="shared" si="5"/>
        <v>113689</v>
      </c>
      <c r="BN51" s="4">
        <v>1986</v>
      </c>
      <c r="BO51" s="4">
        <v>11</v>
      </c>
    </row>
    <row r="52" spans="1:67">
      <c r="A52" s="4">
        <v>1986</v>
      </c>
      <c r="B52" s="4">
        <v>12</v>
      </c>
      <c r="C52" s="4">
        <f>'[2]FPC wSEB'!K149</f>
        <v>527</v>
      </c>
      <c r="D52" s="4">
        <f>'[2]FPC wSEB'!L149</f>
        <v>94503</v>
      </c>
      <c r="E52" s="4">
        <f>SUM('[2]FPC wSEB'!$AC149:$AD149)</f>
        <v>16</v>
      </c>
      <c r="Z52" s="6">
        <f t="shared" si="5"/>
        <v>95030</v>
      </c>
      <c r="BN52" s="4">
        <v>1986</v>
      </c>
      <c r="BO52" s="4">
        <v>12</v>
      </c>
    </row>
    <row r="53" spans="1:67">
      <c r="A53" s="4">
        <v>1987</v>
      </c>
      <c r="B53" s="4">
        <v>1</v>
      </c>
      <c r="C53" s="4">
        <f>'[2]FPC wSEB'!K150</f>
        <v>75</v>
      </c>
      <c r="D53" s="4">
        <f>'[2]FPC wSEB'!L150</f>
        <v>92668</v>
      </c>
      <c r="E53" s="4">
        <f>SUM('[2]FPC wSEB'!$AC150:$AD150)</f>
        <v>17</v>
      </c>
      <c r="Z53" s="6">
        <f t="shared" si="5"/>
        <v>92743</v>
      </c>
      <c r="BN53" s="4">
        <v>1987</v>
      </c>
      <c r="BO53" s="4">
        <v>1</v>
      </c>
    </row>
    <row r="54" spans="1:67">
      <c r="A54" s="4">
        <v>1987</v>
      </c>
      <c r="B54" s="4">
        <v>2</v>
      </c>
      <c r="C54" s="4">
        <f>'[2]FPC wSEB'!K151</f>
        <v>60</v>
      </c>
      <c r="D54" s="4">
        <f>'[2]FPC wSEB'!L151</f>
        <v>96312</v>
      </c>
      <c r="E54" s="4">
        <f>SUM('[2]FPC wSEB'!$AC151:$AD151)</f>
        <v>17</v>
      </c>
      <c r="Z54" s="6">
        <f t="shared" si="5"/>
        <v>96372</v>
      </c>
      <c r="BN54" s="4">
        <v>1987</v>
      </c>
      <c r="BO54" s="4">
        <v>2</v>
      </c>
    </row>
    <row r="55" spans="1:67">
      <c r="A55" s="4">
        <v>1987</v>
      </c>
      <c r="B55" s="4">
        <v>3</v>
      </c>
      <c r="C55" s="4">
        <f>'[2]FPC wSEB'!K152</f>
        <v>5722</v>
      </c>
      <c r="D55" s="4">
        <f>'[2]FPC wSEB'!L152</f>
        <v>100670</v>
      </c>
      <c r="E55" s="4">
        <f>SUM('[2]FPC wSEB'!$AC152:$AD152)</f>
        <v>17</v>
      </c>
      <c r="Z55" s="6">
        <f t="shared" si="5"/>
        <v>106392</v>
      </c>
      <c r="BN55" s="4">
        <v>1987</v>
      </c>
      <c r="BO55" s="4">
        <v>3</v>
      </c>
    </row>
    <row r="56" spans="1:67">
      <c r="A56" s="4">
        <v>1987</v>
      </c>
      <c r="B56" s="4">
        <v>4</v>
      </c>
      <c r="C56" s="4">
        <f>'[2]FPC wSEB'!K153</f>
        <v>1940</v>
      </c>
      <c r="D56" s="4">
        <f>'[2]FPC wSEB'!L153</f>
        <v>94909</v>
      </c>
      <c r="E56" s="4">
        <f>SUM('[2]FPC wSEB'!$AC153:$AD153)</f>
        <v>17</v>
      </c>
      <c r="Z56" s="6">
        <f t="shared" si="5"/>
        <v>96849</v>
      </c>
      <c r="BN56" s="4">
        <v>1987</v>
      </c>
      <c r="BO56" s="4">
        <v>4</v>
      </c>
    </row>
    <row r="57" spans="1:67">
      <c r="A57" s="4">
        <v>1987</v>
      </c>
      <c r="B57" s="4">
        <v>5</v>
      </c>
      <c r="C57" s="4">
        <f>'[2]FPC wSEB'!K154</f>
        <v>93</v>
      </c>
      <c r="D57" s="4">
        <f>'[2]FPC wSEB'!L154</f>
        <v>101079</v>
      </c>
      <c r="E57" s="4">
        <f>SUM('[2]FPC wSEB'!$AC154:$AD154)</f>
        <v>16</v>
      </c>
      <c r="Z57" s="6">
        <f t="shared" si="5"/>
        <v>101172</v>
      </c>
      <c r="BN57" s="4">
        <v>1987</v>
      </c>
      <c r="BO57" s="4">
        <v>5</v>
      </c>
    </row>
    <row r="58" spans="1:67">
      <c r="A58" s="4">
        <v>1987</v>
      </c>
      <c r="B58" s="4">
        <v>6</v>
      </c>
      <c r="C58" s="4">
        <f>'[2]FPC wSEB'!K155</f>
        <v>578</v>
      </c>
      <c r="D58" s="4">
        <f>'[2]FPC wSEB'!L155</f>
        <v>103397</v>
      </c>
      <c r="E58" s="4">
        <f>SUM('[2]FPC wSEB'!$AC155:$AD155)</f>
        <v>17</v>
      </c>
      <c r="Z58" s="6">
        <f t="shared" si="5"/>
        <v>103975</v>
      </c>
      <c r="BN58" s="4">
        <v>1987</v>
      </c>
      <c r="BO58" s="4">
        <v>6</v>
      </c>
    </row>
    <row r="59" spans="1:67">
      <c r="A59" s="4">
        <v>1987</v>
      </c>
      <c r="B59" s="4">
        <v>7</v>
      </c>
      <c r="C59" s="4">
        <f>'[2]FPC wSEB'!K156</f>
        <v>63</v>
      </c>
      <c r="D59" s="4">
        <f>'[2]FPC wSEB'!L156</f>
        <v>135127</v>
      </c>
      <c r="E59" s="4">
        <f>SUM('[2]FPC wSEB'!$AC156:$AD156)</f>
        <v>18</v>
      </c>
      <c r="Z59" s="6">
        <f t="shared" si="5"/>
        <v>135190</v>
      </c>
      <c r="BN59" s="4">
        <v>1987</v>
      </c>
      <c r="BO59" s="4">
        <v>7</v>
      </c>
    </row>
    <row r="60" spans="1:67">
      <c r="A60" s="4">
        <v>1987</v>
      </c>
      <c r="B60" s="4">
        <v>8</v>
      </c>
      <c r="C60" s="4">
        <f>'[2]FPC wSEB'!K157</f>
        <v>3794</v>
      </c>
      <c r="D60" s="4">
        <f>'[2]FPC wSEB'!L157</f>
        <v>149366</v>
      </c>
      <c r="E60" s="4">
        <f>SUM('[2]FPC wSEB'!$AC157:$AD157)</f>
        <v>17</v>
      </c>
      <c r="Z60" s="6">
        <f t="shared" si="5"/>
        <v>153160</v>
      </c>
      <c r="BN60" s="4">
        <v>1987</v>
      </c>
      <c r="BO60" s="4">
        <v>8</v>
      </c>
    </row>
    <row r="61" spans="1:67">
      <c r="A61" s="4">
        <v>1987</v>
      </c>
      <c r="B61" s="4">
        <v>9</v>
      </c>
      <c r="C61" s="4">
        <f>'[2]FPC wSEB'!K158</f>
        <v>10085</v>
      </c>
      <c r="D61" s="4">
        <f>'[2]FPC wSEB'!L158</f>
        <v>152712</v>
      </c>
      <c r="E61" s="4">
        <f>SUM('[2]FPC wSEB'!$AC158:$AD158)</f>
        <v>18</v>
      </c>
      <c r="Z61" s="6">
        <f t="shared" si="5"/>
        <v>162797</v>
      </c>
      <c r="BN61" s="4">
        <v>1987</v>
      </c>
      <c r="BO61" s="4">
        <v>9</v>
      </c>
    </row>
    <row r="62" spans="1:67">
      <c r="A62" s="4">
        <v>1987</v>
      </c>
      <c r="B62" s="4">
        <v>10</v>
      </c>
      <c r="C62" s="4">
        <f>'[2]FPC wSEB'!K159</f>
        <v>20870</v>
      </c>
      <c r="D62" s="4">
        <f>'[2]FPC wSEB'!L159</f>
        <v>144541</v>
      </c>
      <c r="E62" s="4">
        <f>SUM('[2]FPC wSEB'!$AC159:$AD159)</f>
        <v>18</v>
      </c>
      <c r="Z62" s="6">
        <f t="shared" si="5"/>
        <v>165411</v>
      </c>
      <c r="BN62" s="4">
        <v>1987</v>
      </c>
      <c r="BO62" s="4">
        <v>10</v>
      </c>
    </row>
    <row r="63" spans="1:67">
      <c r="A63" s="4">
        <v>1987</v>
      </c>
      <c r="B63" s="4">
        <v>11</v>
      </c>
      <c r="C63" s="4">
        <f>'[2]FPC wSEB'!K160</f>
        <v>4964</v>
      </c>
      <c r="D63" s="4">
        <f>'[2]FPC wSEB'!L160</f>
        <v>121961</v>
      </c>
      <c r="E63" s="4">
        <f>SUM('[2]FPC wSEB'!$AC160:$AD160)</f>
        <v>18</v>
      </c>
      <c r="Z63" s="6">
        <f t="shared" si="5"/>
        <v>126925</v>
      </c>
      <c r="BN63" s="4">
        <v>1987</v>
      </c>
      <c r="BO63" s="4">
        <v>11</v>
      </c>
    </row>
    <row r="64" spans="1:67">
      <c r="A64" s="4">
        <v>1987</v>
      </c>
      <c r="B64" s="4">
        <v>12</v>
      </c>
      <c r="C64" s="4">
        <f>'[2]FPC wSEB'!K161</f>
        <v>99</v>
      </c>
      <c r="D64" s="4">
        <f>'[2]FPC wSEB'!L161</f>
        <v>99804</v>
      </c>
      <c r="E64" s="4">
        <f>SUM('[2]FPC wSEB'!$AC161:$AD161)</f>
        <v>18</v>
      </c>
      <c r="Z64" s="6">
        <f t="shared" si="5"/>
        <v>99903</v>
      </c>
      <c r="BN64" s="4">
        <v>1987</v>
      </c>
      <c r="BO64" s="4">
        <v>12</v>
      </c>
    </row>
    <row r="65" spans="1:67">
      <c r="A65" s="4">
        <v>1988</v>
      </c>
      <c r="B65" s="4">
        <v>1</v>
      </c>
      <c r="C65" s="4">
        <f>'[2]FPC wSEB'!K162</f>
        <v>66</v>
      </c>
      <c r="D65" s="4">
        <f>'[2]FPC wSEB'!L162</f>
        <v>107484</v>
      </c>
      <c r="E65" s="4">
        <f>SUM('[2]FPC wSEB'!$AC162:$AD162)</f>
        <v>15</v>
      </c>
      <c r="Z65" s="6">
        <f t="shared" si="5"/>
        <v>107550</v>
      </c>
      <c r="BN65" s="4">
        <v>1988</v>
      </c>
      <c r="BO65" s="4">
        <v>1</v>
      </c>
    </row>
    <row r="66" spans="1:67">
      <c r="A66" s="4">
        <v>1988</v>
      </c>
      <c r="B66" s="4">
        <v>2</v>
      </c>
      <c r="C66" s="4">
        <f>'[2]FPC wSEB'!K163</f>
        <v>3240</v>
      </c>
      <c r="D66" s="4">
        <f>'[2]FPC wSEB'!L163</f>
        <v>90674</v>
      </c>
      <c r="E66" s="4">
        <f>SUM('[2]FPC wSEB'!$AC163:$AD163)</f>
        <v>16</v>
      </c>
      <c r="Z66" s="6">
        <f t="shared" si="5"/>
        <v>93914</v>
      </c>
      <c r="BN66" s="4">
        <v>1988</v>
      </c>
      <c r="BO66" s="4">
        <v>2</v>
      </c>
    </row>
    <row r="67" spans="1:67">
      <c r="A67" s="4">
        <v>1988</v>
      </c>
      <c r="B67" s="4">
        <v>3</v>
      </c>
      <c r="C67" s="4">
        <f>'[2]FPC wSEB'!K164</f>
        <v>15276</v>
      </c>
      <c r="D67" s="4">
        <f>'[2]FPC wSEB'!L164</f>
        <v>88429</v>
      </c>
      <c r="E67" s="4">
        <f>SUM('[2]FPC wSEB'!$AC164:$AD164)</f>
        <v>16</v>
      </c>
      <c r="Z67" s="6">
        <f t="shared" si="5"/>
        <v>103705</v>
      </c>
      <c r="BN67" s="4">
        <v>1988</v>
      </c>
      <c r="BO67" s="4">
        <v>3</v>
      </c>
    </row>
    <row r="68" spans="1:67">
      <c r="A68" s="4">
        <v>1988</v>
      </c>
      <c r="B68" s="4">
        <v>4</v>
      </c>
      <c r="C68" s="4">
        <f>'[2]FPC wSEB'!K165</f>
        <v>8458</v>
      </c>
      <c r="D68" s="4">
        <f>'[2]FPC wSEB'!L165</f>
        <v>89383</v>
      </c>
      <c r="E68" s="4">
        <f>SUM('[2]FPC wSEB'!$AC165:$AD165)</f>
        <v>16</v>
      </c>
      <c r="Z68" s="6">
        <f t="shared" si="5"/>
        <v>97841</v>
      </c>
      <c r="BN68" s="4">
        <v>1988</v>
      </c>
      <c r="BO68" s="4">
        <v>4</v>
      </c>
    </row>
    <row r="69" spans="1:67">
      <c r="A69" s="4">
        <v>1988</v>
      </c>
      <c r="B69" s="4">
        <v>5</v>
      </c>
      <c r="C69" s="4">
        <f>'[2]FPC wSEB'!K166</f>
        <v>1728</v>
      </c>
      <c r="D69" s="4">
        <f>'[2]FPC wSEB'!L166</f>
        <v>92666</v>
      </c>
      <c r="E69" s="4">
        <f>SUM('[2]FPC wSEB'!$AC166:$AD166)</f>
        <v>16</v>
      </c>
      <c r="Z69" s="6">
        <f t="shared" si="5"/>
        <v>94394</v>
      </c>
      <c r="BN69" s="4">
        <v>1988</v>
      </c>
      <c r="BO69" s="4">
        <v>5</v>
      </c>
    </row>
    <row r="70" spans="1:67">
      <c r="A70" s="4">
        <v>1988</v>
      </c>
      <c r="B70" s="4">
        <v>6</v>
      </c>
      <c r="C70" s="4">
        <f>'[2]FPC wSEB'!K167</f>
        <v>129</v>
      </c>
      <c r="D70" s="4">
        <f>'[2]FPC wSEB'!L167</f>
        <v>103333</v>
      </c>
      <c r="E70" s="4">
        <f>SUM('[2]FPC wSEB'!$AC167:$AD167)</f>
        <v>17</v>
      </c>
      <c r="Z70" s="6">
        <f t="shared" si="5"/>
        <v>103462</v>
      </c>
      <c r="BN70" s="4">
        <v>1988</v>
      </c>
      <c r="BO70" s="4">
        <v>6</v>
      </c>
    </row>
    <row r="71" spans="1:67">
      <c r="A71" s="4">
        <v>1988</v>
      </c>
      <c r="B71" s="4">
        <v>7</v>
      </c>
      <c r="C71" s="4">
        <f>'[2]FPC wSEB'!K168</f>
        <v>651</v>
      </c>
      <c r="D71" s="4">
        <f>'[2]FPC wSEB'!L168</f>
        <v>126081</v>
      </c>
      <c r="E71" s="4">
        <f>SUM('[2]FPC wSEB'!$AC168:$AD168)</f>
        <v>17</v>
      </c>
      <c r="Z71" s="6">
        <f t="shared" si="5"/>
        <v>126732</v>
      </c>
      <c r="BN71" s="4">
        <v>1988</v>
      </c>
      <c r="BO71" s="4">
        <v>7</v>
      </c>
    </row>
    <row r="72" spans="1:67">
      <c r="A72" s="4">
        <v>1988</v>
      </c>
      <c r="B72" s="4">
        <v>8</v>
      </c>
      <c r="C72" s="4">
        <f>'[2]FPC wSEB'!K169</f>
        <v>7025</v>
      </c>
      <c r="D72" s="4">
        <f>'[2]FPC wSEB'!L169</f>
        <v>147744</v>
      </c>
      <c r="E72" s="4">
        <f>SUM('[2]FPC wSEB'!$AC169:$AD169)</f>
        <v>17</v>
      </c>
      <c r="Z72" s="6">
        <f t="shared" si="5"/>
        <v>154769</v>
      </c>
      <c r="BN72" s="4">
        <v>1988</v>
      </c>
      <c r="BO72" s="4">
        <v>8</v>
      </c>
    </row>
    <row r="73" spans="1:67">
      <c r="A73" s="4">
        <v>1988</v>
      </c>
      <c r="B73" s="4">
        <v>9</v>
      </c>
      <c r="C73" s="4">
        <f>'[2]FPC wSEB'!K170</f>
        <v>15241</v>
      </c>
      <c r="D73" s="4">
        <f>'[2]FPC wSEB'!L170</f>
        <v>137309</v>
      </c>
      <c r="E73" s="4">
        <f>SUM('[2]FPC wSEB'!$AC170:$AD170)</f>
        <v>17</v>
      </c>
      <c r="Z73" s="6">
        <f t="shared" si="5"/>
        <v>152550</v>
      </c>
      <c r="BN73" s="4">
        <v>1988</v>
      </c>
      <c r="BO73" s="4">
        <v>9</v>
      </c>
    </row>
    <row r="74" spans="1:67">
      <c r="A74" s="4">
        <v>1988</v>
      </c>
      <c r="B74" s="4">
        <v>10</v>
      </c>
      <c r="C74" s="4">
        <f>'[2]FPC wSEB'!K171</f>
        <v>20701</v>
      </c>
      <c r="D74" s="4">
        <f>'[2]FPC wSEB'!L171</f>
        <v>146426</v>
      </c>
      <c r="E74" s="4">
        <f>SUM('[2]FPC wSEB'!$AC171:$AD171)</f>
        <v>17</v>
      </c>
      <c r="Z74" s="6">
        <f t="shared" si="5"/>
        <v>167127</v>
      </c>
      <c r="BN74" s="4">
        <v>1988</v>
      </c>
      <c r="BO74" s="4">
        <v>10</v>
      </c>
    </row>
    <row r="75" spans="1:67">
      <c r="A75" s="4">
        <v>1988</v>
      </c>
      <c r="B75" s="4">
        <v>11</v>
      </c>
      <c r="C75" s="4">
        <f>'[2]FPC wSEB'!K172</f>
        <v>16554</v>
      </c>
      <c r="D75" s="4">
        <f>'[2]FPC wSEB'!L172</f>
        <v>113525</v>
      </c>
      <c r="E75" s="4">
        <f>SUM('[2]FPC wSEB'!$AC172:$AD172)</f>
        <v>16</v>
      </c>
      <c r="Z75" s="6">
        <f t="shared" si="5"/>
        <v>130079</v>
      </c>
      <c r="BN75" s="4">
        <v>1988</v>
      </c>
      <c r="BO75" s="4">
        <v>11</v>
      </c>
    </row>
    <row r="76" spans="1:67">
      <c r="A76" s="4">
        <v>1988</v>
      </c>
      <c r="B76" s="4">
        <v>12</v>
      </c>
      <c r="C76" s="4">
        <f>'[2]FPC wSEB'!K173</f>
        <v>538</v>
      </c>
      <c r="D76" s="4">
        <f>'[2]FPC wSEB'!L173</f>
        <v>99731</v>
      </c>
      <c r="E76" s="4">
        <f>SUM('[2]FPC wSEB'!$AC173:$AD173)</f>
        <v>16</v>
      </c>
      <c r="Z76" s="6">
        <f t="shared" si="5"/>
        <v>100269</v>
      </c>
      <c r="BN76" s="4">
        <v>1988</v>
      </c>
      <c r="BO76" s="4">
        <v>12</v>
      </c>
    </row>
    <row r="77" spans="1:67">
      <c r="A77" s="4">
        <v>1989</v>
      </c>
      <c r="B77" s="4">
        <v>1</v>
      </c>
      <c r="C77" s="4">
        <f>'[2]FPC wSEB'!K174</f>
        <v>189</v>
      </c>
      <c r="D77" s="4">
        <f>'[2]FPC wSEB'!L174</f>
        <v>89666</v>
      </c>
      <c r="E77" s="4">
        <f>SUM('[2]FPC wSEB'!$AC174:$AD174)</f>
        <v>16</v>
      </c>
      <c r="Z77" s="6">
        <f t="shared" si="5"/>
        <v>89855</v>
      </c>
      <c r="BN77" s="4">
        <v>1989</v>
      </c>
      <c r="BO77" s="4">
        <v>1</v>
      </c>
    </row>
    <row r="78" spans="1:67">
      <c r="A78" s="4">
        <v>1989</v>
      </c>
      <c r="B78" s="4">
        <v>2</v>
      </c>
      <c r="C78" s="4">
        <f>'[2]FPC wSEB'!K175</f>
        <v>11763</v>
      </c>
      <c r="D78" s="4">
        <f>'[2]FPC wSEB'!L175</f>
        <v>87508</v>
      </c>
      <c r="E78" s="4">
        <f>SUM('[2]FPC wSEB'!$AC175:$AD175)</f>
        <v>16</v>
      </c>
      <c r="Z78" s="6">
        <f t="shared" si="5"/>
        <v>99271</v>
      </c>
      <c r="BN78" s="4">
        <v>1989</v>
      </c>
      <c r="BO78" s="4">
        <v>2</v>
      </c>
    </row>
    <row r="79" spans="1:67">
      <c r="A79" s="4">
        <v>1989</v>
      </c>
      <c r="B79" s="4">
        <v>3</v>
      </c>
      <c r="C79" s="4">
        <f>'[2]FPC wSEB'!K176</f>
        <v>1141</v>
      </c>
      <c r="D79" s="4">
        <f>'[2]FPC wSEB'!L176</f>
        <v>92170</v>
      </c>
      <c r="E79" s="4">
        <f>SUM('[2]FPC wSEB'!$AC176:$AD176)</f>
        <v>16</v>
      </c>
      <c r="Z79" s="6">
        <f t="shared" si="5"/>
        <v>93311</v>
      </c>
      <c r="BN79" s="4">
        <v>1989</v>
      </c>
      <c r="BO79" s="4">
        <v>3</v>
      </c>
    </row>
    <row r="80" spans="1:67">
      <c r="A80" s="4">
        <v>1989</v>
      </c>
      <c r="B80" s="4">
        <v>4</v>
      </c>
      <c r="C80" s="4">
        <f>'[2]FPC wSEB'!K177</f>
        <v>15804</v>
      </c>
      <c r="D80" s="4">
        <f>'[2]FPC wSEB'!L177</f>
        <v>107332</v>
      </c>
      <c r="E80" s="4">
        <f>SUM('[2]FPC wSEB'!$AC177:$AD177)</f>
        <v>16</v>
      </c>
      <c r="Z80" s="6">
        <f t="shared" si="5"/>
        <v>123136</v>
      </c>
      <c r="BN80" s="4">
        <v>1989</v>
      </c>
      <c r="BO80" s="4">
        <v>4</v>
      </c>
    </row>
    <row r="81" spans="1:67">
      <c r="A81" s="4">
        <v>1989</v>
      </c>
      <c r="B81" s="4">
        <v>5</v>
      </c>
      <c r="C81" s="4">
        <f>'[2]FPC wSEB'!K178</f>
        <v>3710</v>
      </c>
      <c r="D81" s="4">
        <f>'[2]FPC wSEB'!L178</f>
        <v>95957</v>
      </c>
      <c r="E81" s="4">
        <f>SUM('[2]FPC wSEB'!$AC178:$AD178)</f>
        <v>16</v>
      </c>
      <c r="Z81" s="6">
        <f t="shared" si="5"/>
        <v>99667</v>
      </c>
      <c r="BN81" s="4">
        <v>1989</v>
      </c>
      <c r="BO81" s="4">
        <v>5</v>
      </c>
    </row>
    <row r="82" spans="1:67">
      <c r="A82" s="4">
        <v>1989</v>
      </c>
      <c r="B82" s="4">
        <v>6</v>
      </c>
      <c r="C82" s="4">
        <f>'[2]FPC wSEB'!K179</f>
        <v>52</v>
      </c>
      <c r="D82" s="4">
        <f>'[2]FPC wSEB'!L179</f>
        <v>130303</v>
      </c>
      <c r="E82" s="4">
        <f>SUM('[2]FPC wSEB'!$AC179:$AD179)</f>
        <v>16</v>
      </c>
      <c r="Z82" s="6">
        <f t="shared" ref="Z82:Z145" si="32">C82+D82</f>
        <v>130355</v>
      </c>
      <c r="BN82" s="4">
        <v>1989</v>
      </c>
      <c r="BO82" s="4">
        <v>6</v>
      </c>
    </row>
    <row r="83" spans="1:67">
      <c r="A83" s="4">
        <v>1989</v>
      </c>
      <c r="B83" s="4">
        <v>7</v>
      </c>
      <c r="C83" s="4">
        <f>'[2]FPC wSEB'!K180</f>
        <v>9943</v>
      </c>
      <c r="D83" s="4">
        <f>'[2]FPC wSEB'!L180</f>
        <v>135607</v>
      </c>
      <c r="E83" s="4">
        <f>SUM('[2]FPC wSEB'!$AC180:$AD180)</f>
        <v>16</v>
      </c>
      <c r="Z83" s="6">
        <f t="shared" si="32"/>
        <v>145550</v>
      </c>
      <c r="BN83" s="4">
        <v>1989</v>
      </c>
      <c r="BO83" s="4">
        <v>7</v>
      </c>
    </row>
    <row r="84" spans="1:67">
      <c r="A84" s="4">
        <v>1989</v>
      </c>
      <c r="B84" s="4">
        <v>8</v>
      </c>
      <c r="C84" s="4">
        <f>'[2]FPC wSEB'!K181</f>
        <v>26181</v>
      </c>
      <c r="D84" s="4">
        <f>'[2]FPC wSEB'!L181</f>
        <v>131802</v>
      </c>
      <c r="E84" s="4">
        <f>SUM('[2]FPC wSEB'!$AC181:$AD181)</f>
        <v>16</v>
      </c>
      <c r="Z84" s="6">
        <f t="shared" si="32"/>
        <v>157983</v>
      </c>
      <c r="BN84" s="4">
        <v>1989</v>
      </c>
      <c r="BO84" s="4">
        <v>8</v>
      </c>
    </row>
    <row r="85" spans="1:67">
      <c r="A85" s="4">
        <v>1989</v>
      </c>
      <c r="B85" s="4">
        <v>9</v>
      </c>
      <c r="C85" s="4">
        <f>'[2]FPC wSEB'!K182</f>
        <v>38382</v>
      </c>
      <c r="D85" s="4">
        <f>'[2]FPC wSEB'!L182</f>
        <v>145199</v>
      </c>
      <c r="E85" s="4">
        <f>SUM('[2]FPC wSEB'!$AC182:$AD182)</f>
        <v>15</v>
      </c>
      <c r="Z85" s="6">
        <f t="shared" si="32"/>
        <v>183581</v>
      </c>
      <c r="BN85" s="4">
        <v>1989</v>
      </c>
      <c r="BO85" s="4">
        <v>9</v>
      </c>
    </row>
    <row r="86" spans="1:67">
      <c r="A86" s="4">
        <v>1989</v>
      </c>
      <c r="B86" s="4">
        <v>10</v>
      </c>
      <c r="C86" s="4">
        <f>'[2]FPC wSEB'!K183</f>
        <v>42972</v>
      </c>
      <c r="D86" s="4">
        <f>'[2]FPC wSEB'!L183</f>
        <v>127585</v>
      </c>
      <c r="E86" s="4">
        <f>SUM('[2]FPC wSEB'!$AC183:$AD183)</f>
        <v>16</v>
      </c>
      <c r="Z86" s="6">
        <f t="shared" si="32"/>
        <v>170557</v>
      </c>
      <c r="BN86" s="4">
        <v>1989</v>
      </c>
      <c r="BO86" s="4">
        <v>10</v>
      </c>
    </row>
    <row r="87" spans="1:67">
      <c r="A87" s="4">
        <v>1989</v>
      </c>
      <c r="B87" s="4">
        <v>11</v>
      </c>
      <c r="C87" s="4">
        <f>'[2]FPC wSEB'!K184</f>
        <v>24699</v>
      </c>
      <c r="D87" s="4">
        <f>'[2]FPC wSEB'!L184</f>
        <v>106782</v>
      </c>
      <c r="E87" s="4">
        <f>SUM('[2]FPC wSEB'!$AC184:$AD184)</f>
        <v>16</v>
      </c>
      <c r="Z87" s="6">
        <f t="shared" si="32"/>
        <v>131481</v>
      </c>
      <c r="BN87" s="4">
        <v>1989</v>
      </c>
      <c r="BO87" s="4">
        <v>11</v>
      </c>
    </row>
    <row r="88" spans="1:67">
      <c r="A88" s="85">
        <v>1989</v>
      </c>
      <c r="B88" s="85">
        <v>12</v>
      </c>
      <c r="C88" s="4">
        <f>'[2]FPC wSEB'!K185</f>
        <v>5272</v>
      </c>
      <c r="D88" s="4">
        <f>'[2]FPC wSEB'!L185</f>
        <v>99206</v>
      </c>
      <c r="E88" s="4">
        <f>SUM('[2]FPC wSEB'!$AC185:$AD185)</f>
        <v>15</v>
      </c>
      <c r="Z88" s="6">
        <f t="shared" si="32"/>
        <v>104478</v>
      </c>
      <c r="BN88" s="85">
        <v>1989</v>
      </c>
      <c r="BO88" s="85">
        <v>12</v>
      </c>
    </row>
    <row r="89" spans="1:67">
      <c r="A89" s="4">
        <v>1990</v>
      </c>
      <c r="B89" s="4">
        <v>1</v>
      </c>
      <c r="C89" s="4">
        <f>'[2]FPC wSEB'!K186</f>
        <v>604</v>
      </c>
      <c r="D89" s="4">
        <f>'[2]FPC wSEB'!L186</f>
        <v>95537</v>
      </c>
      <c r="E89" s="4">
        <f>SUM('[2]FPC wSEB'!$AC186:$AD186)</f>
        <v>15</v>
      </c>
      <c r="Z89" s="6">
        <f t="shared" si="32"/>
        <v>96141</v>
      </c>
      <c r="BN89" s="4">
        <v>1990</v>
      </c>
      <c r="BO89" s="4">
        <v>1</v>
      </c>
    </row>
    <row r="90" spans="1:67">
      <c r="A90" s="4">
        <v>1990</v>
      </c>
      <c r="B90" s="4">
        <v>2</v>
      </c>
      <c r="C90" s="4">
        <f>'[2]FPC wSEB'!K187</f>
        <v>59860</v>
      </c>
      <c r="D90" s="4">
        <f>'[2]FPC wSEB'!L187</f>
        <v>124406</v>
      </c>
      <c r="E90" s="4">
        <f>SUM('[2]FPC wSEB'!$AC187:$AD187)</f>
        <v>17</v>
      </c>
      <c r="Z90" s="6">
        <f t="shared" si="32"/>
        <v>184266</v>
      </c>
      <c r="BN90" s="4">
        <v>1990</v>
      </c>
      <c r="BO90" s="4">
        <v>2</v>
      </c>
    </row>
    <row r="91" spans="1:67">
      <c r="A91" s="4">
        <v>1990</v>
      </c>
      <c r="B91" s="4">
        <v>3</v>
      </c>
      <c r="C91" s="4">
        <f>'[2]FPC wSEB'!K188</f>
        <v>5945</v>
      </c>
      <c r="D91" s="4">
        <f>'[2]FPC wSEB'!L188</f>
        <v>111536</v>
      </c>
      <c r="E91" s="4">
        <f>SUM('[2]FPC wSEB'!$AC188:$AD188)</f>
        <v>17</v>
      </c>
      <c r="Z91" s="6">
        <f t="shared" si="32"/>
        <v>117481</v>
      </c>
      <c r="BN91" s="4">
        <v>1990</v>
      </c>
      <c r="BO91" s="4">
        <v>3</v>
      </c>
    </row>
    <row r="92" spans="1:67">
      <c r="A92" s="4">
        <v>1990</v>
      </c>
      <c r="B92" s="4">
        <v>4</v>
      </c>
      <c r="C92" s="4">
        <f>'[2]FPC wSEB'!K189</f>
        <v>665</v>
      </c>
      <c r="D92" s="4">
        <f>'[2]FPC wSEB'!L189</f>
        <v>68398</v>
      </c>
      <c r="E92" s="4">
        <f>SUM('[2]FPC wSEB'!$AC189:$AD189)</f>
        <v>17</v>
      </c>
      <c r="Z92" s="6">
        <f t="shared" si="32"/>
        <v>69063</v>
      </c>
      <c r="BN92" s="4">
        <v>1990</v>
      </c>
      <c r="BO92" s="4">
        <v>4</v>
      </c>
    </row>
    <row r="93" spans="1:67">
      <c r="A93" s="4">
        <v>1990</v>
      </c>
      <c r="B93" s="4">
        <v>5</v>
      </c>
      <c r="C93" s="4">
        <f>'[2]FPC wSEB'!K190</f>
        <v>290</v>
      </c>
      <c r="D93" s="4">
        <f>'[2]FPC wSEB'!L190</f>
        <v>77423</v>
      </c>
      <c r="E93" s="4">
        <f>SUM('[2]FPC wSEB'!$AC190:$AD190)</f>
        <v>18</v>
      </c>
      <c r="Z93" s="6">
        <f t="shared" si="32"/>
        <v>77713</v>
      </c>
      <c r="BN93" s="4">
        <v>1990</v>
      </c>
      <c r="BO93" s="4">
        <v>5</v>
      </c>
    </row>
    <row r="94" spans="1:67">
      <c r="A94" s="4">
        <v>1990</v>
      </c>
      <c r="B94" s="4">
        <v>6</v>
      </c>
      <c r="C94" s="4">
        <f>'[2]FPC wSEB'!K191</f>
        <v>243</v>
      </c>
      <c r="D94" s="4">
        <f>'[2]FPC wSEB'!L191</f>
        <v>79487</v>
      </c>
      <c r="E94" s="4">
        <f>SUM('[2]FPC wSEB'!$AC191:$AD191)</f>
        <v>18</v>
      </c>
      <c r="Z94" s="6">
        <f t="shared" si="32"/>
        <v>79730</v>
      </c>
      <c r="BN94" s="4">
        <v>1990</v>
      </c>
      <c r="BO94" s="4">
        <v>6</v>
      </c>
    </row>
    <row r="95" spans="1:67">
      <c r="A95" s="4">
        <v>1990</v>
      </c>
      <c r="B95" s="4">
        <v>7</v>
      </c>
      <c r="C95" s="4">
        <f>'[2]FPC wSEB'!K192</f>
        <v>18115</v>
      </c>
      <c r="D95" s="4">
        <f>'[2]FPC wSEB'!L192</f>
        <v>98967</v>
      </c>
      <c r="E95" s="4">
        <f>SUM('[2]FPC wSEB'!$AC192:$AD192)</f>
        <v>17</v>
      </c>
      <c r="Z95" s="6">
        <f t="shared" si="32"/>
        <v>117082</v>
      </c>
      <c r="BN95" s="4">
        <v>1990</v>
      </c>
      <c r="BO95" s="4">
        <v>7</v>
      </c>
    </row>
    <row r="96" spans="1:67">
      <c r="A96" s="4">
        <v>1990</v>
      </c>
      <c r="B96" s="4">
        <v>8</v>
      </c>
      <c r="C96" s="4">
        <f>'[2]FPC wSEB'!K193</f>
        <v>43243</v>
      </c>
      <c r="D96" s="4">
        <f>'[2]FPC wSEB'!L193</f>
        <v>118869</v>
      </c>
      <c r="E96" s="4">
        <f>SUM('[2]FPC wSEB'!$AC193:$AD193)</f>
        <v>18</v>
      </c>
      <c r="Z96" s="6">
        <f t="shared" si="32"/>
        <v>162112</v>
      </c>
      <c r="BN96" s="4">
        <v>1990</v>
      </c>
      <c r="BO96" s="4">
        <v>8</v>
      </c>
    </row>
    <row r="97" spans="1:67">
      <c r="A97" s="4">
        <v>1990</v>
      </c>
      <c r="B97" s="4">
        <v>9</v>
      </c>
      <c r="C97" s="4">
        <f>'[2]FPC wSEB'!K194</f>
        <v>46799</v>
      </c>
      <c r="D97" s="4">
        <f>'[2]FPC wSEB'!L194</f>
        <v>115737</v>
      </c>
      <c r="E97" s="4">
        <f>SUM('[2]FPC wSEB'!$AC194:$AD194)</f>
        <v>18</v>
      </c>
      <c r="Z97" s="6">
        <f t="shared" si="32"/>
        <v>162536</v>
      </c>
      <c r="BN97" s="4">
        <v>1990</v>
      </c>
      <c r="BO97" s="4">
        <v>9</v>
      </c>
    </row>
    <row r="98" spans="1:67">
      <c r="A98" s="4">
        <v>1990</v>
      </c>
      <c r="B98" s="4">
        <v>10</v>
      </c>
      <c r="C98" s="4">
        <f>'[2]FPC wSEB'!K195</f>
        <v>53768</v>
      </c>
      <c r="D98" s="4">
        <f>'[2]FPC wSEB'!L195</f>
        <v>132777</v>
      </c>
      <c r="E98" s="4">
        <f>SUM('[2]FPC wSEB'!$AC195:$AD195)</f>
        <v>18</v>
      </c>
      <c r="Z98" s="6">
        <f t="shared" si="32"/>
        <v>186545</v>
      </c>
      <c r="BN98" s="4">
        <v>1990</v>
      </c>
      <c r="BO98" s="4">
        <v>10</v>
      </c>
    </row>
    <row r="99" spans="1:67">
      <c r="A99" s="4">
        <v>1990</v>
      </c>
      <c r="B99" s="4">
        <v>11</v>
      </c>
      <c r="C99" s="4">
        <f>'[2]FPC wSEB'!K196</f>
        <v>43496</v>
      </c>
      <c r="D99" s="4">
        <f>'[2]FPC wSEB'!L196</f>
        <v>126987</v>
      </c>
      <c r="E99" s="4">
        <f>SUM('[2]FPC wSEB'!$AC196:$AD196)</f>
        <v>18</v>
      </c>
      <c r="Z99" s="6">
        <f t="shared" si="32"/>
        <v>170483</v>
      </c>
      <c r="BN99" s="4">
        <v>1990</v>
      </c>
      <c r="BO99" s="4">
        <v>11</v>
      </c>
    </row>
    <row r="100" spans="1:67">
      <c r="A100" s="85">
        <v>1990</v>
      </c>
      <c r="B100" s="85">
        <v>12</v>
      </c>
      <c r="C100" s="4">
        <f>'[2]FPC wSEB'!K197</f>
        <v>12109</v>
      </c>
      <c r="D100" s="4">
        <f>'[2]FPC wSEB'!L197</f>
        <v>112723</v>
      </c>
      <c r="E100" s="4">
        <f>SUM('[2]FPC wSEB'!$AC197:$AD197)</f>
        <v>18</v>
      </c>
      <c r="Z100" s="6">
        <f t="shared" si="32"/>
        <v>124832</v>
      </c>
      <c r="BN100" s="85">
        <v>1990</v>
      </c>
      <c r="BO100" s="85">
        <v>12</v>
      </c>
    </row>
    <row r="101" spans="1:67">
      <c r="A101" s="4">
        <v>1991</v>
      </c>
      <c r="B101" s="4">
        <v>1</v>
      </c>
      <c r="C101" s="4">
        <f>'[2]FPC wSEB'!K198</f>
        <v>395</v>
      </c>
      <c r="D101" s="4">
        <f>'[2]FPC wSEB'!L198</f>
        <v>93848</v>
      </c>
      <c r="E101" s="4">
        <f>SUM('[2]FPC wSEB'!$AC198:$AD198)</f>
        <v>18</v>
      </c>
      <c r="Z101" s="6">
        <f t="shared" si="32"/>
        <v>94243</v>
      </c>
      <c r="BN101" s="4">
        <v>1991</v>
      </c>
      <c r="BO101" s="4">
        <v>1</v>
      </c>
    </row>
    <row r="102" spans="1:67">
      <c r="A102" s="4">
        <v>1991</v>
      </c>
      <c r="B102" s="4">
        <v>2</v>
      </c>
      <c r="C102" s="4">
        <f>'[2]FPC wSEB'!K199</f>
        <v>6761</v>
      </c>
      <c r="D102" s="4">
        <f>'[2]FPC wSEB'!L199</f>
        <v>89454</v>
      </c>
      <c r="E102" s="4">
        <f>SUM('[2]FPC wSEB'!$AC199:$AD199)</f>
        <v>18</v>
      </c>
      <c r="Z102" s="6">
        <f t="shared" si="32"/>
        <v>96215</v>
      </c>
      <c r="BN102" s="4">
        <v>1991</v>
      </c>
      <c r="BO102" s="4">
        <v>2</v>
      </c>
    </row>
    <row r="103" spans="1:67">
      <c r="A103" s="4">
        <v>1991</v>
      </c>
      <c r="B103" s="4">
        <v>3</v>
      </c>
      <c r="C103" s="4">
        <f>'[2]FPC wSEB'!K200</f>
        <v>7220</v>
      </c>
      <c r="D103" s="4">
        <f>'[2]FPC wSEB'!L200</f>
        <v>71991</v>
      </c>
      <c r="E103" s="4">
        <f>SUM('[2]FPC wSEB'!$AC200:$AD200)</f>
        <v>17</v>
      </c>
      <c r="Z103" s="6">
        <f t="shared" si="32"/>
        <v>79211</v>
      </c>
      <c r="BN103" s="4">
        <v>1991</v>
      </c>
      <c r="BO103" s="4">
        <v>3</v>
      </c>
    </row>
    <row r="104" spans="1:67">
      <c r="A104" s="4">
        <v>1991</v>
      </c>
      <c r="B104" s="4">
        <v>4</v>
      </c>
      <c r="C104" s="4">
        <f>'[2]FPC wSEB'!K201</f>
        <v>12731</v>
      </c>
      <c r="D104" s="4">
        <f>'[2]FPC wSEB'!L201</f>
        <v>64254</v>
      </c>
      <c r="E104" s="4">
        <f>SUM('[2]FPC wSEB'!$AC201:$AD201)</f>
        <v>17</v>
      </c>
      <c r="Z104" s="6">
        <f t="shared" si="32"/>
        <v>76985</v>
      </c>
      <c r="BN104" s="4">
        <v>1991</v>
      </c>
      <c r="BO104" s="4">
        <v>4</v>
      </c>
    </row>
    <row r="105" spans="1:67">
      <c r="A105" s="4">
        <v>1991</v>
      </c>
      <c r="B105" s="4">
        <v>5</v>
      </c>
      <c r="C105" s="4">
        <f>'[2]FPC wSEB'!K202</f>
        <v>2726</v>
      </c>
      <c r="D105" s="4">
        <f>'[2]FPC wSEB'!L202</f>
        <v>86429</v>
      </c>
      <c r="E105" s="4">
        <f>SUM('[2]FPC wSEB'!$AC202:$AD202)</f>
        <v>16</v>
      </c>
      <c r="Z105" s="6">
        <f t="shared" si="32"/>
        <v>89155</v>
      </c>
      <c r="BN105" s="4">
        <v>1991</v>
      </c>
      <c r="BO105" s="4">
        <v>5</v>
      </c>
    </row>
    <row r="106" spans="1:67">
      <c r="A106" s="4">
        <v>1991</v>
      </c>
      <c r="B106" s="4">
        <v>6</v>
      </c>
      <c r="C106" s="4">
        <f>'[2]FPC wSEB'!K203</f>
        <v>6146</v>
      </c>
      <c r="D106" s="4">
        <f>'[2]FPC wSEB'!L203</f>
        <v>116808</v>
      </c>
      <c r="E106" s="4">
        <f>SUM('[2]FPC wSEB'!$AC203:$AD203)</f>
        <v>17</v>
      </c>
      <c r="Z106" s="6">
        <f t="shared" si="32"/>
        <v>122954</v>
      </c>
      <c r="BN106" s="4">
        <v>1991</v>
      </c>
      <c r="BO106" s="4">
        <v>6</v>
      </c>
    </row>
    <row r="107" spans="1:67">
      <c r="A107" s="4">
        <v>1991</v>
      </c>
      <c r="B107" s="4">
        <v>7</v>
      </c>
      <c r="C107" s="4">
        <f>'[2]FPC wSEB'!K204</f>
        <v>24207</v>
      </c>
      <c r="D107" s="4">
        <f>'[2]FPC wSEB'!L204</f>
        <v>114218</v>
      </c>
      <c r="E107" s="4">
        <f>SUM('[2]FPC wSEB'!$AC204:$AD204)</f>
        <v>16</v>
      </c>
      <c r="Z107" s="6">
        <f t="shared" si="32"/>
        <v>138425</v>
      </c>
      <c r="BN107" s="4">
        <v>1991</v>
      </c>
      <c r="BO107" s="4">
        <v>7</v>
      </c>
    </row>
    <row r="108" spans="1:67">
      <c r="A108" s="4">
        <v>1991</v>
      </c>
      <c r="B108" s="4">
        <v>8</v>
      </c>
      <c r="C108" s="4">
        <f>'[2]FPC wSEB'!K205</f>
        <v>41774</v>
      </c>
      <c r="D108" s="4">
        <f>'[2]FPC wSEB'!L205</f>
        <v>111217</v>
      </c>
      <c r="E108" s="4">
        <f>SUM('[2]FPC wSEB'!$AC205:$AD205)</f>
        <v>16</v>
      </c>
      <c r="Z108" s="6">
        <f t="shared" si="32"/>
        <v>152991</v>
      </c>
      <c r="BN108" s="4">
        <v>1991</v>
      </c>
      <c r="BO108" s="4">
        <v>8</v>
      </c>
    </row>
    <row r="109" spans="1:67">
      <c r="A109" s="4">
        <v>1991</v>
      </c>
      <c r="B109" s="4">
        <v>9</v>
      </c>
      <c r="C109" s="4">
        <f>'[2]FPC wSEB'!K206</f>
        <v>43375</v>
      </c>
      <c r="D109" s="4">
        <f>'[2]FPC wSEB'!L206</f>
        <v>110405</v>
      </c>
      <c r="E109" s="4">
        <f>SUM('[2]FPC wSEB'!$AC206:$AD206)</f>
        <v>16</v>
      </c>
      <c r="Z109" s="6">
        <f t="shared" si="32"/>
        <v>153780</v>
      </c>
      <c r="BN109" s="4">
        <v>1991</v>
      </c>
      <c r="BO109" s="4">
        <v>9</v>
      </c>
    </row>
    <row r="110" spans="1:67">
      <c r="A110" s="4">
        <v>1991</v>
      </c>
      <c r="B110" s="4">
        <v>10</v>
      </c>
      <c r="C110" s="4">
        <f>'[2]FPC wSEB'!K207</f>
        <v>58486</v>
      </c>
      <c r="D110" s="4">
        <f>'[2]FPC wSEB'!L207</f>
        <v>116252</v>
      </c>
      <c r="E110" s="4">
        <f>SUM('[2]FPC wSEB'!$AC207:$AD207)</f>
        <v>16</v>
      </c>
      <c r="Z110" s="6">
        <f t="shared" si="32"/>
        <v>174738</v>
      </c>
      <c r="BN110" s="4">
        <v>1991</v>
      </c>
      <c r="BO110" s="4">
        <v>10</v>
      </c>
    </row>
    <row r="111" spans="1:67">
      <c r="A111" s="4">
        <v>1991</v>
      </c>
      <c r="B111" s="4">
        <v>11</v>
      </c>
      <c r="C111" s="4">
        <f>'[2]FPC wSEB'!K208</f>
        <v>57318</v>
      </c>
      <c r="D111" s="4">
        <f>'[2]FPC wSEB'!L208</f>
        <v>82740</v>
      </c>
      <c r="E111" s="4">
        <f>SUM('[2]FPC wSEB'!$AC208:$AD208)</f>
        <v>16</v>
      </c>
      <c r="Z111" s="6">
        <f t="shared" si="32"/>
        <v>140058</v>
      </c>
      <c r="BN111" s="4">
        <v>1991</v>
      </c>
      <c r="BO111" s="4">
        <v>11</v>
      </c>
    </row>
    <row r="112" spans="1:67">
      <c r="A112" s="85">
        <v>1991</v>
      </c>
      <c r="B112" s="85">
        <v>12</v>
      </c>
      <c r="C112" s="4">
        <f>'[2]FPC wSEB'!K209</f>
        <v>2197</v>
      </c>
      <c r="D112" s="4">
        <f>'[2]FPC wSEB'!L209</f>
        <v>89879</v>
      </c>
      <c r="E112" s="4">
        <f>SUM('[2]FPC wSEB'!$AC209:$AD209)</f>
        <v>17</v>
      </c>
      <c r="Z112" s="6">
        <f t="shared" si="32"/>
        <v>92076</v>
      </c>
      <c r="BN112" s="85">
        <v>1991</v>
      </c>
      <c r="BO112" s="85">
        <v>12</v>
      </c>
    </row>
    <row r="113" spans="1:67">
      <c r="A113" s="4">
        <v>1992</v>
      </c>
      <c r="B113" s="4">
        <v>1</v>
      </c>
      <c r="C113" s="4">
        <f>'[2]FPC wSEB'!K210</f>
        <v>9355</v>
      </c>
      <c r="D113" s="4">
        <f>'[2]FPC wSEB'!L210</f>
        <v>82564</v>
      </c>
      <c r="E113" s="4">
        <f>SUM('[2]FPC wSEB'!$AC210:$AD210)</f>
        <v>16</v>
      </c>
      <c r="Z113" s="6">
        <f t="shared" si="32"/>
        <v>91919</v>
      </c>
      <c r="BN113" s="4">
        <v>1992</v>
      </c>
      <c r="BO113" s="4">
        <v>1</v>
      </c>
    </row>
    <row r="114" spans="1:67">
      <c r="A114" s="4">
        <v>1992</v>
      </c>
      <c r="B114" s="4">
        <v>2</v>
      </c>
      <c r="C114" s="4">
        <f>'[2]FPC wSEB'!K211</f>
        <v>11797</v>
      </c>
      <c r="D114" s="4">
        <f>'[2]FPC wSEB'!L211</f>
        <v>82295</v>
      </c>
      <c r="E114" s="4">
        <f>SUM('[2]FPC wSEB'!$AC211:$AD211)</f>
        <v>16</v>
      </c>
      <c r="Z114" s="6">
        <f t="shared" si="32"/>
        <v>94092</v>
      </c>
      <c r="BN114" s="4">
        <v>1992</v>
      </c>
      <c r="BO114" s="4">
        <v>2</v>
      </c>
    </row>
    <row r="115" spans="1:67">
      <c r="A115" s="4">
        <v>1992</v>
      </c>
      <c r="B115" s="4">
        <v>3</v>
      </c>
      <c r="C115" s="4">
        <f>'[2]FPC wSEB'!K212</f>
        <v>38397</v>
      </c>
      <c r="D115" s="4">
        <f>'[2]FPC wSEB'!L212</f>
        <v>68240</v>
      </c>
      <c r="E115" s="4">
        <f>SUM('[2]FPC wSEB'!$AC212:$AD212)</f>
        <v>16</v>
      </c>
      <c r="Z115" s="6">
        <f t="shared" si="32"/>
        <v>106637</v>
      </c>
      <c r="BN115" s="4">
        <v>1992</v>
      </c>
      <c r="BO115" s="4">
        <v>3</v>
      </c>
    </row>
    <row r="116" spans="1:67">
      <c r="A116" s="4">
        <v>1992</v>
      </c>
      <c r="B116" s="4">
        <v>4</v>
      </c>
      <c r="C116" s="4">
        <f>'[2]FPC wSEB'!K213</f>
        <v>10299</v>
      </c>
      <c r="D116" s="4">
        <f>'[2]FPC wSEB'!L213</f>
        <v>62333</v>
      </c>
      <c r="E116" s="4">
        <f>SUM('[2]FPC wSEB'!$AC213:$AD213)</f>
        <v>17</v>
      </c>
      <c r="Z116" s="6">
        <f t="shared" si="32"/>
        <v>72632</v>
      </c>
      <c r="BN116" s="4">
        <v>1992</v>
      </c>
      <c r="BO116" s="4">
        <v>4</v>
      </c>
    </row>
    <row r="117" spans="1:67">
      <c r="A117" s="4">
        <v>1992</v>
      </c>
      <c r="B117" s="4">
        <v>5</v>
      </c>
      <c r="C117" s="4">
        <f>'[2]FPC wSEB'!K214</f>
        <v>2785</v>
      </c>
      <c r="D117" s="4">
        <f>'[2]FPC wSEB'!L214</f>
        <v>68469</v>
      </c>
      <c r="E117" s="4">
        <f>SUM('[2]FPC wSEB'!$AC214:$AD214)</f>
        <v>16</v>
      </c>
      <c r="Z117" s="6">
        <f t="shared" si="32"/>
        <v>71254</v>
      </c>
      <c r="BN117" s="4">
        <v>1992</v>
      </c>
      <c r="BO117" s="4">
        <v>5</v>
      </c>
    </row>
    <row r="118" spans="1:67">
      <c r="A118" s="4">
        <v>1992</v>
      </c>
      <c r="B118" s="4">
        <v>6</v>
      </c>
      <c r="C118" s="4">
        <f>'[2]FPC wSEB'!K215</f>
        <v>961</v>
      </c>
      <c r="D118" s="4">
        <f>'[2]FPC wSEB'!L215</f>
        <v>92631</v>
      </c>
      <c r="E118" s="4">
        <f>SUM('[2]FPC wSEB'!$AC215:$AD215)</f>
        <v>15</v>
      </c>
      <c r="Z118" s="6">
        <f t="shared" si="32"/>
        <v>93592</v>
      </c>
      <c r="BN118" s="4">
        <v>1992</v>
      </c>
      <c r="BO118" s="4">
        <v>6</v>
      </c>
    </row>
    <row r="119" spans="1:67">
      <c r="A119" s="4">
        <v>1992</v>
      </c>
      <c r="B119" s="4">
        <v>7</v>
      </c>
      <c r="C119" s="4">
        <f>'[2]FPC wSEB'!K216</f>
        <v>6734</v>
      </c>
      <c r="D119" s="4">
        <f>'[2]FPC wSEB'!L216</f>
        <v>104547</v>
      </c>
      <c r="E119" s="4">
        <f>SUM('[2]FPC wSEB'!$AC216:$AD216)</f>
        <v>17</v>
      </c>
      <c r="Z119" s="6">
        <f t="shared" si="32"/>
        <v>111281</v>
      </c>
      <c r="BN119" s="4">
        <v>1992</v>
      </c>
      <c r="BO119" s="4">
        <v>7</v>
      </c>
    </row>
    <row r="120" spans="1:67">
      <c r="A120" s="4">
        <v>1992</v>
      </c>
      <c r="B120" s="4">
        <v>8</v>
      </c>
      <c r="C120" s="4">
        <f>'[2]FPC wSEB'!K217</f>
        <v>55511</v>
      </c>
      <c r="D120" s="4">
        <f>'[2]FPC wSEB'!L217</f>
        <v>131215</v>
      </c>
      <c r="E120" s="4">
        <f>SUM('[2]FPC wSEB'!$AC217:$AD217)</f>
        <v>17</v>
      </c>
      <c r="Z120" s="6">
        <f t="shared" si="32"/>
        <v>186726</v>
      </c>
      <c r="BN120" s="4">
        <v>1992</v>
      </c>
      <c r="BO120" s="4">
        <v>8</v>
      </c>
    </row>
    <row r="121" spans="1:67">
      <c r="A121" s="4">
        <v>1992</v>
      </c>
      <c r="B121" s="4">
        <v>9</v>
      </c>
      <c r="C121" s="4">
        <f>'[2]FPC wSEB'!K218</f>
        <v>99634</v>
      </c>
      <c r="D121" s="4">
        <f>'[2]FPC wSEB'!L218</f>
        <v>132634</v>
      </c>
      <c r="E121" s="4">
        <f>SUM('[2]FPC wSEB'!$AC218:$AD218)</f>
        <v>17</v>
      </c>
      <c r="Z121" s="6">
        <f t="shared" si="32"/>
        <v>232268</v>
      </c>
      <c r="BN121" s="4">
        <v>1992</v>
      </c>
      <c r="BO121" s="4">
        <v>9</v>
      </c>
    </row>
    <row r="122" spans="1:67">
      <c r="A122" s="4">
        <v>1992</v>
      </c>
      <c r="B122" s="4">
        <v>10</v>
      </c>
      <c r="C122" s="4">
        <f>'[2]FPC wSEB'!K219</f>
        <v>56351</v>
      </c>
      <c r="D122" s="4">
        <f>'[2]FPC wSEB'!L219</f>
        <v>114873</v>
      </c>
      <c r="E122" s="4">
        <f>SUM('[2]FPC wSEB'!$AC219:$AD219)</f>
        <v>16</v>
      </c>
      <c r="Z122" s="6">
        <f t="shared" si="32"/>
        <v>171224</v>
      </c>
      <c r="BN122" s="4">
        <v>1992</v>
      </c>
      <c r="BO122" s="4">
        <v>10</v>
      </c>
    </row>
    <row r="123" spans="1:67">
      <c r="A123" s="4">
        <v>1992</v>
      </c>
      <c r="B123" s="4">
        <v>11</v>
      </c>
      <c r="C123" s="4">
        <f>'[2]FPC wSEB'!K220</f>
        <v>52718</v>
      </c>
      <c r="D123" s="4">
        <f>'[2]FPC wSEB'!L220</f>
        <v>100540</v>
      </c>
      <c r="E123" s="4">
        <f>SUM('[2]FPC wSEB'!$AC220:$AD220)</f>
        <v>17</v>
      </c>
      <c r="Z123" s="6">
        <f t="shared" si="32"/>
        <v>153258</v>
      </c>
      <c r="BN123" s="4">
        <v>1992</v>
      </c>
      <c r="BO123" s="4">
        <v>11</v>
      </c>
    </row>
    <row r="124" spans="1:67" s="89" customFormat="1">
      <c r="A124" s="89">
        <v>1992</v>
      </c>
      <c r="B124" s="89">
        <v>12</v>
      </c>
      <c r="C124" s="89">
        <f>'[2]FPC wSEB'!K221</f>
        <v>653</v>
      </c>
      <c r="D124" s="89">
        <f>'[2]FPC wSEB'!L221</f>
        <v>85141</v>
      </c>
      <c r="E124" s="4">
        <f>SUM('[2]FPC wSEB'!$AC221:$AD221)</f>
        <v>17</v>
      </c>
      <c r="Z124" s="6">
        <f t="shared" si="32"/>
        <v>85794</v>
      </c>
      <c r="BN124" s="89">
        <v>1992</v>
      </c>
      <c r="BO124" s="89">
        <v>12</v>
      </c>
    </row>
    <row r="125" spans="1:67">
      <c r="A125" s="4">
        <v>1993</v>
      </c>
      <c r="B125" s="4">
        <v>1</v>
      </c>
      <c r="C125" s="4">
        <f>'[2]FPC wSEB'!K222</f>
        <v>6585</v>
      </c>
      <c r="D125" s="4">
        <f>'[2]FPC wSEB'!L222</f>
        <v>99265</v>
      </c>
      <c r="E125" s="4">
        <f>SUM('[2]FPC wSEB'!$AC222:$AD222)</f>
        <v>17</v>
      </c>
      <c r="Z125" s="6">
        <f t="shared" si="32"/>
        <v>105850</v>
      </c>
      <c r="BN125" s="4">
        <v>1993</v>
      </c>
      <c r="BO125" s="4">
        <v>1</v>
      </c>
    </row>
    <row r="126" spans="1:67">
      <c r="A126" s="4">
        <v>1993</v>
      </c>
      <c r="B126" s="4">
        <v>2</v>
      </c>
      <c r="C126" s="4">
        <f>'[2]FPC wSEB'!K223</f>
        <v>13595</v>
      </c>
      <c r="D126" s="4">
        <f>'[2]FPC wSEB'!L223</f>
        <v>69305</v>
      </c>
      <c r="E126" s="4">
        <f>SUM('[2]FPC wSEB'!$AC223:$AD223)</f>
        <v>16</v>
      </c>
      <c r="Z126" s="6">
        <f t="shared" si="32"/>
        <v>82900</v>
      </c>
      <c r="BN126" s="4">
        <v>1993</v>
      </c>
      <c r="BO126" s="4">
        <v>2</v>
      </c>
    </row>
    <row r="127" spans="1:67">
      <c r="A127" s="4">
        <v>1993</v>
      </c>
      <c r="B127" s="4">
        <v>3</v>
      </c>
      <c r="C127" s="4">
        <f>'[2]FPC wSEB'!K224</f>
        <v>8865</v>
      </c>
      <c r="D127" s="4">
        <f>'[2]FPC wSEB'!L224</f>
        <v>78476</v>
      </c>
      <c r="E127" s="4">
        <f>SUM('[2]FPC wSEB'!$AC224:$AD224)</f>
        <v>16</v>
      </c>
      <c r="Z127" s="6">
        <f t="shared" si="32"/>
        <v>87341</v>
      </c>
      <c r="BN127" s="4">
        <v>1993</v>
      </c>
      <c r="BO127" s="4">
        <v>3</v>
      </c>
    </row>
    <row r="128" spans="1:67">
      <c r="A128" s="4">
        <v>1993</v>
      </c>
      <c r="B128" s="4">
        <v>4</v>
      </c>
      <c r="C128" s="4">
        <f>'[2]FPC wSEB'!K225</f>
        <v>16634</v>
      </c>
      <c r="D128" s="4">
        <f>'[2]FPC wSEB'!L225</f>
        <v>68736</v>
      </c>
      <c r="E128" s="4">
        <f>SUM('[2]FPC wSEB'!$AC225:$AD225)</f>
        <v>16</v>
      </c>
      <c r="Z128" s="6">
        <f t="shared" si="32"/>
        <v>85370</v>
      </c>
      <c r="BN128" s="4">
        <v>1993</v>
      </c>
      <c r="BO128" s="4">
        <v>4</v>
      </c>
    </row>
    <row r="129" spans="1:67">
      <c r="A129" s="4">
        <v>1993</v>
      </c>
      <c r="B129" s="4">
        <v>5</v>
      </c>
      <c r="C129" s="4">
        <f>'[2]FPC wSEB'!K226</f>
        <v>14998</v>
      </c>
      <c r="D129" s="4">
        <f>'[2]FPC wSEB'!L226</f>
        <v>97859</v>
      </c>
      <c r="E129" s="4">
        <f>SUM('[2]FPC wSEB'!$AC226:$AD226)</f>
        <v>16</v>
      </c>
      <c r="Z129" s="6">
        <f t="shared" si="32"/>
        <v>112857</v>
      </c>
      <c r="BN129" s="4">
        <v>1993</v>
      </c>
      <c r="BO129" s="4">
        <v>5</v>
      </c>
    </row>
    <row r="130" spans="1:67">
      <c r="A130" s="4">
        <v>1993</v>
      </c>
      <c r="B130" s="4">
        <v>6</v>
      </c>
      <c r="C130" s="4">
        <f>'[2]FPC wSEB'!K227</f>
        <v>381</v>
      </c>
      <c r="D130" s="4">
        <f>'[2]FPC wSEB'!L227</f>
        <v>92246</v>
      </c>
      <c r="E130" s="4">
        <f>SUM('[2]FPC wSEB'!$AC227:$AD227)</f>
        <v>15</v>
      </c>
      <c r="Z130" s="6">
        <f t="shared" si="32"/>
        <v>92627</v>
      </c>
      <c r="BN130" s="4">
        <v>1993</v>
      </c>
      <c r="BO130" s="4">
        <v>6</v>
      </c>
    </row>
    <row r="131" spans="1:67">
      <c r="A131" s="4">
        <v>1993</v>
      </c>
      <c r="B131" s="4">
        <v>7</v>
      </c>
      <c r="C131" s="4">
        <f>'[2]FPC wSEB'!K228</f>
        <v>9325</v>
      </c>
      <c r="D131" s="4">
        <f>'[2]FPC wSEB'!L228</f>
        <v>112324</v>
      </c>
      <c r="E131" s="4">
        <f>SUM('[2]FPC wSEB'!$AC228:$AD228)</f>
        <v>16</v>
      </c>
      <c r="Z131" s="6">
        <f t="shared" si="32"/>
        <v>121649</v>
      </c>
      <c r="BN131" s="4">
        <v>1993</v>
      </c>
      <c r="BO131" s="4">
        <v>7</v>
      </c>
    </row>
    <row r="132" spans="1:67">
      <c r="A132" s="4">
        <v>1993</v>
      </c>
      <c r="B132" s="4">
        <v>8</v>
      </c>
      <c r="C132" s="4">
        <f>'[2]FPC wSEB'!K229</f>
        <v>73444</v>
      </c>
      <c r="D132" s="4">
        <f>'[2]FPC wSEB'!L229</f>
        <v>143272</v>
      </c>
      <c r="E132" s="4">
        <f>SUM('[2]FPC wSEB'!$AC229:$AD229)</f>
        <v>16</v>
      </c>
      <c r="Z132" s="6">
        <f t="shared" si="32"/>
        <v>216716</v>
      </c>
      <c r="BN132" s="4">
        <v>1993</v>
      </c>
      <c r="BO132" s="4">
        <v>8</v>
      </c>
    </row>
    <row r="133" spans="1:67">
      <c r="A133" s="4">
        <v>1993</v>
      </c>
      <c r="B133" s="4">
        <v>9</v>
      </c>
      <c r="C133" s="4">
        <f>'[2]FPC wSEB'!K230</f>
        <v>101956</v>
      </c>
      <c r="D133" s="4">
        <f>'[2]FPC wSEB'!L230</f>
        <v>147849</v>
      </c>
      <c r="E133" s="4">
        <f>SUM('[2]FPC wSEB'!$AC230:$AD230)</f>
        <v>16</v>
      </c>
      <c r="Z133" s="6">
        <f t="shared" si="32"/>
        <v>249805</v>
      </c>
      <c r="BN133" s="4">
        <v>1993</v>
      </c>
      <c r="BO133" s="4">
        <v>9</v>
      </c>
    </row>
    <row r="134" spans="1:67">
      <c r="A134" s="4">
        <v>1993</v>
      </c>
      <c r="B134" s="4">
        <v>10</v>
      </c>
      <c r="C134" s="4">
        <f>'[2]FPC wSEB'!K231</f>
        <v>109208</v>
      </c>
      <c r="D134" s="4">
        <f>'[2]FPC wSEB'!L231</f>
        <v>141240</v>
      </c>
      <c r="E134" s="4">
        <f>SUM('[2]FPC wSEB'!$AC231:$AD231)</f>
        <v>16</v>
      </c>
      <c r="Z134" s="6">
        <f t="shared" si="32"/>
        <v>250448</v>
      </c>
      <c r="BN134" s="4">
        <v>1993</v>
      </c>
      <c r="BO134" s="4">
        <v>10</v>
      </c>
    </row>
    <row r="135" spans="1:67">
      <c r="A135" s="4">
        <v>1993</v>
      </c>
      <c r="B135" s="4">
        <v>11</v>
      </c>
      <c r="C135" s="4">
        <f>'[2]FPC wSEB'!K232</f>
        <v>73492</v>
      </c>
      <c r="D135" s="4">
        <f>'[2]FPC wSEB'!L232</f>
        <v>124544</v>
      </c>
      <c r="E135" s="4">
        <f>SUM('[2]FPC wSEB'!$AC232:$AD232)</f>
        <v>16</v>
      </c>
      <c r="Z135" s="6">
        <f t="shared" si="32"/>
        <v>198036</v>
      </c>
      <c r="BN135" s="4">
        <v>1993</v>
      </c>
      <c r="BO135" s="4">
        <v>11</v>
      </c>
    </row>
    <row r="136" spans="1:67" s="89" customFormat="1">
      <c r="A136" s="89">
        <v>1993</v>
      </c>
      <c r="B136" s="89">
        <v>12</v>
      </c>
      <c r="C136" s="89">
        <f>'[2]FPC wSEB'!K233</f>
        <v>9040</v>
      </c>
      <c r="D136" s="89">
        <f>'[2]FPC wSEB'!L233</f>
        <v>82230</v>
      </c>
      <c r="E136" s="4">
        <f>SUM('[2]FPC wSEB'!$AC233:$AD233)</f>
        <v>16</v>
      </c>
      <c r="Z136" s="6">
        <f t="shared" si="32"/>
        <v>91270</v>
      </c>
      <c r="BN136" s="89">
        <v>1993</v>
      </c>
      <c r="BO136" s="89">
        <v>12</v>
      </c>
    </row>
    <row r="137" spans="1:67">
      <c r="A137" s="4">
        <v>1994</v>
      </c>
      <c r="B137" s="4">
        <v>1</v>
      </c>
      <c r="C137" s="4">
        <f>'[2]FPC wSEB'!K234</f>
        <v>7711</v>
      </c>
      <c r="D137" s="4">
        <f>'[2]FPC wSEB'!L234</f>
        <v>82192</v>
      </c>
      <c r="E137" s="4">
        <f>SUM('[2]FPC wSEB'!$AC234:$AD234)</f>
        <v>16</v>
      </c>
      <c r="Z137" s="6">
        <f t="shared" si="32"/>
        <v>89903</v>
      </c>
      <c r="BN137" s="4">
        <v>1994</v>
      </c>
      <c r="BO137" s="4">
        <v>1</v>
      </c>
    </row>
    <row r="138" spans="1:67">
      <c r="A138" s="4">
        <v>1994</v>
      </c>
      <c r="B138" s="4">
        <v>2</v>
      </c>
      <c r="C138" s="4">
        <f>'[2]FPC wSEB'!K235</f>
        <v>23881</v>
      </c>
      <c r="D138" s="4">
        <f>'[2]FPC wSEB'!L235</f>
        <v>90472</v>
      </c>
      <c r="E138" s="4">
        <f>SUM('[2]FPC wSEB'!$AC235:$AD235)</f>
        <v>15</v>
      </c>
      <c r="Z138" s="6">
        <f t="shared" si="32"/>
        <v>114353</v>
      </c>
      <c r="BN138" s="4">
        <v>1994</v>
      </c>
      <c r="BO138" s="4">
        <v>2</v>
      </c>
    </row>
    <row r="139" spans="1:67">
      <c r="A139" s="4">
        <v>1994</v>
      </c>
      <c r="B139" s="4">
        <v>3</v>
      </c>
      <c r="C139" s="4">
        <f>'[2]FPC wSEB'!K236</f>
        <v>71264</v>
      </c>
      <c r="D139" s="4">
        <f>'[2]FPC wSEB'!L236</f>
        <v>83304</v>
      </c>
      <c r="E139" s="4">
        <f>SUM('[2]FPC wSEB'!$AC236:$AD236)</f>
        <v>15</v>
      </c>
      <c r="Z139" s="6">
        <f t="shared" si="32"/>
        <v>154568</v>
      </c>
      <c r="BN139" s="4">
        <v>1994</v>
      </c>
      <c r="BO139" s="4">
        <v>3</v>
      </c>
    </row>
    <row r="140" spans="1:67">
      <c r="A140" s="4">
        <v>1994</v>
      </c>
      <c r="B140" s="4">
        <v>4</v>
      </c>
      <c r="C140" s="4">
        <f>'[2]FPC wSEB'!K237</f>
        <v>15623</v>
      </c>
      <c r="D140" s="4">
        <f>'[2]FPC wSEB'!L237</f>
        <v>99256</v>
      </c>
      <c r="E140" s="4">
        <f>SUM('[2]FPC wSEB'!$AC237:$AD237)</f>
        <v>16</v>
      </c>
      <c r="Z140" s="6">
        <f t="shared" si="32"/>
        <v>114879</v>
      </c>
      <c r="BN140" s="4">
        <v>1994</v>
      </c>
      <c r="BO140" s="4">
        <v>4</v>
      </c>
    </row>
    <row r="141" spans="1:67">
      <c r="A141" s="4">
        <v>1994</v>
      </c>
      <c r="B141" s="4">
        <v>5</v>
      </c>
      <c r="C141" s="4">
        <f>'[2]FPC wSEB'!K238</f>
        <v>5834</v>
      </c>
      <c r="D141" s="4">
        <f>'[2]FPC wSEB'!L238</f>
        <v>113731</v>
      </c>
      <c r="E141" s="4">
        <f>SUM('[2]FPC wSEB'!$AC238:$AD238)</f>
        <v>16</v>
      </c>
      <c r="Z141" s="6">
        <f t="shared" si="32"/>
        <v>119565</v>
      </c>
      <c r="BN141" s="4">
        <v>1994</v>
      </c>
      <c r="BO141" s="4">
        <v>5</v>
      </c>
    </row>
    <row r="142" spans="1:67">
      <c r="A142" s="4">
        <v>1994</v>
      </c>
      <c r="B142" s="4">
        <v>6</v>
      </c>
      <c r="C142" s="4">
        <f>'[2]FPC wSEB'!K239</f>
        <v>11916</v>
      </c>
      <c r="D142" s="4">
        <f>'[2]FPC wSEB'!L239</f>
        <v>141759</v>
      </c>
      <c r="E142" s="4">
        <f>SUM('[2]FPC wSEB'!$AC239:$AD239)</f>
        <v>16</v>
      </c>
      <c r="Z142" s="6">
        <f t="shared" si="32"/>
        <v>153675</v>
      </c>
      <c r="BN142" s="4">
        <v>1994</v>
      </c>
      <c r="BO142" s="4">
        <v>6</v>
      </c>
    </row>
    <row r="143" spans="1:67">
      <c r="A143" s="4">
        <v>1994</v>
      </c>
      <c r="B143" s="4">
        <v>7</v>
      </c>
      <c r="C143" s="4">
        <f>'[2]FPC wSEB'!K240</f>
        <v>39872</v>
      </c>
      <c r="D143" s="4">
        <f>'[2]FPC wSEB'!L240</f>
        <v>149127</v>
      </c>
      <c r="E143" s="4">
        <f>SUM('[2]FPC wSEB'!$AC240:$AD240)</f>
        <v>16</v>
      </c>
      <c r="Z143" s="6">
        <f t="shared" si="32"/>
        <v>188999</v>
      </c>
      <c r="BN143" s="4">
        <v>1994</v>
      </c>
      <c r="BO143" s="4">
        <v>7</v>
      </c>
    </row>
    <row r="144" spans="1:67">
      <c r="A144" s="4">
        <v>1994</v>
      </c>
      <c r="B144" s="4">
        <v>8</v>
      </c>
      <c r="C144" s="4">
        <f>'[2]FPC wSEB'!K241</f>
        <v>77007</v>
      </c>
      <c r="D144" s="4">
        <f>'[2]FPC wSEB'!L241</f>
        <v>145532</v>
      </c>
      <c r="E144" s="4">
        <f>SUM('[2]FPC wSEB'!$AC241:$AD241)</f>
        <v>16</v>
      </c>
      <c r="Z144" s="6">
        <f t="shared" si="32"/>
        <v>222539</v>
      </c>
      <c r="BN144" s="4">
        <v>1994</v>
      </c>
      <c r="BO144" s="4">
        <v>8</v>
      </c>
    </row>
    <row r="145" spans="1:67">
      <c r="A145" s="4">
        <v>1994</v>
      </c>
      <c r="B145" s="4">
        <v>9</v>
      </c>
      <c r="C145" s="4">
        <f>'[2]FPC wSEB'!K242</f>
        <v>72769</v>
      </c>
      <c r="D145" s="4">
        <f>'[2]FPC wSEB'!L242</f>
        <v>145281</v>
      </c>
      <c r="E145" s="4">
        <f>SUM('[2]FPC wSEB'!$AC242:$AD242)</f>
        <v>15</v>
      </c>
      <c r="Z145" s="6">
        <f t="shared" si="32"/>
        <v>218050</v>
      </c>
      <c r="BN145" s="4">
        <v>1994</v>
      </c>
      <c r="BO145" s="4">
        <v>9</v>
      </c>
    </row>
    <row r="146" spans="1:67">
      <c r="A146" s="4">
        <v>1994</v>
      </c>
      <c r="B146" s="4">
        <v>10</v>
      </c>
      <c r="C146" s="4">
        <f>'[2]FPC wSEB'!K243</f>
        <v>70769</v>
      </c>
      <c r="D146" s="4">
        <f>'[2]FPC wSEB'!L243</f>
        <v>125066</v>
      </c>
      <c r="E146" s="4">
        <f>SUM('[2]FPC wSEB'!$AC243:$AD243)</f>
        <v>15</v>
      </c>
      <c r="Z146" s="6">
        <f t="shared" ref="Z146:Z209" si="33">C146+D146</f>
        <v>195835</v>
      </c>
      <c r="BN146" s="4">
        <v>1994</v>
      </c>
      <c r="BO146" s="4">
        <v>10</v>
      </c>
    </row>
    <row r="147" spans="1:67">
      <c r="A147" s="4">
        <v>1994</v>
      </c>
      <c r="B147" s="4">
        <v>11</v>
      </c>
      <c r="C147" s="4">
        <f>'[2]FPC wSEB'!K244</f>
        <v>48471</v>
      </c>
      <c r="D147" s="4">
        <f>'[2]FPC wSEB'!L244</f>
        <v>101883</v>
      </c>
      <c r="E147" s="4">
        <f>SUM('[2]FPC wSEB'!$AC244:$AD244)</f>
        <v>15</v>
      </c>
      <c r="Z147" s="6">
        <f t="shared" si="33"/>
        <v>150354</v>
      </c>
      <c r="BN147" s="4">
        <v>1994</v>
      </c>
      <c r="BO147" s="4">
        <v>11</v>
      </c>
    </row>
    <row r="148" spans="1:67" s="89" customFormat="1">
      <c r="A148" s="89">
        <v>1994</v>
      </c>
      <c r="B148" s="89">
        <v>12</v>
      </c>
      <c r="C148" s="89">
        <f>'[2]FPC wSEB'!K245</f>
        <v>10727</v>
      </c>
      <c r="D148" s="89">
        <f>'[2]FPC wSEB'!L245</f>
        <v>85498</v>
      </c>
      <c r="E148" s="4">
        <f>SUM('[2]FPC wSEB'!$AC245:$AD245)</f>
        <v>15</v>
      </c>
      <c r="Z148" s="6">
        <f t="shared" si="33"/>
        <v>96225</v>
      </c>
      <c r="BN148" s="89">
        <v>1994</v>
      </c>
      <c r="BO148" s="89">
        <v>12</v>
      </c>
    </row>
    <row r="149" spans="1:67">
      <c r="A149" s="4">
        <v>1995</v>
      </c>
      <c r="B149" s="4">
        <v>1</v>
      </c>
      <c r="C149" s="4">
        <f>'[2]FPC wSEB'!K246</f>
        <v>2165</v>
      </c>
      <c r="D149" s="4">
        <f>'[2]FPC wSEB'!L246</f>
        <v>79979</v>
      </c>
      <c r="E149" s="4">
        <f>SUM('[2]FPC wSEB'!$AC246:$AD246)</f>
        <v>16</v>
      </c>
      <c r="Z149" s="6">
        <f t="shared" si="33"/>
        <v>82144</v>
      </c>
      <c r="BN149" s="4">
        <v>1995</v>
      </c>
      <c r="BO149" s="4">
        <v>1</v>
      </c>
    </row>
    <row r="150" spans="1:67">
      <c r="A150" s="4">
        <v>1995</v>
      </c>
      <c r="B150" s="4">
        <v>2</v>
      </c>
      <c r="C150" s="4">
        <f>'[2]FPC wSEB'!K247</f>
        <v>10701</v>
      </c>
      <c r="D150" s="4">
        <f>'[2]FPC wSEB'!L247</f>
        <v>74972</v>
      </c>
      <c r="E150" s="4">
        <f>SUM('[2]FPC wSEB'!$AC247:$AD247)</f>
        <v>15</v>
      </c>
      <c r="Z150" s="6">
        <f t="shared" si="33"/>
        <v>85673</v>
      </c>
      <c r="BN150" s="4">
        <v>1995</v>
      </c>
      <c r="BO150" s="4">
        <v>2</v>
      </c>
    </row>
    <row r="151" spans="1:67">
      <c r="A151" s="4">
        <v>1995</v>
      </c>
      <c r="B151" s="4">
        <v>3</v>
      </c>
      <c r="C151" s="4">
        <f>'[2]FPC wSEB'!K248</f>
        <v>51523</v>
      </c>
      <c r="D151" s="4">
        <f>'[2]FPC wSEB'!L248</f>
        <v>81646</v>
      </c>
      <c r="E151" s="4">
        <f>SUM('[2]FPC wSEB'!$AC248:$AD248)</f>
        <v>15</v>
      </c>
      <c r="Z151" s="6">
        <f t="shared" si="33"/>
        <v>133169</v>
      </c>
      <c r="BN151" s="4">
        <v>1995</v>
      </c>
      <c r="BO151" s="4">
        <v>3</v>
      </c>
    </row>
    <row r="152" spans="1:67">
      <c r="A152" s="4">
        <v>1995</v>
      </c>
      <c r="B152" s="4">
        <v>4</v>
      </c>
      <c r="C152" s="4">
        <f>'[2]FPC wSEB'!K249</f>
        <v>45577</v>
      </c>
      <c r="D152" s="4">
        <f>'[2]FPC wSEB'!L249</f>
        <v>76596</v>
      </c>
      <c r="E152" s="4">
        <f>SUM('[2]FPC wSEB'!$AC249:$AD249)</f>
        <v>17</v>
      </c>
      <c r="Z152" s="6">
        <f t="shared" si="33"/>
        <v>122173</v>
      </c>
      <c r="BN152" s="4">
        <v>1995</v>
      </c>
      <c r="BO152" s="4">
        <v>4</v>
      </c>
    </row>
    <row r="153" spans="1:67">
      <c r="A153" s="4">
        <v>1995</v>
      </c>
      <c r="B153" s="4">
        <v>5</v>
      </c>
      <c r="C153" s="4">
        <f>'[2]FPC wSEB'!K250</f>
        <v>2678</v>
      </c>
      <c r="D153" s="4">
        <f>'[2]FPC wSEB'!L250</f>
        <v>74683</v>
      </c>
      <c r="E153" s="4">
        <f>SUM('[2]FPC wSEB'!$AC250:$AD250)</f>
        <v>15</v>
      </c>
      <c r="Z153" s="6">
        <f t="shared" si="33"/>
        <v>77361</v>
      </c>
      <c r="BN153" s="4">
        <v>1995</v>
      </c>
      <c r="BO153" s="4">
        <v>5</v>
      </c>
    </row>
    <row r="154" spans="1:67">
      <c r="A154" s="4">
        <v>1995</v>
      </c>
      <c r="B154" s="4">
        <v>6</v>
      </c>
      <c r="C154" s="4">
        <f>'[2]FPC wSEB'!K251</f>
        <v>9639</v>
      </c>
      <c r="D154" s="4">
        <f>'[2]FPC wSEB'!L251</f>
        <v>102909</v>
      </c>
      <c r="E154" s="4">
        <f>SUM('[2]FPC wSEB'!$AC251:$AD251)</f>
        <v>15</v>
      </c>
      <c r="Z154" s="6">
        <f t="shared" si="33"/>
        <v>112548</v>
      </c>
      <c r="BN154" s="4">
        <v>1995</v>
      </c>
      <c r="BO154" s="4">
        <v>6</v>
      </c>
    </row>
    <row r="155" spans="1:67">
      <c r="A155" s="4">
        <v>1995</v>
      </c>
      <c r="B155" s="4">
        <v>7</v>
      </c>
      <c r="C155" s="4">
        <f>'[2]FPC wSEB'!K252</f>
        <v>89524</v>
      </c>
      <c r="D155" s="4">
        <f>'[2]FPC wSEB'!L252</f>
        <v>115839</v>
      </c>
      <c r="E155" s="4">
        <f>SUM('[2]FPC wSEB'!$AC252:$AD252)</f>
        <v>16</v>
      </c>
      <c r="Z155" s="6">
        <f t="shared" si="33"/>
        <v>205363</v>
      </c>
      <c r="BN155" s="4">
        <v>1995</v>
      </c>
      <c r="BO155" s="4">
        <v>7</v>
      </c>
    </row>
    <row r="156" spans="1:67">
      <c r="A156" s="4">
        <v>1995</v>
      </c>
      <c r="B156" s="4">
        <v>8</v>
      </c>
      <c r="C156" s="4">
        <f>'[2]FPC wSEB'!K253</f>
        <v>79411</v>
      </c>
      <c r="D156" s="4">
        <f>'[2]FPC wSEB'!L253</f>
        <v>115115</v>
      </c>
      <c r="E156" s="4">
        <f>SUM('[2]FPC wSEB'!$AC253:$AD253)</f>
        <v>16</v>
      </c>
      <c r="Z156" s="6">
        <f t="shared" si="33"/>
        <v>194526</v>
      </c>
      <c r="BN156" s="4">
        <v>1995</v>
      </c>
      <c r="BO156" s="4">
        <v>8</v>
      </c>
    </row>
    <row r="157" spans="1:67">
      <c r="A157" s="4">
        <v>1995</v>
      </c>
      <c r="B157" s="4">
        <v>9</v>
      </c>
      <c r="C157" s="4">
        <f>'[2]FPC wSEB'!K254</f>
        <v>128779</v>
      </c>
      <c r="D157" s="4">
        <f>'[2]FPC wSEB'!L254</f>
        <v>126233</v>
      </c>
      <c r="E157" s="4">
        <f>SUM('[2]FPC wSEB'!$AC254:$AD254)</f>
        <v>16</v>
      </c>
      <c r="Z157" s="6">
        <f t="shared" si="33"/>
        <v>255012</v>
      </c>
      <c r="BN157" s="4">
        <v>1995</v>
      </c>
      <c r="BO157" s="4">
        <v>9</v>
      </c>
    </row>
    <row r="158" spans="1:67">
      <c r="A158" s="4">
        <v>1995</v>
      </c>
      <c r="B158" s="4">
        <v>10</v>
      </c>
      <c r="C158" s="4">
        <f>'[2]FPC wSEB'!K255</f>
        <v>124564</v>
      </c>
      <c r="D158" s="4">
        <f>'[2]FPC wSEB'!L255</f>
        <v>133740</v>
      </c>
      <c r="E158" s="4">
        <f>SUM('[2]FPC wSEB'!$AC255:$AD255)</f>
        <v>20</v>
      </c>
      <c r="Z158" s="6">
        <f t="shared" si="33"/>
        <v>258304</v>
      </c>
      <c r="BN158" s="4">
        <v>1995</v>
      </c>
      <c r="BO158" s="4">
        <v>10</v>
      </c>
    </row>
    <row r="159" spans="1:67">
      <c r="A159" s="4">
        <v>1995</v>
      </c>
      <c r="B159" s="4">
        <v>11</v>
      </c>
      <c r="C159" s="4">
        <f>'[2]FPC wSEB'!K256</f>
        <v>91152</v>
      </c>
      <c r="D159" s="4">
        <f>'[2]FPC wSEB'!L256</f>
        <v>103909</v>
      </c>
      <c r="E159" s="4">
        <f>SUM('[2]FPC wSEB'!$AC256:$AD256)</f>
        <v>18</v>
      </c>
      <c r="Z159" s="6">
        <f t="shared" si="33"/>
        <v>195061</v>
      </c>
      <c r="BN159" s="4">
        <v>1995</v>
      </c>
      <c r="BO159" s="4">
        <v>11</v>
      </c>
    </row>
    <row r="160" spans="1:67" s="89" customFormat="1">
      <c r="A160" s="89">
        <v>1995</v>
      </c>
      <c r="B160" s="89">
        <v>12</v>
      </c>
      <c r="C160" s="89">
        <f>'[2]FPC wSEB'!K257</f>
        <v>36665</v>
      </c>
      <c r="D160" s="89">
        <f>'[2]FPC wSEB'!L257</f>
        <v>88423</v>
      </c>
      <c r="E160" s="4">
        <f>SUM('[2]FPC wSEB'!$AC257:$AD257)</f>
        <v>17</v>
      </c>
      <c r="Z160" s="6">
        <f t="shared" si="33"/>
        <v>125088</v>
      </c>
      <c r="BN160" s="89">
        <v>1995</v>
      </c>
      <c r="BO160" s="89">
        <v>12</v>
      </c>
    </row>
    <row r="161" spans="1:75">
      <c r="A161" s="4">
        <v>1996</v>
      </c>
      <c r="B161" s="4">
        <v>1</v>
      </c>
      <c r="C161" s="4">
        <f>'[2]FPC wSEB'!K258</f>
        <v>18831</v>
      </c>
      <c r="D161" s="4">
        <f>'[2]FPC wSEB'!L258</f>
        <v>89624</v>
      </c>
      <c r="E161" s="4">
        <f>SUM('[2]FPC wSEB'!$AC258:$AD258)</f>
        <v>16</v>
      </c>
      <c r="Z161" s="6">
        <f t="shared" si="33"/>
        <v>108455</v>
      </c>
      <c r="BN161" s="4">
        <v>1996</v>
      </c>
      <c r="BO161" s="4">
        <v>1</v>
      </c>
    </row>
    <row r="162" spans="1:75">
      <c r="A162" s="4">
        <v>1996</v>
      </c>
      <c r="B162" s="4">
        <v>2</v>
      </c>
      <c r="C162" s="4">
        <f>'[2]FPC wSEB'!K259</f>
        <v>85101</v>
      </c>
      <c r="D162" s="4">
        <f>'[2]FPC wSEB'!L259</f>
        <v>90325</v>
      </c>
      <c r="E162" s="4">
        <f>SUM('[2]FPC wSEB'!$AC259:$AD259)</f>
        <v>16</v>
      </c>
      <c r="Z162" s="6">
        <f t="shared" si="33"/>
        <v>175426</v>
      </c>
      <c r="BN162" s="4">
        <v>1996</v>
      </c>
      <c r="BO162" s="4">
        <v>2</v>
      </c>
    </row>
    <row r="163" spans="1:75">
      <c r="A163" s="4">
        <v>1996</v>
      </c>
      <c r="B163" s="4">
        <v>3</v>
      </c>
      <c r="C163" s="4">
        <f>'[2]FPC wSEB'!K260</f>
        <v>81789</v>
      </c>
      <c r="D163" s="4">
        <f>'[2]FPC wSEB'!L260</f>
        <v>102072</v>
      </c>
      <c r="E163" s="4">
        <f>SUM('[2]FPC wSEB'!$AC260:$AD260)</f>
        <v>16</v>
      </c>
      <c r="Z163" s="6">
        <f t="shared" si="33"/>
        <v>183861</v>
      </c>
      <c r="BN163" s="4">
        <v>1996</v>
      </c>
      <c r="BO163" s="4">
        <v>3</v>
      </c>
    </row>
    <row r="164" spans="1:75">
      <c r="A164" s="4">
        <v>1996</v>
      </c>
      <c r="B164" s="4">
        <v>4</v>
      </c>
      <c r="C164" s="4">
        <f>'[2]FPC wSEB'!K261</f>
        <v>73834</v>
      </c>
      <c r="D164" s="4">
        <f>'[2]FPC wSEB'!L261</f>
        <v>104759</v>
      </c>
      <c r="E164" s="4">
        <f>SUM('[2]FPC wSEB'!$AC261:$AD261)</f>
        <v>16</v>
      </c>
      <c r="Z164" s="6">
        <f t="shared" si="33"/>
        <v>178593</v>
      </c>
      <c r="BN164" s="4">
        <v>1996</v>
      </c>
      <c r="BO164" s="4">
        <v>4</v>
      </c>
    </row>
    <row r="165" spans="1:75">
      <c r="A165" s="4">
        <v>1996</v>
      </c>
      <c r="B165" s="4">
        <v>5</v>
      </c>
      <c r="C165" s="4">
        <f>'[2]FPC wSEB'!K262</f>
        <v>46606</v>
      </c>
      <c r="D165" s="4">
        <f>'[2]FPC wSEB'!L262</f>
        <v>98106</v>
      </c>
      <c r="E165" s="4">
        <f>SUM('[2]FPC wSEB'!$AC262:$AD262)</f>
        <v>16</v>
      </c>
      <c r="Z165" s="6">
        <f t="shared" si="33"/>
        <v>144712</v>
      </c>
      <c r="BN165" s="4">
        <v>1996</v>
      </c>
      <c r="BO165" s="4">
        <v>5</v>
      </c>
    </row>
    <row r="166" spans="1:75">
      <c r="A166" s="4">
        <v>1996</v>
      </c>
      <c r="B166" s="4">
        <v>6</v>
      </c>
      <c r="C166" s="4">
        <f>'[2]FPC wSEB'!K263</f>
        <v>5474</v>
      </c>
      <c r="D166" s="4">
        <f>'[2]FPC wSEB'!L263</f>
        <v>105037</v>
      </c>
      <c r="E166" s="4">
        <f>SUM('[2]FPC wSEB'!$AC263:$AD263)</f>
        <v>16</v>
      </c>
      <c r="Z166" s="6">
        <f t="shared" si="33"/>
        <v>110511</v>
      </c>
      <c r="BN166" s="4">
        <v>1996</v>
      </c>
      <c r="BO166" s="4">
        <v>6</v>
      </c>
    </row>
    <row r="167" spans="1:75">
      <c r="A167" s="4">
        <v>1996</v>
      </c>
      <c r="B167" s="4">
        <v>7</v>
      </c>
      <c r="C167" s="4">
        <f>'[2]FPC wSEB'!K264</f>
        <v>74301</v>
      </c>
      <c r="D167" s="4">
        <f>'[2]FPC wSEB'!L264</f>
        <v>111171</v>
      </c>
      <c r="E167" s="4">
        <f>SUM('[2]FPC wSEB'!$AC264:$AD264)</f>
        <v>16</v>
      </c>
      <c r="Z167" s="6">
        <f t="shared" si="33"/>
        <v>185472</v>
      </c>
      <c r="BN167" s="4">
        <v>1996</v>
      </c>
      <c r="BO167" s="4">
        <v>7</v>
      </c>
    </row>
    <row r="168" spans="1:75">
      <c r="A168" s="4">
        <v>1996</v>
      </c>
      <c r="B168" s="4">
        <v>8</v>
      </c>
      <c r="C168" s="4">
        <f>'[2]FPC wSEB'!K265</f>
        <v>88177</v>
      </c>
      <c r="D168" s="4">
        <f>'[2]FPC wSEB'!L265</f>
        <v>122131</v>
      </c>
      <c r="E168" s="4">
        <f>SUM('[2]FPC wSEB'!$AC265:$AD265)</f>
        <v>16</v>
      </c>
      <c r="Z168" s="6">
        <f t="shared" si="33"/>
        <v>210308</v>
      </c>
      <c r="BN168" s="4">
        <v>1996</v>
      </c>
      <c r="BO168" s="4">
        <v>8</v>
      </c>
    </row>
    <row r="169" spans="1:75">
      <c r="A169" s="4">
        <v>1996</v>
      </c>
      <c r="B169" s="4">
        <v>9</v>
      </c>
      <c r="C169" s="4">
        <f>'[2]FPC wSEB'!K266</f>
        <v>134472</v>
      </c>
      <c r="D169" s="4">
        <f>'[2]FPC wSEB'!L266</f>
        <v>141518</v>
      </c>
      <c r="E169" s="4">
        <f>SUM('[2]FPC wSEB'!$AC266:$AD266)</f>
        <v>17</v>
      </c>
      <c r="Z169" s="6">
        <f t="shared" si="33"/>
        <v>275990</v>
      </c>
      <c r="BN169" s="4">
        <v>1996</v>
      </c>
      <c r="BO169" s="4">
        <v>9</v>
      </c>
    </row>
    <row r="170" spans="1:75">
      <c r="A170" s="4">
        <v>1996</v>
      </c>
      <c r="B170" s="4">
        <v>10</v>
      </c>
      <c r="C170" s="4">
        <f>'[2]FPC wSEB'!K267</f>
        <v>104884</v>
      </c>
      <c r="D170" s="4">
        <f>'[2]FPC wSEB'!L267</f>
        <v>157839</v>
      </c>
      <c r="E170" s="4">
        <f>SUM('[2]FPC wSEB'!$AC267:$AD267)</f>
        <v>19</v>
      </c>
      <c r="Z170" s="6">
        <f t="shared" si="33"/>
        <v>262723</v>
      </c>
      <c r="BN170" s="4">
        <v>1996</v>
      </c>
      <c r="BO170" s="4">
        <v>10</v>
      </c>
      <c r="BW170" s="13"/>
    </row>
    <row r="171" spans="1:75">
      <c r="A171" s="4">
        <v>1996</v>
      </c>
      <c r="B171" s="4">
        <v>11</v>
      </c>
      <c r="C171" s="4">
        <f>'[2]FPC wSEB'!K268</f>
        <v>87177</v>
      </c>
      <c r="D171" s="4">
        <f>'[2]FPC wSEB'!L268</f>
        <v>71870</v>
      </c>
      <c r="E171" s="4">
        <f>SUM('[2]FPC wSEB'!$AC268:$AD268)</f>
        <v>16</v>
      </c>
      <c r="Z171" s="6">
        <f t="shared" si="33"/>
        <v>159047</v>
      </c>
      <c r="BN171" s="4">
        <v>1996</v>
      </c>
      <c r="BO171" s="4">
        <v>11</v>
      </c>
    </row>
    <row r="172" spans="1:75" s="89" customFormat="1">
      <c r="A172" s="89">
        <v>1996</v>
      </c>
      <c r="B172" s="89">
        <v>12</v>
      </c>
      <c r="C172" s="89">
        <f>'[2]FPC wSEB'!K269</f>
        <v>13302</v>
      </c>
      <c r="D172" s="89">
        <f>'[2]FPC wSEB'!L269</f>
        <v>80348</v>
      </c>
      <c r="E172" s="4">
        <f>SUM('[2]FPC wSEB'!$AC269:$AD269)</f>
        <v>15</v>
      </c>
      <c r="Z172" s="6">
        <f t="shared" si="33"/>
        <v>93650</v>
      </c>
      <c r="BN172" s="89">
        <v>1996</v>
      </c>
      <c r="BO172" s="89">
        <v>12</v>
      </c>
      <c r="BW172" s="90"/>
    </row>
    <row r="173" spans="1:75">
      <c r="A173" s="23">
        <v>1997</v>
      </c>
      <c r="B173" s="4">
        <v>1</v>
      </c>
      <c r="C173" s="4">
        <f>'[2]FPC wSEB'!K270</f>
        <v>7876</v>
      </c>
      <c r="D173" s="4">
        <f>'[2]FPC wSEB'!L270</f>
        <v>91029</v>
      </c>
      <c r="E173" s="4">
        <f>SUM('[2]FPC wSEB'!$AC270:$AD270)</f>
        <v>16</v>
      </c>
      <c r="Z173" s="6">
        <f t="shared" si="33"/>
        <v>98905</v>
      </c>
      <c r="BN173" s="23">
        <v>1997</v>
      </c>
      <c r="BO173" s="4">
        <v>1</v>
      </c>
      <c r="BP173" s="4">
        <f>[3]MTHLY!AL7</f>
        <v>90155</v>
      </c>
      <c r="BQ173" s="4">
        <f>[3]MTHLY!AM7</f>
        <v>50714</v>
      </c>
      <c r="BT173" s="5">
        <f>BQ173+BP173</f>
        <v>140869</v>
      </c>
      <c r="BW173" s="137"/>
    </row>
    <row r="174" spans="1:75">
      <c r="A174" s="23">
        <v>1997</v>
      </c>
      <c r="B174" s="4">
        <v>2</v>
      </c>
      <c r="C174" s="4">
        <f>'[2]FPC wSEB'!K271</f>
        <v>48733</v>
      </c>
      <c r="D174" s="4">
        <f>'[2]FPC wSEB'!L271</f>
        <v>90818</v>
      </c>
      <c r="E174" s="4">
        <f>SUM('[2]FPC wSEB'!$AC271:$AD271)</f>
        <v>16</v>
      </c>
      <c r="Z174" s="6">
        <f t="shared" si="33"/>
        <v>139551</v>
      </c>
      <c r="BN174" s="23">
        <v>1997</v>
      </c>
      <c r="BO174" s="4">
        <v>2</v>
      </c>
      <c r="BP174" s="4">
        <f>[3]MTHLY!AL8</f>
        <v>10149</v>
      </c>
      <c r="BQ174" s="4">
        <f>[3]MTHLY!AM8</f>
        <v>68201</v>
      </c>
      <c r="BT174" s="5">
        <f t="shared" ref="BT174:BT237" si="34">BQ174+BP174</f>
        <v>78350</v>
      </c>
      <c r="BW174" s="137"/>
    </row>
    <row r="175" spans="1:75">
      <c r="A175" s="23">
        <v>1997</v>
      </c>
      <c r="B175" s="4">
        <v>3</v>
      </c>
      <c r="C175" s="4">
        <f>'[2]FPC wSEB'!K272</f>
        <v>57826</v>
      </c>
      <c r="D175" s="4">
        <f>'[2]FPC wSEB'!L272</f>
        <v>73842</v>
      </c>
      <c r="E175" s="4">
        <f>SUM('[2]FPC wSEB'!$AC272:$AD272)</f>
        <v>16</v>
      </c>
      <c r="Z175" s="6">
        <f t="shared" si="33"/>
        <v>131668</v>
      </c>
      <c r="BN175" s="23">
        <v>1997</v>
      </c>
      <c r="BO175" s="4">
        <v>3</v>
      </c>
      <c r="BP175" s="4">
        <f>[3]MTHLY!AL9</f>
        <v>-3287</v>
      </c>
      <c r="BQ175" s="4">
        <f>[3]MTHLY!AM9</f>
        <v>59775</v>
      </c>
      <c r="BT175" s="5">
        <f t="shared" si="34"/>
        <v>56488</v>
      </c>
      <c r="BW175" s="137"/>
    </row>
    <row r="176" spans="1:75">
      <c r="A176" s="23">
        <v>1997</v>
      </c>
      <c r="B176" s="4">
        <v>4</v>
      </c>
      <c r="C176" s="4">
        <f>'[2]FPC wSEB'!K273</f>
        <v>11764</v>
      </c>
      <c r="D176" s="4">
        <f>'[2]FPC wSEB'!L273</f>
        <v>64856</v>
      </c>
      <c r="E176" s="4">
        <f>SUM('[2]FPC wSEB'!$AC273:$AD273)</f>
        <v>16</v>
      </c>
      <c r="Z176" s="6">
        <f t="shared" si="33"/>
        <v>76620</v>
      </c>
      <c r="BN176" s="23">
        <v>1997</v>
      </c>
      <c r="BO176" s="4">
        <v>4</v>
      </c>
      <c r="BP176" s="4">
        <f>[3]MTHLY!AL10</f>
        <v>16239</v>
      </c>
      <c r="BQ176" s="4">
        <f>[3]MTHLY!AM10</f>
        <v>55072</v>
      </c>
      <c r="BT176" s="5">
        <f t="shared" si="34"/>
        <v>71311</v>
      </c>
      <c r="BW176" s="137"/>
    </row>
    <row r="177" spans="1:75">
      <c r="A177" s="23">
        <v>1997</v>
      </c>
      <c r="B177" s="4">
        <v>5</v>
      </c>
      <c r="C177" s="4">
        <f>'[2]FPC wSEB'!K274</f>
        <v>6263</v>
      </c>
      <c r="D177" s="4">
        <f>'[2]FPC wSEB'!L274</f>
        <v>61050</v>
      </c>
      <c r="E177" s="4">
        <f>SUM('[2]FPC wSEB'!$AC274:$AD274)</f>
        <v>16</v>
      </c>
      <c r="Z177" s="6">
        <f t="shared" si="33"/>
        <v>67313</v>
      </c>
      <c r="BN177" s="23">
        <v>1997</v>
      </c>
      <c r="BO177" s="4">
        <v>5</v>
      </c>
      <c r="BP177" s="4">
        <f>[3]MTHLY!AL11</f>
        <v>44925</v>
      </c>
      <c r="BQ177" s="4">
        <f>[3]MTHLY!AM11</f>
        <v>87080</v>
      </c>
      <c r="BT177" s="5">
        <f t="shared" si="34"/>
        <v>132005</v>
      </c>
      <c r="BW177" s="137"/>
    </row>
    <row r="178" spans="1:75">
      <c r="A178" s="23">
        <v>1997</v>
      </c>
      <c r="B178" s="4">
        <v>6</v>
      </c>
      <c r="C178" s="4">
        <f>'[2]FPC wSEB'!K275</f>
        <v>3700</v>
      </c>
      <c r="D178" s="4">
        <f>'[2]FPC wSEB'!L275</f>
        <v>84166</v>
      </c>
      <c r="E178" s="4">
        <f>SUM('[2]FPC wSEB'!$AC275:$AD275)</f>
        <v>16</v>
      </c>
      <c r="Z178" s="6">
        <f t="shared" si="33"/>
        <v>87866</v>
      </c>
      <c r="BN178" s="23">
        <v>1997</v>
      </c>
      <c r="BO178" s="4">
        <v>6</v>
      </c>
      <c r="BP178" s="4">
        <f>[3]MTHLY!AL12</f>
        <v>92030</v>
      </c>
      <c r="BQ178" s="4">
        <f>[3]MTHLY!AM12</f>
        <v>87983</v>
      </c>
      <c r="BT178" s="5">
        <f t="shared" si="34"/>
        <v>180013</v>
      </c>
      <c r="BW178" s="137"/>
    </row>
    <row r="179" spans="1:75">
      <c r="A179" s="23">
        <v>1997</v>
      </c>
      <c r="B179" s="4">
        <v>7</v>
      </c>
      <c r="C179" s="4">
        <f>'[2]FPC wSEB'!K276</f>
        <v>49376</v>
      </c>
      <c r="D179" s="4">
        <f>'[2]FPC wSEB'!L276</f>
        <v>75623</v>
      </c>
      <c r="E179" s="4">
        <f>SUM('[2]FPC wSEB'!$AC276:$AD276)</f>
        <v>18</v>
      </c>
      <c r="Z179" s="6">
        <f t="shared" si="33"/>
        <v>124999</v>
      </c>
      <c r="BN179" s="23">
        <v>1997</v>
      </c>
      <c r="BO179" s="4">
        <v>7</v>
      </c>
      <c r="BP179" s="4">
        <f>[3]MTHLY!AL13</f>
        <v>138133</v>
      </c>
      <c r="BQ179" s="4">
        <f>[3]MTHLY!AM13</f>
        <v>109870</v>
      </c>
      <c r="BT179" s="5">
        <f t="shared" si="34"/>
        <v>248003</v>
      </c>
      <c r="BW179" s="137"/>
    </row>
    <row r="180" spans="1:75">
      <c r="A180" s="23">
        <v>1997</v>
      </c>
      <c r="B180" s="4">
        <v>8</v>
      </c>
      <c r="C180" s="4">
        <f>'[2]FPC wSEB'!K277</f>
        <v>92110</v>
      </c>
      <c r="D180" s="4">
        <f>'[2]FPC wSEB'!L277</f>
        <v>98208</v>
      </c>
      <c r="E180" s="4">
        <f>SUM('[2]FPC wSEB'!$AC277:$AD277)</f>
        <v>18</v>
      </c>
      <c r="Z180" s="6">
        <f t="shared" si="33"/>
        <v>190318</v>
      </c>
      <c r="BN180" s="23">
        <v>1997</v>
      </c>
      <c r="BO180" s="4">
        <v>8</v>
      </c>
      <c r="BP180" s="4">
        <f>[3]MTHLY!AL14</f>
        <v>140924</v>
      </c>
      <c r="BQ180" s="4">
        <f>[3]MTHLY!AM14</f>
        <v>111523</v>
      </c>
      <c r="BT180" s="5">
        <f t="shared" si="34"/>
        <v>252447</v>
      </c>
      <c r="BW180" s="137"/>
    </row>
    <row r="181" spans="1:75">
      <c r="A181" s="23">
        <v>1997</v>
      </c>
      <c r="B181" s="4">
        <v>9</v>
      </c>
      <c r="C181" s="4">
        <f>'[2]FPC wSEB'!K278</f>
        <v>146546</v>
      </c>
      <c r="D181" s="4">
        <f>'[2]FPC wSEB'!L278</f>
        <v>120839</v>
      </c>
      <c r="E181" s="4">
        <f>SUM('[2]FPC wSEB'!$AC278:$AD278)</f>
        <v>18</v>
      </c>
      <c r="Z181" s="6">
        <f t="shared" si="33"/>
        <v>267385</v>
      </c>
      <c r="BN181" s="23">
        <v>1997</v>
      </c>
      <c r="BO181" s="4">
        <v>9</v>
      </c>
      <c r="BP181" s="4">
        <f>[3]MTHLY!AL15</f>
        <v>123161</v>
      </c>
      <c r="BQ181" s="4">
        <f>[3]MTHLY!AM15</f>
        <v>117577</v>
      </c>
      <c r="BT181" s="5">
        <f t="shared" si="34"/>
        <v>240738</v>
      </c>
      <c r="BW181" s="137"/>
    </row>
    <row r="182" spans="1:75">
      <c r="A182" s="23">
        <v>1997</v>
      </c>
      <c r="B182" s="4">
        <v>10</v>
      </c>
      <c r="C182" s="4">
        <f>'[2]FPC wSEB'!K279</f>
        <v>143124</v>
      </c>
      <c r="D182" s="4">
        <f>'[2]FPC wSEB'!L279</f>
        <v>101261</v>
      </c>
      <c r="E182" s="4">
        <f>SUM('[2]FPC wSEB'!$AC279:$AD279)</f>
        <v>18</v>
      </c>
      <c r="Z182" s="6">
        <f t="shared" si="33"/>
        <v>244385</v>
      </c>
      <c r="BN182" s="23">
        <v>1997</v>
      </c>
      <c r="BO182" s="4">
        <v>10</v>
      </c>
      <c r="BP182" s="4">
        <f>[3]MTHLY!AL16</f>
        <v>43987</v>
      </c>
      <c r="BQ182" s="4">
        <f>[3]MTHLY!AM16</f>
        <v>74623</v>
      </c>
      <c r="BT182" s="5">
        <f t="shared" si="34"/>
        <v>118610</v>
      </c>
      <c r="BW182" s="137"/>
    </row>
    <row r="183" spans="1:75">
      <c r="A183" s="23">
        <v>1997</v>
      </c>
      <c r="B183" s="4">
        <v>11</v>
      </c>
      <c r="C183" s="4">
        <f>'[2]FPC wSEB'!K280</f>
        <v>117335</v>
      </c>
      <c r="D183" s="4">
        <f>'[2]FPC wSEB'!L280</f>
        <v>104038</v>
      </c>
      <c r="E183" s="4">
        <f>SUM('[2]FPC wSEB'!$AC280:$AD280)</f>
        <v>17</v>
      </c>
      <c r="Z183" s="6">
        <f t="shared" si="33"/>
        <v>221373</v>
      </c>
      <c r="BN183" s="23">
        <v>1997</v>
      </c>
      <c r="BO183" s="4">
        <v>11</v>
      </c>
      <c r="BP183" s="4">
        <f>[3]MTHLY!AL17</f>
        <v>91781</v>
      </c>
      <c r="BQ183" s="4">
        <f>[3]MTHLY!AM17</f>
        <v>103567</v>
      </c>
      <c r="BT183" s="5">
        <f t="shared" si="34"/>
        <v>195348</v>
      </c>
      <c r="BW183" s="137"/>
    </row>
    <row r="184" spans="1:75" s="89" customFormat="1">
      <c r="A184" s="89">
        <v>1997</v>
      </c>
      <c r="B184" s="89">
        <v>12</v>
      </c>
      <c r="C184" s="89">
        <f>'[2]FPC wSEB'!K281</f>
        <v>38289</v>
      </c>
      <c r="D184" s="89">
        <f>'[2]FPC wSEB'!L281</f>
        <v>69456</v>
      </c>
      <c r="E184" s="4">
        <f>SUM('[2]FPC wSEB'!$AC281:$AD281)</f>
        <v>15</v>
      </c>
      <c r="Z184" s="6">
        <f t="shared" si="33"/>
        <v>107745</v>
      </c>
      <c r="BN184" s="89">
        <v>1997</v>
      </c>
      <c r="BO184" s="89">
        <v>12</v>
      </c>
      <c r="BP184" s="89">
        <f>[3]MTHLY!AL18</f>
        <v>-13518</v>
      </c>
      <c r="BQ184" s="89">
        <f>[3]MTHLY!AM18</f>
        <v>49502</v>
      </c>
      <c r="BT184" s="103">
        <f t="shared" si="34"/>
        <v>35984</v>
      </c>
      <c r="BW184" s="139"/>
    </row>
    <row r="185" spans="1:75">
      <c r="A185" s="4">
        <v>1998</v>
      </c>
      <c r="B185" s="4">
        <v>1</v>
      </c>
      <c r="C185" s="4">
        <f>'[2]FPC wSEB'!K282</f>
        <v>9171</v>
      </c>
      <c r="D185" s="4">
        <f>'[2]FPC wSEB'!L282</f>
        <v>84979</v>
      </c>
      <c r="E185" s="4">
        <f>SUM('[2]FPC wSEB'!$AC282:$AD282)</f>
        <v>16</v>
      </c>
      <c r="Z185" s="6">
        <f t="shared" si="33"/>
        <v>94150</v>
      </c>
      <c r="BN185" s="4">
        <v>1998</v>
      </c>
      <c r="BO185" s="4">
        <v>1</v>
      </c>
      <c r="BP185" s="4">
        <f>[3]MTHLY!AL19</f>
        <v>42511</v>
      </c>
      <c r="BQ185" s="4">
        <f>[3]MTHLY!AM19</f>
        <v>71790</v>
      </c>
      <c r="BT185" s="5">
        <f t="shared" si="34"/>
        <v>114301</v>
      </c>
      <c r="BW185" s="137"/>
    </row>
    <row r="186" spans="1:75">
      <c r="A186" s="4">
        <v>1998</v>
      </c>
      <c r="B186" s="4">
        <v>2</v>
      </c>
      <c r="C186" s="4">
        <f>'[2]FPC wSEB'!K283</f>
        <v>66995</v>
      </c>
      <c r="D186" s="4">
        <f>'[2]FPC wSEB'!L283</f>
        <v>81835</v>
      </c>
      <c r="E186" s="4">
        <f>SUM('[2]FPC wSEB'!$AC283:$AD283)</f>
        <v>16</v>
      </c>
      <c r="Z186" s="6">
        <f t="shared" si="33"/>
        <v>148830</v>
      </c>
      <c r="BN186" s="4">
        <v>1998</v>
      </c>
      <c r="BO186" s="4">
        <v>2</v>
      </c>
      <c r="BP186" s="4">
        <f>[3]MTHLY!AL20</f>
        <v>44145</v>
      </c>
      <c r="BQ186" s="4">
        <f>[3]MTHLY!AM20</f>
        <v>71536</v>
      </c>
      <c r="BT186" s="5">
        <f t="shared" si="34"/>
        <v>115681</v>
      </c>
      <c r="BW186" s="137"/>
    </row>
    <row r="187" spans="1:75">
      <c r="A187" s="4">
        <v>1998</v>
      </c>
      <c r="B187" s="4">
        <v>3</v>
      </c>
      <c r="C187" s="4">
        <f>'[2]FPC wSEB'!K284</f>
        <v>38755</v>
      </c>
      <c r="D187" s="4">
        <f>'[2]FPC wSEB'!L284</f>
        <v>66966</v>
      </c>
      <c r="E187" s="4">
        <f>SUM('[2]FPC wSEB'!$AC284:$AD284)</f>
        <v>16</v>
      </c>
      <c r="Z187" s="6">
        <f t="shared" si="33"/>
        <v>105721</v>
      </c>
      <c r="BN187" s="4">
        <v>1998</v>
      </c>
      <c r="BO187" s="4">
        <v>3</v>
      </c>
      <c r="BP187" s="4">
        <f>[3]MTHLY!AL21</f>
        <v>42297</v>
      </c>
      <c r="BQ187" s="4">
        <f>[3]MTHLY!AM21</f>
        <v>71658</v>
      </c>
      <c r="BT187" s="5">
        <f t="shared" si="34"/>
        <v>113955</v>
      </c>
      <c r="BW187" s="137"/>
    </row>
    <row r="188" spans="1:75">
      <c r="A188" s="4">
        <v>1998</v>
      </c>
      <c r="B188" s="4">
        <v>4</v>
      </c>
      <c r="C188" s="4">
        <f>'[2]FPC wSEB'!K285</f>
        <v>45186</v>
      </c>
      <c r="D188" s="4">
        <f>'[2]FPC wSEB'!L285</f>
        <v>67004</v>
      </c>
      <c r="E188" s="4">
        <f>SUM('[2]FPC wSEB'!$AC285:$AD285)</f>
        <v>16</v>
      </c>
      <c r="Z188" s="6">
        <f t="shared" si="33"/>
        <v>112190</v>
      </c>
      <c r="BN188" s="4">
        <v>1998</v>
      </c>
      <c r="BO188" s="4">
        <v>4</v>
      </c>
      <c r="BP188" s="4">
        <f>[3]MTHLY!AL22</f>
        <v>17144</v>
      </c>
      <c r="BQ188" s="4">
        <f>[3]MTHLY!AM22</f>
        <v>83172</v>
      </c>
      <c r="BT188" s="5">
        <f t="shared" si="34"/>
        <v>100316</v>
      </c>
      <c r="BW188" s="137"/>
    </row>
    <row r="189" spans="1:75">
      <c r="A189" s="4">
        <v>1998</v>
      </c>
      <c r="B189" s="4">
        <v>5</v>
      </c>
      <c r="C189" s="4">
        <f>'[2]FPC wSEB'!K286</f>
        <v>44010</v>
      </c>
      <c r="D189" s="4">
        <f>'[2]FPC wSEB'!L286</f>
        <v>76555</v>
      </c>
      <c r="E189" s="4">
        <f>SUM('[2]FPC wSEB'!$AC286:$AD286)</f>
        <v>16</v>
      </c>
      <c r="Z189" s="6">
        <f t="shared" si="33"/>
        <v>120565</v>
      </c>
      <c r="BN189" s="4">
        <v>1998</v>
      </c>
      <c r="BO189" s="4">
        <v>5</v>
      </c>
      <c r="BP189" s="4">
        <f>[3]MTHLY!AL23</f>
        <v>104197</v>
      </c>
      <c r="BQ189" s="4">
        <f>[3]MTHLY!AM23</f>
        <v>100841</v>
      </c>
      <c r="BT189" s="5">
        <f t="shared" si="34"/>
        <v>205038</v>
      </c>
      <c r="BW189" s="137"/>
    </row>
    <row r="190" spans="1:75">
      <c r="A190" s="4">
        <v>1998</v>
      </c>
      <c r="B190" s="4">
        <v>6</v>
      </c>
      <c r="C190" s="4">
        <f>'[2]FPC wSEB'!K287</f>
        <v>16934</v>
      </c>
      <c r="D190" s="4">
        <f>'[2]FPC wSEB'!L287</f>
        <v>90738</v>
      </c>
      <c r="E190" s="4">
        <f>SUM('[2]FPC wSEB'!$AC287:$AD287)</f>
        <v>17</v>
      </c>
      <c r="Z190" s="6">
        <f t="shared" si="33"/>
        <v>107672</v>
      </c>
      <c r="BN190" s="4">
        <v>1998</v>
      </c>
      <c r="BO190" s="4">
        <v>6</v>
      </c>
      <c r="BP190" s="4">
        <f>[3]MTHLY!AL24</f>
        <v>228227</v>
      </c>
      <c r="BQ190" s="4">
        <f>[3]MTHLY!AM24</f>
        <v>104130</v>
      </c>
      <c r="BT190" s="5">
        <f t="shared" si="34"/>
        <v>332357</v>
      </c>
      <c r="BW190" s="137"/>
    </row>
    <row r="191" spans="1:75">
      <c r="A191" s="4">
        <v>1998</v>
      </c>
      <c r="B191" s="4">
        <v>7</v>
      </c>
      <c r="C191" s="4">
        <f>'[2]FPC wSEB'!K288</f>
        <v>121119</v>
      </c>
      <c r="D191" s="4">
        <f>'[2]FPC wSEB'!L288</f>
        <v>127050</v>
      </c>
      <c r="E191" s="4">
        <f>SUM('[2]FPC wSEB'!$AC288:$AD288)</f>
        <v>18</v>
      </c>
      <c r="Z191" s="6">
        <f t="shared" si="33"/>
        <v>248169</v>
      </c>
      <c r="BN191" s="4">
        <v>1998</v>
      </c>
      <c r="BO191" s="4">
        <v>7</v>
      </c>
      <c r="BP191" s="4">
        <f>[3]MTHLY!AL25</f>
        <v>219269</v>
      </c>
      <c r="BQ191" s="4">
        <f>[3]MTHLY!AM25</f>
        <v>202370</v>
      </c>
      <c r="BT191" s="5">
        <f t="shared" si="34"/>
        <v>421639</v>
      </c>
      <c r="BW191" s="137"/>
    </row>
    <row r="192" spans="1:75">
      <c r="A192" s="4">
        <v>1998</v>
      </c>
      <c r="B192" s="4">
        <v>8</v>
      </c>
      <c r="C192" s="4">
        <f>'[2]FPC wSEB'!K289</f>
        <v>233985</v>
      </c>
      <c r="D192" s="4">
        <f>'[2]FPC wSEB'!L289</f>
        <v>164287</v>
      </c>
      <c r="E192" s="4">
        <f>SUM('[2]FPC wSEB'!$AC289:$AD289)</f>
        <v>21</v>
      </c>
      <c r="Z192" s="6">
        <f t="shared" si="33"/>
        <v>398272</v>
      </c>
      <c r="BN192" s="4">
        <v>1998</v>
      </c>
      <c r="BO192" s="4">
        <v>8</v>
      </c>
      <c r="BP192" s="4">
        <f>[3]MTHLY!AL26</f>
        <v>184281</v>
      </c>
      <c r="BQ192" s="4">
        <f>[3]MTHLY!AM26</f>
        <v>140506</v>
      </c>
      <c r="BT192" s="5">
        <f t="shared" si="34"/>
        <v>324787</v>
      </c>
      <c r="BW192" s="137"/>
    </row>
    <row r="193" spans="1:75">
      <c r="A193" s="4">
        <v>1998</v>
      </c>
      <c r="B193" s="4">
        <v>9</v>
      </c>
      <c r="C193" s="4">
        <f>'[2]FPC wSEB'!K290</f>
        <v>208280</v>
      </c>
      <c r="D193" s="4">
        <f>'[2]FPC wSEB'!L290</f>
        <v>134805</v>
      </c>
      <c r="E193" s="4">
        <f>SUM('[2]FPC wSEB'!$AC290:$AD290)</f>
        <v>19</v>
      </c>
      <c r="Z193" s="6">
        <f t="shared" si="33"/>
        <v>343085</v>
      </c>
      <c r="BN193" s="4">
        <v>1998</v>
      </c>
      <c r="BO193" s="4">
        <v>9</v>
      </c>
      <c r="BP193" s="4">
        <f>[3]MTHLY!AL27</f>
        <v>127056</v>
      </c>
      <c r="BQ193" s="4">
        <f>[3]MTHLY!AM27</f>
        <v>95496</v>
      </c>
      <c r="BT193" s="5">
        <f t="shared" si="34"/>
        <v>222552</v>
      </c>
      <c r="BW193" s="137"/>
    </row>
    <row r="194" spans="1:75">
      <c r="A194" s="4">
        <v>1998</v>
      </c>
      <c r="B194" s="4">
        <v>10</v>
      </c>
      <c r="C194" s="4">
        <f>'[2]FPC wSEB'!K291</f>
        <v>190865</v>
      </c>
      <c r="D194" s="4">
        <f>'[2]FPC wSEB'!L291</f>
        <v>113098</v>
      </c>
      <c r="E194" s="4">
        <f>SUM('[2]FPC wSEB'!$AC291:$AD291)</f>
        <v>19</v>
      </c>
      <c r="Z194" s="6">
        <f t="shared" si="33"/>
        <v>303963</v>
      </c>
      <c r="BN194" s="4">
        <v>1998</v>
      </c>
      <c r="BO194" s="4">
        <v>10</v>
      </c>
      <c r="BP194" s="4">
        <f>[3]MTHLY!AL28</f>
        <v>76670</v>
      </c>
      <c r="BQ194" s="4">
        <f>[3]MTHLY!AM28</f>
        <v>82717</v>
      </c>
      <c r="BT194" s="5">
        <f t="shared" si="34"/>
        <v>159387</v>
      </c>
      <c r="BW194" s="137"/>
    </row>
    <row r="195" spans="1:75">
      <c r="A195" s="4">
        <v>1998</v>
      </c>
      <c r="B195" s="4">
        <v>11</v>
      </c>
      <c r="C195" s="4">
        <f>'[2]FPC wSEB'!K292</f>
        <v>115024</v>
      </c>
      <c r="D195" s="4">
        <f>'[2]FPC wSEB'!L292</f>
        <v>95017</v>
      </c>
      <c r="E195" s="4">
        <f>SUM('[2]FPC wSEB'!$AC292:$AD292)</f>
        <v>17</v>
      </c>
      <c r="Z195" s="6">
        <f t="shared" si="33"/>
        <v>210041</v>
      </c>
      <c r="BN195" s="4">
        <v>1998</v>
      </c>
      <c r="BO195" s="4">
        <v>11</v>
      </c>
      <c r="BP195" s="4">
        <f>[3]MTHLY!AL29</f>
        <v>18295</v>
      </c>
      <c r="BQ195" s="4">
        <f>[3]MTHLY!AM29</f>
        <v>78731</v>
      </c>
      <c r="BT195" s="5">
        <f t="shared" si="34"/>
        <v>97026</v>
      </c>
      <c r="BW195" s="137"/>
    </row>
    <row r="196" spans="1:75" s="89" customFormat="1">
      <c r="A196" s="89">
        <v>1998</v>
      </c>
      <c r="B196" s="89">
        <v>12</v>
      </c>
      <c r="C196" s="89">
        <f>'[2]FPC wSEB'!K293</f>
        <v>77233</v>
      </c>
      <c r="D196" s="89">
        <f>'[2]FPC wSEB'!L293</f>
        <v>69823</v>
      </c>
      <c r="E196" s="4">
        <f>SUM('[2]FPC wSEB'!$AC293:$AD293)</f>
        <v>15</v>
      </c>
      <c r="Z196" s="6">
        <f t="shared" si="33"/>
        <v>147056</v>
      </c>
      <c r="BN196" s="89">
        <v>1998</v>
      </c>
      <c r="BO196" s="89">
        <v>12</v>
      </c>
      <c r="BP196" s="89">
        <f>[3]MTHLY!AL30</f>
        <v>38424</v>
      </c>
      <c r="BQ196" s="89">
        <f>[3]MTHLY!AM30</f>
        <v>52948</v>
      </c>
      <c r="BT196" s="103">
        <f t="shared" si="34"/>
        <v>91372</v>
      </c>
      <c r="BW196" s="139"/>
    </row>
    <row r="197" spans="1:75">
      <c r="A197" s="4">
        <v>1999</v>
      </c>
      <c r="B197" s="4">
        <v>1</v>
      </c>
      <c r="C197" s="4">
        <f>'[2]FPC wSEB'!K294</f>
        <v>14750</v>
      </c>
      <c r="D197" s="4">
        <f>'[2]FPC wSEB'!L294</f>
        <v>79826</v>
      </c>
      <c r="E197" s="4">
        <f>SUM('[2]FPC wSEB'!$AC294:$AD294)</f>
        <v>15</v>
      </c>
      <c r="Z197" s="6">
        <f t="shared" si="33"/>
        <v>94576</v>
      </c>
      <c r="BN197" s="4">
        <v>1999</v>
      </c>
      <c r="BO197" s="4">
        <v>1</v>
      </c>
      <c r="BP197" s="4">
        <f>[3]MTHLY!AL31</f>
        <v>1262</v>
      </c>
      <c r="BQ197" s="4">
        <f>[3]MTHLY!AM31</f>
        <v>85579</v>
      </c>
      <c r="BT197" s="5">
        <f t="shared" si="34"/>
        <v>86841</v>
      </c>
      <c r="BW197" s="137"/>
    </row>
    <row r="198" spans="1:75">
      <c r="A198" s="4">
        <v>1999</v>
      </c>
      <c r="B198" s="4">
        <v>2</v>
      </c>
      <c r="C198" s="4">
        <f>'[2]FPC wSEB'!K295</f>
        <v>34344</v>
      </c>
      <c r="D198" s="4">
        <f>'[2]FPC wSEB'!L295</f>
        <v>64936</v>
      </c>
      <c r="E198" s="4">
        <f>SUM('[2]FPC wSEB'!$AC295:$AD295)</f>
        <v>15</v>
      </c>
      <c r="Z198" s="6">
        <f t="shared" si="33"/>
        <v>99280</v>
      </c>
      <c r="BN198" s="4">
        <v>1999</v>
      </c>
      <c r="BO198" s="4">
        <v>2</v>
      </c>
      <c r="BP198" s="4">
        <f>[3]MTHLY!AL32</f>
        <v>4605</v>
      </c>
      <c r="BQ198" s="4">
        <f>[3]MTHLY!AM32</f>
        <v>53417</v>
      </c>
      <c r="BT198" s="5">
        <f t="shared" si="34"/>
        <v>58022</v>
      </c>
      <c r="BW198" s="137"/>
    </row>
    <row r="199" spans="1:75">
      <c r="A199" s="4">
        <v>1999</v>
      </c>
      <c r="B199" s="4">
        <v>3</v>
      </c>
      <c r="C199" s="4">
        <f>'[2]FPC wSEB'!K296</f>
        <v>186289</v>
      </c>
      <c r="D199" s="4">
        <f>'[2]FPC wSEB'!L296</f>
        <v>62767</v>
      </c>
      <c r="E199" s="4">
        <f>SUM('[2]FPC wSEB'!$AC296:$AD296)</f>
        <v>17</v>
      </c>
      <c r="Z199" s="6">
        <f t="shared" si="33"/>
        <v>249056</v>
      </c>
      <c r="BN199" s="4">
        <v>1999</v>
      </c>
      <c r="BO199" s="4">
        <v>3</v>
      </c>
      <c r="BP199" s="4">
        <f>[3]MTHLY!AL33</f>
        <v>205287</v>
      </c>
      <c r="BQ199" s="4">
        <f>[3]MTHLY!AM33</f>
        <v>52782</v>
      </c>
      <c r="BT199" s="5">
        <f t="shared" si="34"/>
        <v>258069</v>
      </c>
      <c r="BW199" s="137"/>
    </row>
    <row r="200" spans="1:75">
      <c r="A200" s="4">
        <v>1999</v>
      </c>
      <c r="B200" s="4">
        <v>4</v>
      </c>
      <c r="C200" s="4">
        <f>'[2]FPC wSEB'!K297</f>
        <v>86096</v>
      </c>
      <c r="D200" s="4">
        <f>'[2]FPC wSEB'!L297</f>
        <v>53156</v>
      </c>
      <c r="E200" s="4">
        <f>SUM('[2]FPC wSEB'!$AC297:$AD297)</f>
        <v>16</v>
      </c>
      <c r="Z200" s="6">
        <f t="shared" si="33"/>
        <v>139252</v>
      </c>
      <c r="BN200" s="4">
        <v>1999</v>
      </c>
      <c r="BO200" s="4">
        <v>4</v>
      </c>
      <c r="BP200" s="4">
        <f>[3]MTHLY!AL34</f>
        <v>262251</v>
      </c>
      <c r="BQ200" s="4">
        <f>[3]MTHLY!AM34</f>
        <v>57261</v>
      </c>
      <c r="BT200" s="5">
        <f t="shared" si="34"/>
        <v>319512</v>
      </c>
      <c r="BW200" s="137"/>
    </row>
    <row r="201" spans="1:75">
      <c r="A201" s="4">
        <v>1999</v>
      </c>
      <c r="B201" s="4">
        <v>5</v>
      </c>
      <c r="C201" s="4">
        <f>'[2]FPC wSEB'!K298</f>
        <v>1084</v>
      </c>
      <c r="D201" s="4">
        <f>'[2]FPC wSEB'!L298</f>
        <v>67667</v>
      </c>
      <c r="E201" s="4">
        <f>SUM('[2]FPC wSEB'!$AC298:$AD298)</f>
        <v>15</v>
      </c>
      <c r="Z201" s="6">
        <f t="shared" si="33"/>
        <v>68751</v>
      </c>
      <c r="BN201" s="4">
        <v>1999</v>
      </c>
      <c r="BO201" s="4">
        <v>5</v>
      </c>
      <c r="BP201" s="4">
        <f>[3]MTHLY!AL35</f>
        <v>147726</v>
      </c>
      <c r="BQ201" s="4">
        <f>[3]MTHLY!AM35</f>
        <v>134902</v>
      </c>
      <c r="BT201" s="5">
        <f t="shared" si="34"/>
        <v>282628</v>
      </c>
      <c r="BW201" s="137"/>
    </row>
    <row r="202" spans="1:75">
      <c r="A202" s="4">
        <v>1999</v>
      </c>
      <c r="B202" s="4">
        <v>6</v>
      </c>
      <c r="C202" s="4">
        <f>'[2]FPC wSEB'!K299</f>
        <v>345007</v>
      </c>
      <c r="D202" s="4">
        <f>'[2]FPC wSEB'!L299</f>
        <v>104657</v>
      </c>
      <c r="E202" s="4">
        <f>SUM('[2]FPC wSEB'!$AC299:$AD299)</f>
        <v>18</v>
      </c>
      <c r="Z202" s="6">
        <f t="shared" si="33"/>
        <v>449664</v>
      </c>
      <c r="BN202" s="4">
        <v>1999</v>
      </c>
      <c r="BO202" s="4">
        <v>6</v>
      </c>
      <c r="BP202" s="4">
        <f>[3]MTHLY!AL36</f>
        <v>186526</v>
      </c>
      <c r="BQ202" s="4">
        <f>[3]MTHLY!AM36</f>
        <v>99175</v>
      </c>
      <c r="BT202" s="5">
        <f t="shared" si="34"/>
        <v>285701</v>
      </c>
      <c r="BW202" s="137"/>
    </row>
    <row r="203" spans="1:75">
      <c r="A203" s="4">
        <v>1999</v>
      </c>
      <c r="B203" s="4">
        <v>7</v>
      </c>
      <c r="C203" s="4">
        <f>'[2]FPC wSEB'!K300</f>
        <v>174558</v>
      </c>
      <c r="D203" s="4">
        <f>'[2]FPC wSEB'!L300</f>
        <v>115020</v>
      </c>
      <c r="E203" s="4">
        <f>SUM('[2]FPC wSEB'!$AC300:$AD300)</f>
        <v>19</v>
      </c>
      <c r="Z203" s="6">
        <f t="shared" si="33"/>
        <v>289578</v>
      </c>
      <c r="BN203" s="4">
        <v>1999</v>
      </c>
      <c r="BO203" s="4">
        <v>7</v>
      </c>
      <c r="BP203" s="4">
        <f>[3]MTHLY!AL37</f>
        <v>267721</v>
      </c>
      <c r="BQ203" s="4">
        <f>[3]MTHLY!AM37</f>
        <v>186216</v>
      </c>
      <c r="BT203" s="5">
        <f t="shared" si="34"/>
        <v>453937</v>
      </c>
      <c r="BW203" s="137"/>
    </row>
    <row r="204" spans="1:75">
      <c r="A204" s="4">
        <v>1999</v>
      </c>
      <c r="B204" s="4">
        <v>8</v>
      </c>
      <c r="C204" s="4">
        <f>'[2]FPC wSEB'!K301</f>
        <v>228011</v>
      </c>
      <c r="D204" s="4">
        <f>'[2]FPC wSEB'!L301</f>
        <v>149377</v>
      </c>
      <c r="E204" s="4">
        <f>SUM('[2]FPC wSEB'!$AC301:$AD301)</f>
        <v>17</v>
      </c>
      <c r="Z204" s="6">
        <f t="shared" si="33"/>
        <v>377388</v>
      </c>
      <c r="BN204" s="4">
        <v>1999</v>
      </c>
      <c r="BO204" s="4">
        <v>8</v>
      </c>
      <c r="BP204" s="4">
        <f>[3]MTHLY!AL38</f>
        <v>287453</v>
      </c>
      <c r="BQ204" s="4">
        <f>[3]MTHLY!AM38</f>
        <v>169677</v>
      </c>
      <c r="BT204" s="5">
        <f t="shared" si="34"/>
        <v>457130</v>
      </c>
      <c r="BW204" s="137"/>
    </row>
    <row r="205" spans="1:75">
      <c r="A205" s="4">
        <v>1999</v>
      </c>
      <c r="B205" s="4">
        <v>9</v>
      </c>
      <c r="C205" s="4">
        <f>'[2]FPC wSEB'!K302</f>
        <v>234000</v>
      </c>
      <c r="D205" s="4">
        <f>'[2]FPC wSEB'!L302</f>
        <v>187637</v>
      </c>
      <c r="E205" s="4">
        <f>SUM('[2]FPC wSEB'!$AC302:$AD302)</f>
        <v>21</v>
      </c>
      <c r="Z205" s="6">
        <f t="shared" si="33"/>
        <v>421637</v>
      </c>
      <c r="BN205" s="4">
        <v>1999</v>
      </c>
      <c r="BO205" s="4">
        <v>9</v>
      </c>
      <c r="BP205" s="4">
        <f>[3]MTHLY!AL39</f>
        <v>154986</v>
      </c>
      <c r="BQ205" s="4">
        <f>[3]MTHLY!AM39</f>
        <v>154783</v>
      </c>
      <c r="BT205" s="5">
        <f t="shared" si="34"/>
        <v>309769</v>
      </c>
      <c r="BW205" s="137"/>
    </row>
    <row r="206" spans="1:75">
      <c r="A206" s="4">
        <v>1999</v>
      </c>
      <c r="B206" s="4">
        <v>10</v>
      </c>
      <c r="C206" s="4">
        <f>'[2]FPC wSEB'!K303</f>
        <v>288169</v>
      </c>
      <c r="D206" s="4">
        <f>'[2]FPC wSEB'!L303</f>
        <v>142693</v>
      </c>
      <c r="E206" s="4">
        <f>SUM('[2]FPC wSEB'!$AC303:$AD303)</f>
        <v>18</v>
      </c>
      <c r="Z206" s="6">
        <f t="shared" si="33"/>
        <v>430862</v>
      </c>
      <c r="BN206" s="4">
        <v>1999</v>
      </c>
      <c r="BO206" s="4">
        <v>10</v>
      </c>
      <c r="BP206" s="4">
        <f>[3]MTHLY!AL40</f>
        <v>279337</v>
      </c>
      <c r="BQ206" s="4">
        <f>[3]MTHLY!AM40</f>
        <v>142820</v>
      </c>
      <c r="BT206" s="5">
        <f t="shared" si="34"/>
        <v>422157</v>
      </c>
      <c r="BW206" s="137"/>
    </row>
    <row r="207" spans="1:75">
      <c r="A207" s="4">
        <v>1999</v>
      </c>
      <c r="B207" s="4">
        <v>11</v>
      </c>
      <c r="C207" s="4">
        <f>'[2]FPC wSEB'!K304</f>
        <v>252505</v>
      </c>
      <c r="D207" s="4">
        <f>'[2]FPC wSEB'!L304</f>
        <v>132097</v>
      </c>
      <c r="E207" s="4">
        <f>SUM('[2]FPC wSEB'!$AC304:$AD304)</f>
        <v>17</v>
      </c>
      <c r="Z207" s="6">
        <f t="shared" si="33"/>
        <v>384602</v>
      </c>
      <c r="BN207" s="4">
        <v>1999</v>
      </c>
      <c r="BO207" s="4">
        <v>11</v>
      </c>
      <c r="BP207" s="4">
        <f>[3]MTHLY!AL41</f>
        <v>127922</v>
      </c>
      <c r="BQ207" s="4">
        <f>[3]MTHLY!AM41</f>
        <v>90857</v>
      </c>
      <c r="BT207" s="5">
        <f t="shared" si="34"/>
        <v>218779</v>
      </c>
      <c r="BW207" s="137"/>
    </row>
    <row r="208" spans="1:75" s="89" customFormat="1">
      <c r="A208" s="89">
        <v>1999</v>
      </c>
      <c r="B208" s="89">
        <v>12</v>
      </c>
      <c r="C208" s="89">
        <f>'[2]FPC wSEB'!K305</f>
        <v>129676</v>
      </c>
      <c r="D208" s="89">
        <f>'[2]FPC wSEB'!L305</f>
        <v>132384</v>
      </c>
      <c r="E208" s="4">
        <f>SUM('[2]FPC wSEB'!$AC305:$AD305)</f>
        <v>24</v>
      </c>
      <c r="Z208" s="6">
        <f t="shared" si="33"/>
        <v>262060</v>
      </c>
      <c r="BN208" s="89">
        <v>1999</v>
      </c>
      <c r="BO208" s="89">
        <v>12</v>
      </c>
      <c r="BP208" s="89">
        <f>[3]MTHLY!AL42</f>
        <v>158967</v>
      </c>
      <c r="BQ208" s="89">
        <f>[3]MTHLY!AM42</f>
        <v>87644</v>
      </c>
      <c r="BT208" s="103">
        <f t="shared" si="34"/>
        <v>246611</v>
      </c>
      <c r="BW208" s="139"/>
    </row>
    <row r="209" spans="1:75">
      <c r="A209" s="4">
        <v>2000</v>
      </c>
      <c r="B209" s="4">
        <v>1</v>
      </c>
      <c r="C209" s="4">
        <f>'[2]FPC wSEB'!K306</f>
        <v>148466</v>
      </c>
      <c r="D209" s="4">
        <f>'[2]FPC wSEB'!L306</f>
        <v>98857</v>
      </c>
      <c r="E209" s="4">
        <f>SUM('[2]FPC wSEB'!$AC306:$AD306)</f>
        <v>18</v>
      </c>
      <c r="Z209" s="6">
        <f t="shared" si="33"/>
        <v>247323</v>
      </c>
      <c r="BN209" s="4">
        <v>2000</v>
      </c>
      <c r="BO209" s="4">
        <v>1</v>
      </c>
      <c r="BP209" s="4">
        <f>[3]MTHLY!AL43</f>
        <v>172135</v>
      </c>
      <c r="BQ209" s="4">
        <f>[3]MTHLY!AM43</f>
        <v>101571</v>
      </c>
      <c r="BT209" s="5">
        <f t="shared" si="34"/>
        <v>273706</v>
      </c>
      <c r="BW209" s="137"/>
    </row>
    <row r="210" spans="1:75">
      <c r="A210" s="4">
        <v>2000</v>
      </c>
      <c r="B210" s="4">
        <v>2</v>
      </c>
      <c r="C210" s="4">
        <f>'[2]FPC wSEB'!K307</f>
        <v>169987</v>
      </c>
      <c r="D210" s="4">
        <f>'[2]FPC wSEB'!L307</f>
        <v>86208</v>
      </c>
      <c r="E210" s="4">
        <f>SUM('[2]FPC wSEB'!$AC307:$AD307)</f>
        <v>19</v>
      </c>
      <c r="Z210" s="6">
        <f t="shared" ref="Z210:Z261" si="35">C210+D210</f>
        <v>256195</v>
      </c>
      <c r="BN210" s="4">
        <v>2000</v>
      </c>
      <c r="BO210" s="4">
        <v>2</v>
      </c>
      <c r="BP210" s="4">
        <f>[3]MTHLY!AL44</f>
        <v>117007</v>
      </c>
      <c r="BQ210" s="4">
        <f>[3]MTHLY!AM44</f>
        <v>63116</v>
      </c>
      <c r="BT210" s="5">
        <f t="shared" si="34"/>
        <v>180123</v>
      </c>
      <c r="BW210" s="137"/>
    </row>
    <row r="211" spans="1:75">
      <c r="A211" s="4">
        <v>2000</v>
      </c>
      <c r="B211" s="4">
        <v>3</v>
      </c>
      <c r="C211" s="4">
        <f>'[2]FPC wSEB'!K308</f>
        <v>126500</v>
      </c>
      <c r="D211" s="4">
        <f>'[2]FPC wSEB'!L308</f>
        <v>84047</v>
      </c>
      <c r="E211" s="4">
        <f>SUM('[2]FPC wSEB'!$AC308:$AD308)</f>
        <v>18</v>
      </c>
      <c r="Z211" s="6">
        <f t="shared" si="35"/>
        <v>210547</v>
      </c>
      <c r="BN211" s="4">
        <v>2000</v>
      </c>
      <c r="BO211" s="4">
        <v>3</v>
      </c>
      <c r="BP211" s="4">
        <f>[3]MTHLY!AL45</f>
        <v>138898</v>
      </c>
      <c r="BQ211" s="4">
        <f>[3]MTHLY!AM45</f>
        <v>91289</v>
      </c>
      <c r="BT211" s="5">
        <f t="shared" si="34"/>
        <v>230187</v>
      </c>
      <c r="BW211" s="137"/>
    </row>
    <row r="212" spans="1:75">
      <c r="A212" s="4">
        <v>2000</v>
      </c>
      <c r="B212" s="4">
        <v>4</v>
      </c>
      <c r="C212" s="4">
        <f>'[2]FPC wSEB'!K309</f>
        <v>147027</v>
      </c>
      <c r="D212" s="4">
        <f>'[2]FPC wSEB'!L309</f>
        <v>82999</v>
      </c>
      <c r="E212" s="4">
        <f>SUM('[2]FPC wSEB'!$AC309:$AD309)</f>
        <v>18</v>
      </c>
      <c r="Z212" s="6">
        <f t="shared" si="35"/>
        <v>230026</v>
      </c>
      <c r="BN212" s="4">
        <v>2000</v>
      </c>
      <c r="BO212" s="4">
        <v>4</v>
      </c>
      <c r="BP212" s="4">
        <f>[3]MTHLY!AL46</f>
        <v>136633</v>
      </c>
      <c r="BQ212" s="4">
        <f>[3]MTHLY!AM46</f>
        <v>83100</v>
      </c>
      <c r="BT212" s="5">
        <f t="shared" si="34"/>
        <v>219733</v>
      </c>
      <c r="BW212" s="137"/>
    </row>
    <row r="213" spans="1:75">
      <c r="A213" s="4">
        <v>2000</v>
      </c>
      <c r="B213" s="4">
        <v>5</v>
      </c>
      <c r="C213" s="4">
        <f>'[2]FPC wSEB'!K310</f>
        <v>137856</v>
      </c>
      <c r="D213" s="4">
        <f>'[2]FPC wSEB'!L310</f>
        <v>69974</v>
      </c>
      <c r="E213" s="4">
        <f>SUM('[2]FPC wSEB'!$AC310:$AD310)</f>
        <v>17</v>
      </c>
      <c r="Z213" s="6">
        <f t="shared" si="35"/>
        <v>207830</v>
      </c>
      <c r="BN213" s="4">
        <v>2000</v>
      </c>
      <c r="BO213" s="4">
        <v>5</v>
      </c>
      <c r="BP213" s="4">
        <f>[3]MTHLY!AL47</f>
        <v>218715</v>
      </c>
      <c r="BQ213" s="4">
        <f>[3]MTHLY!AM47</f>
        <v>97523</v>
      </c>
      <c r="BT213" s="5">
        <f t="shared" si="34"/>
        <v>316238</v>
      </c>
      <c r="BW213" s="137"/>
    </row>
    <row r="214" spans="1:75">
      <c r="A214" s="4">
        <v>2000</v>
      </c>
      <c r="B214" s="4">
        <v>6</v>
      </c>
      <c r="C214" s="4">
        <f>'[2]FPC wSEB'!K311</f>
        <v>204826</v>
      </c>
      <c r="D214" s="4">
        <f>'[2]FPC wSEB'!L311</f>
        <v>94040</v>
      </c>
      <c r="E214" s="4">
        <f>SUM('[2]FPC wSEB'!$AC311:$AD311)</f>
        <v>19</v>
      </c>
      <c r="Z214" s="6">
        <f t="shared" si="35"/>
        <v>298866</v>
      </c>
      <c r="BN214" s="4">
        <v>2000</v>
      </c>
      <c r="BO214" s="4">
        <v>6</v>
      </c>
      <c r="BP214" s="4">
        <f>[3]MTHLY!AL48</f>
        <v>253247</v>
      </c>
      <c r="BQ214" s="4">
        <f>[3]MTHLY!AM48</f>
        <v>114584</v>
      </c>
      <c r="BT214" s="5">
        <f t="shared" si="34"/>
        <v>367831</v>
      </c>
      <c r="BW214" s="137"/>
    </row>
    <row r="215" spans="1:75">
      <c r="A215" s="4">
        <v>2000</v>
      </c>
      <c r="B215" s="4">
        <v>7</v>
      </c>
      <c r="C215" s="4">
        <f>'[2]FPC wSEB'!K312</f>
        <v>249189</v>
      </c>
      <c r="D215" s="4">
        <f>'[2]FPC wSEB'!L312</f>
        <v>136213</v>
      </c>
      <c r="E215" s="4">
        <f>SUM('[2]FPC wSEB'!$AC312:$AD312)</f>
        <v>19</v>
      </c>
      <c r="Z215" s="6">
        <f t="shared" si="35"/>
        <v>385402</v>
      </c>
      <c r="BN215" s="4">
        <v>2000</v>
      </c>
      <c r="BO215" s="4">
        <v>7</v>
      </c>
      <c r="BP215" s="4">
        <f>[3]MTHLY!AL49</f>
        <v>301452</v>
      </c>
      <c r="BQ215" s="4">
        <f>[3]MTHLY!AM49</f>
        <v>149411</v>
      </c>
      <c r="BT215" s="5">
        <f t="shared" si="34"/>
        <v>450863</v>
      </c>
      <c r="BW215" s="137"/>
    </row>
    <row r="216" spans="1:75">
      <c r="A216" s="4">
        <v>2000</v>
      </c>
      <c r="B216" s="4">
        <v>8</v>
      </c>
      <c r="C216" s="4">
        <f>'[2]FPC wSEB'!K313</f>
        <v>292884</v>
      </c>
      <c r="D216" s="4">
        <f>'[2]FPC wSEB'!L313</f>
        <v>114577</v>
      </c>
      <c r="E216" s="4">
        <f>SUM('[2]FPC wSEB'!$AC313:$AD313)</f>
        <v>17</v>
      </c>
      <c r="Z216" s="6">
        <f t="shared" si="35"/>
        <v>407461</v>
      </c>
      <c r="BN216" s="4">
        <v>2000</v>
      </c>
      <c r="BO216" s="4">
        <v>8</v>
      </c>
      <c r="BP216" s="4">
        <f>[3]MTHLY!AL50</f>
        <v>305097</v>
      </c>
      <c r="BQ216" s="4">
        <f>[3]MTHLY!AM50</f>
        <v>110277</v>
      </c>
      <c r="BT216" s="5">
        <f t="shared" si="34"/>
        <v>415374</v>
      </c>
      <c r="BW216" s="137"/>
    </row>
    <row r="217" spans="1:75">
      <c r="A217" s="4">
        <v>2000</v>
      </c>
      <c r="B217" s="4">
        <v>9</v>
      </c>
      <c r="C217" s="4">
        <f>'[2]FPC wSEB'!K314</f>
        <v>311004</v>
      </c>
      <c r="D217" s="4">
        <f>'[2]FPC wSEB'!L314</f>
        <v>128757</v>
      </c>
      <c r="E217" s="4">
        <f>SUM('[2]FPC wSEB'!$AC314:$AD314)</f>
        <v>18</v>
      </c>
      <c r="Z217" s="6">
        <f t="shared" si="35"/>
        <v>439761</v>
      </c>
      <c r="BN217" s="4">
        <v>2000</v>
      </c>
      <c r="BO217" s="4">
        <v>9</v>
      </c>
      <c r="BP217" s="4">
        <f>[3]MTHLY!AL51</f>
        <v>231184</v>
      </c>
      <c r="BQ217" s="4">
        <f>[3]MTHLY!AM51</f>
        <v>119300</v>
      </c>
      <c r="BT217" s="5">
        <f t="shared" si="34"/>
        <v>350484</v>
      </c>
      <c r="BW217" s="137"/>
    </row>
    <row r="218" spans="1:75">
      <c r="A218" s="4">
        <v>2000</v>
      </c>
      <c r="B218" s="4">
        <v>10</v>
      </c>
      <c r="C218" s="4">
        <f>'[2]FPC wSEB'!K315</f>
        <v>252004</v>
      </c>
      <c r="D218" s="4">
        <f>'[2]FPC wSEB'!L315</f>
        <v>124734</v>
      </c>
      <c r="E218" s="4">
        <f>SUM('[2]FPC wSEB'!$AC315:$AD315)</f>
        <v>19</v>
      </c>
      <c r="Z218" s="6">
        <f t="shared" si="35"/>
        <v>376738</v>
      </c>
      <c r="BN218" s="4">
        <v>2000</v>
      </c>
      <c r="BO218" s="4">
        <v>10</v>
      </c>
      <c r="BP218" s="4">
        <f>[3]MTHLY!AL52</f>
        <v>261981</v>
      </c>
      <c r="BQ218" s="4">
        <f>[3]MTHLY!AM52</f>
        <v>109747</v>
      </c>
      <c r="BT218" s="5">
        <f t="shared" si="34"/>
        <v>371728</v>
      </c>
      <c r="BW218" s="137"/>
    </row>
    <row r="219" spans="1:75">
      <c r="A219" s="4">
        <v>2000</v>
      </c>
      <c r="B219" s="4">
        <v>11</v>
      </c>
      <c r="C219" s="4">
        <f>'[2]FPC wSEB'!K316</f>
        <v>260159</v>
      </c>
      <c r="D219" s="4">
        <f>'[2]FPC wSEB'!L316</f>
        <v>102360</v>
      </c>
      <c r="E219" s="4">
        <f>SUM('[2]FPC wSEB'!$AC316:$AD316)</f>
        <v>18</v>
      </c>
      <c r="Z219" s="6">
        <f t="shared" si="35"/>
        <v>362519</v>
      </c>
      <c r="BN219" s="4">
        <v>2000</v>
      </c>
      <c r="BO219" s="4">
        <v>11</v>
      </c>
      <c r="BP219" s="4">
        <f>[3]MTHLY!AL53</f>
        <v>219904</v>
      </c>
      <c r="BQ219" s="4">
        <f>[3]MTHLY!AM53</f>
        <v>80833</v>
      </c>
      <c r="BT219" s="5">
        <f t="shared" si="34"/>
        <v>300737</v>
      </c>
      <c r="BW219" s="137"/>
    </row>
    <row r="220" spans="1:75" s="89" customFormat="1">
      <c r="A220" s="89">
        <v>2000</v>
      </c>
      <c r="B220" s="89">
        <v>12</v>
      </c>
      <c r="C220" s="89">
        <f>'[2]FPC wSEB'!K317</f>
        <v>217914</v>
      </c>
      <c r="D220" s="89">
        <f>'[2]FPC wSEB'!L317</f>
        <v>91453</v>
      </c>
      <c r="E220" s="4">
        <f>SUM('[2]FPC wSEB'!$AC317:$AD317)</f>
        <v>19</v>
      </c>
      <c r="Z220" s="6">
        <f t="shared" si="35"/>
        <v>309367</v>
      </c>
      <c r="BN220" s="89">
        <v>2000</v>
      </c>
      <c r="BO220" s="89">
        <v>12</v>
      </c>
      <c r="BP220" s="89">
        <f>[3]MTHLY!AL54</f>
        <v>249921</v>
      </c>
      <c r="BQ220" s="89">
        <f>[3]MTHLY!AM54</f>
        <v>118947</v>
      </c>
      <c r="BT220" s="103">
        <f t="shared" si="34"/>
        <v>368868</v>
      </c>
      <c r="BW220" s="139"/>
    </row>
    <row r="221" spans="1:75">
      <c r="A221" s="4">
        <f t="shared" ref="A221:A252" si="36">A209+1</f>
        <v>2001</v>
      </c>
      <c r="B221" s="4">
        <f t="shared" ref="B221:B252" si="37">B209</f>
        <v>1</v>
      </c>
      <c r="C221" s="4">
        <f>'[2]FPC wSEB'!K318</f>
        <v>208138</v>
      </c>
      <c r="D221" s="4">
        <f>'[2]FPC wSEB'!L318</f>
        <v>73505</v>
      </c>
      <c r="E221" s="4">
        <f>SUM('[2]FPC wSEB'!$AC318:$AD318)</f>
        <v>16</v>
      </c>
      <c r="Z221" s="6">
        <f t="shared" si="35"/>
        <v>281643</v>
      </c>
      <c r="BN221" s="4">
        <f t="shared" ref="BN221:BN329" si="38">BN209+1</f>
        <v>2001</v>
      </c>
      <c r="BO221" s="4">
        <f t="shared" ref="BO221:BO329" si="39">BO209</f>
        <v>1</v>
      </c>
      <c r="BP221" s="4">
        <f>[3]MTHLY!AL55</f>
        <v>242176</v>
      </c>
      <c r="BQ221" s="4">
        <f>[3]MTHLY!AM55</f>
        <v>51936</v>
      </c>
      <c r="BT221" s="5">
        <f t="shared" si="34"/>
        <v>294112</v>
      </c>
      <c r="BW221" s="137"/>
    </row>
    <row r="222" spans="1:75">
      <c r="A222" s="4">
        <f t="shared" si="36"/>
        <v>2001</v>
      </c>
      <c r="B222" s="4">
        <f t="shared" si="37"/>
        <v>2</v>
      </c>
      <c r="C222" s="4">
        <f>'[2]FPC wSEB'!K319</f>
        <v>236300</v>
      </c>
      <c r="D222" s="4">
        <f>'[2]FPC wSEB'!L319</f>
        <v>104483</v>
      </c>
      <c r="E222" s="4">
        <f>SUM('[2]FPC wSEB'!$AC319:$AD319)</f>
        <v>18</v>
      </c>
      <c r="Z222" s="6">
        <f t="shared" si="35"/>
        <v>340783</v>
      </c>
      <c r="BN222" s="4">
        <f t="shared" si="38"/>
        <v>2001</v>
      </c>
      <c r="BO222" s="4">
        <f t="shared" si="39"/>
        <v>2</v>
      </c>
      <c r="BP222" s="4">
        <f>[3]MTHLY!AL56</f>
        <v>67169</v>
      </c>
      <c r="BQ222" s="4">
        <f>[3]MTHLY!AM56</f>
        <v>89726</v>
      </c>
      <c r="BT222" s="5">
        <f t="shared" si="34"/>
        <v>156895</v>
      </c>
      <c r="BW222" s="137"/>
    </row>
    <row r="223" spans="1:75">
      <c r="A223" s="4">
        <f t="shared" si="36"/>
        <v>2001</v>
      </c>
      <c r="B223" s="4">
        <f t="shared" si="37"/>
        <v>3</v>
      </c>
      <c r="C223" s="4">
        <f>'[2]FPC wSEB'!K320</f>
        <v>117440</v>
      </c>
      <c r="D223" s="4">
        <f>'[2]FPC wSEB'!L320</f>
        <v>92072</v>
      </c>
      <c r="E223" s="4">
        <f>SUM('[2]FPC wSEB'!$AC320:$AD320)</f>
        <v>19</v>
      </c>
      <c r="Z223" s="6">
        <f t="shared" si="35"/>
        <v>209512</v>
      </c>
      <c r="BN223" s="4">
        <f t="shared" si="38"/>
        <v>2001</v>
      </c>
      <c r="BO223" s="4">
        <f t="shared" si="39"/>
        <v>3</v>
      </c>
      <c r="BP223" s="4">
        <f>[3]MTHLY!AL57</f>
        <v>177979</v>
      </c>
      <c r="BQ223" s="4">
        <f>[3]MTHLY!AM57</f>
        <v>92446</v>
      </c>
      <c r="BT223" s="5">
        <f t="shared" si="34"/>
        <v>270425</v>
      </c>
      <c r="BW223" s="137"/>
    </row>
    <row r="224" spans="1:75">
      <c r="A224" s="4">
        <f t="shared" si="36"/>
        <v>2001</v>
      </c>
      <c r="B224" s="4">
        <f t="shared" si="37"/>
        <v>4</v>
      </c>
      <c r="C224" s="4">
        <f>'[2]FPC wSEB'!K321</f>
        <v>179734</v>
      </c>
      <c r="D224" s="4">
        <f>'[2]FPC wSEB'!L321</f>
        <v>69701</v>
      </c>
      <c r="E224" s="4">
        <f>SUM('[2]FPC wSEB'!$AC321:$AD321)</f>
        <v>18</v>
      </c>
      <c r="Z224" s="6">
        <f t="shared" si="35"/>
        <v>249435</v>
      </c>
      <c r="BN224" s="4">
        <f t="shared" si="38"/>
        <v>2001</v>
      </c>
      <c r="BO224" s="4">
        <f t="shared" si="39"/>
        <v>4</v>
      </c>
      <c r="BP224" s="4">
        <f>[3]MTHLY!AL58</f>
        <v>234424</v>
      </c>
      <c r="BQ224" s="4">
        <f>[3]MTHLY!AM58</f>
        <v>70613</v>
      </c>
      <c r="BT224" s="5">
        <f t="shared" si="34"/>
        <v>305037</v>
      </c>
      <c r="BW224" s="137"/>
    </row>
    <row r="225" spans="1:75">
      <c r="A225" s="4">
        <f t="shared" si="36"/>
        <v>2001</v>
      </c>
      <c r="B225" s="4">
        <f t="shared" si="37"/>
        <v>5</v>
      </c>
      <c r="C225" s="4">
        <f>'[2]FPC wSEB'!K322</f>
        <v>235695</v>
      </c>
      <c r="D225" s="4">
        <f>'[2]FPC wSEB'!L322</f>
        <v>76315</v>
      </c>
      <c r="E225" s="4">
        <f>SUM('[2]FPC wSEB'!$AC322:$AD322)</f>
        <v>18</v>
      </c>
      <c r="Z225" s="6">
        <f t="shared" si="35"/>
        <v>312010</v>
      </c>
      <c r="BN225" s="4">
        <f t="shared" si="38"/>
        <v>2001</v>
      </c>
      <c r="BO225" s="4">
        <f t="shared" si="39"/>
        <v>5</v>
      </c>
      <c r="BP225" s="4">
        <f>[3]MTHLY!AL59</f>
        <v>173704</v>
      </c>
      <c r="BQ225" s="4">
        <f>[3]MTHLY!AM59</f>
        <v>167596</v>
      </c>
      <c r="BT225" s="5">
        <f t="shared" si="34"/>
        <v>341300</v>
      </c>
      <c r="BW225" s="137"/>
    </row>
    <row r="226" spans="1:75">
      <c r="A226" s="4">
        <f t="shared" si="36"/>
        <v>2001</v>
      </c>
      <c r="B226" s="4">
        <f t="shared" si="37"/>
        <v>6</v>
      </c>
      <c r="C226" s="4">
        <f>'[2]FPC wSEB'!K323</f>
        <v>172486</v>
      </c>
      <c r="D226" s="4">
        <f>'[2]FPC wSEB'!L323</f>
        <v>119446</v>
      </c>
      <c r="E226" s="4">
        <f>SUM('[2]FPC wSEB'!$AC323:$AD323)</f>
        <v>22</v>
      </c>
      <c r="Z226" s="6">
        <f t="shared" si="35"/>
        <v>291932</v>
      </c>
      <c r="BN226" s="4">
        <f t="shared" si="38"/>
        <v>2001</v>
      </c>
      <c r="BO226" s="4">
        <f t="shared" si="39"/>
        <v>6</v>
      </c>
      <c r="BP226" s="4">
        <f>[3]MTHLY!AL60</f>
        <v>217501</v>
      </c>
      <c r="BQ226" s="4">
        <f>[3]MTHLY!AM60</f>
        <v>113199</v>
      </c>
      <c r="BT226" s="5">
        <f t="shared" si="34"/>
        <v>330700</v>
      </c>
      <c r="BW226" s="137"/>
    </row>
    <row r="227" spans="1:75">
      <c r="A227" s="4">
        <f t="shared" si="36"/>
        <v>2001</v>
      </c>
      <c r="B227" s="4">
        <f t="shared" si="37"/>
        <v>7</v>
      </c>
      <c r="C227" s="4">
        <f>'[2]FPC wSEB'!K324</f>
        <v>210000</v>
      </c>
      <c r="D227" s="4">
        <f>'[2]FPC wSEB'!L324</f>
        <v>171697</v>
      </c>
      <c r="E227" s="4">
        <f>SUM('[2]FPC wSEB'!$AC324:$AD324)</f>
        <v>24</v>
      </c>
      <c r="Z227" s="6">
        <f t="shared" si="35"/>
        <v>381697</v>
      </c>
      <c r="BN227" s="4">
        <f t="shared" si="38"/>
        <v>2001</v>
      </c>
      <c r="BO227" s="4">
        <f t="shared" si="39"/>
        <v>7</v>
      </c>
      <c r="BP227" s="4">
        <f>[3]MTHLY!AL61</f>
        <v>231919</v>
      </c>
      <c r="BQ227" s="4">
        <f>[3]MTHLY!AM61</f>
        <v>161687</v>
      </c>
      <c r="BT227" s="5">
        <f t="shared" si="34"/>
        <v>393606</v>
      </c>
      <c r="BW227" s="137"/>
    </row>
    <row r="228" spans="1:75">
      <c r="A228" s="4">
        <f t="shared" si="36"/>
        <v>2001</v>
      </c>
      <c r="B228" s="4">
        <f t="shared" si="37"/>
        <v>8</v>
      </c>
      <c r="C228" s="4">
        <f>'[2]FPC wSEB'!K325</f>
        <v>229557</v>
      </c>
      <c r="D228" s="4">
        <f>'[2]FPC wSEB'!L325</f>
        <v>137008</v>
      </c>
      <c r="E228" s="4">
        <f>SUM('[2]FPC wSEB'!$AC325:$AD325)</f>
        <v>23</v>
      </c>
      <c r="Z228" s="6">
        <f t="shared" si="35"/>
        <v>366565</v>
      </c>
      <c r="BN228" s="4">
        <f t="shared" si="38"/>
        <v>2001</v>
      </c>
      <c r="BO228" s="4">
        <f t="shared" si="39"/>
        <v>8</v>
      </c>
      <c r="BP228" s="4">
        <f>[3]MTHLY!AL62</f>
        <v>304498</v>
      </c>
      <c r="BQ228" s="4">
        <f>[3]MTHLY!AM62</f>
        <v>123174</v>
      </c>
      <c r="BT228" s="5">
        <f t="shared" si="34"/>
        <v>427672</v>
      </c>
      <c r="BW228" s="137"/>
    </row>
    <row r="229" spans="1:75">
      <c r="A229" s="4">
        <f t="shared" si="36"/>
        <v>2001</v>
      </c>
      <c r="B229" s="4">
        <f t="shared" si="37"/>
        <v>9</v>
      </c>
      <c r="C229" s="4">
        <f>'[2]FPC wSEB'!K326</f>
        <v>289040</v>
      </c>
      <c r="D229" s="4">
        <f>'[2]FPC wSEB'!L326</f>
        <v>163822</v>
      </c>
      <c r="E229" s="4">
        <f>SUM('[2]FPC wSEB'!$AC326:$AD326)</f>
        <v>21</v>
      </c>
      <c r="Z229" s="6">
        <f t="shared" si="35"/>
        <v>452862</v>
      </c>
      <c r="BN229" s="4">
        <f t="shared" si="38"/>
        <v>2001</v>
      </c>
      <c r="BO229" s="4">
        <f t="shared" si="39"/>
        <v>9</v>
      </c>
      <c r="BP229" s="4">
        <f>[3]MTHLY!AL63</f>
        <v>199125</v>
      </c>
      <c r="BQ229" s="4">
        <f>[3]MTHLY!AM63</f>
        <v>153308</v>
      </c>
      <c r="BT229" s="5">
        <f t="shared" si="34"/>
        <v>352433</v>
      </c>
      <c r="BW229" s="137"/>
    </row>
    <row r="230" spans="1:75">
      <c r="A230" s="4">
        <f t="shared" si="36"/>
        <v>2001</v>
      </c>
      <c r="B230" s="4">
        <f t="shared" si="37"/>
        <v>10</v>
      </c>
      <c r="C230" s="4">
        <f>'[2]FPC wSEB'!K327</f>
        <v>222132</v>
      </c>
      <c r="D230" s="4">
        <f>'[2]FPC wSEB'!L327</f>
        <v>133979</v>
      </c>
      <c r="E230" s="4">
        <f>SUM('[2]FPC wSEB'!$AC327:$AD327)</f>
        <v>19</v>
      </c>
      <c r="Z230" s="6">
        <f t="shared" si="35"/>
        <v>356111</v>
      </c>
      <c r="BN230" s="4">
        <f t="shared" si="38"/>
        <v>2001</v>
      </c>
      <c r="BO230" s="4">
        <f t="shared" si="39"/>
        <v>10</v>
      </c>
      <c r="BP230" s="4">
        <f>[3]MTHLY!AL64</f>
        <v>203286</v>
      </c>
      <c r="BQ230" s="4">
        <f>[3]MTHLY!AM64</f>
        <v>118465</v>
      </c>
      <c r="BT230" s="5">
        <f t="shared" si="34"/>
        <v>321751</v>
      </c>
      <c r="BW230" s="137"/>
    </row>
    <row r="231" spans="1:75">
      <c r="A231" s="4">
        <f t="shared" si="36"/>
        <v>2001</v>
      </c>
      <c r="B231" s="4">
        <f t="shared" si="37"/>
        <v>11</v>
      </c>
      <c r="C231" s="4">
        <f>'[2]FPC wSEB'!K328</f>
        <v>213007</v>
      </c>
      <c r="D231" s="4">
        <f>'[2]FPC wSEB'!L328</f>
        <v>127871</v>
      </c>
      <c r="E231" s="4">
        <f>SUM('[2]FPC wSEB'!$AC328:$AD328)</f>
        <v>20</v>
      </c>
      <c r="Z231" s="6">
        <f t="shared" si="35"/>
        <v>340878</v>
      </c>
      <c r="BN231" s="4">
        <f t="shared" si="38"/>
        <v>2001</v>
      </c>
      <c r="BO231" s="4">
        <f t="shared" si="39"/>
        <v>11</v>
      </c>
      <c r="BP231" s="4">
        <f>[3]MTHLY!AL65</f>
        <v>154769</v>
      </c>
      <c r="BQ231" s="4">
        <f>[3]MTHLY!AM65</f>
        <v>119011</v>
      </c>
      <c r="BT231" s="5">
        <f t="shared" si="34"/>
        <v>273780</v>
      </c>
      <c r="BW231" s="137"/>
    </row>
    <row r="232" spans="1:75" s="89" customFormat="1">
      <c r="A232" s="89">
        <f t="shared" si="36"/>
        <v>2001</v>
      </c>
      <c r="B232" s="89">
        <f t="shared" si="37"/>
        <v>12</v>
      </c>
      <c r="C232" s="89">
        <f>'[2]FPC wSEB'!K329</f>
        <v>147619</v>
      </c>
      <c r="D232" s="89">
        <f>'[2]FPC wSEB'!L329</f>
        <v>108346</v>
      </c>
      <c r="E232" s="4">
        <f>SUM('[2]FPC wSEB'!$AC329:$AD329)</f>
        <v>19</v>
      </c>
      <c r="Z232" s="6">
        <f t="shared" si="35"/>
        <v>255965</v>
      </c>
      <c r="BN232" s="89">
        <f t="shared" si="38"/>
        <v>2001</v>
      </c>
      <c r="BO232" s="89">
        <f t="shared" si="39"/>
        <v>12</v>
      </c>
      <c r="BP232" s="89">
        <f>[3]MTHLY!AL66</f>
        <v>110705</v>
      </c>
      <c r="BQ232" s="89">
        <f>[3]MTHLY!AM66</f>
        <v>100793</v>
      </c>
      <c r="BT232" s="103">
        <f t="shared" si="34"/>
        <v>211498</v>
      </c>
      <c r="BW232" s="139"/>
    </row>
    <row r="233" spans="1:75">
      <c r="A233" s="4">
        <f t="shared" si="36"/>
        <v>2002</v>
      </c>
      <c r="B233" s="4">
        <f t="shared" si="37"/>
        <v>1</v>
      </c>
      <c r="C233" s="4">
        <f>'[2]FPC wSEB'!K330</f>
        <v>107159</v>
      </c>
      <c r="D233" s="4">
        <f>'[2]FPC wSEB'!L330</f>
        <v>127681</v>
      </c>
      <c r="E233" s="4">
        <f>SUM('[2]FPC wSEB'!$AC330:$AD330)</f>
        <v>27</v>
      </c>
      <c r="Z233" s="6">
        <f t="shared" si="35"/>
        <v>234840</v>
      </c>
      <c r="BN233" s="4">
        <f t="shared" si="38"/>
        <v>2002</v>
      </c>
      <c r="BO233" s="4">
        <f t="shared" si="39"/>
        <v>1</v>
      </c>
      <c r="BP233" s="4">
        <f>[3]MTHLY!AL67</f>
        <v>61691</v>
      </c>
      <c r="BQ233" s="4">
        <f>[3]MTHLY!AM67</f>
        <v>143703</v>
      </c>
      <c r="BT233" s="5">
        <f t="shared" si="34"/>
        <v>205394</v>
      </c>
      <c r="BW233" s="137"/>
    </row>
    <row r="234" spans="1:75">
      <c r="A234" s="4">
        <f t="shared" si="36"/>
        <v>2002</v>
      </c>
      <c r="B234" s="4">
        <f t="shared" si="37"/>
        <v>2</v>
      </c>
      <c r="C234" s="4">
        <f>'[2]FPC wSEB'!K331</f>
        <v>44769</v>
      </c>
      <c r="D234" s="4">
        <f>'[2]FPC wSEB'!L331</f>
        <v>133485</v>
      </c>
      <c r="E234" s="4">
        <f>SUM('[2]FPC wSEB'!$AC331:$AD331)</f>
        <v>22</v>
      </c>
      <c r="Z234" s="6">
        <f t="shared" si="35"/>
        <v>178254</v>
      </c>
      <c r="BN234" s="4">
        <f t="shared" si="38"/>
        <v>2002</v>
      </c>
      <c r="BO234" s="4">
        <f t="shared" si="39"/>
        <v>2</v>
      </c>
      <c r="BP234" s="4">
        <f>[3]MTHLY!AL68</f>
        <v>23982</v>
      </c>
      <c r="BQ234" s="4">
        <f>[3]MTHLY!AM68</f>
        <v>131324</v>
      </c>
      <c r="BT234" s="5">
        <f t="shared" si="34"/>
        <v>155306</v>
      </c>
      <c r="BW234" s="137"/>
    </row>
    <row r="235" spans="1:75">
      <c r="A235" s="4">
        <f t="shared" si="36"/>
        <v>2002</v>
      </c>
      <c r="B235" s="4">
        <f t="shared" si="37"/>
        <v>3</v>
      </c>
      <c r="C235" s="4">
        <f>'[2]FPC wSEB'!K332</f>
        <v>45119</v>
      </c>
      <c r="D235" s="4">
        <f>'[2]FPC wSEB'!L332</f>
        <v>120091</v>
      </c>
      <c r="E235" s="4">
        <f>SUM('[2]FPC wSEB'!$AC332:$AD332)</f>
        <v>22</v>
      </c>
      <c r="Z235" s="6">
        <f t="shared" si="35"/>
        <v>165210</v>
      </c>
      <c r="BN235" s="4">
        <f t="shared" si="38"/>
        <v>2002</v>
      </c>
      <c r="BO235" s="4">
        <f t="shared" si="39"/>
        <v>3</v>
      </c>
      <c r="BP235" s="4">
        <f>[3]MTHLY!AL69</f>
        <v>66581</v>
      </c>
      <c r="BQ235" s="4">
        <f>[3]MTHLY!AM69</f>
        <v>175482</v>
      </c>
      <c r="BT235" s="5">
        <f t="shared" si="34"/>
        <v>242063</v>
      </c>
      <c r="BW235" s="137"/>
    </row>
    <row r="236" spans="1:75">
      <c r="A236" s="4">
        <f t="shared" si="36"/>
        <v>2002</v>
      </c>
      <c r="B236" s="4">
        <f t="shared" si="37"/>
        <v>4</v>
      </c>
      <c r="C236" s="4">
        <f>'[2]FPC wSEB'!K333</f>
        <v>63827</v>
      </c>
      <c r="D236" s="4">
        <f>'[2]FPC wSEB'!L333</f>
        <v>158059</v>
      </c>
      <c r="E236" s="4">
        <f>SUM('[2]FPC wSEB'!$AC333:$AD333)</f>
        <v>20</v>
      </c>
      <c r="Z236" s="6">
        <f t="shared" si="35"/>
        <v>221886</v>
      </c>
      <c r="BN236" s="4">
        <f t="shared" si="38"/>
        <v>2002</v>
      </c>
      <c r="BO236" s="4">
        <f t="shared" si="39"/>
        <v>4</v>
      </c>
      <c r="BP236" s="4">
        <f>[3]MTHLY!AL70</f>
        <v>105138</v>
      </c>
      <c r="BQ236" s="4">
        <f>[3]MTHLY!AM70</f>
        <v>186101</v>
      </c>
      <c r="BT236" s="5">
        <f t="shared" si="34"/>
        <v>291239</v>
      </c>
      <c r="BW236" s="137"/>
    </row>
    <row r="237" spans="1:75">
      <c r="A237" s="4">
        <f t="shared" si="36"/>
        <v>2002</v>
      </c>
      <c r="B237" s="4">
        <f t="shared" si="37"/>
        <v>5</v>
      </c>
      <c r="C237" s="4">
        <f>'[2]FPC wSEB'!K334</f>
        <v>108871</v>
      </c>
      <c r="D237" s="4">
        <f>'[2]FPC wSEB'!L334</f>
        <v>208536</v>
      </c>
      <c r="E237" s="4">
        <f>SUM('[2]FPC wSEB'!$AC334:$AD334)</f>
        <v>22</v>
      </c>
      <c r="Z237" s="6">
        <f t="shared" si="35"/>
        <v>317407</v>
      </c>
      <c r="BN237" s="4">
        <f t="shared" si="38"/>
        <v>2002</v>
      </c>
      <c r="BO237" s="4">
        <f t="shared" si="39"/>
        <v>5</v>
      </c>
      <c r="BP237" s="4">
        <f>[3]MTHLY!AL71</f>
        <v>115851</v>
      </c>
      <c r="BQ237" s="4">
        <f>[3]MTHLY!AM71</f>
        <v>202515</v>
      </c>
      <c r="BT237" s="5">
        <f t="shared" si="34"/>
        <v>318366</v>
      </c>
      <c r="BW237" s="137"/>
    </row>
    <row r="238" spans="1:75">
      <c r="A238" s="4">
        <f t="shared" si="36"/>
        <v>2002</v>
      </c>
      <c r="B238" s="4">
        <f t="shared" si="37"/>
        <v>6</v>
      </c>
      <c r="C238" s="4">
        <f>'[2]FPC wSEB'!K335</f>
        <v>108236</v>
      </c>
      <c r="D238" s="4">
        <f>'[2]FPC wSEB'!L335</f>
        <v>185287</v>
      </c>
      <c r="E238" s="4">
        <f>SUM('[2]FPC wSEB'!$AC335:$AD335)</f>
        <v>22</v>
      </c>
      <c r="Z238" s="6">
        <f t="shared" si="35"/>
        <v>293523</v>
      </c>
      <c r="BN238" s="4">
        <f t="shared" si="38"/>
        <v>2002</v>
      </c>
      <c r="BO238" s="4">
        <f t="shared" si="39"/>
        <v>6</v>
      </c>
      <c r="BP238" s="4">
        <f>[3]MTHLY!AL72</f>
        <v>82403</v>
      </c>
      <c r="BQ238" s="4">
        <f>[3]MTHLY!AM72</f>
        <v>189811</v>
      </c>
      <c r="BT238" s="5">
        <f t="shared" ref="BT238:BT261" si="40">BQ238+BP238</f>
        <v>272214</v>
      </c>
      <c r="BW238" s="137"/>
    </row>
    <row r="239" spans="1:75">
      <c r="A239" s="4">
        <f t="shared" si="36"/>
        <v>2002</v>
      </c>
      <c r="B239" s="4">
        <f t="shared" si="37"/>
        <v>7</v>
      </c>
      <c r="C239" s="4">
        <f>'[2]FPC wSEB'!K336</f>
        <v>82430</v>
      </c>
      <c r="D239" s="4">
        <f>'[2]FPC wSEB'!L336</f>
        <v>204673</v>
      </c>
      <c r="E239" s="4">
        <f>SUM('[2]FPC wSEB'!$AC336:$AD336)</f>
        <v>23</v>
      </c>
      <c r="Z239" s="6">
        <f t="shared" si="35"/>
        <v>287103</v>
      </c>
      <c r="BN239" s="4">
        <f t="shared" si="38"/>
        <v>2002</v>
      </c>
      <c r="BO239" s="4">
        <f t="shared" si="39"/>
        <v>7</v>
      </c>
      <c r="BP239" s="4">
        <f>[3]MTHLY!AL73</f>
        <v>93543</v>
      </c>
      <c r="BQ239" s="4">
        <f>[3]MTHLY!AM73</f>
        <v>212524</v>
      </c>
      <c r="BT239" s="5">
        <f t="shared" si="40"/>
        <v>306067</v>
      </c>
      <c r="BW239" s="137"/>
    </row>
    <row r="240" spans="1:75">
      <c r="A240" s="4">
        <f t="shared" si="36"/>
        <v>2002</v>
      </c>
      <c r="B240" s="4">
        <f t="shared" si="37"/>
        <v>8</v>
      </c>
      <c r="C240" s="4">
        <f>'[2]FPC wSEB'!K337</f>
        <v>85592</v>
      </c>
      <c r="D240" s="4">
        <f>'[2]FPC wSEB'!L337</f>
        <v>203376</v>
      </c>
      <c r="E240" s="4">
        <f>SUM('[2]FPC wSEB'!$AC337:$AD337)</f>
        <v>21</v>
      </c>
      <c r="Z240" s="6">
        <f t="shared" si="35"/>
        <v>288968</v>
      </c>
      <c r="BN240" s="4">
        <f t="shared" si="38"/>
        <v>2002</v>
      </c>
      <c r="BO240" s="4">
        <f t="shared" si="39"/>
        <v>8</v>
      </c>
      <c r="BP240" s="4">
        <f>[3]MTHLY!AL74</f>
        <v>72014</v>
      </c>
      <c r="BQ240" s="4">
        <f>[3]MTHLY!AM74</f>
        <v>203492</v>
      </c>
      <c r="BT240" s="5">
        <f t="shared" si="40"/>
        <v>275506</v>
      </c>
      <c r="BW240" s="137"/>
    </row>
    <row r="241" spans="1:76">
      <c r="A241" s="4">
        <f t="shared" si="36"/>
        <v>2002</v>
      </c>
      <c r="B241" s="4">
        <f t="shared" si="37"/>
        <v>9</v>
      </c>
      <c r="C241" s="4">
        <f>'[2]FPC wSEB'!K338</f>
        <v>77706</v>
      </c>
      <c r="D241" s="4">
        <f>'[2]FPC wSEB'!L338</f>
        <v>211449</v>
      </c>
      <c r="E241" s="4">
        <f>SUM('[2]FPC wSEB'!$AC338:$AD338)</f>
        <v>22</v>
      </c>
      <c r="Z241" s="6">
        <f t="shared" si="35"/>
        <v>289155</v>
      </c>
      <c r="BN241" s="4">
        <f t="shared" si="38"/>
        <v>2002</v>
      </c>
      <c r="BO241" s="4">
        <f t="shared" si="39"/>
        <v>9</v>
      </c>
      <c r="BP241" s="4">
        <f>[3]MTHLY!AL75</f>
        <v>102152</v>
      </c>
      <c r="BQ241" s="4">
        <f>[3]MTHLY!AM75</f>
        <v>222458</v>
      </c>
      <c r="BT241" s="5">
        <f t="shared" si="40"/>
        <v>324610</v>
      </c>
      <c r="BW241" s="137"/>
    </row>
    <row r="242" spans="1:76">
      <c r="A242" s="4">
        <f t="shared" si="36"/>
        <v>2002</v>
      </c>
      <c r="B242" s="4">
        <f t="shared" si="37"/>
        <v>10</v>
      </c>
      <c r="C242" s="4">
        <f>'[2]FPC wSEB'!K339</f>
        <v>102283</v>
      </c>
      <c r="D242" s="4">
        <f>'[2]FPC wSEB'!L339</f>
        <v>217848</v>
      </c>
      <c r="E242" s="4">
        <f>SUM('[2]FPC wSEB'!$AC339:$AD339)</f>
        <v>21</v>
      </c>
      <c r="Z242" s="6">
        <f t="shared" si="35"/>
        <v>320131</v>
      </c>
      <c r="BN242" s="4">
        <f t="shared" si="38"/>
        <v>2002</v>
      </c>
      <c r="BO242" s="4">
        <f t="shared" si="39"/>
        <v>10</v>
      </c>
      <c r="BP242" s="4">
        <f>[3]MTHLY!AL76</f>
        <v>104133</v>
      </c>
      <c r="BQ242" s="4">
        <f>[3]MTHLY!AM76</f>
        <v>224086</v>
      </c>
      <c r="BT242" s="5">
        <f t="shared" si="40"/>
        <v>328219</v>
      </c>
      <c r="BW242" s="137"/>
    </row>
    <row r="243" spans="1:76">
      <c r="A243" s="4">
        <f t="shared" si="36"/>
        <v>2002</v>
      </c>
      <c r="B243" s="4">
        <f t="shared" si="37"/>
        <v>11</v>
      </c>
      <c r="C243" s="4">
        <f>'[2]FPC wSEB'!K340</f>
        <v>114162</v>
      </c>
      <c r="D243" s="4">
        <f>'[2]FPC wSEB'!L340</f>
        <v>233206</v>
      </c>
      <c r="E243" s="4">
        <f>SUM('[2]FPC wSEB'!$AC340:$AD340)</f>
        <v>23</v>
      </c>
      <c r="Z243" s="6">
        <f t="shared" si="35"/>
        <v>347368</v>
      </c>
      <c r="BN243" s="4">
        <f t="shared" si="38"/>
        <v>2002</v>
      </c>
      <c r="BO243" s="4">
        <f t="shared" si="39"/>
        <v>11</v>
      </c>
      <c r="BP243" s="4">
        <f>[3]MTHLY!AL77</f>
        <v>58527</v>
      </c>
      <c r="BQ243" s="4">
        <f>[3]MTHLY!AM77</f>
        <v>188035</v>
      </c>
      <c r="BT243" s="5">
        <f t="shared" si="40"/>
        <v>246562</v>
      </c>
      <c r="BW243" s="137"/>
    </row>
    <row r="244" spans="1:76" s="89" customFormat="1">
      <c r="A244" s="89">
        <f t="shared" si="36"/>
        <v>2002</v>
      </c>
      <c r="B244" s="89">
        <f t="shared" si="37"/>
        <v>12</v>
      </c>
      <c r="C244" s="89">
        <f>'[2]FPC wSEB'!K341</f>
        <v>59496</v>
      </c>
      <c r="D244" s="89">
        <f>'[2]FPC wSEB'!L341</f>
        <v>169726</v>
      </c>
      <c r="E244" s="89">
        <f>SUM('[2]FPC wSEB'!$AC341:$AD341)</f>
        <v>20</v>
      </c>
      <c r="Z244" s="96">
        <f t="shared" si="35"/>
        <v>229222</v>
      </c>
      <c r="BN244" s="89">
        <f t="shared" si="38"/>
        <v>2002</v>
      </c>
      <c r="BO244" s="89">
        <f t="shared" si="39"/>
        <v>12</v>
      </c>
      <c r="BP244" s="89">
        <f>[3]MTHLY!AL78</f>
        <v>79933</v>
      </c>
      <c r="BQ244" s="89">
        <f>[3]MTHLY!AM78</f>
        <v>153848</v>
      </c>
      <c r="BT244" s="103">
        <f t="shared" si="40"/>
        <v>233781</v>
      </c>
      <c r="BW244" s="139"/>
    </row>
    <row r="245" spans="1:76">
      <c r="A245" s="4">
        <f t="shared" si="36"/>
        <v>2003</v>
      </c>
      <c r="B245" s="4">
        <f t="shared" si="37"/>
        <v>1</v>
      </c>
      <c r="C245" s="4">
        <f>'[2]FPC wSEB'!K342</f>
        <v>72027</v>
      </c>
      <c r="D245" s="4">
        <f>'[2]FPC wSEB'!L342</f>
        <v>151637</v>
      </c>
      <c r="E245" s="4">
        <f>SUM('[2]FPC wSEB'!$AC342:$AD342)</f>
        <v>20</v>
      </c>
      <c r="Z245" s="6">
        <f t="shared" si="35"/>
        <v>223664</v>
      </c>
      <c r="BN245" s="4">
        <f t="shared" si="38"/>
        <v>2003</v>
      </c>
      <c r="BO245" s="4">
        <f t="shared" si="39"/>
        <v>1</v>
      </c>
      <c r="BP245" s="4">
        <f>[3]MTHLY!AL79</f>
        <v>110020</v>
      </c>
      <c r="BQ245" s="4">
        <f>[3]MTHLY!AM79</f>
        <v>184089</v>
      </c>
      <c r="BT245" s="5">
        <f t="shared" si="40"/>
        <v>294109</v>
      </c>
      <c r="BW245" s="541">
        <f>BP245/C245</f>
        <v>1.5274827495244838</v>
      </c>
      <c r="BX245" s="541">
        <f>BQ245/D245</f>
        <v>1.2140110922795888</v>
      </c>
    </row>
    <row r="246" spans="1:76">
      <c r="A246" s="4">
        <f t="shared" si="36"/>
        <v>2003</v>
      </c>
      <c r="B246" s="4">
        <f t="shared" si="37"/>
        <v>2</v>
      </c>
      <c r="C246" s="4">
        <f>'[2]FPC wSEB'!K343</f>
        <v>70938</v>
      </c>
      <c r="D246" s="4">
        <f>'[2]FPC wSEB'!L343</f>
        <v>208509</v>
      </c>
      <c r="E246" s="4">
        <f>SUM('[2]FPC wSEB'!$AC343:$AD343)</f>
        <v>21</v>
      </c>
      <c r="Z246" s="6">
        <f t="shared" si="35"/>
        <v>279447</v>
      </c>
      <c r="BN246" s="4">
        <f t="shared" si="38"/>
        <v>2003</v>
      </c>
      <c r="BO246" s="4">
        <f t="shared" si="39"/>
        <v>2</v>
      </c>
      <c r="BP246" s="4">
        <f>[3]MTHLY!AL80</f>
        <v>37979</v>
      </c>
      <c r="BQ246" s="4">
        <f>[3]MTHLY!AM80</f>
        <v>174332</v>
      </c>
      <c r="BT246" s="5">
        <f t="shared" si="40"/>
        <v>212311</v>
      </c>
      <c r="BW246" s="541">
        <f t="shared" ref="BW246:BW309" si="41">BP246/C246</f>
        <v>0.53538301051622539</v>
      </c>
      <c r="BX246" s="541">
        <f t="shared" ref="BX246:BX309" si="42">BQ246/D246</f>
        <v>0.83608861008397717</v>
      </c>
    </row>
    <row r="247" spans="1:76">
      <c r="A247" s="4">
        <f t="shared" si="36"/>
        <v>2003</v>
      </c>
      <c r="B247" s="4">
        <f t="shared" si="37"/>
        <v>3</v>
      </c>
      <c r="C247" s="4">
        <f>'[2]FPC wSEB'!K344</f>
        <v>85242</v>
      </c>
      <c r="D247" s="4">
        <f>'[2]FPC wSEB'!L344</f>
        <v>159646</v>
      </c>
      <c r="E247" s="4">
        <f>SUM('[2]FPC wSEB'!$AC344:$AD344)</f>
        <v>22</v>
      </c>
      <c r="Z247" s="6">
        <f t="shared" si="35"/>
        <v>244888</v>
      </c>
      <c r="BN247" s="4">
        <f t="shared" si="38"/>
        <v>2003</v>
      </c>
      <c r="BO247" s="4">
        <f t="shared" si="39"/>
        <v>3</v>
      </c>
      <c r="BP247" s="4">
        <f>[3]MTHLY!AL81</f>
        <v>67090</v>
      </c>
      <c r="BQ247" s="4">
        <f>[3]MTHLY!AM81</f>
        <v>207743</v>
      </c>
      <c r="BT247" s="5">
        <f t="shared" si="40"/>
        <v>274833</v>
      </c>
      <c r="BW247" s="541">
        <f t="shared" si="41"/>
        <v>0.78705333051781989</v>
      </c>
      <c r="BX247" s="541">
        <f t="shared" si="42"/>
        <v>1.3012728161056337</v>
      </c>
    </row>
    <row r="248" spans="1:76">
      <c r="A248" s="4">
        <f t="shared" si="36"/>
        <v>2003</v>
      </c>
      <c r="B248" s="4">
        <f t="shared" si="37"/>
        <v>4</v>
      </c>
      <c r="C248" s="4">
        <f>'[2]FPC wSEB'!K345</f>
        <v>65118</v>
      </c>
      <c r="D248" s="4">
        <f>'[2]FPC wSEB'!L345</f>
        <v>202518</v>
      </c>
      <c r="E248" s="4">
        <f>SUM('[2]FPC wSEB'!$AC345:$AD345)</f>
        <v>23</v>
      </c>
      <c r="Z248" s="6">
        <f t="shared" si="35"/>
        <v>267636</v>
      </c>
      <c r="BN248" s="4">
        <f t="shared" si="38"/>
        <v>2003</v>
      </c>
      <c r="BO248" s="4">
        <f t="shared" si="39"/>
        <v>4</v>
      </c>
      <c r="BP248" s="4">
        <f>[3]MTHLY!AL82</f>
        <v>54675</v>
      </c>
      <c r="BQ248" s="4">
        <f>[3]MTHLY!AM82</f>
        <v>202285</v>
      </c>
      <c r="BT248" s="5">
        <f t="shared" si="40"/>
        <v>256960</v>
      </c>
      <c r="BW248" s="541">
        <f t="shared" si="41"/>
        <v>0.83962959550354743</v>
      </c>
      <c r="BX248" s="541">
        <f t="shared" si="42"/>
        <v>0.99884948498405079</v>
      </c>
    </row>
    <row r="249" spans="1:76">
      <c r="A249" s="4">
        <f t="shared" si="36"/>
        <v>2003</v>
      </c>
      <c r="B249" s="4">
        <f t="shared" si="37"/>
        <v>5</v>
      </c>
      <c r="C249" s="4">
        <f>'[2]FPC wSEB'!K346</f>
        <v>66641</v>
      </c>
      <c r="D249" s="4">
        <f>'[2]FPC wSEB'!L346</f>
        <v>183389</v>
      </c>
      <c r="E249" s="4">
        <f>SUM('[2]FPC wSEB'!$AC346:$AD346)</f>
        <v>24</v>
      </c>
      <c r="Z249" s="6">
        <f t="shared" si="35"/>
        <v>250030</v>
      </c>
      <c r="BN249" s="4">
        <f t="shared" si="38"/>
        <v>2003</v>
      </c>
      <c r="BO249" s="4">
        <f t="shared" si="39"/>
        <v>5</v>
      </c>
      <c r="BP249" s="4">
        <f>[3]MTHLY!AL83</f>
        <v>130201</v>
      </c>
      <c r="BQ249" s="4">
        <f>[3]MTHLY!AM83</f>
        <v>125464</v>
      </c>
      <c r="BT249" s="5">
        <f t="shared" si="40"/>
        <v>255665</v>
      </c>
      <c r="BW249" s="541">
        <f t="shared" si="41"/>
        <v>1.9537672003721434</v>
      </c>
      <c r="BX249" s="541">
        <f t="shared" si="42"/>
        <v>0.68414136071411047</v>
      </c>
    </row>
    <row r="250" spans="1:76">
      <c r="A250" s="4">
        <f t="shared" si="36"/>
        <v>2003</v>
      </c>
      <c r="B250" s="4">
        <f t="shared" si="37"/>
        <v>6</v>
      </c>
      <c r="C250" s="4">
        <f>'[2]FPC wSEB'!K347</f>
        <v>86744</v>
      </c>
      <c r="D250" s="4">
        <f>'[2]FPC wSEB'!L347</f>
        <v>161604</v>
      </c>
      <c r="E250" s="4">
        <f>SUM('[2]FPC wSEB'!$AC347:$AD347)</f>
        <v>20</v>
      </c>
      <c r="Z250" s="6">
        <f t="shared" si="35"/>
        <v>248348</v>
      </c>
      <c r="BN250" s="4">
        <f t="shared" si="38"/>
        <v>2003</v>
      </c>
      <c r="BO250" s="4">
        <f t="shared" si="39"/>
        <v>6</v>
      </c>
      <c r="BP250" s="4">
        <f>[3]MTHLY!AL84</f>
        <v>106682</v>
      </c>
      <c r="BQ250" s="4">
        <f>[3]MTHLY!AM84</f>
        <v>230137</v>
      </c>
      <c r="BT250" s="5">
        <f t="shared" si="40"/>
        <v>336819</v>
      </c>
      <c r="BW250" s="541">
        <f t="shared" si="41"/>
        <v>1.2298487503458453</v>
      </c>
      <c r="BX250" s="541">
        <f t="shared" si="42"/>
        <v>1.4240798495086755</v>
      </c>
    </row>
    <row r="251" spans="1:76">
      <c r="A251" s="4">
        <f t="shared" si="36"/>
        <v>2003</v>
      </c>
      <c r="B251" s="4">
        <f t="shared" si="37"/>
        <v>7</v>
      </c>
      <c r="C251" s="4">
        <f>'[2]FPC wSEB'!K348</f>
        <v>87359</v>
      </c>
      <c r="D251" s="4">
        <f>'[2]FPC wSEB'!L348</f>
        <v>215275</v>
      </c>
      <c r="E251" s="4">
        <f>SUM('[2]FPC wSEB'!$AC348:$AD348)</f>
        <v>20</v>
      </c>
      <c r="Z251" s="6">
        <f t="shared" si="35"/>
        <v>302634</v>
      </c>
      <c r="BN251" s="4">
        <f t="shared" si="38"/>
        <v>2003</v>
      </c>
      <c r="BO251" s="4">
        <f t="shared" si="39"/>
        <v>7</v>
      </c>
      <c r="BP251" s="4">
        <f>[3]MTHLY!AL85</f>
        <v>97974</v>
      </c>
      <c r="BQ251" s="4">
        <f>[3]MTHLY!AM85</f>
        <v>228541</v>
      </c>
      <c r="BT251" s="5">
        <f t="shared" si="40"/>
        <v>326515</v>
      </c>
      <c r="BW251" s="541">
        <f t="shared" si="41"/>
        <v>1.1215100905459083</v>
      </c>
      <c r="BX251" s="541">
        <f t="shared" si="42"/>
        <v>1.0616235048194169</v>
      </c>
    </row>
    <row r="252" spans="1:76">
      <c r="A252" s="4">
        <f t="shared" si="36"/>
        <v>2003</v>
      </c>
      <c r="B252" s="4">
        <f t="shared" si="37"/>
        <v>8</v>
      </c>
      <c r="C252" s="4">
        <f>'[2]FPC wSEB'!K349</f>
        <v>38687</v>
      </c>
      <c r="D252" s="4">
        <f>'[2]FPC wSEB'!L349</f>
        <v>234461</v>
      </c>
      <c r="E252" s="4">
        <f>SUM('[2]FPC wSEB'!$AC349:$AD349)</f>
        <v>20</v>
      </c>
      <c r="Z252" s="6">
        <f t="shared" si="35"/>
        <v>273148</v>
      </c>
      <c r="BN252" s="4">
        <f t="shared" si="38"/>
        <v>2003</v>
      </c>
      <c r="BO252" s="4">
        <f t="shared" si="39"/>
        <v>8</v>
      </c>
      <c r="BP252" s="4">
        <f>[3]MTHLY!AL86</f>
        <v>95412</v>
      </c>
      <c r="BQ252" s="4">
        <f>[3]MTHLY!AM86</f>
        <v>242356</v>
      </c>
      <c r="BT252" s="5">
        <f t="shared" si="40"/>
        <v>337768</v>
      </c>
      <c r="BW252" s="541">
        <f t="shared" si="41"/>
        <v>2.4662548142786984</v>
      </c>
      <c r="BX252" s="541">
        <f t="shared" si="42"/>
        <v>1.033672977595421</v>
      </c>
    </row>
    <row r="253" spans="1:76">
      <c r="A253" s="4">
        <f t="shared" ref="A253:A329" si="43">A241+1</f>
        <v>2003</v>
      </c>
      <c r="B253" s="4">
        <f t="shared" ref="B253:B329" si="44">B241</f>
        <v>9</v>
      </c>
      <c r="C253" s="4">
        <f>'[2]FPC wSEB'!K350</f>
        <v>151616</v>
      </c>
      <c r="D253" s="4">
        <f>'[2]FPC wSEB'!L350</f>
        <v>232345</v>
      </c>
      <c r="E253" s="4">
        <f>SUM('[2]FPC wSEB'!$AC350:$AD350)</f>
        <v>23</v>
      </c>
      <c r="Z253" s="6">
        <f t="shared" si="35"/>
        <v>383961</v>
      </c>
      <c r="BN253" s="4">
        <f t="shared" si="38"/>
        <v>2003</v>
      </c>
      <c r="BO253" s="4">
        <f t="shared" si="39"/>
        <v>9</v>
      </c>
      <c r="BP253" s="4">
        <f>[3]MTHLY!AL87</f>
        <v>81079</v>
      </c>
      <c r="BQ253" s="4">
        <f>[3]MTHLY!AM87</f>
        <v>225154</v>
      </c>
      <c r="BT253" s="5">
        <f t="shared" si="40"/>
        <v>306233</v>
      </c>
      <c r="BW253" s="541">
        <f t="shared" si="41"/>
        <v>0.5347654601097509</v>
      </c>
      <c r="BX253" s="541">
        <f t="shared" si="42"/>
        <v>0.96905033463168999</v>
      </c>
    </row>
    <row r="254" spans="1:76">
      <c r="A254" s="4">
        <f t="shared" si="43"/>
        <v>2003</v>
      </c>
      <c r="B254" s="4">
        <f t="shared" si="44"/>
        <v>10</v>
      </c>
      <c r="C254" s="4">
        <f>'[2]FPC wSEB'!K351</f>
        <v>83959</v>
      </c>
      <c r="D254" s="4">
        <f>'[2]FPC wSEB'!L351</f>
        <v>239733</v>
      </c>
      <c r="E254" s="4">
        <f>SUM('[2]FPC wSEB'!$AC351:$AD351)</f>
        <v>21</v>
      </c>
      <c r="Z254" s="6">
        <f t="shared" si="35"/>
        <v>323692</v>
      </c>
      <c r="BN254" s="4">
        <f t="shared" si="38"/>
        <v>2003</v>
      </c>
      <c r="BO254" s="4">
        <f t="shared" si="39"/>
        <v>10</v>
      </c>
      <c r="BP254" s="4">
        <f>[3]MTHLY!AL88</f>
        <v>68873</v>
      </c>
      <c r="BQ254" s="4">
        <f>[3]MTHLY!AM88</f>
        <v>228474</v>
      </c>
      <c r="BT254" s="5">
        <f t="shared" si="40"/>
        <v>297347</v>
      </c>
      <c r="BW254" s="541">
        <f t="shared" si="41"/>
        <v>0.82031705951714529</v>
      </c>
      <c r="BX254" s="541">
        <f t="shared" si="42"/>
        <v>0.95303525171753578</v>
      </c>
    </row>
    <row r="255" spans="1:76">
      <c r="A255" s="4">
        <f t="shared" si="43"/>
        <v>2003</v>
      </c>
      <c r="B255" s="4">
        <f t="shared" si="44"/>
        <v>11</v>
      </c>
      <c r="C255" s="4">
        <f>'[2]FPC wSEB'!K352</f>
        <v>84179</v>
      </c>
      <c r="D255" s="4">
        <f>'[2]FPC wSEB'!L352</f>
        <v>227495</v>
      </c>
      <c r="E255" s="4">
        <f>SUM('[2]FPC wSEB'!$AC352:$AD352)</f>
        <v>28</v>
      </c>
      <c r="Z255" s="6">
        <f t="shared" si="35"/>
        <v>311674</v>
      </c>
      <c r="BN255" s="4">
        <f t="shared" si="38"/>
        <v>2003</v>
      </c>
      <c r="BO255" s="4">
        <f t="shared" si="39"/>
        <v>11</v>
      </c>
      <c r="BP255" s="4">
        <f>[3]MTHLY!AL89</f>
        <v>72920</v>
      </c>
      <c r="BQ255" s="4">
        <f>[3]MTHLY!AM89</f>
        <v>203754</v>
      </c>
      <c r="BT255" s="5">
        <f t="shared" si="40"/>
        <v>276674</v>
      </c>
      <c r="BW255" s="541">
        <f t="shared" si="41"/>
        <v>0.86624930208246709</v>
      </c>
      <c r="BX255" s="444">
        <f t="shared" si="42"/>
        <v>0.89564166245411991</v>
      </c>
    </row>
    <row r="256" spans="1:76" s="89" customFormat="1">
      <c r="A256" s="89">
        <f t="shared" si="43"/>
        <v>2003</v>
      </c>
      <c r="B256" s="89">
        <f t="shared" si="44"/>
        <v>12</v>
      </c>
      <c r="C256" s="89">
        <f>'[2]FPC wSEB'!K353</f>
        <v>73798</v>
      </c>
      <c r="D256" s="89">
        <f>'[2]FPC wSEB'!L353</f>
        <v>176512</v>
      </c>
      <c r="E256" s="89">
        <f>SUM('[2]FPC wSEB'!$AC353:$AD353)</f>
        <v>20</v>
      </c>
      <c r="Z256" s="96">
        <f t="shared" si="35"/>
        <v>250310</v>
      </c>
      <c r="BN256" s="89">
        <f t="shared" si="38"/>
        <v>2003</v>
      </c>
      <c r="BO256" s="89">
        <f t="shared" si="39"/>
        <v>12</v>
      </c>
      <c r="BP256" s="89">
        <f>[3]MTHLY!AL90</f>
        <v>88175</v>
      </c>
      <c r="BQ256" s="89">
        <f>[3]MTHLY!AM90</f>
        <v>181428</v>
      </c>
      <c r="BT256" s="103">
        <f t="shared" si="40"/>
        <v>269603</v>
      </c>
      <c r="BW256" s="542">
        <f t="shared" si="41"/>
        <v>1.194815577657931</v>
      </c>
      <c r="BX256" s="533">
        <f t="shared" si="42"/>
        <v>1.027850797679478</v>
      </c>
    </row>
    <row r="257" spans="1:76">
      <c r="A257" s="4">
        <f t="shared" si="43"/>
        <v>2004</v>
      </c>
      <c r="B257" s="4">
        <f t="shared" si="44"/>
        <v>1</v>
      </c>
      <c r="C257" s="4">
        <f>'[2]FPC wSEB'!K354</f>
        <v>65595</v>
      </c>
      <c r="D257" s="4">
        <f>'[2]FPC wSEB'!L354</f>
        <v>200210</v>
      </c>
      <c r="E257" s="4">
        <f>SUM('[2]FPC wSEB'!$AC354:$AD354)</f>
        <v>21</v>
      </c>
      <c r="Z257" s="6">
        <f t="shared" si="35"/>
        <v>265805</v>
      </c>
      <c r="BN257" s="4">
        <f t="shared" si="38"/>
        <v>2004</v>
      </c>
      <c r="BO257" s="4">
        <f t="shared" si="39"/>
        <v>1</v>
      </c>
      <c r="BP257" s="4">
        <f>[3]MTHLY!AL91</f>
        <v>57928</v>
      </c>
      <c r="BQ257" s="4">
        <f>[3]MTHLY!AM91</f>
        <v>205697</v>
      </c>
      <c r="BT257" s="5">
        <f t="shared" si="40"/>
        <v>263625</v>
      </c>
      <c r="BW257" s="541">
        <f t="shared" si="41"/>
        <v>0.88311609116548517</v>
      </c>
      <c r="BX257" s="444">
        <f t="shared" si="42"/>
        <v>1.0274062234653614</v>
      </c>
    </row>
    <row r="258" spans="1:76">
      <c r="A258" s="4">
        <f t="shared" si="43"/>
        <v>2004</v>
      </c>
      <c r="B258" s="4">
        <f t="shared" si="44"/>
        <v>2</v>
      </c>
      <c r="C258" s="4">
        <f>'[2]FPC wSEB'!K355</f>
        <v>46189</v>
      </c>
      <c r="D258" s="4">
        <f>'[2]FPC wSEB'!L355</f>
        <v>211686</v>
      </c>
      <c r="E258" s="4">
        <f>SUM('[2]FPC wSEB'!$AC355:$AD355)</f>
        <v>21</v>
      </c>
      <c r="Z258" s="6">
        <f t="shared" si="35"/>
        <v>257875</v>
      </c>
      <c r="BN258" s="4">
        <f t="shared" si="38"/>
        <v>2004</v>
      </c>
      <c r="BO258" s="4">
        <f t="shared" si="39"/>
        <v>2</v>
      </c>
      <c r="BP258" s="4">
        <f>[3]MTHLY!AL92</f>
        <v>95649</v>
      </c>
      <c r="BQ258" s="4">
        <f>[3]MTHLY!AM92</f>
        <v>198336</v>
      </c>
      <c r="BT258" s="5">
        <f t="shared" si="40"/>
        <v>293985</v>
      </c>
      <c r="BW258" s="541">
        <f t="shared" si="41"/>
        <v>2.0708177271644765</v>
      </c>
      <c r="BX258" s="444">
        <f t="shared" si="42"/>
        <v>0.93693489413565378</v>
      </c>
    </row>
    <row r="259" spans="1:76">
      <c r="A259" s="4">
        <f t="shared" si="43"/>
        <v>2004</v>
      </c>
      <c r="B259" s="4">
        <f t="shared" si="44"/>
        <v>3</v>
      </c>
      <c r="C259" s="4">
        <f>'[2]FPC wSEB'!K356</f>
        <v>118171</v>
      </c>
      <c r="D259" s="4">
        <f>'[2]FPC wSEB'!L356</f>
        <v>190240</v>
      </c>
      <c r="E259" s="4">
        <f>SUM('[2]FPC wSEB'!$AC356:$AD356)</f>
        <v>26</v>
      </c>
      <c r="Z259" s="6">
        <f t="shared" si="35"/>
        <v>308411</v>
      </c>
      <c r="BN259" s="4">
        <f t="shared" si="38"/>
        <v>2004</v>
      </c>
      <c r="BO259" s="4">
        <f t="shared" si="39"/>
        <v>3</v>
      </c>
      <c r="BP259" s="4">
        <f>[3]MTHLY!AL93</f>
        <v>79069</v>
      </c>
      <c r="BQ259" s="4">
        <f>[3]MTHLY!AM93</f>
        <v>199811</v>
      </c>
      <c r="BT259" s="5">
        <f t="shared" si="40"/>
        <v>278880</v>
      </c>
      <c r="BW259" s="541">
        <f t="shared" si="41"/>
        <v>0.66910663360723022</v>
      </c>
      <c r="BX259" s="444">
        <f t="shared" si="42"/>
        <v>1.0503101345668628</v>
      </c>
    </row>
    <row r="260" spans="1:76">
      <c r="A260" s="4">
        <f t="shared" si="43"/>
        <v>2004</v>
      </c>
      <c r="B260" s="4">
        <f t="shared" si="44"/>
        <v>4</v>
      </c>
      <c r="C260" s="4">
        <f>'[2]FPC wSEB'!K357</f>
        <v>82420</v>
      </c>
      <c r="D260" s="4">
        <f>'[2]FPC wSEB'!L357</f>
        <v>207444</v>
      </c>
      <c r="E260" s="4">
        <f>SUM('[2]FPC wSEB'!$AC357:$AD357)</f>
        <v>22</v>
      </c>
      <c r="Z260" s="6">
        <f t="shared" si="35"/>
        <v>289864</v>
      </c>
      <c r="BN260" s="4">
        <f t="shared" si="38"/>
        <v>2004</v>
      </c>
      <c r="BO260" s="4">
        <f t="shared" si="39"/>
        <v>4</v>
      </c>
      <c r="BP260" s="4">
        <f>[3]MTHLY!AL94</f>
        <v>73770</v>
      </c>
      <c r="BQ260" s="4">
        <f>[3]MTHLY!AM94</f>
        <v>207399</v>
      </c>
      <c r="BT260" s="5">
        <f t="shared" si="40"/>
        <v>281169</v>
      </c>
      <c r="BW260" s="541">
        <f t="shared" si="41"/>
        <v>0.89504974520747393</v>
      </c>
      <c r="BX260" s="444">
        <f t="shared" si="42"/>
        <v>0.99978307398623245</v>
      </c>
    </row>
    <row r="261" spans="1:76">
      <c r="A261" s="4">
        <f t="shared" si="43"/>
        <v>2004</v>
      </c>
      <c r="B261" s="4">
        <f t="shared" si="44"/>
        <v>5</v>
      </c>
      <c r="C261" s="4">
        <f>'[2]FPC wSEB'!K358</f>
        <v>84688</v>
      </c>
      <c r="D261" s="4">
        <f>'[2]FPC wSEB'!L358</f>
        <v>204030</v>
      </c>
      <c r="E261" s="4">
        <f>SUM('[2]FPC wSEB'!$AC358:$AD358)</f>
        <v>21</v>
      </c>
      <c r="Z261" s="6">
        <f t="shared" si="35"/>
        <v>288718</v>
      </c>
      <c r="BN261" s="4">
        <f t="shared" si="38"/>
        <v>2004</v>
      </c>
      <c r="BO261" s="4">
        <f t="shared" si="39"/>
        <v>5</v>
      </c>
      <c r="BP261" s="4">
        <f>[3]MTHLY!AL95</f>
        <v>123373</v>
      </c>
      <c r="BQ261" s="4">
        <f>[3]MTHLY!AM95</f>
        <v>218983</v>
      </c>
      <c r="BT261" s="5">
        <f t="shared" si="40"/>
        <v>342356</v>
      </c>
      <c r="BW261" s="541">
        <f t="shared" si="41"/>
        <v>1.4567943510296619</v>
      </c>
      <c r="BX261" s="444">
        <f t="shared" si="42"/>
        <v>1.073288241925207</v>
      </c>
    </row>
    <row r="262" spans="1:76">
      <c r="A262" s="4">
        <f t="shared" si="43"/>
        <v>2004</v>
      </c>
      <c r="B262" s="4">
        <f t="shared" si="44"/>
        <v>6</v>
      </c>
      <c r="C262" s="4">
        <f>'[2]FPC wSEB'!K359</f>
        <v>95812</v>
      </c>
      <c r="D262" s="4">
        <f>'[2]FPC wSEB'!L359</f>
        <v>209392</v>
      </c>
      <c r="E262" s="4">
        <f>SUM('[2]FPC wSEB'!$AC359:$AD359)</f>
        <v>22</v>
      </c>
      <c r="Z262" s="6">
        <f t="shared" ref="Z262:Z267" si="45">C262+D262</f>
        <v>305204</v>
      </c>
      <c r="BN262" s="4">
        <f t="shared" si="38"/>
        <v>2004</v>
      </c>
      <c r="BO262" s="4">
        <f t="shared" si="39"/>
        <v>6</v>
      </c>
      <c r="BP262" s="4">
        <f>[3]MTHLY!AL96</f>
        <v>113010</v>
      </c>
      <c r="BQ262" s="4">
        <f>[3]MTHLY!AM96</f>
        <v>293703</v>
      </c>
      <c r="BT262" s="5">
        <f t="shared" ref="BT262:BT267" si="46">BQ262+BP262</f>
        <v>406713</v>
      </c>
      <c r="BW262" s="541">
        <f t="shared" si="41"/>
        <v>1.1794973489750762</v>
      </c>
      <c r="BX262" s="444">
        <f t="shared" si="42"/>
        <v>1.4026467104760449</v>
      </c>
    </row>
    <row r="263" spans="1:76">
      <c r="A263" s="4">
        <f t="shared" si="43"/>
        <v>2004</v>
      </c>
      <c r="B263" s="4">
        <f t="shared" si="44"/>
        <v>7</v>
      </c>
      <c r="C263" s="4">
        <f>'[2]FPC wSEB'!K360</f>
        <v>102835</v>
      </c>
      <c r="D263" s="4">
        <f>'[2]FPC wSEB'!L360</f>
        <v>338467</v>
      </c>
      <c r="E263" s="4">
        <f>SUM('[2]FPC wSEB'!$AC360:$AD360)</f>
        <v>33</v>
      </c>
      <c r="Z263" s="6">
        <f t="shared" si="45"/>
        <v>441302</v>
      </c>
      <c r="BN263" s="4">
        <f t="shared" si="38"/>
        <v>2004</v>
      </c>
      <c r="BO263" s="4">
        <f t="shared" si="39"/>
        <v>7</v>
      </c>
      <c r="BP263" s="4">
        <f>[3]MTHLY!AL97</f>
        <v>124192</v>
      </c>
      <c r="BQ263" s="4">
        <f>[3]MTHLY!AM97</f>
        <v>372949</v>
      </c>
      <c r="BT263" s="5">
        <f t="shared" si="46"/>
        <v>497141</v>
      </c>
      <c r="BW263" s="541">
        <f t="shared" si="41"/>
        <v>1.2076822093645159</v>
      </c>
      <c r="BX263" s="444">
        <f t="shared" si="42"/>
        <v>1.1018769924394403</v>
      </c>
    </row>
    <row r="264" spans="1:76">
      <c r="A264" s="3">
        <f t="shared" si="43"/>
        <v>2004</v>
      </c>
      <c r="B264" s="3">
        <f t="shared" si="44"/>
        <v>8</v>
      </c>
      <c r="C264" s="4">
        <f>'[2]FPC wSEB'!K361</f>
        <v>123315</v>
      </c>
      <c r="D264" s="4">
        <f>'[2]FPC wSEB'!L361</f>
        <v>342141</v>
      </c>
      <c r="E264" s="4">
        <f>SUM('[2]FPC wSEB'!$AC361:$AD361)</f>
        <v>26</v>
      </c>
      <c r="Z264" s="6">
        <f>C264+D264+AB264</f>
        <v>482871</v>
      </c>
      <c r="AB264" s="108">
        <v>17415</v>
      </c>
      <c r="BN264" s="3">
        <f t="shared" si="38"/>
        <v>2004</v>
      </c>
      <c r="BO264" s="3">
        <f t="shared" si="39"/>
        <v>8</v>
      </c>
      <c r="BP264" s="4">
        <f>[3]MTHLY!AL98</f>
        <v>120853</v>
      </c>
      <c r="BQ264" s="4">
        <f>[3]MTHLY!AM98</f>
        <v>334926</v>
      </c>
      <c r="BT264" s="540">
        <f>BQ264+BP264+13779</f>
        <v>469558</v>
      </c>
      <c r="BW264" s="541">
        <f t="shared" si="41"/>
        <v>0.98003487004825041</v>
      </c>
      <c r="BX264" s="444">
        <f t="shared" si="42"/>
        <v>0.9789122028637316</v>
      </c>
    </row>
    <row r="265" spans="1:76">
      <c r="A265" s="3">
        <f t="shared" si="43"/>
        <v>2004</v>
      </c>
      <c r="B265" s="3">
        <f t="shared" si="44"/>
        <v>9</v>
      </c>
      <c r="C265" s="4">
        <f>'[2]FPC wSEB'!K362</f>
        <v>120959</v>
      </c>
      <c r="D265" s="4">
        <f>'[2]FPC wSEB'!L362</f>
        <v>338815</v>
      </c>
      <c r="E265" s="4">
        <f>SUM('[2]FPC wSEB'!$AC362:$AD362)</f>
        <v>27</v>
      </c>
      <c r="Z265" s="6">
        <f>C265+D265+AB265</f>
        <v>483612</v>
      </c>
      <c r="AB265" s="108">
        <v>23838</v>
      </c>
      <c r="BN265" s="3">
        <f t="shared" si="38"/>
        <v>2004</v>
      </c>
      <c r="BO265" s="3">
        <f t="shared" si="39"/>
        <v>9</v>
      </c>
      <c r="BP265" s="4">
        <f>[3]MTHLY!AL99</f>
        <v>93988</v>
      </c>
      <c r="BQ265" s="4">
        <f>[3]MTHLY!AM99</f>
        <v>341120</v>
      </c>
      <c r="BT265" s="540">
        <f>BQ265+BP265+48297</f>
        <v>483405</v>
      </c>
      <c r="BW265" s="541">
        <f t="shared" si="41"/>
        <v>0.77702361957357446</v>
      </c>
      <c r="BX265" s="444">
        <f t="shared" si="42"/>
        <v>1.0068031226480527</v>
      </c>
    </row>
    <row r="266" spans="1:76">
      <c r="A266" s="4">
        <f t="shared" si="43"/>
        <v>2004</v>
      </c>
      <c r="B266" s="4">
        <f t="shared" si="44"/>
        <v>10</v>
      </c>
      <c r="C266" s="4">
        <f>'[2]FPC wSEB'!K363</f>
        <v>109509</v>
      </c>
      <c r="D266" s="4">
        <f>'[2]FPC wSEB'!L363</f>
        <v>342526</v>
      </c>
      <c r="E266" s="4">
        <f>SUM('[2]FPC wSEB'!$AC363:$AD363)</f>
        <v>27</v>
      </c>
      <c r="Z266" s="6">
        <f t="shared" si="45"/>
        <v>452035</v>
      </c>
      <c r="BN266" s="4">
        <f t="shared" si="38"/>
        <v>2004</v>
      </c>
      <c r="BO266" s="4">
        <f t="shared" si="39"/>
        <v>10</v>
      </c>
      <c r="BP266" s="4">
        <f>[3]MTHLY!AL100</f>
        <v>73207</v>
      </c>
      <c r="BQ266" s="4">
        <f>[3]MTHLY!AM100</f>
        <v>336158</v>
      </c>
      <c r="BT266" s="5">
        <f t="shared" si="46"/>
        <v>409365</v>
      </c>
      <c r="BW266" s="541">
        <f t="shared" si="41"/>
        <v>0.66850213224483834</v>
      </c>
      <c r="BX266" s="444">
        <f t="shared" si="42"/>
        <v>0.98140871057963486</v>
      </c>
    </row>
    <row r="267" spans="1:76">
      <c r="A267" s="4">
        <f t="shared" si="43"/>
        <v>2004</v>
      </c>
      <c r="B267" s="4">
        <f t="shared" si="44"/>
        <v>11</v>
      </c>
      <c r="C267" s="4">
        <f>'[2]FPC wSEB'!K364</f>
        <v>33059</v>
      </c>
      <c r="D267" s="4">
        <f>'[2]FPC wSEB'!L364</f>
        <v>342043</v>
      </c>
      <c r="E267" s="4">
        <f>SUM('[2]FPC wSEB'!$AC364:$AD364)</f>
        <v>24</v>
      </c>
      <c r="Z267" s="6">
        <f t="shared" si="45"/>
        <v>375102</v>
      </c>
      <c r="BN267" s="4">
        <f t="shared" si="38"/>
        <v>2004</v>
      </c>
      <c r="BO267" s="4">
        <f t="shared" si="39"/>
        <v>11</v>
      </c>
      <c r="BP267" s="4">
        <f>[3]MTHLY!AL101</f>
        <v>49498</v>
      </c>
      <c r="BQ267" s="4">
        <f>[3]MTHLY!AM101</f>
        <v>299665</v>
      </c>
      <c r="BT267" s="5">
        <f t="shared" si="46"/>
        <v>349163</v>
      </c>
      <c r="BW267" s="541">
        <f t="shared" si="41"/>
        <v>1.497262470129163</v>
      </c>
      <c r="BX267" s="444">
        <f t="shared" si="42"/>
        <v>0.87610329695389177</v>
      </c>
    </row>
    <row r="268" spans="1:76" s="89" customFormat="1">
      <c r="A268" s="89">
        <f t="shared" si="43"/>
        <v>2004</v>
      </c>
      <c r="B268" s="89">
        <f t="shared" si="44"/>
        <v>12</v>
      </c>
      <c r="C268" s="89">
        <f>'[2]FPC wSEB'!K365</f>
        <v>108429</v>
      </c>
      <c r="D268" s="89">
        <f>'[2]FPC wSEB'!L365</f>
        <v>283116</v>
      </c>
      <c r="E268" s="89">
        <f>SUM('[2]FPC wSEB'!$AC365:$AD365)</f>
        <v>27</v>
      </c>
      <c r="Z268" s="96">
        <f t="shared" ref="Z268:Z273" si="47">C268+D268</f>
        <v>391545</v>
      </c>
      <c r="BN268" s="89">
        <f t="shared" si="38"/>
        <v>2004</v>
      </c>
      <c r="BO268" s="89">
        <f t="shared" si="39"/>
        <v>12</v>
      </c>
      <c r="BP268" s="89">
        <f>[3]MTHLY!AL102</f>
        <v>60453</v>
      </c>
      <c r="BQ268" s="89">
        <f>[3]MTHLY!AM102</f>
        <v>304991</v>
      </c>
      <c r="BT268" s="103">
        <f t="shared" ref="BT268:BT273" si="48">BQ268+BP268</f>
        <v>365444</v>
      </c>
      <c r="BW268" s="542">
        <f t="shared" si="41"/>
        <v>0.557535345710096</v>
      </c>
      <c r="BX268" s="533">
        <f t="shared" si="42"/>
        <v>1.0772651492674381</v>
      </c>
    </row>
    <row r="269" spans="1:76">
      <c r="A269" s="4">
        <f t="shared" si="43"/>
        <v>2005</v>
      </c>
      <c r="B269" s="4">
        <f t="shared" si="44"/>
        <v>1</v>
      </c>
      <c r="C269" s="4">
        <f>'[2]FPC wSEB'!K366</f>
        <v>81993</v>
      </c>
      <c r="D269" s="4">
        <f>'[2]FPC wSEB'!L366</f>
        <v>315942</v>
      </c>
      <c r="E269" s="4">
        <f>SUM('[2]FPC wSEB'!$AC366:$AD366)</f>
        <v>30</v>
      </c>
      <c r="Z269" s="6">
        <f t="shared" si="47"/>
        <v>397935</v>
      </c>
      <c r="AB269" s="4">
        <f t="shared" ref="AB269:AB308" si="49">Z269-Z257</f>
        <v>132130</v>
      </c>
      <c r="BN269" s="4">
        <f t="shared" si="38"/>
        <v>2005</v>
      </c>
      <c r="BO269" s="4">
        <f t="shared" si="39"/>
        <v>1</v>
      </c>
      <c r="BP269" s="4">
        <f>[3]MTHLY!AL103</f>
        <v>91581</v>
      </c>
      <c r="BQ269" s="4">
        <f>[3]MTHLY!AM103</f>
        <v>312768</v>
      </c>
      <c r="BT269" s="5">
        <f t="shared" si="48"/>
        <v>404349</v>
      </c>
      <c r="BV269" s="108">
        <f t="shared" ref="BV269:BV325" si="50">BT269-BT257</f>
        <v>140724</v>
      </c>
      <c r="BW269" s="541">
        <f t="shared" si="41"/>
        <v>1.1169368116790457</v>
      </c>
      <c r="BX269" s="444">
        <f t="shared" si="42"/>
        <v>0.98995385228934429</v>
      </c>
    </row>
    <row r="270" spans="1:76">
      <c r="A270" s="4">
        <f t="shared" si="43"/>
        <v>2005</v>
      </c>
      <c r="B270" s="4">
        <f t="shared" si="44"/>
        <v>2</v>
      </c>
      <c r="C270" s="4">
        <f>'[2]FPC wSEB'!K367</f>
        <v>86560</v>
      </c>
      <c r="D270" s="4">
        <f>'[2]FPC wSEB'!L367</f>
        <v>298781</v>
      </c>
      <c r="E270" s="4">
        <f>SUM('[2]FPC wSEB'!$AC367:$AD367)</f>
        <v>25</v>
      </c>
      <c r="Z270" s="6">
        <f t="shared" si="47"/>
        <v>385341</v>
      </c>
      <c r="AB270" s="4">
        <f t="shared" si="49"/>
        <v>127466</v>
      </c>
      <c r="BN270" s="4">
        <f t="shared" si="38"/>
        <v>2005</v>
      </c>
      <c r="BO270" s="4">
        <f t="shared" si="39"/>
        <v>2</v>
      </c>
      <c r="BP270" s="4">
        <f>[3]MTHLY!AL104</f>
        <v>158128</v>
      </c>
      <c r="BQ270" s="4">
        <f>[3]MTHLY!AM104</f>
        <v>275979</v>
      </c>
      <c r="BT270" s="5">
        <f t="shared" si="48"/>
        <v>434107</v>
      </c>
      <c r="BV270" s="108">
        <f t="shared" si="50"/>
        <v>140122</v>
      </c>
      <c r="BW270" s="541">
        <f t="shared" si="41"/>
        <v>1.8268022181146026</v>
      </c>
      <c r="BX270" s="444">
        <f t="shared" si="42"/>
        <v>0.92368323286956</v>
      </c>
    </row>
    <row r="271" spans="1:76">
      <c r="A271" s="4">
        <f t="shared" si="43"/>
        <v>2005</v>
      </c>
      <c r="B271" s="4">
        <f t="shared" si="44"/>
        <v>3</v>
      </c>
      <c r="C271" s="4">
        <f>'[2]FPC wSEB'!K368</f>
        <v>140357</v>
      </c>
      <c r="D271" s="4">
        <f>'[2]FPC wSEB'!L368</f>
        <v>280269</v>
      </c>
      <c r="E271" s="4">
        <f>SUM('[2]FPC wSEB'!$AC368:$AD368)</f>
        <v>37</v>
      </c>
      <c r="Z271" s="6">
        <f t="shared" si="47"/>
        <v>420626</v>
      </c>
      <c r="AB271" s="4">
        <f t="shared" si="49"/>
        <v>112215</v>
      </c>
      <c r="BN271" s="4">
        <f t="shared" si="38"/>
        <v>2005</v>
      </c>
      <c r="BO271" s="4">
        <f t="shared" si="39"/>
        <v>3</v>
      </c>
      <c r="BP271" s="4">
        <f>[3]MTHLY!AL105</f>
        <v>126612</v>
      </c>
      <c r="BQ271" s="4">
        <f>[3]MTHLY!AM105</f>
        <v>382659</v>
      </c>
      <c r="BT271" s="5">
        <f t="shared" si="48"/>
        <v>509271</v>
      </c>
      <c r="BV271" s="108">
        <f t="shared" si="50"/>
        <v>230391</v>
      </c>
      <c r="BW271" s="541">
        <f t="shared" si="41"/>
        <v>0.90207114714620573</v>
      </c>
      <c r="BX271" s="444">
        <f t="shared" si="42"/>
        <v>1.3653275959881399</v>
      </c>
    </row>
    <row r="272" spans="1:76">
      <c r="A272" s="4">
        <f t="shared" si="43"/>
        <v>2005</v>
      </c>
      <c r="B272" s="4">
        <f t="shared" si="44"/>
        <v>4</v>
      </c>
      <c r="C272" s="4">
        <f>'[2]FPC wSEB'!K369</f>
        <v>125681</v>
      </c>
      <c r="D272" s="4">
        <f>'[2]FPC wSEB'!L369</f>
        <v>381591</v>
      </c>
      <c r="E272" s="4">
        <f>SUM('[2]FPC wSEB'!$AC369:$AD369)</f>
        <v>24</v>
      </c>
      <c r="Z272" s="6">
        <f t="shared" si="47"/>
        <v>507272</v>
      </c>
      <c r="AB272" s="4">
        <f t="shared" si="49"/>
        <v>217408</v>
      </c>
      <c r="BN272" s="4">
        <f t="shared" si="38"/>
        <v>2005</v>
      </c>
      <c r="BO272" s="4">
        <f t="shared" si="39"/>
        <v>4</v>
      </c>
      <c r="BP272" s="4">
        <f>[3]MTHLY!AL106</f>
        <v>106052</v>
      </c>
      <c r="BQ272" s="4">
        <f>[3]MTHLY!AM106</f>
        <v>287220</v>
      </c>
      <c r="BT272" s="5">
        <f t="shared" si="48"/>
        <v>393272</v>
      </c>
      <c r="BV272" s="108">
        <f t="shared" si="50"/>
        <v>112103</v>
      </c>
      <c r="BW272" s="541">
        <f t="shared" si="41"/>
        <v>0.84381887477025164</v>
      </c>
      <c r="BX272" s="444">
        <f t="shared" si="42"/>
        <v>0.75269070811418504</v>
      </c>
    </row>
    <row r="273" spans="1:76">
      <c r="A273" s="4">
        <f t="shared" si="43"/>
        <v>2005</v>
      </c>
      <c r="B273" s="4">
        <f t="shared" si="44"/>
        <v>5</v>
      </c>
      <c r="C273" s="4">
        <f>'[2]FPC wSEB'!K370</f>
        <v>113196</v>
      </c>
      <c r="D273" s="4">
        <f>'[2]FPC wSEB'!L370</f>
        <v>274287</v>
      </c>
      <c r="E273" s="4">
        <f>SUM('[2]FPC wSEB'!$AC370:$AD370)</f>
        <v>26</v>
      </c>
      <c r="Z273" s="6">
        <f t="shared" si="47"/>
        <v>387483</v>
      </c>
      <c r="AB273" s="4">
        <f t="shared" si="49"/>
        <v>98765</v>
      </c>
      <c r="BN273" s="4">
        <f t="shared" si="38"/>
        <v>2005</v>
      </c>
      <c r="BO273" s="4">
        <f t="shared" si="39"/>
        <v>5</v>
      </c>
      <c r="BP273" s="4">
        <f>[3]MTHLY!AL107</f>
        <v>108409</v>
      </c>
      <c r="BQ273" s="4">
        <f>[3]MTHLY!AM107</f>
        <v>281651</v>
      </c>
      <c r="BT273" s="5">
        <f t="shared" si="48"/>
        <v>390060</v>
      </c>
      <c r="BV273" s="108">
        <f t="shared" si="50"/>
        <v>47704</v>
      </c>
      <c r="BW273" s="541">
        <f t="shared" si="41"/>
        <v>0.95771051980635358</v>
      </c>
      <c r="BX273" s="444">
        <f t="shared" si="42"/>
        <v>1.0268477908176472</v>
      </c>
    </row>
    <row r="274" spans="1:76">
      <c r="A274" s="4">
        <f t="shared" si="43"/>
        <v>2005</v>
      </c>
      <c r="B274" s="4">
        <f t="shared" si="44"/>
        <v>6</v>
      </c>
      <c r="C274" s="4">
        <f>'[2]FPC wSEB'!K371</f>
        <v>95240</v>
      </c>
      <c r="D274" s="4">
        <f>'[2]FPC wSEB'!L371</f>
        <v>282938</v>
      </c>
      <c r="E274" s="4">
        <f>SUM('[2]FPC wSEB'!$AC371:$AD371)</f>
        <v>24</v>
      </c>
      <c r="Z274" s="6">
        <f t="shared" ref="Z274:Z279" si="51">C274+D274</f>
        <v>378178</v>
      </c>
      <c r="AB274" s="4">
        <f t="shared" si="49"/>
        <v>72974</v>
      </c>
      <c r="BN274" s="4">
        <f t="shared" si="38"/>
        <v>2005</v>
      </c>
      <c r="BO274" s="4">
        <f t="shared" si="39"/>
        <v>6</v>
      </c>
      <c r="BP274" s="4">
        <f>[3]MTHLY!AL108</f>
        <v>121966</v>
      </c>
      <c r="BQ274" s="4">
        <f>[3]MTHLY!AM108</f>
        <v>249974</v>
      </c>
      <c r="BT274" s="5">
        <f t="shared" ref="BT274:BT279" si="52">BQ274+BP274</f>
        <v>371940</v>
      </c>
      <c r="BV274" s="108">
        <f t="shared" si="50"/>
        <v>-34773</v>
      </c>
      <c r="BW274" s="541">
        <f t="shared" si="41"/>
        <v>1.2806173876522469</v>
      </c>
      <c r="BX274" s="444">
        <f t="shared" si="42"/>
        <v>0.88349391032664404</v>
      </c>
    </row>
    <row r="275" spans="1:76">
      <c r="A275" s="4">
        <f t="shared" si="43"/>
        <v>2005</v>
      </c>
      <c r="B275" s="4">
        <f t="shared" si="44"/>
        <v>7</v>
      </c>
      <c r="C275" s="4">
        <f>'[2]FPC wSEB'!K372</f>
        <v>114575</v>
      </c>
      <c r="D275" s="4">
        <f>'[2]FPC wSEB'!L372</f>
        <v>268555</v>
      </c>
      <c r="E275" s="4">
        <f>SUM('[2]FPC wSEB'!$AC372:$AD372)</f>
        <v>26</v>
      </c>
      <c r="Z275" s="6">
        <f t="shared" si="51"/>
        <v>383130</v>
      </c>
      <c r="AB275" s="4">
        <f t="shared" si="49"/>
        <v>-58172</v>
      </c>
      <c r="BN275" s="4">
        <f t="shared" si="38"/>
        <v>2005</v>
      </c>
      <c r="BO275" s="4">
        <f t="shared" si="39"/>
        <v>7</v>
      </c>
      <c r="BP275" s="4">
        <f>[3]MTHLY!AL109</f>
        <v>220283</v>
      </c>
      <c r="BQ275" s="4">
        <f>[3]MTHLY!AM109</f>
        <v>316627</v>
      </c>
      <c r="BT275" s="5">
        <f t="shared" si="52"/>
        <v>536910</v>
      </c>
      <c r="BV275" s="108">
        <f t="shared" si="50"/>
        <v>39769</v>
      </c>
      <c r="BW275" s="541">
        <f t="shared" si="41"/>
        <v>1.92260964433777</v>
      </c>
      <c r="BX275" s="444">
        <f t="shared" si="42"/>
        <v>1.1790024389789802</v>
      </c>
    </row>
    <row r="276" spans="1:76">
      <c r="A276" s="4">
        <f t="shared" si="43"/>
        <v>2005</v>
      </c>
      <c r="B276" s="4">
        <f t="shared" si="44"/>
        <v>8</v>
      </c>
      <c r="C276" s="4">
        <f>'[2]FPC wSEB'!K373</f>
        <v>157072</v>
      </c>
      <c r="D276" s="4">
        <f>'[2]FPC wSEB'!L373</f>
        <v>318921</v>
      </c>
      <c r="E276" s="4">
        <f>SUM('[2]FPC wSEB'!$AC373:$AD373)</f>
        <v>26</v>
      </c>
      <c r="Z276" s="6">
        <f t="shared" si="51"/>
        <v>475993</v>
      </c>
      <c r="AB276" s="4">
        <f t="shared" si="49"/>
        <v>-6878</v>
      </c>
      <c r="BN276" s="4">
        <f t="shared" si="38"/>
        <v>2005</v>
      </c>
      <c r="BO276" s="4">
        <f t="shared" si="39"/>
        <v>8</v>
      </c>
      <c r="BP276" s="4">
        <f>[3]MTHLY!AL110</f>
        <v>207658</v>
      </c>
      <c r="BQ276" s="4">
        <f>[3]MTHLY!AM110</f>
        <v>329864</v>
      </c>
      <c r="BT276" s="5">
        <f t="shared" si="52"/>
        <v>537522</v>
      </c>
      <c r="BV276" s="108">
        <f t="shared" si="50"/>
        <v>67964</v>
      </c>
      <c r="BW276" s="541">
        <f t="shared" si="41"/>
        <v>1.3220561271264133</v>
      </c>
      <c r="BX276" s="444">
        <f t="shared" si="42"/>
        <v>1.0343125727060933</v>
      </c>
    </row>
    <row r="277" spans="1:76">
      <c r="A277" s="4">
        <f t="shared" si="43"/>
        <v>2005</v>
      </c>
      <c r="B277" s="4">
        <f t="shared" si="44"/>
        <v>9</v>
      </c>
      <c r="C277" s="4">
        <f>'[2]FPC wSEB'!K374</f>
        <v>218160</v>
      </c>
      <c r="D277" s="4">
        <f>'[2]FPC wSEB'!L374</f>
        <v>317342</v>
      </c>
      <c r="E277" s="4">
        <f>SUM('[2]FPC wSEB'!$AC374:$AD374)</f>
        <v>24</v>
      </c>
      <c r="Z277" s="6">
        <f t="shared" si="51"/>
        <v>535502</v>
      </c>
      <c r="AB277" s="4">
        <f t="shared" si="49"/>
        <v>51890</v>
      </c>
      <c r="BN277" s="4">
        <f t="shared" si="38"/>
        <v>2005</v>
      </c>
      <c r="BO277" s="4">
        <f t="shared" si="39"/>
        <v>9</v>
      </c>
      <c r="BP277" s="4">
        <f>[3]MTHLY!AL111</f>
        <v>172426</v>
      </c>
      <c r="BQ277" s="4">
        <f>[3]MTHLY!AM111</f>
        <v>293947</v>
      </c>
      <c r="BT277" s="5">
        <f t="shared" si="52"/>
        <v>466373</v>
      </c>
      <c r="BV277" s="108">
        <f t="shared" si="50"/>
        <v>-17032</v>
      </c>
      <c r="BW277" s="541">
        <f t="shared" si="41"/>
        <v>0.7903648698203154</v>
      </c>
      <c r="BX277" s="444">
        <f t="shared" si="42"/>
        <v>0.92627827391268724</v>
      </c>
    </row>
    <row r="278" spans="1:76">
      <c r="A278" s="4">
        <f t="shared" si="43"/>
        <v>2005</v>
      </c>
      <c r="B278" s="4">
        <f t="shared" si="44"/>
        <v>10</v>
      </c>
      <c r="C278" s="4">
        <f>'[2]FPC wSEB'!K375</f>
        <v>212521</v>
      </c>
      <c r="D278" s="4">
        <f>'[2]FPC wSEB'!L375</f>
        <v>303529</v>
      </c>
      <c r="E278" s="4">
        <f>SUM('[2]FPC wSEB'!$AC375:$AD375)</f>
        <v>26</v>
      </c>
      <c r="Z278" s="6">
        <f t="shared" si="51"/>
        <v>516050</v>
      </c>
      <c r="AB278" s="4">
        <f t="shared" si="49"/>
        <v>64015</v>
      </c>
      <c r="BN278" s="4">
        <f t="shared" si="38"/>
        <v>2005</v>
      </c>
      <c r="BO278" s="4">
        <f t="shared" si="39"/>
        <v>10</v>
      </c>
      <c r="BP278" s="4">
        <f>[3]MTHLY!AL112</f>
        <v>141921</v>
      </c>
      <c r="BQ278" s="4">
        <f>[3]MTHLY!AM112</f>
        <v>280258</v>
      </c>
      <c r="BT278" s="5">
        <f t="shared" si="52"/>
        <v>422179</v>
      </c>
      <c r="BV278" s="108">
        <f t="shared" si="50"/>
        <v>12814</v>
      </c>
      <c r="BW278" s="541">
        <f t="shared" si="41"/>
        <v>0.66779753530239361</v>
      </c>
      <c r="BX278" s="444">
        <f t="shared" si="42"/>
        <v>0.92333187273703665</v>
      </c>
    </row>
    <row r="279" spans="1:76">
      <c r="A279" s="4">
        <f t="shared" si="43"/>
        <v>2005</v>
      </c>
      <c r="B279" s="4">
        <f t="shared" si="44"/>
        <v>11</v>
      </c>
      <c r="C279" s="4">
        <f>'[2]FPC wSEB'!K376</f>
        <v>169909</v>
      </c>
      <c r="D279" s="4">
        <f>'[2]FPC wSEB'!L376</f>
        <v>279185</v>
      </c>
      <c r="E279" s="4">
        <f>SUM('[2]FPC wSEB'!$AC376:$AD376)</f>
        <v>25</v>
      </c>
      <c r="Z279" s="6">
        <f t="shared" si="51"/>
        <v>449094</v>
      </c>
      <c r="AB279" s="4">
        <f t="shared" si="49"/>
        <v>73992</v>
      </c>
      <c r="BN279" s="4">
        <f t="shared" si="38"/>
        <v>2005</v>
      </c>
      <c r="BO279" s="4">
        <f t="shared" si="39"/>
        <v>11</v>
      </c>
      <c r="BP279" s="4">
        <f>[3]MTHLY!AL113</f>
        <v>114450</v>
      </c>
      <c r="BQ279" s="4">
        <f>[3]MTHLY!AM113</f>
        <v>236281</v>
      </c>
      <c r="BT279" s="5">
        <f t="shared" si="52"/>
        <v>350731</v>
      </c>
      <c r="BV279" s="108">
        <f t="shared" si="50"/>
        <v>1568</v>
      </c>
      <c r="BW279" s="541">
        <f t="shared" si="41"/>
        <v>0.67359586602240018</v>
      </c>
      <c r="BX279" s="444">
        <f t="shared" si="42"/>
        <v>0.84632412199795837</v>
      </c>
    </row>
    <row r="280" spans="1:76" s="89" customFormat="1">
      <c r="A280" s="89">
        <f t="shared" si="43"/>
        <v>2005</v>
      </c>
      <c r="B280" s="89">
        <f t="shared" si="44"/>
        <v>12</v>
      </c>
      <c r="C280" s="89">
        <f>'[2]FPC wSEB'!K377</f>
        <v>113707</v>
      </c>
      <c r="D280" s="89">
        <f>'[2]FPC wSEB'!L377</f>
        <v>244925</v>
      </c>
      <c r="E280" s="89">
        <f>SUM('[2]FPC wSEB'!$AC377:$AD377)</f>
        <v>24</v>
      </c>
      <c r="Z280" s="96">
        <f t="shared" ref="Z280:Z285" si="53">C280+D280</f>
        <v>358632</v>
      </c>
      <c r="AB280" s="89">
        <f t="shared" si="49"/>
        <v>-32913</v>
      </c>
      <c r="BN280" s="89">
        <f t="shared" si="38"/>
        <v>2005</v>
      </c>
      <c r="BO280" s="89">
        <f t="shared" si="39"/>
        <v>12</v>
      </c>
      <c r="BP280" s="89">
        <f>[3]MTHLY!AL114</f>
        <v>143332</v>
      </c>
      <c r="BQ280" s="89">
        <f>[3]MTHLY!AM114</f>
        <v>255108</v>
      </c>
      <c r="BT280" s="103">
        <f t="shared" ref="BT280:BT285" si="54">BQ280+BP280</f>
        <v>398440</v>
      </c>
      <c r="BV280" s="117">
        <f t="shared" si="50"/>
        <v>32996</v>
      </c>
      <c r="BW280" s="542">
        <f t="shared" si="41"/>
        <v>1.2605380495484007</v>
      </c>
      <c r="BX280" s="533">
        <f t="shared" si="42"/>
        <v>1.0415759926508115</v>
      </c>
    </row>
    <row r="281" spans="1:76">
      <c r="A281" s="4">
        <f t="shared" si="43"/>
        <v>2006</v>
      </c>
      <c r="B281" s="4">
        <f t="shared" si="44"/>
        <v>1</v>
      </c>
      <c r="C281" s="4">
        <f>'[2]FPC wSEB'!K378</f>
        <v>138964</v>
      </c>
      <c r="D281" s="4">
        <f>'[2]FPC wSEB'!L378</f>
        <v>259161</v>
      </c>
      <c r="E281" s="4">
        <f>SUM('[2]FPC wSEB'!$AC378:$AD378)</f>
        <v>26</v>
      </c>
      <c r="Z281" s="6">
        <f t="shared" si="53"/>
        <v>398125</v>
      </c>
      <c r="AB281" s="4">
        <f t="shared" si="49"/>
        <v>190</v>
      </c>
      <c r="BN281" s="4">
        <f t="shared" si="38"/>
        <v>2006</v>
      </c>
      <c r="BO281" s="4">
        <f t="shared" si="39"/>
        <v>1</v>
      </c>
      <c r="BP281" s="4">
        <f>[3]MTHLY!AL115</f>
        <v>76399</v>
      </c>
      <c r="BQ281" s="4">
        <f>[3]MTHLY!AM115</f>
        <v>190350</v>
      </c>
      <c r="BT281" s="5">
        <f t="shared" si="54"/>
        <v>266749</v>
      </c>
      <c r="BV281" s="108">
        <f t="shared" si="50"/>
        <v>-137600</v>
      </c>
      <c r="BW281" s="541">
        <f t="shared" si="41"/>
        <v>0.54977548141964827</v>
      </c>
      <c r="BX281" s="444">
        <f t="shared" si="42"/>
        <v>0.73448551286651931</v>
      </c>
    </row>
    <row r="282" spans="1:76">
      <c r="A282" s="4">
        <f t="shared" si="43"/>
        <v>2006</v>
      </c>
      <c r="B282" s="4">
        <f t="shared" si="44"/>
        <v>2</v>
      </c>
      <c r="C282" s="4">
        <f>'[2]FPC wSEB'!K379</f>
        <v>84166</v>
      </c>
      <c r="D282" s="4">
        <f>'[2]FPC wSEB'!L379</f>
        <v>183067</v>
      </c>
      <c r="E282" s="4">
        <f>SUM('[2]FPC wSEB'!$AC379:$AD379)</f>
        <v>23</v>
      </c>
      <c r="Z282" s="6">
        <f t="shared" si="53"/>
        <v>267233</v>
      </c>
      <c r="AB282" s="4">
        <f t="shared" si="49"/>
        <v>-118108</v>
      </c>
      <c r="BN282" s="4">
        <f t="shared" si="38"/>
        <v>2006</v>
      </c>
      <c r="BO282" s="4">
        <f t="shared" si="39"/>
        <v>2</v>
      </c>
      <c r="BP282" s="130">
        <f>[3]MTHLY!AL116</f>
        <v>87885.391999999993</v>
      </c>
      <c r="BQ282" s="130">
        <f>[3]MTHLY!AM116</f>
        <v>182405.60800000001</v>
      </c>
      <c r="BT282" s="5">
        <f t="shared" si="54"/>
        <v>270291</v>
      </c>
      <c r="BV282" s="108">
        <f t="shared" si="50"/>
        <v>-163816</v>
      </c>
      <c r="BW282" s="541">
        <f t="shared" si="41"/>
        <v>1.0441911460684836</v>
      </c>
      <c r="BX282" s="444">
        <f t="shared" si="42"/>
        <v>0.99638715879978368</v>
      </c>
    </row>
    <row r="283" spans="1:76">
      <c r="A283" s="4">
        <f t="shared" si="43"/>
        <v>2006</v>
      </c>
      <c r="B283" s="4">
        <f t="shared" si="44"/>
        <v>3</v>
      </c>
      <c r="C283" s="4">
        <f>'[2]FPC wSEB'!K380</f>
        <v>84390</v>
      </c>
      <c r="D283" s="4">
        <f>'[2]FPC wSEB'!L380</f>
        <v>173999</v>
      </c>
      <c r="E283" s="4">
        <f>SUM('[2]FPC wSEB'!$AC380:$AD380)</f>
        <v>28</v>
      </c>
      <c r="Z283" s="6">
        <f t="shared" si="53"/>
        <v>258389</v>
      </c>
      <c r="AB283" s="4">
        <f t="shared" si="49"/>
        <v>-162237</v>
      </c>
      <c r="BN283" s="4">
        <f t="shared" si="38"/>
        <v>2006</v>
      </c>
      <c r="BO283" s="4">
        <f t="shared" si="39"/>
        <v>3</v>
      </c>
      <c r="BP283" s="130">
        <f>[3]MTHLY!AL117</f>
        <v>87752.827000000005</v>
      </c>
      <c r="BQ283" s="130">
        <f>[3]MTHLY!AM117</f>
        <v>184100.17300000001</v>
      </c>
      <c r="BT283" s="5">
        <f t="shared" si="54"/>
        <v>271853</v>
      </c>
      <c r="BV283" s="108">
        <f t="shared" si="50"/>
        <v>-237418</v>
      </c>
      <c r="BW283" s="541">
        <f t="shared" si="41"/>
        <v>1.0398486432041711</v>
      </c>
      <c r="BX283" s="444">
        <f t="shared" si="42"/>
        <v>1.0580530520290348</v>
      </c>
    </row>
    <row r="284" spans="1:76">
      <c r="A284" s="4">
        <f t="shared" si="43"/>
        <v>2006</v>
      </c>
      <c r="B284" s="4">
        <f t="shared" si="44"/>
        <v>4</v>
      </c>
      <c r="C284" s="4">
        <f>'[2]FPC wSEB'!K381</f>
        <v>85950</v>
      </c>
      <c r="D284" s="4">
        <f>'[2]FPC wSEB'!L381</f>
        <v>183870</v>
      </c>
      <c r="E284" s="4">
        <f>SUM('[2]FPC wSEB'!$AC381:$AD381)</f>
        <v>22</v>
      </c>
      <c r="Z284" s="6">
        <f t="shared" si="53"/>
        <v>269820</v>
      </c>
      <c r="AB284" s="4">
        <f t="shared" si="49"/>
        <v>-237452</v>
      </c>
      <c r="BN284" s="4">
        <f t="shared" si="38"/>
        <v>2006</v>
      </c>
      <c r="BO284" s="4">
        <f t="shared" si="39"/>
        <v>4</v>
      </c>
      <c r="BP284" s="130">
        <f>[3]MTHLY!AL118</f>
        <v>57983.781000000003</v>
      </c>
      <c r="BQ284" s="130">
        <f>[3]MTHLY!AM118</f>
        <v>197525.21899999998</v>
      </c>
      <c r="BT284" s="5">
        <f t="shared" si="54"/>
        <v>255509</v>
      </c>
      <c r="BV284" s="108">
        <f t="shared" si="50"/>
        <v>-137763</v>
      </c>
      <c r="BW284" s="541">
        <f t="shared" si="41"/>
        <v>0.67462223385689357</v>
      </c>
      <c r="BX284" s="444">
        <f t="shared" si="42"/>
        <v>1.0742656170120193</v>
      </c>
    </row>
    <row r="285" spans="1:76">
      <c r="A285" s="4">
        <f t="shared" si="43"/>
        <v>2006</v>
      </c>
      <c r="B285" s="4">
        <f t="shared" si="44"/>
        <v>5</v>
      </c>
      <c r="C285" s="4">
        <f>'[2]FPC wSEB'!K382</f>
        <v>82807</v>
      </c>
      <c r="D285" s="4">
        <f>'[2]FPC wSEB'!L382</f>
        <v>193855</v>
      </c>
      <c r="E285" s="4">
        <f>SUM('[2]FPC wSEB'!$AC382:$AD382)</f>
        <v>22</v>
      </c>
      <c r="Z285" s="6">
        <f t="shared" si="53"/>
        <v>276662</v>
      </c>
      <c r="AB285" s="4">
        <f t="shared" si="49"/>
        <v>-110821</v>
      </c>
      <c r="BN285" s="4">
        <f t="shared" si="38"/>
        <v>2006</v>
      </c>
      <c r="BO285" s="4">
        <f t="shared" si="39"/>
        <v>5</v>
      </c>
      <c r="BP285" s="130">
        <f>[3]MTHLY!AL119</f>
        <v>107360</v>
      </c>
      <c r="BQ285" s="130">
        <f>[3]MTHLY!AM119</f>
        <v>215516</v>
      </c>
      <c r="BT285" s="5">
        <f t="shared" si="54"/>
        <v>322876</v>
      </c>
      <c r="BV285" s="108">
        <f t="shared" si="50"/>
        <v>-67184</v>
      </c>
      <c r="BW285" s="541">
        <f t="shared" si="41"/>
        <v>1.2965087492603282</v>
      </c>
      <c r="BX285" s="444">
        <f t="shared" si="42"/>
        <v>1.1117381548064276</v>
      </c>
    </row>
    <row r="286" spans="1:76">
      <c r="A286" s="4">
        <f t="shared" si="43"/>
        <v>2006</v>
      </c>
      <c r="B286" s="4">
        <f t="shared" si="44"/>
        <v>6</v>
      </c>
      <c r="C286" s="4">
        <f>'[2]FPC wSEB'!K383</f>
        <v>82816</v>
      </c>
      <c r="D286" s="4">
        <f>'[2]FPC wSEB'!L383</f>
        <v>217071</v>
      </c>
      <c r="E286" s="4">
        <f>SUM('[2]FPC wSEB'!$AC383:$AD383)</f>
        <v>23</v>
      </c>
      <c r="Z286" s="6">
        <f t="shared" ref="Z286:Z291" si="55">C286+D286</f>
        <v>299887</v>
      </c>
      <c r="AB286" s="4">
        <f t="shared" si="49"/>
        <v>-78291</v>
      </c>
      <c r="BN286" s="4">
        <f t="shared" si="38"/>
        <v>2006</v>
      </c>
      <c r="BO286" s="4">
        <f t="shared" si="39"/>
        <v>6</v>
      </c>
      <c r="BP286" s="130">
        <f>[3]MTHLY!AL120</f>
        <v>168360</v>
      </c>
      <c r="BQ286" s="130">
        <f>[3]MTHLY!AM120</f>
        <v>229857</v>
      </c>
      <c r="BT286" s="5">
        <f t="shared" ref="BT286:BT291" si="56">BQ286+BP286</f>
        <v>398217</v>
      </c>
      <c r="BV286" s="108">
        <f t="shared" si="50"/>
        <v>26277</v>
      </c>
      <c r="BW286" s="541">
        <f t="shared" si="41"/>
        <v>2.0329404945904175</v>
      </c>
      <c r="BX286" s="444">
        <f t="shared" si="42"/>
        <v>1.0589023867766767</v>
      </c>
    </row>
    <row r="287" spans="1:76">
      <c r="A287" s="4">
        <f t="shared" si="43"/>
        <v>2006</v>
      </c>
      <c r="B287" s="4">
        <f t="shared" si="44"/>
        <v>7</v>
      </c>
      <c r="C287" s="4">
        <f>'[2]FPC wSEB'!K384</f>
        <v>142744</v>
      </c>
      <c r="D287" s="4">
        <f>'[2]FPC wSEB'!L384</f>
        <v>240565</v>
      </c>
      <c r="E287" s="4">
        <f>SUM('[2]FPC wSEB'!$AC384:$AD384)</f>
        <v>22</v>
      </c>
      <c r="Z287" s="6">
        <f t="shared" si="55"/>
        <v>383309</v>
      </c>
      <c r="AB287" s="4">
        <f t="shared" si="49"/>
        <v>179</v>
      </c>
      <c r="BN287" s="4">
        <f t="shared" si="38"/>
        <v>2006</v>
      </c>
      <c r="BO287" s="4">
        <f t="shared" si="39"/>
        <v>7</v>
      </c>
      <c r="BP287" s="130">
        <f>[3]MTHLY!AL121</f>
        <v>213370</v>
      </c>
      <c r="BQ287" s="130">
        <f>[3]MTHLY!AM121</f>
        <v>270529</v>
      </c>
      <c r="BT287" s="5">
        <f t="shared" si="56"/>
        <v>483899</v>
      </c>
      <c r="BV287" s="108">
        <f t="shared" si="50"/>
        <v>-53011</v>
      </c>
      <c r="BW287" s="541">
        <f t="shared" si="41"/>
        <v>1.4947738608978312</v>
      </c>
      <c r="BX287" s="444">
        <f t="shared" si="42"/>
        <v>1.1245567725978425</v>
      </c>
    </row>
    <row r="288" spans="1:76">
      <c r="A288" s="4">
        <f t="shared" si="43"/>
        <v>2006</v>
      </c>
      <c r="B288" s="4">
        <f t="shared" si="44"/>
        <v>8</v>
      </c>
      <c r="C288" s="4">
        <f>'[2]FPC wSEB'!K385</f>
        <v>187275</v>
      </c>
      <c r="D288" s="4">
        <f>'[2]FPC wSEB'!L385</f>
        <v>257272</v>
      </c>
      <c r="E288" s="4">
        <f>SUM('[2]FPC wSEB'!$AC385:$AD385)</f>
        <v>22</v>
      </c>
      <c r="Z288" s="6">
        <f t="shared" si="55"/>
        <v>444547</v>
      </c>
      <c r="AB288" s="4">
        <f t="shared" si="49"/>
        <v>-31446</v>
      </c>
      <c r="BN288" s="4">
        <f t="shared" si="38"/>
        <v>2006</v>
      </c>
      <c r="BO288" s="4">
        <f t="shared" si="39"/>
        <v>8</v>
      </c>
      <c r="BP288" s="130">
        <f>[3]MTHLY!AL122</f>
        <v>238659</v>
      </c>
      <c r="BQ288" s="130">
        <f>[3]MTHLY!AM122</f>
        <v>256464</v>
      </c>
      <c r="BT288" s="5">
        <f t="shared" si="56"/>
        <v>495123</v>
      </c>
      <c r="BV288" s="108">
        <f t="shared" si="50"/>
        <v>-42399</v>
      </c>
      <c r="BW288" s="541">
        <f t="shared" si="41"/>
        <v>1.274377252703244</v>
      </c>
      <c r="BX288" s="444">
        <f t="shared" si="42"/>
        <v>0.99685935507944901</v>
      </c>
    </row>
    <row r="289" spans="1:76">
      <c r="A289" s="4">
        <f t="shared" si="43"/>
        <v>2006</v>
      </c>
      <c r="B289" s="4">
        <f t="shared" si="44"/>
        <v>9</v>
      </c>
      <c r="C289" s="4">
        <f>'[2]FPC wSEB'!K386</f>
        <v>238090</v>
      </c>
      <c r="D289" s="4">
        <f>'[2]FPC wSEB'!L386</f>
        <v>267021</v>
      </c>
      <c r="E289" s="4">
        <f>SUM('[2]FPC wSEB'!$AC386:$AD386)</f>
        <v>22</v>
      </c>
      <c r="Z289" s="6">
        <f t="shared" si="55"/>
        <v>505111</v>
      </c>
      <c r="AB289" s="4">
        <f t="shared" si="49"/>
        <v>-30391</v>
      </c>
      <c r="BN289" s="4">
        <f t="shared" si="38"/>
        <v>2006</v>
      </c>
      <c r="BO289" s="4">
        <f t="shared" si="39"/>
        <v>9</v>
      </c>
      <c r="BP289" s="130">
        <f>[3]MTHLY!AL123</f>
        <v>147712</v>
      </c>
      <c r="BQ289" s="130">
        <f>[3]MTHLY!AM123</f>
        <v>242343</v>
      </c>
      <c r="BT289" s="5">
        <f t="shared" si="56"/>
        <v>390055</v>
      </c>
      <c r="BV289" s="108">
        <f t="shared" si="50"/>
        <v>-76318</v>
      </c>
      <c r="BW289" s="541">
        <f t="shared" si="41"/>
        <v>0.62040404888907552</v>
      </c>
      <c r="BX289" s="444">
        <f t="shared" si="42"/>
        <v>0.90758030267282352</v>
      </c>
    </row>
    <row r="290" spans="1:76">
      <c r="A290" s="4">
        <f t="shared" si="43"/>
        <v>2006</v>
      </c>
      <c r="B290" s="4">
        <f t="shared" si="44"/>
        <v>10</v>
      </c>
      <c r="C290" s="4">
        <f>'[2]FPC wSEB'!K387</f>
        <v>246216</v>
      </c>
      <c r="D290" s="4">
        <f>'[2]FPC wSEB'!L387</f>
        <v>228433</v>
      </c>
      <c r="E290" s="4">
        <f>SUM('[2]FPC wSEB'!$AC387:$AD387)</f>
        <v>19</v>
      </c>
      <c r="Z290" s="6">
        <f t="shared" si="55"/>
        <v>474649</v>
      </c>
      <c r="AB290" s="4">
        <f t="shared" si="49"/>
        <v>-41401</v>
      </c>
      <c r="BN290" s="4">
        <f t="shared" si="38"/>
        <v>2006</v>
      </c>
      <c r="BO290" s="4">
        <f t="shared" si="39"/>
        <v>10</v>
      </c>
      <c r="BP290" s="130">
        <f>[3]MTHLY!AL124</f>
        <v>164245</v>
      </c>
      <c r="BQ290" s="130">
        <f>[3]MTHLY!AM124</f>
        <v>218480</v>
      </c>
      <c r="BT290" s="5">
        <f t="shared" si="56"/>
        <v>382725</v>
      </c>
      <c r="BV290" s="108">
        <f t="shared" si="50"/>
        <v>-39454</v>
      </c>
      <c r="BW290" s="541">
        <f t="shared" si="41"/>
        <v>0.66707687558891382</v>
      </c>
      <c r="BX290" s="444">
        <f t="shared" si="42"/>
        <v>0.95642923745693487</v>
      </c>
    </row>
    <row r="291" spans="1:76">
      <c r="A291" s="4">
        <f t="shared" si="43"/>
        <v>2006</v>
      </c>
      <c r="B291" s="4">
        <f t="shared" si="44"/>
        <v>11</v>
      </c>
      <c r="C291" s="4">
        <f>'[2]FPC wSEB'!K388</f>
        <v>81854</v>
      </c>
      <c r="D291" s="4">
        <f>'[2]FPC wSEB'!L388</f>
        <v>226047</v>
      </c>
      <c r="E291" s="4">
        <f>SUM('[2]FPC wSEB'!$AC388:$AD388)</f>
        <v>21</v>
      </c>
      <c r="Z291" s="6">
        <f t="shared" si="55"/>
        <v>307901</v>
      </c>
      <c r="AB291" s="4">
        <f t="shared" si="49"/>
        <v>-141193</v>
      </c>
      <c r="BN291" s="4">
        <f t="shared" si="38"/>
        <v>2006</v>
      </c>
      <c r="BO291" s="4">
        <f t="shared" si="39"/>
        <v>11</v>
      </c>
      <c r="BP291" s="130">
        <f>[3]MTHLY!AL125</f>
        <v>82375</v>
      </c>
      <c r="BQ291" s="130">
        <f>[3]MTHLY!AM125</f>
        <v>190992</v>
      </c>
      <c r="BT291" s="5">
        <f t="shared" si="56"/>
        <v>273367</v>
      </c>
      <c r="BV291" s="108">
        <f t="shared" si="50"/>
        <v>-77364</v>
      </c>
      <c r="BW291" s="541">
        <f t="shared" si="41"/>
        <v>1.0063649913260195</v>
      </c>
      <c r="BX291" s="444">
        <f t="shared" si="42"/>
        <v>0.84492163134215448</v>
      </c>
    </row>
    <row r="292" spans="1:76" s="89" customFormat="1">
      <c r="A292" s="89">
        <f t="shared" si="43"/>
        <v>2006</v>
      </c>
      <c r="B292" s="89">
        <f t="shared" si="44"/>
        <v>12</v>
      </c>
      <c r="C292" s="89">
        <f>'[2]FPC wSEB'!K389</f>
        <v>140729</v>
      </c>
      <c r="D292" s="89">
        <f>'[2]FPC wSEB'!L389</f>
        <v>193815</v>
      </c>
      <c r="E292" s="89">
        <f>SUM('[2]FPC wSEB'!$AC389:$AD389)</f>
        <v>20</v>
      </c>
      <c r="Z292" s="96">
        <f t="shared" ref="Z292:Z297" si="57">C292+D292</f>
        <v>334544</v>
      </c>
      <c r="AB292" s="89">
        <f t="shared" si="49"/>
        <v>-24088</v>
      </c>
      <c r="BN292" s="89">
        <f t="shared" si="38"/>
        <v>2006</v>
      </c>
      <c r="BO292" s="89">
        <f t="shared" si="39"/>
        <v>12</v>
      </c>
      <c r="BP292" s="299">
        <f>[3]MTHLY!AL126</f>
        <v>130018</v>
      </c>
      <c r="BQ292" s="299">
        <f>[3]MTHLY!AM126</f>
        <v>180193</v>
      </c>
      <c r="BT292" s="103">
        <f t="shared" ref="BT292:BT297" si="58">BQ292+BP292</f>
        <v>310211</v>
      </c>
      <c r="BV292" s="117">
        <f t="shared" si="50"/>
        <v>-88229</v>
      </c>
      <c r="BW292" s="542">
        <f t="shared" si="41"/>
        <v>0.92388917707082407</v>
      </c>
      <c r="BX292" s="533">
        <f t="shared" si="42"/>
        <v>0.92971648221241909</v>
      </c>
    </row>
    <row r="293" spans="1:76">
      <c r="A293" s="4">
        <f t="shared" si="43"/>
        <v>2007</v>
      </c>
      <c r="B293" s="4">
        <f t="shared" si="44"/>
        <v>1</v>
      </c>
      <c r="C293" s="4">
        <f>'[2]FPC wSEB'!K390</f>
        <v>130313</v>
      </c>
      <c r="D293" s="4">
        <f>'[2]FPC wSEB'!L390</f>
        <v>178860</v>
      </c>
      <c r="E293" s="4">
        <f>SUM('[2]FPC wSEB'!$AC390:$AD390)</f>
        <v>20</v>
      </c>
      <c r="Z293" s="6">
        <f t="shared" si="57"/>
        <v>309173</v>
      </c>
      <c r="AB293" s="4">
        <f t="shared" si="49"/>
        <v>-88952</v>
      </c>
      <c r="BN293" s="4">
        <f t="shared" si="38"/>
        <v>2007</v>
      </c>
      <c r="BO293" s="4">
        <f t="shared" si="39"/>
        <v>1</v>
      </c>
      <c r="BP293" s="130">
        <f>[3]MTHLY!AL127</f>
        <v>132321</v>
      </c>
      <c r="BQ293" s="130">
        <f>[3]MTHLY!AM127</f>
        <v>202367</v>
      </c>
      <c r="BT293" s="5">
        <f t="shared" si="58"/>
        <v>334688</v>
      </c>
      <c r="BV293" s="108">
        <f t="shared" si="50"/>
        <v>67939</v>
      </c>
      <c r="BW293" s="541">
        <f t="shared" si="41"/>
        <v>1.0154090535863651</v>
      </c>
      <c r="BX293" s="444">
        <f t="shared" si="42"/>
        <v>1.1314268142681427</v>
      </c>
    </row>
    <row r="294" spans="1:76">
      <c r="A294" s="4">
        <f t="shared" si="43"/>
        <v>2007</v>
      </c>
      <c r="B294" s="4">
        <f t="shared" si="44"/>
        <v>2</v>
      </c>
      <c r="C294" s="4">
        <f>'[2]FPC wSEB'!K391</f>
        <v>127552</v>
      </c>
      <c r="D294" s="4">
        <f>'[2]FPC wSEB'!L391</f>
        <v>200573</v>
      </c>
      <c r="E294" s="4">
        <f>SUM('[2]FPC wSEB'!$AC391:$AD391)</f>
        <v>21</v>
      </c>
      <c r="Z294" s="6">
        <f t="shared" si="57"/>
        <v>328125</v>
      </c>
      <c r="AB294" s="4">
        <f t="shared" si="49"/>
        <v>60892</v>
      </c>
      <c r="BN294" s="4">
        <f t="shared" si="38"/>
        <v>2007</v>
      </c>
      <c r="BO294" s="4">
        <f t="shared" si="39"/>
        <v>2</v>
      </c>
      <c r="BP294" s="130">
        <f>[3]MTHLY!AL128</f>
        <v>194219</v>
      </c>
      <c r="BQ294" s="130">
        <f>[3]MTHLY!AM128</f>
        <v>197764</v>
      </c>
      <c r="BT294" s="5">
        <f t="shared" si="58"/>
        <v>391983</v>
      </c>
      <c r="BV294" s="108">
        <f t="shared" si="50"/>
        <v>121692</v>
      </c>
      <c r="BW294" s="541">
        <f t="shared" si="41"/>
        <v>1.5226652659307576</v>
      </c>
      <c r="BX294" s="444">
        <f t="shared" si="42"/>
        <v>0.98599512396982647</v>
      </c>
    </row>
    <row r="295" spans="1:76">
      <c r="A295" s="4">
        <f t="shared" si="43"/>
        <v>2007</v>
      </c>
      <c r="B295" s="4">
        <f t="shared" si="44"/>
        <v>3</v>
      </c>
      <c r="C295" s="4">
        <f>'[2]FPC wSEB'!K392</f>
        <v>192230</v>
      </c>
      <c r="D295" s="4">
        <f>'[2]FPC wSEB'!L392</f>
        <v>197522</v>
      </c>
      <c r="E295" s="4">
        <f>SUM('[2]FPC wSEB'!$AC392:$AD392)</f>
        <v>20</v>
      </c>
      <c r="Z295" s="6">
        <f t="shared" si="57"/>
        <v>389752</v>
      </c>
      <c r="AB295" s="4">
        <f t="shared" si="49"/>
        <v>131363</v>
      </c>
      <c r="BN295" s="4">
        <f t="shared" si="38"/>
        <v>2007</v>
      </c>
      <c r="BO295" s="4">
        <f t="shared" si="39"/>
        <v>3</v>
      </c>
      <c r="BP295" s="130">
        <f>[3]MTHLY!AL129</f>
        <v>182894</v>
      </c>
      <c r="BQ295" s="130">
        <f>[3]MTHLY!AM129</f>
        <v>237957</v>
      </c>
      <c r="BT295" s="5">
        <f t="shared" si="58"/>
        <v>420851</v>
      </c>
      <c r="BV295" s="108">
        <f t="shared" si="50"/>
        <v>148998</v>
      </c>
      <c r="BW295" s="541">
        <f t="shared" si="41"/>
        <v>0.95143317900431779</v>
      </c>
      <c r="BX295" s="444">
        <f t="shared" si="42"/>
        <v>1.2047113739229047</v>
      </c>
    </row>
    <row r="296" spans="1:76">
      <c r="A296" s="4">
        <f t="shared" si="43"/>
        <v>2007</v>
      </c>
      <c r="B296" s="4">
        <f t="shared" si="44"/>
        <v>4</v>
      </c>
      <c r="C296" s="4">
        <f>'[2]FPC wSEB'!K393</f>
        <v>189095</v>
      </c>
      <c r="D296" s="4">
        <f>'[2]FPC wSEB'!L393</f>
        <v>237709</v>
      </c>
      <c r="E296" s="4">
        <f>SUM('[2]FPC wSEB'!$AC393:$AD393)</f>
        <v>21</v>
      </c>
      <c r="Z296" s="6">
        <f t="shared" si="57"/>
        <v>426804</v>
      </c>
      <c r="AB296" s="4">
        <f t="shared" si="49"/>
        <v>156984</v>
      </c>
      <c r="BN296" s="4">
        <f t="shared" si="38"/>
        <v>2007</v>
      </c>
      <c r="BO296" s="4">
        <f t="shared" si="39"/>
        <v>4</v>
      </c>
      <c r="BP296" s="130">
        <f>[3]MTHLY!AL130</f>
        <v>215653</v>
      </c>
      <c r="BQ296" s="130">
        <f>[3]MTHLY!AM130</f>
        <v>234611</v>
      </c>
      <c r="BT296" s="5">
        <f t="shared" si="58"/>
        <v>450264</v>
      </c>
      <c r="BV296" s="108">
        <f t="shared" si="50"/>
        <v>194755</v>
      </c>
      <c r="BW296" s="541">
        <f t="shared" si="41"/>
        <v>1.1404479230016658</v>
      </c>
      <c r="BX296" s="444">
        <f t="shared" si="42"/>
        <v>0.9869672582863922</v>
      </c>
    </row>
    <row r="297" spans="1:76">
      <c r="A297" s="4">
        <f t="shared" si="43"/>
        <v>2007</v>
      </c>
      <c r="B297" s="4">
        <f t="shared" si="44"/>
        <v>5</v>
      </c>
      <c r="C297" s="4">
        <f>'[2]FPC wSEB'!K394</f>
        <v>214685</v>
      </c>
      <c r="D297" s="4">
        <f>'[2]FPC wSEB'!L394</f>
        <v>238061</v>
      </c>
      <c r="E297" s="4">
        <f>SUM('[2]FPC wSEB'!$AC394:$AD394)</f>
        <v>21</v>
      </c>
      <c r="Z297" s="6">
        <f t="shared" si="57"/>
        <v>452746</v>
      </c>
      <c r="AB297" s="4">
        <f t="shared" si="49"/>
        <v>176084</v>
      </c>
      <c r="BN297" s="4">
        <f t="shared" si="38"/>
        <v>2007</v>
      </c>
      <c r="BO297" s="4">
        <f t="shared" si="39"/>
        <v>5</v>
      </c>
      <c r="BP297" s="130">
        <f>[3]MTHLY!AL131</f>
        <v>198661</v>
      </c>
      <c r="BQ297" s="130">
        <f>[3]MTHLY!AM131</f>
        <v>253097</v>
      </c>
      <c r="BT297" s="5">
        <f t="shared" si="58"/>
        <v>451758</v>
      </c>
      <c r="BV297" s="108">
        <f t="shared" si="50"/>
        <v>128882</v>
      </c>
      <c r="BW297" s="541">
        <f t="shared" si="41"/>
        <v>0.92536041176607586</v>
      </c>
      <c r="BX297" s="444">
        <f t="shared" si="42"/>
        <v>1.0631602824486162</v>
      </c>
    </row>
    <row r="298" spans="1:76">
      <c r="A298" s="4">
        <f t="shared" si="43"/>
        <v>2007</v>
      </c>
      <c r="B298" s="4">
        <f t="shared" si="44"/>
        <v>6</v>
      </c>
      <c r="C298" s="4">
        <f>'[2]FPC wSEB'!K395</f>
        <v>222648</v>
      </c>
      <c r="D298" s="4">
        <f>'[2]FPC wSEB'!L395</f>
        <v>255025</v>
      </c>
      <c r="E298" s="4">
        <f>SUM('[2]FPC wSEB'!$AC395:$AD395)</f>
        <v>22</v>
      </c>
      <c r="Z298" s="6">
        <f t="shared" ref="Z298:Z303" si="59">C298+D298</f>
        <v>477673</v>
      </c>
      <c r="AB298" s="4">
        <f t="shared" si="49"/>
        <v>177786</v>
      </c>
      <c r="BN298" s="4">
        <f t="shared" si="38"/>
        <v>2007</v>
      </c>
      <c r="BO298" s="4">
        <f t="shared" si="39"/>
        <v>6</v>
      </c>
      <c r="BP298" s="130">
        <f>[3]MTHLY!AL132</f>
        <v>271384</v>
      </c>
      <c r="BQ298" s="130">
        <f>[3]MTHLY!AM132</f>
        <v>267515</v>
      </c>
      <c r="BT298" s="5">
        <f t="shared" ref="BT298:BT303" si="60">BQ298+BP298</f>
        <v>538899</v>
      </c>
      <c r="BV298" s="108">
        <f t="shared" si="50"/>
        <v>140682</v>
      </c>
      <c r="BW298" s="541">
        <f t="shared" si="41"/>
        <v>1.218892601774999</v>
      </c>
      <c r="BX298" s="444">
        <f t="shared" si="42"/>
        <v>1.0489755906283698</v>
      </c>
    </row>
    <row r="299" spans="1:76">
      <c r="A299" s="4">
        <f t="shared" si="43"/>
        <v>2007</v>
      </c>
      <c r="B299" s="4">
        <f t="shared" si="44"/>
        <v>7</v>
      </c>
      <c r="C299" s="4">
        <f>'[2]FPC wSEB'!K396</f>
        <v>225418</v>
      </c>
      <c r="D299" s="4">
        <f>'[2]FPC wSEB'!L396</f>
        <v>261834</v>
      </c>
      <c r="E299" s="4">
        <f>SUM('[2]FPC wSEB'!$AC396:$AD396)</f>
        <v>21</v>
      </c>
      <c r="Z299" s="6">
        <f t="shared" si="59"/>
        <v>487252</v>
      </c>
      <c r="AB299" s="4">
        <f t="shared" si="49"/>
        <v>103943</v>
      </c>
      <c r="BN299" s="4">
        <f t="shared" si="38"/>
        <v>2007</v>
      </c>
      <c r="BO299" s="4">
        <f t="shared" si="39"/>
        <v>7</v>
      </c>
      <c r="BP299" s="130">
        <f>[3]MTHLY!AL133</f>
        <v>288595</v>
      </c>
      <c r="BQ299" s="130">
        <f>[3]MTHLY!AM133</f>
        <v>287776</v>
      </c>
      <c r="BT299" s="5">
        <f t="shared" si="60"/>
        <v>576371</v>
      </c>
      <c r="BV299" s="108">
        <f t="shared" si="50"/>
        <v>92472</v>
      </c>
      <c r="BW299" s="541">
        <f t="shared" si="41"/>
        <v>1.280265994729791</v>
      </c>
      <c r="BX299" s="444">
        <f t="shared" si="42"/>
        <v>1.0990780418127515</v>
      </c>
    </row>
    <row r="300" spans="1:76">
      <c r="A300" s="4">
        <f t="shared" si="43"/>
        <v>2007</v>
      </c>
      <c r="B300" s="4">
        <f t="shared" si="44"/>
        <v>8</v>
      </c>
      <c r="C300" s="4">
        <f>'[2]FPC wSEB'!K397</f>
        <v>276067</v>
      </c>
      <c r="D300" s="4">
        <f>'[2]FPC wSEB'!L397</f>
        <v>302658</v>
      </c>
      <c r="E300" s="4">
        <f>SUM('[2]FPC wSEB'!$AC397:$AD397)</f>
        <v>23</v>
      </c>
      <c r="Z300" s="6">
        <f t="shared" si="59"/>
        <v>578725</v>
      </c>
      <c r="AB300" s="4">
        <f t="shared" si="49"/>
        <v>134178</v>
      </c>
      <c r="BN300" s="4">
        <f t="shared" si="38"/>
        <v>2007</v>
      </c>
      <c r="BO300" s="4">
        <f t="shared" si="39"/>
        <v>8</v>
      </c>
      <c r="BP300" s="130">
        <f>[3]MTHLY!AL134</f>
        <v>339032</v>
      </c>
      <c r="BQ300" s="130">
        <f>[3]MTHLY!AM134</f>
        <v>333871</v>
      </c>
      <c r="BT300" s="5">
        <f t="shared" si="60"/>
        <v>672903</v>
      </c>
      <c r="BV300" s="108">
        <f t="shared" si="50"/>
        <v>177780</v>
      </c>
      <c r="BW300" s="541">
        <f t="shared" si="41"/>
        <v>1.228078691042392</v>
      </c>
      <c r="BX300" s="444">
        <f t="shared" si="42"/>
        <v>1.1031296050327433</v>
      </c>
    </row>
    <row r="301" spans="1:76">
      <c r="A301" s="4">
        <f t="shared" si="43"/>
        <v>2007</v>
      </c>
      <c r="B301" s="4">
        <f t="shared" si="44"/>
        <v>9</v>
      </c>
      <c r="C301" s="4">
        <f>'[2]FPC wSEB'!K398</f>
        <v>307091</v>
      </c>
      <c r="D301" s="4">
        <f>'[2]FPC wSEB'!L398</f>
        <v>320333</v>
      </c>
      <c r="E301" s="4">
        <f>SUM('[2]FPC wSEB'!$AC398:$AD398)</f>
        <v>22</v>
      </c>
      <c r="Z301" s="6">
        <f t="shared" si="59"/>
        <v>627424</v>
      </c>
      <c r="AB301" s="4">
        <f t="shared" si="49"/>
        <v>122313</v>
      </c>
      <c r="BN301" s="4">
        <f t="shared" si="38"/>
        <v>2007</v>
      </c>
      <c r="BO301" s="4">
        <f t="shared" si="39"/>
        <v>9</v>
      </c>
      <c r="BP301" s="130">
        <f>[3]MTHLY!AL135</f>
        <v>219684</v>
      </c>
      <c r="BQ301" s="130">
        <f>[3]MTHLY!AM135</f>
        <v>272817</v>
      </c>
      <c r="BT301" s="5">
        <f t="shared" si="60"/>
        <v>492501</v>
      </c>
      <c r="BV301" s="108">
        <f t="shared" si="50"/>
        <v>102446</v>
      </c>
      <c r="BW301" s="541">
        <f t="shared" si="41"/>
        <v>0.71537101380372592</v>
      </c>
      <c r="BX301" s="444">
        <f t="shared" si="42"/>
        <v>0.85166685917467133</v>
      </c>
    </row>
    <row r="302" spans="1:76">
      <c r="A302" s="4">
        <f t="shared" si="43"/>
        <v>2007</v>
      </c>
      <c r="B302" s="4">
        <f t="shared" si="44"/>
        <v>10</v>
      </c>
      <c r="C302" s="4">
        <f>'[2]FPC wSEB'!K399</f>
        <v>278542</v>
      </c>
      <c r="D302" s="4">
        <f>'[2]FPC wSEB'!L399</f>
        <v>276259</v>
      </c>
      <c r="E302" s="4">
        <f>SUM('[2]FPC wSEB'!$AC399:$AD399)</f>
        <v>22</v>
      </c>
      <c r="Z302" s="6">
        <f t="shared" si="59"/>
        <v>554801</v>
      </c>
      <c r="AB302" s="4">
        <f t="shared" si="49"/>
        <v>80152</v>
      </c>
      <c r="BN302" s="4">
        <f t="shared" si="38"/>
        <v>2007</v>
      </c>
      <c r="BO302" s="4">
        <f t="shared" si="39"/>
        <v>10</v>
      </c>
      <c r="BP302" s="130">
        <f>[3]MTHLY!AL136</f>
        <v>248546</v>
      </c>
      <c r="BQ302" s="130">
        <f>[3]MTHLY!AM136</f>
        <v>267336</v>
      </c>
      <c r="BT302" s="5">
        <f t="shared" si="60"/>
        <v>515882</v>
      </c>
      <c r="BV302" s="108">
        <f t="shared" si="50"/>
        <v>133157</v>
      </c>
      <c r="BW302" s="541">
        <f t="shared" si="41"/>
        <v>0.89231067487129412</v>
      </c>
      <c r="BX302" s="444">
        <f t="shared" si="42"/>
        <v>0.96770059979946355</v>
      </c>
    </row>
    <row r="303" spans="1:76">
      <c r="A303" s="4">
        <f t="shared" si="43"/>
        <v>2007</v>
      </c>
      <c r="B303" s="4">
        <f t="shared" si="44"/>
        <v>11</v>
      </c>
      <c r="C303" s="4">
        <f>'[2]FPC wSEB'!K400</f>
        <v>259861</v>
      </c>
      <c r="D303" s="4">
        <f>'[2]FPC wSEB'!L400</f>
        <v>264377</v>
      </c>
      <c r="E303" s="4">
        <f>SUM('[2]FPC wSEB'!$AC400:$AD400)</f>
        <v>22</v>
      </c>
      <c r="Z303" s="6">
        <f t="shared" si="59"/>
        <v>524238</v>
      </c>
      <c r="AB303" s="4">
        <f t="shared" si="49"/>
        <v>216337</v>
      </c>
      <c r="BN303" s="4">
        <f t="shared" si="38"/>
        <v>2007</v>
      </c>
      <c r="BO303" s="4">
        <f t="shared" si="39"/>
        <v>11</v>
      </c>
      <c r="BP303" s="130">
        <f>[3]MTHLY!AL137</f>
        <v>211103</v>
      </c>
      <c r="BQ303" s="130">
        <f>[3]MTHLY!AM137</f>
        <v>227164</v>
      </c>
      <c r="BT303" s="5">
        <f t="shared" si="60"/>
        <v>438267</v>
      </c>
      <c r="BV303" s="108">
        <f t="shared" si="50"/>
        <v>164900</v>
      </c>
      <c r="BW303" s="541">
        <f t="shared" si="41"/>
        <v>0.81236892030739516</v>
      </c>
      <c r="BX303" s="444">
        <f t="shared" si="42"/>
        <v>0.85924267239585894</v>
      </c>
    </row>
    <row r="304" spans="1:76" s="89" customFormat="1">
      <c r="A304" s="89">
        <f t="shared" si="43"/>
        <v>2007</v>
      </c>
      <c r="B304" s="89">
        <f t="shared" si="44"/>
        <v>12</v>
      </c>
      <c r="C304" s="89">
        <f>'[2]FPC wSEB'!K401</f>
        <v>208930</v>
      </c>
      <c r="D304" s="89">
        <f>'[2]FPC wSEB'!L401</f>
        <v>232288</v>
      </c>
      <c r="E304" s="89">
        <f>SUM('[2]FPC wSEB'!$AC401:$AD401)</f>
        <v>22</v>
      </c>
      <c r="Z304" s="96">
        <f t="shared" ref="Z304:Z309" si="61">C304+D304</f>
        <v>441218</v>
      </c>
      <c r="AB304" s="89">
        <f t="shared" si="49"/>
        <v>106674</v>
      </c>
      <c r="BN304" s="89">
        <f t="shared" si="38"/>
        <v>2007</v>
      </c>
      <c r="BO304" s="89">
        <f t="shared" si="39"/>
        <v>12</v>
      </c>
      <c r="BP304" s="299">
        <f>[3]MTHLY!AL138</f>
        <v>155789</v>
      </c>
      <c r="BQ304" s="299">
        <f>[3]MTHLY!AM138</f>
        <v>251342</v>
      </c>
      <c r="BT304" s="103">
        <f t="shared" ref="BT304:BT309" si="62">BQ304+BP304</f>
        <v>407131</v>
      </c>
      <c r="BV304" s="117">
        <f t="shared" si="50"/>
        <v>96920</v>
      </c>
      <c r="BW304" s="542">
        <f t="shared" si="41"/>
        <v>0.74565165366390662</v>
      </c>
      <c r="BX304" s="533">
        <f t="shared" si="42"/>
        <v>1.0820274831243972</v>
      </c>
    </row>
    <row r="305" spans="1:76">
      <c r="A305" s="4">
        <f t="shared" si="43"/>
        <v>2008</v>
      </c>
      <c r="B305" s="4">
        <f t="shared" si="44"/>
        <v>1</v>
      </c>
      <c r="C305" s="4">
        <f>'[2]FPC wSEB'!K402</f>
        <v>154943</v>
      </c>
      <c r="D305" s="4">
        <f>'[2]FPC wSEB'!L402</f>
        <v>259769</v>
      </c>
      <c r="E305" s="4">
        <f>SUM('[2]FPC wSEB'!$AC402:$AD402)</f>
        <v>23</v>
      </c>
      <c r="Z305" s="6">
        <f t="shared" si="61"/>
        <v>414712</v>
      </c>
      <c r="AB305" s="4">
        <f t="shared" si="49"/>
        <v>105539</v>
      </c>
      <c r="BN305" s="4">
        <f t="shared" si="38"/>
        <v>2008</v>
      </c>
      <c r="BO305" s="4">
        <f t="shared" si="39"/>
        <v>1</v>
      </c>
      <c r="BP305" s="130">
        <f>[3]MTHLY!AL139</f>
        <v>208686</v>
      </c>
      <c r="BQ305" s="130">
        <f>[3]MTHLY!AM139</f>
        <v>268804</v>
      </c>
      <c r="BT305" s="5">
        <f t="shared" si="62"/>
        <v>477490</v>
      </c>
      <c r="BV305" s="108">
        <f t="shared" si="50"/>
        <v>142802</v>
      </c>
      <c r="BW305" s="541">
        <f t="shared" si="41"/>
        <v>1.3468565859703245</v>
      </c>
      <c r="BX305" s="444">
        <f t="shared" si="42"/>
        <v>1.0347809014932499</v>
      </c>
    </row>
    <row r="306" spans="1:76">
      <c r="A306" s="4">
        <f t="shared" si="43"/>
        <v>2008</v>
      </c>
      <c r="B306" s="4">
        <f t="shared" si="44"/>
        <v>2</v>
      </c>
      <c r="C306" s="4">
        <f>'[2]FPC wSEB'!K403</f>
        <v>198328</v>
      </c>
      <c r="D306" s="4">
        <f>'[2]FPC wSEB'!L403</f>
        <v>250565</v>
      </c>
      <c r="E306" s="4">
        <f>SUM('[2]FPC wSEB'!$AC403:$AD403)</f>
        <v>23</v>
      </c>
      <c r="Z306" s="6">
        <f t="shared" si="61"/>
        <v>448893</v>
      </c>
      <c r="AB306" s="4">
        <f t="shared" si="49"/>
        <v>120768</v>
      </c>
      <c r="BN306" s="4">
        <f t="shared" si="38"/>
        <v>2008</v>
      </c>
      <c r="BO306" s="4">
        <f t="shared" si="39"/>
        <v>2</v>
      </c>
      <c r="BP306" s="130">
        <f>[3]MTHLY!AL140</f>
        <v>173088</v>
      </c>
      <c r="BQ306" s="130">
        <f>[3]MTHLY!AM140</f>
        <v>250466</v>
      </c>
      <c r="BT306" s="5">
        <f t="shared" si="62"/>
        <v>423554</v>
      </c>
      <c r="BV306" s="108">
        <f t="shared" si="50"/>
        <v>31571</v>
      </c>
      <c r="BW306" s="541">
        <f t="shared" si="41"/>
        <v>0.87273607357508776</v>
      </c>
      <c r="BX306" s="444">
        <f t="shared" si="42"/>
        <v>0.99960489294195121</v>
      </c>
    </row>
    <row r="307" spans="1:76">
      <c r="A307" s="4">
        <f t="shared" si="43"/>
        <v>2008</v>
      </c>
      <c r="B307" s="4">
        <f t="shared" si="44"/>
        <v>3</v>
      </c>
      <c r="C307" s="4">
        <f>'[2]FPC wSEB'!K404</f>
        <v>181835</v>
      </c>
      <c r="D307" s="4">
        <f>'[2]FPC wSEB'!L404</f>
        <v>248106</v>
      </c>
      <c r="E307" s="4">
        <f>SUM('[2]FPC wSEB'!$AC404:$AD404)</f>
        <v>23</v>
      </c>
      <c r="Z307" s="6">
        <f t="shared" si="61"/>
        <v>429941</v>
      </c>
      <c r="AB307" s="4">
        <f t="shared" si="49"/>
        <v>40189</v>
      </c>
      <c r="BN307" s="4">
        <f t="shared" si="38"/>
        <v>2008</v>
      </c>
      <c r="BO307" s="4">
        <f t="shared" si="39"/>
        <v>3</v>
      </c>
      <c r="BP307" s="130">
        <f>[3]MTHLY!AL141</f>
        <v>225576</v>
      </c>
      <c r="BQ307" s="130">
        <f>[3]MTHLY!AM141</f>
        <v>318466</v>
      </c>
      <c r="BT307" s="5">
        <f t="shared" si="62"/>
        <v>544042</v>
      </c>
      <c r="BV307" s="108">
        <f t="shared" si="50"/>
        <v>123191</v>
      </c>
      <c r="BW307" s="541">
        <f t="shared" si="41"/>
        <v>1.2405532488244837</v>
      </c>
      <c r="BX307" s="444">
        <f t="shared" si="42"/>
        <v>1.2835884662200834</v>
      </c>
    </row>
    <row r="308" spans="1:76">
      <c r="A308" s="4">
        <f t="shared" si="43"/>
        <v>2008</v>
      </c>
      <c r="B308" s="4">
        <f t="shared" si="44"/>
        <v>4</v>
      </c>
      <c r="C308" s="4">
        <f>'[2]FPC wSEB'!K405</f>
        <v>227037</v>
      </c>
      <c r="D308" s="4">
        <f>'[2]FPC wSEB'!L405</f>
        <v>324971</v>
      </c>
      <c r="E308" s="4">
        <f>SUM('[2]FPC wSEB'!$AC405:$AD405)</f>
        <v>24</v>
      </c>
      <c r="Z308" s="6">
        <f t="shared" si="61"/>
        <v>552008</v>
      </c>
      <c r="AB308" s="4">
        <f t="shared" si="49"/>
        <v>125204</v>
      </c>
      <c r="BN308" s="4">
        <f t="shared" si="38"/>
        <v>2008</v>
      </c>
      <c r="BO308" s="4">
        <f t="shared" si="39"/>
        <v>4</v>
      </c>
      <c r="BP308" s="130">
        <f>[3]MTHLY!AL142</f>
        <v>417696</v>
      </c>
      <c r="BQ308" s="130">
        <f>[3]MTHLY!AM142</f>
        <v>308615</v>
      </c>
      <c r="BT308" s="5">
        <f t="shared" si="62"/>
        <v>726311</v>
      </c>
      <c r="BV308" s="108">
        <f t="shared" si="50"/>
        <v>276047</v>
      </c>
      <c r="BW308" s="541">
        <f t="shared" si="41"/>
        <v>1.8397706100767717</v>
      </c>
      <c r="BX308" s="444">
        <f t="shared" si="42"/>
        <v>0.94966935511168693</v>
      </c>
    </row>
    <row r="309" spans="1:76">
      <c r="A309" s="4">
        <f t="shared" si="43"/>
        <v>2008</v>
      </c>
      <c r="B309" s="4">
        <f t="shared" si="44"/>
        <v>5</v>
      </c>
      <c r="C309" s="4">
        <f>'[2]FPC wSEB'!K406</f>
        <v>419262</v>
      </c>
      <c r="D309" s="4">
        <f>'[2]FPC wSEB'!L406</f>
        <v>297283</v>
      </c>
      <c r="E309" s="4">
        <f>SUM('[2]FPC wSEB'!$AC406:$AD406)</f>
        <v>24</v>
      </c>
      <c r="Z309" s="6">
        <f t="shared" si="61"/>
        <v>716545</v>
      </c>
      <c r="AB309" s="4">
        <f t="shared" ref="AB309:AB314" si="63">Z309-Z297</f>
        <v>263799</v>
      </c>
      <c r="BN309" s="4">
        <f t="shared" si="38"/>
        <v>2008</v>
      </c>
      <c r="BO309" s="4">
        <f t="shared" si="39"/>
        <v>5</v>
      </c>
      <c r="BP309" s="130">
        <f>[3]MTHLY!AL143</f>
        <v>313925</v>
      </c>
      <c r="BQ309" s="130">
        <f>[3]MTHLY!AM143</f>
        <v>328656</v>
      </c>
      <c r="BT309" s="5">
        <f t="shared" si="62"/>
        <v>642581</v>
      </c>
      <c r="BV309" s="108">
        <f t="shared" si="50"/>
        <v>190823</v>
      </c>
      <c r="BW309" s="541">
        <f t="shared" si="41"/>
        <v>0.74875614770716159</v>
      </c>
      <c r="BX309" s="444">
        <f t="shared" si="42"/>
        <v>1.1055324387872836</v>
      </c>
    </row>
    <row r="310" spans="1:76">
      <c r="A310" s="4">
        <f t="shared" si="43"/>
        <v>2008</v>
      </c>
      <c r="B310" s="4">
        <f t="shared" si="44"/>
        <v>6</v>
      </c>
      <c r="C310" s="4">
        <f>'[2]FPC wSEB'!K407</f>
        <v>310140</v>
      </c>
      <c r="D310" s="4">
        <f>'[2]FPC wSEB'!L407</f>
        <v>338116</v>
      </c>
      <c r="E310" s="4">
        <f>SUM('[2]FPC wSEB'!$AC407:$AD407)</f>
        <v>25</v>
      </c>
      <c r="Z310" s="6">
        <f t="shared" ref="Z310:Z315" si="64">C310+D310</f>
        <v>648256</v>
      </c>
      <c r="AB310" s="4">
        <f t="shared" si="63"/>
        <v>170583</v>
      </c>
      <c r="BN310" s="4">
        <f t="shared" si="38"/>
        <v>2008</v>
      </c>
      <c r="BO310" s="4">
        <f t="shared" si="39"/>
        <v>6</v>
      </c>
      <c r="BP310" s="130">
        <f>[3]MTHLY!AL144</f>
        <v>320189</v>
      </c>
      <c r="BQ310" s="130">
        <f>[3]MTHLY!AM144</f>
        <v>315201</v>
      </c>
      <c r="BT310" s="5">
        <f t="shared" ref="BT310:BT315" si="65">BQ310+BP310</f>
        <v>635390</v>
      </c>
      <c r="BV310" s="108">
        <f t="shared" si="50"/>
        <v>96491</v>
      </c>
      <c r="BW310" s="541">
        <f t="shared" ref="BW310:BW366" si="66">BP310/C310</f>
        <v>1.0324014960985362</v>
      </c>
      <c r="BX310" s="444">
        <f t="shared" ref="BX310:BX366" si="67">BQ310/D310</f>
        <v>0.93222740124690939</v>
      </c>
    </row>
    <row r="311" spans="1:76">
      <c r="A311" s="4">
        <f t="shared" si="43"/>
        <v>2008</v>
      </c>
      <c r="B311" s="4">
        <f t="shared" si="44"/>
        <v>7</v>
      </c>
      <c r="C311" s="4">
        <f>'[2]FPC wSEB'!K408</f>
        <v>298968</v>
      </c>
      <c r="D311" s="4">
        <f>'[2]FPC wSEB'!L408</f>
        <v>325091</v>
      </c>
      <c r="E311" s="4">
        <f>SUM('[2]FPC wSEB'!$AC408:$AD408)</f>
        <v>25</v>
      </c>
      <c r="Z311" s="6">
        <f t="shared" si="64"/>
        <v>624059</v>
      </c>
      <c r="AB311" s="4">
        <f t="shared" si="63"/>
        <v>136807</v>
      </c>
      <c r="BN311" s="4">
        <f t="shared" si="38"/>
        <v>2008</v>
      </c>
      <c r="BO311" s="4">
        <f t="shared" si="39"/>
        <v>7</v>
      </c>
      <c r="BP311" s="130">
        <f>[3]MTHLY!AL145</f>
        <v>321307</v>
      </c>
      <c r="BQ311" s="130">
        <f>[3]MTHLY!AM145</f>
        <v>352168</v>
      </c>
      <c r="BT311" s="5">
        <f t="shared" si="65"/>
        <v>673475</v>
      </c>
      <c r="BV311" s="108">
        <f t="shared" si="50"/>
        <v>97104</v>
      </c>
      <c r="BW311" s="541">
        <f t="shared" si="66"/>
        <v>1.0747203714109872</v>
      </c>
      <c r="BX311" s="444">
        <f t="shared" si="67"/>
        <v>1.0832905248069002</v>
      </c>
    </row>
    <row r="312" spans="1:76">
      <c r="A312" s="4">
        <f t="shared" si="43"/>
        <v>2008</v>
      </c>
      <c r="B312" s="4">
        <f t="shared" si="44"/>
        <v>8</v>
      </c>
      <c r="C312" s="4">
        <f>'[2]FPC wSEB'!K409</f>
        <v>330146</v>
      </c>
      <c r="D312" s="4">
        <f>'[2]FPC wSEB'!L409</f>
        <v>336588</v>
      </c>
      <c r="E312" s="4">
        <f>SUM('[2]FPC wSEB'!$AC409:$AD409)</f>
        <v>25</v>
      </c>
      <c r="Z312" s="6">
        <f t="shared" si="64"/>
        <v>666734</v>
      </c>
      <c r="AB312" s="4">
        <f t="shared" si="63"/>
        <v>88009</v>
      </c>
      <c r="BN312" s="4">
        <f t="shared" si="38"/>
        <v>2008</v>
      </c>
      <c r="BO312" s="4">
        <f t="shared" si="39"/>
        <v>8</v>
      </c>
      <c r="BP312" s="130">
        <f>[3]MTHLY!AL146</f>
        <v>280552</v>
      </c>
      <c r="BQ312" s="130">
        <f>[3]MTHLY!AM146</f>
        <v>332836</v>
      </c>
      <c r="BT312" s="5">
        <f t="shared" si="65"/>
        <v>613388</v>
      </c>
      <c r="BV312" s="108">
        <f t="shared" si="50"/>
        <v>-59515</v>
      </c>
      <c r="BW312" s="541">
        <f t="shared" si="66"/>
        <v>0.84978161177176159</v>
      </c>
      <c r="BX312" s="444">
        <f t="shared" si="67"/>
        <v>0.98885284086182512</v>
      </c>
    </row>
    <row r="313" spans="1:76">
      <c r="A313" s="4">
        <f t="shared" si="43"/>
        <v>2008</v>
      </c>
      <c r="B313" s="4">
        <f t="shared" si="44"/>
        <v>9</v>
      </c>
      <c r="C313" s="4">
        <f>'[2]FPC wSEB'!K410</f>
        <v>279985</v>
      </c>
      <c r="D313" s="4">
        <f>'[2]FPC wSEB'!L410</f>
        <v>344215</v>
      </c>
      <c r="E313" s="4">
        <f>SUM('[2]FPC wSEB'!$AC410:$AD410)</f>
        <v>25</v>
      </c>
      <c r="Z313" s="6">
        <f t="shared" si="64"/>
        <v>624200</v>
      </c>
      <c r="AB313" s="4">
        <f t="shared" si="63"/>
        <v>-3224</v>
      </c>
      <c r="BN313" s="4">
        <f t="shared" si="38"/>
        <v>2008</v>
      </c>
      <c r="BO313" s="4">
        <f t="shared" si="39"/>
        <v>9</v>
      </c>
      <c r="BP313" s="130">
        <f>[3]MTHLY!AL147</f>
        <v>277284</v>
      </c>
      <c r="BQ313" s="130">
        <f>[3]MTHLY!AM147</f>
        <v>371011</v>
      </c>
      <c r="BT313" s="5">
        <f t="shared" si="65"/>
        <v>648295</v>
      </c>
      <c r="BV313" s="108">
        <f t="shared" si="50"/>
        <v>155794</v>
      </c>
      <c r="BW313" s="541">
        <f t="shared" si="66"/>
        <v>0.99035305462792644</v>
      </c>
      <c r="BX313" s="444">
        <f t="shared" si="67"/>
        <v>1.0778466946530512</v>
      </c>
    </row>
    <row r="314" spans="1:76">
      <c r="A314" s="4">
        <f t="shared" si="43"/>
        <v>2008</v>
      </c>
      <c r="B314" s="4">
        <f t="shared" si="44"/>
        <v>10</v>
      </c>
      <c r="C314" s="4">
        <f>'[2]FPC wSEB'!K411</f>
        <v>274259</v>
      </c>
      <c r="D314" s="4">
        <f>'[2]FPC wSEB'!L411</f>
        <v>373025</v>
      </c>
      <c r="E314" s="4">
        <f>SUM('[2]FPC wSEB'!$AC411:$AD411)</f>
        <v>25</v>
      </c>
      <c r="Z314" s="6">
        <f t="shared" si="64"/>
        <v>647284</v>
      </c>
      <c r="AB314" s="4">
        <f t="shared" si="63"/>
        <v>92483</v>
      </c>
      <c r="BN314" s="4">
        <f t="shared" si="38"/>
        <v>2008</v>
      </c>
      <c r="BO314" s="4">
        <f t="shared" si="39"/>
        <v>10</v>
      </c>
      <c r="BP314" s="130">
        <f>[3]MTHLY!AL148</f>
        <v>101899</v>
      </c>
      <c r="BQ314" s="130">
        <f>[3]MTHLY!AM148</f>
        <v>307768</v>
      </c>
      <c r="BT314" s="5">
        <f t="shared" si="65"/>
        <v>409667</v>
      </c>
      <c r="BV314" s="108">
        <f t="shared" si="50"/>
        <v>-106215</v>
      </c>
      <c r="BW314" s="541">
        <f t="shared" si="66"/>
        <v>0.37154295756930494</v>
      </c>
      <c r="BX314" s="444">
        <f t="shared" si="67"/>
        <v>0.82505998257489443</v>
      </c>
    </row>
    <row r="315" spans="1:76">
      <c r="A315" s="4">
        <f t="shared" si="43"/>
        <v>2008</v>
      </c>
      <c r="B315" s="4">
        <f t="shared" si="44"/>
        <v>11</v>
      </c>
      <c r="C315" s="4">
        <f>'[2]FPC wSEB'!K412</f>
        <v>124298</v>
      </c>
      <c r="D315" s="4">
        <f>'[2]FPC wSEB'!L412</f>
        <v>304430</v>
      </c>
      <c r="E315" s="4">
        <f>SUM('[2]FPC wSEB'!$AC412:$AD412)</f>
        <v>24</v>
      </c>
      <c r="Z315" s="6">
        <f t="shared" si="64"/>
        <v>428728</v>
      </c>
      <c r="AB315" s="4">
        <f t="shared" ref="AB315:AB320" si="68">Z315-Z303</f>
        <v>-95510</v>
      </c>
      <c r="BN315" s="4">
        <f t="shared" si="38"/>
        <v>2008</v>
      </c>
      <c r="BO315" s="4">
        <f t="shared" si="39"/>
        <v>11</v>
      </c>
      <c r="BP315" s="130">
        <f>[3]MTHLY!AL149</f>
        <v>151892</v>
      </c>
      <c r="BQ315" s="130">
        <f>[3]MTHLY!AM149</f>
        <v>271992</v>
      </c>
      <c r="BT315" s="5">
        <f t="shared" si="65"/>
        <v>423884</v>
      </c>
      <c r="BV315" s="108">
        <f t="shared" si="50"/>
        <v>-14383</v>
      </c>
      <c r="BW315" s="541">
        <f t="shared" si="66"/>
        <v>1.2219987449516485</v>
      </c>
      <c r="BX315" s="444">
        <f t="shared" si="67"/>
        <v>0.89344676937226952</v>
      </c>
    </row>
    <row r="316" spans="1:76" s="89" customFormat="1">
      <c r="A316" s="89">
        <f t="shared" si="43"/>
        <v>2008</v>
      </c>
      <c r="B316" s="89">
        <f t="shared" si="44"/>
        <v>12</v>
      </c>
      <c r="C316" s="89">
        <f>'[2]FPC wSEB'!K413</f>
        <v>146384</v>
      </c>
      <c r="D316" s="89">
        <f>'[2]FPC wSEB'!L413</f>
        <v>271728</v>
      </c>
      <c r="E316" s="89">
        <f>SUM('[2]FPC wSEB'!$AC413:$AD413)</f>
        <v>24</v>
      </c>
      <c r="Z316" s="96">
        <f t="shared" ref="Z316:Z321" si="69">C316+D316</f>
        <v>418112</v>
      </c>
      <c r="AB316" s="89">
        <f t="shared" si="68"/>
        <v>-23106</v>
      </c>
      <c r="BN316" s="89">
        <f t="shared" si="38"/>
        <v>2008</v>
      </c>
      <c r="BO316" s="89">
        <f t="shared" si="39"/>
        <v>12</v>
      </c>
      <c r="BP316" s="299">
        <f>[3]MTHLY!AL150</f>
        <v>117526</v>
      </c>
      <c r="BQ316" s="299">
        <f>[3]MTHLY!AM150</f>
        <v>260144</v>
      </c>
      <c r="BT316" s="103">
        <f t="shared" ref="BT316:BT321" si="70">BQ316+BP316</f>
        <v>377670</v>
      </c>
      <c r="BV316" s="117">
        <f t="shared" si="50"/>
        <v>-29461</v>
      </c>
      <c r="BW316" s="542">
        <f t="shared" si="66"/>
        <v>0.80286096841184829</v>
      </c>
      <c r="BX316" s="533">
        <f t="shared" si="67"/>
        <v>0.95736913383972211</v>
      </c>
    </row>
    <row r="317" spans="1:76">
      <c r="A317" s="4">
        <f t="shared" si="43"/>
        <v>2009</v>
      </c>
      <c r="B317" s="4">
        <f t="shared" si="44"/>
        <v>1</v>
      </c>
      <c r="C317" s="4">
        <f>'[2]FPC wSEB'!K414</f>
        <v>118939</v>
      </c>
      <c r="D317" s="4">
        <f>'[2]FPC wSEB'!L414</f>
        <v>265825</v>
      </c>
      <c r="E317" s="4">
        <f>SUM('[2]FPC wSEB'!$AC414:$AD414)</f>
        <v>24</v>
      </c>
      <c r="Z317" s="6">
        <f t="shared" si="69"/>
        <v>384764</v>
      </c>
      <c r="AB317" s="4">
        <f t="shared" si="68"/>
        <v>-29948</v>
      </c>
      <c r="BN317" s="4">
        <f t="shared" si="38"/>
        <v>2009</v>
      </c>
      <c r="BO317" s="4">
        <f t="shared" si="39"/>
        <v>1</v>
      </c>
      <c r="BP317" s="130">
        <f>[3]MTHLY!AL151</f>
        <v>198457</v>
      </c>
      <c r="BQ317" s="130">
        <f>[3]MTHLY!AM151</f>
        <v>263006</v>
      </c>
      <c r="BT317" s="5">
        <f t="shared" si="70"/>
        <v>461463</v>
      </c>
      <c r="BV317" s="108">
        <f t="shared" si="50"/>
        <v>-16027</v>
      </c>
      <c r="BW317" s="541">
        <f t="shared" si="66"/>
        <v>1.6685611952345321</v>
      </c>
      <c r="BX317" s="444">
        <f t="shared" si="67"/>
        <v>0.98939527884886669</v>
      </c>
    </row>
    <row r="318" spans="1:76">
      <c r="A318" s="4">
        <f t="shared" si="43"/>
        <v>2009</v>
      </c>
      <c r="B318" s="4">
        <f t="shared" si="44"/>
        <v>2</v>
      </c>
      <c r="C318" s="4">
        <f>'[2]FPC wSEB'!K415</f>
        <v>191142</v>
      </c>
      <c r="D318" s="4">
        <f>'[2]FPC wSEB'!L415</f>
        <v>261611</v>
      </c>
      <c r="E318" s="4">
        <f>SUM('[2]FPC wSEB'!$AC415:$AD415)</f>
        <v>24</v>
      </c>
      <c r="Z318" s="6">
        <f t="shared" si="69"/>
        <v>452753</v>
      </c>
      <c r="AB318" s="4">
        <f t="shared" si="68"/>
        <v>3860</v>
      </c>
      <c r="BN318" s="4">
        <f t="shared" si="38"/>
        <v>2009</v>
      </c>
      <c r="BO318" s="4">
        <f t="shared" si="39"/>
        <v>2</v>
      </c>
      <c r="BP318" s="130">
        <f>[3]MTHLY!AL152</f>
        <v>137829</v>
      </c>
      <c r="BQ318" s="130">
        <f>[3]MTHLY!AM152</f>
        <v>173034</v>
      </c>
      <c r="BT318" s="5">
        <f t="shared" si="70"/>
        <v>310863</v>
      </c>
      <c r="BV318" s="108">
        <f t="shared" si="50"/>
        <v>-112691</v>
      </c>
      <c r="BW318" s="541">
        <f t="shared" si="66"/>
        <v>0.72108170888658696</v>
      </c>
      <c r="BX318" s="444">
        <f t="shared" si="67"/>
        <v>0.66141714224554782</v>
      </c>
    </row>
    <row r="319" spans="1:76">
      <c r="A319" s="4">
        <f t="shared" si="43"/>
        <v>2009</v>
      </c>
      <c r="B319" s="4">
        <f t="shared" si="44"/>
        <v>3</v>
      </c>
      <c r="C319" s="4">
        <f>'[2]FPC wSEB'!K416</f>
        <v>138885</v>
      </c>
      <c r="D319" s="4">
        <f>'[2]FPC wSEB'!L416</f>
        <v>169459</v>
      </c>
      <c r="E319" s="4">
        <f>SUM('[2]FPC wSEB'!$AC416:$AD416)</f>
        <v>24</v>
      </c>
      <c r="Z319" s="6">
        <f t="shared" si="69"/>
        <v>308344</v>
      </c>
      <c r="AB319" s="4">
        <f t="shared" si="68"/>
        <v>-121597</v>
      </c>
      <c r="BN319" s="4">
        <f t="shared" si="38"/>
        <v>2009</v>
      </c>
      <c r="BO319" s="4">
        <f t="shared" si="39"/>
        <v>3</v>
      </c>
      <c r="BP319" s="130">
        <f>[3]MTHLY!AL153</f>
        <v>63954</v>
      </c>
      <c r="BQ319" s="130">
        <f>[3]MTHLY!AM153</f>
        <v>154299</v>
      </c>
      <c r="BT319" s="5">
        <f t="shared" si="70"/>
        <v>218253</v>
      </c>
      <c r="BV319" s="108">
        <f t="shared" si="50"/>
        <v>-325789</v>
      </c>
      <c r="BW319" s="541">
        <f t="shared" si="66"/>
        <v>0.46048169348741763</v>
      </c>
      <c r="BX319" s="444">
        <f t="shared" si="67"/>
        <v>0.91053883240193789</v>
      </c>
    </row>
    <row r="320" spans="1:76">
      <c r="A320" s="4">
        <f t="shared" si="43"/>
        <v>2009</v>
      </c>
      <c r="B320" s="4">
        <f t="shared" si="44"/>
        <v>4</v>
      </c>
      <c r="C320" s="4">
        <f>'[2]FPC wSEB'!K417</f>
        <v>72868</v>
      </c>
      <c r="D320" s="4">
        <f>'[2]FPC wSEB'!L417</f>
        <v>154878</v>
      </c>
      <c r="E320" s="4">
        <f>SUM('[2]FPC wSEB'!$AC417:$AD417)</f>
        <v>24</v>
      </c>
      <c r="Z320" s="6">
        <f t="shared" si="69"/>
        <v>227746</v>
      </c>
      <c r="AB320" s="4">
        <f t="shared" si="68"/>
        <v>-324262</v>
      </c>
      <c r="BN320" s="4">
        <f t="shared" si="38"/>
        <v>2009</v>
      </c>
      <c r="BO320" s="4">
        <f t="shared" si="39"/>
        <v>4</v>
      </c>
      <c r="BP320" s="130">
        <f>[3]MTHLY!AL154</f>
        <v>38589</v>
      </c>
      <c r="BQ320" s="130">
        <f>[3]MTHLY!AM154</f>
        <v>178570</v>
      </c>
      <c r="BT320" s="5">
        <f t="shared" si="70"/>
        <v>217159</v>
      </c>
      <c r="BV320" s="108">
        <f t="shared" si="50"/>
        <v>-509152</v>
      </c>
      <c r="BW320" s="541">
        <f t="shared" si="66"/>
        <v>0.529574024263051</v>
      </c>
      <c r="BX320" s="444">
        <f t="shared" si="67"/>
        <v>1.1529720166840998</v>
      </c>
    </row>
    <row r="321" spans="1:76">
      <c r="A321" s="4">
        <f t="shared" si="43"/>
        <v>2009</v>
      </c>
      <c r="B321" s="4">
        <f t="shared" si="44"/>
        <v>5</v>
      </c>
      <c r="C321" s="4">
        <f>'[2]FPC wSEB'!K418</f>
        <v>37897</v>
      </c>
      <c r="D321" s="4">
        <f>'[2]FPC wSEB'!L418</f>
        <v>185361</v>
      </c>
      <c r="E321" s="4">
        <f>SUM('[2]FPC wSEB'!$AC418:$AD418)</f>
        <v>24</v>
      </c>
      <c r="Z321" s="6">
        <f t="shared" si="69"/>
        <v>223258</v>
      </c>
      <c r="AB321" s="4">
        <f t="shared" ref="AB321" si="71">Z321-Z309</f>
        <v>-493287</v>
      </c>
      <c r="BN321" s="4">
        <f t="shared" si="38"/>
        <v>2009</v>
      </c>
      <c r="BO321" s="4">
        <f t="shared" si="39"/>
        <v>5</v>
      </c>
      <c r="BP321" s="130">
        <f>[3]MTHLY!AL155</f>
        <v>72085</v>
      </c>
      <c r="BQ321" s="130">
        <f>[3]MTHLY!AM155</f>
        <v>210840</v>
      </c>
      <c r="BT321" s="5">
        <f t="shared" si="70"/>
        <v>282925</v>
      </c>
      <c r="BV321" s="108">
        <f t="shared" si="50"/>
        <v>-359656</v>
      </c>
      <c r="BW321" s="541">
        <f t="shared" si="66"/>
        <v>1.9021294561574795</v>
      </c>
      <c r="BX321" s="444">
        <f t="shared" si="67"/>
        <v>1.1374560991794391</v>
      </c>
    </row>
    <row r="322" spans="1:76">
      <c r="A322" s="4">
        <f t="shared" si="43"/>
        <v>2009</v>
      </c>
      <c r="B322" s="4">
        <f t="shared" si="44"/>
        <v>6</v>
      </c>
      <c r="C322" s="4">
        <f>'[2]FPC wSEB'!K419</f>
        <v>77013</v>
      </c>
      <c r="D322" s="4">
        <f>'[2]FPC wSEB'!L419</f>
        <v>206404</v>
      </c>
      <c r="E322" s="4">
        <f>SUM('[2]FPC wSEB'!$AC419:$AD419)</f>
        <v>24</v>
      </c>
      <c r="Z322" s="6">
        <f t="shared" ref="Z322" si="72">C322+D322</f>
        <v>283417</v>
      </c>
      <c r="AB322" s="4">
        <f t="shared" ref="AB322" si="73">Z322-Z310</f>
        <v>-364839</v>
      </c>
      <c r="BN322" s="4">
        <f t="shared" si="38"/>
        <v>2009</v>
      </c>
      <c r="BO322" s="4">
        <f t="shared" si="39"/>
        <v>6</v>
      </c>
      <c r="BP322" s="130">
        <f>[3]MTHLY!AL156</f>
        <v>140381</v>
      </c>
      <c r="BQ322" s="130">
        <f>[3]MTHLY!AM156</f>
        <v>243642</v>
      </c>
      <c r="BT322" s="5">
        <f t="shared" ref="BT322" si="74">BQ322+BP322</f>
        <v>384023</v>
      </c>
      <c r="BV322" s="108">
        <f t="shared" si="50"/>
        <v>-251367</v>
      </c>
      <c r="BW322" s="541">
        <f t="shared" si="66"/>
        <v>1.8228221209406203</v>
      </c>
      <c r="BX322" s="444">
        <f t="shared" si="67"/>
        <v>1.1804131702873975</v>
      </c>
    </row>
    <row r="323" spans="1:76">
      <c r="A323" s="4">
        <f t="shared" si="43"/>
        <v>2009</v>
      </c>
      <c r="B323" s="4">
        <f t="shared" si="44"/>
        <v>7</v>
      </c>
      <c r="C323" s="4">
        <f>'[2]FPC wSEB'!K420</f>
        <v>130237</v>
      </c>
      <c r="D323" s="4">
        <f>'[2]FPC wSEB'!L420</f>
        <v>250675</v>
      </c>
      <c r="E323" s="4">
        <f>SUM('[2]FPC wSEB'!$AC420:$AD420)</f>
        <v>22</v>
      </c>
      <c r="Z323" s="6">
        <f t="shared" ref="Z323" si="75">C323+D323</f>
        <v>380912</v>
      </c>
      <c r="AB323" s="4">
        <f t="shared" ref="AB323" si="76">Z323-Z311</f>
        <v>-243147</v>
      </c>
      <c r="BN323" s="4">
        <f t="shared" si="38"/>
        <v>2009</v>
      </c>
      <c r="BO323" s="4">
        <f t="shared" si="39"/>
        <v>7</v>
      </c>
      <c r="BP323" s="130">
        <f>[3]MTHLY!AL157</f>
        <v>107835</v>
      </c>
      <c r="BQ323" s="130">
        <f>[3]MTHLY!AM157</f>
        <v>256630</v>
      </c>
      <c r="BT323" s="5">
        <f t="shared" ref="BT323" si="77">BQ323+BP323</f>
        <v>364465</v>
      </c>
      <c r="BV323" s="108">
        <f t="shared" si="50"/>
        <v>-309010</v>
      </c>
      <c r="BW323" s="541">
        <f t="shared" si="66"/>
        <v>0.82799050960940435</v>
      </c>
      <c r="BX323" s="444">
        <f t="shared" si="67"/>
        <v>1.0237558591802134</v>
      </c>
    </row>
    <row r="324" spans="1:76">
      <c r="A324" s="4">
        <f t="shared" si="43"/>
        <v>2009</v>
      </c>
      <c r="B324" s="4">
        <f t="shared" si="44"/>
        <v>8</v>
      </c>
      <c r="C324" s="4">
        <f>'[2]FPC wSEB'!K421</f>
        <v>113977</v>
      </c>
      <c r="D324" s="4">
        <f>'[2]FPC wSEB'!L421</f>
        <v>251225</v>
      </c>
      <c r="E324" s="4">
        <f>SUM('[2]FPC wSEB'!$AC421:$AD421)</f>
        <v>23</v>
      </c>
      <c r="Z324" s="6">
        <f t="shared" ref="Z324:Z325" si="78">C324+D324</f>
        <v>365202</v>
      </c>
      <c r="AB324" s="4">
        <f t="shared" ref="AB324:AB325" si="79">Z324-Z312</f>
        <v>-301532</v>
      </c>
      <c r="BN324" s="4">
        <f t="shared" si="38"/>
        <v>2009</v>
      </c>
      <c r="BO324" s="4">
        <f t="shared" si="39"/>
        <v>8</v>
      </c>
      <c r="BP324" s="130">
        <f>[3]MTHLY!AL158</f>
        <v>118453</v>
      </c>
      <c r="BQ324" s="130">
        <f>[3]MTHLY!AM158</f>
        <v>253597</v>
      </c>
      <c r="BT324" s="5">
        <f t="shared" ref="BT324:BT325" si="80">BQ324+BP324</f>
        <v>372050</v>
      </c>
      <c r="BV324" s="108">
        <f t="shared" si="50"/>
        <v>-241338</v>
      </c>
      <c r="BW324" s="541">
        <f t="shared" si="66"/>
        <v>1.0392710810075716</v>
      </c>
      <c r="BX324" s="444">
        <f t="shared" si="67"/>
        <v>1.0094417354960692</v>
      </c>
    </row>
    <row r="325" spans="1:76">
      <c r="A325" s="4">
        <f t="shared" si="43"/>
        <v>2009</v>
      </c>
      <c r="B325" s="4">
        <f t="shared" si="44"/>
        <v>9</v>
      </c>
      <c r="C325" s="4">
        <f>'[2]FPC wSEB'!K422</f>
        <v>122375</v>
      </c>
      <c r="D325" s="4">
        <f>'[2]FPC wSEB'!L422</f>
        <v>249707</v>
      </c>
      <c r="E325" s="4">
        <f>SUM('[2]FPC wSEB'!$AC422:$AD422)</f>
        <v>23</v>
      </c>
      <c r="Z325" s="6">
        <f t="shared" si="78"/>
        <v>372082</v>
      </c>
      <c r="AB325" s="4">
        <f t="shared" si="79"/>
        <v>-252118</v>
      </c>
      <c r="BN325" s="4">
        <f t="shared" si="38"/>
        <v>2009</v>
      </c>
      <c r="BO325" s="4">
        <f t="shared" si="39"/>
        <v>9</v>
      </c>
      <c r="BP325" s="130">
        <f>[3]MTHLY!AL159</f>
        <v>73226</v>
      </c>
      <c r="BQ325" s="130">
        <f>[3]MTHLY!AM159</f>
        <v>180869</v>
      </c>
      <c r="BT325" s="5">
        <f t="shared" si="80"/>
        <v>254095</v>
      </c>
      <c r="BV325" s="108">
        <f t="shared" si="50"/>
        <v>-394200</v>
      </c>
      <c r="BW325" s="541">
        <f t="shared" si="66"/>
        <v>0.59837385086823291</v>
      </c>
      <c r="BX325" s="444">
        <f t="shared" si="67"/>
        <v>0.72432490879310552</v>
      </c>
    </row>
    <row r="326" spans="1:76">
      <c r="A326" s="4">
        <f t="shared" si="43"/>
        <v>2009</v>
      </c>
      <c r="B326" s="4">
        <f t="shared" si="44"/>
        <v>10</v>
      </c>
      <c r="C326" s="4">
        <f>'[2]FPC wSEB'!K423</f>
        <v>69364</v>
      </c>
      <c r="D326" s="4">
        <f>'[2]FPC wSEB'!L423</f>
        <v>178854</v>
      </c>
      <c r="E326" s="4">
        <f>SUM('[2]FPC wSEB'!$AC423:$AD423)</f>
        <v>24</v>
      </c>
      <c r="Z326" s="6">
        <f t="shared" ref="Z326" si="81">C326+D326</f>
        <v>248218</v>
      </c>
      <c r="AB326" s="4">
        <f t="shared" ref="AB326" si="82">Z326-Z314</f>
        <v>-399066</v>
      </c>
      <c r="BN326" s="4">
        <f t="shared" si="38"/>
        <v>2009</v>
      </c>
      <c r="BO326" s="4">
        <f t="shared" si="39"/>
        <v>10</v>
      </c>
      <c r="BP326" s="130">
        <f>[3]MTHLY!AL160</f>
        <v>105004</v>
      </c>
      <c r="BQ326" s="130">
        <f>[3]MTHLY!AM160</f>
        <v>195155</v>
      </c>
      <c r="BT326" s="5">
        <f t="shared" ref="BT326" si="83">BQ326+BP326</f>
        <v>300159</v>
      </c>
      <c r="BV326" s="108">
        <f>BT326-BT314</f>
        <v>-109508</v>
      </c>
      <c r="BW326" s="541">
        <f t="shared" si="66"/>
        <v>1.5138111988927974</v>
      </c>
      <c r="BX326" s="444">
        <f t="shared" si="67"/>
        <v>1.091141377883637</v>
      </c>
    </row>
    <row r="327" spans="1:76">
      <c r="A327" s="4">
        <f t="shared" si="43"/>
        <v>2009</v>
      </c>
      <c r="B327" s="4">
        <f t="shared" si="44"/>
        <v>11</v>
      </c>
      <c r="C327" s="4">
        <f>'[2]FPC wSEB'!K424</f>
        <v>102688</v>
      </c>
      <c r="D327" s="4">
        <f>'[2]FPC wSEB'!L424</f>
        <v>188418</v>
      </c>
      <c r="E327" s="4">
        <f>SUM('[2]FPC wSEB'!$AC424:$AD424)</f>
        <v>21</v>
      </c>
      <c r="Z327" s="6">
        <f t="shared" ref="Z327" si="84">C327+D327</f>
        <v>291106</v>
      </c>
      <c r="AB327" s="4">
        <f t="shared" ref="AB327" si="85">Z327-Z315</f>
        <v>-137622</v>
      </c>
      <c r="BN327" s="4">
        <f t="shared" si="38"/>
        <v>2009</v>
      </c>
      <c r="BO327" s="4">
        <f t="shared" si="39"/>
        <v>11</v>
      </c>
      <c r="BP327" s="130">
        <f>[3]MTHLY!AL161</f>
        <v>42001</v>
      </c>
      <c r="BQ327" s="130">
        <f>[3]MTHLY!AM161</f>
        <v>83463</v>
      </c>
      <c r="BT327" s="5">
        <f t="shared" ref="BT327" si="86">BQ327+BP327</f>
        <v>125464</v>
      </c>
      <c r="BV327" s="108">
        <f>BT327-BT315</f>
        <v>-298420</v>
      </c>
      <c r="BW327" s="541">
        <f t="shared" si="66"/>
        <v>0.40901565908382675</v>
      </c>
      <c r="BX327" s="444">
        <f t="shared" si="67"/>
        <v>0.44296723243002262</v>
      </c>
    </row>
    <row r="328" spans="1:76" s="89" customFormat="1">
      <c r="A328" s="89">
        <f t="shared" si="43"/>
        <v>2009</v>
      </c>
      <c r="B328" s="89">
        <f t="shared" si="44"/>
        <v>12</v>
      </c>
      <c r="C328" s="89">
        <f>'[2]FPC wSEB'!K425</f>
        <v>42118</v>
      </c>
      <c r="D328" s="89">
        <f>'[2]FPC wSEB'!L425</f>
        <v>116250</v>
      </c>
      <c r="E328" s="89">
        <f>SUM('[2]FPC wSEB'!$AC425:$AD425)</f>
        <v>22</v>
      </c>
      <c r="Z328" s="96">
        <f t="shared" ref="Z328" si="87">C328+D328</f>
        <v>158368</v>
      </c>
      <c r="AB328" s="89">
        <f t="shared" ref="AB328" si="88">Z328-Z316</f>
        <v>-259744</v>
      </c>
      <c r="BN328" s="89">
        <f t="shared" si="38"/>
        <v>2009</v>
      </c>
      <c r="BO328" s="89">
        <f t="shared" si="39"/>
        <v>12</v>
      </c>
      <c r="BP328" s="299">
        <f>[3]MTHLY!AL162</f>
        <v>43956</v>
      </c>
      <c r="BQ328" s="299">
        <f>[3]MTHLY!AM162</f>
        <v>154286</v>
      </c>
      <c r="BT328" s="103">
        <f t="shared" ref="BT328" si="89">BQ328+BP328</f>
        <v>198242</v>
      </c>
      <c r="BV328" s="117">
        <f>BT328-BT316</f>
        <v>-179428</v>
      </c>
      <c r="BW328" s="542">
        <f t="shared" si="66"/>
        <v>1.0436392991120187</v>
      </c>
      <c r="BX328" s="533">
        <f t="shared" si="67"/>
        <v>1.3271913978494623</v>
      </c>
    </row>
    <row r="329" spans="1:76">
      <c r="A329" s="4">
        <f t="shared" si="43"/>
        <v>2010</v>
      </c>
      <c r="B329" s="4">
        <f t="shared" si="44"/>
        <v>1</v>
      </c>
      <c r="C329" s="4">
        <f>'[2]FPC wSEB'!K426</f>
        <v>46738</v>
      </c>
      <c r="D329" s="4">
        <f>'[2]FPC wSEB'!L426</f>
        <v>131888</v>
      </c>
      <c r="E329" s="4">
        <f>SUM('[2]FPC wSEB'!$AC426:$AD426)</f>
        <v>21</v>
      </c>
      <c r="Z329" s="6">
        <f t="shared" ref="Z329:Z330" si="90">C329+D329</f>
        <v>178626</v>
      </c>
      <c r="AB329" s="4">
        <f t="shared" ref="AB329:AB330" si="91">Z329-Z317</f>
        <v>-206138</v>
      </c>
      <c r="BN329" s="4">
        <f t="shared" si="38"/>
        <v>2010</v>
      </c>
      <c r="BO329" s="4">
        <f t="shared" si="39"/>
        <v>1</v>
      </c>
      <c r="BP329" s="130">
        <f>[3]MTHLY!AL163</f>
        <v>217673</v>
      </c>
      <c r="BQ329" s="130">
        <f>[3]MTHLY!AM163</f>
        <v>186917</v>
      </c>
      <c r="BT329" s="5">
        <f t="shared" ref="BT329:BT330" si="92">BQ329+BP329</f>
        <v>404590</v>
      </c>
      <c r="BV329" s="108">
        <f t="shared" ref="BV329:BV330" si="93">BT329-BT317</f>
        <v>-56873</v>
      </c>
      <c r="BW329" s="541">
        <f t="shared" si="66"/>
        <v>4.6573024091745472</v>
      </c>
      <c r="BX329" s="444">
        <f t="shared" si="67"/>
        <v>1.4172403857818756</v>
      </c>
    </row>
    <row r="330" spans="1:76">
      <c r="A330" s="4">
        <f t="shared" ref="A330:A377" si="94">A318+1</f>
        <v>2010</v>
      </c>
      <c r="B330" s="4">
        <f t="shared" ref="B330:B377" si="95">B318</f>
        <v>2</v>
      </c>
      <c r="C330" s="4">
        <f>'[2]FPC wSEB'!K427</f>
        <v>193846</v>
      </c>
      <c r="D330" s="4">
        <f>'[2]FPC wSEB'!L427</f>
        <v>181321</v>
      </c>
      <c r="E330" s="4">
        <f>SUM('[2]FPC wSEB'!$AC427:$AD427)</f>
        <v>19</v>
      </c>
      <c r="Z330" s="6">
        <f t="shared" si="90"/>
        <v>375167</v>
      </c>
      <c r="AB330" s="4">
        <f t="shared" si="91"/>
        <v>-77586</v>
      </c>
      <c r="BN330" s="4">
        <f t="shared" ref="BN330:BN376" si="96">BN318+1</f>
        <v>2010</v>
      </c>
      <c r="BO330" s="4">
        <f t="shared" ref="BO330:BO376" si="97">BO318</f>
        <v>2</v>
      </c>
      <c r="BP330" s="130">
        <f>[3]MTHLY!AL164</f>
        <v>113875</v>
      </c>
      <c r="BQ330" s="130">
        <f>[3]MTHLY!AM164</f>
        <v>161873</v>
      </c>
      <c r="BT330" s="5">
        <f t="shared" si="92"/>
        <v>275748</v>
      </c>
      <c r="BV330" s="108">
        <f t="shared" si="93"/>
        <v>-35115</v>
      </c>
      <c r="BW330" s="541">
        <f t="shared" si="66"/>
        <v>0.5874508630562405</v>
      </c>
      <c r="BX330" s="444">
        <f t="shared" si="67"/>
        <v>0.89274270492662189</v>
      </c>
    </row>
    <row r="331" spans="1:76">
      <c r="A331" s="4">
        <f t="shared" si="94"/>
        <v>2010</v>
      </c>
      <c r="B331" s="4">
        <f t="shared" si="95"/>
        <v>3</v>
      </c>
      <c r="C331" s="4">
        <f>'[2]FPC wSEB'!K428</f>
        <v>144313</v>
      </c>
      <c r="D331" s="4">
        <f>'[2]FPC wSEB'!L428</f>
        <v>162938</v>
      </c>
      <c r="E331" s="4">
        <f>SUM('[2]FPC wSEB'!$AC428:$AD428)</f>
        <v>19</v>
      </c>
      <c r="Z331" s="6">
        <f t="shared" ref="Z331" si="98">C331+D331</f>
        <v>307251</v>
      </c>
      <c r="AB331" s="4">
        <f t="shared" ref="AB331" si="99">Z331-Z319</f>
        <v>-1093</v>
      </c>
      <c r="BN331" s="4">
        <f t="shared" si="96"/>
        <v>2010</v>
      </c>
      <c r="BO331" s="4">
        <f t="shared" si="97"/>
        <v>3</v>
      </c>
      <c r="BP331" s="130">
        <f>[3]MTHLY!AL165</f>
        <v>82231</v>
      </c>
      <c r="BQ331" s="130">
        <f>[3]MTHLY!AM165</f>
        <v>151840</v>
      </c>
      <c r="BT331" s="5">
        <f t="shared" ref="BT331" si="100">BQ331+BP331</f>
        <v>234071</v>
      </c>
      <c r="BV331" s="108">
        <f t="shared" ref="BV331" si="101">BT331-BT319</f>
        <v>15818</v>
      </c>
      <c r="BW331" s="541">
        <f t="shared" si="66"/>
        <v>0.5698100656212538</v>
      </c>
      <c r="BX331" s="444">
        <f t="shared" si="67"/>
        <v>0.93188820287471308</v>
      </c>
    </row>
    <row r="332" spans="1:76">
      <c r="A332" s="4">
        <f t="shared" si="94"/>
        <v>2010</v>
      </c>
      <c r="B332" s="4">
        <f t="shared" si="95"/>
        <v>4</v>
      </c>
      <c r="C332" s="4">
        <f>'[2]FPC wSEB'!K429</f>
        <v>74632</v>
      </c>
      <c r="D332" s="4">
        <f>'[2]FPC wSEB'!L429</f>
        <v>153771</v>
      </c>
      <c r="E332" s="4">
        <f>SUM('[2]FPC wSEB'!$AC429:$AD429)</f>
        <v>19</v>
      </c>
      <c r="Z332" s="6">
        <f t="shared" ref="Z332" si="102">C332+D332</f>
        <v>228403</v>
      </c>
      <c r="AB332" s="4">
        <f t="shared" ref="AB332" si="103">Z332-Z320</f>
        <v>657</v>
      </c>
      <c r="BN332" s="4">
        <f t="shared" si="96"/>
        <v>2010</v>
      </c>
      <c r="BO332" s="4">
        <f t="shared" si="97"/>
        <v>4</v>
      </c>
      <c r="BP332" s="130">
        <f>[3]MTHLY!AL166</f>
        <v>53456</v>
      </c>
      <c r="BQ332" s="130">
        <f>[3]MTHLY!AM166</f>
        <v>125113</v>
      </c>
      <c r="BT332" s="5">
        <f t="shared" ref="BT332" si="104">BQ332+BP332</f>
        <v>178569</v>
      </c>
      <c r="BV332" s="108">
        <f t="shared" ref="BV332" si="105">BT332-BT320</f>
        <v>-38590</v>
      </c>
      <c r="BW332" s="541">
        <f t="shared" si="66"/>
        <v>0.71626112123485908</v>
      </c>
      <c r="BX332" s="444">
        <f t="shared" si="67"/>
        <v>0.8136319592120751</v>
      </c>
    </row>
    <row r="333" spans="1:76">
      <c r="A333" s="4">
        <f t="shared" si="94"/>
        <v>2010</v>
      </c>
      <c r="B333" s="4">
        <f t="shared" si="95"/>
        <v>5</v>
      </c>
      <c r="C333" s="4">
        <f>'[2]FPC wSEB'!K430</f>
        <v>50488</v>
      </c>
      <c r="D333" s="4">
        <f>'[2]FPC wSEB'!L430</f>
        <v>121601</v>
      </c>
      <c r="E333" s="4">
        <f>SUM('[2]FPC wSEB'!$AC430:$AD430)</f>
        <v>18</v>
      </c>
      <c r="Z333" s="6">
        <f t="shared" ref="Z333" si="106">C333+D333</f>
        <v>172089</v>
      </c>
      <c r="AB333" s="4">
        <f t="shared" ref="AB333" si="107">Z333-Z321</f>
        <v>-51169</v>
      </c>
      <c r="BN333" s="4">
        <f t="shared" si="96"/>
        <v>2010</v>
      </c>
      <c r="BO333" s="4">
        <f t="shared" si="97"/>
        <v>5</v>
      </c>
      <c r="BP333" s="130">
        <f>[3]MTHLY!AL167</f>
        <v>163464</v>
      </c>
      <c r="BQ333" s="130">
        <f>[3]MTHLY!AM167</f>
        <v>207118</v>
      </c>
      <c r="BT333" s="5">
        <f t="shared" ref="BT333" si="108">BQ333+BP333</f>
        <v>370582</v>
      </c>
      <c r="BV333" s="108">
        <f t="shared" ref="BV333" si="109">BT333-BT321</f>
        <v>87657</v>
      </c>
      <c r="BW333" s="541">
        <f t="shared" si="66"/>
        <v>3.2376802408493108</v>
      </c>
      <c r="BX333" s="444">
        <f t="shared" si="67"/>
        <v>1.7032590192514865</v>
      </c>
    </row>
    <row r="334" spans="1:76">
      <c r="A334" s="4">
        <f t="shared" si="94"/>
        <v>2010</v>
      </c>
      <c r="B334" s="4">
        <f t="shared" si="95"/>
        <v>6</v>
      </c>
      <c r="C334" s="4">
        <f>'[2]FPC wSEB'!K431</f>
        <v>163314</v>
      </c>
      <c r="D334" s="4">
        <f>'[2]FPC wSEB'!L431</f>
        <v>194489</v>
      </c>
      <c r="E334" s="4">
        <f>SUM('[2]FPC wSEB'!$AC431:$AD431)</f>
        <v>21</v>
      </c>
      <c r="Z334" s="6">
        <f t="shared" ref="Z334" si="110">C334+D334</f>
        <v>357803</v>
      </c>
      <c r="AB334" s="4">
        <f t="shared" ref="AB334" si="111">Z334-Z322</f>
        <v>74386</v>
      </c>
      <c r="BN334" s="4">
        <f t="shared" si="96"/>
        <v>2010</v>
      </c>
      <c r="BO334" s="4">
        <f t="shared" si="97"/>
        <v>6</v>
      </c>
      <c r="BP334" s="130">
        <f>[3]MTHLY!AL168</f>
        <v>197501</v>
      </c>
      <c r="BQ334" s="130">
        <f>[3]MTHLY!AM168</f>
        <v>253439</v>
      </c>
      <c r="BT334" s="5">
        <f t="shared" ref="BT334" si="112">BQ334+BP334</f>
        <v>450940</v>
      </c>
      <c r="BV334" s="108">
        <f t="shared" ref="BV334" si="113">BT334-BT322</f>
        <v>66917</v>
      </c>
      <c r="BW334" s="541">
        <f t="shared" si="66"/>
        <v>1.2093329414502125</v>
      </c>
      <c r="BX334" s="444">
        <f t="shared" si="67"/>
        <v>1.3031019749188899</v>
      </c>
    </row>
    <row r="335" spans="1:76">
      <c r="A335" s="4">
        <f t="shared" si="94"/>
        <v>2010</v>
      </c>
      <c r="B335" s="4">
        <f t="shared" si="95"/>
        <v>7</v>
      </c>
      <c r="C335" s="4">
        <f>'[2]FPC wSEB'!K432</f>
        <v>196318</v>
      </c>
      <c r="D335" s="4">
        <f>'[2]FPC wSEB'!L432</f>
        <v>262611</v>
      </c>
      <c r="E335" s="4">
        <f>SUM('[2]FPC wSEB'!$AC432:$AD432)</f>
        <v>18</v>
      </c>
      <c r="Z335" s="6">
        <f t="shared" ref="Z335" si="114">C335+D335</f>
        <v>458929</v>
      </c>
      <c r="AB335" s="4">
        <f t="shared" ref="AB335" si="115">Z335-Z323</f>
        <v>78017</v>
      </c>
      <c r="BN335" s="4">
        <f t="shared" si="96"/>
        <v>2010</v>
      </c>
      <c r="BO335" s="4">
        <f t="shared" si="97"/>
        <v>7</v>
      </c>
      <c r="BP335" s="130">
        <f>[3]MTHLY!AL169</f>
        <v>153573</v>
      </c>
      <c r="BQ335" s="130">
        <f>[3]MTHLY!AM169</f>
        <v>279830</v>
      </c>
      <c r="BT335" s="5">
        <f t="shared" ref="BT335" si="116">BQ335+BP335</f>
        <v>433403</v>
      </c>
      <c r="BV335" s="108">
        <f t="shared" ref="BV335" si="117">BT335-BT323</f>
        <v>68938</v>
      </c>
      <c r="BW335" s="541">
        <f t="shared" si="66"/>
        <v>0.78226652675760755</v>
      </c>
      <c r="BX335" s="444">
        <f t="shared" si="67"/>
        <v>1.0655684643826802</v>
      </c>
    </row>
    <row r="336" spans="1:76">
      <c r="A336" s="4">
        <f t="shared" si="94"/>
        <v>2010</v>
      </c>
      <c r="B336" s="4">
        <f t="shared" si="95"/>
        <v>8</v>
      </c>
      <c r="C336" s="4">
        <f>'[2]FPC wSEB'!K433</f>
        <v>154922</v>
      </c>
      <c r="D336" s="4">
        <f>'[2]FPC wSEB'!L433</f>
        <v>266727</v>
      </c>
      <c r="E336" s="4">
        <f>SUM('[2]FPC wSEB'!$AC433:$AD433)</f>
        <v>19</v>
      </c>
      <c r="Z336" s="6">
        <f t="shared" ref="Z336" si="118">C336+D336</f>
        <v>421649</v>
      </c>
      <c r="AB336" s="4">
        <f t="shared" ref="AB336" si="119">Z336-Z324</f>
        <v>56447</v>
      </c>
      <c r="BN336" s="4">
        <f t="shared" si="96"/>
        <v>2010</v>
      </c>
      <c r="BO336" s="4">
        <f t="shared" si="97"/>
        <v>8</v>
      </c>
      <c r="BP336" s="130">
        <f>[3]MTHLY!AL170</f>
        <v>146232</v>
      </c>
      <c r="BQ336" s="130">
        <f>[3]MTHLY!AM170</f>
        <v>266146</v>
      </c>
      <c r="BT336" s="5">
        <f t="shared" ref="BT336" si="120">BQ336+BP336</f>
        <v>412378</v>
      </c>
      <c r="BV336" s="108">
        <f t="shared" ref="BV336" si="121">BT336-BT324</f>
        <v>40328</v>
      </c>
      <c r="BW336" s="541">
        <f t="shared" si="66"/>
        <v>0.94390725655491148</v>
      </c>
      <c r="BX336" s="444">
        <f t="shared" si="67"/>
        <v>0.99782174283068459</v>
      </c>
    </row>
    <row r="337" spans="1:78">
      <c r="A337" s="4">
        <f t="shared" si="94"/>
        <v>2010</v>
      </c>
      <c r="B337" s="4">
        <f t="shared" si="95"/>
        <v>9</v>
      </c>
      <c r="C337" s="4">
        <f>'[2]FPC wSEB'!K434</f>
        <v>146722</v>
      </c>
      <c r="D337" s="4">
        <f>'[2]FPC wSEB'!L434</f>
        <v>274837</v>
      </c>
      <c r="E337" s="4">
        <f>SUM('[2]FPC wSEB'!$AC434:$AD434)</f>
        <v>19</v>
      </c>
      <c r="Z337" s="6">
        <f t="shared" ref="Z337" si="122">C337+D337</f>
        <v>421559</v>
      </c>
      <c r="AB337" s="4">
        <f t="shared" ref="AB337" si="123">Z337-Z325</f>
        <v>49477</v>
      </c>
      <c r="BN337" s="4">
        <f t="shared" si="96"/>
        <v>2010</v>
      </c>
      <c r="BO337" s="4">
        <f t="shared" si="97"/>
        <v>9</v>
      </c>
      <c r="BP337" s="130">
        <f>[3]MTHLY!AL171</f>
        <v>69272</v>
      </c>
      <c r="BQ337" s="130">
        <f>[3]MTHLY!AM171</f>
        <v>210877</v>
      </c>
      <c r="BT337" s="5">
        <f t="shared" ref="BT337" si="124">BQ337+BP337</f>
        <v>280149</v>
      </c>
      <c r="BV337" s="108">
        <f t="shared" ref="BV337" si="125">BT337-BT325</f>
        <v>26054</v>
      </c>
      <c r="BW337" s="541">
        <f t="shared" si="66"/>
        <v>0.47213096877087279</v>
      </c>
      <c r="BX337" s="444">
        <f t="shared" si="67"/>
        <v>0.76728024247099191</v>
      </c>
    </row>
    <row r="338" spans="1:78">
      <c r="A338" s="4">
        <f t="shared" si="94"/>
        <v>2010</v>
      </c>
      <c r="B338" s="4">
        <f t="shared" si="95"/>
        <v>10</v>
      </c>
      <c r="C338" s="4">
        <f>'[2]FPC wSEB'!K435</f>
        <v>66129</v>
      </c>
      <c r="D338" s="4">
        <f>'[2]FPC wSEB'!L435</f>
        <v>220370</v>
      </c>
      <c r="E338" s="4">
        <f>SUM('[2]FPC wSEB'!$AC435:$AD435)</f>
        <v>21</v>
      </c>
      <c r="Z338" s="6">
        <f t="shared" ref="Z338" si="126">C338+D338</f>
        <v>286499</v>
      </c>
      <c r="AB338" s="4">
        <f t="shared" ref="AB338" si="127">Z338-Z326</f>
        <v>38281</v>
      </c>
      <c r="BN338" s="4">
        <f t="shared" si="96"/>
        <v>2010</v>
      </c>
      <c r="BO338" s="4">
        <f t="shared" si="97"/>
        <v>10</v>
      </c>
      <c r="BP338" s="130">
        <f>[3]MTHLY!AL172</f>
        <v>21222</v>
      </c>
      <c r="BQ338" s="130">
        <f>[3]MTHLY!AM172</f>
        <v>141732</v>
      </c>
      <c r="BT338" s="5">
        <f t="shared" ref="BT338" si="128">BQ338+BP338</f>
        <v>162954</v>
      </c>
      <c r="BV338" s="108">
        <f t="shared" ref="BV338" si="129">BT338-BT326</f>
        <v>-137205</v>
      </c>
      <c r="BW338" s="541">
        <f t="shared" si="66"/>
        <v>0.32091820532595383</v>
      </c>
      <c r="BX338" s="444">
        <f t="shared" si="67"/>
        <v>0.64315469437763761</v>
      </c>
    </row>
    <row r="339" spans="1:78">
      <c r="A339" s="4">
        <f t="shared" si="94"/>
        <v>2010</v>
      </c>
      <c r="B339" s="4">
        <f t="shared" si="95"/>
        <v>11</v>
      </c>
      <c r="C339" s="4">
        <f>'[2]FPC wSEB'!K436</f>
        <v>24886</v>
      </c>
      <c r="D339" s="4">
        <f>'[2]FPC wSEB'!L436</f>
        <v>134349</v>
      </c>
      <c r="E339" s="4">
        <f>SUM('[2]FPC wSEB'!$AC436:$AD436)</f>
        <v>18</v>
      </c>
      <c r="Z339" s="6">
        <f t="shared" ref="Z339" si="130">C339+D339</f>
        <v>159235</v>
      </c>
      <c r="AB339" s="4">
        <f t="shared" ref="AB339" si="131">Z339-Z327</f>
        <v>-131871</v>
      </c>
      <c r="BN339" s="4">
        <f t="shared" si="96"/>
        <v>2010</v>
      </c>
      <c r="BO339" s="4">
        <f t="shared" si="97"/>
        <v>11</v>
      </c>
      <c r="BP339" s="130">
        <f>[3]MTHLY!AL173</f>
        <v>22139</v>
      </c>
      <c r="BQ339" s="130">
        <f>[3]MTHLY!AM173</f>
        <v>94576</v>
      </c>
      <c r="BT339" s="5">
        <f t="shared" ref="BT339" si="132">BQ339+BP339</f>
        <v>116715</v>
      </c>
      <c r="BV339" s="108">
        <f t="shared" ref="BV339" si="133">BT339-BT327</f>
        <v>-8749</v>
      </c>
      <c r="BW339" s="541">
        <f t="shared" si="66"/>
        <v>0.88961665193281358</v>
      </c>
      <c r="BX339" s="444">
        <f t="shared" si="67"/>
        <v>0.70395760295945631</v>
      </c>
    </row>
    <row r="340" spans="1:78" s="89" customFormat="1">
      <c r="A340" s="89">
        <f t="shared" si="94"/>
        <v>2010</v>
      </c>
      <c r="B340" s="89">
        <f t="shared" si="95"/>
        <v>12</v>
      </c>
      <c r="C340" s="89">
        <f>'[2]FPC wSEB'!K437</f>
        <v>21597</v>
      </c>
      <c r="D340" s="89">
        <f>'[2]FPC wSEB'!L437</f>
        <v>104225</v>
      </c>
      <c r="E340" s="89">
        <f>SUM('[2]FPC wSEB'!$AC437:$AD437)</f>
        <v>18</v>
      </c>
      <c r="Z340" s="96">
        <f t="shared" ref="Z340" si="134">C340+D340</f>
        <v>125822</v>
      </c>
      <c r="AB340" s="89">
        <f t="shared" ref="AB340" si="135">Z340-Z328</f>
        <v>-32546</v>
      </c>
      <c r="BN340" s="89">
        <f t="shared" si="96"/>
        <v>2010</v>
      </c>
      <c r="BO340" s="89">
        <f t="shared" si="97"/>
        <v>12</v>
      </c>
      <c r="BP340" s="299">
        <f>[3]MTHLY!AL174</f>
        <v>159087</v>
      </c>
      <c r="BQ340" s="299">
        <f>[3]MTHLY!AM174</f>
        <v>180140</v>
      </c>
      <c r="BT340" s="103">
        <f t="shared" ref="BT340" si="136">BQ340+BP340</f>
        <v>339227</v>
      </c>
      <c r="BV340" s="117">
        <f t="shared" ref="BV340" si="137">BT340-BT328</f>
        <v>140985</v>
      </c>
      <c r="BW340" s="542">
        <f t="shared" si="66"/>
        <v>7.3661619669398526</v>
      </c>
      <c r="BX340" s="533">
        <f t="shared" si="67"/>
        <v>1.728376109378748</v>
      </c>
    </row>
    <row r="341" spans="1:78">
      <c r="A341" s="4">
        <f t="shared" si="94"/>
        <v>2011</v>
      </c>
      <c r="B341" s="4">
        <f t="shared" si="95"/>
        <v>1</v>
      </c>
      <c r="C341" s="4">
        <f>'[2]FPC wSEB'!K438</f>
        <v>149590</v>
      </c>
      <c r="D341" s="4">
        <f>'[2]FPC wSEB'!L438</f>
        <v>173597</v>
      </c>
      <c r="E341" s="4">
        <f>SUM('[2]FPC wSEB'!$AC438:$AD438)</f>
        <v>17</v>
      </c>
      <c r="Z341" s="6">
        <f t="shared" ref="Z341" si="138">C341+D341</f>
        <v>323187</v>
      </c>
      <c r="AB341" s="4">
        <f t="shared" ref="AB341" si="139">Z341-Z329</f>
        <v>144561</v>
      </c>
      <c r="BN341" s="4">
        <f t="shared" si="96"/>
        <v>2011</v>
      </c>
      <c r="BO341" s="4">
        <f t="shared" si="97"/>
        <v>1</v>
      </c>
      <c r="BP341" s="130">
        <f>[3]MTHLY!AL175</f>
        <v>108114</v>
      </c>
      <c r="BQ341" s="130">
        <f>[3]MTHLY!AM175</f>
        <v>135135</v>
      </c>
      <c r="BT341" s="5">
        <f t="shared" ref="BT341" si="140">BQ341+BP341</f>
        <v>243249</v>
      </c>
      <c r="BV341" s="108">
        <f t="shared" ref="BV341" si="141">BT341-BT329</f>
        <v>-161341</v>
      </c>
      <c r="BW341" s="541">
        <f t="shared" si="66"/>
        <v>0.72273547697038576</v>
      </c>
      <c r="BX341" s="444">
        <f t="shared" si="67"/>
        <v>0.77844087167404963</v>
      </c>
    </row>
    <row r="342" spans="1:78">
      <c r="A342" s="4">
        <f t="shared" si="94"/>
        <v>2011</v>
      </c>
      <c r="B342" s="4">
        <f t="shared" si="95"/>
        <v>2</v>
      </c>
      <c r="C342" s="4">
        <f>'[2]FPC wSEB'!K439</f>
        <v>116345</v>
      </c>
      <c r="D342" s="4">
        <f>'[2]FPC wSEB'!L439</f>
        <v>112856</v>
      </c>
      <c r="E342" s="4">
        <f>SUM('[2]FPC wSEB'!$AC439:$AD439)</f>
        <v>18</v>
      </c>
      <c r="Z342" s="6">
        <f t="shared" ref="Z342" si="142">C342+D342</f>
        <v>229201</v>
      </c>
      <c r="AB342" s="4">
        <f t="shared" ref="AB342" si="143">Z342-Z330</f>
        <v>-145966</v>
      </c>
      <c r="BN342" s="4">
        <f t="shared" si="96"/>
        <v>2011</v>
      </c>
      <c r="BO342" s="4">
        <f t="shared" si="97"/>
        <v>2</v>
      </c>
      <c r="BP342" s="130">
        <f>[3]MTHLY!AL176</f>
        <v>36223</v>
      </c>
      <c r="BQ342" s="130">
        <f>[3]MTHLY!AM176</f>
        <v>47310</v>
      </c>
      <c r="BT342" s="5">
        <f t="shared" ref="BT342" si="144">BQ342+BP342</f>
        <v>83533</v>
      </c>
      <c r="BV342" s="108">
        <f t="shared" ref="BV342" si="145">BT342-BT330</f>
        <v>-192215</v>
      </c>
      <c r="BW342" s="541">
        <f t="shared" si="66"/>
        <v>0.31134126950019336</v>
      </c>
      <c r="BX342" s="444">
        <f t="shared" si="67"/>
        <v>0.41920677677748636</v>
      </c>
    </row>
    <row r="343" spans="1:78">
      <c r="A343" s="4">
        <f t="shared" si="94"/>
        <v>2011</v>
      </c>
      <c r="B343" s="4">
        <f t="shared" si="95"/>
        <v>3</v>
      </c>
      <c r="C343" s="4">
        <f>'[2]FPC wSEB'!K440</f>
        <v>39889</v>
      </c>
      <c r="D343" s="4">
        <f>'[2]FPC wSEB'!L440</f>
        <v>66873</v>
      </c>
      <c r="E343" s="4">
        <f>SUM('[2]FPC wSEB'!$AC440:$AD440)</f>
        <v>16</v>
      </c>
      <c r="Z343" s="6">
        <f t="shared" ref="Z343" si="146">C343+D343</f>
        <v>106762</v>
      </c>
      <c r="AB343" s="4">
        <f t="shared" ref="AB343" si="147">Z343-Z331</f>
        <v>-200489</v>
      </c>
      <c r="BN343" s="4">
        <f t="shared" si="96"/>
        <v>2011</v>
      </c>
      <c r="BO343" s="4">
        <f t="shared" si="97"/>
        <v>3</v>
      </c>
      <c r="BP343" s="130">
        <f>[3]MTHLY!AL177</f>
        <v>55680</v>
      </c>
      <c r="BQ343" s="130">
        <f>[3]MTHLY!AM177</f>
        <v>75775</v>
      </c>
      <c r="BT343" s="5">
        <f t="shared" ref="BT343" si="148">BQ343+BP343</f>
        <v>131455</v>
      </c>
      <c r="BV343" s="108">
        <f t="shared" ref="BV343" si="149">BT343-BT331</f>
        <v>-102616</v>
      </c>
      <c r="BW343" s="541">
        <f t="shared" si="66"/>
        <v>1.3958735490987491</v>
      </c>
      <c r="BX343" s="444">
        <f t="shared" si="67"/>
        <v>1.133117999790648</v>
      </c>
    </row>
    <row r="344" spans="1:78">
      <c r="A344" s="4">
        <f t="shared" si="94"/>
        <v>2011</v>
      </c>
      <c r="B344" s="4">
        <f t="shared" si="95"/>
        <v>4</v>
      </c>
      <c r="C344" s="4">
        <f>'[2]FPC wSEB'!K441</f>
        <v>54843</v>
      </c>
      <c r="D344" s="4">
        <f>'[2]FPC wSEB'!L441</f>
        <v>74839</v>
      </c>
      <c r="E344" s="4">
        <f>SUM('[2]FPC wSEB'!$AC441:$AD441)</f>
        <v>15</v>
      </c>
      <c r="Z344" s="6">
        <f t="shared" ref="Z344" si="150">C344+D344</f>
        <v>129682</v>
      </c>
      <c r="AB344" s="4">
        <f t="shared" ref="AB344" si="151">Z344-Z332</f>
        <v>-98721</v>
      </c>
      <c r="BN344" s="4">
        <f t="shared" si="96"/>
        <v>2011</v>
      </c>
      <c r="BO344" s="4">
        <f t="shared" si="97"/>
        <v>4</v>
      </c>
      <c r="BP344" s="130">
        <f>[3]MTHLY!AL178</f>
        <v>136454</v>
      </c>
      <c r="BQ344" s="130">
        <f>[3]MTHLY!AM178</f>
        <v>117570</v>
      </c>
      <c r="BT344" s="5">
        <f t="shared" ref="BT344" si="152">BQ344+BP344</f>
        <v>254024</v>
      </c>
      <c r="BV344" s="108">
        <f t="shared" ref="BV344" si="153">BT344-BT332</f>
        <v>75455</v>
      </c>
      <c r="BW344" s="541">
        <f t="shared" si="66"/>
        <v>2.4880841675327754</v>
      </c>
      <c r="BX344" s="444">
        <f t="shared" si="67"/>
        <v>1.5709723539865579</v>
      </c>
    </row>
    <row r="345" spans="1:78">
      <c r="A345" s="4">
        <f t="shared" si="94"/>
        <v>2011</v>
      </c>
      <c r="B345" s="4">
        <f t="shared" si="95"/>
        <v>5</v>
      </c>
      <c r="C345" s="4">
        <f>'[2]FPC wSEB'!K442</f>
        <v>135119</v>
      </c>
      <c r="D345" s="4">
        <f>'[2]FPC wSEB'!L442</f>
        <v>119931</v>
      </c>
      <c r="E345" s="4">
        <f>SUM('[2]FPC wSEB'!$AC442:$AD442)</f>
        <v>15</v>
      </c>
      <c r="Z345" s="6">
        <f t="shared" ref="Z345" si="154">C345+D345</f>
        <v>255050</v>
      </c>
      <c r="AB345" s="4">
        <f t="shared" ref="AB345" si="155">Z345-Z333</f>
        <v>82961</v>
      </c>
      <c r="BN345" s="4">
        <f t="shared" si="96"/>
        <v>2011</v>
      </c>
      <c r="BO345" s="4">
        <f t="shared" si="97"/>
        <v>5</v>
      </c>
      <c r="BP345" s="130">
        <f>[3]MTHLY!AL179</f>
        <v>138432</v>
      </c>
      <c r="BQ345" s="130">
        <f>[3]MTHLY!AM179</f>
        <v>122152</v>
      </c>
      <c r="BT345" s="5">
        <f t="shared" ref="BT345" si="156">BQ345+BP345</f>
        <v>260584</v>
      </c>
      <c r="BV345" s="108">
        <f t="shared" ref="BV345" si="157">BT345-BT333</f>
        <v>-109998</v>
      </c>
      <c r="BW345" s="541">
        <f t="shared" si="66"/>
        <v>1.0245191275838335</v>
      </c>
      <c r="BX345" s="444">
        <f t="shared" si="67"/>
        <v>1.0185189817478384</v>
      </c>
    </row>
    <row r="346" spans="1:78">
      <c r="A346" s="4">
        <f t="shared" si="94"/>
        <v>2011</v>
      </c>
      <c r="B346" s="4">
        <f t="shared" si="95"/>
        <v>6</v>
      </c>
      <c r="C346" s="4">
        <f>'[2]FPC wSEB'!K443</f>
        <v>123038</v>
      </c>
      <c r="D346" s="4">
        <f>'[2]FPC wSEB'!L443</f>
        <v>123144</v>
      </c>
      <c r="E346" s="4">
        <f>SUM('[2]FPC wSEB'!$AC443:$AD443)</f>
        <v>15</v>
      </c>
      <c r="Z346" s="6">
        <f t="shared" ref="Z346" si="158">C346+D346</f>
        <v>246182</v>
      </c>
      <c r="AB346" s="4">
        <f t="shared" ref="AB346" si="159">Z346-Z334</f>
        <v>-111621</v>
      </c>
      <c r="BN346" s="4">
        <f t="shared" si="96"/>
        <v>2011</v>
      </c>
      <c r="BO346" s="4">
        <f t="shared" si="97"/>
        <v>6</v>
      </c>
      <c r="BP346" s="130">
        <f>[3]MTHLY!AL180</f>
        <v>150446</v>
      </c>
      <c r="BQ346" s="130">
        <f>[3]MTHLY!AM180</f>
        <v>128348</v>
      </c>
      <c r="BT346" s="5">
        <f t="shared" ref="BT346" si="160">BQ346+BP346</f>
        <v>278794</v>
      </c>
      <c r="BV346" s="108">
        <f t="shared" ref="BV346" si="161">BT346-BT334</f>
        <v>-172146</v>
      </c>
      <c r="BW346" s="541">
        <f t="shared" si="66"/>
        <v>1.2227604479916774</v>
      </c>
      <c r="BX346" s="444">
        <f t="shared" si="67"/>
        <v>1.0422594685896187</v>
      </c>
    </row>
    <row r="347" spans="1:78">
      <c r="A347" s="4">
        <f t="shared" si="94"/>
        <v>2011</v>
      </c>
      <c r="B347" s="4">
        <f t="shared" si="95"/>
        <v>7</v>
      </c>
      <c r="C347" s="4">
        <f>'[2]FPC wSEB'!K444</f>
        <v>167412</v>
      </c>
      <c r="D347" s="4">
        <f>'[2]FPC wSEB'!L444</f>
        <v>138083</v>
      </c>
      <c r="E347" s="4">
        <f>SUM('[2]FPC wSEB'!$AC444:$AD444)</f>
        <v>15</v>
      </c>
      <c r="Z347" s="6">
        <f t="shared" ref="Z347" si="162">C347+D347</f>
        <v>305495</v>
      </c>
      <c r="AB347" s="4">
        <f t="shared" ref="AB347" si="163">Z347-Z335</f>
        <v>-153434</v>
      </c>
      <c r="BN347" s="4">
        <f t="shared" si="96"/>
        <v>2011</v>
      </c>
      <c r="BO347" s="4">
        <f t="shared" si="97"/>
        <v>7</v>
      </c>
      <c r="BP347" s="130">
        <f>[3]MTHLY!AL181</f>
        <v>133772</v>
      </c>
      <c r="BQ347" s="130">
        <f>[3]MTHLY!AM181</f>
        <v>149838</v>
      </c>
      <c r="BT347" s="5">
        <f t="shared" ref="BT347" si="164">BQ347+BP347</f>
        <v>283610</v>
      </c>
      <c r="BV347" s="108">
        <f t="shared" ref="BV347" si="165">BT347-BT335</f>
        <v>-149793</v>
      </c>
      <c r="BW347" s="541">
        <f t="shared" si="66"/>
        <v>0.79905860989654265</v>
      </c>
      <c r="BX347" s="444">
        <f t="shared" si="67"/>
        <v>1.0851299580686977</v>
      </c>
    </row>
    <row r="348" spans="1:78">
      <c r="A348" s="4">
        <f t="shared" si="94"/>
        <v>2011</v>
      </c>
      <c r="B348" s="4">
        <f t="shared" si="95"/>
        <v>8</v>
      </c>
      <c r="C348" s="4">
        <f>'[2]FPC wSEB'!K445</f>
        <v>136630</v>
      </c>
      <c r="D348" s="4">
        <f>'[2]FPC wSEB'!L445</f>
        <v>147803</v>
      </c>
      <c r="E348" s="4">
        <f>SUM('[2]FPC wSEB'!$AC445:$AD445)</f>
        <v>15</v>
      </c>
      <c r="Z348" s="6">
        <f t="shared" ref="Z348" si="166">C348+D348</f>
        <v>284433</v>
      </c>
      <c r="AB348" s="4">
        <f t="shared" ref="AB348" si="167">Z348-Z336</f>
        <v>-137216</v>
      </c>
      <c r="BN348" s="4">
        <f t="shared" si="96"/>
        <v>2011</v>
      </c>
      <c r="BO348" s="4">
        <f t="shared" si="97"/>
        <v>8</v>
      </c>
      <c r="BP348" s="130">
        <f>[3]MTHLY!AL182</f>
        <v>155257</v>
      </c>
      <c r="BQ348" s="130">
        <f>[3]MTHLY!AM182</f>
        <v>155069</v>
      </c>
      <c r="BT348" s="5">
        <f t="shared" ref="BT348" si="168">BQ348+BP348</f>
        <v>310326</v>
      </c>
      <c r="BV348" s="108">
        <f t="shared" ref="BV348" si="169">BT348-BT336</f>
        <v>-102052</v>
      </c>
      <c r="BW348" s="541">
        <f t="shared" si="66"/>
        <v>1.1363316987484446</v>
      </c>
      <c r="BX348" s="444">
        <f t="shared" si="67"/>
        <v>1.0491600305812467</v>
      </c>
    </row>
    <row r="349" spans="1:78">
      <c r="A349" s="4">
        <f t="shared" si="94"/>
        <v>2011</v>
      </c>
      <c r="B349" s="4">
        <f t="shared" si="95"/>
        <v>9</v>
      </c>
      <c r="C349" s="4">
        <f>'[2]FPC wSEB'!K446</f>
        <v>156247</v>
      </c>
      <c r="D349" s="4">
        <f>'[2]FPC wSEB'!L446</f>
        <v>153199</v>
      </c>
      <c r="E349" s="4">
        <f>SUM('[2]FPC wSEB'!$AC446:$AD446)</f>
        <v>14</v>
      </c>
      <c r="Z349" s="6">
        <f t="shared" ref="Z349" si="170">C349+D349</f>
        <v>309446</v>
      </c>
      <c r="AB349" s="4">
        <f t="shared" ref="AB349" si="171">Z349-Z337</f>
        <v>-112113</v>
      </c>
      <c r="BN349" s="4">
        <f t="shared" si="96"/>
        <v>2011</v>
      </c>
      <c r="BO349" s="4">
        <f t="shared" si="97"/>
        <v>9</v>
      </c>
      <c r="BP349" s="130">
        <f>[3]MTHLY!AL183</f>
        <v>112574</v>
      </c>
      <c r="BQ349" s="130">
        <f>[3]MTHLY!AM183</f>
        <v>132659</v>
      </c>
      <c r="BT349" s="5">
        <f t="shared" ref="BT349" si="172">BQ349+BP349</f>
        <v>245233</v>
      </c>
      <c r="BV349" s="108">
        <f t="shared" ref="BV349" si="173">BT349-BT337</f>
        <v>-34916</v>
      </c>
      <c r="BW349" s="541">
        <f t="shared" si="66"/>
        <v>0.72048743335872045</v>
      </c>
      <c r="BX349" s="444">
        <f t="shared" si="67"/>
        <v>0.86592601779384981</v>
      </c>
      <c r="BY349" s="374" t="s">
        <v>315</v>
      </c>
      <c r="BZ349" s="374" t="s">
        <v>315</v>
      </c>
    </row>
    <row r="350" spans="1:78">
      <c r="A350" s="4">
        <f t="shared" si="94"/>
        <v>2011</v>
      </c>
      <c r="B350" s="4">
        <f t="shared" si="95"/>
        <v>10</v>
      </c>
      <c r="C350" s="4">
        <f>'[2]FPC wSEB'!K447</f>
        <v>107014</v>
      </c>
      <c r="D350" s="4">
        <f>'[2]FPC wSEB'!L447</f>
        <v>128499</v>
      </c>
      <c r="E350" s="4">
        <f>SUM('[2]FPC wSEB'!$AC447:$AD447)</f>
        <v>15</v>
      </c>
      <c r="Z350" s="6">
        <f t="shared" ref="Z350" si="174">C350+D350</f>
        <v>235513</v>
      </c>
      <c r="AB350" s="4">
        <f t="shared" ref="AB350" si="175">Z350-Z338</f>
        <v>-50986</v>
      </c>
      <c r="BN350" s="4">
        <f t="shared" si="96"/>
        <v>2011</v>
      </c>
      <c r="BO350" s="4">
        <f t="shared" si="97"/>
        <v>10</v>
      </c>
      <c r="BP350" s="130">
        <f>[3]MTHLY!AL184</f>
        <v>86715</v>
      </c>
      <c r="BQ350" s="130">
        <f>[3]MTHLY!AM184</f>
        <v>95419</v>
      </c>
      <c r="BT350" s="5">
        <f t="shared" ref="BT350" si="176">BQ350+BP350</f>
        <v>182134</v>
      </c>
      <c r="BV350" s="108">
        <f t="shared" ref="BV350" si="177">BT350-BT338</f>
        <v>19180</v>
      </c>
      <c r="BW350" s="541">
        <f t="shared" si="66"/>
        <v>0.81031453828471045</v>
      </c>
      <c r="BX350" s="444">
        <f t="shared" si="67"/>
        <v>0.7425660900084825</v>
      </c>
    </row>
    <row r="351" spans="1:78">
      <c r="A351" s="4">
        <f t="shared" si="94"/>
        <v>2011</v>
      </c>
      <c r="B351" s="4">
        <f t="shared" si="95"/>
        <v>11</v>
      </c>
      <c r="C351" s="4">
        <f>'[2]FPC wSEB'!K448</f>
        <v>86995</v>
      </c>
      <c r="D351" s="4">
        <f>'[2]FPC wSEB'!L448</f>
        <v>93202</v>
      </c>
      <c r="E351" s="4">
        <f>SUM('[2]FPC wSEB'!$AC448:$AD448)</f>
        <v>15</v>
      </c>
      <c r="Z351" s="6">
        <f t="shared" ref="Z351" si="178">C351+D351</f>
        <v>180197</v>
      </c>
      <c r="AB351" s="4">
        <f t="shared" ref="AB351" si="179">Z351-Z339</f>
        <v>20962</v>
      </c>
      <c r="BN351" s="4">
        <f t="shared" si="96"/>
        <v>2011</v>
      </c>
      <c r="BO351" s="4">
        <f t="shared" si="97"/>
        <v>11</v>
      </c>
      <c r="BP351" s="130">
        <f>[3]MTHLY!AL185</f>
        <v>30910</v>
      </c>
      <c r="BQ351" s="130">
        <f>[3]MTHLY!AM185</f>
        <v>75461</v>
      </c>
      <c r="BT351" s="5">
        <f t="shared" ref="BT351" si="180">BQ351+BP351</f>
        <v>106371</v>
      </c>
      <c r="BV351" s="108">
        <f t="shared" ref="BV351" si="181">BT351-BT339</f>
        <v>-10344</v>
      </c>
      <c r="BW351" s="541">
        <f t="shared" si="66"/>
        <v>0.35530777630898325</v>
      </c>
      <c r="BX351" s="444">
        <f t="shared" si="67"/>
        <v>0.80965000751056848</v>
      </c>
      <c r="BY351" s="374" t="s">
        <v>133</v>
      </c>
      <c r="BZ351" s="356" t="s">
        <v>134</v>
      </c>
    </row>
    <row r="352" spans="1:78" s="89" customFormat="1">
      <c r="A352" s="89">
        <f t="shared" si="94"/>
        <v>2011</v>
      </c>
      <c r="B352" s="89">
        <f t="shared" si="95"/>
        <v>12</v>
      </c>
      <c r="C352" s="89">
        <f>'[2]FPC wSEB'!K449</f>
        <v>29225</v>
      </c>
      <c r="D352" s="89">
        <f>'[2]FPC wSEB'!L449</f>
        <v>78022</v>
      </c>
      <c r="E352" s="89">
        <f>SUM('[2]FPC wSEB'!$AC449:$AD449)</f>
        <v>15</v>
      </c>
      <c r="Z352" s="96">
        <f t="shared" ref="Z352" si="182">C352+D352</f>
        <v>107247</v>
      </c>
      <c r="AB352" s="89">
        <f t="shared" ref="AB352" si="183">Z352-Z340</f>
        <v>-18575</v>
      </c>
      <c r="BN352" s="89">
        <f t="shared" si="96"/>
        <v>2011</v>
      </c>
      <c r="BO352" s="89">
        <f t="shared" si="97"/>
        <v>12</v>
      </c>
      <c r="BP352" s="299">
        <f>[3]MTHLY!AL186</f>
        <v>115551</v>
      </c>
      <c r="BQ352" s="299">
        <f>[3]MTHLY!AM186</f>
        <v>64819</v>
      </c>
      <c r="BT352" s="103">
        <f t="shared" ref="BT352" si="184">BQ352+BP352</f>
        <v>180370</v>
      </c>
      <c r="BV352" s="117">
        <f t="shared" ref="BV352" si="185">BT352-BT340</f>
        <v>-158857</v>
      </c>
      <c r="BW352" s="542">
        <f t="shared" si="66"/>
        <v>3.9538408896492729</v>
      </c>
      <c r="BX352" s="533">
        <f t="shared" si="67"/>
        <v>0.83077849837225393</v>
      </c>
      <c r="BY352" s="531" t="s">
        <v>312</v>
      </c>
      <c r="BZ352" s="531" t="s">
        <v>312</v>
      </c>
    </row>
    <row r="353" spans="1:78">
      <c r="A353" s="4">
        <f t="shared" si="94"/>
        <v>2012</v>
      </c>
      <c r="B353" s="4">
        <f t="shared" si="95"/>
        <v>1</v>
      </c>
      <c r="C353" s="4">
        <f>'[2]FPC wSEB'!K450</f>
        <v>28628</v>
      </c>
      <c r="D353" s="4">
        <f>'[2]FPC wSEB'!L450</f>
        <v>65426</v>
      </c>
      <c r="E353" s="4">
        <f>SUM('[2]FPC wSEB'!$AC450:$AD450)</f>
        <v>15</v>
      </c>
      <c r="Z353" s="6">
        <f t="shared" ref="Z353" si="186">C353+D353</f>
        <v>94054</v>
      </c>
      <c r="AB353" s="4">
        <f t="shared" ref="AB353" si="187">Z353-Z341</f>
        <v>-229133</v>
      </c>
      <c r="BN353" s="4">
        <f t="shared" si="96"/>
        <v>2012</v>
      </c>
      <c r="BO353" s="4">
        <f t="shared" si="97"/>
        <v>1</v>
      </c>
      <c r="BP353" s="130">
        <f>[3]MTHLY!AL187</f>
        <v>48394</v>
      </c>
      <c r="BQ353" s="130">
        <f>[3]MTHLY!AM187</f>
        <v>72026</v>
      </c>
      <c r="BT353" s="5">
        <f t="shared" ref="BT353" si="188">BQ353+BP353</f>
        <v>120420</v>
      </c>
      <c r="BV353" s="108">
        <f t="shared" ref="BV353" si="189">BT353-BT341</f>
        <v>-122829</v>
      </c>
      <c r="BW353" s="541">
        <f t="shared" si="66"/>
        <v>1.6904429230124354</v>
      </c>
      <c r="BX353" s="444">
        <f t="shared" si="67"/>
        <v>1.100877327056522</v>
      </c>
      <c r="BY353" s="532">
        <f>AVERAGE(BW353,BW341,BW329,BW317,BW305,BW293,BW281,BW269,BW257,BW245)-0.5</f>
        <v>1.0178618777737254</v>
      </c>
      <c r="BZ353" s="537">
        <f>AVERAGE(BX353,BX341,BX329,BX317,BX305,BX293,BX281,BX269,BX257,BX245)</f>
        <v>1.041801826002352</v>
      </c>
    </row>
    <row r="354" spans="1:78">
      <c r="A354" s="4">
        <f t="shared" si="94"/>
        <v>2012</v>
      </c>
      <c r="B354" s="4">
        <f t="shared" si="95"/>
        <v>2</v>
      </c>
      <c r="C354" s="4">
        <f>'[2]FPC wSEB'!K451</f>
        <v>48765</v>
      </c>
      <c r="D354" s="4">
        <f>'[2]FPC wSEB'!L451</f>
        <v>70091</v>
      </c>
      <c r="E354" s="4">
        <f>SUM('[2]FPC wSEB'!$AC451:$AD451)</f>
        <v>14</v>
      </c>
      <c r="Z354" s="6">
        <f t="shared" ref="Z354" si="190">C354+D354</f>
        <v>118856</v>
      </c>
      <c r="AB354" s="4">
        <f t="shared" ref="AB354" si="191">Z354-Z342</f>
        <v>-110345</v>
      </c>
      <c r="BN354" s="4">
        <f t="shared" si="96"/>
        <v>2012</v>
      </c>
      <c r="BO354" s="4">
        <f t="shared" si="97"/>
        <v>2</v>
      </c>
      <c r="BP354" s="130">
        <f>[3]MTHLY!AL188</f>
        <v>60412</v>
      </c>
      <c r="BQ354" s="130">
        <f>[3]MTHLY!AM188</f>
        <v>70341</v>
      </c>
      <c r="BT354" s="5">
        <f t="shared" ref="BT354" si="192">BQ354+BP354</f>
        <v>130753</v>
      </c>
      <c r="BV354" s="108">
        <f t="shared" ref="BV354" si="193">BT354-BT342</f>
        <v>47220</v>
      </c>
      <c r="BW354" s="541">
        <f t="shared" si="66"/>
        <v>1.2388393314877473</v>
      </c>
      <c r="BX354" s="444">
        <f t="shared" si="67"/>
        <v>1.0035667917421638</v>
      </c>
      <c r="BY354" s="532">
        <f t="shared" ref="BY354:BY363" si="194">AVERAGE(BW354,BW342,BW330,BW318,BW306,BW294,BW282,BW270,BW246)</f>
        <v>0.96227676523732497</v>
      </c>
      <c r="BZ354" s="537">
        <f t="shared" ref="BZ354:BZ363" si="195">AVERAGE(BX354,BX342,BX330,BX318,BX306,BX294,BX282,BX270,BX246)</f>
        <v>0.85763249270632425</v>
      </c>
    </row>
    <row r="355" spans="1:78">
      <c r="A355" s="4">
        <f t="shared" si="94"/>
        <v>2012</v>
      </c>
      <c r="B355" s="4">
        <f t="shared" si="95"/>
        <v>3</v>
      </c>
      <c r="C355" s="4">
        <f>'[2]FPC wSEB'!K452</f>
        <v>60000</v>
      </c>
      <c r="D355" s="4">
        <f>'[2]FPC wSEB'!L452</f>
        <v>63187</v>
      </c>
      <c r="E355" s="4">
        <f>SUM('[2]FPC wSEB'!$AC452:$AD452)</f>
        <v>15</v>
      </c>
      <c r="Z355" s="6">
        <f t="shared" ref="Z355" si="196">C355+D355</f>
        <v>123187</v>
      </c>
      <c r="AB355" s="4">
        <f t="shared" ref="AB355" si="197">Z355-Z343</f>
        <v>16425</v>
      </c>
      <c r="BN355" s="4">
        <f t="shared" si="96"/>
        <v>2012</v>
      </c>
      <c r="BO355" s="4">
        <f t="shared" si="97"/>
        <v>3</v>
      </c>
      <c r="BP355" s="130">
        <f>[3]MTHLY!AL189</f>
        <v>56654</v>
      </c>
      <c r="BQ355" s="130">
        <f>[3]MTHLY!AM189</f>
        <v>69335</v>
      </c>
      <c r="BT355" s="5">
        <f t="shared" ref="BT355" si="198">BQ355+BP355</f>
        <v>125989</v>
      </c>
      <c r="BV355" s="108">
        <f t="shared" ref="BV355" si="199">BT355-BT343</f>
        <v>-5466</v>
      </c>
      <c r="BW355" s="541">
        <f t="shared" si="66"/>
        <v>0.94423333333333337</v>
      </c>
      <c r="BX355" s="444">
        <f t="shared" si="67"/>
        <v>1.0972984949435802</v>
      </c>
      <c r="BY355" s="532">
        <f t="shared" si="194"/>
        <v>0.92126202113752798</v>
      </c>
      <c r="BZ355" s="537">
        <f t="shared" si="195"/>
        <v>1.1428663149196305</v>
      </c>
    </row>
    <row r="356" spans="1:78">
      <c r="A356" s="4">
        <f t="shared" si="94"/>
        <v>2012</v>
      </c>
      <c r="B356" s="4">
        <f t="shared" si="95"/>
        <v>4</v>
      </c>
      <c r="C356" s="4">
        <f>'[2]FPC wSEB'!K453</f>
        <v>56325</v>
      </c>
      <c r="D356" s="4">
        <f>'[2]FPC wSEB'!L453</f>
        <v>73785</v>
      </c>
      <c r="E356" s="4">
        <f>SUM('[2]FPC wSEB'!$AC453:$AD453)</f>
        <v>14</v>
      </c>
      <c r="Z356" s="6">
        <f t="shared" ref="Z356" si="200">C356+D356</f>
        <v>130110</v>
      </c>
      <c r="AB356" s="4">
        <f t="shared" ref="AB356" si="201">Z356-Z344</f>
        <v>428</v>
      </c>
      <c r="BN356" s="4">
        <f t="shared" si="96"/>
        <v>2012</v>
      </c>
      <c r="BO356" s="4">
        <f t="shared" si="97"/>
        <v>4</v>
      </c>
      <c r="BP356" s="130">
        <f>[3]MTHLY!AL190</f>
        <v>47379</v>
      </c>
      <c r="BQ356" s="130">
        <f>[3]MTHLY!AM190</f>
        <v>69603</v>
      </c>
      <c r="BT356" s="5">
        <f t="shared" ref="BT356" si="202">BQ356+BP356</f>
        <v>116982</v>
      </c>
      <c r="BV356" s="108">
        <f t="shared" ref="BV356" si="203">BT356-BT344</f>
        <v>-137042</v>
      </c>
      <c r="BW356" s="541">
        <f t="shared" si="66"/>
        <v>0.84117177097203732</v>
      </c>
      <c r="BX356" s="444">
        <f t="shared" si="67"/>
        <v>0.94332181337670262</v>
      </c>
      <c r="BY356" s="532">
        <f t="shared" si="194"/>
        <v>1.1014867023568726</v>
      </c>
      <c r="BZ356" s="537">
        <f t="shared" si="195"/>
        <v>1.0270378407519745</v>
      </c>
    </row>
    <row r="357" spans="1:78">
      <c r="A357" s="4">
        <f t="shared" si="94"/>
        <v>2012</v>
      </c>
      <c r="B357" s="4">
        <f t="shared" si="95"/>
        <v>5</v>
      </c>
      <c r="C357" s="4">
        <f>'[2]FPC wSEB'!K454</f>
        <v>47615</v>
      </c>
      <c r="D357" s="4">
        <f>'[2]FPC wSEB'!L454</f>
        <v>71175</v>
      </c>
      <c r="E357" s="4">
        <f>SUM('[2]FPC wSEB'!$AC454:$AD454)</f>
        <v>15</v>
      </c>
      <c r="Z357" s="6">
        <f t="shared" ref="Z357" si="204">C357+D357</f>
        <v>118790</v>
      </c>
      <c r="AB357" s="4">
        <f t="shared" ref="AB357" si="205">Z357-Z345</f>
        <v>-136260</v>
      </c>
      <c r="BN357" s="4">
        <f t="shared" si="96"/>
        <v>2012</v>
      </c>
      <c r="BO357" s="4">
        <f t="shared" si="97"/>
        <v>5</v>
      </c>
      <c r="BP357" s="130">
        <f>[3]MTHLY!AL191</f>
        <v>61180</v>
      </c>
      <c r="BQ357" s="130">
        <f>[3]MTHLY!AM191</f>
        <v>86176</v>
      </c>
      <c r="BT357" s="5">
        <f t="shared" ref="BT357" si="206">BQ357+BP357</f>
        <v>147356</v>
      </c>
      <c r="BV357" s="108">
        <f t="shared" ref="BV357" si="207">BT357-BT345</f>
        <v>-113228</v>
      </c>
      <c r="BW357" s="541">
        <f t="shared" si="66"/>
        <v>1.2848892155833245</v>
      </c>
      <c r="BX357" s="444">
        <f t="shared" si="67"/>
        <v>1.210762205830699</v>
      </c>
      <c r="BY357" s="532">
        <f t="shared" si="194"/>
        <v>1.4812578965651122</v>
      </c>
      <c r="BZ357" s="537">
        <f t="shared" si="195"/>
        <v>1.1179351481759499</v>
      </c>
    </row>
    <row r="358" spans="1:78">
      <c r="A358" s="4">
        <f t="shared" si="94"/>
        <v>2012</v>
      </c>
      <c r="B358" s="4">
        <f t="shared" si="95"/>
        <v>6</v>
      </c>
      <c r="C358" s="4">
        <f>'[2]FPC wSEB'!K455</f>
        <v>66675</v>
      </c>
      <c r="D358" s="4">
        <f>'[2]FPC wSEB'!L455</f>
        <v>92639</v>
      </c>
      <c r="E358" s="4">
        <f>SUM('[2]FPC wSEB'!$AC455:$AD455)</f>
        <v>15</v>
      </c>
      <c r="Z358" s="6">
        <f t="shared" ref="Z358" si="208">C358+D358</f>
        <v>159314</v>
      </c>
      <c r="AB358" s="4">
        <f t="shared" ref="AB358" si="209">Z358-Z346</f>
        <v>-86868</v>
      </c>
      <c r="BN358" s="4">
        <f t="shared" si="96"/>
        <v>2012</v>
      </c>
      <c r="BO358" s="4">
        <f t="shared" si="97"/>
        <v>6</v>
      </c>
      <c r="BP358" s="130">
        <f>[3]MTHLY!AL192</f>
        <v>58558</v>
      </c>
      <c r="BQ358" s="130">
        <f>[3]MTHLY!AM192</f>
        <v>94372</v>
      </c>
      <c r="BT358" s="5">
        <f t="shared" ref="BT358" si="210">BQ358+BP358</f>
        <v>152930</v>
      </c>
      <c r="BV358" s="108">
        <f t="shared" ref="BV358" si="211">BT358-BT346</f>
        <v>-125864</v>
      </c>
      <c r="BW358" s="541">
        <f t="shared" si="66"/>
        <v>0.87826021747281591</v>
      </c>
      <c r="BX358" s="444">
        <f t="shared" si="67"/>
        <v>1.0187070240395513</v>
      </c>
      <c r="BY358" s="532">
        <f t="shared" si="194"/>
        <v>1.3253196064797079</v>
      </c>
      <c r="BZ358" s="537">
        <f t="shared" si="195"/>
        <v>1.0991289751469704</v>
      </c>
    </row>
    <row r="359" spans="1:78">
      <c r="A359" s="4">
        <f t="shared" si="94"/>
        <v>2012</v>
      </c>
      <c r="B359" s="4">
        <f t="shared" si="95"/>
        <v>7</v>
      </c>
      <c r="C359" s="4">
        <f>'[2]FPC wSEB'!K456</f>
        <v>53652</v>
      </c>
      <c r="D359" s="4">
        <f>'[2]FPC wSEB'!L456</f>
        <v>90255</v>
      </c>
      <c r="E359" s="4">
        <f>SUM('[2]FPC wSEB'!$AC456:$AD456)</f>
        <v>15</v>
      </c>
      <c r="Z359" s="6">
        <f t="shared" ref="Z359" si="212">C359+D359</f>
        <v>143907</v>
      </c>
      <c r="AB359" s="4">
        <f t="shared" ref="AB359" si="213">Z359-Z347</f>
        <v>-161588</v>
      </c>
      <c r="BN359" s="4">
        <f t="shared" si="96"/>
        <v>2012</v>
      </c>
      <c r="BO359" s="4">
        <f t="shared" si="97"/>
        <v>7</v>
      </c>
      <c r="BP359" s="130">
        <f>[3]MTHLY!AL193</f>
        <v>127592</v>
      </c>
      <c r="BQ359" s="130">
        <f>[3]MTHLY!AM193</f>
        <v>121299</v>
      </c>
      <c r="BT359" s="5">
        <f t="shared" ref="BT359" si="214">BQ359+BP359</f>
        <v>248891</v>
      </c>
      <c r="BV359" s="108">
        <f t="shared" ref="BV359" si="215">BT359-BT347</f>
        <v>-34719</v>
      </c>
      <c r="BW359" s="541">
        <f t="shared" si="66"/>
        <v>2.3781406098561098</v>
      </c>
      <c r="BX359" s="444">
        <f t="shared" si="67"/>
        <v>1.3439587834469005</v>
      </c>
      <c r="BY359" s="532">
        <f t="shared" si="194"/>
        <v>1.2979262464491059</v>
      </c>
      <c r="BZ359" s="537">
        <f t="shared" si="195"/>
        <v>1.1184404831215984</v>
      </c>
    </row>
    <row r="360" spans="1:78">
      <c r="A360" s="4">
        <f t="shared" si="94"/>
        <v>2012</v>
      </c>
      <c r="B360" s="4">
        <f t="shared" si="95"/>
        <v>8</v>
      </c>
      <c r="C360" s="4">
        <f>'[2]FPC wSEB'!K457</f>
        <v>127733</v>
      </c>
      <c r="D360" s="4">
        <f>'[2]FPC wSEB'!L457</f>
        <v>121856</v>
      </c>
      <c r="E360" s="4">
        <f>SUM('[2]FPC wSEB'!$AC457:$AD457)</f>
        <v>14</v>
      </c>
      <c r="Z360" s="6">
        <f t="shared" ref="Z360" si="216">C360+D360</f>
        <v>249589</v>
      </c>
      <c r="AB360" s="4">
        <f t="shared" ref="AB360" si="217">Z360-Z348</f>
        <v>-34844</v>
      </c>
      <c r="BN360" s="4">
        <f t="shared" si="96"/>
        <v>2012</v>
      </c>
      <c r="BO360" s="4">
        <f t="shared" si="97"/>
        <v>8</v>
      </c>
      <c r="BP360" s="130">
        <f>[3]MTHLY!AL194</f>
        <v>97980</v>
      </c>
      <c r="BQ360" s="130">
        <f>[3]MTHLY!AM194</f>
        <v>110485</v>
      </c>
      <c r="BT360" s="5">
        <f t="shared" ref="BT360" si="218">BQ360+BP360</f>
        <v>208465</v>
      </c>
      <c r="BV360" s="108">
        <f t="shared" ref="BV360" si="219">BT360-BT348</f>
        <v>-101861</v>
      </c>
      <c r="BW360" s="541">
        <f t="shared" si="66"/>
        <v>0.76706880759083396</v>
      </c>
      <c r="BX360" s="444">
        <f t="shared" si="67"/>
        <v>0.90668493960084029</v>
      </c>
      <c r="BY360" s="532">
        <f t="shared" si="194"/>
        <v>1.2252363712026968</v>
      </c>
      <c r="BZ360" s="537">
        <f t="shared" si="195"/>
        <v>1.0133261999760412</v>
      </c>
    </row>
    <row r="361" spans="1:78">
      <c r="A361" s="4">
        <f t="shared" si="94"/>
        <v>2012</v>
      </c>
      <c r="B361" s="4">
        <f t="shared" si="95"/>
        <v>9</v>
      </c>
      <c r="C361" s="4">
        <f>'[2]FPC wSEB'!K458</f>
        <v>97650</v>
      </c>
      <c r="D361" s="4">
        <f>'[2]FPC wSEB'!L458</f>
        <v>113008</v>
      </c>
      <c r="E361" s="4">
        <f>SUM('[2]FPC wSEB'!$AC458:$AD458)</f>
        <v>17</v>
      </c>
      <c r="Z361" s="6">
        <f t="shared" ref="Z361" si="220">C361+D361</f>
        <v>210658</v>
      </c>
      <c r="AB361" s="4">
        <f t="shared" ref="AB361" si="221">Z361-Z349</f>
        <v>-98788</v>
      </c>
      <c r="BN361" s="4">
        <f t="shared" si="96"/>
        <v>2012</v>
      </c>
      <c r="BO361" s="4">
        <f t="shared" si="97"/>
        <v>9</v>
      </c>
      <c r="BP361" s="130">
        <f>[3]MTHLY!AL195</f>
        <v>67573</v>
      </c>
      <c r="BQ361" s="130">
        <f>[3]MTHLY!AM195</f>
        <v>107751</v>
      </c>
      <c r="BT361" s="5">
        <f t="shared" ref="BT361" si="222">BQ361+BP361</f>
        <v>175324</v>
      </c>
      <c r="BV361" s="108">
        <f t="shared" ref="BV361" si="223">BT361-BT349</f>
        <v>-69909</v>
      </c>
      <c r="BW361" s="541">
        <f t="shared" si="66"/>
        <v>0.69199180747567846</v>
      </c>
      <c r="BX361" s="444">
        <f t="shared" si="67"/>
        <v>0.9534811694747275</v>
      </c>
      <c r="BY361" s="532">
        <f t="shared" si="194"/>
        <v>0.68158250085825545</v>
      </c>
      <c r="BZ361" s="537">
        <f t="shared" si="195"/>
        <v>0.89371497817528878</v>
      </c>
    </row>
    <row r="362" spans="1:78">
      <c r="A362" s="4">
        <f t="shared" si="94"/>
        <v>2012</v>
      </c>
      <c r="B362" s="4">
        <f t="shared" si="95"/>
        <v>10</v>
      </c>
      <c r="C362" s="4">
        <f>'[2]FPC wSEB'!K459</f>
        <v>65978</v>
      </c>
      <c r="D362" s="4">
        <f>'[2]FPC wSEB'!L459</f>
        <v>106804</v>
      </c>
      <c r="E362" s="4">
        <f>SUM('[2]FPC wSEB'!$AC459:$AD459)</f>
        <v>19</v>
      </c>
      <c r="Z362" s="6">
        <f t="shared" ref="Z362" si="224">C362+D362</f>
        <v>172782</v>
      </c>
      <c r="AB362" s="4">
        <f t="shared" ref="AB362" si="225">Z362-Z350</f>
        <v>-62731</v>
      </c>
      <c r="BN362" s="4">
        <f t="shared" si="96"/>
        <v>2012</v>
      </c>
      <c r="BO362" s="4">
        <f t="shared" si="97"/>
        <v>10</v>
      </c>
      <c r="BP362" s="130">
        <f>[3]MTHLY!AL196</f>
        <v>60952</v>
      </c>
      <c r="BQ362" s="130">
        <f>[3]MTHLY!AM196</f>
        <v>99718</v>
      </c>
      <c r="BT362" s="5">
        <f t="shared" ref="BT362" si="226">BQ362+BP362</f>
        <v>160670</v>
      </c>
      <c r="BV362" s="108">
        <f t="shared" ref="BV362" si="227">BT362-BT350</f>
        <v>-21464</v>
      </c>
      <c r="BW362" s="541">
        <f t="shared" si="66"/>
        <v>0.92382309254600015</v>
      </c>
      <c r="BX362" s="444">
        <f t="shared" si="67"/>
        <v>0.93365417025579567</v>
      </c>
      <c r="BY362" s="532">
        <f t="shared" si="194"/>
        <v>0.77643468198872378</v>
      </c>
      <c r="BZ362" s="537">
        <f t="shared" si="195"/>
        <v>0.89289703075682425</v>
      </c>
    </row>
    <row r="363" spans="1:78">
      <c r="A363" s="4">
        <f t="shared" si="94"/>
        <v>2012</v>
      </c>
      <c r="B363" s="4">
        <f t="shared" si="95"/>
        <v>11</v>
      </c>
      <c r="C363" s="4">
        <f>'[2]FPC wSEB'!K460</f>
        <v>61128</v>
      </c>
      <c r="D363" s="4">
        <f>'[2]FPC wSEB'!L460</f>
        <v>96863</v>
      </c>
      <c r="E363" s="4">
        <f>SUM('[2]FPC wSEB'!$AC460:$AD460)</f>
        <v>19</v>
      </c>
      <c r="Z363" s="6">
        <f t="shared" ref="Z363" si="228">C363+D363</f>
        <v>157991</v>
      </c>
      <c r="AB363" s="4">
        <f t="shared" ref="AB363" si="229">Z363-Z351</f>
        <v>-22206</v>
      </c>
      <c r="BN363" s="4">
        <f t="shared" si="96"/>
        <v>2012</v>
      </c>
      <c r="BO363" s="4">
        <f t="shared" si="97"/>
        <v>11</v>
      </c>
      <c r="BP363" s="130">
        <f>[3]MTHLY!AL197</f>
        <v>20982</v>
      </c>
      <c r="BQ363" s="130">
        <f>[3]MTHLY!AM197</f>
        <v>64530</v>
      </c>
      <c r="BT363" s="5">
        <f t="shared" ref="BT363" si="230">BQ363+BP363</f>
        <v>85512</v>
      </c>
      <c r="BV363" s="108">
        <f t="shared" ref="BV363" si="231">BT363-BT351</f>
        <v>-20859</v>
      </c>
      <c r="BW363" s="541">
        <f t="shared" si="66"/>
        <v>0.34324695720455439</v>
      </c>
      <c r="BX363" s="444">
        <f t="shared" si="67"/>
        <v>0.66619865170395298</v>
      </c>
      <c r="BY363" s="532">
        <f t="shared" si="194"/>
        <v>0.73086276324667876</v>
      </c>
      <c r="BZ363" s="537">
        <f t="shared" si="195"/>
        <v>0.77359448357404026</v>
      </c>
    </row>
    <row r="364" spans="1:78" s="89" customFormat="1">
      <c r="A364" s="89">
        <f t="shared" si="94"/>
        <v>2012</v>
      </c>
      <c r="B364" s="89">
        <f t="shared" si="95"/>
        <v>12</v>
      </c>
      <c r="C364" s="89">
        <f>'[2]FPC wSEB'!K461</f>
        <v>21751</v>
      </c>
      <c r="D364" s="89">
        <f>'[2]FPC wSEB'!L461</f>
        <v>66563</v>
      </c>
      <c r="E364" s="89">
        <f>SUM('[2]FPC wSEB'!$AC461:$AD461)</f>
        <v>15</v>
      </c>
      <c r="Z364" s="96">
        <f t="shared" ref="Z364" si="232">C364+D364</f>
        <v>88314</v>
      </c>
      <c r="AB364" s="89">
        <f t="shared" ref="AB364" si="233">Z364-Z352</f>
        <v>-18933</v>
      </c>
      <c r="BN364" s="89">
        <f t="shared" si="96"/>
        <v>2012</v>
      </c>
      <c r="BO364" s="89">
        <f t="shared" si="97"/>
        <v>12</v>
      </c>
      <c r="BP364" s="299">
        <f>[3]MTHLY!AL198</f>
        <v>50473</v>
      </c>
      <c r="BQ364" s="299">
        <f>[3]MTHLY!AM198</f>
        <v>77629</v>
      </c>
      <c r="BT364" s="103">
        <f t="shared" ref="BT364" si="234">BQ364+BP364</f>
        <v>128102</v>
      </c>
      <c r="BV364" s="117">
        <f t="shared" ref="BV364" si="235">BT364-BT352</f>
        <v>-52268</v>
      </c>
      <c r="BW364" s="542">
        <f t="shared" si="66"/>
        <v>2.3204910119074986</v>
      </c>
      <c r="BX364" s="533">
        <f t="shared" si="67"/>
        <v>1.1662485164430689</v>
      </c>
      <c r="BY364" s="530">
        <f>AVERAGE(BW364,BW352,BW340,BW328,BW316,BW304,BW292,BW280,BW256)-1</f>
        <v>1.1790987326623945</v>
      </c>
      <c r="BZ364" s="443">
        <f>AVERAGE(BX364,BX352,BX340,BX328,BX316,BX304,BX292,BX280,BX256)</f>
        <v>1.121237156838929</v>
      </c>
    </row>
    <row r="365" spans="1:78">
      <c r="A365" s="4">
        <f t="shared" si="94"/>
        <v>2013</v>
      </c>
      <c r="B365" s="4">
        <f t="shared" si="95"/>
        <v>1</v>
      </c>
      <c r="C365" s="4">
        <f>'[2]FPC wSEB'!K462</f>
        <v>49067</v>
      </c>
      <c r="D365" s="4">
        <f>'[2]FPC wSEB'!L462</f>
        <v>72812</v>
      </c>
      <c r="E365" s="4">
        <f>SUM('[2]FPC wSEB'!$AC462:$AD462)</f>
        <v>15</v>
      </c>
      <c r="Z365" s="6">
        <f t="shared" ref="Z365" si="236">C365+D365</f>
        <v>121879</v>
      </c>
      <c r="AB365" s="4">
        <f t="shared" ref="AB365" si="237">Z365-Z353</f>
        <v>27825</v>
      </c>
      <c r="BN365" s="4">
        <f t="shared" si="96"/>
        <v>2013</v>
      </c>
      <c r="BO365" s="4">
        <f t="shared" si="97"/>
        <v>1</v>
      </c>
      <c r="BP365" s="130">
        <f>[3]MTHLY!AL199</f>
        <v>10186</v>
      </c>
      <c r="BQ365" s="130">
        <f>[3]MTHLY!AM199</f>
        <v>65209</v>
      </c>
      <c r="BT365" s="5">
        <f t="shared" ref="BT365" si="238">BQ365+BP365</f>
        <v>75395</v>
      </c>
      <c r="BV365" s="108">
        <f t="shared" ref="BV365" si="239">BT365-BT353</f>
        <v>-45025</v>
      </c>
      <c r="BW365" s="541">
        <f t="shared" si="66"/>
        <v>0.20759369841237491</v>
      </c>
      <c r="BX365" s="444">
        <f t="shared" si="67"/>
        <v>0.89558039883535678</v>
      </c>
      <c r="BY365" s="528">
        <f>SUM(BY353:BY364)</f>
        <v>12.700606165958126</v>
      </c>
      <c r="BZ365" s="528">
        <f>SUM(BZ353:BZ364)</f>
        <v>12.099612930145923</v>
      </c>
    </row>
    <row r="366" spans="1:78">
      <c r="A366" s="4">
        <f t="shared" si="94"/>
        <v>2013</v>
      </c>
      <c r="B366" s="4">
        <f t="shared" si="95"/>
        <v>2</v>
      </c>
      <c r="C366" s="4">
        <f>'[2]FPC wSEB'!K463</f>
        <v>11801</v>
      </c>
      <c r="D366" s="4">
        <f>'[2]FPC wSEB'!L463</f>
        <v>57134</v>
      </c>
      <c r="E366" s="4">
        <f>SUM('[2]FPC wSEB'!$AC463:$AD463)</f>
        <v>15</v>
      </c>
      <c r="Z366" s="6">
        <f t="shared" ref="Z366" si="240">C366+D366</f>
        <v>68935</v>
      </c>
      <c r="AB366" s="4">
        <f t="shared" ref="AB366" si="241">Z366-Z354</f>
        <v>-49921</v>
      </c>
      <c r="BN366" s="4">
        <f t="shared" si="96"/>
        <v>2013</v>
      </c>
      <c r="BO366" s="4">
        <f t="shared" si="97"/>
        <v>2</v>
      </c>
      <c r="BP366" s="130">
        <f>[3]MTHLY!AL200</f>
        <v>33306</v>
      </c>
      <c r="BQ366" s="130">
        <f>[3]MTHLY!AM200</f>
        <v>38055</v>
      </c>
      <c r="BT366" s="5">
        <f t="shared" ref="BT366" si="242">BQ366+BP366</f>
        <v>71361</v>
      </c>
      <c r="BV366" s="108">
        <f t="shared" ref="BV366" si="243">BT366-BT354</f>
        <v>-59392</v>
      </c>
      <c r="BW366" s="541">
        <f t="shared" si="66"/>
        <v>2.8223031946445216</v>
      </c>
      <c r="BX366" s="444">
        <f t="shared" si="67"/>
        <v>0.66606574018972942</v>
      </c>
      <c r="BY366" s="528"/>
    </row>
    <row r="367" spans="1:78">
      <c r="A367" s="4">
        <f t="shared" si="94"/>
        <v>2013</v>
      </c>
      <c r="B367" s="4">
        <f t="shared" si="95"/>
        <v>3</v>
      </c>
      <c r="C367" s="4">
        <f>'[2]FPC wSEB'!K464</f>
        <v>33344</v>
      </c>
      <c r="D367" s="4">
        <f>'[2]FPC wSEB'!L464</f>
        <v>45628</v>
      </c>
      <c r="E367" s="4">
        <f>SUM('[2]FPC wSEB'!$AC464:$AD464)</f>
        <v>16</v>
      </c>
      <c r="Z367" s="6">
        <f t="shared" ref="Z367:Z368" si="244">C367+D367</f>
        <v>78972</v>
      </c>
      <c r="AB367" s="4">
        <f t="shared" ref="AB367:AB368" si="245">Z367-Z355</f>
        <v>-44215</v>
      </c>
      <c r="BN367" s="4">
        <f t="shared" si="96"/>
        <v>2013</v>
      </c>
      <c r="BO367" s="4">
        <f t="shared" si="97"/>
        <v>3</v>
      </c>
      <c r="BP367" s="130">
        <f>[3]MTHLY!AL201</f>
        <v>30472</v>
      </c>
      <c r="BQ367" s="130">
        <f>[3]MTHLY!AM201</f>
        <v>60105</v>
      </c>
      <c r="BT367" s="5">
        <f t="shared" ref="BT367:BT368" si="246">BQ367+BP367</f>
        <v>90577</v>
      </c>
      <c r="BV367" s="108">
        <f t="shared" ref="BV367:BV368" si="247">BT367-BT355</f>
        <v>-35412</v>
      </c>
      <c r="BW367" s="541">
        <f t="shared" ref="BW367:BW368" si="248">BP367/C367</f>
        <v>0.91386756238003841</v>
      </c>
      <c r="BX367" s="444">
        <f t="shared" ref="BX367:BX368" si="249">BQ367/D367</f>
        <v>1.3172832471289559</v>
      </c>
      <c r="BY367" s="528"/>
    </row>
    <row r="368" spans="1:78">
      <c r="A368" s="4">
        <f t="shared" si="94"/>
        <v>2013</v>
      </c>
      <c r="B368" s="4">
        <f t="shared" si="95"/>
        <v>4</v>
      </c>
      <c r="C368" s="4">
        <f>'[2]FPC wSEB'!K465</f>
        <v>31968</v>
      </c>
      <c r="D368" s="4">
        <f>'[2]FPC wSEB'!L465</f>
        <v>62891</v>
      </c>
      <c r="E368" s="4">
        <f>SUM('[2]FPC wSEB'!$AC465:$AD465)</f>
        <v>16</v>
      </c>
      <c r="Z368" s="6">
        <f t="shared" si="244"/>
        <v>94859</v>
      </c>
      <c r="AB368" s="4">
        <f t="shared" si="245"/>
        <v>-35251</v>
      </c>
      <c r="BN368" s="4">
        <f t="shared" si="96"/>
        <v>2013</v>
      </c>
      <c r="BO368" s="4">
        <f t="shared" si="97"/>
        <v>4</v>
      </c>
      <c r="BP368" s="130">
        <f>[3]MTHLY!AL202</f>
        <v>62931</v>
      </c>
      <c r="BQ368" s="130">
        <f>[3]MTHLY!AM202</f>
        <v>76648</v>
      </c>
      <c r="BT368" s="5">
        <f t="shared" si="246"/>
        <v>139579</v>
      </c>
      <c r="BV368" s="108">
        <f t="shared" si="247"/>
        <v>22597</v>
      </c>
      <c r="BW368" s="541">
        <f t="shared" si="248"/>
        <v>1.9685623123123124</v>
      </c>
      <c r="BX368" s="444">
        <f t="shared" si="249"/>
        <v>1.2187435404111877</v>
      </c>
      <c r="BY368" s="528"/>
    </row>
    <row r="369" spans="1:77">
      <c r="A369" s="4">
        <f t="shared" si="94"/>
        <v>2013</v>
      </c>
      <c r="B369" s="4">
        <f t="shared" si="95"/>
        <v>5</v>
      </c>
      <c r="C369" s="4">
        <f>'[2]FPC wSEB'!K466</f>
        <v>65435</v>
      </c>
      <c r="D369" s="4">
        <f>'[2]FPC wSEB'!L466</f>
        <v>70221</v>
      </c>
      <c r="E369" s="4">
        <f>SUM('[2]FPC wSEB'!$AC466:$AD466)</f>
        <v>15</v>
      </c>
      <c r="Z369" s="6">
        <f t="shared" ref="Z369" si="250">C369+D369</f>
        <v>135656</v>
      </c>
      <c r="AB369" s="4">
        <f t="shared" ref="AB369" si="251">Z369-Z357</f>
        <v>16866</v>
      </c>
      <c r="BN369" s="4">
        <f t="shared" si="96"/>
        <v>2013</v>
      </c>
      <c r="BO369" s="4">
        <f t="shared" si="97"/>
        <v>5</v>
      </c>
      <c r="BP369" s="130">
        <f>[3]MTHLY!AL203</f>
        <v>60459</v>
      </c>
      <c r="BQ369" s="130">
        <f>[3]MTHLY!AM203</f>
        <v>59405</v>
      </c>
      <c r="BT369" s="5">
        <f t="shared" ref="BT369" si="252">BQ369+BP369</f>
        <v>119864</v>
      </c>
      <c r="BV369" s="108">
        <f t="shared" ref="BV369" si="253">BT369-BT357</f>
        <v>-27492</v>
      </c>
      <c r="BW369" s="541">
        <f t="shared" ref="BW369" si="254">BP369/C369</f>
        <v>0.92395506991671128</v>
      </c>
      <c r="BX369" s="444">
        <f t="shared" ref="BX369" si="255">BQ369/D369</f>
        <v>0.8459720026772618</v>
      </c>
      <c r="BY369" s="528"/>
    </row>
    <row r="370" spans="1:77">
      <c r="A370" s="4">
        <f t="shared" si="94"/>
        <v>2013</v>
      </c>
      <c r="B370" s="4">
        <f t="shared" si="95"/>
        <v>6</v>
      </c>
      <c r="C370" s="4">
        <f>'[2]FPC wSEB'!K467</f>
        <v>57832</v>
      </c>
      <c r="D370" s="4">
        <f>'[2]FPC wSEB'!L467</f>
        <v>63830</v>
      </c>
      <c r="E370" s="4">
        <f>SUM('[2]FPC wSEB'!$AC467:$AD467)</f>
        <v>15</v>
      </c>
      <c r="Z370" s="6">
        <f t="shared" ref="Z370" si="256">C370+D370</f>
        <v>121662</v>
      </c>
      <c r="AB370" s="4">
        <f t="shared" ref="AB370" si="257">Z370-Z358</f>
        <v>-37652</v>
      </c>
      <c r="BN370" s="4">
        <f t="shared" si="96"/>
        <v>2013</v>
      </c>
      <c r="BO370" s="4">
        <f t="shared" si="97"/>
        <v>6</v>
      </c>
      <c r="BP370" s="130">
        <f>[3]MTHLY!AL204</f>
        <v>93927</v>
      </c>
      <c r="BQ370" s="130">
        <f>[3]MTHLY!AM204</f>
        <v>82391</v>
      </c>
      <c r="BT370" s="5">
        <f t="shared" ref="BT370" si="258">BQ370+BP370</f>
        <v>176318</v>
      </c>
      <c r="BV370" s="108">
        <f t="shared" ref="BV370" si="259">BT370-BT358</f>
        <v>23388</v>
      </c>
      <c r="BW370" s="541">
        <f t="shared" ref="BW370" si="260">BP370/C370</f>
        <v>1.6241354267533545</v>
      </c>
      <c r="BX370" s="444">
        <f t="shared" ref="BX370" si="261">BQ370/D370</f>
        <v>1.2907880307065642</v>
      </c>
      <c r="BY370" s="528"/>
    </row>
    <row r="371" spans="1:77">
      <c r="A371" s="4">
        <f t="shared" si="94"/>
        <v>2013</v>
      </c>
      <c r="B371" s="4">
        <f t="shared" si="95"/>
        <v>7</v>
      </c>
      <c r="C371" s="4">
        <f>'[2]FPC wSEB'!K468</f>
        <v>89037</v>
      </c>
      <c r="D371" s="4">
        <f>'[2]FPC wSEB'!L468</f>
        <v>84819</v>
      </c>
      <c r="E371" s="4">
        <f>SUM('[2]FPC wSEB'!$AC468:$AD468)</f>
        <v>15</v>
      </c>
      <c r="Z371" s="6">
        <f t="shared" ref="Z371" si="262">C371+D371</f>
        <v>173856</v>
      </c>
      <c r="AB371" s="4">
        <f t="shared" ref="AB371" si="263">Z371-Z359</f>
        <v>29949</v>
      </c>
      <c r="BK371" s="4">
        <v>14279</v>
      </c>
      <c r="BN371" s="4">
        <f t="shared" si="96"/>
        <v>2013</v>
      </c>
      <c r="BO371" s="4">
        <f t="shared" si="97"/>
        <v>7</v>
      </c>
      <c r="BP371" s="130">
        <f>C371+[4]MWh!$AQ205</f>
        <v>50014</v>
      </c>
      <c r="BQ371" s="130">
        <f>D371+[4]MWh!$AP205</f>
        <v>75730</v>
      </c>
      <c r="BT371" s="5">
        <f t="shared" ref="BT371" si="264">BQ371+BP371</f>
        <v>125744</v>
      </c>
      <c r="BV371" s="108">
        <f t="shared" ref="BV371" si="265">BT371-BT359</f>
        <v>-123147</v>
      </c>
      <c r="BW371" s="541">
        <f t="shared" ref="BW371" si="266">BP371/C371</f>
        <v>0.56172153149814119</v>
      </c>
      <c r="BX371" s="444">
        <f t="shared" ref="BX371" si="267">BQ371/D371</f>
        <v>0.89284240559308647</v>
      </c>
      <c r="BY371" s="528"/>
    </row>
    <row r="372" spans="1:77">
      <c r="A372" s="4">
        <f t="shared" si="94"/>
        <v>2013</v>
      </c>
      <c r="B372" s="4">
        <f t="shared" si="95"/>
        <v>8</v>
      </c>
      <c r="C372" s="4">
        <f>'[2]FPC wSEB'!K469</f>
        <v>53302</v>
      </c>
      <c r="D372" s="4">
        <f>'[2]FPC wSEB'!L469</f>
        <v>75960</v>
      </c>
      <c r="E372" s="4">
        <f>SUM('[2]FPC wSEB'!$AC469:$AD469)</f>
        <v>16</v>
      </c>
      <c r="Z372" s="6">
        <f t="shared" ref="Z372" si="268">C372+D372</f>
        <v>129262</v>
      </c>
      <c r="AB372" s="4">
        <f t="shared" ref="AB372" si="269">Z372-Z360</f>
        <v>-120327</v>
      </c>
      <c r="BK372" s="4">
        <v>94286</v>
      </c>
      <c r="BN372" s="4">
        <f t="shared" si="96"/>
        <v>2013</v>
      </c>
      <c r="BO372" s="4">
        <f t="shared" si="97"/>
        <v>8</v>
      </c>
      <c r="BP372" s="130">
        <f>C372+[4]MWh!$AQ206</f>
        <v>73751</v>
      </c>
      <c r="BQ372" s="130">
        <f>D372+[4]MWh!$AP206</f>
        <v>94188</v>
      </c>
      <c r="BT372" s="5">
        <f t="shared" ref="BT372" si="270">BQ372+BP372</f>
        <v>167939</v>
      </c>
      <c r="BV372" s="108">
        <f t="shared" ref="BV372" si="271">BT372-BT360</f>
        <v>-40526</v>
      </c>
      <c r="BW372" s="541">
        <f t="shared" ref="BW372" si="272">BP372/C372</f>
        <v>1.383644140932798</v>
      </c>
      <c r="BX372" s="444">
        <f t="shared" ref="BX372" si="273">BQ372/D372</f>
        <v>1.2399684044233807</v>
      </c>
    </row>
    <row r="373" spans="1:77">
      <c r="A373" s="4">
        <f t="shared" si="94"/>
        <v>2013</v>
      </c>
      <c r="B373" s="4">
        <f t="shared" si="95"/>
        <v>9</v>
      </c>
      <c r="C373" s="4">
        <f>'[2]FPC wSEB'!K470</f>
        <v>73837</v>
      </c>
      <c r="D373" s="4">
        <f>'[2]FPC wSEB'!L470</f>
        <v>92673</v>
      </c>
      <c r="E373" s="4">
        <f>SUM('[2]FPC wSEB'!$AC470:$AD470)</f>
        <v>16</v>
      </c>
      <c r="Z373" s="6">
        <f t="shared" ref="Z373" si="274">C373+D373</f>
        <v>166510</v>
      </c>
      <c r="AB373" s="4">
        <f t="shared" ref="AB373" si="275">Z373-Z361</f>
        <v>-44148</v>
      </c>
      <c r="BK373" s="4">
        <v>76070</v>
      </c>
      <c r="BN373" s="4">
        <f t="shared" si="96"/>
        <v>2013</v>
      </c>
      <c r="BO373" s="4">
        <f t="shared" si="97"/>
        <v>9</v>
      </c>
      <c r="BP373" s="130">
        <f>C373+[4]MWh!$AQ207</f>
        <v>76279</v>
      </c>
      <c r="BQ373" s="130">
        <f>D373+[4]MWh!$AP207</f>
        <v>80239</v>
      </c>
      <c r="BT373" s="5">
        <f t="shared" ref="BT373" si="276">BQ373+BP373</f>
        <v>156518</v>
      </c>
      <c r="BV373" s="108">
        <f t="shared" ref="BV373" si="277">BT373-BT361</f>
        <v>-18806</v>
      </c>
      <c r="BW373" s="541">
        <f t="shared" ref="BW373" si="278">BP373/C373</f>
        <v>1.0330728496553219</v>
      </c>
      <c r="BX373" s="444">
        <f t="shared" ref="BX373" si="279">BQ373/D373</f>
        <v>0.8658293138238754</v>
      </c>
    </row>
    <row r="374" spans="1:77">
      <c r="A374" s="4">
        <f t="shared" si="94"/>
        <v>2013</v>
      </c>
      <c r="B374" s="4">
        <f t="shared" si="95"/>
        <v>10</v>
      </c>
      <c r="C374" s="4">
        <f>'[2]FPC wSEB'!K471</f>
        <v>73628</v>
      </c>
      <c r="D374" s="4">
        <f>'[2]FPC wSEB'!L471</f>
        <v>80458</v>
      </c>
      <c r="E374" s="4">
        <f>SUM('[2]FPC wSEB'!$AC471:$AD471)</f>
        <v>16</v>
      </c>
      <c r="Z374" s="6">
        <f t="shared" ref="Z374" si="280">C374+D374</f>
        <v>154086</v>
      </c>
      <c r="AB374" s="4">
        <f t="shared" ref="AB374" si="281">Z374-Z362</f>
        <v>-18696</v>
      </c>
      <c r="BK374" s="4">
        <v>-15967</v>
      </c>
      <c r="BN374" s="4">
        <f t="shared" si="96"/>
        <v>2013</v>
      </c>
      <c r="BO374" s="4">
        <f t="shared" si="97"/>
        <v>10</v>
      </c>
      <c r="BP374" s="130">
        <f>C374+[4]MWh!$AQ208</f>
        <v>57661</v>
      </c>
      <c r="BQ374" s="130">
        <f>D374+[4]MWh!$AP208</f>
        <v>82961</v>
      </c>
      <c r="BT374" s="5">
        <f t="shared" ref="BT374" si="282">BQ374+BP374</f>
        <v>140622</v>
      </c>
      <c r="BV374" s="108">
        <f t="shared" ref="BV374" si="283">BT374-BT362</f>
        <v>-20048</v>
      </c>
      <c r="BW374" s="541">
        <f t="shared" ref="BW374" si="284">BP374/C374</f>
        <v>0.78313956646927796</v>
      </c>
      <c r="BX374" s="444">
        <f t="shared" ref="BX374" si="285">BQ374/D374</f>
        <v>1.0311093986924855</v>
      </c>
    </row>
    <row r="375" spans="1:77">
      <c r="A375" s="4">
        <f t="shared" si="94"/>
        <v>2013</v>
      </c>
      <c r="B375" s="4">
        <f t="shared" si="95"/>
        <v>11</v>
      </c>
      <c r="C375" s="4">
        <f>'[2]FPC wSEB'!K472</f>
        <v>59558</v>
      </c>
      <c r="D375" s="4">
        <f>'[2]FPC wSEB'!L472</f>
        <v>81090</v>
      </c>
      <c r="E375" s="4">
        <f>SUM('[2]FPC wSEB'!$AC472:$AD472)</f>
        <v>14</v>
      </c>
      <c r="Z375" s="6">
        <f t="shared" ref="Z375" si="286">C375+D375</f>
        <v>140648</v>
      </c>
      <c r="AB375" s="4">
        <f t="shared" ref="AB375" si="287">Z375-Z363</f>
        <v>-17343</v>
      </c>
      <c r="BK375" s="4">
        <v>-15966</v>
      </c>
      <c r="BN375" s="4">
        <f t="shared" si="96"/>
        <v>2013</v>
      </c>
      <c r="BO375" s="4">
        <f t="shared" si="97"/>
        <v>11</v>
      </c>
      <c r="BP375" s="130">
        <f>C375+[4]MWh!$AQ209</f>
        <v>26854</v>
      </c>
      <c r="BQ375" s="130">
        <f>D375+[4]MWh!$AP209</f>
        <v>71266</v>
      </c>
      <c r="BT375" s="5">
        <f t="shared" ref="BT375" si="288">BQ375+BP375</f>
        <v>98120</v>
      </c>
      <c r="BV375" s="108">
        <f t="shared" ref="BV375" si="289">BT375-BT363</f>
        <v>12608</v>
      </c>
      <c r="BW375" s="541">
        <f t="shared" ref="BW375" si="290">BP375/C375</f>
        <v>0.45088820981228384</v>
      </c>
      <c r="BX375" s="444">
        <f t="shared" ref="BX375" si="291">BQ375/D375</f>
        <v>0.8788506597607596</v>
      </c>
    </row>
    <row r="376" spans="1:77">
      <c r="A376" s="4">
        <f t="shared" si="94"/>
        <v>2013</v>
      </c>
      <c r="B376" s="4">
        <f t="shared" si="95"/>
        <v>12</v>
      </c>
      <c r="C376" s="4">
        <f>'[2]FPC wSEB'!K473</f>
        <v>29447</v>
      </c>
      <c r="D376" s="4">
        <f>'[2]FPC wSEB'!L473</f>
        <v>72724</v>
      </c>
      <c r="E376" s="4">
        <f>SUM('[2]FPC wSEB'!$AC473:$AD473)</f>
        <v>15</v>
      </c>
      <c r="Z376" s="6">
        <f t="shared" ref="Z376" si="292">C376+D376</f>
        <v>102171</v>
      </c>
      <c r="AB376" s="4">
        <f t="shared" ref="AB376" si="293">Z376-Z364</f>
        <v>13857</v>
      </c>
      <c r="BK376" s="4">
        <v>-15965</v>
      </c>
      <c r="BN376" s="4">
        <f t="shared" si="96"/>
        <v>2013</v>
      </c>
      <c r="BO376" s="4">
        <f t="shared" si="97"/>
        <v>12</v>
      </c>
      <c r="BP376" s="130">
        <f>C376+[4]MWh!$AQ210</f>
        <v>26378</v>
      </c>
      <c r="BQ376" s="130">
        <f>D376+[4]MWh!$AP210</f>
        <v>71060</v>
      </c>
      <c r="BT376" s="5">
        <f t="shared" ref="BT376" si="294">BQ376+BP376</f>
        <v>97438</v>
      </c>
      <c r="BV376" s="108">
        <f t="shared" ref="BV376" si="295">BT376-BT364</f>
        <v>-30664</v>
      </c>
      <c r="BW376" s="541">
        <f t="shared" ref="BW376" si="296">BP376/C376</f>
        <v>0.89577885692939863</v>
      </c>
      <c r="BX376" s="444">
        <f t="shared" ref="BX376" si="297">BQ376/D376</f>
        <v>0.97711897035366591</v>
      </c>
    </row>
    <row r="377" spans="1:77">
      <c r="A377" s="4">
        <f t="shared" si="94"/>
        <v>2014</v>
      </c>
      <c r="B377" s="4">
        <f t="shared" si="95"/>
        <v>1</v>
      </c>
    </row>
  </sheetData>
  <phoneticPr fontId="4" type="noConversion"/>
  <pageMargins left="0.75" right="0.75" top="1" bottom="1" header="0.5" footer="0.5"/>
  <pageSetup orientation="portrait" r:id="rId1"/>
  <headerFooter alignWithMargins="0">
    <oddFooter>&amp;R14LGBRA-NRGPOD1-6-DOC 33
14BGBRA-STAFFROG1-19A-DOC 33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CM401"/>
  <sheetViews>
    <sheetView tabSelected="1" topLeftCell="A23" zoomScale="80" zoomScaleNormal="80" workbookViewId="0">
      <selection activeCell="AW37" sqref="AW37"/>
    </sheetView>
  </sheetViews>
  <sheetFormatPr defaultColWidth="8.88671875" defaultRowHeight="12.75"/>
  <cols>
    <col min="1" max="1" width="6.5546875" style="4" customWidth="1"/>
    <col min="2" max="2" width="3.5546875" style="4" bestFit="1" customWidth="1"/>
    <col min="3" max="4" width="10.109375" style="4" bestFit="1" customWidth="1"/>
    <col min="5" max="24" width="0.88671875" style="4" customWidth="1"/>
    <col min="25" max="25" width="9.109375" style="4" customWidth="1"/>
    <col min="26" max="26" width="10.109375" style="4" bestFit="1" customWidth="1"/>
    <col min="27" max="27" width="9.44140625" style="4" bestFit="1" customWidth="1"/>
    <col min="28" max="28" width="10.77734375" style="4" bestFit="1" customWidth="1"/>
    <col min="29" max="29" width="13.6640625" style="4" customWidth="1"/>
    <col min="30" max="37" width="1.5546875" style="4" customWidth="1"/>
    <col min="38" max="38" width="5.21875" style="4" bestFit="1" customWidth="1"/>
    <col min="39" max="39" width="9.44140625" style="4" bestFit="1" customWidth="1"/>
    <col min="40" max="40" width="6.109375" style="4" customWidth="1"/>
    <col min="41" max="41" width="7.33203125" style="4" customWidth="1"/>
    <col min="42" max="42" width="12.33203125" style="4" bestFit="1" customWidth="1"/>
    <col min="43" max="43" width="5.77734375" style="4" bestFit="1" customWidth="1"/>
    <col min="44" max="44" width="8.6640625" style="4" bestFit="1" customWidth="1"/>
    <col min="45" max="45" width="5.77734375" style="4" bestFit="1" customWidth="1"/>
    <col min="46" max="46" width="8.77734375" style="4" bestFit="1" customWidth="1"/>
    <col min="47" max="47" width="11.21875" style="4" customWidth="1"/>
    <col min="48" max="48" width="3" style="4" customWidth="1"/>
    <col min="49" max="49" width="8.33203125" style="4" bestFit="1" customWidth="1"/>
    <col min="50" max="50" width="5.77734375" style="4" bestFit="1" customWidth="1"/>
    <col min="51" max="51" width="1.109375" style="4" customWidth="1"/>
    <col min="52" max="52" width="9.33203125" style="4" customWidth="1"/>
    <col min="53" max="53" width="5.88671875" style="4" customWidth="1"/>
    <col min="54" max="65" width="1.109375" style="4" customWidth="1"/>
    <col min="66" max="66" width="5.21875" style="4" bestFit="1" customWidth="1"/>
    <col min="67" max="67" width="3.21875" style="4" bestFit="1" customWidth="1"/>
    <col min="68" max="68" width="10.109375" style="4" bestFit="1" customWidth="1"/>
    <col min="69" max="71" width="2.88671875" style="4" customWidth="1"/>
    <col min="72" max="72" width="11.6640625" style="6" bestFit="1" customWidth="1"/>
    <col min="73" max="73" width="10.5546875" style="4" bestFit="1" customWidth="1"/>
    <col min="74" max="74" width="12.5546875" style="4" customWidth="1"/>
    <col min="75" max="75" width="19.21875" style="4" customWidth="1"/>
    <col min="76" max="76" width="12.77734375" style="4" customWidth="1"/>
    <col min="77" max="77" width="8.5546875" style="4" customWidth="1"/>
    <col min="78" max="85" width="2.33203125" style="4" customWidth="1"/>
    <col min="86" max="86" width="3.33203125" style="4" customWidth="1"/>
    <col min="87" max="87" width="8.88671875" style="4"/>
    <col min="88" max="88" width="12.6640625" style="4" bestFit="1" customWidth="1"/>
    <col min="89" max="89" width="8.88671875" style="4"/>
    <col min="90" max="90" width="12.6640625" style="4" bestFit="1" customWidth="1"/>
    <col min="91" max="16384" width="8.88671875" style="4"/>
  </cols>
  <sheetData>
    <row r="1" spans="1:91">
      <c r="A1" s="4" t="s">
        <v>113</v>
      </c>
      <c r="AL1" s="7" t="s">
        <v>121</v>
      </c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</row>
    <row r="2" spans="1:91">
      <c r="AL2" s="7" t="s">
        <v>244</v>
      </c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</row>
    <row r="5" spans="1:91">
      <c r="AN5" s="15"/>
      <c r="AP5" s="16" t="s">
        <v>199</v>
      </c>
      <c r="AQ5" s="17"/>
      <c r="AR5" s="18"/>
      <c r="AS5" s="17"/>
      <c r="AT5" s="19"/>
      <c r="AU5" s="18"/>
      <c r="AV5" s="17"/>
      <c r="AW5" s="20"/>
      <c r="AX5" s="21"/>
      <c r="CI5" s="22" t="s">
        <v>130</v>
      </c>
      <c r="CJ5" s="23"/>
      <c r="CL5" s="4" t="s">
        <v>199</v>
      </c>
    </row>
    <row r="6" spans="1:91">
      <c r="AM6" s="122" t="s">
        <v>119</v>
      </c>
      <c r="AN6" s="15" t="s">
        <v>4</v>
      </c>
      <c r="AP6" s="25" t="s">
        <v>3</v>
      </c>
      <c r="AQ6" s="26"/>
      <c r="AR6" s="27" t="s">
        <v>44</v>
      </c>
      <c r="AS6" s="26"/>
      <c r="AT6" s="162" t="s">
        <v>124</v>
      </c>
      <c r="AW6" s="27" t="s">
        <v>3</v>
      </c>
      <c r="AX6" s="26"/>
      <c r="CJ6" s="29" t="s">
        <v>40</v>
      </c>
      <c r="CL6" s="30" t="s">
        <v>3</v>
      </c>
    </row>
    <row r="7" spans="1:91">
      <c r="AL7" s="31" t="s">
        <v>8</v>
      </c>
      <c r="AM7" s="32" t="s">
        <v>4</v>
      </c>
      <c r="AN7" s="31" t="s">
        <v>9</v>
      </c>
      <c r="AO7" s="69"/>
      <c r="AP7" s="163" t="s">
        <v>122</v>
      </c>
      <c r="AQ7" s="33" t="s">
        <v>9</v>
      </c>
      <c r="AR7" s="164" t="s">
        <v>123</v>
      </c>
      <c r="AS7" s="33" t="s">
        <v>9</v>
      </c>
      <c r="AT7" s="164" t="s">
        <v>123</v>
      </c>
      <c r="AU7" s="33" t="s">
        <v>9</v>
      </c>
      <c r="AW7" s="164" t="s">
        <v>120</v>
      </c>
      <c r="AX7" s="33" t="s">
        <v>9</v>
      </c>
      <c r="CI7" s="34" t="s">
        <v>8</v>
      </c>
      <c r="CJ7" s="123" t="s">
        <v>132</v>
      </c>
      <c r="CK7" s="36" t="s">
        <v>42</v>
      </c>
      <c r="CL7" s="124" t="str">
        <f>CJ7</f>
        <v>RETLSALES</v>
      </c>
      <c r="CM7" s="36" t="s">
        <v>42</v>
      </c>
    </row>
    <row r="8" spans="1:91">
      <c r="AL8" s="4">
        <v>1984</v>
      </c>
      <c r="AM8" s="108">
        <f>ROUND(SUM(C17:C28),0)</f>
        <v>17279048</v>
      </c>
      <c r="AP8" s="39">
        <f>ROUND(SUM(Z17:Z28),0)</f>
        <v>17313545</v>
      </c>
      <c r="AQ8" s="26"/>
      <c r="AR8" s="39">
        <f>ROUND(AVERAGE(D17:D28),0)</f>
        <v>900789</v>
      </c>
      <c r="AS8" s="26"/>
      <c r="AT8" s="39"/>
      <c r="AW8" s="39">
        <f t="shared" ref="AW8:AW25" si="0">ROUND((AP8/AR8*1000),0)</f>
        <v>19220</v>
      </c>
      <c r="AX8" s="26"/>
      <c r="CI8" s="22">
        <v>1984</v>
      </c>
    </row>
    <row r="9" spans="1:91">
      <c r="AL9" s="4">
        <v>1985</v>
      </c>
      <c r="AM9" s="108">
        <f>ROUND(SUM(C29:C40),0)</f>
        <v>18715961</v>
      </c>
      <c r="AN9" s="42">
        <f t="shared" ref="AN9:AN25" si="1">(AM9/AM8-1)*100</f>
        <v>8.3159268959725132</v>
      </c>
      <c r="AP9" s="39">
        <f>ROUND(SUM(Z29:Z40),0)</f>
        <v>17849830</v>
      </c>
      <c r="AQ9" s="566">
        <f t="shared" ref="AQ9:AQ14" si="2">(AP9/AP8-1)</f>
        <v>3.0974881227385787E-2</v>
      </c>
      <c r="AR9" s="39">
        <f>ROUND(AVERAGE(D29:D40),0)</f>
        <v>940953</v>
      </c>
      <c r="AS9" s="43">
        <f t="shared" ref="AS9:AS21" si="3">(AR9/AR8-1)*100</f>
        <v>4.4587578223091118</v>
      </c>
      <c r="AT9" s="39"/>
      <c r="AW9" s="39">
        <f t="shared" si="0"/>
        <v>18970</v>
      </c>
      <c r="AX9" s="43">
        <f t="shared" ref="AX9:AX21" si="4">(AW9/AW8-1)*100</f>
        <v>-1.3007284079084247</v>
      </c>
      <c r="CI9" s="22">
        <v>1985</v>
      </c>
    </row>
    <row r="10" spans="1:91">
      <c r="AL10" s="4">
        <v>1986</v>
      </c>
      <c r="AM10" s="108">
        <f>ROUND(SUM(C41:C52),0)</f>
        <v>19833741</v>
      </c>
      <c r="AN10" s="42">
        <f t="shared" si="1"/>
        <v>5.9723355909963693</v>
      </c>
      <c r="AP10" s="39">
        <f>ROUND(SUM(Z41:Z52),0)</f>
        <v>19164469</v>
      </c>
      <c r="AQ10" s="566">
        <f t="shared" si="2"/>
        <v>7.3649945125527916E-2</v>
      </c>
      <c r="AR10" s="39">
        <f>ROUND(AVERAGE(D41:D52),0)</f>
        <v>980409</v>
      </c>
      <c r="AS10" s="43">
        <f t="shared" si="3"/>
        <v>4.1931956218854705</v>
      </c>
      <c r="AT10" s="39"/>
      <c r="AW10" s="39">
        <f t="shared" si="0"/>
        <v>19547</v>
      </c>
      <c r="AX10" s="43">
        <f t="shared" si="4"/>
        <v>3.0416447021613058</v>
      </c>
      <c r="CI10" s="22">
        <v>1986</v>
      </c>
    </row>
    <row r="11" spans="1:91">
      <c r="AL11" s="4">
        <v>1987</v>
      </c>
      <c r="AM11" s="108">
        <f>ROUND(SUM(C53:C64),0)</f>
        <v>21039601</v>
      </c>
      <c r="AN11" s="42">
        <f t="shared" si="1"/>
        <v>6.079841417713383</v>
      </c>
      <c r="AP11" s="39">
        <f>ROUND(SUM(Z53:Z64),0)</f>
        <v>21205585</v>
      </c>
      <c r="AQ11" s="566">
        <f t="shared" si="2"/>
        <v>0.10650522067686818</v>
      </c>
      <c r="AR11" s="39">
        <f>ROUND(AVERAGE(D53:D64),0)</f>
        <v>1022513</v>
      </c>
      <c r="AS11" s="43">
        <f t="shared" si="3"/>
        <v>4.294534219902113</v>
      </c>
      <c r="AT11" s="39"/>
      <c r="AW11" s="39">
        <f t="shared" si="0"/>
        <v>20739</v>
      </c>
      <c r="AX11" s="43">
        <f t="shared" si="4"/>
        <v>6.0981224740369377</v>
      </c>
      <c r="CI11" s="22">
        <v>1987</v>
      </c>
    </row>
    <row r="12" spans="1:91">
      <c r="AB12" s="507" t="s">
        <v>305</v>
      </c>
      <c r="AL12" s="4">
        <v>1988</v>
      </c>
      <c r="AM12" s="108">
        <f>ROUND(SUM(C65:C76),0)</f>
        <v>22691660</v>
      </c>
      <c r="AN12" s="42">
        <f t="shared" si="1"/>
        <v>7.8521403519011601</v>
      </c>
      <c r="AP12" s="39">
        <f>ROUND(SUM(Z65:Z76),0)</f>
        <v>22715687</v>
      </c>
      <c r="AQ12" s="566">
        <f t="shared" si="2"/>
        <v>7.1212465961207894E-2</v>
      </c>
      <c r="AR12" s="39">
        <f>ROUND(AVERAGE(D65:D76),0)</f>
        <v>1060954</v>
      </c>
      <c r="AS12" s="43">
        <f t="shared" si="3"/>
        <v>3.7594632048687959</v>
      </c>
      <c r="AT12" s="39"/>
      <c r="AW12" s="39">
        <f t="shared" si="0"/>
        <v>21411</v>
      </c>
      <c r="AX12" s="43">
        <f t="shared" si="4"/>
        <v>3.2402719513959122</v>
      </c>
      <c r="CI12" s="22">
        <v>1988</v>
      </c>
    </row>
    <row r="13" spans="1:91">
      <c r="AB13" s="491" t="s">
        <v>304</v>
      </c>
      <c r="AL13" s="23">
        <v>1989</v>
      </c>
      <c r="AM13" s="50">
        <f>ROUND(SUM(C77:C88),0)</f>
        <v>24123296</v>
      </c>
      <c r="AN13" s="47">
        <f t="shared" si="1"/>
        <v>6.3090844830215209</v>
      </c>
      <c r="AO13" s="23"/>
      <c r="AP13" s="48">
        <f>ROUND(SUM(Z77:Z88),0)</f>
        <v>23518698</v>
      </c>
      <c r="AQ13" s="566">
        <f t="shared" si="2"/>
        <v>3.5350504697480689E-2</v>
      </c>
      <c r="AR13" s="48">
        <f>ROUND(AVERAGE(D77:D88),0)</f>
        <v>1101801</v>
      </c>
      <c r="AS13" s="49">
        <f t="shared" si="3"/>
        <v>3.8500255430489849</v>
      </c>
      <c r="AT13" s="50"/>
      <c r="AV13" s="28"/>
      <c r="AW13" s="50">
        <f t="shared" si="0"/>
        <v>21346</v>
      </c>
      <c r="AX13" s="43">
        <f t="shared" si="4"/>
        <v>-0.30358227079538835</v>
      </c>
      <c r="CI13" s="51">
        <v>1989</v>
      </c>
    </row>
    <row r="14" spans="1:91">
      <c r="C14" s="52" t="s">
        <v>12</v>
      </c>
      <c r="D14" s="52" t="s">
        <v>12</v>
      </c>
      <c r="Z14" s="52" t="s">
        <v>118</v>
      </c>
      <c r="AB14" s="508" t="s">
        <v>303</v>
      </c>
      <c r="AL14" s="4">
        <v>1990</v>
      </c>
      <c r="AM14" s="108">
        <f>ROUND(SUM(C89:C100),0)</f>
        <v>24878328</v>
      </c>
      <c r="AN14" s="42">
        <f t="shared" si="1"/>
        <v>3.1298873918389924</v>
      </c>
      <c r="AP14" s="39">
        <f>ROUND(SUM(Z89:Z100),0)</f>
        <v>24403486</v>
      </c>
      <c r="AQ14" s="566">
        <f t="shared" si="2"/>
        <v>3.762061998500088E-2</v>
      </c>
      <c r="AR14" s="39">
        <f>ROUND(AVERAGE(D89:D100),0)</f>
        <v>1135481</v>
      </c>
      <c r="AS14" s="43">
        <f t="shared" si="3"/>
        <v>3.0568133446965406</v>
      </c>
      <c r="AT14" s="39"/>
      <c r="AW14" s="39">
        <f t="shared" si="0"/>
        <v>21492</v>
      </c>
      <c r="AX14" s="43">
        <f t="shared" si="4"/>
        <v>0.68396889346951095</v>
      </c>
      <c r="BP14" s="15" t="s">
        <v>12</v>
      </c>
      <c r="BQ14" s="52"/>
      <c r="BR14" s="63"/>
      <c r="BS14" s="64"/>
      <c r="BT14" s="58" t="s">
        <v>17</v>
      </c>
      <c r="CI14" s="22">
        <v>1990</v>
      </c>
    </row>
    <row r="15" spans="1:91">
      <c r="C15" s="52" t="s">
        <v>4</v>
      </c>
      <c r="D15" s="52" t="s">
        <v>4</v>
      </c>
      <c r="Y15" s="4" t="s">
        <v>127</v>
      </c>
      <c r="Z15" s="52" t="s">
        <v>4</v>
      </c>
      <c r="AA15" s="45" t="s">
        <v>191</v>
      </c>
      <c r="AB15" s="508" t="s">
        <v>4</v>
      </c>
      <c r="AL15" s="4">
        <v>1991</v>
      </c>
      <c r="AM15" s="108">
        <f>ROUND(SUM(C101:C112),0)</f>
        <v>25179114</v>
      </c>
      <c r="AN15" s="42">
        <f t="shared" si="1"/>
        <v>1.2090281951423698</v>
      </c>
      <c r="AP15" s="39">
        <f>ROUND(SUM(Z101:Z112),0)</f>
        <v>24769980</v>
      </c>
      <c r="AQ15" s="566">
        <f>(AP15/AP14-1)</f>
        <v>1.5018100282885749E-2</v>
      </c>
      <c r="AR15" s="39">
        <f>ROUND(AVERAGE(D101:D112),0)</f>
        <v>1159221</v>
      </c>
      <c r="AS15" s="43">
        <f t="shared" si="3"/>
        <v>2.0907439226195867</v>
      </c>
      <c r="AT15" s="39"/>
      <c r="AW15" s="39">
        <f t="shared" si="0"/>
        <v>21368</v>
      </c>
      <c r="AX15" s="43">
        <f t="shared" si="4"/>
        <v>-0.57695886841615529</v>
      </c>
      <c r="BP15" s="15" t="s">
        <v>28</v>
      </c>
      <c r="BQ15" s="52"/>
      <c r="BR15" s="63"/>
      <c r="BS15" s="63"/>
      <c r="BT15" s="287" t="s">
        <v>28</v>
      </c>
      <c r="BV15" s="40" t="s">
        <v>39</v>
      </c>
      <c r="CI15" s="22">
        <v>1991</v>
      </c>
    </row>
    <row r="16" spans="1:91">
      <c r="A16" s="31" t="s">
        <v>8</v>
      </c>
      <c r="B16" s="31" t="s">
        <v>29</v>
      </c>
      <c r="C16" s="66" t="s">
        <v>111</v>
      </c>
      <c r="D16" s="66" t="s">
        <v>112</v>
      </c>
      <c r="Y16" s="36" t="s">
        <v>17</v>
      </c>
      <c r="Z16" s="66" t="s">
        <v>111</v>
      </c>
      <c r="AA16" s="66" t="s">
        <v>111</v>
      </c>
      <c r="AB16" s="513" t="s">
        <v>111</v>
      </c>
      <c r="AL16" s="4">
        <v>1992</v>
      </c>
      <c r="AM16" s="108">
        <f>ROUND(SUM(C113:C124),0)</f>
        <v>25414014</v>
      </c>
      <c r="AN16" s="42">
        <f t="shared" si="1"/>
        <v>0.93291606686398687</v>
      </c>
      <c r="AP16" s="39">
        <f>ROUND(SUM(Z113:Z124),0)</f>
        <v>25937005</v>
      </c>
      <c r="AQ16" s="566">
        <f>(AP16/AP15-1)</f>
        <v>4.7114491008874548E-2</v>
      </c>
      <c r="AR16" s="39">
        <f>ROUND(AVERAGE(D113:D124),0)</f>
        <v>1182154</v>
      </c>
      <c r="AS16" s="43">
        <f t="shared" si="3"/>
        <v>1.9783112969830707</v>
      </c>
      <c r="AT16" s="39">
        <f>AR16</f>
        <v>1182154</v>
      </c>
      <c r="AU16" s="86">
        <f>AT16/AR15-1</f>
        <v>1.9783112969830707E-2</v>
      </c>
      <c r="AW16" s="39">
        <f t="shared" si="0"/>
        <v>21940</v>
      </c>
      <c r="AX16" s="43">
        <f t="shared" si="4"/>
        <v>2.6769000374391672</v>
      </c>
      <c r="BN16" s="31" t="s">
        <v>8</v>
      </c>
      <c r="BO16" s="31" t="s">
        <v>29</v>
      </c>
      <c r="BP16" s="38" t="s">
        <v>125</v>
      </c>
      <c r="BQ16" s="38"/>
      <c r="BR16" s="72"/>
      <c r="BS16" s="72"/>
      <c r="BT16" s="128" t="s">
        <v>125</v>
      </c>
      <c r="BV16" s="116" t="s">
        <v>40</v>
      </c>
      <c r="CI16" s="22">
        <v>1992</v>
      </c>
    </row>
    <row r="17" spans="1:91">
      <c r="A17" s="4">
        <v>1984</v>
      </c>
      <c r="B17" s="4">
        <v>1</v>
      </c>
      <c r="C17" s="108">
        <f>RESID!C17+COML!C17+IND!C17+SHL!C17+SPA!C17</f>
        <v>1584683</v>
      </c>
      <c r="D17" s="108">
        <f>RESID!D17+COML!D17+IND!D17+SHL!D17+SPA!D17</f>
        <v>904265</v>
      </c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75">
        <f>RESID!Z17+COML!Z17+IND!Z17+SHL!Z17+SPA!Z17</f>
        <v>1322031</v>
      </c>
      <c r="AA17" s="108">
        <f t="shared" ref="AA17:AA80" si="5">Z17-C17</f>
        <v>-262652</v>
      </c>
      <c r="AB17" s="108">
        <f>Z17</f>
        <v>1322031</v>
      </c>
      <c r="AL17" s="4">
        <v>1993</v>
      </c>
      <c r="AM17" s="108">
        <f>ROUND(SUM(C125:C136),0)</f>
        <v>26528261</v>
      </c>
      <c r="AN17" s="42">
        <f t="shared" si="1"/>
        <v>4.3843802084944095</v>
      </c>
      <c r="AP17" s="39">
        <f>ROUND(SUM(Z125:Z136),0)</f>
        <v>27029002</v>
      </c>
      <c r="AQ17" s="566">
        <f t="shared" ref="AQ17:AQ36" si="6">(AP17/AP16-1)</f>
        <v>4.2101892643348737E-2</v>
      </c>
      <c r="AR17" s="39">
        <f>ROUND(AVERAGE(D125:D136),0)</f>
        <v>1214637</v>
      </c>
      <c r="AS17" s="43">
        <f t="shared" si="3"/>
        <v>2.7477807459941772</v>
      </c>
      <c r="AT17" s="39">
        <f>AR17</f>
        <v>1214637</v>
      </c>
      <c r="AU17" s="86">
        <f>AT17/AT16-1</f>
        <v>2.7477807459941772E-2</v>
      </c>
      <c r="AW17" s="39">
        <f t="shared" si="0"/>
        <v>22253</v>
      </c>
      <c r="AX17" s="43">
        <f t="shared" si="4"/>
        <v>1.4266180492251701</v>
      </c>
      <c r="BN17" s="4">
        <v>1984</v>
      </c>
      <c r="BO17" s="4">
        <v>1</v>
      </c>
      <c r="CI17" s="22">
        <v>1993</v>
      </c>
    </row>
    <row r="18" spans="1:91">
      <c r="A18" s="4">
        <v>1984</v>
      </c>
      <c r="B18" s="4">
        <v>2</v>
      </c>
      <c r="C18" s="108">
        <f>RESID!C18+COML!C18+IND!C18+SHL!C18+SPA!C18</f>
        <v>1425702</v>
      </c>
      <c r="D18" s="108">
        <f>RESID!D18+COML!D18+IND!D18+SHL!D18+SPA!D18</f>
        <v>892555</v>
      </c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75">
        <f>RESID!Z18+COML!Z18+IND!Z18+SHL!Z18+SPA!Z18</f>
        <v>1311850</v>
      </c>
      <c r="AA18" s="108">
        <f t="shared" si="5"/>
        <v>-113852</v>
      </c>
      <c r="AB18" s="108">
        <f t="shared" ref="AB18:AB81" si="7">Z18</f>
        <v>1311850</v>
      </c>
      <c r="AL18" s="23">
        <v>1994</v>
      </c>
      <c r="AM18" s="50">
        <f>ROUND(SUM(C137:C148),0)</f>
        <v>27677985</v>
      </c>
      <c r="AN18" s="47">
        <f t="shared" si="1"/>
        <v>4.3339591690537027</v>
      </c>
      <c r="AO18" s="23"/>
      <c r="AP18" s="39">
        <f>ROUND(SUM(Z137:Z148),0)</f>
        <v>27790142</v>
      </c>
      <c r="AQ18" s="566">
        <f t="shared" si="6"/>
        <v>2.8160122227228301E-2</v>
      </c>
      <c r="AR18" s="39">
        <f>ROUND(AVERAGE(D137:D148),0)</f>
        <v>1243876</v>
      </c>
      <c r="AS18" s="43">
        <f t="shared" si="3"/>
        <v>2.4072212521107028</v>
      </c>
      <c r="AT18" s="39">
        <f>[5]TOTAL!$I$28</f>
        <v>1243875.75</v>
      </c>
      <c r="AU18" s="86">
        <f t="shared" ref="AU18:AU36" si="8">AT18/AT17-1</f>
        <v>2.4072006698297566E-2</v>
      </c>
      <c r="AW18" s="39">
        <f t="shared" si="0"/>
        <v>22342</v>
      </c>
      <c r="AX18" s="43">
        <f t="shared" si="4"/>
        <v>0.39994607468656351</v>
      </c>
      <c r="BN18" s="4">
        <v>1984</v>
      </c>
      <c r="BO18" s="4">
        <v>2</v>
      </c>
      <c r="CI18" s="51">
        <v>1994</v>
      </c>
    </row>
    <row r="19" spans="1:91">
      <c r="A19" s="4">
        <v>1984</v>
      </c>
      <c r="B19" s="4">
        <v>3</v>
      </c>
      <c r="C19" s="108">
        <f>RESID!C19+COML!C19+IND!C19+SHL!C19+SPA!C19</f>
        <v>1282611</v>
      </c>
      <c r="D19" s="108">
        <f>RESID!D19+COML!D19+IND!D19+SHL!D19+SPA!D19</f>
        <v>902747</v>
      </c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75">
        <f>RESID!Z19+COML!Z19+IND!Z19+SHL!Z19+SPA!Z19</f>
        <v>1234113</v>
      </c>
      <c r="AA19" s="108">
        <f t="shared" si="5"/>
        <v>-48498</v>
      </c>
      <c r="AB19" s="108">
        <f t="shared" si="7"/>
        <v>1234113</v>
      </c>
      <c r="AL19" s="4">
        <v>1995</v>
      </c>
      <c r="AM19" s="50">
        <f>ROUND(SUM(C149:C160),0)</f>
        <v>29499473</v>
      </c>
      <c r="AN19" s="47">
        <f t="shared" si="1"/>
        <v>6.5809993032368563</v>
      </c>
      <c r="AO19" s="23"/>
      <c r="AP19" s="39">
        <f>ROUND(SUM(Z149:Z160),0)</f>
        <v>29268295</v>
      </c>
      <c r="AQ19" s="566">
        <f t="shared" si="6"/>
        <v>5.3189832567246409E-2</v>
      </c>
      <c r="AR19" s="39">
        <f>ROUND(AVERAGE(D149:D160),0)</f>
        <v>1271768</v>
      </c>
      <c r="AS19" s="43">
        <f t="shared" si="3"/>
        <v>2.242345700053705</v>
      </c>
      <c r="AT19" s="39">
        <f>[5]TOTAL!$I$40</f>
        <v>1267347</v>
      </c>
      <c r="AU19" s="86">
        <f t="shared" si="8"/>
        <v>1.8869448978324321E-2</v>
      </c>
      <c r="AW19" s="39">
        <f t="shared" si="0"/>
        <v>23014</v>
      </c>
      <c r="AX19" s="43">
        <f t="shared" si="4"/>
        <v>3.0077880225584108</v>
      </c>
      <c r="BN19" s="4">
        <v>1984</v>
      </c>
      <c r="BO19" s="4">
        <v>3</v>
      </c>
      <c r="CI19" s="22">
        <v>1995</v>
      </c>
    </row>
    <row r="20" spans="1:91">
      <c r="A20" s="4">
        <v>1984</v>
      </c>
      <c r="B20" s="4">
        <v>4</v>
      </c>
      <c r="C20" s="108">
        <f>RESID!C20+COML!C20+IND!C20+SHL!C20+SPA!C20</f>
        <v>1185258</v>
      </c>
      <c r="D20" s="108">
        <f>RESID!D20+COML!D20+IND!D20+SHL!D20+SPA!D20</f>
        <v>900866</v>
      </c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75">
        <f>RESID!Z20+COML!Z20+IND!Z20+SHL!Z20+SPA!Z20</f>
        <v>1245319</v>
      </c>
      <c r="AA20" s="108">
        <f t="shared" si="5"/>
        <v>60061</v>
      </c>
      <c r="AB20" s="108">
        <f t="shared" si="7"/>
        <v>1245319</v>
      </c>
      <c r="AL20" s="23">
        <v>1996</v>
      </c>
      <c r="AM20" s="50">
        <f>ROUND(SUM(C161:C172),0)</f>
        <v>30784796</v>
      </c>
      <c r="AN20" s="47">
        <f t="shared" si="1"/>
        <v>4.3571049557393771</v>
      </c>
      <c r="AP20" s="39">
        <f>ROUND(SUM(Z161:Z172),0)</f>
        <v>30157405</v>
      </c>
      <c r="AQ20" s="566">
        <f t="shared" si="6"/>
        <v>3.0377922595081097E-2</v>
      </c>
      <c r="AR20" s="39">
        <f>ROUND(AVERAGE(D161:D172),0)</f>
        <v>1290390</v>
      </c>
      <c r="AS20" s="43">
        <f t="shared" si="3"/>
        <v>1.4642607771228722</v>
      </c>
      <c r="AT20" s="39">
        <f>[5]TOTAL!$I$52</f>
        <v>1291734.1666666667</v>
      </c>
      <c r="AU20" s="86">
        <f t="shared" si="8"/>
        <v>1.924269096519482E-2</v>
      </c>
      <c r="AW20" s="39">
        <f t="shared" si="0"/>
        <v>23371</v>
      </c>
      <c r="AX20" s="43">
        <f t="shared" si="4"/>
        <v>1.5512296862779218</v>
      </c>
      <c r="BN20" s="4">
        <v>1984</v>
      </c>
      <c r="BO20" s="4">
        <v>4</v>
      </c>
      <c r="CI20" s="51">
        <v>1996</v>
      </c>
    </row>
    <row r="21" spans="1:91">
      <c r="A21" s="4">
        <v>1984</v>
      </c>
      <c r="B21" s="4">
        <v>5</v>
      </c>
      <c r="C21" s="108">
        <f>RESID!C21+COML!C21+IND!C21+SHL!C21+SPA!C21</f>
        <v>1299830</v>
      </c>
      <c r="D21" s="108">
        <f>RESID!D21+COML!D21+IND!D21+SHL!D21+SPA!D21</f>
        <v>890719</v>
      </c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75">
        <f>RESID!Z21+COML!Z21+IND!Z21+SHL!Z21+SPA!Z21</f>
        <v>1298988</v>
      </c>
      <c r="AA21" s="108">
        <f t="shared" si="5"/>
        <v>-842</v>
      </c>
      <c r="AB21" s="108">
        <f t="shared" si="7"/>
        <v>1298988</v>
      </c>
      <c r="AL21" s="4">
        <v>1997</v>
      </c>
      <c r="AM21" s="50">
        <f>ROUND(SUM(C173:C184),0)</f>
        <v>30850267</v>
      </c>
      <c r="AN21" s="47">
        <f t="shared" si="1"/>
        <v>0.21267316502600053</v>
      </c>
      <c r="AP21" s="39">
        <f>ROUND(SUM(Z173:Z184),0)</f>
        <v>31316532</v>
      </c>
      <c r="AQ21" s="566">
        <f t="shared" si="6"/>
        <v>3.8435899905844062E-2</v>
      </c>
      <c r="AR21" s="39">
        <f>ROUND(AVERAGE(D173:D184),0)</f>
        <v>1314492</v>
      </c>
      <c r="AS21" s="43">
        <f t="shared" si="3"/>
        <v>1.8678074070629824</v>
      </c>
      <c r="AT21" s="39">
        <f>[5]TOTAL!$I$64</f>
        <v>1315018.5</v>
      </c>
      <c r="AU21" s="86">
        <f t="shared" si="8"/>
        <v>1.8025638660173149E-2</v>
      </c>
      <c r="AW21" s="39">
        <f t="shared" si="0"/>
        <v>23824</v>
      </c>
      <c r="AX21" s="43">
        <f t="shared" si="4"/>
        <v>1.9382996020709475</v>
      </c>
      <c r="BN21" s="4">
        <v>1984</v>
      </c>
      <c r="BO21" s="4">
        <v>5</v>
      </c>
      <c r="CI21" s="22">
        <v>1997</v>
      </c>
      <c r="CJ21" s="84">
        <f>ROUND(SUM(BP173:BP184),0)</f>
        <v>30865331</v>
      </c>
      <c r="CK21" s="47"/>
      <c r="CL21" s="84">
        <f>ROUND(SUM(BT173:BT184),0)</f>
        <v>31210613</v>
      </c>
    </row>
    <row r="22" spans="1:91">
      <c r="A22" s="4">
        <v>1984</v>
      </c>
      <c r="B22" s="4">
        <v>6</v>
      </c>
      <c r="C22" s="108">
        <f>RESID!C22+COML!C22+IND!C22+SHL!C22+SPA!C22</f>
        <v>1401516</v>
      </c>
      <c r="D22" s="108">
        <f>RESID!D22+COML!D22+IND!D22+SHL!D22+SPA!D22</f>
        <v>887910</v>
      </c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75">
        <f>RESID!Z22+COML!Z22+IND!Z22+SHL!Z22+SPA!Z22</f>
        <v>1584787</v>
      </c>
      <c r="AA22" s="108">
        <f t="shared" si="5"/>
        <v>183271</v>
      </c>
      <c r="AB22" s="108">
        <f t="shared" si="7"/>
        <v>1584787</v>
      </c>
      <c r="AL22" s="23">
        <v>1998</v>
      </c>
      <c r="AM22" s="50">
        <f>ROUND(SUM(C185:C196),0)</f>
        <v>33386610</v>
      </c>
      <c r="AN22" s="47">
        <f t="shared" si="1"/>
        <v>8.221462070328279</v>
      </c>
      <c r="AP22" s="39">
        <f>ROUND(SUM(Z185:Z196),0)</f>
        <v>32527737</v>
      </c>
      <c r="AQ22" s="566">
        <f t="shared" si="6"/>
        <v>3.867621740491578E-2</v>
      </c>
      <c r="AR22" s="39">
        <f>ROUND(AVERAGE(D185:D196),0)</f>
        <v>1340835</v>
      </c>
      <c r="AS22" s="43">
        <f t="shared" ref="AS22:AS27" si="9">(AR22/AR21-1)*100</f>
        <v>2.0040441478533122</v>
      </c>
      <c r="AT22" s="39">
        <f>[5]TOTAL!$I$76</f>
        <v>1340148.1666666667</v>
      </c>
      <c r="AU22" s="86">
        <f t="shared" si="8"/>
        <v>1.9109743829966552E-2</v>
      </c>
      <c r="AW22" s="39">
        <f t="shared" si="0"/>
        <v>24259</v>
      </c>
      <c r="AX22" s="43">
        <f t="shared" ref="AX22:AX27" si="10">(AW22/AW21-1)*100</f>
        <v>1.8258898589657457</v>
      </c>
      <c r="BN22" s="4">
        <v>1984</v>
      </c>
      <c r="BO22" s="4">
        <v>6</v>
      </c>
      <c r="CI22" s="51">
        <v>1998</v>
      </c>
      <c r="CJ22" s="84">
        <f>ROUND(SUM(BP185:BP196),0)</f>
        <v>33450882</v>
      </c>
      <c r="CK22" s="47">
        <f t="shared" ref="CK22:CK27" si="11">(CJ22/CJ21-1)*100</f>
        <v>8.376877604196121</v>
      </c>
      <c r="CL22" s="84">
        <f>ROUND(SUM(BT185:BT196),0)</f>
        <v>32549440</v>
      </c>
      <c r="CM22" s="47">
        <f t="shared" ref="CM22:CM27" si="12">(CL22/CL21-1)*100</f>
        <v>4.2896530100193786</v>
      </c>
    </row>
    <row r="23" spans="1:91">
      <c r="A23" s="4">
        <v>1984</v>
      </c>
      <c r="B23" s="4">
        <v>7</v>
      </c>
      <c r="C23" s="108">
        <f>RESID!C23+COML!C23+IND!C23+SHL!C23+SPA!C23</f>
        <v>1575076</v>
      </c>
      <c r="D23" s="108">
        <f>RESID!D23+COML!D23+IND!D23+SHL!D23+SPA!D23</f>
        <v>890112</v>
      </c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75">
        <f>RESID!Z23+COML!Z23+IND!Z23+SHL!Z23+SPA!Z23</f>
        <v>1689161</v>
      </c>
      <c r="AA23" s="108">
        <f t="shared" si="5"/>
        <v>114085</v>
      </c>
      <c r="AB23" s="108">
        <f t="shared" si="7"/>
        <v>1689161</v>
      </c>
      <c r="AL23" s="4">
        <v>1999</v>
      </c>
      <c r="AM23" s="50">
        <f>ROUND(SUM(C197:C208),0)</f>
        <v>33441030</v>
      </c>
      <c r="AN23" s="47">
        <f t="shared" si="1"/>
        <v>0.16299947793441127</v>
      </c>
      <c r="AP23" s="39">
        <f>ROUND(SUM(Z197:Z208),0)</f>
        <v>33552141</v>
      </c>
      <c r="AQ23" s="566">
        <f t="shared" si="6"/>
        <v>3.1493245287860017E-2</v>
      </c>
      <c r="AR23" s="39">
        <f>ROUND(AVERAGE(D197:D208),0)</f>
        <v>1376579</v>
      </c>
      <c r="AS23" s="43">
        <f t="shared" si="9"/>
        <v>2.6658015341186614</v>
      </c>
      <c r="AT23" s="39">
        <f>[5]TOTAL!$I$88</f>
        <v>1371063.4166666667</v>
      </c>
      <c r="AU23" s="86">
        <f t="shared" si="8"/>
        <v>2.3068531352689936E-2</v>
      </c>
      <c r="AW23" s="39">
        <f t="shared" si="0"/>
        <v>24374</v>
      </c>
      <c r="AX23" s="43">
        <f t="shared" si="10"/>
        <v>0.47405086771918903</v>
      </c>
      <c r="BN23" s="4">
        <v>1984</v>
      </c>
      <c r="BO23" s="4">
        <v>7</v>
      </c>
      <c r="CI23" s="22">
        <v>1999</v>
      </c>
      <c r="CJ23" s="84">
        <f>ROUND(SUM(BP197:BP208),0)</f>
        <v>33560396</v>
      </c>
      <c r="CK23" s="47">
        <f t="shared" si="11"/>
        <v>0.32738748114324867</v>
      </c>
      <c r="CL23" s="84">
        <f>ROUND(SUM(BT197:BT208),0)</f>
        <v>33547593</v>
      </c>
      <c r="CM23" s="47">
        <f t="shared" si="12"/>
        <v>3.0665750317056206</v>
      </c>
    </row>
    <row r="24" spans="1:91">
      <c r="A24" s="4">
        <v>1984</v>
      </c>
      <c r="B24" s="4">
        <v>8</v>
      </c>
      <c r="C24" s="108">
        <f>RESID!C24+COML!C24+IND!C24+SHL!C24+SPA!C24</f>
        <v>1665366</v>
      </c>
      <c r="D24" s="108">
        <f>RESID!D24+COML!D24+IND!D24+SHL!D24+SPA!D24</f>
        <v>893238</v>
      </c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75">
        <f>RESID!Z24+COML!Z24+IND!Z24+SHL!Z24+SPA!Z24</f>
        <v>1717203</v>
      </c>
      <c r="AA24" s="108">
        <f t="shared" si="5"/>
        <v>51837</v>
      </c>
      <c r="AB24" s="108">
        <f t="shared" si="7"/>
        <v>1717203</v>
      </c>
      <c r="AL24" s="23">
        <v>2000</v>
      </c>
      <c r="AM24" s="50">
        <f>ROUND(SUM(C209:C220),0)</f>
        <v>34831966</v>
      </c>
      <c r="AN24" s="47">
        <f t="shared" si="1"/>
        <v>4.1593694931047365</v>
      </c>
      <c r="AP24" s="555">
        <f>ROUND(SUM(AB209:AB220),0)</f>
        <v>34845778</v>
      </c>
      <c r="AQ24" s="566">
        <f t="shared" si="6"/>
        <v>3.8556019420638465E-2</v>
      </c>
      <c r="AR24" s="39">
        <f>ROUND(AVERAGE(D209:D220),0)</f>
        <v>1400281</v>
      </c>
      <c r="AS24" s="43">
        <f t="shared" si="9"/>
        <v>1.7218045604356913</v>
      </c>
      <c r="AT24" s="39">
        <f>[5]TOTAL!$I$100</f>
        <v>1407369.5833333333</v>
      </c>
      <c r="AU24" s="86">
        <f t="shared" si="8"/>
        <v>2.6480297136753927E-2</v>
      </c>
      <c r="AW24" s="555">
        <f t="shared" si="0"/>
        <v>24885</v>
      </c>
      <c r="AX24" s="43">
        <f t="shared" si="10"/>
        <v>2.0964962665134923</v>
      </c>
      <c r="BN24" s="4">
        <v>1984</v>
      </c>
      <c r="BO24" s="4">
        <v>8</v>
      </c>
      <c r="CI24" s="51">
        <v>2000</v>
      </c>
      <c r="CJ24" s="84">
        <f>ROUND(SUM(BP209:BP220),0)</f>
        <v>35061913</v>
      </c>
      <c r="CK24" s="47">
        <f t="shared" si="11"/>
        <v>4.4740741438211939</v>
      </c>
      <c r="CL24" s="84">
        <f>ROUND(SUM(BT209:BT220),0)</f>
        <v>34662561</v>
      </c>
      <c r="CM24" s="47">
        <f t="shared" si="12"/>
        <v>3.3235409765463686</v>
      </c>
    </row>
    <row r="25" spans="1:91">
      <c r="A25" s="4">
        <v>1984</v>
      </c>
      <c r="B25" s="4">
        <v>9</v>
      </c>
      <c r="C25" s="108">
        <f>RESID!C25+COML!C25+IND!C25+SHL!C25+SPA!C25</f>
        <v>1744759</v>
      </c>
      <c r="D25" s="108">
        <f>RESID!D25+COML!D25+IND!D25+SHL!D25+SPA!D25</f>
        <v>897778</v>
      </c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75">
        <f>RESID!Z25+COML!Z25+IND!Z25+SHL!Z25+SPA!Z25</f>
        <v>1773325</v>
      </c>
      <c r="AA25" s="108">
        <f t="shared" si="5"/>
        <v>28566</v>
      </c>
      <c r="AB25" s="108">
        <f t="shared" si="7"/>
        <v>1773325</v>
      </c>
      <c r="AL25" s="4">
        <v>2001</v>
      </c>
      <c r="AM25" s="50">
        <f>ROUND(SUM(C221:C232),0)</f>
        <v>35262909</v>
      </c>
      <c r="AN25" s="47">
        <f t="shared" si="1"/>
        <v>1.2372055025547501</v>
      </c>
      <c r="AP25" s="555">
        <f>ROUND(SUM(AB221:AB232),0)</f>
        <v>35317115</v>
      </c>
      <c r="AQ25" s="566">
        <f t="shared" si="6"/>
        <v>1.352637326679873E-2</v>
      </c>
      <c r="AR25" s="39">
        <f>ROUND(AVERAGE(D221:D232),0)</f>
        <v>1444938</v>
      </c>
      <c r="AS25" s="43">
        <f t="shared" si="9"/>
        <v>3.1891456072031366</v>
      </c>
      <c r="AT25" s="39">
        <f>[5]TOTAL!$I$112</f>
        <v>1443295.0833333333</v>
      </c>
      <c r="AU25" s="86">
        <f t="shared" si="8"/>
        <v>2.5526699187935487E-2</v>
      </c>
      <c r="AW25" s="555">
        <f t="shared" si="0"/>
        <v>24442</v>
      </c>
      <c r="AX25" s="43">
        <f t="shared" si="10"/>
        <v>-1.7801888687964618</v>
      </c>
      <c r="BN25" s="4">
        <v>1984</v>
      </c>
      <c r="BO25" s="4">
        <v>9</v>
      </c>
      <c r="CI25" s="22">
        <v>2001</v>
      </c>
      <c r="CJ25" s="84">
        <f>ROUND(SUM(BP221:BP232),0)</f>
        <v>34911800</v>
      </c>
      <c r="CK25" s="47">
        <f t="shared" si="11"/>
        <v>-0.42813693593957147</v>
      </c>
      <c r="CL25" s="84">
        <f>ROUND(SUM(BT221:BT232),0)</f>
        <v>35121334</v>
      </c>
      <c r="CM25" s="47">
        <f t="shared" si="12"/>
        <v>1.3235404042996057</v>
      </c>
    </row>
    <row r="26" spans="1:91">
      <c r="A26" s="4">
        <v>1984</v>
      </c>
      <c r="B26" s="4">
        <v>10</v>
      </c>
      <c r="C26" s="108">
        <f>RESID!C26+COML!C26+IND!C26+SHL!C26+SPA!C26</f>
        <v>1430531</v>
      </c>
      <c r="D26" s="108">
        <f>RESID!D26+COML!D26+IND!D26+SHL!D26+SPA!D26</f>
        <v>903591</v>
      </c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75">
        <f>RESID!Z26+COML!Z26+IND!Z26+SHL!Z26+SPA!Z26</f>
        <v>1577980</v>
      </c>
      <c r="AA26" s="108">
        <f t="shared" si="5"/>
        <v>147449</v>
      </c>
      <c r="AB26" s="108">
        <f t="shared" si="7"/>
        <v>1577980</v>
      </c>
      <c r="AL26" s="23">
        <v>2002</v>
      </c>
      <c r="AM26" s="50">
        <f>ROUND(SUM(C233:C244),0)</f>
        <v>36859344</v>
      </c>
      <c r="AN26" s="47">
        <f t="shared" ref="AN26:AN31" si="13">(AM26/AM25-1)*100</f>
        <v>4.5272356855187379</v>
      </c>
      <c r="AP26" s="555">
        <f>ROUND(SUM(AB233:AB244),0)</f>
        <v>36088891</v>
      </c>
      <c r="AQ26" s="566">
        <f t="shared" si="6"/>
        <v>2.1852747598437805E-2</v>
      </c>
      <c r="AR26" s="39">
        <f>ROUND(AVERAGE(D233:D244),0)</f>
        <v>1475760</v>
      </c>
      <c r="AS26" s="43">
        <f t="shared" si="9"/>
        <v>2.1331019047184041</v>
      </c>
      <c r="AT26" s="39">
        <f>[5]TOTAL!$I$124</f>
        <v>1475564.1666666667</v>
      </c>
      <c r="AU26" s="86">
        <f t="shared" si="8"/>
        <v>2.2357925074342422E-2</v>
      </c>
      <c r="AW26" s="555">
        <f t="shared" ref="AW26:AW31" si="14">ROUND((AP26/AR26*1000),0)</f>
        <v>24454</v>
      </c>
      <c r="AX26" s="43">
        <f t="shared" si="10"/>
        <v>4.9095818672784119E-2</v>
      </c>
      <c r="BN26" s="4">
        <v>1984</v>
      </c>
      <c r="BO26" s="4">
        <v>10</v>
      </c>
      <c r="CI26" s="51">
        <v>2002</v>
      </c>
      <c r="CJ26" s="84">
        <f>ROUND(SUM(BP233:BP244),0)</f>
        <v>36837734</v>
      </c>
      <c r="CK26" s="47">
        <f t="shared" si="11"/>
        <v>5.516570328656778</v>
      </c>
      <c r="CL26" s="84">
        <f>ROUND(SUM(BT233:BT244),0)</f>
        <v>36028779</v>
      </c>
      <c r="CM26" s="47">
        <f t="shared" si="12"/>
        <v>2.5837429751387031</v>
      </c>
    </row>
    <row r="27" spans="1:91">
      <c r="A27" s="4">
        <v>1984</v>
      </c>
      <c r="B27" s="4">
        <v>11</v>
      </c>
      <c r="C27" s="108">
        <f>RESID!C27+COML!C27+IND!C27+SHL!C27+SPA!C27</f>
        <v>1388026</v>
      </c>
      <c r="D27" s="108">
        <f>RESID!D27+COML!D27+IND!D27+SHL!D27+SPA!D27</f>
        <v>917037</v>
      </c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75">
        <f>RESID!Z27+COML!Z27+IND!Z27+SHL!Z27+SPA!Z27</f>
        <v>1265650</v>
      </c>
      <c r="AA27" s="108">
        <f t="shared" si="5"/>
        <v>-122376</v>
      </c>
      <c r="AB27" s="108">
        <f t="shared" si="7"/>
        <v>1265650</v>
      </c>
      <c r="AL27" s="4">
        <v>2003</v>
      </c>
      <c r="AM27" s="50">
        <f>ROUND(SUM(C245:C256),0)</f>
        <v>37956701</v>
      </c>
      <c r="AN27" s="47">
        <f t="shared" si="13"/>
        <v>2.9771473957865391</v>
      </c>
      <c r="AP27" s="555">
        <f>ROUND(SUM(AB245:AB256),0)</f>
        <v>37446190</v>
      </c>
      <c r="AQ27" s="566">
        <f t="shared" si="6"/>
        <v>3.7609883883658268E-2</v>
      </c>
      <c r="AR27" s="39">
        <f>ROUND(AVERAGE(D245:D256),0)</f>
        <v>1510494</v>
      </c>
      <c r="AS27" s="43">
        <f t="shared" si="9"/>
        <v>2.3536347373556588</v>
      </c>
      <c r="AT27" s="39">
        <f>[5]TOTAL!$I$136</f>
        <v>1511301.8333333333</v>
      </c>
      <c r="AU27" s="86">
        <f t="shared" si="8"/>
        <v>2.4219662874708225E-2</v>
      </c>
      <c r="AW27" s="555">
        <f t="shared" si="14"/>
        <v>24791</v>
      </c>
      <c r="AX27" s="43">
        <f t="shared" si="10"/>
        <v>1.3780976527357547</v>
      </c>
      <c r="BN27" s="4">
        <v>1984</v>
      </c>
      <c r="BO27" s="4">
        <v>11</v>
      </c>
      <c r="CI27" s="51">
        <v>2003</v>
      </c>
      <c r="CJ27" s="84">
        <f>ROUND(SUM(BP245:BP256),0)</f>
        <v>38104386</v>
      </c>
      <c r="CK27" s="47">
        <f t="shared" si="11"/>
        <v>3.4384633973414402</v>
      </c>
      <c r="CL27" s="84">
        <f>ROUND(SUM(BT245:BT256),0)</f>
        <v>37483345</v>
      </c>
      <c r="CM27" s="47">
        <f t="shared" si="12"/>
        <v>4.0372336792207086</v>
      </c>
    </row>
    <row r="28" spans="1:91">
      <c r="A28" s="4">
        <v>1984</v>
      </c>
      <c r="B28" s="4">
        <v>12</v>
      </c>
      <c r="C28" s="108">
        <f>RESID!C28+COML!C28+IND!C28+SHL!C28+SPA!C28</f>
        <v>1295690</v>
      </c>
      <c r="D28" s="108">
        <f>RESID!D28+COML!D28+IND!D28+SHL!D28+SPA!D28</f>
        <v>928653</v>
      </c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75">
        <f>RESID!Z28+COML!Z28+IND!Z28+SHL!Z28+SPA!Z28</f>
        <v>1293138</v>
      </c>
      <c r="AA28" s="108">
        <f t="shared" si="5"/>
        <v>-2552</v>
      </c>
      <c r="AB28" s="108">
        <f t="shared" si="7"/>
        <v>1293138</v>
      </c>
      <c r="AL28" s="4">
        <v>2004</v>
      </c>
      <c r="AM28" s="50">
        <f>ROUND(SUM(C257:C268),0)</f>
        <v>38193103</v>
      </c>
      <c r="AN28" s="47">
        <f t="shared" si="13"/>
        <v>0.62282019715043102</v>
      </c>
      <c r="AP28" s="555">
        <f>ROUND(SUM(AB257:AB268),0)</f>
        <v>38471183</v>
      </c>
      <c r="AQ28" s="566">
        <f t="shared" si="6"/>
        <v>2.7372424270666773E-2</v>
      </c>
      <c r="AR28" s="39">
        <f>ROUND(AVERAGE(D257:D268),0)</f>
        <v>1548603</v>
      </c>
      <c r="AS28" s="43">
        <f t="shared" ref="AS28:AS33" si="15">(AR28/AR27-1)*100</f>
        <v>2.5229494456780355</v>
      </c>
      <c r="AT28" s="39">
        <f>[5]TOTAL!$I$148</f>
        <v>1548415.25</v>
      </c>
      <c r="AU28" s="86">
        <f t="shared" si="8"/>
        <v>2.4557249814756821E-2</v>
      </c>
      <c r="AW28" s="555">
        <f t="shared" si="14"/>
        <v>24843</v>
      </c>
      <c r="AX28" s="43">
        <f t="shared" ref="AX28:AX33" si="16">(AW28/AW27-1)*100</f>
        <v>0.20975353959098442</v>
      </c>
      <c r="BN28" s="4">
        <v>1984</v>
      </c>
      <c r="BO28" s="4">
        <v>12</v>
      </c>
      <c r="CI28" s="51">
        <v>2004</v>
      </c>
      <c r="CJ28" s="84">
        <f>ROUND(SUM(BP257:BP268),0)</f>
        <v>38474067</v>
      </c>
      <c r="CK28" s="47">
        <f t="shared" ref="CK28:CK33" si="17">(CJ28/CJ27-1)*100</f>
        <v>0.97017965333439093</v>
      </c>
      <c r="CL28" s="182">
        <f>ROUND(SUM(BT257:BT268),0)</f>
        <v>38465740</v>
      </c>
      <c r="CM28" s="47">
        <f t="shared" ref="CM28:CM33" si="18">(CL28/CL27-1)*100</f>
        <v>2.6208840219569485</v>
      </c>
    </row>
    <row r="29" spans="1:91">
      <c r="A29" s="4">
        <v>1985</v>
      </c>
      <c r="B29" s="4">
        <v>1</v>
      </c>
      <c r="C29" s="108">
        <f>RESID!C29+COML!C29+IND!C29+SHL!C29+SPA!C29</f>
        <v>1423233</v>
      </c>
      <c r="D29" s="108">
        <f>RESID!D29+COML!D29+IND!D29+SHL!D29+SPA!D29</f>
        <v>936052</v>
      </c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>
        <f t="shared" ref="Y29:Y92" si="19">Z29-Z17</f>
        <v>42942</v>
      </c>
      <c r="Z29" s="175">
        <f>RESID!Z29+COML!Z29+IND!Z29+SHL!Z29+SPA!Z29</f>
        <v>1364973</v>
      </c>
      <c r="AA29" s="108">
        <f t="shared" si="5"/>
        <v>-58260</v>
      </c>
      <c r="AB29" s="108">
        <f t="shared" si="7"/>
        <v>1364973</v>
      </c>
      <c r="AL29" s="4">
        <v>2005</v>
      </c>
      <c r="AM29" s="50">
        <f>ROUND(SUM(C269:C280),0)</f>
        <v>39176588</v>
      </c>
      <c r="AN29" s="47">
        <f t="shared" si="13"/>
        <v>2.5750329843584607</v>
      </c>
      <c r="AP29" s="555">
        <f>ROUND(SUM(AB269:AB280),0)</f>
        <v>38895919</v>
      </c>
      <c r="AQ29" s="566">
        <f t="shared" si="6"/>
        <v>1.1040367539516538E-2</v>
      </c>
      <c r="AR29" s="39">
        <f>ROUND(AVERAGE(D269:D280),0)</f>
        <v>1583391</v>
      </c>
      <c r="AS29" s="43">
        <f t="shared" si="15"/>
        <v>2.2464117659593885</v>
      </c>
      <c r="AT29" s="39">
        <f>[5]TOTAL!$I$160</f>
        <v>1577955.3333333333</v>
      </c>
      <c r="AU29" s="86">
        <f t="shared" si="8"/>
        <v>1.907762361119425E-2</v>
      </c>
      <c r="AW29" s="555">
        <f t="shared" si="14"/>
        <v>24565</v>
      </c>
      <c r="AX29" s="43">
        <f t="shared" si="16"/>
        <v>-1.1190274926538679</v>
      </c>
      <c r="BN29" s="4">
        <v>1985</v>
      </c>
      <c r="BO29" s="4">
        <v>1</v>
      </c>
      <c r="CI29" s="51">
        <v>2005</v>
      </c>
      <c r="CJ29" s="84">
        <f>ROUND(SUM(BP269:BP280),0)</f>
        <v>38952143</v>
      </c>
      <c r="CK29" s="47">
        <f t="shared" si="17"/>
        <v>1.2425928353246407</v>
      </c>
      <c r="CL29" s="84">
        <f>ROUND(SUM(BT269:BT280),0)</f>
        <v>38723413</v>
      </c>
      <c r="CM29" s="47">
        <f t="shared" si="18"/>
        <v>0.66987662267774528</v>
      </c>
    </row>
    <row r="30" spans="1:91">
      <c r="A30" s="4">
        <v>1985</v>
      </c>
      <c r="B30" s="4">
        <v>2</v>
      </c>
      <c r="C30" s="108">
        <f>RESID!C30+COML!C30+IND!C30+SHL!C30+SPA!C30</f>
        <v>1639731</v>
      </c>
      <c r="D30" s="108">
        <f>RESID!D30+COML!D30+IND!D30+SHL!D30+SPA!D30</f>
        <v>941381</v>
      </c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>
        <f t="shared" si="19"/>
        <v>21542</v>
      </c>
      <c r="Z30" s="175">
        <f>RESID!Z30+COML!Z30+IND!Z30+SHL!Z30+SPA!Z30</f>
        <v>1333392</v>
      </c>
      <c r="AA30" s="108">
        <f t="shared" si="5"/>
        <v>-306339</v>
      </c>
      <c r="AB30" s="108">
        <f t="shared" si="7"/>
        <v>1333392</v>
      </c>
      <c r="AL30" s="4">
        <v>2006</v>
      </c>
      <c r="AM30" s="50">
        <f>ROUND(SUM(C281:C292),0)</f>
        <v>39431840</v>
      </c>
      <c r="AN30" s="47">
        <f t="shared" si="13"/>
        <v>0.6515421914741637</v>
      </c>
      <c r="AP30" s="555">
        <f>ROUND(SUM(AB281:AB292),0)</f>
        <v>39427560</v>
      </c>
      <c r="AQ30" s="566">
        <f t="shared" si="6"/>
        <v>1.3668297694675813E-2</v>
      </c>
      <c r="AR30" s="39">
        <f>ROUND(AVERAGE(D281:D292),0)</f>
        <v>1620373</v>
      </c>
      <c r="AS30" s="43">
        <f t="shared" si="15"/>
        <v>2.3356201974117585</v>
      </c>
      <c r="AT30" s="39">
        <f>[5]TOTAL!$I$172</f>
        <v>1613420.3333333333</v>
      </c>
      <c r="AU30" s="86">
        <f t="shared" si="8"/>
        <v>2.2475287640165487E-2</v>
      </c>
      <c r="AW30" s="555">
        <f t="shared" si="14"/>
        <v>24332</v>
      </c>
      <c r="AX30" s="43">
        <f t="shared" si="16"/>
        <v>-0.94850396906167589</v>
      </c>
      <c r="BN30" s="4">
        <v>1985</v>
      </c>
      <c r="BO30" s="4">
        <v>2</v>
      </c>
      <c r="CI30" s="51">
        <v>2006</v>
      </c>
      <c r="CJ30" s="84">
        <f>ROUND(SUM(BP281:BP292),0)</f>
        <v>39297691</v>
      </c>
      <c r="CK30" s="47">
        <f t="shared" si="17"/>
        <v>0.88710908665539101</v>
      </c>
      <c r="CL30" s="84">
        <f>ROUND(SUM(BT281:BT292),0)</f>
        <v>39393095</v>
      </c>
      <c r="CM30" s="47">
        <f t="shared" si="18"/>
        <v>1.7293981808886416</v>
      </c>
    </row>
    <row r="31" spans="1:91">
      <c r="A31" s="4">
        <v>1985</v>
      </c>
      <c r="B31" s="4">
        <v>3</v>
      </c>
      <c r="C31" s="108">
        <f>RESID!C31+COML!C31+IND!C31+SHL!C31+SPA!C31</f>
        <v>1368477</v>
      </c>
      <c r="D31" s="108">
        <f>RESID!D31+COML!D31+IND!D31+SHL!D31+SPA!D31</f>
        <v>945255</v>
      </c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>
        <f t="shared" si="19"/>
        <v>67148</v>
      </c>
      <c r="Z31" s="175">
        <f>RESID!Z31+COML!Z31+IND!Z31+SHL!Z31+SPA!Z31</f>
        <v>1301261</v>
      </c>
      <c r="AA31" s="108">
        <f t="shared" si="5"/>
        <v>-67216</v>
      </c>
      <c r="AB31" s="108">
        <f t="shared" si="7"/>
        <v>1301261</v>
      </c>
      <c r="AL31" s="4">
        <v>2007</v>
      </c>
      <c r="AM31" s="50">
        <f>ROUND(SUM(C293:C304),0)</f>
        <v>39281641</v>
      </c>
      <c r="AN31" s="47">
        <f t="shared" si="13"/>
        <v>-0.38090791603941909</v>
      </c>
      <c r="AP31" s="555">
        <f>ROUND(SUM(AB293:AB304),0)</f>
        <v>39454441</v>
      </c>
      <c r="AQ31" s="566">
        <f t="shared" si="6"/>
        <v>6.8178198194357442E-4</v>
      </c>
      <c r="AR31" s="39">
        <f>ROUND(AVERAGE(D293:D304),0)</f>
        <v>1632347</v>
      </c>
      <c r="AS31" s="43">
        <f t="shared" si="15"/>
        <v>0.73896565790716462</v>
      </c>
      <c r="AT31" s="39">
        <f>[5]TOTAL!$I$184</f>
        <v>1636792.0833333333</v>
      </c>
      <c r="AU31" s="86">
        <f t="shared" si="8"/>
        <v>1.4485840742885614E-2</v>
      </c>
      <c r="AW31" s="555">
        <f t="shared" si="14"/>
        <v>24170</v>
      </c>
      <c r="AX31" s="43">
        <f t="shared" si="16"/>
        <v>-0.66578990629623247</v>
      </c>
      <c r="BN31" s="4">
        <v>1985</v>
      </c>
      <c r="BO31" s="4">
        <v>3</v>
      </c>
      <c r="CI31" s="51">
        <v>2007</v>
      </c>
      <c r="CJ31" s="84">
        <f>ROUND(SUM(BP293:BP304),0)</f>
        <v>39276099</v>
      </c>
      <c r="CK31" s="47">
        <f t="shared" si="17"/>
        <v>-5.4944704003090372E-2</v>
      </c>
      <c r="CL31" s="84">
        <f>ROUND(SUM(BT293:BT304),0)</f>
        <v>39300714</v>
      </c>
      <c r="CM31" s="47">
        <f t="shared" si="18"/>
        <v>-0.23451064203002803</v>
      </c>
    </row>
    <row r="32" spans="1:91">
      <c r="A32" s="4">
        <v>1985</v>
      </c>
      <c r="B32" s="4">
        <v>4</v>
      </c>
      <c r="C32" s="108">
        <f>RESID!C32+COML!C32+IND!C32+SHL!C32+SPA!C32</f>
        <v>1276836</v>
      </c>
      <c r="D32" s="108">
        <f>RESID!D32+COML!D32+IND!D32+SHL!D32+SPA!D32</f>
        <v>942575</v>
      </c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>
        <f t="shared" si="19"/>
        <v>74256</v>
      </c>
      <c r="Z32" s="175">
        <f>RESID!Z32+COML!Z32+IND!Z32+SHL!Z32+SPA!Z32</f>
        <v>1319575</v>
      </c>
      <c r="AA32" s="108">
        <f t="shared" si="5"/>
        <v>42739</v>
      </c>
      <c r="AB32" s="108">
        <f t="shared" si="7"/>
        <v>1319575</v>
      </c>
      <c r="AL32" s="4">
        <v>2008</v>
      </c>
      <c r="AM32" s="50">
        <f>ROUND(SUM(C305:C316),0)</f>
        <v>38555711</v>
      </c>
      <c r="AN32" s="47">
        <f t="shared" ref="AN32:AN37" si="20">(AM32/AM31-1)*100</f>
        <v>-1.8480134269339699</v>
      </c>
      <c r="AP32" s="555">
        <f>ROUND(SUM(AB305:AB316),0)</f>
        <v>38804220</v>
      </c>
      <c r="AQ32" s="566">
        <f t="shared" si="6"/>
        <v>-1.6480299391391728E-2</v>
      </c>
      <c r="AR32" s="39">
        <f>ROUND(AVERAGE(D305:D316),0)</f>
        <v>1638911</v>
      </c>
      <c r="AS32" s="43">
        <f t="shared" si="15"/>
        <v>0.40212038249221038</v>
      </c>
      <c r="AT32" s="39">
        <f>[5]TOTAL!$I$196</f>
        <v>1637225.0833333333</v>
      </c>
      <c r="AU32" s="86">
        <f t="shared" si="8"/>
        <v>2.6454184646240719E-4</v>
      </c>
      <c r="AW32" s="555">
        <f t="shared" ref="AW32:AW37" si="21">ROUND((AP32/AR32*1000),0)</f>
        <v>23677</v>
      </c>
      <c r="AX32" s="43">
        <f t="shared" si="16"/>
        <v>-2.0397186594952377</v>
      </c>
      <c r="BN32" s="4">
        <v>1985</v>
      </c>
      <c r="BO32" s="4">
        <v>4</v>
      </c>
      <c r="CI32" s="51">
        <v>2008</v>
      </c>
      <c r="CJ32" s="84">
        <f>ROUND(SUM(BP305:BP316),0)</f>
        <v>38455942</v>
      </c>
      <c r="CK32" s="47">
        <f t="shared" si="17"/>
        <v>-2.0881834522313403</v>
      </c>
      <c r="CL32" s="84">
        <f>ROUND(SUM(BT305:BT316),0)</f>
        <v>38627372</v>
      </c>
      <c r="CM32" s="47">
        <f t="shared" si="18"/>
        <v>-1.7133072951295514</v>
      </c>
    </row>
    <row r="33" spans="1:91">
      <c r="A33" s="4">
        <v>1985</v>
      </c>
      <c r="B33" s="4">
        <v>5</v>
      </c>
      <c r="C33" s="108">
        <f>RESID!C33+COML!C33+IND!C33+SHL!C33+SPA!C33</f>
        <v>1356745</v>
      </c>
      <c r="D33" s="108">
        <f>RESID!D33+COML!D33+IND!D33+SHL!D33+SPA!D33</f>
        <v>931477</v>
      </c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>
        <f t="shared" si="19"/>
        <v>18390</v>
      </c>
      <c r="Z33" s="175">
        <f>RESID!Z33+COML!Z33+IND!Z33+SHL!Z33+SPA!Z33</f>
        <v>1317378</v>
      </c>
      <c r="AA33" s="108">
        <f t="shared" si="5"/>
        <v>-39367</v>
      </c>
      <c r="AB33" s="108">
        <f t="shared" si="7"/>
        <v>1317378</v>
      </c>
      <c r="AL33" s="4">
        <v>2009</v>
      </c>
      <c r="AM33" s="50">
        <f>ROUND(SUM(C317:C328),0)</f>
        <v>37824249</v>
      </c>
      <c r="AN33" s="47">
        <f t="shared" si="20"/>
        <v>-1.8971560399962506</v>
      </c>
      <c r="AP33" s="555">
        <f>ROUND(SUM(AB317:AB328),0)</f>
        <v>37191546</v>
      </c>
      <c r="AQ33" s="566">
        <f t="shared" si="6"/>
        <v>-4.1559242783387962E-2</v>
      </c>
      <c r="AR33" s="39">
        <f>ROUND(AVERAGE(D317:D328),0)</f>
        <v>1630172</v>
      </c>
      <c r="AS33" s="43">
        <f t="shared" si="15"/>
        <v>-0.53321992469389512</v>
      </c>
      <c r="AT33" s="39">
        <f>[5]TOTAL!$I$208</f>
        <v>1629710.4166666667</v>
      </c>
      <c r="AU33" s="86">
        <f t="shared" si="8"/>
        <v>-4.5898800007185825E-3</v>
      </c>
      <c r="AW33" s="555">
        <f t="shared" si="21"/>
        <v>22814</v>
      </c>
      <c r="AX33" s="43">
        <f t="shared" si="16"/>
        <v>-3.6448874435105805</v>
      </c>
      <c r="BN33" s="4">
        <v>1985</v>
      </c>
      <c r="BO33" s="4">
        <v>5</v>
      </c>
      <c r="CF33" s="354"/>
      <c r="CI33" s="51">
        <v>2009</v>
      </c>
      <c r="CJ33" s="84">
        <f>ROUND(SUM(BP317:BP328),0)</f>
        <v>37955188</v>
      </c>
      <c r="CK33" s="47">
        <f t="shared" si="17"/>
        <v>-1.3021498732237569</v>
      </c>
      <c r="CL33" s="84">
        <f>ROUND(SUM(BT317:BT328),0)</f>
        <v>37069100</v>
      </c>
      <c r="CM33" s="47">
        <f t="shared" si="18"/>
        <v>-4.0341134260958755</v>
      </c>
    </row>
    <row r="34" spans="1:91">
      <c r="A34" s="4">
        <v>1985</v>
      </c>
      <c r="B34" s="4">
        <v>6</v>
      </c>
      <c r="C34" s="108">
        <f>RESID!C34+COML!C34+IND!C34+SHL!C34+SPA!C34</f>
        <v>1682020</v>
      </c>
      <c r="D34" s="108">
        <f>RESID!D34+COML!D34+IND!D34+SHL!D34+SPA!D34</f>
        <v>928859</v>
      </c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>
        <f t="shared" si="19"/>
        <v>15926</v>
      </c>
      <c r="Z34" s="175">
        <f>RESID!Z34+COML!Z34+IND!Z34+SHL!Z34+SPA!Z34</f>
        <v>1600713</v>
      </c>
      <c r="AA34" s="108">
        <f t="shared" si="5"/>
        <v>-81307</v>
      </c>
      <c r="AB34" s="108">
        <f t="shared" si="7"/>
        <v>1600713</v>
      </c>
      <c r="AL34" s="4">
        <v>2010</v>
      </c>
      <c r="AM34" s="50">
        <f>ROUND(SUM(C329:C340),0)</f>
        <v>38925066</v>
      </c>
      <c r="AN34" s="47">
        <f t="shared" si="20"/>
        <v>2.9103472748394754</v>
      </c>
      <c r="AP34" s="555">
        <f>ROUND(SUM(AB329:AB340),0)</f>
        <v>36443175</v>
      </c>
      <c r="AQ34" s="566">
        <f t="shared" si="6"/>
        <v>-2.0122072903342114E-2</v>
      </c>
      <c r="AR34" s="39">
        <f>ROUND(AVERAGE(D329:D340),0)</f>
        <v>1640813</v>
      </c>
      <c r="AS34" s="43">
        <f t="shared" ref="AS34" si="22">(AR34/AR33-1)*100</f>
        <v>0.65275320641011714</v>
      </c>
      <c r="AT34" s="39">
        <f>[5]TOTAL!$I$220</f>
        <v>1634172.1666666667</v>
      </c>
      <c r="AU34" s="86">
        <f t="shared" si="8"/>
        <v>2.737756324295848E-3</v>
      </c>
      <c r="AW34" s="555">
        <f t="shared" si="21"/>
        <v>22210</v>
      </c>
      <c r="AX34" s="43">
        <f t="shared" ref="AX34" si="23">(AW34/AW33-1)*100</f>
        <v>-2.6474971508722689</v>
      </c>
      <c r="BN34" s="4">
        <v>1985</v>
      </c>
      <c r="BO34" s="4">
        <v>6</v>
      </c>
      <c r="CF34" s="354"/>
      <c r="CI34" s="51">
        <v>2010</v>
      </c>
      <c r="CJ34" s="84">
        <f>ROUND(SUM(BP329:BP340),0)</f>
        <v>39383128</v>
      </c>
      <c r="CK34" s="47">
        <f t="shared" ref="CK34" si="24">(CJ34/CJ33-1)*100</f>
        <v>3.7621734346303226</v>
      </c>
      <c r="CL34" s="84">
        <f>ROUND(SUM(BT329:BT340),0)</f>
        <v>36390627</v>
      </c>
      <c r="CM34" s="47">
        <f t="shared" ref="CM34" si="25">(CL34/CL33-1)*100</f>
        <v>-1.8302926156826049</v>
      </c>
    </row>
    <row r="35" spans="1:91">
      <c r="A35" s="4">
        <v>1985</v>
      </c>
      <c r="B35" s="4">
        <v>7</v>
      </c>
      <c r="C35" s="108">
        <f>RESID!C35+COML!C35+IND!C35+SHL!C35+SPA!C35</f>
        <v>1763691</v>
      </c>
      <c r="D35" s="108">
        <f>RESID!D35+COML!D35+IND!D35+SHL!D35+SPA!D35</f>
        <v>930597</v>
      </c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>
        <f t="shared" si="19"/>
        <v>54860</v>
      </c>
      <c r="Z35" s="175">
        <f>RESID!Z35+COML!Z35+IND!Z35+SHL!Z35+SPA!Z35</f>
        <v>1744021</v>
      </c>
      <c r="AA35" s="108">
        <f t="shared" si="5"/>
        <v>-19670</v>
      </c>
      <c r="AB35" s="108">
        <f t="shared" si="7"/>
        <v>1744021</v>
      </c>
      <c r="AL35" s="4">
        <v>2011</v>
      </c>
      <c r="AM35" s="50">
        <f>ROUND(SUM(C341:C352),0)</f>
        <v>37596937</v>
      </c>
      <c r="AN35" s="47">
        <f t="shared" si="20"/>
        <v>-3.4120147670398282</v>
      </c>
      <c r="AP35" s="555">
        <f>ROUND(SUM(AB341:AB352),0)</f>
        <v>36773450</v>
      </c>
      <c r="AQ35" s="566">
        <f t="shared" si="6"/>
        <v>9.0627394567022179E-3</v>
      </c>
      <c r="AR35" s="39">
        <f>ROUND(AVERAGE(D341:D352),0)</f>
        <v>1642145</v>
      </c>
      <c r="AS35" s="43">
        <f t="shared" ref="AS35" si="26">(AR35/AR34-1)*100</f>
        <v>8.1179269057463088E-2</v>
      </c>
      <c r="AT35" s="39">
        <f>[5]TOTAL!$I$232</f>
        <v>1642361.3333333333</v>
      </c>
      <c r="AU35" s="86">
        <f t="shared" si="8"/>
        <v>5.0112019000851937E-3</v>
      </c>
      <c r="AW35" s="555">
        <f t="shared" si="21"/>
        <v>22394</v>
      </c>
      <c r="AX35" s="43">
        <f t="shared" ref="AX35" si="27">(AW35/AW34-1)*100</f>
        <v>0.82845565060782889</v>
      </c>
      <c r="BN35" s="4">
        <v>1985</v>
      </c>
      <c r="BO35" s="4">
        <v>7</v>
      </c>
      <c r="CI35" s="51">
        <v>2011</v>
      </c>
      <c r="CJ35" s="84">
        <f>ROUND(SUM(BP341:BP352),0)</f>
        <v>36968303</v>
      </c>
      <c r="CK35" s="47">
        <f t="shared" ref="CK35" si="28">(CJ35/CJ34-1)*100</f>
        <v>-6.1316231661436298</v>
      </c>
      <c r="CL35" s="84">
        <f>ROUND(SUM(BT341:BT352),0)</f>
        <v>36600306</v>
      </c>
      <c r="CM35" s="47">
        <f t="shared" ref="CM35" si="29">(CL35/CL34-1)*100</f>
        <v>0.57618957760743328</v>
      </c>
    </row>
    <row r="36" spans="1:91">
      <c r="A36" s="4">
        <v>1985</v>
      </c>
      <c r="B36" s="4">
        <v>8</v>
      </c>
      <c r="C36" s="108">
        <f>RESID!C36+COML!C36+IND!C36+SHL!C36+SPA!C36</f>
        <v>1799536</v>
      </c>
      <c r="D36" s="108">
        <f>RESID!D36+COML!D36+IND!D36+SHL!D36+SPA!D36</f>
        <v>933007</v>
      </c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>
        <f t="shared" si="19"/>
        <v>116523</v>
      </c>
      <c r="Z36" s="175">
        <f>RESID!Z36+COML!Z36+IND!Z36+SHL!Z36+SPA!Z36</f>
        <v>1833726</v>
      </c>
      <c r="AA36" s="108">
        <f t="shared" si="5"/>
        <v>34190</v>
      </c>
      <c r="AB36" s="108">
        <f t="shared" si="7"/>
        <v>1833726</v>
      </c>
      <c r="AL36" s="4">
        <v>2012</v>
      </c>
      <c r="AM36" s="50">
        <f>ROUND(SUM(C353:C364),0)</f>
        <v>36381458</v>
      </c>
      <c r="AN36" s="47">
        <f t="shared" si="20"/>
        <v>-3.2329202775215449</v>
      </c>
      <c r="AO36" s="86"/>
      <c r="AP36" s="555">
        <f>ROUND(SUM(AB353:AB364),0)</f>
        <v>36676157</v>
      </c>
      <c r="AQ36" s="566">
        <f t="shared" si="6"/>
        <v>-2.6457403371181742E-3</v>
      </c>
      <c r="AR36" s="39">
        <f>ROUND(AVERAGE(D353:D364),0)</f>
        <v>1649823</v>
      </c>
      <c r="AS36" s="43">
        <f t="shared" ref="AS36" si="30">(AR36/AR35-1)*100</f>
        <v>0.46755919848735505</v>
      </c>
      <c r="AT36" s="39">
        <f>[5]TOTAL!$I$244</f>
        <v>1655530.1666666667</v>
      </c>
      <c r="AU36" s="86">
        <f t="shared" si="8"/>
        <v>8.0182314732204496E-3</v>
      </c>
      <c r="AW36" s="555">
        <f t="shared" si="21"/>
        <v>22230</v>
      </c>
      <c r="AX36" s="43">
        <f t="shared" ref="AX36" si="31">(AW36/AW35-1)*100</f>
        <v>-0.73233901938019041</v>
      </c>
      <c r="BN36" s="4">
        <v>1985</v>
      </c>
      <c r="BO36" s="4">
        <v>8</v>
      </c>
      <c r="CI36" s="51">
        <v>2012</v>
      </c>
      <c r="CJ36" s="84">
        <f>ROUND(SUM(BP353:BP364),0)</f>
        <v>36680473</v>
      </c>
      <c r="CK36" s="47">
        <f t="shared" ref="CK36" si="32">(CJ36/CJ35-1)*100</f>
        <v>-0.77858591453332515</v>
      </c>
      <c r="CL36" s="84">
        <f>ROUND(SUM(BT353:BT364),0)</f>
        <v>36719444</v>
      </c>
      <c r="CM36" s="47">
        <f t="shared" ref="CM36" si="33">(CL36/CL35-1)*100</f>
        <v>0.32551093971728839</v>
      </c>
    </row>
    <row r="37" spans="1:91">
      <c r="A37" s="4">
        <v>1985</v>
      </c>
      <c r="B37" s="4">
        <v>9</v>
      </c>
      <c r="C37" s="108">
        <f>RESID!C37+COML!C37+IND!C37+SHL!C37+SPA!C37</f>
        <v>1785819</v>
      </c>
      <c r="D37" s="108">
        <f>RESID!D37+COML!D37+IND!D37+SHL!D37+SPA!D37</f>
        <v>936878</v>
      </c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>
        <f t="shared" si="19"/>
        <v>70543</v>
      </c>
      <c r="Z37" s="175">
        <f>RESID!Z37+COML!Z37+IND!Z37+SHL!Z37+SPA!Z37</f>
        <v>1843868</v>
      </c>
      <c r="AA37" s="108">
        <f t="shared" si="5"/>
        <v>58049</v>
      </c>
      <c r="AB37" s="108">
        <f t="shared" si="7"/>
        <v>1843868</v>
      </c>
      <c r="AL37" s="4">
        <v>2013</v>
      </c>
      <c r="AM37" s="50">
        <f>ROUND(SUM(C365:C376),0)</f>
        <v>36615988</v>
      </c>
      <c r="AN37" s="47">
        <f t="shared" si="20"/>
        <v>0.64464156439250075</v>
      </c>
      <c r="AO37" s="86"/>
      <c r="AP37" s="555">
        <f>ROUND(SUM(AB365:AB376),0)</f>
        <v>36435129</v>
      </c>
      <c r="AQ37" s="566">
        <f t="shared" ref="AQ37" si="34">(AP37/AP36-1)</f>
        <v>-6.5717899506210209E-3</v>
      </c>
      <c r="AR37" s="39">
        <f>ROUND(AVERAGE(D365:D376),0)</f>
        <v>1682181</v>
      </c>
      <c r="AS37" s="43">
        <f t="shared" ref="AS37" si="35">(AR37/AR36-1)*100</f>
        <v>1.9613013032307114</v>
      </c>
      <c r="AT37" s="39">
        <f>[5]TOTAL!$I$255</f>
        <v>1672552.8333333333</v>
      </c>
      <c r="AU37" s="86">
        <f t="shared" ref="AU37" si="36">AT37/AT36-1</f>
        <v>1.0282305336024589E-2</v>
      </c>
      <c r="AW37" s="555">
        <f t="shared" si="21"/>
        <v>21659</v>
      </c>
      <c r="AX37" s="43">
        <f t="shared" ref="AX37" si="37">(AW37/AW36-1)*100</f>
        <v>-2.5686009896536244</v>
      </c>
      <c r="AZ37" s="108">
        <f>[5]TOTAL!$O$256</f>
        <v>1672975.75</v>
      </c>
      <c r="BA37" s="86">
        <f>AZ37/AT36-1</f>
        <v>1.0537762273736817E-2</v>
      </c>
      <c r="BN37" s="4">
        <v>1985</v>
      </c>
      <c r="BO37" s="4">
        <v>9</v>
      </c>
    </row>
    <row r="38" spans="1:91">
      <c r="A38" s="4">
        <v>1985</v>
      </c>
      <c r="B38" s="4">
        <v>10</v>
      </c>
      <c r="C38" s="108">
        <f>RESID!C38+COML!C38+IND!C38+SHL!C38+SPA!C38</f>
        <v>1611804</v>
      </c>
      <c r="D38" s="108">
        <f>RESID!D38+COML!D38+IND!D38+SHL!D38+SPA!D38</f>
        <v>942262</v>
      </c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>
        <f t="shared" si="19"/>
        <v>20429</v>
      </c>
      <c r="Z38" s="175">
        <f>RESID!Z38+COML!Z38+IND!Z38+SHL!Z38+SPA!Z38</f>
        <v>1598409</v>
      </c>
      <c r="AA38" s="108">
        <f t="shared" si="5"/>
        <v>-13395</v>
      </c>
      <c r="AB38" s="108">
        <f t="shared" si="7"/>
        <v>1598409</v>
      </c>
      <c r="AL38" s="4">
        <v>2014</v>
      </c>
      <c r="AO38" s="86">
        <f t="shared" ref="AO38:AO42" si="38">AP38/AP37-1</f>
        <v>9.7045079763542486E-3</v>
      </c>
      <c r="AP38" s="108">
        <f>[6]BM_MWh!$DF23</f>
        <v>36788714</v>
      </c>
      <c r="AT38" s="108">
        <f>(AT31-AT16)/16</f>
        <v>28414.880208333328</v>
      </c>
      <c r="AZ38" s="108">
        <f>[5]TOTAL!$O$268</f>
        <v>1689008.75</v>
      </c>
      <c r="BA38" s="86">
        <f>AZ38/AZ37-1</f>
        <v>9.5835220564315371E-3</v>
      </c>
      <c r="BN38" s="4">
        <v>1985</v>
      </c>
      <c r="BO38" s="4">
        <v>10</v>
      </c>
    </row>
    <row r="39" spans="1:91">
      <c r="A39" s="4">
        <v>1985</v>
      </c>
      <c r="B39" s="4">
        <v>11</v>
      </c>
      <c r="C39" s="108">
        <f>RESID!C39+COML!C39+IND!C39+SHL!C39+SPA!C39</f>
        <v>1545081</v>
      </c>
      <c r="D39" s="108">
        <f>RESID!D39+COML!D39+IND!D39+SHL!D39+SPA!D39</f>
        <v>955079</v>
      </c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>
        <f t="shared" si="19"/>
        <v>22265</v>
      </c>
      <c r="Z39" s="175">
        <f>RESID!Z39+COML!Z39+IND!Z39+SHL!Z39+SPA!Z39</f>
        <v>1287915</v>
      </c>
      <c r="AA39" s="108">
        <f t="shared" si="5"/>
        <v>-257166</v>
      </c>
      <c r="AB39" s="108">
        <f t="shared" si="7"/>
        <v>1287915</v>
      </c>
      <c r="AL39" s="4">
        <v>2015</v>
      </c>
      <c r="AO39" s="86">
        <f t="shared" si="38"/>
        <v>2.3813417343155896E-2</v>
      </c>
      <c r="AP39" s="108">
        <f>[6]BM_MWh!$DF24</f>
        <v>37664779</v>
      </c>
      <c r="AT39" s="108">
        <f>(AT36-AT32)/4</f>
        <v>4576.2708333333721</v>
      </c>
      <c r="AX39" s="4">
        <f>AZ39-AZ38</f>
        <v>34506.333333333489</v>
      </c>
      <c r="AZ39" s="108">
        <f>[6]cust_BM!$DF25</f>
        <v>1723515.0833333335</v>
      </c>
      <c r="BA39" s="86">
        <f t="shared" ref="BA39:BA42" si="39">AZ39/AZ38-1</f>
        <v>2.042993165863316E-2</v>
      </c>
      <c r="BN39" s="4">
        <v>1985</v>
      </c>
      <c r="BO39" s="4">
        <v>11</v>
      </c>
    </row>
    <row r="40" spans="1:91">
      <c r="A40" s="4">
        <v>1985</v>
      </c>
      <c r="B40" s="4">
        <v>12</v>
      </c>
      <c r="C40" s="108">
        <f>RESID!C40+COML!C40+IND!C40+SHL!C40+SPA!C40</f>
        <v>1462988</v>
      </c>
      <c r="D40" s="108">
        <f>RESID!D40+COML!D40+IND!D40+SHL!D40+SPA!D40</f>
        <v>968010</v>
      </c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>
        <f t="shared" si="19"/>
        <v>11461</v>
      </c>
      <c r="Z40" s="175">
        <f>RESID!Z40+COML!Z40+IND!Z40+SHL!Z40+SPA!Z40</f>
        <v>1304599</v>
      </c>
      <c r="AA40" s="108">
        <f t="shared" si="5"/>
        <v>-158389</v>
      </c>
      <c r="AB40" s="108">
        <f t="shared" si="7"/>
        <v>1304599</v>
      </c>
      <c r="AL40" s="4">
        <v>2016</v>
      </c>
      <c r="AO40" s="86">
        <f t="shared" si="38"/>
        <v>2.0882851854779227E-2</v>
      </c>
      <c r="AP40" s="108">
        <f>[6]BM_MWh!$DF25</f>
        <v>38451327</v>
      </c>
      <c r="AX40" s="4">
        <f t="shared" ref="AX40:AX42" si="40">AZ40-AZ39</f>
        <v>26476.75</v>
      </c>
      <c r="AZ40" s="108">
        <f>[6]cust_BM!$DF26</f>
        <v>1749991.8333333335</v>
      </c>
      <c r="BA40" s="86">
        <f t="shared" si="39"/>
        <v>1.5362064571429856E-2</v>
      </c>
      <c r="BN40" s="4">
        <v>1985</v>
      </c>
      <c r="BO40" s="4">
        <v>12</v>
      </c>
    </row>
    <row r="41" spans="1:91">
      <c r="A41" s="4">
        <v>1986</v>
      </c>
      <c r="B41" s="4">
        <v>1</v>
      </c>
      <c r="C41" s="108">
        <f>RESID!C41+COML!C41+IND!C41+SHL!C41+SPA!C41</f>
        <v>1705876</v>
      </c>
      <c r="D41" s="108">
        <f>RESID!D41+COML!D41+IND!D41+SHL!D41+SPA!D41</f>
        <v>976507</v>
      </c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>
        <f t="shared" si="19"/>
        <v>170214</v>
      </c>
      <c r="Z41" s="175">
        <f>RESID!Z41+COML!Z41+IND!Z41+SHL!Z41+SPA!Z41</f>
        <v>1535187</v>
      </c>
      <c r="AA41" s="108">
        <f t="shared" si="5"/>
        <v>-170689</v>
      </c>
      <c r="AB41" s="108">
        <f t="shared" si="7"/>
        <v>1535187</v>
      </c>
      <c r="AL41" s="4">
        <v>2017</v>
      </c>
      <c r="AO41" s="86">
        <f t="shared" si="38"/>
        <v>1.5573012603700365E-2</v>
      </c>
      <c r="AP41" s="108">
        <f>[6]BM_MWh!$DF26</f>
        <v>39050130</v>
      </c>
      <c r="AT41" s="86">
        <f>(AT31/AT16)^(1/15)-1</f>
        <v>2.1930349984454089E-2</v>
      </c>
      <c r="AX41" s="4">
        <f t="shared" si="40"/>
        <v>27244.333333333023</v>
      </c>
      <c r="AZ41" s="108">
        <f>[6]cust_BM!$DF27</f>
        <v>1777236.1666666665</v>
      </c>
      <c r="BA41" s="86">
        <f t="shared" si="39"/>
        <v>1.5568263128084903E-2</v>
      </c>
      <c r="BN41" s="4">
        <v>1986</v>
      </c>
      <c r="BO41" s="4">
        <v>1</v>
      </c>
    </row>
    <row r="42" spans="1:91">
      <c r="A42" s="4">
        <v>1986</v>
      </c>
      <c r="B42" s="4">
        <v>2</v>
      </c>
      <c r="C42" s="108">
        <f>RESID!C42+COML!C42+IND!C42+SHL!C42+SPA!C42</f>
        <v>1520603</v>
      </c>
      <c r="D42" s="108">
        <f>RESID!D42+COML!D42+IND!D42+SHL!D42+SPA!D42</f>
        <v>982596</v>
      </c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>
        <f t="shared" si="19"/>
        <v>127355</v>
      </c>
      <c r="Z42" s="175">
        <f>RESID!Z42+COML!Z42+IND!Z42+SHL!Z42+SPA!Z42</f>
        <v>1460747</v>
      </c>
      <c r="AA42" s="108">
        <f t="shared" si="5"/>
        <v>-59856</v>
      </c>
      <c r="AB42" s="108">
        <f t="shared" si="7"/>
        <v>1460747</v>
      </c>
      <c r="AL42" s="4">
        <v>2018</v>
      </c>
      <c r="AO42" s="86">
        <f t="shared" si="38"/>
        <v>1.4717082888072275E-2</v>
      </c>
      <c r="AP42" s="108">
        <f>[6]BM_MWh!$DF27</f>
        <v>39624834</v>
      </c>
      <c r="AT42" s="86">
        <f>(AT36/AT32)^(1/4)-1</f>
        <v>2.7834951326919377E-3</v>
      </c>
      <c r="AX42" s="4">
        <f t="shared" si="40"/>
        <v>27866.916666666977</v>
      </c>
      <c r="AZ42" s="108">
        <f>[6]cust_BM!$DF28</f>
        <v>1805103.0833333335</v>
      </c>
      <c r="BA42" s="86">
        <f t="shared" si="39"/>
        <v>1.5679917609899618E-2</v>
      </c>
      <c r="BN42" s="4">
        <v>1986</v>
      </c>
      <c r="BO42" s="4">
        <v>2</v>
      </c>
    </row>
    <row r="43" spans="1:91">
      <c r="A43" s="4">
        <v>1986</v>
      </c>
      <c r="B43" s="4">
        <v>3</v>
      </c>
      <c r="C43" s="108">
        <f>RESID!C43+COML!C43+IND!C43+SHL!C43+SPA!C43</f>
        <v>1428256</v>
      </c>
      <c r="D43" s="108">
        <f>RESID!D43+COML!D43+IND!D43+SHL!D43+SPA!D43</f>
        <v>985672</v>
      </c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>
        <f t="shared" si="19"/>
        <v>65878</v>
      </c>
      <c r="Z43" s="175">
        <f>RESID!Z43+COML!Z43+IND!Z43+SHL!Z43+SPA!Z43</f>
        <v>1367139</v>
      </c>
      <c r="AA43" s="108">
        <f t="shared" si="5"/>
        <v>-61117</v>
      </c>
      <c r="AB43" s="108">
        <f t="shared" si="7"/>
        <v>1367139</v>
      </c>
      <c r="AL43" s="4">
        <v>2019</v>
      </c>
      <c r="AN43" s="86">
        <f>(AP30/AP16)^(1/14)-1</f>
        <v>3.0365797288726348E-2</v>
      </c>
      <c r="AP43" s="86">
        <f>(AP42/AP37)^(1/5)-1</f>
        <v>1.6926181886145031E-2</v>
      </c>
      <c r="AQ43" s="86">
        <f>(AP42/AP39)^(1/3)-1</f>
        <v>1.7053996665491677E-2</v>
      </c>
      <c r="BN43" s="4">
        <v>1986</v>
      </c>
      <c r="BO43" s="4">
        <v>3</v>
      </c>
    </row>
    <row r="44" spans="1:91">
      <c r="A44" s="4">
        <v>1986</v>
      </c>
      <c r="B44" s="4">
        <v>4</v>
      </c>
      <c r="C44" s="108">
        <f>RESID!C44+COML!C44+IND!C44+SHL!C44+SPA!C44</f>
        <v>1419305</v>
      </c>
      <c r="D44" s="108">
        <f>RESID!D44+COML!D44+IND!D44+SHL!D44+SPA!D44</f>
        <v>981660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>
        <f t="shared" si="19"/>
        <v>75474</v>
      </c>
      <c r="Z44" s="175">
        <f>RESID!Z44+COML!Z44+IND!Z44+SHL!Z44+SPA!Z44</f>
        <v>1395049</v>
      </c>
      <c r="AA44" s="108">
        <f t="shared" si="5"/>
        <v>-24256</v>
      </c>
      <c r="AB44" s="108">
        <f t="shared" si="7"/>
        <v>1395049</v>
      </c>
      <c r="AL44" s="4">
        <v>2020</v>
      </c>
      <c r="AZ44" s="108">
        <f>(AZ42-AZ37)/5</f>
        <v>26425.466666666696</v>
      </c>
      <c r="BA44" s="86">
        <f>(AZ42/AZ37)^(1/5)-1</f>
        <v>1.5318904336778072E-2</v>
      </c>
      <c r="BN44" s="4">
        <v>1986</v>
      </c>
      <c r="BO44" s="4">
        <v>4</v>
      </c>
    </row>
    <row r="45" spans="1:91">
      <c r="A45" s="4">
        <v>1986</v>
      </c>
      <c r="B45" s="4">
        <v>5</v>
      </c>
      <c r="C45" s="108">
        <f>RESID!C45+COML!C45+IND!C45+SHL!C45+SPA!C45</f>
        <v>1344227</v>
      </c>
      <c r="D45" s="108">
        <f>RESID!D45+COML!D45+IND!D45+SHL!D45+SPA!D45</f>
        <v>969395</v>
      </c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>
        <f t="shared" si="19"/>
        <v>81913</v>
      </c>
      <c r="Z45" s="175">
        <f>RESID!Z45+COML!Z45+IND!Z45+SHL!Z45+SPA!Z45</f>
        <v>1399291</v>
      </c>
      <c r="AA45" s="108">
        <f t="shared" si="5"/>
        <v>55064</v>
      </c>
      <c r="AB45" s="108">
        <f t="shared" si="7"/>
        <v>1399291</v>
      </c>
      <c r="BN45" s="4">
        <v>1986</v>
      </c>
      <c r="BO45" s="4">
        <v>5</v>
      </c>
    </row>
    <row r="46" spans="1:91">
      <c r="A46" s="4">
        <v>1986</v>
      </c>
      <c r="B46" s="4">
        <v>6</v>
      </c>
      <c r="C46" s="108">
        <f>RESID!C46+COML!C46+IND!C46+SHL!C46+SPA!C46</f>
        <v>1676039</v>
      </c>
      <c r="D46" s="108">
        <f>RESID!D46+COML!D46+IND!D46+SHL!D46+SPA!D46</f>
        <v>966224</v>
      </c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>
        <f t="shared" si="19"/>
        <v>62233</v>
      </c>
      <c r="Z46" s="175">
        <f>RESID!Z46+COML!Z46+IND!Z46+SHL!Z46+SPA!Z46</f>
        <v>1662946</v>
      </c>
      <c r="AA46" s="108">
        <f t="shared" si="5"/>
        <v>-13093</v>
      </c>
      <c r="AB46" s="108">
        <f t="shared" si="7"/>
        <v>1662946</v>
      </c>
      <c r="BN46" s="4">
        <v>1986</v>
      </c>
      <c r="BO46" s="4">
        <v>6</v>
      </c>
    </row>
    <row r="47" spans="1:91">
      <c r="A47" s="4">
        <v>1986</v>
      </c>
      <c r="B47" s="4">
        <v>7</v>
      </c>
      <c r="C47" s="108">
        <f>RESID!C47+COML!C47+IND!C47+SHL!C47+SPA!C47</f>
        <v>1843682</v>
      </c>
      <c r="D47" s="108">
        <f>RESID!D47+COML!D47+IND!D47+SHL!D47+SPA!D47</f>
        <v>967912</v>
      </c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>
        <f t="shared" si="19"/>
        <v>126429</v>
      </c>
      <c r="Z47" s="175">
        <f>RESID!Z47+COML!Z47+IND!Z47+SHL!Z47+SPA!Z47</f>
        <v>1870450</v>
      </c>
      <c r="AA47" s="108">
        <f t="shared" si="5"/>
        <v>26768</v>
      </c>
      <c r="AB47" s="108">
        <f t="shared" si="7"/>
        <v>1870450</v>
      </c>
      <c r="BN47" s="4">
        <v>1986</v>
      </c>
      <c r="BO47" s="4">
        <v>7</v>
      </c>
    </row>
    <row r="48" spans="1:91">
      <c r="A48" s="4">
        <v>1986</v>
      </c>
      <c r="B48" s="4">
        <v>8</v>
      </c>
      <c r="C48" s="108">
        <f>RESID!C48+COML!C48+IND!C48+SHL!C48+SPA!C48</f>
        <v>1973985</v>
      </c>
      <c r="D48" s="108">
        <f>RESID!D48+COML!D48+IND!D48+SHL!D48+SPA!D48</f>
        <v>970634</v>
      </c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>
        <f t="shared" si="19"/>
        <v>107899</v>
      </c>
      <c r="Z48" s="175">
        <f>RESID!Z48+COML!Z48+IND!Z48+SHL!Z48+SPA!Z48</f>
        <v>1941625</v>
      </c>
      <c r="AA48" s="108">
        <f t="shared" si="5"/>
        <v>-32360</v>
      </c>
      <c r="AB48" s="108">
        <f t="shared" si="7"/>
        <v>1941625</v>
      </c>
      <c r="BN48" s="4">
        <v>1986</v>
      </c>
      <c r="BO48" s="4">
        <v>8</v>
      </c>
    </row>
    <row r="49" spans="1:67">
      <c r="A49" s="4">
        <v>1986</v>
      </c>
      <c r="B49" s="4">
        <v>9</v>
      </c>
      <c r="C49" s="108">
        <f>RESID!C49+COML!C49+IND!C49+SHL!C49+SPA!C49</f>
        <v>1932381</v>
      </c>
      <c r="D49" s="108">
        <f>RESID!D49+COML!D49+IND!D49+SHL!D49+SPA!D49</f>
        <v>975817</v>
      </c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>
        <f t="shared" si="19"/>
        <v>87552</v>
      </c>
      <c r="Z49" s="175">
        <f>RESID!Z49+COML!Z49+IND!Z49+SHL!Z49+SPA!Z49</f>
        <v>1931420</v>
      </c>
      <c r="AA49" s="108">
        <f t="shared" si="5"/>
        <v>-961</v>
      </c>
      <c r="AB49" s="108">
        <f t="shared" si="7"/>
        <v>1931420</v>
      </c>
      <c r="BN49" s="4">
        <v>1986</v>
      </c>
      <c r="BO49" s="4">
        <v>9</v>
      </c>
    </row>
    <row r="50" spans="1:67">
      <c r="A50" s="4">
        <v>1986</v>
      </c>
      <c r="B50" s="4">
        <v>10</v>
      </c>
      <c r="C50" s="108">
        <f>RESID!C50+COML!C50+IND!C50+SHL!C50+SPA!C50</f>
        <v>1863155</v>
      </c>
      <c r="D50" s="108">
        <f>RESID!D50+COML!D50+IND!D50+SHL!D50+SPA!D50</f>
        <v>982287</v>
      </c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>
        <f t="shared" si="19"/>
        <v>129980</v>
      </c>
      <c r="Z50" s="175">
        <f>RESID!Z50+COML!Z50+IND!Z50+SHL!Z50+SPA!Z50</f>
        <v>1728389</v>
      </c>
      <c r="AA50" s="108">
        <f t="shared" si="5"/>
        <v>-134766</v>
      </c>
      <c r="AB50" s="108">
        <f t="shared" si="7"/>
        <v>1728389</v>
      </c>
      <c r="BN50" s="4">
        <v>1986</v>
      </c>
      <c r="BO50" s="4">
        <v>10</v>
      </c>
    </row>
    <row r="51" spans="1:67">
      <c r="A51" s="4">
        <v>1986</v>
      </c>
      <c r="B51" s="4">
        <v>11</v>
      </c>
      <c r="C51" s="108">
        <f>RESID!C51+COML!C51+IND!C51+SHL!C51+SPA!C51</f>
        <v>1556608</v>
      </c>
      <c r="D51" s="108">
        <f>RESID!D51+COML!D51+IND!D51+SHL!D51+SPA!D51</f>
        <v>996780</v>
      </c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>
        <f t="shared" si="19"/>
        <v>145287</v>
      </c>
      <c r="Z51" s="175">
        <f>RESID!Z51+COML!Z51+IND!Z51+SHL!Z51+SPA!Z51</f>
        <v>1433202</v>
      </c>
      <c r="AA51" s="108">
        <f t="shared" si="5"/>
        <v>-123406</v>
      </c>
      <c r="AB51" s="108">
        <f t="shared" si="7"/>
        <v>1433202</v>
      </c>
      <c r="BN51" s="4">
        <v>1986</v>
      </c>
      <c r="BO51" s="4">
        <v>11</v>
      </c>
    </row>
    <row r="52" spans="1:67">
      <c r="A52" s="4">
        <v>1986</v>
      </c>
      <c r="B52" s="4">
        <v>12</v>
      </c>
      <c r="C52" s="108">
        <f>RESID!C52+COML!C52+IND!C52+SHL!C52+SPA!C52</f>
        <v>1569624</v>
      </c>
      <c r="D52" s="108">
        <f>RESID!D52+COML!D52+IND!D52+SHL!D52+SPA!D52</f>
        <v>1009425</v>
      </c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>
        <f t="shared" si="19"/>
        <v>134425</v>
      </c>
      <c r="Z52" s="175">
        <f>RESID!Z52+COML!Z52+IND!Z52+SHL!Z52+SPA!Z52</f>
        <v>1439024</v>
      </c>
      <c r="AA52" s="108">
        <f t="shared" si="5"/>
        <v>-130600</v>
      </c>
      <c r="AB52" s="108">
        <f t="shared" si="7"/>
        <v>1439024</v>
      </c>
      <c r="BN52" s="4">
        <v>1986</v>
      </c>
      <c r="BO52" s="4">
        <v>12</v>
      </c>
    </row>
    <row r="53" spans="1:67">
      <c r="A53" s="4">
        <v>1987</v>
      </c>
      <c r="B53" s="4">
        <v>1</v>
      </c>
      <c r="C53" s="108">
        <f>RESID!C53+COML!C53+IND!C53+SHL!C53+SPA!C53</f>
        <v>1592533</v>
      </c>
      <c r="D53" s="108">
        <f>RESID!D53+COML!D53+IND!D53+SHL!D53+SPA!D53</f>
        <v>1018587</v>
      </c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>
        <f t="shared" si="19"/>
        <v>107247</v>
      </c>
      <c r="Z53" s="175">
        <f>RESID!Z53+COML!Z53+IND!Z53+SHL!Z53+SPA!Z53</f>
        <v>1642434</v>
      </c>
      <c r="AA53" s="108">
        <f t="shared" si="5"/>
        <v>49901</v>
      </c>
      <c r="AB53" s="108">
        <f t="shared" si="7"/>
        <v>1642434</v>
      </c>
      <c r="BN53" s="4">
        <v>1987</v>
      </c>
      <c r="BO53" s="4">
        <v>1</v>
      </c>
    </row>
    <row r="54" spans="1:67">
      <c r="A54" s="4">
        <v>1987</v>
      </c>
      <c r="B54" s="4">
        <v>2</v>
      </c>
      <c r="C54" s="108">
        <f>RESID!C54+COML!C54+IND!C54+SHL!C54+SPA!C54</f>
        <v>1613608</v>
      </c>
      <c r="D54" s="108">
        <f>RESID!D54+COML!D54+IND!D54+SHL!D54+SPA!D54</f>
        <v>1024646</v>
      </c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>
        <f t="shared" si="19"/>
        <v>86620</v>
      </c>
      <c r="Z54" s="175">
        <f>RESID!Z54+COML!Z54+IND!Z54+SHL!Z54+SPA!Z54</f>
        <v>1547367</v>
      </c>
      <c r="AA54" s="108">
        <f t="shared" si="5"/>
        <v>-66241</v>
      </c>
      <c r="AB54" s="108">
        <f t="shared" si="7"/>
        <v>1547367</v>
      </c>
      <c r="BN54" s="4">
        <v>1987</v>
      </c>
      <c r="BO54" s="4">
        <v>2</v>
      </c>
    </row>
    <row r="55" spans="1:67">
      <c r="A55" s="4">
        <v>1987</v>
      </c>
      <c r="B55" s="4">
        <v>3</v>
      </c>
      <c r="C55" s="108">
        <f>RESID!C55+COML!C55+IND!C55+SHL!C55+SPA!C55</f>
        <v>1485361</v>
      </c>
      <c r="D55" s="108">
        <f>RESID!D55+COML!D55+IND!D55+SHL!D55+SPA!D55</f>
        <v>1028134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>
        <f t="shared" si="19"/>
        <v>185461</v>
      </c>
      <c r="Z55" s="175">
        <f>RESID!Z55+COML!Z55+IND!Z55+SHL!Z55+SPA!Z55</f>
        <v>1552600</v>
      </c>
      <c r="AA55" s="108">
        <f t="shared" si="5"/>
        <v>67239</v>
      </c>
      <c r="AB55" s="108">
        <f t="shared" si="7"/>
        <v>1552600</v>
      </c>
      <c r="BN55" s="4">
        <v>1987</v>
      </c>
      <c r="BO55" s="4">
        <v>3</v>
      </c>
    </row>
    <row r="56" spans="1:67">
      <c r="A56" s="4">
        <v>1987</v>
      </c>
      <c r="B56" s="4">
        <v>4</v>
      </c>
      <c r="C56" s="108">
        <f>RESID!C56+COML!C56+IND!C56+SHL!C56+SPA!C56</f>
        <v>1487837</v>
      </c>
      <c r="D56" s="108">
        <f>RESID!D56+COML!D56+IND!D56+SHL!D56+SPA!D56</f>
        <v>1024890</v>
      </c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>
        <f t="shared" si="19"/>
        <v>122614</v>
      </c>
      <c r="Z56" s="175">
        <f>RESID!Z56+COML!Z56+IND!Z56+SHL!Z56+SPA!Z56</f>
        <v>1517663</v>
      </c>
      <c r="AA56" s="108">
        <f t="shared" si="5"/>
        <v>29826</v>
      </c>
      <c r="AB56" s="108">
        <f t="shared" si="7"/>
        <v>1517663</v>
      </c>
      <c r="BN56" s="4">
        <v>1987</v>
      </c>
      <c r="BO56" s="4">
        <v>4</v>
      </c>
    </row>
    <row r="57" spans="1:67">
      <c r="A57" s="4">
        <v>1987</v>
      </c>
      <c r="B57" s="4">
        <v>5</v>
      </c>
      <c r="C57" s="108">
        <f>RESID!C57+COML!C57+IND!C57+SHL!C57+SPA!C57</f>
        <v>1536182</v>
      </c>
      <c r="D57" s="108">
        <f>RESID!D57+COML!D57+IND!D57+SHL!D57+SPA!D57</f>
        <v>1010529</v>
      </c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>
        <f t="shared" si="19"/>
        <v>175371</v>
      </c>
      <c r="Z57" s="175">
        <f>RESID!Z57+COML!Z57+IND!Z57+SHL!Z57+SPA!Z57</f>
        <v>1574662</v>
      </c>
      <c r="AA57" s="108">
        <f t="shared" si="5"/>
        <v>38480</v>
      </c>
      <c r="AB57" s="108">
        <f t="shared" si="7"/>
        <v>1574662</v>
      </c>
      <c r="BN57" s="4">
        <v>1987</v>
      </c>
      <c r="BO57" s="4">
        <v>5</v>
      </c>
    </row>
    <row r="58" spans="1:67">
      <c r="A58" s="4">
        <v>1987</v>
      </c>
      <c r="B58" s="4">
        <v>6</v>
      </c>
      <c r="C58" s="108">
        <f>RESID!C58+COML!C58+IND!C58+SHL!C58+SPA!C58</f>
        <v>1845729</v>
      </c>
      <c r="D58" s="108">
        <f>RESID!D58+COML!D58+IND!D58+SHL!D58+SPA!D58</f>
        <v>1010226</v>
      </c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>
        <f t="shared" si="19"/>
        <v>205777</v>
      </c>
      <c r="Z58" s="175">
        <f>RESID!Z58+COML!Z58+IND!Z58+SHL!Z58+SPA!Z58</f>
        <v>1868723</v>
      </c>
      <c r="AA58" s="108">
        <f t="shared" si="5"/>
        <v>22994</v>
      </c>
      <c r="AB58" s="108">
        <f t="shared" si="7"/>
        <v>1868723</v>
      </c>
      <c r="BN58" s="4">
        <v>1987</v>
      </c>
      <c r="BO58" s="4">
        <v>6</v>
      </c>
    </row>
    <row r="59" spans="1:67">
      <c r="A59" s="4">
        <v>1987</v>
      </c>
      <c r="B59" s="4">
        <v>7</v>
      </c>
      <c r="C59" s="108">
        <f>RESID!C59+COML!C59+IND!C59+SHL!C59+SPA!C59</f>
        <v>2139720</v>
      </c>
      <c r="D59" s="108">
        <f>RESID!D59+COML!D59+IND!D59+SHL!D59+SPA!D59</f>
        <v>1010622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>
        <f t="shared" si="19"/>
        <v>164141</v>
      </c>
      <c r="Z59" s="175">
        <f>RESID!Z59+COML!Z59+IND!Z59+SHL!Z59+SPA!Z59</f>
        <v>2034591</v>
      </c>
      <c r="AA59" s="108">
        <f t="shared" si="5"/>
        <v>-105129</v>
      </c>
      <c r="AB59" s="108">
        <f t="shared" si="7"/>
        <v>2034591</v>
      </c>
      <c r="BN59" s="4">
        <v>1987</v>
      </c>
      <c r="BO59" s="4">
        <v>7</v>
      </c>
    </row>
    <row r="60" spans="1:67">
      <c r="A60" s="4">
        <v>1987</v>
      </c>
      <c r="B60" s="4">
        <v>8</v>
      </c>
      <c r="C60" s="108">
        <f>RESID!C60+COML!C60+IND!C60+SHL!C60+SPA!C60</f>
        <v>2161992</v>
      </c>
      <c r="D60" s="108">
        <f>RESID!D60+COML!D60+IND!D60+SHL!D60+SPA!D60</f>
        <v>1014200</v>
      </c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>
        <f t="shared" si="19"/>
        <v>147069</v>
      </c>
      <c r="Z60" s="175">
        <f>RESID!Z60+COML!Z60+IND!Z60+SHL!Z60+SPA!Z60</f>
        <v>2088694</v>
      </c>
      <c r="AA60" s="108">
        <f t="shared" si="5"/>
        <v>-73298</v>
      </c>
      <c r="AB60" s="108">
        <f t="shared" si="7"/>
        <v>2088694</v>
      </c>
      <c r="BN60" s="4">
        <v>1987</v>
      </c>
      <c r="BO60" s="4">
        <v>8</v>
      </c>
    </row>
    <row r="61" spans="1:67">
      <c r="A61" s="4">
        <v>1987</v>
      </c>
      <c r="B61" s="4">
        <v>9</v>
      </c>
      <c r="C61" s="108">
        <f>RESID!C61+COML!C61+IND!C61+SHL!C61+SPA!C61</f>
        <v>2198363</v>
      </c>
      <c r="D61" s="108">
        <f>RESID!D61+COML!D61+IND!D61+SHL!D61+SPA!D61</f>
        <v>1017584</v>
      </c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>
        <f t="shared" si="19"/>
        <v>216357</v>
      </c>
      <c r="Z61" s="175">
        <f>RESID!Z61+COML!Z61+IND!Z61+SHL!Z61+SPA!Z61</f>
        <v>2147777</v>
      </c>
      <c r="AA61" s="108">
        <f t="shared" si="5"/>
        <v>-50586</v>
      </c>
      <c r="AB61" s="108">
        <f t="shared" si="7"/>
        <v>2147777</v>
      </c>
      <c r="BN61" s="4">
        <v>1987</v>
      </c>
      <c r="BO61" s="4">
        <v>9</v>
      </c>
    </row>
    <row r="62" spans="1:67">
      <c r="A62" s="4">
        <v>1987</v>
      </c>
      <c r="B62" s="4">
        <v>10</v>
      </c>
      <c r="C62" s="108">
        <f>RESID!C62+COML!C62+IND!C62+SHL!C62+SPA!C62</f>
        <v>1862771</v>
      </c>
      <c r="D62" s="108">
        <f>RESID!D62+COML!D62+IND!D62+SHL!D62+SPA!D62</f>
        <v>1023902</v>
      </c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>
        <f t="shared" si="19"/>
        <v>218931</v>
      </c>
      <c r="Z62" s="175">
        <f>RESID!Z62+COML!Z62+IND!Z62+SHL!Z62+SPA!Z62</f>
        <v>1947320</v>
      </c>
      <c r="AA62" s="108">
        <f t="shared" si="5"/>
        <v>84549</v>
      </c>
      <c r="AB62" s="108">
        <f t="shared" si="7"/>
        <v>1947320</v>
      </c>
      <c r="BN62" s="4">
        <v>1987</v>
      </c>
      <c r="BO62" s="4">
        <v>10</v>
      </c>
    </row>
    <row r="63" spans="1:67">
      <c r="A63" s="4">
        <v>1987</v>
      </c>
      <c r="B63" s="4">
        <v>11</v>
      </c>
      <c r="C63" s="108">
        <f>RESID!C63+COML!C63+IND!C63+SHL!C63+SPA!C63</f>
        <v>1510089</v>
      </c>
      <c r="D63" s="108">
        <f>RESID!D63+COML!D63+IND!D63+SHL!D63+SPA!D63</f>
        <v>1038227</v>
      </c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>
        <f t="shared" si="19"/>
        <v>230101</v>
      </c>
      <c r="Z63" s="175">
        <f>RESID!Z63+COML!Z63+IND!Z63+SHL!Z63+SPA!Z63</f>
        <v>1663303</v>
      </c>
      <c r="AA63" s="108">
        <f t="shared" si="5"/>
        <v>153214</v>
      </c>
      <c r="AB63" s="108">
        <f t="shared" si="7"/>
        <v>1663303</v>
      </c>
      <c r="BN63" s="4">
        <v>1987</v>
      </c>
      <c r="BO63" s="4">
        <v>11</v>
      </c>
    </row>
    <row r="64" spans="1:67">
      <c r="A64" s="4">
        <v>1987</v>
      </c>
      <c r="B64" s="4">
        <v>12</v>
      </c>
      <c r="C64" s="108">
        <f>RESID!C64+COML!C64+IND!C64+SHL!C64+SPA!C64</f>
        <v>1605416</v>
      </c>
      <c r="D64" s="108">
        <f>RESID!D64+COML!D64+IND!D64+SHL!D64+SPA!D64</f>
        <v>1048613</v>
      </c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>
        <f t="shared" si="19"/>
        <v>181427</v>
      </c>
      <c r="Z64" s="175">
        <f>RESID!Z64+COML!Z64+IND!Z64+SHL!Z64+SPA!Z64</f>
        <v>1620451</v>
      </c>
      <c r="AA64" s="108">
        <f t="shared" si="5"/>
        <v>15035</v>
      </c>
      <c r="AB64" s="108">
        <f t="shared" si="7"/>
        <v>1620451</v>
      </c>
      <c r="BN64" s="4">
        <v>1987</v>
      </c>
      <c r="BO64" s="4">
        <v>12</v>
      </c>
    </row>
    <row r="65" spans="1:67">
      <c r="A65" s="4">
        <v>1988</v>
      </c>
      <c r="B65" s="4">
        <v>1</v>
      </c>
      <c r="C65" s="108">
        <f>RESID!C65+COML!C65+IND!C65+SHL!C65+SPA!C65</f>
        <v>1777214</v>
      </c>
      <c r="D65" s="108">
        <f>RESID!D65+COML!D65+IND!D65+SHL!D65+SPA!D65</f>
        <v>1058748</v>
      </c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>
        <f t="shared" si="19"/>
        <v>113821</v>
      </c>
      <c r="Z65" s="175">
        <f>RESID!Z65+COML!Z65+IND!Z65+SHL!Z65+SPA!Z65</f>
        <v>1756255</v>
      </c>
      <c r="AA65" s="108">
        <f t="shared" si="5"/>
        <v>-20959</v>
      </c>
      <c r="AB65" s="108">
        <f t="shared" si="7"/>
        <v>1756255</v>
      </c>
      <c r="BN65" s="4">
        <v>1988</v>
      </c>
      <c r="BO65" s="4">
        <v>1</v>
      </c>
    </row>
    <row r="66" spans="1:67">
      <c r="A66" s="4">
        <v>1988</v>
      </c>
      <c r="B66" s="4">
        <v>2</v>
      </c>
      <c r="C66" s="108">
        <f>RESID!C66+COML!C66+IND!C66+SHL!C66+SPA!C66</f>
        <v>1912756</v>
      </c>
      <c r="D66" s="108">
        <f>RESID!D66+COML!D66+IND!D66+SHL!D66+SPA!D66</f>
        <v>1064587</v>
      </c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>
        <f t="shared" si="19"/>
        <v>163130</v>
      </c>
      <c r="Z66" s="175">
        <f>RESID!Z66+COML!Z66+IND!Z66+SHL!Z66+SPA!Z66</f>
        <v>1710497</v>
      </c>
      <c r="AA66" s="108">
        <f t="shared" si="5"/>
        <v>-202259</v>
      </c>
      <c r="AB66" s="108">
        <f t="shared" si="7"/>
        <v>1710497</v>
      </c>
      <c r="BN66" s="4">
        <v>1988</v>
      </c>
      <c r="BO66" s="4">
        <v>2</v>
      </c>
    </row>
    <row r="67" spans="1:67">
      <c r="A67" s="4">
        <v>1988</v>
      </c>
      <c r="B67" s="4">
        <v>3</v>
      </c>
      <c r="C67" s="108">
        <f>RESID!C67+COML!C67+IND!C67+SHL!C67+SPA!C67</f>
        <v>1729386</v>
      </c>
      <c r="D67" s="108">
        <f>RESID!D67+COML!D67+IND!D67+SHL!D67+SPA!D67</f>
        <v>1067410</v>
      </c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>
        <f t="shared" si="19"/>
        <v>86451</v>
      </c>
      <c r="Z67" s="175">
        <f>RESID!Z67+COML!Z67+IND!Z67+SHL!Z67+SPA!Z67</f>
        <v>1639051</v>
      </c>
      <c r="AA67" s="108">
        <f t="shared" si="5"/>
        <v>-90335</v>
      </c>
      <c r="AB67" s="108">
        <f t="shared" si="7"/>
        <v>1639051</v>
      </c>
      <c r="BN67" s="4">
        <v>1988</v>
      </c>
      <c r="BO67" s="4">
        <v>3</v>
      </c>
    </row>
    <row r="68" spans="1:67">
      <c r="A68" s="4">
        <v>1988</v>
      </c>
      <c r="B68" s="4">
        <v>4</v>
      </c>
      <c r="C68" s="108">
        <f>RESID!C68+COML!C68+IND!C68+SHL!C68+SPA!C68</f>
        <v>1699386</v>
      </c>
      <c r="D68" s="108">
        <f>RESID!D68+COML!D68+IND!D68+SHL!D68+SPA!D68</f>
        <v>1062146</v>
      </c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>
        <f t="shared" si="19"/>
        <v>139434</v>
      </c>
      <c r="Z68" s="175">
        <f>RESID!Z68+COML!Z68+IND!Z68+SHL!Z68+SPA!Z68</f>
        <v>1657097</v>
      </c>
      <c r="AA68" s="108">
        <f t="shared" si="5"/>
        <v>-42289</v>
      </c>
      <c r="AB68" s="108">
        <f t="shared" si="7"/>
        <v>1657097</v>
      </c>
      <c r="BN68" s="4">
        <v>1988</v>
      </c>
      <c r="BO68" s="4">
        <v>4</v>
      </c>
    </row>
    <row r="69" spans="1:67">
      <c r="A69" s="4">
        <v>1988</v>
      </c>
      <c r="B69" s="4">
        <v>5</v>
      </c>
      <c r="C69" s="108">
        <f>RESID!C69+COML!C69+IND!C69+SHL!C69+SPA!C69</f>
        <v>1600982</v>
      </c>
      <c r="D69" s="108">
        <f>RESID!D69+COML!D69+IND!D69+SHL!D69+SPA!D69</f>
        <v>1049410</v>
      </c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>
        <f t="shared" si="19"/>
        <v>106639</v>
      </c>
      <c r="Z69" s="175">
        <f>RESID!Z69+COML!Z69+IND!Z69+SHL!Z69+SPA!Z69</f>
        <v>1681301</v>
      </c>
      <c r="AA69" s="108">
        <f t="shared" si="5"/>
        <v>80319</v>
      </c>
      <c r="AB69" s="108">
        <f t="shared" si="7"/>
        <v>1681301</v>
      </c>
      <c r="BN69" s="4">
        <v>1988</v>
      </c>
      <c r="BO69" s="4">
        <v>5</v>
      </c>
    </row>
    <row r="70" spans="1:67">
      <c r="A70" s="4">
        <v>1988</v>
      </c>
      <c r="B70" s="4">
        <v>6</v>
      </c>
      <c r="C70" s="108">
        <f>RESID!C70+COML!C70+IND!C70+SHL!C70+SPA!C70</f>
        <v>1868062</v>
      </c>
      <c r="D70" s="108">
        <f>RESID!D70+COML!D70+IND!D70+SHL!D70+SPA!D70</f>
        <v>1046723</v>
      </c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>
        <f t="shared" si="19"/>
        <v>171513</v>
      </c>
      <c r="Z70" s="175">
        <f>RESID!Z70+COML!Z70+IND!Z70+SHL!Z70+SPA!Z70</f>
        <v>2040236</v>
      </c>
      <c r="AA70" s="108">
        <f t="shared" si="5"/>
        <v>172174</v>
      </c>
      <c r="AB70" s="108">
        <f t="shared" si="7"/>
        <v>2040236</v>
      </c>
      <c r="BN70" s="4">
        <v>1988</v>
      </c>
      <c r="BO70" s="4">
        <v>6</v>
      </c>
    </row>
    <row r="71" spans="1:67">
      <c r="A71" s="4">
        <v>1988</v>
      </c>
      <c r="B71" s="4">
        <v>7</v>
      </c>
      <c r="C71" s="108">
        <f>RESID!C71+COML!C71+IND!C71+SHL!C71+SPA!C71</f>
        <v>2138722</v>
      </c>
      <c r="D71" s="108">
        <f>RESID!D71+COML!D71+IND!D71+SHL!D71+SPA!D71</f>
        <v>1048149</v>
      </c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>
        <f t="shared" si="19"/>
        <v>153095</v>
      </c>
      <c r="Z71" s="175">
        <f>RESID!Z71+COML!Z71+IND!Z71+SHL!Z71+SPA!Z71</f>
        <v>2187686</v>
      </c>
      <c r="AA71" s="108">
        <f t="shared" si="5"/>
        <v>48964</v>
      </c>
      <c r="AB71" s="108">
        <f t="shared" si="7"/>
        <v>2187686</v>
      </c>
      <c r="BN71" s="4">
        <v>1988</v>
      </c>
      <c r="BO71" s="4">
        <v>7</v>
      </c>
    </row>
    <row r="72" spans="1:67">
      <c r="A72" s="4">
        <v>1988</v>
      </c>
      <c r="B72" s="4">
        <v>8</v>
      </c>
      <c r="C72" s="108">
        <f>RESID!C72+COML!C72+IND!C72+SHL!C72+SPA!C72</f>
        <v>2157979</v>
      </c>
      <c r="D72" s="108">
        <f>RESID!D72+COML!D72+IND!D72+SHL!D72+SPA!D72</f>
        <v>1051356</v>
      </c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>
        <f t="shared" si="19"/>
        <v>159022</v>
      </c>
      <c r="Z72" s="175">
        <f>RESID!Z72+COML!Z72+IND!Z72+SHL!Z72+SPA!Z72</f>
        <v>2247716</v>
      </c>
      <c r="AA72" s="108">
        <f t="shared" si="5"/>
        <v>89737</v>
      </c>
      <c r="AB72" s="108">
        <f t="shared" si="7"/>
        <v>2247716</v>
      </c>
      <c r="BN72" s="4">
        <v>1988</v>
      </c>
      <c r="BO72" s="4">
        <v>8</v>
      </c>
    </row>
    <row r="73" spans="1:67">
      <c r="A73" s="4">
        <v>1988</v>
      </c>
      <c r="B73" s="4">
        <v>9</v>
      </c>
      <c r="C73" s="108">
        <f>RESID!C73+COML!C73+IND!C73+SHL!C73+SPA!C73</f>
        <v>2339928</v>
      </c>
      <c r="D73" s="108">
        <f>RESID!D73+COML!D73+IND!D73+SHL!D73+SPA!D73</f>
        <v>1054963</v>
      </c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>
        <f t="shared" si="19"/>
        <v>115719</v>
      </c>
      <c r="Z73" s="175">
        <f>RESID!Z73+COML!Z73+IND!Z73+SHL!Z73+SPA!Z73</f>
        <v>2263496</v>
      </c>
      <c r="AA73" s="108">
        <f t="shared" si="5"/>
        <v>-76432</v>
      </c>
      <c r="AB73" s="108">
        <f t="shared" si="7"/>
        <v>2263496</v>
      </c>
      <c r="BN73" s="4">
        <v>1988</v>
      </c>
      <c r="BO73" s="4">
        <v>9</v>
      </c>
    </row>
    <row r="74" spans="1:67">
      <c r="A74" s="4">
        <v>1988</v>
      </c>
      <c r="B74" s="4">
        <v>10</v>
      </c>
      <c r="C74" s="108">
        <f>RESID!C74+COML!C74+IND!C74+SHL!C74+SPA!C74</f>
        <v>2074948</v>
      </c>
      <c r="D74" s="108">
        <f>RESID!D74+COML!D74+IND!D74+SHL!D74+SPA!D74</f>
        <v>1062823</v>
      </c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>
        <f t="shared" si="19"/>
        <v>149046</v>
      </c>
      <c r="Z74" s="175">
        <f>RESID!Z74+COML!Z74+IND!Z74+SHL!Z74+SPA!Z74</f>
        <v>2096366</v>
      </c>
      <c r="AA74" s="108">
        <f t="shared" si="5"/>
        <v>21418</v>
      </c>
      <c r="AB74" s="108">
        <f t="shared" si="7"/>
        <v>2096366</v>
      </c>
      <c r="BN74" s="4">
        <v>1988</v>
      </c>
      <c r="BO74" s="4">
        <v>10</v>
      </c>
    </row>
    <row r="75" spans="1:67">
      <c r="A75" s="4">
        <v>1988</v>
      </c>
      <c r="B75" s="4">
        <v>11</v>
      </c>
      <c r="C75" s="108">
        <f>RESID!C75+COML!C75+IND!C75+SHL!C75+SPA!C75</f>
        <v>1625923</v>
      </c>
      <c r="D75" s="108">
        <f>RESID!D75+COML!D75+IND!D75+SHL!D75+SPA!D75</f>
        <v>1076589</v>
      </c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>
        <f t="shared" si="19"/>
        <v>57927</v>
      </c>
      <c r="Z75" s="175">
        <f>RESID!Z75+COML!Z75+IND!Z75+SHL!Z75+SPA!Z75</f>
        <v>1721230</v>
      </c>
      <c r="AA75" s="108">
        <f t="shared" si="5"/>
        <v>95307</v>
      </c>
      <c r="AB75" s="108">
        <f t="shared" si="7"/>
        <v>1721230</v>
      </c>
      <c r="BN75" s="4">
        <v>1988</v>
      </c>
      <c r="BO75" s="4">
        <v>11</v>
      </c>
    </row>
    <row r="76" spans="1:67">
      <c r="A76" s="4">
        <v>1988</v>
      </c>
      <c r="B76" s="4">
        <v>12</v>
      </c>
      <c r="C76" s="108">
        <f>RESID!C76+COML!C76+IND!C76+SHL!C76+SPA!C76</f>
        <v>1766374</v>
      </c>
      <c r="D76" s="108">
        <f>RESID!D76+COML!D76+IND!D76+SHL!D76+SPA!D76</f>
        <v>1088544</v>
      </c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>
        <f t="shared" si="19"/>
        <v>94305</v>
      </c>
      <c r="Z76" s="175">
        <f>RESID!Z76+COML!Z76+IND!Z76+SHL!Z76+SPA!Z76</f>
        <v>1714756</v>
      </c>
      <c r="AA76" s="108">
        <f t="shared" si="5"/>
        <v>-51618</v>
      </c>
      <c r="AB76" s="108">
        <f t="shared" si="7"/>
        <v>1714756</v>
      </c>
      <c r="BN76" s="4">
        <v>1988</v>
      </c>
      <c r="BO76" s="4">
        <v>12</v>
      </c>
    </row>
    <row r="77" spans="1:67">
      <c r="A77" s="4">
        <v>1989</v>
      </c>
      <c r="B77" s="4">
        <v>1</v>
      </c>
      <c r="C77" s="108">
        <f>RESID!C77+COML!C77+IND!C77+SHL!C77+SPA!C77</f>
        <v>1761954</v>
      </c>
      <c r="D77" s="108">
        <f>RESID!D77+COML!D77+IND!D77+SHL!D77+SPA!D77</f>
        <v>1098035</v>
      </c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>
        <f t="shared" si="19"/>
        <v>45999</v>
      </c>
      <c r="Z77" s="175">
        <f>RESID!Z77+COML!Z77+IND!Z77+SHL!Z77+SPA!Z77</f>
        <v>1802254</v>
      </c>
      <c r="AA77" s="108">
        <f t="shared" si="5"/>
        <v>40300</v>
      </c>
      <c r="AB77" s="108">
        <f t="shared" si="7"/>
        <v>1802254</v>
      </c>
      <c r="BN77" s="4">
        <v>1989</v>
      </c>
      <c r="BO77" s="4">
        <v>1</v>
      </c>
    </row>
    <row r="78" spans="1:67">
      <c r="A78" s="4">
        <v>1989</v>
      </c>
      <c r="B78" s="4">
        <v>2</v>
      </c>
      <c r="C78" s="108">
        <f>RESID!C78+COML!C78+IND!C78+SHL!C78+SPA!C78</f>
        <v>1656322</v>
      </c>
      <c r="D78" s="108">
        <f>RESID!D78+COML!D78+IND!D78+SHL!D78+SPA!D78</f>
        <v>1102500</v>
      </c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>
        <f t="shared" si="19"/>
        <v>24928</v>
      </c>
      <c r="Z78" s="175">
        <f>RESID!Z78+COML!Z78+IND!Z78+SHL!Z78+SPA!Z78</f>
        <v>1735425</v>
      </c>
      <c r="AA78" s="108">
        <f t="shared" si="5"/>
        <v>79103</v>
      </c>
      <c r="AB78" s="108">
        <f t="shared" si="7"/>
        <v>1735425</v>
      </c>
      <c r="BN78" s="4">
        <v>1989</v>
      </c>
      <c r="BO78" s="4">
        <v>2</v>
      </c>
    </row>
    <row r="79" spans="1:67">
      <c r="A79" s="4">
        <v>1989</v>
      </c>
      <c r="B79" s="4">
        <v>3</v>
      </c>
      <c r="C79" s="108">
        <f>RESID!C79+COML!C79+IND!C79+SHL!C79+SPA!C79</f>
        <v>1822933</v>
      </c>
      <c r="D79" s="108">
        <f>RESID!D79+COML!D79+IND!D79+SHL!D79+SPA!D79</f>
        <v>1106174</v>
      </c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>
        <f t="shared" si="19"/>
        <v>-3019</v>
      </c>
      <c r="Z79" s="175">
        <f>RESID!Z79+COML!Z79+IND!Z79+SHL!Z79+SPA!Z79</f>
        <v>1636032</v>
      </c>
      <c r="AA79" s="108">
        <f t="shared" si="5"/>
        <v>-186901</v>
      </c>
      <c r="AB79" s="108">
        <f t="shared" si="7"/>
        <v>1636032</v>
      </c>
      <c r="BN79" s="4">
        <v>1989</v>
      </c>
      <c r="BO79" s="4">
        <v>3</v>
      </c>
    </row>
    <row r="80" spans="1:67">
      <c r="A80" s="4">
        <v>1989</v>
      </c>
      <c r="B80" s="4">
        <v>4</v>
      </c>
      <c r="C80" s="108">
        <f>RESID!C80+COML!C80+IND!C80+SHL!C80+SPA!C80</f>
        <v>1860946</v>
      </c>
      <c r="D80" s="108">
        <f>RESID!D80+COML!D80+IND!D80+SHL!D80+SPA!D80</f>
        <v>1104407</v>
      </c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>
        <f t="shared" si="19"/>
        <v>101204</v>
      </c>
      <c r="Z80" s="175">
        <f>RESID!Z80+COML!Z80+IND!Z80+SHL!Z80+SPA!Z80</f>
        <v>1758301</v>
      </c>
      <c r="AA80" s="108">
        <f t="shared" si="5"/>
        <v>-102645</v>
      </c>
      <c r="AB80" s="108">
        <f t="shared" si="7"/>
        <v>1758301</v>
      </c>
      <c r="BN80" s="4">
        <v>1989</v>
      </c>
      <c r="BO80" s="4">
        <v>4</v>
      </c>
    </row>
    <row r="81" spans="1:67">
      <c r="A81" s="4">
        <v>1989</v>
      </c>
      <c r="B81" s="4">
        <v>5</v>
      </c>
      <c r="C81" s="108">
        <f>RESID!C81+COML!C81+IND!C81+SHL!C81+SPA!C81</f>
        <v>1751676</v>
      </c>
      <c r="D81" s="108">
        <f>RESID!D81+COML!D81+IND!D81+SHL!D81+SPA!D81</f>
        <v>1091746</v>
      </c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>
        <f t="shared" si="19"/>
        <v>31465</v>
      </c>
      <c r="Z81" s="175">
        <f>RESID!Z81+COML!Z81+IND!Z81+SHL!Z81+SPA!Z81</f>
        <v>1712766</v>
      </c>
      <c r="AA81" s="108">
        <f t="shared" ref="AA81:AA144" si="41">Z81-C81</f>
        <v>-38910</v>
      </c>
      <c r="AB81" s="108">
        <f t="shared" si="7"/>
        <v>1712766</v>
      </c>
      <c r="BN81" s="4">
        <v>1989</v>
      </c>
      <c r="BO81" s="4">
        <v>5</v>
      </c>
    </row>
    <row r="82" spans="1:67">
      <c r="A82" s="4">
        <v>1989</v>
      </c>
      <c r="B82" s="4">
        <v>6</v>
      </c>
      <c r="C82" s="108">
        <f>RESID!C82+COML!C82+IND!C82+SHL!C82+SPA!C82</f>
        <v>2210461</v>
      </c>
      <c r="D82" s="108">
        <f>RESID!D82+COML!D82+IND!D82+SHL!D82+SPA!D82</f>
        <v>1088675</v>
      </c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>
        <f t="shared" si="19"/>
        <v>67559</v>
      </c>
      <c r="Z82" s="175">
        <f>RESID!Z82+COML!Z82+IND!Z82+SHL!Z82+SPA!Z82</f>
        <v>2107795</v>
      </c>
      <c r="AA82" s="108">
        <f t="shared" si="41"/>
        <v>-102666</v>
      </c>
      <c r="AB82" s="108">
        <f t="shared" ref="AB82:AB145" si="42">Z82</f>
        <v>2107795</v>
      </c>
      <c r="BN82" s="4">
        <v>1989</v>
      </c>
      <c r="BO82" s="4">
        <v>6</v>
      </c>
    </row>
    <row r="83" spans="1:67">
      <c r="A83" s="4">
        <v>1989</v>
      </c>
      <c r="B83" s="4">
        <v>7</v>
      </c>
      <c r="C83" s="108">
        <f>RESID!C83+COML!C83+IND!C83+SHL!C83+SPA!C83</f>
        <v>2347905</v>
      </c>
      <c r="D83" s="108">
        <f>RESID!D83+COML!D83+IND!D83+SHL!D83+SPA!D83</f>
        <v>1089605</v>
      </c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>
        <f t="shared" si="19"/>
        <v>122789</v>
      </c>
      <c r="Z83" s="175">
        <f>RESID!Z83+COML!Z83+IND!Z83+SHL!Z83+SPA!Z83</f>
        <v>2310475</v>
      </c>
      <c r="AA83" s="108">
        <f t="shared" si="41"/>
        <v>-37430</v>
      </c>
      <c r="AB83" s="108">
        <f t="shared" si="42"/>
        <v>2310475</v>
      </c>
      <c r="BN83" s="4">
        <v>1989</v>
      </c>
      <c r="BO83" s="4">
        <v>7</v>
      </c>
    </row>
    <row r="84" spans="1:67">
      <c r="A84" s="4">
        <v>1989</v>
      </c>
      <c r="B84" s="4">
        <v>8</v>
      </c>
      <c r="C84" s="108">
        <f>RESID!C84+COML!C84+IND!C84+SHL!C84+SPA!C84</f>
        <v>2369123</v>
      </c>
      <c r="D84" s="108">
        <f>RESID!D84+COML!D84+IND!D84+SHL!D84+SPA!D84</f>
        <v>1092480</v>
      </c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>
        <f t="shared" si="19"/>
        <v>121981</v>
      </c>
      <c r="Z84" s="175">
        <f>RESID!Z84+COML!Z84+IND!Z84+SHL!Z84+SPA!Z84</f>
        <v>2369697</v>
      </c>
      <c r="AA84" s="108">
        <f t="shared" si="41"/>
        <v>574</v>
      </c>
      <c r="AB84" s="108">
        <f t="shared" si="42"/>
        <v>2369697</v>
      </c>
      <c r="BN84" s="4">
        <v>1989</v>
      </c>
      <c r="BO84" s="4">
        <v>8</v>
      </c>
    </row>
    <row r="85" spans="1:67">
      <c r="A85" s="4">
        <v>1989</v>
      </c>
      <c r="B85" s="4">
        <v>9</v>
      </c>
      <c r="C85" s="108">
        <f>RESID!C85+COML!C85+IND!C85+SHL!C85+SPA!C85</f>
        <v>2519886</v>
      </c>
      <c r="D85" s="108">
        <f>RESID!D85+COML!D85+IND!D85+SHL!D85+SPA!D85</f>
        <v>1096749</v>
      </c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>
        <f t="shared" si="19"/>
        <v>138379</v>
      </c>
      <c r="Z85" s="175">
        <f>RESID!Z85+COML!Z85+IND!Z85+SHL!Z85+SPA!Z85</f>
        <v>2401875</v>
      </c>
      <c r="AA85" s="108">
        <f t="shared" si="41"/>
        <v>-118011</v>
      </c>
      <c r="AB85" s="108">
        <f t="shared" si="42"/>
        <v>2401875</v>
      </c>
      <c r="BN85" s="4">
        <v>1989</v>
      </c>
      <c r="BO85" s="4">
        <v>9</v>
      </c>
    </row>
    <row r="86" spans="1:67">
      <c r="A86" s="4">
        <v>1989</v>
      </c>
      <c r="B86" s="4">
        <v>10</v>
      </c>
      <c r="C86" s="108">
        <f>RESID!C86+COML!C86+IND!C86+SHL!C86+SPA!C86</f>
        <v>2189817</v>
      </c>
      <c r="D86" s="108">
        <f>RESID!D86+COML!D86+IND!D86+SHL!D86+SPA!D86</f>
        <v>1103678</v>
      </c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>
        <f t="shared" si="19"/>
        <v>15685</v>
      </c>
      <c r="Z86" s="175">
        <f>RESID!Z86+COML!Z86+IND!Z86+SHL!Z86+SPA!Z86</f>
        <v>2112051</v>
      </c>
      <c r="AA86" s="108">
        <f t="shared" si="41"/>
        <v>-77766</v>
      </c>
      <c r="AB86" s="108">
        <f t="shared" si="42"/>
        <v>2112051</v>
      </c>
      <c r="BN86" s="4">
        <v>1989</v>
      </c>
      <c r="BO86" s="4">
        <v>10</v>
      </c>
    </row>
    <row r="87" spans="1:67">
      <c r="A87" s="4">
        <v>1989</v>
      </c>
      <c r="B87" s="4">
        <v>11</v>
      </c>
      <c r="C87" s="108">
        <f>RESID!C87+COML!C87+IND!C87+SHL!C87+SPA!C87</f>
        <v>1799096</v>
      </c>
      <c r="D87" s="108">
        <f>RESID!D87+COML!D87+IND!D87+SHL!D87+SPA!D87</f>
        <v>1118500</v>
      </c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>
        <f t="shared" si="19"/>
        <v>87937</v>
      </c>
      <c r="Z87" s="175">
        <f>RESID!Z87+COML!Z87+IND!Z87+SHL!Z87+SPA!Z87</f>
        <v>1809167</v>
      </c>
      <c r="AA87" s="108">
        <f t="shared" si="41"/>
        <v>10071</v>
      </c>
      <c r="AB87" s="108">
        <f t="shared" si="42"/>
        <v>1809167</v>
      </c>
      <c r="BN87" s="4">
        <v>1989</v>
      </c>
      <c r="BO87" s="4">
        <v>11</v>
      </c>
    </row>
    <row r="88" spans="1:67">
      <c r="A88" s="85">
        <v>1989</v>
      </c>
      <c r="B88" s="85">
        <v>12</v>
      </c>
      <c r="C88" s="108">
        <f>RESID!C88+COML!C88+IND!C88+SHL!C88+SPA!C88</f>
        <v>1833177</v>
      </c>
      <c r="D88" s="108">
        <f>RESID!D88+COML!D88+IND!D88+SHL!D88+SPA!D88</f>
        <v>1129063</v>
      </c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>
        <f t="shared" si="19"/>
        <v>48104</v>
      </c>
      <c r="Z88" s="175">
        <f>RESID!Z88+COML!Z88+IND!Z88+SHL!Z88+SPA!Z88</f>
        <v>1762860</v>
      </c>
      <c r="AA88" s="108">
        <f t="shared" si="41"/>
        <v>-70317</v>
      </c>
      <c r="AB88" s="108">
        <f t="shared" si="42"/>
        <v>1762860</v>
      </c>
      <c r="BN88" s="85">
        <v>1989</v>
      </c>
      <c r="BO88" s="85">
        <v>12</v>
      </c>
    </row>
    <row r="89" spans="1:67">
      <c r="A89" s="4">
        <v>1990</v>
      </c>
      <c r="B89" s="4">
        <v>1</v>
      </c>
      <c r="C89" s="108">
        <f>RESID!C89+COML!C89+IND!C89+SHL!C89+SPA!C89</f>
        <v>2164369</v>
      </c>
      <c r="D89" s="108">
        <f>RESID!D89+COML!D89+IND!D89+SHL!D89+SPA!D89</f>
        <v>1136594</v>
      </c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>
        <f t="shared" si="19"/>
        <v>81156</v>
      </c>
      <c r="Z89" s="175">
        <f>RESID!Z89+COML!Z89+IND!Z89+SHL!Z89+SPA!Z89</f>
        <v>1883410</v>
      </c>
      <c r="AA89" s="108">
        <f t="shared" si="41"/>
        <v>-280959</v>
      </c>
      <c r="AB89" s="108">
        <f t="shared" si="42"/>
        <v>1883410</v>
      </c>
      <c r="BN89" s="4">
        <v>1990</v>
      </c>
      <c r="BO89" s="4">
        <v>1</v>
      </c>
    </row>
    <row r="90" spans="1:67">
      <c r="A90" s="4">
        <v>1990</v>
      </c>
      <c r="B90" s="4">
        <v>2</v>
      </c>
      <c r="C90" s="108">
        <f>RESID!C90+COML!C90+IND!C90+SHL!C90+SPA!C90</f>
        <v>1807575</v>
      </c>
      <c r="D90" s="108">
        <f>RESID!D90+COML!D90+IND!D90+SHL!D90+SPA!D90</f>
        <v>1141388</v>
      </c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>
        <f t="shared" si="19"/>
        <v>97407</v>
      </c>
      <c r="Z90" s="175">
        <f>RESID!Z90+COML!Z90+IND!Z90+SHL!Z90+SPA!Z90</f>
        <v>1832832</v>
      </c>
      <c r="AA90" s="108">
        <f t="shared" si="41"/>
        <v>25257</v>
      </c>
      <c r="AB90" s="108">
        <f t="shared" si="42"/>
        <v>1832832</v>
      </c>
      <c r="BN90" s="4">
        <v>1990</v>
      </c>
      <c r="BO90" s="4">
        <v>2</v>
      </c>
    </row>
    <row r="91" spans="1:67">
      <c r="A91" s="4">
        <v>1990</v>
      </c>
      <c r="B91" s="4">
        <v>3</v>
      </c>
      <c r="C91" s="108">
        <f>RESID!C91+COML!C91+IND!C91+SHL!C91+SPA!C91</f>
        <v>1710208</v>
      </c>
      <c r="D91" s="108">
        <f>RESID!D91+COML!D91+IND!D91+SHL!D91+SPA!D91</f>
        <v>1144614</v>
      </c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>
        <f t="shared" si="19"/>
        <v>132072</v>
      </c>
      <c r="Z91" s="175">
        <f>RESID!Z91+COML!Z91+IND!Z91+SHL!Z91+SPA!Z91</f>
        <v>1768104</v>
      </c>
      <c r="AA91" s="108">
        <f t="shared" si="41"/>
        <v>57896</v>
      </c>
      <c r="AB91" s="108">
        <f t="shared" si="42"/>
        <v>1768104</v>
      </c>
      <c r="BN91" s="4">
        <v>1990</v>
      </c>
      <c r="BO91" s="4">
        <v>3</v>
      </c>
    </row>
    <row r="92" spans="1:67">
      <c r="A92" s="4">
        <v>1990</v>
      </c>
      <c r="B92" s="4">
        <v>4</v>
      </c>
      <c r="C92" s="108">
        <f>RESID!C92+COML!C92+IND!C92+SHL!C92+SPA!C92</f>
        <v>1713282</v>
      </c>
      <c r="D92" s="108">
        <f>RESID!D92+COML!D92+IND!D92+SHL!D92+SPA!D92</f>
        <v>1139773</v>
      </c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>
        <f t="shared" si="19"/>
        <v>-21309</v>
      </c>
      <c r="Z92" s="175">
        <f>RESID!Z92+COML!Z92+IND!Z92+SHL!Z92+SPA!Z92</f>
        <v>1736992</v>
      </c>
      <c r="AA92" s="108">
        <f t="shared" si="41"/>
        <v>23710</v>
      </c>
      <c r="AB92" s="108">
        <f t="shared" si="42"/>
        <v>1736992</v>
      </c>
      <c r="BN92" s="4">
        <v>1990</v>
      </c>
      <c r="BO92" s="4">
        <v>4</v>
      </c>
    </row>
    <row r="93" spans="1:67">
      <c r="A93" s="4">
        <v>1990</v>
      </c>
      <c r="B93" s="4">
        <v>5</v>
      </c>
      <c r="C93" s="108">
        <f>RESID!C93+COML!C93+IND!C93+SHL!C93+SPA!C93</f>
        <v>1877490</v>
      </c>
      <c r="D93" s="108">
        <f>RESID!D93+COML!D93+IND!D93+SHL!D93+SPA!D93</f>
        <v>1125427</v>
      </c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>
        <f t="shared" ref="Y93:Y156" si="43">Z93-Z81</f>
        <v>82190</v>
      </c>
      <c r="Z93" s="175">
        <f>RESID!Z93+COML!Z93+IND!Z93+SHL!Z93+SPA!Z93</f>
        <v>1794956</v>
      </c>
      <c r="AA93" s="108">
        <f t="shared" si="41"/>
        <v>-82534</v>
      </c>
      <c r="AB93" s="108">
        <f t="shared" si="42"/>
        <v>1794956</v>
      </c>
      <c r="BN93" s="4">
        <v>1990</v>
      </c>
      <c r="BO93" s="4">
        <v>5</v>
      </c>
    </row>
    <row r="94" spans="1:67">
      <c r="A94" s="4">
        <v>1990</v>
      </c>
      <c r="B94" s="4">
        <v>6</v>
      </c>
      <c r="C94" s="108">
        <f>RESID!C94+COML!C94+IND!C94+SHL!C94+SPA!C94</f>
        <v>2262984</v>
      </c>
      <c r="D94" s="108">
        <f>RESID!D94+COML!D94+IND!D94+SHL!D94+SPA!D94</f>
        <v>1122294</v>
      </c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>
        <f t="shared" si="43"/>
        <v>72200</v>
      </c>
      <c r="Z94" s="175">
        <f>RESID!Z94+COML!Z94+IND!Z94+SHL!Z94+SPA!Z94</f>
        <v>2179995</v>
      </c>
      <c r="AA94" s="108">
        <f t="shared" si="41"/>
        <v>-82989</v>
      </c>
      <c r="AB94" s="108">
        <f t="shared" si="42"/>
        <v>2179995</v>
      </c>
      <c r="BN94" s="4">
        <v>1990</v>
      </c>
      <c r="BO94" s="4">
        <v>6</v>
      </c>
    </row>
    <row r="95" spans="1:67">
      <c r="A95" s="4">
        <v>1990</v>
      </c>
      <c r="B95" s="4">
        <v>7</v>
      </c>
      <c r="C95" s="108">
        <f>RESID!C95+COML!C95+IND!C95+SHL!C95+SPA!C95</f>
        <v>2381081</v>
      </c>
      <c r="D95" s="108">
        <f>RESID!D95+COML!D95+IND!D95+SHL!D95+SPA!D95</f>
        <v>1123239</v>
      </c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>
        <f t="shared" si="43"/>
        <v>80177</v>
      </c>
      <c r="Z95" s="175">
        <f>RESID!Z95+COML!Z95+IND!Z95+SHL!Z95+SPA!Z95</f>
        <v>2390652</v>
      </c>
      <c r="AA95" s="108">
        <f t="shared" si="41"/>
        <v>9571</v>
      </c>
      <c r="AB95" s="108">
        <f t="shared" si="42"/>
        <v>2390652</v>
      </c>
      <c r="BN95" s="4">
        <v>1990</v>
      </c>
      <c r="BO95" s="4">
        <v>7</v>
      </c>
    </row>
    <row r="96" spans="1:67">
      <c r="A96" s="4">
        <v>1990</v>
      </c>
      <c r="B96" s="4">
        <v>8</v>
      </c>
      <c r="C96" s="108">
        <f>RESID!C96+COML!C96+IND!C96+SHL!C96+SPA!C96</f>
        <v>2495971</v>
      </c>
      <c r="D96" s="108">
        <f>RESID!D96+COML!D96+IND!D96+SHL!D96+SPA!D96</f>
        <v>1125277</v>
      </c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>
        <f t="shared" si="43"/>
        <v>89039</v>
      </c>
      <c r="Z96" s="175">
        <f>RESID!Z96+COML!Z96+IND!Z96+SHL!Z96+SPA!Z96</f>
        <v>2458736</v>
      </c>
      <c r="AA96" s="108">
        <f t="shared" si="41"/>
        <v>-37235</v>
      </c>
      <c r="AB96" s="108">
        <f t="shared" si="42"/>
        <v>2458736</v>
      </c>
      <c r="BN96" s="4">
        <v>1990</v>
      </c>
      <c r="BO96" s="4">
        <v>8</v>
      </c>
    </row>
    <row r="97" spans="1:67">
      <c r="A97" s="4">
        <v>1990</v>
      </c>
      <c r="B97" s="4">
        <v>9</v>
      </c>
      <c r="C97" s="108">
        <f>RESID!C97+COML!C97+IND!C97+SHL!C97+SPA!C97</f>
        <v>2486362</v>
      </c>
      <c r="D97" s="108">
        <f>RESID!D97+COML!D97+IND!D97+SHL!D97+SPA!D97</f>
        <v>1127825</v>
      </c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>
        <f t="shared" si="43"/>
        <v>74935</v>
      </c>
      <c r="Z97" s="175">
        <f>RESID!Z97+COML!Z97+IND!Z97+SHL!Z97+SPA!Z97</f>
        <v>2476810</v>
      </c>
      <c r="AA97" s="108">
        <f t="shared" si="41"/>
        <v>-9552</v>
      </c>
      <c r="AB97" s="108">
        <f t="shared" si="42"/>
        <v>2476810</v>
      </c>
      <c r="BN97" s="4">
        <v>1990</v>
      </c>
      <c r="BO97" s="4">
        <v>9</v>
      </c>
    </row>
    <row r="98" spans="1:67">
      <c r="A98" s="4">
        <v>1990</v>
      </c>
      <c r="B98" s="4">
        <v>10</v>
      </c>
      <c r="C98" s="108">
        <f>RESID!C98+COML!C98+IND!C98+SHL!C98+SPA!C98</f>
        <v>2265916</v>
      </c>
      <c r="D98" s="108">
        <f>RESID!D98+COML!D98+IND!D98+SHL!D98+SPA!D98</f>
        <v>1133813</v>
      </c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>
        <f t="shared" si="43"/>
        <v>63860</v>
      </c>
      <c r="Z98" s="175">
        <f>RESID!Z98+COML!Z98+IND!Z98+SHL!Z98+SPA!Z98</f>
        <v>2175911</v>
      </c>
      <c r="AA98" s="108">
        <f t="shared" si="41"/>
        <v>-90005</v>
      </c>
      <c r="AB98" s="108">
        <f t="shared" si="42"/>
        <v>2175911</v>
      </c>
      <c r="BN98" s="4">
        <v>1990</v>
      </c>
      <c r="BO98" s="4">
        <v>10</v>
      </c>
    </row>
    <row r="99" spans="1:67">
      <c r="A99" s="4">
        <v>1990</v>
      </c>
      <c r="B99" s="4">
        <v>11</v>
      </c>
      <c r="C99" s="108">
        <f>RESID!C99+COML!C99+IND!C99+SHL!C99+SPA!C99</f>
        <v>1912369</v>
      </c>
      <c r="D99" s="108">
        <f>RESID!D99+COML!D99+IND!D99+SHL!D99+SPA!D99</f>
        <v>1147584</v>
      </c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>
        <f t="shared" si="43"/>
        <v>61320</v>
      </c>
      <c r="Z99" s="175">
        <f>RESID!Z99+COML!Z99+IND!Z99+SHL!Z99+SPA!Z99</f>
        <v>1870487</v>
      </c>
      <c r="AA99" s="108">
        <f t="shared" si="41"/>
        <v>-41882</v>
      </c>
      <c r="AB99" s="108">
        <f t="shared" si="42"/>
        <v>1870487</v>
      </c>
      <c r="BN99" s="4">
        <v>1990</v>
      </c>
      <c r="BO99" s="4">
        <v>11</v>
      </c>
    </row>
    <row r="100" spans="1:67">
      <c r="A100" s="85">
        <v>1990</v>
      </c>
      <c r="B100" s="85">
        <v>12</v>
      </c>
      <c r="C100" s="108">
        <f>RESID!C100+COML!C100+IND!C100+SHL!C100+SPA!C100</f>
        <v>1800721</v>
      </c>
      <c r="D100" s="108">
        <f>RESID!D100+COML!D100+IND!D100+SHL!D100+SPA!D100</f>
        <v>1157948</v>
      </c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>
        <f t="shared" si="43"/>
        <v>71741</v>
      </c>
      <c r="Z100" s="175">
        <f>RESID!Z100+COML!Z100+IND!Z100+SHL!Z100+SPA!Z100</f>
        <v>1834601</v>
      </c>
      <c r="AA100" s="108">
        <f t="shared" si="41"/>
        <v>33880</v>
      </c>
      <c r="AB100" s="108">
        <f t="shared" si="42"/>
        <v>1834601</v>
      </c>
      <c r="BN100" s="85">
        <v>1990</v>
      </c>
      <c r="BO100" s="85">
        <v>12</v>
      </c>
    </row>
    <row r="101" spans="1:67">
      <c r="A101" s="4">
        <v>1991</v>
      </c>
      <c r="B101" s="4">
        <v>1</v>
      </c>
      <c r="C101" s="108">
        <f>RESID!C101+COML!C101+IND!C101+SHL!C101+SPA!C101</f>
        <v>1871880</v>
      </c>
      <c r="D101" s="108">
        <f>RESID!D101+COML!D101+IND!D101+SHL!D101+SPA!D101</f>
        <v>1165083</v>
      </c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>
        <f t="shared" si="43"/>
        <v>34408</v>
      </c>
      <c r="Z101" s="175">
        <f>RESID!Z101+COML!Z101+IND!Z101+SHL!Z101+SPA!Z101</f>
        <v>1917818</v>
      </c>
      <c r="AA101" s="108">
        <f t="shared" si="41"/>
        <v>45938</v>
      </c>
      <c r="AB101" s="108">
        <f t="shared" si="42"/>
        <v>1917818</v>
      </c>
      <c r="BN101" s="4">
        <v>1991</v>
      </c>
      <c r="BO101" s="4">
        <v>1</v>
      </c>
    </row>
    <row r="102" spans="1:67">
      <c r="A102" s="4">
        <v>1991</v>
      </c>
      <c r="B102" s="4">
        <v>2</v>
      </c>
      <c r="C102" s="108">
        <f>RESID!C102+COML!C102+IND!C102+SHL!C102+SPA!C102</f>
        <v>1780913</v>
      </c>
      <c r="D102" s="108">
        <f>RESID!D102+COML!D102+IND!D102+SHL!D102+SPA!D102</f>
        <v>1169303</v>
      </c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>
        <f t="shared" si="43"/>
        <v>19770</v>
      </c>
      <c r="Z102" s="175">
        <f>RESID!Z102+COML!Z102+IND!Z102+SHL!Z102+SPA!Z102</f>
        <v>1852602</v>
      </c>
      <c r="AA102" s="108">
        <f t="shared" si="41"/>
        <v>71689</v>
      </c>
      <c r="AB102" s="108">
        <f t="shared" si="42"/>
        <v>1852602</v>
      </c>
      <c r="BN102" s="4">
        <v>1991</v>
      </c>
      <c r="BO102" s="4">
        <v>2</v>
      </c>
    </row>
    <row r="103" spans="1:67">
      <c r="A103" s="4">
        <v>1991</v>
      </c>
      <c r="B103" s="4">
        <v>3</v>
      </c>
      <c r="C103" s="108">
        <f>RESID!C103+COML!C103+IND!C103+SHL!C103+SPA!C103</f>
        <v>1779291</v>
      </c>
      <c r="D103" s="108">
        <f>RESID!D103+COML!D103+IND!D103+SHL!D103+SPA!D103</f>
        <v>1171761</v>
      </c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>
        <f t="shared" si="43"/>
        <v>25887</v>
      </c>
      <c r="Z103" s="175">
        <f>RESID!Z103+COML!Z103+IND!Z103+SHL!Z103+SPA!Z103</f>
        <v>1793991</v>
      </c>
      <c r="AA103" s="108">
        <f t="shared" si="41"/>
        <v>14700</v>
      </c>
      <c r="AB103" s="108">
        <f t="shared" si="42"/>
        <v>1793991</v>
      </c>
      <c r="BN103" s="4">
        <v>1991</v>
      </c>
      <c r="BO103" s="4">
        <v>3</v>
      </c>
    </row>
    <row r="104" spans="1:67">
      <c r="A104" s="4">
        <v>1991</v>
      </c>
      <c r="B104" s="4">
        <v>4</v>
      </c>
      <c r="C104" s="108">
        <f>RESID!C104+COML!C104+IND!C104+SHL!C104+SPA!C104</f>
        <v>1850180</v>
      </c>
      <c r="D104" s="108">
        <f>RESID!D104+COML!D104+IND!D104+SHL!D104+SPA!D104</f>
        <v>1164682</v>
      </c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>
        <f t="shared" si="43"/>
        <v>59104</v>
      </c>
      <c r="Z104" s="175">
        <f>RESID!Z104+COML!Z104+IND!Z104+SHL!Z104+SPA!Z104</f>
        <v>1796096</v>
      </c>
      <c r="AA104" s="108">
        <f t="shared" si="41"/>
        <v>-54084</v>
      </c>
      <c r="AB104" s="108">
        <f t="shared" si="42"/>
        <v>1796096</v>
      </c>
      <c r="BN104" s="4">
        <v>1991</v>
      </c>
      <c r="BO104" s="4">
        <v>4</v>
      </c>
    </row>
    <row r="105" spans="1:67">
      <c r="A105" s="4">
        <v>1991</v>
      </c>
      <c r="B105" s="4">
        <v>5</v>
      </c>
      <c r="C105" s="108">
        <f>RESID!C105+COML!C105+IND!C105+SHL!C105+SPA!C105</f>
        <v>2074926</v>
      </c>
      <c r="D105" s="108">
        <f>RESID!D105+COML!D105+IND!D105+SHL!D105+SPA!D105</f>
        <v>1149928</v>
      </c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>
        <f t="shared" si="43"/>
        <v>-8467</v>
      </c>
      <c r="Z105" s="175">
        <f>RESID!Z105+COML!Z105+IND!Z105+SHL!Z105+SPA!Z105</f>
        <v>1786489</v>
      </c>
      <c r="AA105" s="108">
        <f t="shared" si="41"/>
        <v>-288437</v>
      </c>
      <c r="AB105" s="108">
        <f t="shared" si="42"/>
        <v>1786489</v>
      </c>
      <c r="BN105" s="4">
        <v>1991</v>
      </c>
      <c r="BO105" s="4">
        <v>5</v>
      </c>
    </row>
    <row r="106" spans="1:67">
      <c r="A106" s="4">
        <v>1991</v>
      </c>
      <c r="B106" s="4">
        <v>6</v>
      </c>
      <c r="C106" s="108">
        <f>RESID!C106+COML!C106+IND!C106+SHL!C106+SPA!C106</f>
        <v>2269831</v>
      </c>
      <c r="D106" s="108">
        <f>RESID!D106+COML!D106+IND!D106+SHL!D106+SPA!D106</f>
        <v>1145541</v>
      </c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>
        <f t="shared" si="43"/>
        <v>34863</v>
      </c>
      <c r="Z106" s="175">
        <f>RESID!Z106+COML!Z106+IND!Z106+SHL!Z106+SPA!Z106</f>
        <v>2214858</v>
      </c>
      <c r="AA106" s="108">
        <f t="shared" si="41"/>
        <v>-54973</v>
      </c>
      <c r="AB106" s="108">
        <f t="shared" si="42"/>
        <v>2214858</v>
      </c>
      <c r="BN106" s="4">
        <v>1991</v>
      </c>
      <c r="BO106" s="4">
        <v>6</v>
      </c>
    </row>
    <row r="107" spans="1:67">
      <c r="A107" s="4">
        <v>1991</v>
      </c>
      <c r="B107" s="4">
        <v>7</v>
      </c>
      <c r="C107" s="108">
        <f>RESID!C107+COML!C107+IND!C107+SHL!C107+SPA!C107</f>
        <v>2416953</v>
      </c>
      <c r="D107" s="108">
        <f>RESID!D107+COML!D107+IND!D107+SHL!D107+SPA!D107</f>
        <v>1145699</v>
      </c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>
        <f t="shared" si="43"/>
        <v>-16100</v>
      </c>
      <c r="Z107" s="175">
        <f>RESID!Z107+COML!Z107+IND!Z107+SHL!Z107+SPA!Z107</f>
        <v>2374552</v>
      </c>
      <c r="AA107" s="108">
        <f t="shared" si="41"/>
        <v>-42401</v>
      </c>
      <c r="AB107" s="108">
        <f t="shared" si="42"/>
        <v>2374552</v>
      </c>
      <c r="BN107" s="4">
        <v>1991</v>
      </c>
      <c r="BO107" s="4">
        <v>7</v>
      </c>
    </row>
    <row r="108" spans="1:67">
      <c r="A108" s="4">
        <v>1991</v>
      </c>
      <c r="B108" s="4">
        <v>8</v>
      </c>
      <c r="C108" s="108">
        <f>RESID!C108+COML!C108+IND!C108+SHL!C108+SPA!C108</f>
        <v>2562730</v>
      </c>
      <c r="D108" s="108">
        <f>RESID!D108+COML!D108+IND!D108+SHL!D108+SPA!D108</f>
        <v>1146522</v>
      </c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>
        <f t="shared" si="43"/>
        <v>49241</v>
      </c>
      <c r="Z108" s="175">
        <f>RESID!Z108+COML!Z108+IND!Z108+SHL!Z108+SPA!Z108</f>
        <v>2507977</v>
      </c>
      <c r="AA108" s="108">
        <f t="shared" si="41"/>
        <v>-54753</v>
      </c>
      <c r="AB108" s="108">
        <f t="shared" si="42"/>
        <v>2507977</v>
      </c>
      <c r="BN108" s="4">
        <v>1991</v>
      </c>
      <c r="BO108" s="4">
        <v>8</v>
      </c>
    </row>
    <row r="109" spans="1:67">
      <c r="A109" s="4">
        <v>1991</v>
      </c>
      <c r="B109" s="4">
        <v>9</v>
      </c>
      <c r="C109" s="108">
        <f>RESID!C109+COML!C109+IND!C109+SHL!C109+SPA!C109</f>
        <v>2547584</v>
      </c>
      <c r="D109" s="108">
        <f>RESID!D109+COML!D109+IND!D109+SHL!D109+SPA!D109</f>
        <v>1149189</v>
      </c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>
        <f t="shared" si="43"/>
        <v>40993</v>
      </c>
      <c r="Z109" s="175">
        <f>RESID!Z109+COML!Z109+IND!Z109+SHL!Z109+SPA!Z109</f>
        <v>2517803</v>
      </c>
      <c r="AA109" s="108">
        <f t="shared" si="41"/>
        <v>-29781</v>
      </c>
      <c r="AB109" s="108">
        <f t="shared" si="42"/>
        <v>2517803</v>
      </c>
      <c r="BN109" s="4">
        <v>1991</v>
      </c>
      <c r="BO109" s="4">
        <v>9</v>
      </c>
    </row>
    <row r="110" spans="1:67">
      <c r="A110" s="4">
        <v>1991</v>
      </c>
      <c r="B110" s="4">
        <v>10</v>
      </c>
      <c r="C110" s="108">
        <f>RESID!C110+COML!C110+IND!C110+SHL!C110+SPA!C110</f>
        <v>2207897</v>
      </c>
      <c r="D110" s="108">
        <f>RESID!D110+COML!D110+IND!D110+SHL!D110+SPA!D110</f>
        <v>1155066</v>
      </c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>
        <f t="shared" si="43"/>
        <v>66714</v>
      </c>
      <c r="Z110" s="175">
        <f>RESID!Z110+COML!Z110+IND!Z110+SHL!Z110+SPA!Z110</f>
        <v>2242625</v>
      </c>
      <c r="AA110" s="108">
        <f t="shared" si="41"/>
        <v>34728</v>
      </c>
      <c r="AB110" s="108">
        <f t="shared" si="42"/>
        <v>2242625</v>
      </c>
      <c r="BN110" s="4">
        <v>1991</v>
      </c>
      <c r="BO110" s="4">
        <v>10</v>
      </c>
    </row>
    <row r="111" spans="1:67">
      <c r="A111" s="4">
        <v>1991</v>
      </c>
      <c r="B111" s="4">
        <v>11</v>
      </c>
      <c r="C111" s="108">
        <f>RESID!C111+COML!C111+IND!C111+SHL!C111+SPA!C111</f>
        <v>1879651</v>
      </c>
      <c r="D111" s="108">
        <f>RESID!D111+COML!D111+IND!D111+SHL!D111+SPA!D111</f>
        <v>1168382</v>
      </c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>
        <f t="shared" si="43"/>
        <v>21259</v>
      </c>
      <c r="Z111" s="175">
        <f>RESID!Z111+COML!Z111+IND!Z111+SHL!Z111+SPA!Z111</f>
        <v>1891746</v>
      </c>
      <c r="AA111" s="108">
        <f t="shared" si="41"/>
        <v>12095</v>
      </c>
      <c r="AB111" s="108">
        <f t="shared" si="42"/>
        <v>1891746</v>
      </c>
      <c r="BN111" s="4">
        <v>1991</v>
      </c>
      <c r="BO111" s="4">
        <v>11</v>
      </c>
    </row>
    <row r="112" spans="1:67">
      <c r="A112" s="85">
        <v>1991</v>
      </c>
      <c r="B112" s="85">
        <v>12</v>
      </c>
      <c r="C112" s="108">
        <f>RESID!C112+COML!C112+IND!C112+SHL!C112+SPA!C112</f>
        <v>1937278</v>
      </c>
      <c r="D112" s="108">
        <f>RESID!D112+COML!D112+IND!D112+SHL!D112+SPA!D112</f>
        <v>1179490</v>
      </c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>
        <f t="shared" si="43"/>
        <v>38822</v>
      </c>
      <c r="Z112" s="175">
        <f>RESID!Z112+COML!Z112+IND!Z112+SHL!Z112+SPA!Z112</f>
        <v>1873423</v>
      </c>
      <c r="AA112" s="108">
        <f t="shared" si="41"/>
        <v>-63855</v>
      </c>
      <c r="AB112" s="108">
        <f t="shared" si="42"/>
        <v>1873423</v>
      </c>
      <c r="BN112" s="85">
        <v>1991</v>
      </c>
      <c r="BO112" s="85">
        <v>12</v>
      </c>
    </row>
    <row r="113" spans="1:72">
      <c r="A113" s="4">
        <v>1992</v>
      </c>
      <c r="B113" s="4">
        <v>1</v>
      </c>
      <c r="C113" s="108">
        <f>RESID!C113+COML!C113+IND!C113+SHL!C113+SPA!C113</f>
        <v>2029526</v>
      </c>
      <c r="D113" s="108">
        <f>RESID!D113+COML!D113+IND!D113+SHL!D113+SPA!D113</f>
        <v>1186907</v>
      </c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>
        <f t="shared" si="43"/>
        <v>161477</v>
      </c>
      <c r="Z113" s="175">
        <f>RESID!Z113+COML!Z113+IND!Z113+SHL!Z113+SPA!Z113</f>
        <v>2079295</v>
      </c>
      <c r="AA113" s="108">
        <f t="shared" si="41"/>
        <v>49769</v>
      </c>
      <c r="AB113" s="108">
        <f t="shared" si="42"/>
        <v>2079295</v>
      </c>
      <c r="BN113" s="4">
        <v>1992</v>
      </c>
      <c r="BO113" s="4">
        <v>1</v>
      </c>
    </row>
    <row r="114" spans="1:72">
      <c r="A114" s="4">
        <v>1992</v>
      </c>
      <c r="B114" s="4">
        <v>2</v>
      </c>
      <c r="C114" s="108">
        <f>RESID!C114+COML!C114+IND!C114+SHL!C114+SPA!C114</f>
        <v>1996156</v>
      </c>
      <c r="D114" s="108">
        <f>RESID!D114+COML!D114+IND!D114+SHL!D114+SPA!D114</f>
        <v>1191512</v>
      </c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>
        <f t="shared" si="43"/>
        <v>119415</v>
      </c>
      <c r="Z114" s="175">
        <f>RESID!Z114+COML!Z114+IND!Z114+SHL!Z114+SPA!Z114</f>
        <v>1972017</v>
      </c>
      <c r="AA114" s="108">
        <f t="shared" si="41"/>
        <v>-24139</v>
      </c>
      <c r="AB114" s="108">
        <f t="shared" si="42"/>
        <v>1972017</v>
      </c>
      <c r="BN114" s="4">
        <v>1992</v>
      </c>
      <c r="BO114" s="4">
        <v>2</v>
      </c>
    </row>
    <row r="115" spans="1:72">
      <c r="A115" s="4">
        <v>1992</v>
      </c>
      <c r="B115" s="4">
        <v>3</v>
      </c>
      <c r="C115" s="108">
        <f>RESID!C115+COML!C115+IND!C115+SHL!C115+SPA!C115</f>
        <v>1762986</v>
      </c>
      <c r="D115" s="108">
        <f>RESID!D115+COML!D115+IND!D115+SHL!D115+SPA!D115</f>
        <v>1193141</v>
      </c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>
        <f t="shared" si="43"/>
        <v>25331</v>
      </c>
      <c r="Z115" s="175">
        <f>RESID!Z115+COML!Z115+IND!Z115+SHL!Z115+SPA!Z115</f>
        <v>1819322</v>
      </c>
      <c r="AA115" s="108">
        <f t="shared" si="41"/>
        <v>56336</v>
      </c>
      <c r="AB115" s="108">
        <f t="shared" si="42"/>
        <v>1819322</v>
      </c>
      <c r="BN115" s="4">
        <v>1992</v>
      </c>
      <c r="BO115" s="4">
        <v>3</v>
      </c>
    </row>
    <row r="116" spans="1:72">
      <c r="A116" s="4">
        <v>1992</v>
      </c>
      <c r="B116" s="4">
        <v>4</v>
      </c>
      <c r="C116" s="108">
        <f>RESID!C116+COML!C116+IND!C116+SHL!C116+SPA!C116</f>
        <v>1768139</v>
      </c>
      <c r="D116" s="108">
        <f>RESID!D116+COML!D116+IND!D116+SHL!D116+SPA!D116</f>
        <v>1185655</v>
      </c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>
        <f t="shared" si="43"/>
        <v>54480</v>
      </c>
      <c r="Z116" s="175">
        <f>RESID!Z116+COML!Z116+IND!Z116+SHL!Z116+SPA!Z116</f>
        <v>1850576</v>
      </c>
      <c r="AA116" s="108">
        <f t="shared" si="41"/>
        <v>82437</v>
      </c>
      <c r="AB116" s="108">
        <f t="shared" si="42"/>
        <v>1850576</v>
      </c>
      <c r="BN116" s="4">
        <v>1992</v>
      </c>
      <c r="BO116" s="4">
        <v>4</v>
      </c>
    </row>
    <row r="117" spans="1:72">
      <c r="A117" s="4">
        <v>1992</v>
      </c>
      <c r="B117" s="4">
        <v>5</v>
      </c>
      <c r="C117" s="108">
        <f>RESID!C117+COML!C117+IND!C117+SHL!C117+SPA!C117</f>
        <v>1837359</v>
      </c>
      <c r="D117" s="108">
        <f>RESID!D117+COML!D117+IND!D117+SHL!D117+SPA!D117</f>
        <v>1171047</v>
      </c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>
        <f t="shared" si="43"/>
        <v>192496</v>
      </c>
      <c r="Z117" s="175">
        <f>RESID!Z117+COML!Z117+IND!Z117+SHL!Z117+SPA!Z117</f>
        <v>1978985</v>
      </c>
      <c r="AA117" s="108">
        <f t="shared" si="41"/>
        <v>141626</v>
      </c>
      <c r="AB117" s="108">
        <f t="shared" si="42"/>
        <v>1978985</v>
      </c>
      <c r="BN117" s="4">
        <v>1992</v>
      </c>
      <c r="BO117" s="4">
        <v>5</v>
      </c>
    </row>
    <row r="118" spans="1:72">
      <c r="A118" s="4">
        <v>1992</v>
      </c>
      <c r="B118" s="4">
        <v>6</v>
      </c>
      <c r="C118" s="108">
        <f>RESID!C118+COML!C118+IND!C118+SHL!C118+SPA!C118</f>
        <v>2158370</v>
      </c>
      <c r="D118" s="108">
        <f>RESID!D118+COML!D118+IND!D118+SHL!D118+SPA!D118</f>
        <v>1167491</v>
      </c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>
        <f t="shared" si="43"/>
        <v>80717</v>
      </c>
      <c r="Z118" s="175">
        <f>RESID!Z118+COML!Z118+IND!Z118+SHL!Z118+SPA!Z118</f>
        <v>2295575</v>
      </c>
      <c r="AA118" s="108">
        <f t="shared" si="41"/>
        <v>137205</v>
      </c>
      <c r="AB118" s="108">
        <f t="shared" si="42"/>
        <v>2295575</v>
      </c>
      <c r="BN118" s="4">
        <v>1992</v>
      </c>
      <c r="BO118" s="4">
        <v>6</v>
      </c>
    </row>
    <row r="119" spans="1:72">
      <c r="A119" s="4">
        <v>1992</v>
      </c>
      <c r="B119" s="4">
        <v>7</v>
      </c>
      <c r="C119" s="108">
        <f>RESID!C119+COML!C119+IND!C119+SHL!C119+SPA!C119</f>
        <v>2580593</v>
      </c>
      <c r="D119" s="108">
        <f>RESID!D119+COML!D119+IND!D119+SHL!D119+SPA!D119</f>
        <v>1168596</v>
      </c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>
        <f t="shared" si="43"/>
        <v>161146</v>
      </c>
      <c r="Z119" s="175">
        <f>RESID!Z119+COML!Z119+IND!Z119+SHL!Z119+SPA!Z119</f>
        <v>2535698</v>
      </c>
      <c r="AA119" s="108">
        <f t="shared" si="41"/>
        <v>-44895</v>
      </c>
      <c r="AB119" s="108">
        <f t="shared" si="42"/>
        <v>2535698</v>
      </c>
      <c r="BN119" s="4">
        <v>1992</v>
      </c>
      <c r="BO119" s="4">
        <v>7</v>
      </c>
    </row>
    <row r="120" spans="1:72">
      <c r="A120" s="4">
        <v>1992</v>
      </c>
      <c r="B120" s="4">
        <v>8</v>
      </c>
      <c r="C120" s="108">
        <f>RESID!C120+COML!C120+IND!C120+SHL!C120+SPA!C120</f>
        <v>2639772</v>
      </c>
      <c r="D120" s="108">
        <f>RESID!D120+COML!D120+IND!D120+SHL!D120+SPA!D120</f>
        <v>1170694</v>
      </c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>
        <f t="shared" si="43"/>
        <v>87494</v>
      </c>
      <c r="Z120" s="175">
        <f>RESID!Z120+COML!Z120+IND!Z120+SHL!Z120+SPA!Z120</f>
        <v>2595471</v>
      </c>
      <c r="AA120" s="108">
        <f t="shared" si="41"/>
        <v>-44301</v>
      </c>
      <c r="AB120" s="108">
        <f t="shared" si="42"/>
        <v>2595471</v>
      </c>
      <c r="BN120" s="4">
        <v>1992</v>
      </c>
      <c r="BO120" s="4">
        <v>8</v>
      </c>
    </row>
    <row r="121" spans="1:72">
      <c r="A121" s="4">
        <v>1992</v>
      </c>
      <c r="B121" s="4">
        <v>9</v>
      </c>
      <c r="C121" s="108">
        <f>RESID!C121+COML!C121+IND!C121+SHL!C121+SPA!C121</f>
        <v>2479434</v>
      </c>
      <c r="D121" s="108">
        <f>RESID!D121+COML!D121+IND!D121+SHL!D121+SPA!D121</f>
        <v>1173440</v>
      </c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>
        <f t="shared" si="43"/>
        <v>37916</v>
      </c>
      <c r="Z121" s="175">
        <f>RESID!Z121+COML!Z121+IND!Z121+SHL!Z121+SPA!Z121</f>
        <v>2555719</v>
      </c>
      <c r="AA121" s="108">
        <f t="shared" si="41"/>
        <v>76285</v>
      </c>
      <c r="AB121" s="108">
        <f t="shared" si="42"/>
        <v>2555719</v>
      </c>
      <c r="BN121" s="4">
        <v>1992</v>
      </c>
      <c r="BO121" s="4">
        <v>9</v>
      </c>
    </row>
    <row r="122" spans="1:72">
      <c r="A122" s="4">
        <v>1992</v>
      </c>
      <c r="B122" s="4">
        <v>10</v>
      </c>
      <c r="C122" s="108">
        <f>RESID!C122+COML!C122+IND!C122+SHL!C122+SPA!C122</f>
        <v>2256323</v>
      </c>
      <c r="D122" s="108">
        <f>RESID!D122+COML!D122+IND!D122+SHL!D122+SPA!D122</f>
        <v>1178942</v>
      </c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>
        <f t="shared" si="43"/>
        <v>98080</v>
      </c>
      <c r="Z122" s="175">
        <f>RESID!Z122+COML!Z122+IND!Z122+SHL!Z122+SPA!Z122</f>
        <v>2340705</v>
      </c>
      <c r="AA122" s="108">
        <f t="shared" si="41"/>
        <v>84382</v>
      </c>
      <c r="AB122" s="108">
        <f t="shared" si="42"/>
        <v>2340705</v>
      </c>
      <c r="BN122" s="4">
        <v>1992</v>
      </c>
      <c r="BO122" s="4">
        <v>10</v>
      </c>
    </row>
    <row r="123" spans="1:72">
      <c r="A123" s="4">
        <v>1992</v>
      </c>
      <c r="B123" s="4">
        <v>11</v>
      </c>
      <c r="C123" s="108">
        <f>RESID!C123+COML!C123+IND!C123+SHL!C123+SPA!C123</f>
        <v>1868598</v>
      </c>
      <c r="D123" s="108">
        <f>RESID!D123+COML!D123+IND!D123+SHL!D123+SPA!D123</f>
        <v>1193914</v>
      </c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>
        <f t="shared" si="43"/>
        <v>79278</v>
      </c>
      <c r="Z123" s="175">
        <f>RESID!Z123+COML!Z123+IND!Z123+SHL!Z123+SPA!Z123</f>
        <v>1971024</v>
      </c>
      <c r="AA123" s="108">
        <f t="shared" si="41"/>
        <v>102426</v>
      </c>
      <c r="AB123" s="108">
        <f t="shared" si="42"/>
        <v>1971024</v>
      </c>
      <c r="BN123" s="4">
        <v>1992</v>
      </c>
      <c r="BO123" s="4">
        <v>11</v>
      </c>
    </row>
    <row r="124" spans="1:72" s="89" customFormat="1">
      <c r="A124" s="89">
        <v>1992</v>
      </c>
      <c r="B124" s="89">
        <v>12</v>
      </c>
      <c r="C124" s="117">
        <f>RESID!C124+COML!C124+IND!C124+SHL!C124+SPA!C124</f>
        <v>2036758</v>
      </c>
      <c r="D124" s="117">
        <f>RESID!D124+COML!D124+IND!D124+SHL!D124+SPA!D124</f>
        <v>1204505</v>
      </c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  <c r="V124" s="117"/>
      <c r="W124" s="117"/>
      <c r="X124" s="117"/>
      <c r="Y124" s="117">
        <f t="shared" si="43"/>
        <v>69195</v>
      </c>
      <c r="Z124" s="176">
        <f>RESID!Z124+COML!Z124+IND!Z124+SHL!Z124+SPA!Z124</f>
        <v>1942618</v>
      </c>
      <c r="AA124" s="117">
        <f t="shared" si="41"/>
        <v>-94140</v>
      </c>
      <c r="AB124" s="117">
        <f t="shared" si="42"/>
        <v>1942618</v>
      </c>
      <c r="BN124" s="89">
        <v>1992</v>
      </c>
      <c r="BO124" s="89">
        <v>12</v>
      </c>
      <c r="BT124" s="96"/>
    </row>
    <row r="125" spans="1:72">
      <c r="A125" s="4">
        <v>1993</v>
      </c>
      <c r="B125" s="4">
        <v>1</v>
      </c>
      <c r="C125" s="108">
        <f>RESID!C125+COML!C125+IND!C125+SHL!C125+SPA!C125</f>
        <v>1912963</v>
      </c>
      <c r="D125" s="108">
        <f>RESID!D125+COML!D125+IND!D125+SHL!D125+SPA!D125</f>
        <v>1211937</v>
      </c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>
        <f t="shared" si="43"/>
        <v>-24394</v>
      </c>
      <c r="Z125" s="175">
        <f>RESID!Z125+COML!Z125+IND!Z125+SHL!Z125+SPA!Z125</f>
        <v>2054901</v>
      </c>
      <c r="AA125" s="108">
        <f t="shared" si="41"/>
        <v>141938</v>
      </c>
      <c r="AB125" s="108">
        <f t="shared" si="42"/>
        <v>2054901</v>
      </c>
      <c r="BN125" s="4">
        <v>1993</v>
      </c>
      <c r="BO125" s="4">
        <v>1</v>
      </c>
    </row>
    <row r="126" spans="1:72">
      <c r="A126" s="4">
        <v>1993</v>
      </c>
      <c r="B126" s="4">
        <v>2</v>
      </c>
      <c r="C126" s="108">
        <f>RESID!C126+COML!C126+IND!C126+SHL!C126+SPA!C126</f>
        <v>1900793</v>
      </c>
      <c r="D126" s="108">
        <f>RESID!D126+COML!D126+IND!D126+SHL!D126+SPA!D126</f>
        <v>1216372</v>
      </c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>
        <f t="shared" si="43"/>
        <v>33090</v>
      </c>
      <c r="Z126" s="175">
        <f>RESID!Z126+COML!Z126+IND!Z126+SHL!Z126+SPA!Z126</f>
        <v>2005107</v>
      </c>
      <c r="AA126" s="108">
        <f t="shared" si="41"/>
        <v>104314</v>
      </c>
      <c r="AB126" s="108">
        <f t="shared" si="42"/>
        <v>2005107</v>
      </c>
      <c r="BN126" s="4">
        <v>1993</v>
      </c>
      <c r="BO126" s="4">
        <v>2</v>
      </c>
    </row>
    <row r="127" spans="1:72">
      <c r="A127" s="4">
        <v>1993</v>
      </c>
      <c r="B127" s="4">
        <v>3</v>
      </c>
      <c r="C127" s="108">
        <f>RESID!C127+COML!C127+IND!C127+SHL!C127+SPA!C127</f>
        <v>1946289</v>
      </c>
      <c r="D127" s="108">
        <f>RESID!D127+COML!D127+IND!D127+SHL!D127+SPA!D127</f>
        <v>1218531</v>
      </c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>
        <f t="shared" si="43"/>
        <v>125317</v>
      </c>
      <c r="Z127" s="175">
        <f>RESID!Z127+COML!Z127+IND!Z127+SHL!Z127+SPA!Z127</f>
        <v>1944639</v>
      </c>
      <c r="AA127" s="108">
        <f t="shared" si="41"/>
        <v>-1650</v>
      </c>
      <c r="AB127" s="108">
        <f t="shared" si="42"/>
        <v>1944639</v>
      </c>
      <c r="BN127" s="4">
        <v>1993</v>
      </c>
      <c r="BO127" s="4">
        <v>3</v>
      </c>
    </row>
    <row r="128" spans="1:72">
      <c r="A128" s="4">
        <v>1993</v>
      </c>
      <c r="B128" s="4">
        <v>4</v>
      </c>
      <c r="C128" s="108">
        <f>RESID!C128+COML!C128+IND!C128+SHL!C128+SPA!C128</f>
        <v>1880124</v>
      </c>
      <c r="D128" s="108">
        <f>RESID!D128+COML!D128+IND!D128+SHL!D128+SPA!D128</f>
        <v>1220636</v>
      </c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>
        <f t="shared" si="43"/>
        <v>105859</v>
      </c>
      <c r="Z128" s="175">
        <f>RESID!Z128+COML!Z128+IND!Z128+SHL!Z128+SPA!Z128</f>
        <v>1956435</v>
      </c>
      <c r="AA128" s="108">
        <f t="shared" si="41"/>
        <v>76311</v>
      </c>
      <c r="AB128" s="108">
        <f t="shared" si="42"/>
        <v>1956435</v>
      </c>
      <c r="BN128" s="4">
        <v>1993</v>
      </c>
      <c r="BO128" s="4">
        <v>4</v>
      </c>
    </row>
    <row r="129" spans="1:75">
      <c r="A129" s="4">
        <v>1993</v>
      </c>
      <c r="B129" s="4">
        <v>5</v>
      </c>
      <c r="C129" s="108">
        <f>RESID!C129+COML!C129+IND!C129+SHL!C129+SPA!C129</f>
        <v>1889262</v>
      </c>
      <c r="D129" s="108">
        <f>RESID!D129+COML!D129+IND!D129+SHL!D129+SPA!D129</f>
        <v>1206500</v>
      </c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>
        <f t="shared" si="43"/>
        <v>86198</v>
      </c>
      <c r="Z129" s="175">
        <f>RESID!Z129+COML!Z129+IND!Z129+SHL!Z129+SPA!Z129</f>
        <v>2065183</v>
      </c>
      <c r="AA129" s="108">
        <f t="shared" si="41"/>
        <v>175921</v>
      </c>
      <c r="AB129" s="108">
        <f t="shared" si="42"/>
        <v>2065183</v>
      </c>
      <c r="BN129" s="4">
        <v>1993</v>
      </c>
      <c r="BO129" s="4">
        <v>5</v>
      </c>
    </row>
    <row r="130" spans="1:75">
      <c r="A130" s="4">
        <v>1993</v>
      </c>
      <c r="B130" s="4">
        <v>6</v>
      </c>
      <c r="C130" s="108">
        <f>RESID!C130+COML!C130+IND!C130+SHL!C130+SPA!C130</f>
        <v>2304320</v>
      </c>
      <c r="D130" s="108">
        <f>RESID!D130+COML!D130+IND!D130+SHL!D130+SPA!D130</f>
        <v>1202636</v>
      </c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>
        <f t="shared" si="43"/>
        <v>152613</v>
      </c>
      <c r="Z130" s="175">
        <f>RESID!Z130+COML!Z130+IND!Z130+SHL!Z130+SPA!Z130</f>
        <v>2448188</v>
      </c>
      <c r="AA130" s="108">
        <f t="shared" si="41"/>
        <v>143868</v>
      </c>
      <c r="AB130" s="108">
        <f t="shared" si="42"/>
        <v>2448188</v>
      </c>
      <c r="BN130" s="4">
        <v>1993</v>
      </c>
      <c r="BO130" s="4">
        <v>6</v>
      </c>
    </row>
    <row r="131" spans="1:75">
      <c r="A131" s="4">
        <v>1993</v>
      </c>
      <c r="B131" s="4">
        <v>7</v>
      </c>
      <c r="C131" s="108">
        <f>RESID!C131+COML!C131+IND!C131+SHL!C131+SPA!C131</f>
        <v>2582284</v>
      </c>
      <c r="D131" s="108">
        <f>RESID!D131+COML!D131+IND!D131+SHL!D131+SPA!D131</f>
        <v>1202908</v>
      </c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>
        <f t="shared" si="43"/>
        <v>35172</v>
      </c>
      <c r="Z131" s="175">
        <f>RESID!Z131+COML!Z131+IND!Z131+SHL!Z131+SPA!Z131</f>
        <v>2570870</v>
      </c>
      <c r="AA131" s="108">
        <f t="shared" si="41"/>
        <v>-11414</v>
      </c>
      <c r="AB131" s="108">
        <f t="shared" si="42"/>
        <v>2570870</v>
      </c>
      <c r="BN131" s="4">
        <v>1993</v>
      </c>
      <c r="BO131" s="4">
        <v>7</v>
      </c>
    </row>
    <row r="132" spans="1:75">
      <c r="A132" s="4">
        <v>1993</v>
      </c>
      <c r="B132" s="4">
        <v>8</v>
      </c>
      <c r="C132" s="108">
        <f>RESID!C132+COML!C132+IND!C132+SHL!C132+SPA!C132</f>
        <v>2872332</v>
      </c>
      <c r="D132" s="108">
        <f>RESID!D132+COML!D132+IND!D132+SHL!D132+SPA!D132</f>
        <v>1205312</v>
      </c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>
        <f t="shared" si="43"/>
        <v>118660</v>
      </c>
      <c r="Z132" s="175">
        <f>RESID!Z132+COML!Z132+IND!Z132+SHL!Z132+SPA!Z132</f>
        <v>2714131</v>
      </c>
      <c r="AA132" s="108">
        <f t="shared" si="41"/>
        <v>-158201</v>
      </c>
      <c r="AB132" s="108">
        <f t="shared" si="42"/>
        <v>2714131</v>
      </c>
      <c r="BN132" s="4">
        <v>1993</v>
      </c>
      <c r="BO132" s="4">
        <v>8</v>
      </c>
    </row>
    <row r="133" spans="1:75">
      <c r="A133" s="4">
        <v>1993</v>
      </c>
      <c r="B133" s="4">
        <v>9</v>
      </c>
      <c r="C133" s="108">
        <f>RESID!C133+COML!C133+IND!C133+SHL!C133+SPA!C133</f>
        <v>2702520</v>
      </c>
      <c r="D133" s="108">
        <f>RESID!D133+COML!D133+IND!D133+SHL!D133+SPA!D133</f>
        <v>1209429</v>
      </c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>
        <f t="shared" si="43"/>
        <v>168756</v>
      </c>
      <c r="Z133" s="175">
        <f>RESID!Z133+COML!Z133+IND!Z133+SHL!Z133+SPA!Z133</f>
        <v>2724475</v>
      </c>
      <c r="AA133" s="108">
        <f t="shared" si="41"/>
        <v>21955</v>
      </c>
      <c r="AB133" s="108">
        <f t="shared" si="42"/>
        <v>2724475</v>
      </c>
      <c r="BN133" s="4">
        <v>1993</v>
      </c>
      <c r="BO133" s="4">
        <v>9</v>
      </c>
    </row>
    <row r="134" spans="1:75">
      <c r="A134" s="4">
        <v>1993</v>
      </c>
      <c r="B134" s="4">
        <v>10</v>
      </c>
      <c r="C134" s="108">
        <f>RESID!C134+COML!C134+IND!C134+SHL!C134+SPA!C134</f>
        <v>2414937</v>
      </c>
      <c r="D134" s="108">
        <f>RESID!D134+COML!D134+IND!D134+SHL!D134+SPA!D134</f>
        <v>1215988</v>
      </c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>
        <f t="shared" si="43"/>
        <v>85799</v>
      </c>
      <c r="Z134" s="175">
        <f>RESID!Z134+COML!Z134+IND!Z134+SHL!Z134+SPA!Z134</f>
        <v>2426504</v>
      </c>
      <c r="AA134" s="108">
        <f t="shared" si="41"/>
        <v>11567</v>
      </c>
      <c r="AB134" s="108">
        <f t="shared" si="42"/>
        <v>2426504</v>
      </c>
      <c r="BN134" s="4">
        <v>1993</v>
      </c>
      <c r="BO134" s="4">
        <v>10</v>
      </c>
      <c r="BP134" s="108"/>
      <c r="BQ134" s="108"/>
      <c r="BR134" s="108"/>
      <c r="BS134" s="108"/>
      <c r="BT134" s="175"/>
      <c r="BU134" s="108"/>
      <c r="BV134" s="108"/>
      <c r="BW134" s="108"/>
    </row>
    <row r="135" spans="1:75">
      <c r="A135" s="4">
        <v>1993</v>
      </c>
      <c r="B135" s="4">
        <v>11</v>
      </c>
      <c r="C135" s="108">
        <f>RESID!C135+COML!C135+IND!C135+SHL!C135+SPA!C135</f>
        <v>2042998</v>
      </c>
      <c r="D135" s="108">
        <f>RESID!D135+COML!D135+IND!D135+SHL!D135+SPA!D135</f>
        <v>1222876</v>
      </c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>
        <f t="shared" si="43"/>
        <v>43610</v>
      </c>
      <c r="Z135" s="175">
        <f>RESID!Z135+COML!Z135+IND!Z135+SHL!Z135+SPA!Z135</f>
        <v>2014634</v>
      </c>
      <c r="AA135" s="108">
        <f t="shared" si="41"/>
        <v>-28364</v>
      </c>
      <c r="AB135" s="108">
        <f t="shared" si="42"/>
        <v>2014634</v>
      </c>
      <c r="BN135" s="4">
        <v>1993</v>
      </c>
      <c r="BO135" s="4">
        <v>11</v>
      </c>
      <c r="BP135" s="108"/>
      <c r="BQ135" s="108"/>
      <c r="BR135" s="108"/>
      <c r="BS135" s="108"/>
      <c r="BT135" s="175"/>
      <c r="BU135" s="108"/>
      <c r="BV135" s="108"/>
      <c r="BW135" s="108"/>
    </row>
    <row r="136" spans="1:75" s="89" customFormat="1">
      <c r="A136" s="89">
        <v>1993</v>
      </c>
      <c r="B136" s="89">
        <v>12</v>
      </c>
      <c r="C136" s="117">
        <f>RESID!C136+COML!C136+IND!C136+SHL!C136+SPA!C136</f>
        <v>2079439</v>
      </c>
      <c r="D136" s="117">
        <f>RESID!D136+COML!D136+IND!D136+SHL!D136+SPA!D136</f>
        <v>1242513</v>
      </c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  <c r="V136" s="117"/>
      <c r="W136" s="117"/>
      <c r="X136" s="117"/>
      <c r="Y136" s="117">
        <f t="shared" si="43"/>
        <v>161317</v>
      </c>
      <c r="Z136" s="176">
        <f>RESID!Z136+COML!Z136+IND!Z136+SHL!Z136+SPA!Z136</f>
        <v>2103935</v>
      </c>
      <c r="AA136" s="117">
        <f t="shared" si="41"/>
        <v>24496</v>
      </c>
      <c r="AB136" s="117">
        <f t="shared" si="42"/>
        <v>2103935</v>
      </c>
      <c r="BN136" s="89">
        <v>1993</v>
      </c>
      <c r="BO136" s="89">
        <v>12</v>
      </c>
      <c r="BP136" s="117"/>
      <c r="BQ136" s="117"/>
      <c r="BR136" s="117"/>
      <c r="BS136" s="117"/>
      <c r="BT136" s="176"/>
      <c r="BU136" s="117"/>
      <c r="BV136" s="117"/>
      <c r="BW136" s="117"/>
    </row>
    <row r="137" spans="1:75">
      <c r="A137" s="4">
        <v>1994</v>
      </c>
      <c r="B137" s="4">
        <v>1</v>
      </c>
      <c r="C137" s="108">
        <f>RESID!C137+COML!C137+IND!C137+SHL!C137+SPA!C137</f>
        <v>2251415</v>
      </c>
      <c r="D137" s="108">
        <f>RESID!D137+COML!D137+IND!D137+SHL!D137+SPA!D137</f>
        <v>1249928</v>
      </c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>
        <f t="shared" si="43"/>
        <v>64818</v>
      </c>
      <c r="Z137" s="175">
        <f>RESID!Z137+COML!Z137+IND!Z137+SHL!Z137+SPA!Z137</f>
        <v>2119719</v>
      </c>
      <c r="AA137" s="108">
        <f t="shared" si="41"/>
        <v>-131696</v>
      </c>
      <c r="AB137" s="108">
        <f t="shared" si="42"/>
        <v>2119719</v>
      </c>
      <c r="BN137" s="4">
        <v>1994</v>
      </c>
      <c r="BO137" s="4">
        <v>1</v>
      </c>
      <c r="BP137" s="108"/>
      <c r="BQ137" s="108"/>
      <c r="BR137" s="108"/>
      <c r="BS137" s="108"/>
      <c r="BT137" s="175"/>
      <c r="BU137" s="108"/>
      <c r="BV137" s="108"/>
      <c r="BW137" s="108"/>
    </row>
    <row r="138" spans="1:75">
      <c r="A138" s="4">
        <v>1994</v>
      </c>
      <c r="B138" s="4">
        <v>2</v>
      </c>
      <c r="C138" s="108">
        <f>RESID!C138+COML!C138+IND!C138+SHL!C138+SPA!C138</f>
        <v>2080375</v>
      </c>
      <c r="D138" s="108">
        <f>RESID!D138+COML!D138+IND!D138+SHL!D138+SPA!D138</f>
        <v>1254853</v>
      </c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>
        <f t="shared" si="43"/>
        <v>35187</v>
      </c>
      <c r="Z138" s="175">
        <f>RESID!Z138+COML!Z138+IND!Z138+SHL!Z138+SPA!Z138</f>
        <v>2040294</v>
      </c>
      <c r="AA138" s="108">
        <f t="shared" si="41"/>
        <v>-40081</v>
      </c>
      <c r="AB138" s="108">
        <f t="shared" si="42"/>
        <v>2040294</v>
      </c>
      <c r="BN138" s="4">
        <v>1994</v>
      </c>
      <c r="BO138" s="4">
        <v>2</v>
      </c>
      <c r="BP138" s="108"/>
      <c r="BQ138" s="108"/>
      <c r="BR138" s="108"/>
      <c r="BS138" s="108"/>
      <c r="BT138" s="175"/>
      <c r="BU138" s="108"/>
      <c r="BV138" s="108"/>
      <c r="BW138" s="108"/>
    </row>
    <row r="139" spans="1:75">
      <c r="A139" s="4">
        <v>1994</v>
      </c>
      <c r="B139" s="4">
        <v>3</v>
      </c>
      <c r="C139" s="108">
        <f>RESID!C139+COML!C139+IND!C139+SHL!C139+SPA!C139</f>
        <v>1888803</v>
      </c>
      <c r="D139" s="108">
        <f>RESID!D139+COML!D139+IND!D139+SHL!D139+SPA!D139</f>
        <v>1257546</v>
      </c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>
        <f t="shared" si="43"/>
        <v>14954</v>
      </c>
      <c r="Z139" s="175">
        <f>RESID!Z139+COML!Z139+IND!Z139+SHL!Z139+SPA!Z139</f>
        <v>1959593</v>
      </c>
      <c r="AA139" s="108">
        <f t="shared" si="41"/>
        <v>70790</v>
      </c>
      <c r="AB139" s="108">
        <f t="shared" si="42"/>
        <v>1959593</v>
      </c>
      <c r="BN139" s="4">
        <v>1994</v>
      </c>
      <c r="BO139" s="4">
        <v>3</v>
      </c>
      <c r="BP139" s="108"/>
      <c r="BQ139" s="108"/>
      <c r="BR139" s="108"/>
      <c r="BS139" s="108"/>
      <c r="BT139" s="175"/>
      <c r="BU139" s="108"/>
      <c r="BV139" s="108"/>
      <c r="BW139" s="108"/>
    </row>
    <row r="140" spans="1:75">
      <c r="A140" s="4">
        <v>1994</v>
      </c>
      <c r="B140" s="4">
        <v>4</v>
      </c>
      <c r="C140" s="108">
        <f>RESID!C140+COML!C140+IND!C140+SHL!C140+SPA!C140</f>
        <v>2168302</v>
      </c>
      <c r="D140" s="108">
        <f>RESID!D140+COML!D140+IND!D140+SHL!D140+SPA!D140</f>
        <v>1248161</v>
      </c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>
        <f t="shared" si="43"/>
        <v>111755</v>
      </c>
      <c r="Z140" s="175">
        <f>RESID!Z140+COML!Z140+IND!Z140+SHL!Z140+SPA!Z140</f>
        <v>2068190</v>
      </c>
      <c r="AA140" s="108">
        <f t="shared" si="41"/>
        <v>-100112</v>
      </c>
      <c r="AB140" s="108">
        <f t="shared" si="42"/>
        <v>2068190</v>
      </c>
      <c r="BN140" s="4">
        <v>1994</v>
      </c>
      <c r="BO140" s="4">
        <v>4</v>
      </c>
      <c r="BP140" s="108"/>
      <c r="BQ140" s="108"/>
      <c r="BR140" s="108"/>
      <c r="BS140" s="108"/>
      <c r="BT140" s="175"/>
      <c r="BU140" s="108"/>
      <c r="BV140" s="108"/>
      <c r="BW140" s="108"/>
    </row>
    <row r="141" spans="1:75">
      <c r="A141" s="4">
        <v>1994</v>
      </c>
      <c r="B141" s="4">
        <v>5</v>
      </c>
      <c r="C141" s="108">
        <f>RESID!C141+COML!C141+IND!C141+SHL!C141+SPA!C141</f>
        <v>2243428</v>
      </c>
      <c r="D141" s="108">
        <f>RESID!D141+COML!D141+IND!D141+SHL!D141+SPA!D141</f>
        <v>1232380</v>
      </c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>
        <f t="shared" si="43"/>
        <v>7294</v>
      </c>
      <c r="Z141" s="175">
        <f>RESID!Z141+COML!Z141+IND!Z141+SHL!Z141+SPA!Z141</f>
        <v>2072477</v>
      </c>
      <c r="AA141" s="108">
        <f t="shared" si="41"/>
        <v>-170951</v>
      </c>
      <c r="AB141" s="108">
        <f t="shared" si="42"/>
        <v>2072477</v>
      </c>
      <c r="BN141" s="4">
        <v>1994</v>
      </c>
      <c r="BO141" s="4">
        <v>5</v>
      </c>
      <c r="BP141" s="108"/>
      <c r="BQ141" s="108"/>
      <c r="BR141" s="108"/>
      <c r="BS141" s="108"/>
      <c r="BT141" s="175"/>
      <c r="BU141" s="108"/>
      <c r="BV141" s="108"/>
      <c r="BW141" s="108"/>
    </row>
    <row r="142" spans="1:75">
      <c r="A142" s="4">
        <v>1994</v>
      </c>
      <c r="B142" s="4">
        <v>6</v>
      </c>
      <c r="C142" s="108">
        <f>RESID!C142+COML!C142+IND!C142+SHL!C142+SPA!C142</f>
        <v>2474812</v>
      </c>
      <c r="D142" s="108">
        <f>RESID!D142+COML!D142+IND!D142+SHL!D142+SPA!D142</f>
        <v>1228882</v>
      </c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>
        <f t="shared" si="43"/>
        <v>97480</v>
      </c>
      <c r="Z142" s="175">
        <f>RESID!Z142+COML!Z142+IND!Z142+SHL!Z142+SPA!Z142</f>
        <v>2545668</v>
      </c>
      <c r="AA142" s="108">
        <f t="shared" si="41"/>
        <v>70856</v>
      </c>
      <c r="AB142" s="108">
        <f t="shared" si="42"/>
        <v>2545668</v>
      </c>
      <c r="BN142" s="4">
        <v>1994</v>
      </c>
      <c r="BO142" s="4">
        <v>6</v>
      </c>
      <c r="BP142" s="108"/>
      <c r="BQ142" s="108"/>
      <c r="BR142" s="108"/>
      <c r="BS142" s="108"/>
      <c r="BT142" s="175"/>
      <c r="BU142" s="108"/>
      <c r="BV142" s="108"/>
      <c r="BW142" s="108"/>
    </row>
    <row r="143" spans="1:75">
      <c r="A143" s="4">
        <v>1994</v>
      </c>
      <c r="B143" s="4">
        <v>7</v>
      </c>
      <c r="C143" s="108">
        <f>RESID!C143+COML!C143+IND!C143+SHL!C143+SPA!C143</f>
        <v>2706151</v>
      </c>
      <c r="D143" s="108">
        <f>RESID!D143+COML!D143+IND!D143+SHL!D143+SPA!D143</f>
        <v>1228896</v>
      </c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>
        <f t="shared" si="43"/>
        <v>85573</v>
      </c>
      <c r="Z143" s="175">
        <f>RESID!Z143+COML!Z143+IND!Z143+SHL!Z143+SPA!Z143</f>
        <v>2656443</v>
      </c>
      <c r="AA143" s="108">
        <f t="shared" si="41"/>
        <v>-49708</v>
      </c>
      <c r="AB143" s="108">
        <f t="shared" si="42"/>
        <v>2656443</v>
      </c>
      <c r="BN143" s="4">
        <v>1994</v>
      </c>
      <c r="BO143" s="4">
        <v>7</v>
      </c>
      <c r="BP143" s="108"/>
      <c r="BQ143" s="108"/>
      <c r="BR143" s="108"/>
      <c r="BS143" s="108"/>
      <c r="BT143" s="175"/>
      <c r="BU143" s="108"/>
      <c r="BV143" s="108"/>
      <c r="BW143" s="108"/>
    </row>
    <row r="144" spans="1:75">
      <c r="A144" s="4">
        <v>1994</v>
      </c>
      <c r="B144" s="4">
        <v>8</v>
      </c>
      <c r="C144" s="108">
        <f>RESID!C144+COML!C144+IND!C144+SHL!C144+SPA!C144</f>
        <v>2587144</v>
      </c>
      <c r="D144" s="108">
        <f>RESID!D144+COML!D144+IND!D144+SHL!D144+SPA!D144</f>
        <v>1230100</v>
      </c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>
        <f t="shared" si="43"/>
        <v>38159</v>
      </c>
      <c r="Z144" s="175">
        <f>RESID!Z144+COML!Z144+IND!Z144+SHL!Z144+SPA!Z144</f>
        <v>2752290</v>
      </c>
      <c r="AA144" s="108">
        <f t="shared" si="41"/>
        <v>165146</v>
      </c>
      <c r="AB144" s="108">
        <f t="shared" si="42"/>
        <v>2752290</v>
      </c>
      <c r="BN144" s="4">
        <v>1994</v>
      </c>
      <c r="BO144" s="4">
        <v>8</v>
      </c>
      <c r="BP144" s="108"/>
      <c r="BQ144" s="108"/>
      <c r="BR144" s="108"/>
      <c r="BS144" s="108"/>
      <c r="BT144" s="175"/>
      <c r="BU144" s="108"/>
      <c r="BV144" s="108"/>
      <c r="BW144" s="108"/>
    </row>
    <row r="145" spans="1:75">
      <c r="A145" s="4">
        <v>1994</v>
      </c>
      <c r="B145" s="4">
        <v>9</v>
      </c>
      <c r="C145" s="108">
        <f>RESID!C145+COML!C145+IND!C145+SHL!C145+SPA!C145</f>
        <v>2720955</v>
      </c>
      <c r="D145" s="108">
        <f>RESID!D145+COML!D145+IND!D145+SHL!D145+SPA!D145</f>
        <v>1232990</v>
      </c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>
        <f t="shared" si="43"/>
        <v>121156</v>
      </c>
      <c r="Z145" s="175">
        <f>RESID!Z145+COML!Z145+IND!Z145+SHL!Z145+SPA!Z145</f>
        <v>2845631</v>
      </c>
      <c r="AA145" s="108">
        <f t="shared" ref="AA145:AA208" si="44">Z145-C145</f>
        <v>124676</v>
      </c>
      <c r="AB145" s="108">
        <f t="shared" si="42"/>
        <v>2845631</v>
      </c>
      <c r="BN145" s="4">
        <v>1994</v>
      </c>
      <c r="BO145" s="4">
        <v>9</v>
      </c>
      <c r="BP145" s="108"/>
      <c r="BQ145" s="108"/>
      <c r="BR145" s="108"/>
      <c r="BS145" s="108"/>
      <c r="BT145" s="175"/>
      <c r="BU145" s="108"/>
      <c r="BV145" s="108"/>
      <c r="BW145" s="108"/>
    </row>
    <row r="146" spans="1:75">
      <c r="A146" s="4">
        <v>1994</v>
      </c>
      <c r="B146" s="4">
        <v>10</v>
      </c>
      <c r="C146" s="108">
        <f>RESID!C146+COML!C146+IND!C146+SHL!C146+SPA!C146</f>
        <v>2363138</v>
      </c>
      <c r="D146" s="108">
        <f>RESID!D146+COML!D146+IND!D146+SHL!D146+SPA!D146</f>
        <v>1240075</v>
      </c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>
        <f t="shared" si="43"/>
        <v>97945</v>
      </c>
      <c r="Z146" s="175">
        <f>RESID!Z146+COML!Z146+IND!Z146+SHL!Z146+SPA!Z146</f>
        <v>2524449</v>
      </c>
      <c r="AA146" s="108">
        <f t="shared" si="44"/>
        <v>161311</v>
      </c>
      <c r="AB146" s="108">
        <f t="shared" ref="AB146:AB208" si="45">Z146</f>
        <v>2524449</v>
      </c>
      <c r="BN146" s="4">
        <v>1994</v>
      </c>
      <c r="BO146" s="4">
        <v>10</v>
      </c>
      <c r="BP146" s="108"/>
      <c r="BQ146" s="108"/>
      <c r="BR146" s="108"/>
      <c r="BS146" s="108"/>
      <c r="BT146" s="175"/>
      <c r="BU146" s="108"/>
      <c r="BV146" s="108"/>
      <c r="BW146" s="108"/>
    </row>
    <row r="147" spans="1:75">
      <c r="A147" s="4">
        <v>1994</v>
      </c>
      <c r="B147" s="4">
        <v>11</v>
      </c>
      <c r="C147" s="108">
        <f>RESID!C147+COML!C147+IND!C147+SHL!C147+SPA!C147</f>
        <v>2118540</v>
      </c>
      <c r="D147" s="108">
        <f>RESID!D147+COML!D147+IND!D147+SHL!D147+SPA!D147</f>
        <v>1255412</v>
      </c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>
        <f t="shared" si="43"/>
        <v>92160</v>
      </c>
      <c r="Z147" s="175">
        <f>RESID!Z147+COML!Z147+IND!Z147+SHL!Z147+SPA!Z147</f>
        <v>2106794</v>
      </c>
      <c r="AA147" s="108">
        <f t="shared" si="44"/>
        <v>-11746</v>
      </c>
      <c r="AB147" s="108">
        <f t="shared" si="45"/>
        <v>2106794</v>
      </c>
      <c r="BN147" s="4">
        <v>1994</v>
      </c>
      <c r="BO147" s="4">
        <v>11</v>
      </c>
      <c r="BP147" s="108"/>
      <c r="BQ147" s="108"/>
      <c r="BR147" s="108"/>
      <c r="BS147" s="108"/>
      <c r="BT147" s="175"/>
      <c r="BU147" s="108"/>
      <c r="BV147" s="108"/>
      <c r="BW147" s="108"/>
    </row>
    <row r="148" spans="1:75" s="89" customFormat="1">
      <c r="A148" s="89">
        <v>1994</v>
      </c>
      <c r="B148" s="89">
        <v>12</v>
      </c>
      <c r="C148" s="117">
        <f>RESID!C148+COML!C148+IND!C148+SHL!C148+SPA!C148</f>
        <v>2074922</v>
      </c>
      <c r="D148" s="117">
        <f>RESID!D148+COML!D148+IND!D148+SHL!D148+SPA!D148</f>
        <v>1267286</v>
      </c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  <c r="V148" s="117"/>
      <c r="W148" s="117"/>
      <c r="X148" s="117"/>
      <c r="Y148" s="117">
        <f t="shared" si="43"/>
        <v>-5341</v>
      </c>
      <c r="Z148" s="176">
        <f>RESID!Z148+COML!Z148+IND!Z148+SHL!Z148+SPA!Z148</f>
        <v>2098594</v>
      </c>
      <c r="AA148" s="117">
        <f t="shared" si="44"/>
        <v>23672</v>
      </c>
      <c r="AB148" s="117">
        <f t="shared" si="45"/>
        <v>2098594</v>
      </c>
      <c r="BN148" s="89">
        <v>1994</v>
      </c>
      <c r="BO148" s="89">
        <v>12</v>
      </c>
      <c r="BP148" s="117"/>
      <c r="BQ148" s="117"/>
      <c r="BR148" s="117"/>
      <c r="BS148" s="117"/>
      <c r="BT148" s="176"/>
      <c r="BU148" s="117"/>
      <c r="BV148" s="117"/>
      <c r="BW148" s="117"/>
    </row>
    <row r="149" spans="1:75">
      <c r="A149" s="4">
        <v>1995</v>
      </c>
      <c r="B149" s="4">
        <v>1</v>
      </c>
      <c r="C149" s="108">
        <f>RESID!C149+COML!C149+IND!C149+SHL!C149+SPA!C149</f>
        <v>2138811</v>
      </c>
      <c r="D149" s="108">
        <f>RESID!D149+COML!D149+IND!D149+SHL!D149+SPA!D149</f>
        <v>1275722</v>
      </c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>
        <f t="shared" si="43"/>
        <v>126767</v>
      </c>
      <c r="Z149" s="175">
        <f>RESID!Z149+COML!Z149+IND!Z149+SHL!Z149+SPA!Z149</f>
        <v>2246486</v>
      </c>
      <c r="AA149" s="108">
        <f t="shared" si="44"/>
        <v>107675</v>
      </c>
      <c r="AB149" s="108">
        <f t="shared" si="45"/>
        <v>2246486</v>
      </c>
      <c r="BN149" s="4">
        <v>1995</v>
      </c>
      <c r="BO149" s="4">
        <v>1</v>
      </c>
      <c r="BP149" s="108"/>
      <c r="BQ149" s="108"/>
      <c r="BR149" s="108"/>
      <c r="BS149" s="108"/>
      <c r="BT149" s="175"/>
      <c r="BU149" s="108"/>
      <c r="BV149" s="108"/>
      <c r="BW149" s="108"/>
    </row>
    <row r="150" spans="1:75">
      <c r="A150" s="4">
        <v>1995</v>
      </c>
      <c r="B150" s="4">
        <v>2</v>
      </c>
      <c r="C150" s="108">
        <f>RESID!C150+COML!C150+IND!C150+SHL!C150+SPA!C150</f>
        <v>2262104</v>
      </c>
      <c r="D150" s="108">
        <f>RESID!D150+COML!D150+IND!D150+SHL!D150+SPA!D150</f>
        <v>1280232</v>
      </c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>
        <f t="shared" si="43"/>
        <v>62843</v>
      </c>
      <c r="Z150" s="175">
        <f>RESID!Z150+COML!Z150+IND!Z150+SHL!Z150+SPA!Z150</f>
        <v>2103137</v>
      </c>
      <c r="AA150" s="108">
        <f t="shared" si="44"/>
        <v>-158967</v>
      </c>
      <c r="AB150" s="108">
        <f t="shared" si="45"/>
        <v>2103137</v>
      </c>
      <c r="BN150" s="4">
        <v>1995</v>
      </c>
      <c r="BO150" s="4">
        <v>2</v>
      </c>
      <c r="BP150" s="108"/>
      <c r="BQ150" s="108"/>
      <c r="BR150" s="108"/>
      <c r="BS150" s="108"/>
      <c r="BT150" s="175"/>
      <c r="BU150" s="108"/>
      <c r="BV150" s="108"/>
      <c r="BW150" s="108"/>
    </row>
    <row r="151" spans="1:75">
      <c r="A151" s="4">
        <v>1995</v>
      </c>
      <c r="B151" s="4">
        <v>3</v>
      </c>
      <c r="C151" s="108">
        <f>RESID!C151+COML!C151+IND!C151+SHL!C151+SPA!C151</f>
        <v>1993321</v>
      </c>
      <c r="D151" s="108">
        <f>RESID!D151+COML!D151+IND!D151+SHL!D151+SPA!D151</f>
        <v>1257001</v>
      </c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>
        <f t="shared" si="43"/>
        <v>61065</v>
      </c>
      <c r="Z151" s="175">
        <f>RESID!Z151+COML!Z151+IND!Z151+SHL!Z151+SPA!Z151</f>
        <v>2020658</v>
      </c>
      <c r="AA151" s="108">
        <f t="shared" si="44"/>
        <v>27337</v>
      </c>
      <c r="AB151" s="108">
        <f t="shared" si="45"/>
        <v>2020658</v>
      </c>
      <c r="BN151" s="4">
        <v>1995</v>
      </c>
      <c r="BO151" s="4">
        <v>3</v>
      </c>
      <c r="BP151" s="108"/>
      <c r="BQ151" s="108"/>
      <c r="BR151" s="108"/>
      <c r="BS151" s="108"/>
      <c r="BT151" s="175"/>
      <c r="BU151" s="108"/>
      <c r="BV151" s="108"/>
      <c r="BW151" s="108"/>
    </row>
    <row r="152" spans="1:75">
      <c r="A152" s="4">
        <v>1995</v>
      </c>
      <c r="B152" s="4">
        <v>4</v>
      </c>
      <c r="C152" s="108">
        <f>RESID!C152+COML!C152+IND!C152+SHL!C152+SPA!C152</f>
        <v>2173847</v>
      </c>
      <c r="D152" s="108">
        <f>RESID!D152+COML!D152+IND!D152+SHL!D152+SPA!D152</f>
        <v>1331653</v>
      </c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>
        <f t="shared" si="43"/>
        <v>152789</v>
      </c>
      <c r="Z152" s="175">
        <f>RESID!Z152+COML!Z152+IND!Z152+SHL!Z152+SPA!Z152</f>
        <v>2220979</v>
      </c>
      <c r="AA152" s="108">
        <f t="shared" si="44"/>
        <v>47132</v>
      </c>
      <c r="AB152" s="108">
        <f t="shared" si="45"/>
        <v>2220979</v>
      </c>
      <c r="BN152" s="4">
        <v>1995</v>
      </c>
      <c r="BO152" s="4">
        <v>4</v>
      </c>
      <c r="BP152" s="108"/>
      <c r="BQ152" s="108"/>
      <c r="BR152" s="108"/>
      <c r="BS152" s="108"/>
      <c r="BT152" s="175"/>
      <c r="BU152" s="108"/>
      <c r="BV152" s="108"/>
      <c r="BW152" s="108"/>
    </row>
    <row r="153" spans="1:75">
      <c r="A153" s="4">
        <v>1995</v>
      </c>
      <c r="B153" s="4">
        <v>5</v>
      </c>
      <c r="C153" s="108">
        <f>RESID!C153+COML!C153+IND!C153+SHL!C153+SPA!C153</f>
        <v>2356442</v>
      </c>
      <c r="D153" s="108">
        <f>RESID!D153+COML!D153+IND!D153+SHL!D153+SPA!D153</f>
        <v>1238508</v>
      </c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>
        <f t="shared" si="43"/>
        <v>93949</v>
      </c>
      <c r="Z153" s="175">
        <f>RESID!Z153+COML!Z153+IND!Z153+SHL!Z153+SPA!Z153</f>
        <v>2166426</v>
      </c>
      <c r="AA153" s="108">
        <f t="shared" si="44"/>
        <v>-190016</v>
      </c>
      <c r="AB153" s="108">
        <f t="shared" si="45"/>
        <v>2166426</v>
      </c>
      <c r="BN153" s="4">
        <v>1995</v>
      </c>
      <c r="BO153" s="4">
        <v>5</v>
      </c>
      <c r="BP153" s="108"/>
      <c r="BQ153" s="108"/>
      <c r="BR153" s="108"/>
      <c r="BS153" s="108"/>
      <c r="BT153" s="175"/>
      <c r="BU153" s="108"/>
      <c r="BV153" s="108"/>
      <c r="BW153" s="108"/>
    </row>
    <row r="154" spans="1:75">
      <c r="A154" s="4">
        <v>1995</v>
      </c>
      <c r="B154" s="4">
        <v>6</v>
      </c>
      <c r="C154" s="108">
        <f>RESID!C154+COML!C154+IND!C154+SHL!C154+SPA!C154</f>
        <v>2811877</v>
      </c>
      <c r="D154" s="108">
        <f>RESID!D154+COML!D154+IND!D154+SHL!D154+SPA!D154</f>
        <v>1262739</v>
      </c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>
        <f t="shared" si="43"/>
        <v>153460</v>
      </c>
      <c r="Z154" s="175">
        <f>RESID!Z154+COML!Z154+IND!Z154+SHL!Z154+SPA!Z154</f>
        <v>2699128</v>
      </c>
      <c r="AA154" s="108">
        <f t="shared" si="44"/>
        <v>-112749</v>
      </c>
      <c r="AB154" s="108">
        <f t="shared" si="45"/>
        <v>2699128</v>
      </c>
      <c r="BN154" s="4">
        <v>1995</v>
      </c>
      <c r="BO154" s="4">
        <v>6</v>
      </c>
      <c r="BP154" s="108"/>
      <c r="BQ154" s="108"/>
      <c r="BR154" s="108"/>
      <c r="BS154" s="108"/>
      <c r="BT154" s="175"/>
      <c r="BU154" s="108"/>
      <c r="BV154" s="108"/>
      <c r="BW154" s="108"/>
    </row>
    <row r="155" spans="1:75">
      <c r="A155" s="4">
        <v>1995</v>
      </c>
      <c r="B155" s="4">
        <v>7</v>
      </c>
      <c r="C155" s="108">
        <f>RESID!C155+COML!C155+IND!C155+SHL!C155+SPA!C155</f>
        <v>2747208</v>
      </c>
      <c r="D155" s="108">
        <f>RESID!D155+COML!D155+IND!D155+SHL!D155+SPA!D155</f>
        <v>1238767</v>
      </c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>
        <f t="shared" si="43"/>
        <v>177924</v>
      </c>
      <c r="Z155" s="175">
        <f>RESID!Z155+COML!Z155+IND!Z155+SHL!Z155+SPA!Z155</f>
        <v>2834367</v>
      </c>
      <c r="AA155" s="108">
        <f t="shared" si="44"/>
        <v>87159</v>
      </c>
      <c r="AB155" s="108">
        <f t="shared" si="45"/>
        <v>2834367</v>
      </c>
      <c r="BN155" s="4">
        <v>1995</v>
      </c>
      <c r="BO155" s="4">
        <v>7</v>
      </c>
      <c r="BP155" s="108"/>
      <c r="BQ155" s="108"/>
      <c r="BR155" s="108"/>
      <c r="BS155" s="108"/>
      <c r="BT155" s="175"/>
      <c r="BU155" s="108"/>
      <c r="BV155" s="108"/>
      <c r="BW155" s="108"/>
    </row>
    <row r="156" spans="1:75">
      <c r="A156" s="4">
        <v>1995</v>
      </c>
      <c r="B156" s="4">
        <v>8</v>
      </c>
      <c r="C156" s="108">
        <f>RESID!C156+COML!C156+IND!C156+SHL!C156+SPA!C156</f>
        <v>2824992</v>
      </c>
      <c r="D156" s="108">
        <f>RESID!D156+COML!D156+IND!D156+SHL!D156+SPA!D156</f>
        <v>1241657</v>
      </c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>
        <f t="shared" si="43"/>
        <v>173364</v>
      </c>
      <c r="Z156" s="175">
        <f>RESID!Z156+COML!Z156+IND!Z156+SHL!Z156+SPA!Z156</f>
        <v>2925654</v>
      </c>
      <c r="AA156" s="108">
        <f t="shared" si="44"/>
        <v>100662</v>
      </c>
      <c r="AB156" s="108">
        <f t="shared" si="45"/>
        <v>2925654</v>
      </c>
      <c r="BN156" s="4">
        <v>1995</v>
      </c>
      <c r="BO156" s="4">
        <v>8</v>
      </c>
      <c r="BP156" s="108"/>
      <c r="BQ156" s="108"/>
      <c r="BR156" s="108"/>
      <c r="BS156" s="108"/>
      <c r="BT156" s="175"/>
      <c r="BU156" s="108"/>
      <c r="BV156" s="108"/>
      <c r="BW156" s="108"/>
    </row>
    <row r="157" spans="1:75">
      <c r="A157" s="4">
        <v>1995</v>
      </c>
      <c r="B157" s="4">
        <v>9</v>
      </c>
      <c r="C157" s="108">
        <f>RESID!C157+COML!C157+IND!C157+SHL!C157+SPA!C157</f>
        <v>3039452</v>
      </c>
      <c r="D157" s="108">
        <f>RESID!D157+COML!D157+IND!D157+SHL!D157+SPA!D157</f>
        <v>1284437</v>
      </c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>
        <f t="shared" ref="Y157:Y220" si="46">Z157-Z145</f>
        <v>171106</v>
      </c>
      <c r="Z157" s="175">
        <f>RESID!Z157+COML!Z157+IND!Z157+SHL!Z157+SPA!Z157</f>
        <v>3016737</v>
      </c>
      <c r="AA157" s="108">
        <f t="shared" si="44"/>
        <v>-22715</v>
      </c>
      <c r="AB157" s="108">
        <f t="shared" si="45"/>
        <v>3016737</v>
      </c>
      <c r="BN157" s="4">
        <v>1995</v>
      </c>
      <c r="BO157" s="4">
        <v>9</v>
      </c>
      <c r="BP157" s="108"/>
      <c r="BQ157" s="108"/>
      <c r="BR157" s="108"/>
      <c r="BS157" s="108"/>
      <c r="BT157" s="175"/>
      <c r="BU157" s="108"/>
      <c r="BV157" s="108"/>
      <c r="BW157" s="108"/>
    </row>
    <row r="158" spans="1:75">
      <c r="A158" s="4">
        <v>1995</v>
      </c>
      <c r="B158" s="4">
        <v>10</v>
      </c>
      <c r="C158" s="108">
        <f>RESID!C158+COML!C158+IND!C158+SHL!C158+SPA!C158</f>
        <v>2693817</v>
      </c>
      <c r="D158" s="108">
        <f>RESID!D158+COML!D158+IND!D158+SHL!D158+SPA!D158</f>
        <v>1264448</v>
      </c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>
        <f t="shared" si="46"/>
        <v>66219</v>
      </c>
      <c r="Z158" s="175">
        <f>RESID!Z158+COML!Z158+IND!Z158+SHL!Z158+SPA!Z158</f>
        <v>2590668</v>
      </c>
      <c r="AA158" s="108">
        <f t="shared" si="44"/>
        <v>-103149</v>
      </c>
      <c r="AB158" s="108">
        <f t="shared" si="45"/>
        <v>2590668</v>
      </c>
      <c r="BN158" s="4">
        <v>1995</v>
      </c>
      <c r="BO158" s="4">
        <v>10</v>
      </c>
      <c r="BP158" s="108"/>
      <c r="BQ158" s="108"/>
      <c r="BR158" s="108"/>
      <c r="BS158" s="108"/>
      <c r="BT158" s="175"/>
      <c r="BU158" s="108"/>
      <c r="BV158" s="108"/>
      <c r="BW158" s="108"/>
    </row>
    <row r="159" spans="1:75">
      <c r="A159" s="4">
        <v>1995</v>
      </c>
      <c r="B159" s="4">
        <v>11</v>
      </c>
      <c r="C159" s="108">
        <f>RESID!C159+COML!C159+IND!C159+SHL!C159+SPA!C159</f>
        <v>2319626</v>
      </c>
      <c r="D159" s="108">
        <f>RESID!D159+COML!D159+IND!D159+SHL!D159+SPA!D159</f>
        <v>1312008</v>
      </c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>
        <f t="shared" si="46"/>
        <v>169913</v>
      </c>
      <c r="Z159" s="175">
        <f>RESID!Z159+COML!Z159+IND!Z159+SHL!Z159+SPA!Z159</f>
        <v>2276707</v>
      </c>
      <c r="AA159" s="108">
        <f t="shared" si="44"/>
        <v>-42919</v>
      </c>
      <c r="AB159" s="108">
        <f t="shared" si="45"/>
        <v>2276707</v>
      </c>
      <c r="BN159" s="4">
        <v>1995</v>
      </c>
      <c r="BO159" s="4">
        <v>11</v>
      </c>
      <c r="BP159" s="108"/>
      <c r="BQ159" s="108"/>
      <c r="BR159" s="108"/>
      <c r="BS159" s="108"/>
      <c r="BT159" s="175"/>
      <c r="BU159" s="108"/>
      <c r="BV159" s="108"/>
      <c r="BW159" s="108"/>
    </row>
    <row r="160" spans="1:75" s="89" customFormat="1">
      <c r="A160" s="89">
        <v>1995</v>
      </c>
      <c r="B160" s="89">
        <v>12</v>
      </c>
      <c r="C160" s="117">
        <f>RESID!C160+COML!C160+IND!C160+SHL!C160+SPA!C160</f>
        <v>2137976</v>
      </c>
      <c r="D160" s="117">
        <f>RESID!D160+COML!D160+IND!D160+SHL!D160+SPA!D160</f>
        <v>1274049</v>
      </c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>
        <f t="shared" si="46"/>
        <v>68754</v>
      </c>
      <c r="Z160" s="176">
        <f>RESID!Z160+COML!Z160+IND!Z160+SHL!Z160+SPA!Z160</f>
        <v>2167348</v>
      </c>
      <c r="AA160" s="117">
        <f t="shared" si="44"/>
        <v>29372</v>
      </c>
      <c r="AB160" s="117">
        <f t="shared" si="45"/>
        <v>2167348</v>
      </c>
      <c r="BN160" s="89">
        <v>1995</v>
      </c>
      <c r="BO160" s="89">
        <v>12</v>
      </c>
      <c r="BP160" s="117"/>
      <c r="BQ160" s="117"/>
      <c r="BR160" s="117"/>
      <c r="BS160" s="117"/>
      <c r="BT160" s="176"/>
      <c r="BU160" s="117"/>
      <c r="BV160" s="117"/>
      <c r="BW160" s="117"/>
    </row>
    <row r="161" spans="1:75">
      <c r="A161" s="4">
        <v>1996</v>
      </c>
      <c r="B161" s="4">
        <v>1</v>
      </c>
      <c r="C161" s="108">
        <f>RESID!C161+COML!C161+IND!C161+SHL!C161+SPA!C161</f>
        <v>2511387</v>
      </c>
      <c r="D161" s="108">
        <f>RESID!D161+COML!D161+IND!D161+SHL!D161+SPA!D161</f>
        <v>1282536</v>
      </c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>
        <f t="shared" si="46"/>
        <v>-61757</v>
      </c>
      <c r="Z161" s="175">
        <f>RESID!Z161+COML!Z161+IND!Z161+SHL!Z161+SPA!Z161</f>
        <v>2184729</v>
      </c>
      <c r="AA161" s="108">
        <f t="shared" si="44"/>
        <v>-326658</v>
      </c>
      <c r="AB161" s="108">
        <f t="shared" si="45"/>
        <v>2184729</v>
      </c>
      <c r="BN161" s="4">
        <v>1996</v>
      </c>
      <c r="BO161" s="4">
        <v>1</v>
      </c>
      <c r="BP161" s="108"/>
      <c r="BQ161" s="108"/>
      <c r="BR161" s="108"/>
      <c r="BS161" s="108"/>
      <c r="BT161" s="175"/>
      <c r="BU161" s="108"/>
      <c r="BV161" s="108"/>
      <c r="BW161" s="108"/>
    </row>
    <row r="162" spans="1:75">
      <c r="A162" s="4">
        <v>1996</v>
      </c>
      <c r="B162" s="4">
        <v>2</v>
      </c>
      <c r="C162" s="108">
        <f>RESID!C162+COML!C162+IND!C162+SHL!C162+SPA!C162</f>
        <v>2469884</v>
      </c>
      <c r="D162" s="108">
        <f>RESID!D162+COML!D162+IND!D162+SHL!D162+SPA!D162</f>
        <v>1307161</v>
      </c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>
        <f t="shared" si="46"/>
        <v>145154</v>
      </c>
      <c r="Z162" s="175">
        <f>RESID!Z162+COML!Z162+IND!Z162+SHL!Z162+SPA!Z162</f>
        <v>2248291</v>
      </c>
      <c r="AA162" s="108">
        <f t="shared" si="44"/>
        <v>-221593</v>
      </c>
      <c r="AB162" s="108">
        <f t="shared" si="45"/>
        <v>2248291</v>
      </c>
      <c r="BN162" s="4">
        <v>1996</v>
      </c>
      <c r="BO162" s="4">
        <v>2</v>
      </c>
      <c r="BP162" s="108"/>
      <c r="BQ162" s="108"/>
      <c r="BR162" s="108"/>
      <c r="BS162" s="108"/>
      <c r="BT162" s="175"/>
      <c r="BU162" s="108"/>
      <c r="BV162" s="108"/>
      <c r="BW162" s="108"/>
    </row>
    <row r="163" spans="1:75">
      <c r="A163" s="4">
        <v>1996</v>
      </c>
      <c r="B163" s="4">
        <v>3</v>
      </c>
      <c r="C163" s="108">
        <f>RESID!C163+COML!C163+IND!C163+SHL!C163+SPA!C163</f>
        <v>2308791</v>
      </c>
      <c r="D163" s="108">
        <f>RESID!D163+COML!D163+IND!D163+SHL!D163+SPA!D163</f>
        <v>1300619</v>
      </c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>
        <f t="shared" si="46"/>
        <v>119041</v>
      </c>
      <c r="Z163" s="175">
        <f>RESID!Z163+COML!Z163+IND!Z163+SHL!Z163+SPA!Z163</f>
        <v>2139699</v>
      </c>
      <c r="AA163" s="108">
        <f t="shared" si="44"/>
        <v>-169092</v>
      </c>
      <c r="AB163" s="108">
        <f t="shared" si="45"/>
        <v>2139699</v>
      </c>
      <c r="BN163" s="4">
        <v>1996</v>
      </c>
      <c r="BO163" s="4">
        <v>3</v>
      </c>
      <c r="BP163" s="108"/>
      <c r="BQ163" s="108"/>
      <c r="BR163" s="108"/>
      <c r="BS163" s="108"/>
      <c r="BT163" s="175"/>
      <c r="BU163" s="108"/>
      <c r="BV163" s="108"/>
      <c r="BW163" s="108"/>
    </row>
    <row r="164" spans="1:75">
      <c r="A164" s="4">
        <v>1996</v>
      </c>
      <c r="B164" s="4">
        <v>4</v>
      </c>
      <c r="C164" s="108">
        <f>RESID!C164+COML!C164+IND!C164+SHL!C164+SPA!C164</f>
        <v>2222507</v>
      </c>
      <c r="D164" s="108">
        <f>RESID!D164+COML!D164+IND!D164+SHL!D164+SPA!D164</f>
        <v>1293739</v>
      </c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>
        <f t="shared" si="46"/>
        <v>-40993</v>
      </c>
      <c r="Z164" s="175">
        <f>RESID!Z164+COML!Z164+IND!Z164+SHL!Z164+SPA!Z164</f>
        <v>2179986</v>
      </c>
      <c r="AA164" s="108">
        <f t="shared" si="44"/>
        <v>-42521</v>
      </c>
      <c r="AB164" s="108">
        <f t="shared" si="45"/>
        <v>2179986</v>
      </c>
      <c r="BN164" s="4">
        <v>1996</v>
      </c>
      <c r="BO164" s="4">
        <v>4</v>
      </c>
      <c r="BP164" s="108"/>
      <c r="BQ164" s="108"/>
      <c r="BR164" s="108"/>
      <c r="BS164" s="108"/>
      <c r="BT164" s="175"/>
      <c r="BU164" s="108"/>
      <c r="BV164" s="108"/>
      <c r="BW164" s="108"/>
    </row>
    <row r="165" spans="1:75">
      <c r="A165" s="4">
        <v>1996</v>
      </c>
      <c r="B165" s="4">
        <v>5</v>
      </c>
      <c r="C165" s="108">
        <f>RESID!C165+COML!C165+IND!C165+SHL!C165+SPA!C165</f>
        <v>2287889</v>
      </c>
      <c r="D165" s="108">
        <f>RESID!D165+COML!D165+IND!D165+SHL!D165+SPA!D165</f>
        <v>1257643</v>
      </c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>
        <f t="shared" si="46"/>
        <v>65912</v>
      </c>
      <c r="Z165" s="175">
        <f>RESID!Z165+COML!Z165+IND!Z165+SHL!Z165+SPA!Z165</f>
        <v>2232338</v>
      </c>
      <c r="AA165" s="108">
        <f t="shared" si="44"/>
        <v>-55551</v>
      </c>
      <c r="AB165" s="108">
        <f t="shared" si="45"/>
        <v>2232338</v>
      </c>
      <c r="BN165" s="4">
        <v>1996</v>
      </c>
      <c r="BO165" s="4">
        <v>5</v>
      </c>
      <c r="BP165" s="108"/>
      <c r="BQ165" s="108"/>
      <c r="BR165" s="108"/>
      <c r="BS165" s="108"/>
      <c r="BT165" s="175"/>
      <c r="BU165" s="108"/>
      <c r="BV165" s="108"/>
      <c r="BW165" s="108"/>
    </row>
    <row r="166" spans="1:75">
      <c r="A166" s="4">
        <v>1996</v>
      </c>
      <c r="B166" s="4">
        <v>6</v>
      </c>
      <c r="C166" s="108">
        <f>RESID!C166+COML!C166+IND!C166+SHL!C166+SPA!C166</f>
        <v>2903981</v>
      </c>
      <c r="D166" s="108">
        <f>RESID!D166+COML!D166+IND!D166+SHL!D166+SPA!D166</f>
        <v>1288337</v>
      </c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>
        <f t="shared" si="46"/>
        <v>136535</v>
      </c>
      <c r="Z166" s="175">
        <f>RESID!Z166+COML!Z166+IND!Z166+SHL!Z166+SPA!Z166</f>
        <v>2835663</v>
      </c>
      <c r="AA166" s="108">
        <f t="shared" si="44"/>
        <v>-68318</v>
      </c>
      <c r="AB166" s="108">
        <f t="shared" si="45"/>
        <v>2835663</v>
      </c>
      <c r="BN166" s="4">
        <v>1996</v>
      </c>
      <c r="BO166" s="4">
        <v>6</v>
      </c>
      <c r="BP166" s="108"/>
      <c r="BQ166" s="108"/>
      <c r="BR166" s="108"/>
      <c r="BS166" s="108"/>
      <c r="BT166" s="175"/>
      <c r="BU166" s="108"/>
      <c r="BV166" s="108"/>
      <c r="BW166" s="108"/>
    </row>
    <row r="167" spans="1:75">
      <c r="A167" s="4">
        <v>1996</v>
      </c>
      <c r="B167" s="4">
        <v>7</v>
      </c>
      <c r="C167" s="108">
        <f>RESID!C167+COML!C167+IND!C167+SHL!C167+SPA!C167</f>
        <v>2826182</v>
      </c>
      <c r="D167" s="108">
        <f>RESID!D167+COML!D167+IND!D167+SHL!D167+SPA!D167</f>
        <v>1245646</v>
      </c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>
        <f t="shared" si="46"/>
        <v>30113</v>
      </c>
      <c r="Z167" s="175">
        <f>RESID!Z167+COML!Z167+IND!Z167+SHL!Z167+SPA!Z167</f>
        <v>2864480</v>
      </c>
      <c r="AA167" s="108">
        <f t="shared" si="44"/>
        <v>38298</v>
      </c>
      <c r="AB167" s="108">
        <f t="shared" si="45"/>
        <v>2864480</v>
      </c>
      <c r="BN167" s="4">
        <v>1996</v>
      </c>
      <c r="BO167" s="4">
        <v>7</v>
      </c>
      <c r="BP167" s="108"/>
      <c r="BQ167" s="108"/>
      <c r="BR167" s="108"/>
      <c r="BS167" s="108"/>
      <c r="BT167" s="175"/>
      <c r="BU167" s="108"/>
      <c r="BV167" s="108"/>
      <c r="BW167" s="108"/>
    </row>
    <row r="168" spans="1:75">
      <c r="A168" s="4">
        <v>1996</v>
      </c>
      <c r="B168" s="4">
        <v>8</v>
      </c>
      <c r="C168" s="108">
        <f>RESID!C168+COML!C168+IND!C168+SHL!C168+SPA!C168</f>
        <v>3142793</v>
      </c>
      <c r="D168" s="108">
        <f>RESID!D168+COML!D168+IND!D168+SHL!D168+SPA!D168</f>
        <v>1305073</v>
      </c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>
        <f t="shared" si="46"/>
        <v>168096</v>
      </c>
      <c r="Z168" s="175">
        <f>RESID!Z168+COML!Z168+IND!Z168+SHL!Z168+SPA!Z168</f>
        <v>3093750</v>
      </c>
      <c r="AA168" s="108">
        <f t="shared" si="44"/>
        <v>-49043</v>
      </c>
      <c r="AB168" s="108">
        <f t="shared" si="45"/>
        <v>3093750</v>
      </c>
      <c r="BN168" s="4">
        <v>1996</v>
      </c>
      <c r="BO168" s="4">
        <v>8</v>
      </c>
      <c r="BP168" s="108"/>
      <c r="BQ168" s="108"/>
      <c r="BR168" s="108"/>
      <c r="BS168" s="108"/>
      <c r="BT168" s="175"/>
      <c r="BU168" s="108"/>
      <c r="BV168" s="108"/>
      <c r="BW168" s="108"/>
    </row>
    <row r="169" spans="1:75">
      <c r="A169" s="4">
        <v>1996</v>
      </c>
      <c r="B169" s="4">
        <v>9</v>
      </c>
      <c r="C169" s="108">
        <f>RESID!C169+COML!C169+IND!C169+SHL!C169+SPA!C169</f>
        <v>2967705</v>
      </c>
      <c r="D169" s="108">
        <f>RESID!D169+COML!D169+IND!D169+SHL!D169+SPA!D169</f>
        <v>1285655</v>
      </c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>
        <f t="shared" si="46"/>
        <v>21857</v>
      </c>
      <c r="Z169" s="175">
        <f>RESID!Z169+COML!Z169+IND!Z169+SHL!Z169+SPA!Z169</f>
        <v>3038594</v>
      </c>
      <c r="AA169" s="108">
        <f t="shared" si="44"/>
        <v>70889</v>
      </c>
      <c r="AB169" s="108">
        <f t="shared" si="45"/>
        <v>3038594</v>
      </c>
      <c r="BN169" s="4">
        <v>1996</v>
      </c>
      <c r="BO169" s="4">
        <v>9</v>
      </c>
      <c r="BP169" s="108"/>
      <c r="BQ169" s="108"/>
      <c r="BR169" s="108"/>
      <c r="BS169" s="108"/>
      <c r="BT169" s="175"/>
      <c r="BU169" s="108"/>
      <c r="BV169" s="108"/>
      <c r="BW169" s="108"/>
    </row>
    <row r="170" spans="1:75">
      <c r="A170" s="4">
        <v>1996</v>
      </c>
      <c r="B170" s="4">
        <v>10</v>
      </c>
      <c r="C170" s="108">
        <f>RESID!C170+COML!C170+IND!C170+SHL!C170+SPA!C170</f>
        <v>2549186</v>
      </c>
      <c r="D170" s="108">
        <f>RESID!D170+COML!D170+IND!D170+SHL!D170+SPA!D170</f>
        <v>1272706</v>
      </c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>
        <f t="shared" si="46"/>
        <v>73286</v>
      </c>
      <c r="Z170" s="175">
        <f>RESID!Z170+COML!Z170+IND!Z170+SHL!Z170+SPA!Z170</f>
        <v>2663954</v>
      </c>
      <c r="AA170" s="108">
        <f t="shared" si="44"/>
        <v>114768</v>
      </c>
      <c r="AB170" s="108">
        <f t="shared" si="45"/>
        <v>2663954</v>
      </c>
      <c r="BN170" s="4">
        <v>1996</v>
      </c>
      <c r="BO170" s="4">
        <v>10</v>
      </c>
      <c r="BP170" s="108"/>
      <c r="BQ170" s="108"/>
      <c r="BR170" s="108"/>
      <c r="BS170" s="108"/>
      <c r="BT170" s="175"/>
      <c r="BU170" s="108"/>
      <c r="BV170" s="108"/>
      <c r="BW170" s="40"/>
    </row>
    <row r="171" spans="1:75">
      <c r="A171" s="4">
        <v>1996</v>
      </c>
      <c r="B171" s="4">
        <v>11</v>
      </c>
      <c r="C171" s="108">
        <f>RESID!C171+COML!C171+IND!C171+SHL!C171+SPA!C171</f>
        <v>2383083</v>
      </c>
      <c r="D171" s="108">
        <f>RESID!D171+COML!D171+IND!D171+SHL!D171+SPA!D171</f>
        <v>1327842</v>
      </c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>
        <f t="shared" si="46"/>
        <v>116847</v>
      </c>
      <c r="Z171" s="175">
        <f>RESID!Z171+COML!Z171+IND!Z171+SHL!Z171+SPA!Z171</f>
        <v>2393554</v>
      </c>
      <c r="AA171" s="108">
        <f t="shared" si="44"/>
        <v>10471</v>
      </c>
      <c r="AB171" s="108">
        <f t="shared" si="45"/>
        <v>2393554</v>
      </c>
      <c r="BN171" s="4">
        <v>1996</v>
      </c>
      <c r="BO171" s="4">
        <v>11</v>
      </c>
      <c r="BP171" s="108"/>
      <c r="BQ171" s="108"/>
      <c r="BR171" s="108"/>
      <c r="BS171" s="108"/>
      <c r="BT171" s="175"/>
      <c r="BU171" s="108"/>
      <c r="BV171" s="108"/>
    </row>
    <row r="172" spans="1:75" s="89" customFormat="1">
      <c r="A172" s="89">
        <v>1996</v>
      </c>
      <c r="B172" s="89">
        <v>12</v>
      </c>
      <c r="C172" s="117">
        <f>RESID!C172+COML!C172+IND!C172+SHL!C172+SPA!C172</f>
        <v>2211408</v>
      </c>
      <c r="D172" s="117">
        <f>RESID!D172+COML!D172+IND!D172+SHL!D172+SPA!D172</f>
        <v>1317728</v>
      </c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>
        <f t="shared" si="46"/>
        <v>115019</v>
      </c>
      <c r="Z172" s="176">
        <f>RESID!Z172+COML!Z172+IND!Z172+SHL!Z172+SPA!Z172</f>
        <v>2282367</v>
      </c>
      <c r="AA172" s="117">
        <f t="shared" si="44"/>
        <v>70959</v>
      </c>
      <c r="AB172" s="117">
        <f t="shared" si="45"/>
        <v>2282367</v>
      </c>
      <c r="BN172" s="89">
        <v>1996</v>
      </c>
      <c r="BO172" s="89">
        <v>12</v>
      </c>
      <c r="BP172" s="117"/>
      <c r="BQ172" s="117"/>
      <c r="BR172" s="117"/>
      <c r="BS172" s="117"/>
      <c r="BT172" s="176"/>
      <c r="BU172" s="117"/>
      <c r="BV172" s="117"/>
    </row>
    <row r="173" spans="1:75">
      <c r="A173" s="23">
        <v>1997</v>
      </c>
      <c r="B173" s="4">
        <v>1</v>
      </c>
      <c r="C173" s="108">
        <f>RESID!C173+COML!C173+IND!C173+SHL!C173+SPA!C173</f>
        <v>2428326</v>
      </c>
      <c r="D173" s="108">
        <f>RESID!D173+COML!D173+IND!D173+SHL!D173+SPA!D173</f>
        <v>1317203</v>
      </c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>
        <f t="shared" si="46"/>
        <v>238468</v>
      </c>
      <c r="Z173" s="175">
        <f>RESID!Z173+COML!Z173+IND!Z173+SHL!Z173+SPA!Z173</f>
        <v>2423197</v>
      </c>
      <c r="AA173" s="108">
        <f t="shared" si="44"/>
        <v>-5129</v>
      </c>
      <c r="AB173" s="108">
        <f t="shared" si="45"/>
        <v>2423197</v>
      </c>
      <c r="BN173" s="23">
        <v>1997</v>
      </c>
      <c r="BO173" s="4">
        <v>1</v>
      </c>
      <c r="BP173" s="108">
        <f>SPA!BP173+SHL!BP173+IND!BP173+COML!BP173+RESID!BJ173</f>
        <v>2397235</v>
      </c>
      <c r="BQ173" s="108"/>
      <c r="BR173" s="108"/>
      <c r="BS173" s="108"/>
      <c r="BT173" s="175">
        <f>SPA!BT173+SHL!BT173+IND!BT173+COML!BT173+RESID!BT173</f>
        <v>2343571.1043702378</v>
      </c>
      <c r="BU173" s="108"/>
      <c r="BV173" s="108">
        <f t="shared" ref="BV173:BV204" si="47">BT173-BP173</f>
        <v>-53663.895629762206</v>
      </c>
    </row>
    <row r="174" spans="1:75">
      <c r="A174" s="23">
        <v>1997</v>
      </c>
      <c r="B174" s="4">
        <v>2</v>
      </c>
      <c r="C174" s="108">
        <f>RESID!C174+COML!C174+IND!C174+SHL!C174+SPA!C174</f>
        <v>2248561</v>
      </c>
      <c r="D174" s="108">
        <f>RESID!D174+COML!D174+IND!D174+SHL!D174+SPA!D174</f>
        <v>1318578</v>
      </c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>
        <f t="shared" si="46"/>
        <v>-12029</v>
      </c>
      <c r="Z174" s="175">
        <f>RESID!Z174+COML!Z174+IND!Z174+SHL!Z174+SPA!Z174</f>
        <v>2236262</v>
      </c>
      <c r="AA174" s="108">
        <f t="shared" si="44"/>
        <v>-12299</v>
      </c>
      <c r="AB174" s="108">
        <f t="shared" si="45"/>
        <v>2236262</v>
      </c>
      <c r="BN174" s="23">
        <v>1997</v>
      </c>
      <c r="BO174" s="4">
        <v>2</v>
      </c>
      <c r="BP174" s="108">
        <f>SPA!BP174+SHL!BP174+IND!BP174+COML!BP174+RESID!BJ174</f>
        <v>2046402</v>
      </c>
      <c r="BQ174" s="108"/>
      <c r="BR174" s="108"/>
      <c r="BS174" s="108"/>
      <c r="BT174" s="175">
        <f>SPA!BT174+SHL!BT174+IND!BT174+COML!BT174+RESID!BT174</f>
        <v>2104031.2577128797</v>
      </c>
      <c r="BU174" s="108"/>
      <c r="BV174" s="108">
        <f t="shared" si="47"/>
        <v>57629.257712879684</v>
      </c>
    </row>
    <row r="175" spans="1:75">
      <c r="A175" s="23">
        <v>1997</v>
      </c>
      <c r="B175" s="4">
        <v>3</v>
      </c>
      <c r="C175" s="108">
        <f>RESID!C175+COML!C175+IND!C175+SHL!C175+SPA!C175</f>
        <v>2181122</v>
      </c>
      <c r="D175" s="108">
        <f>RESID!D175+COML!D175+IND!D175+SHL!D175+SPA!D175</f>
        <v>1328873</v>
      </c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>
        <f t="shared" si="46"/>
        <v>27507</v>
      </c>
      <c r="Z175" s="175">
        <f>RESID!Z175+COML!Z175+IND!Z175+SHL!Z175+SPA!Z175</f>
        <v>2167206</v>
      </c>
      <c r="AA175" s="108">
        <f t="shared" si="44"/>
        <v>-13916</v>
      </c>
      <c r="AB175" s="108">
        <f t="shared" si="45"/>
        <v>2167206</v>
      </c>
      <c r="BN175" s="23">
        <v>1997</v>
      </c>
      <c r="BO175" s="4">
        <v>3</v>
      </c>
      <c r="BP175" s="108">
        <f>SPA!BP175+SHL!BP175+IND!BP175+COML!BP175+RESID!BJ175</f>
        <v>2343681</v>
      </c>
      <c r="BQ175" s="108"/>
      <c r="BR175" s="108"/>
      <c r="BS175" s="108"/>
      <c r="BT175" s="175">
        <f>SPA!BT175+SHL!BT175+IND!BT175+COML!BT175+RESID!BT175</f>
        <v>2248508.0855268016</v>
      </c>
      <c r="BU175" s="108"/>
      <c r="BV175" s="108">
        <f t="shared" si="47"/>
        <v>-95172.914473198354</v>
      </c>
    </row>
    <row r="176" spans="1:75">
      <c r="A176" s="23">
        <v>1997</v>
      </c>
      <c r="B176" s="4">
        <v>4</v>
      </c>
      <c r="C176" s="108">
        <f>RESID!C176+COML!C176+IND!C176+SHL!C176+SPA!C176</f>
        <v>2268366</v>
      </c>
      <c r="D176" s="108">
        <f>RESID!D176+COML!D176+IND!D176+SHL!D176+SPA!D176</f>
        <v>1303820</v>
      </c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>
        <f t="shared" si="46"/>
        <v>94929</v>
      </c>
      <c r="Z176" s="175">
        <f>RESID!Z176+COML!Z176+IND!Z176+SHL!Z176+SPA!Z176</f>
        <v>2274915</v>
      </c>
      <c r="AA176" s="108">
        <f t="shared" si="44"/>
        <v>6549</v>
      </c>
      <c r="AB176" s="108">
        <f t="shared" si="45"/>
        <v>2274915</v>
      </c>
      <c r="BN176" s="23">
        <v>1997</v>
      </c>
      <c r="BO176" s="4">
        <v>4</v>
      </c>
      <c r="BP176" s="108">
        <f>SPA!BP176+SHL!BP176+IND!BP176+COML!BP176+RESID!BJ176</f>
        <v>2178036</v>
      </c>
      <c r="BQ176" s="108"/>
      <c r="BR176" s="108"/>
      <c r="BS176" s="108"/>
      <c r="BT176" s="175">
        <f>SPA!BT176+SHL!BT176+IND!BT176+COML!BT176+RESID!BT176</f>
        <v>2306640.9871242275</v>
      </c>
      <c r="BU176" s="108"/>
      <c r="BV176" s="108">
        <f t="shared" si="47"/>
        <v>128604.98712422745</v>
      </c>
    </row>
    <row r="177" spans="1:74">
      <c r="A177" s="23">
        <v>1997</v>
      </c>
      <c r="B177" s="4">
        <v>5</v>
      </c>
      <c r="C177" s="108">
        <f>RESID!C177+COML!C177+IND!C177+SHL!C177+SPA!C177</f>
        <v>2275058</v>
      </c>
      <c r="D177" s="108">
        <f>RESID!D177+COML!D177+IND!D177+SHL!D177+SPA!D177</f>
        <v>1313765</v>
      </c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>
        <f t="shared" si="46"/>
        <v>174987</v>
      </c>
      <c r="Z177" s="175">
        <f>RESID!Z177+COML!Z177+IND!Z177+SHL!Z177+SPA!Z177</f>
        <v>2407325</v>
      </c>
      <c r="AA177" s="108">
        <f t="shared" si="44"/>
        <v>132267</v>
      </c>
      <c r="AB177" s="108">
        <f t="shared" si="45"/>
        <v>2407325</v>
      </c>
      <c r="BN177" s="23">
        <v>1997</v>
      </c>
      <c r="BO177" s="4">
        <v>5</v>
      </c>
      <c r="BP177" s="108">
        <f>SPA!BP177+SHL!BP177+IND!BP177+COML!BP177+RESID!BJ177</f>
        <v>2686337</v>
      </c>
      <c r="BQ177" s="108"/>
      <c r="BR177" s="108"/>
      <c r="BS177" s="108"/>
      <c r="BT177" s="175">
        <f>SPA!BT177+SHL!BT177+IND!BT177+COML!BT177+RESID!BT177</f>
        <v>2808526.4920842997</v>
      </c>
      <c r="BU177" s="108"/>
      <c r="BV177" s="108">
        <f t="shared" si="47"/>
        <v>122189.49208429968</v>
      </c>
    </row>
    <row r="178" spans="1:74">
      <c r="A178" s="23">
        <v>1997</v>
      </c>
      <c r="B178" s="4">
        <v>6</v>
      </c>
      <c r="C178" s="108">
        <f>RESID!C178+COML!C178+IND!C178+SHL!C178+SPA!C178</f>
        <v>2733130</v>
      </c>
      <c r="D178" s="108">
        <f>RESID!D178+COML!D178+IND!D178+SHL!D178+SPA!D178</f>
        <v>1300247</v>
      </c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>
        <f t="shared" si="46"/>
        <v>49994</v>
      </c>
      <c r="Z178" s="175">
        <f>RESID!Z178+COML!Z178+IND!Z178+SHL!Z178+SPA!Z178</f>
        <v>2885657</v>
      </c>
      <c r="AA178" s="108">
        <f t="shared" si="44"/>
        <v>152527</v>
      </c>
      <c r="AB178" s="108">
        <f t="shared" si="45"/>
        <v>2885657</v>
      </c>
      <c r="BN178" s="23">
        <v>1997</v>
      </c>
      <c r="BO178" s="4">
        <v>6</v>
      </c>
      <c r="BP178" s="108">
        <f>SPA!BP178+SHL!BP178+IND!BP178+COML!BP178+RESID!BJ178</f>
        <v>2873732</v>
      </c>
      <c r="BQ178" s="108"/>
      <c r="BR178" s="108"/>
      <c r="BS178" s="108"/>
      <c r="BT178" s="175">
        <f>SPA!BT178+SHL!BT178+IND!BT178+COML!BT178+RESID!BT178</f>
        <v>2964596.7058630176</v>
      </c>
      <c r="BU178" s="108"/>
      <c r="BV178" s="108">
        <f t="shared" si="47"/>
        <v>90864.705863017589</v>
      </c>
    </row>
    <row r="179" spans="1:74">
      <c r="A179" s="23">
        <v>1997</v>
      </c>
      <c r="B179" s="4">
        <v>7</v>
      </c>
      <c r="C179" s="108">
        <f>RESID!C179+COML!C179+IND!C179+SHL!C179+SPA!C179</f>
        <v>3031834</v>
      </c>
      <c r="D179" s="108">
        <f>RESID!D179+COML!D179+IND!D179+SHL!D179+SPA!D179</f>
        <v>1292181</v>
      </c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>
        <f t="shared" si="46"/>
        <v>179571</v>
      </c>
      <c r="Z179" s="175">
        <f>RESID!Z179+COML!Z179+IND!Z179+SHL!Z179+SPA!Z179</f>
        <v>3044051</v>
      </c>
      <c r="AA179" s="108">
        <f t="shared" si="44"/>
        <v>12217</v>
      </c>
      <c r="AB179" s="108">
        <f t="shared" si="45"/>
        <v>3044051</v>
      </c>
      <c r="BN179" s="23">
        <v>1997</v>
      </c>
      <c r="BO179" s="4">
        <v>7</v>
      </c>
      <c r="BP179" s="108">
        <f>SPA!BP179+SHL!BP179+IND!BP179+COML!BP179+RESID!BJ179</f>
        <v>3081496</v>
      </c>
      <c r="BQ179" s="108"/>
      <c r="BR179" s="108"/>
      <c r="BS179" s="108"/>
      <c r="BT179" s="175">
        <f>SPA!BT179+SHL!BT179+IND!BT179+COML!BT179+RESID!BT179</f>
        <v>3089926.700621774</v>
      </c>
      <c r="BU179" s="108"/>
      <c r="BV179" s="108">
        <f t="shared" si="47"/>
        <v>8430.7006217739545</v>
      </c>
    </row>
    <row r="180" spans="1:74">
      <c r="A180" s="23">
        <v>1997</v>
      </c>
      <c r="B180" s="4">
        <v>8</v>
      </c>
      <c r="C180" s="108">
        <f>RESID!C180+COML!C180+IND!C180+SHL!C180+SPA!C180</f>
        <v>3035895</v>
      </c>
      <c r="D180" s="108">
        <f>RESID!D180+COML!D180+IND!D180+SHL!D180+SPA!D180</f>
        <v>1308498</v>
      </c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>
        <f t="shared" si="46"/>
        <v>7029</v>
      </c>
      <c r="Z180" s="175">
        <f>RESID!Z180+COML!Z180+IND!Z180+SHL!Z180+SPA!Z180</f>
        <v>3100779</v>
      </c>
      <c r="AA180" s="108">
        <f t="shared" si="44"/>
        <v>64884</v>
      </c>
      <c r="AB180" s="108">
        <f t="shared" si="45"/>
        <v>3100779</v>
      </c>
      <c r="BN180" s="23">
        <v>1997</v>
      </c>
      <c r="BO180" s="4">
        <v>8</v>
      </c>
      <c r="BP180" s="108">
        <f>SPA!BP180+SHL!BP180+IND!BP180+COML!BP180+RESID!BJ180</f>
        <v>3218978</v>
      </c>
      <c r="BQ180" s="108"/>
      <c r="BR180" s="108"/>
      <c r="BS180" s="108"/>
      <c r="BT180" s="175">
        <f>SPA!BT180+SHL!BT180+IND!BT180+COML!BT180+RESID!BT180</f>
        <v>3210283.042074882</v>
      </c>
      <c r="BU180" s="108"/>
      <c r="BV180" s="108">
        <f t="shared" si="47"/>
        <v>-8694.9579251180403</v>
      </c>
    </row>
    <row r="181" spans="1:74">
      <c r="A181" s="23">
        <v>1997</v>
      </c>
      <c r="B181" s="4">
        <v>9</v>
      </c>
      <c r="C181" s="108">
        <f>RESID!C181+COML!C181+IND!C181+SHL!C181+SPA!C181</f>
        <v>3073599</v>
      </c>
      <c r="D181" s="108">
        <f>RESID!D181+COML!D181+IND!D181+SHL!D181+SPA!D181</f>
        <v>1289755</v>
      </c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>
        <f t="shared" si="46"/>
        <v>50497</v>
      </c>
      <c r="Z181" s="175">
        <f>RESID!Z181+COML!Z181+IND!Z181+SHL!Z181+SPA!Z181</f>
        <v>3089091</v>
      </c>
      <c r="AA181" s="108">
        <f t="shared" si="44"/>
        <v>15492</v>
      </c>
      <c r="AB181" s="108">
        <f t="shared" si="45"/>
        <v>3089091</v>
      </c>
      <c r="BN181" s="23">
        <v>1997</v>
      </c>
      <c r="BO181" s="4">
        <v>9</v>
      </c>
      <c r="BP181" s="108">
        <f>SPA!BP181+SHL!BP181+IND!BP181+COML!BP181+RESID!BJ181</f>
        <v>2915654</v>
      </c>
      <c r="BQ181" s="108"/>
      <c r="BR181" s="108"/>
      <c r="BS181" s="108"/>
      <c r="BT181" s="175">
        <f>SPA!BT181+SHL!BT181+IND!BT181+COML!BT181+RESID!BT181</f>
        <v>2932639.3814387098</v>
      </c>
      <c r="BU181" s="108"/>
      <c r="BV181" s="108">
        <f t="shared" si="47"/>
        <v>16985.381438709795</v>
      </c>
    </row>
    <row r="182" spans="1:74">
      <c r="A182" s="23">
        <v>1997</v>
      </c>
      <c r="B182" s="4">
        <v>10</v>
      </c>
      <c r="C182" s="108">
        <f>RESID!C182+COML!C182+IND!C182+SHL!C182+SPA!C182</f>
        <v>2926162</v>
      </c>
      <c r="D182" s="108">
        <f>RESID!D182+COML!D182+IND!D182+SHL!D182+SPA!D182</f>
        <v>1320033</v>
      </c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>
        <f t="shared" si="46"/>
        <v>186130</v>
      </c>
      <c r="Z182" s="175">
        <f>RESID!Z182+COML!Z182+IND!Z182+SHL!Z182+SPA!Z182</f>
        <v>2850084</v>
      </c>
      <c r="AA182" s="108">
        <f t="shared" si="44"/>
        <v>-76078</v>
      </c>
      <c r="AB182" s="108">
        <f t="shared" si="45"/>
        <v>2850084</v>
      </c>
      <c r="BN182" s="23">
        <v>1997</v>
      </c>
      <c r="BO182" s="4">
        <v>10</v>
      </c>
      <c r="BP182" s="108">
        <f>SPA!BP182+SHL!BP182+IND!BP182+COML!BP182+RESID!BJ182</f>
        <v>2563859</v>
      </c>
      <c r="BQ182" s="108"/>
      <c r="BR182" s="108"/>
      <c r="BS182" s="108"/>
      <c r="BT182" s="175">
        <f>SPA!BT182+SHL!BT182+IND!BT182+COML!BT182+RESID!BT182</f>
        <v>2654025.5898895785</v>
      </c>
      <c r="BU182" s="108"/>
      <c r="BV182" s="108">
        <f t="shared" si="47"/>
        <v>90166.589889578521</v>
      </c>
    </row>
    <row r="183" spans="1:74">
      <c r="A183" s="23">
        <v>1997</v>
      </c>
      <c r="B183" s="4">
        <v>11</v>
      </c>
      <c r="C183" s="108">
        <f>RESID!C183+COML!C183+IND!C183+SHL!C183+SPA!C183</f>
        <v>2378681</v>
      </c>
      <c r="D183" s="108">
        <f>RESID!D183+COML!D183+IND!D183+SHL!D183+SPA!D183</f>
        <v>1360885</v>
      </c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>
        <f t="shared" si="46"/>
        <v>127880</v>
      </c>
      <c r="Z183" s="175">
        <f>RESID!Z183+COML!Z183+IND!Z183+SHL!Z183+SPA!Z183</f>
        <v>2521434</v>
      </c>
      <c r="AA183" s="108">
        <f t="shared" si="44"/>
        <v>142753</v>
      </c>
      <c r="AB183" s="108">
        <f t="shared" si="45"/>
        <v>2521434</v>
      </c>
      <c r="BN183" s="23">
        <v>1997</v>
      </c>
      <c r="BO183" s="4">
        <v>11</v>
      </c>
      <c r="BP183" s="108">
        <f>SPA!BP183+SHL!BP183+IND!BP183+COML!BP183+RESID!BJ183</f>
        <v>2200367</v>
      </c>
      <c r="BQ183" s="108"/>
      <c r="BR183" s="108"/>
      <c r="BS183" s="108"/>
      <c r="BT183" s="175">
        <f>SPA!BT183+SHL!BT183+IND!BT183+COML!BT183+RESID!BT183</f>
        <v>2275059.1772463154</v>
      </c>
      <c r="BU183" s="108"/>
      <c r="BV183" s="108">
        <f t="shared" si="47"/>
        <v>74692.177246315405</v>
      </c>
    </row>
    <row r="184" spans="1:74" s="89" customFormat="1">
      <c r="A184" s="89">
        <v>1997</v>
      </c>
      <c r="B184" s="89">
        <v>12</v>
      </c>
      <c r="C184" s="117">
        <f>RESID!C184+COML!C184+IND!C184+SHL!C184+SPA!C184</f>
        <v>2269533</v>
      </c>
      <c r="D184" s="117">
        <f>RESID!D184+COML!D184+IND!D184+SHL!D184+SPA!D184</f>
        <v>1320062</v>
      </c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>
        <f t="shared" si="46"/>
        <v>34164</v>
      </c>
      <c r="Z184" s="176">
        <f>RESID!Z184+COML!Z184+IND!Z184+SHL!Z184+SPA!Z184</f>
        <v>2316531</v>
      </c>
      <c r="AA184" s="117">
        <f t="shared" si="44"/>
        <v>46998</v>
      </c>
      <c r="AB184" s="117">
        <f t="shared" si="45"/>
        <v>2316531</v>
      </c>
      <c r="BN184" s="89">
        <v>1997</v>
      </c>
      <c r="BO184" s="89">
        <v>12</v>
      </c>
      <c r="BP184" s="117">
        <f>SPA!BP184+SHL!BP184+IND!BP184+COML!BP184+RESID!BJ184</f>
        <v>2359554</v>
      </c>
      <c r="BQ184" s="117"/>
      <c r="BR184" s="117"/>
      <c r="BS184" s="117"/>
      <c r="BT184" s="176">
        <f>SPA!BT184+SHL!BT184+IND!BT184+COML!BT184+RESID!BT184</f>
        <v>2272804.8131952155</v>
      </c>
      <c r="BU184" s="117"/>
      <c r="BV184" s="117">
        <f t="shared" si="47"/>
        <v>-86749.186804784462</v>
      </c>
    </row>
    <row r="185" spans="1:74">
      <c r="A185" s="4">
        <v>1998</v>
      </c>
      <c r="B185" s="4">
        <v>1</v>
      </c>
      <c r="C185" s="108">
        <f>RESID!C185+COML!C185+IND!C185+SHL!C185+SPA!C185</f>
        <v>2505203</v>
      </c>
      <c r="D185" s="108">
        <f>RESID!D185+COML!D185+IND!D185+SHL!D185+SPA!D185</f>
        <v>1332696</v>
      </c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>
        <f t="shared" si="46"/>
        <v>75023</v>
      </c>
      <c r="Z185" s="175">
        <f>RESID!Z185+COML!Z185+IND!Z185+SHL!Z185+SPA!Z185</f>
        <v>2498220</v>
      </c>
      <c r="AA185" s="108">
        <f t="shared" si="44"/>
        <v>-6983</v>
      </c>
      <c r="AB185" s="108">
        <f t="shared" si="45"/>
        <v>2498220</v>
      </c>
      <c r="BN185" s="4">
        <v>1998</v>
      </c>
      <c r="BO185" s="4">
        <v>1</v>
      </c>
      <c r="BP185" s="108">
        <f>SPA!BP185+SHL!BP185+IND!BP185+COML!BP185+RESID!BJ185</f>
        <v>2405283</v>
      </c>
      <c r="BQ185" s="108"/>
      <c r="BR185" s="108"/>
      <c r="BS185" s="108"/>
      <c r="BT185" s="175">
        <f>SPA!BT185+SHL!BT185+IND!BT185+COML!BT185+RESID!BT185</f>
        <v>2498264.4064482292</v>
      </c>
      <c r="BU185" s="108">
        <f t="shared" ref="BU185:BU208" si="48">BT185-BT173</f>
        <v>154693.30207799142</v>
      </c>
      <c r="BV185" s="108">
        <f t="shared" si="47"/>
        <v>92981.406448229216</v>
      </c>
    </row>
    <row r="186" spans="1:74">
      <c r="A186" s="4">
        <v>1998</v>
      </c>
      <c r="B186" s="4">
        <v>2</v>
      </c>
      <c r="C186" s="108">
        <f>RESID!C186+COML!C186+IND!C186+SHL!C186+SPA!C186</f>
        <v>2308518</v>
      </c>
      <c r="D186" s="108">
        <f>RESID!D186+COML!D186+IND!D186+SHL!D186+SPA!D186</f>
        <v>1358706</v>
      </c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>
        <f t="shared" si="46"/>
        <v>131385</v>
      </c>
      <c r="Z186" s="175">
        <f>RESID!Z186+COML!Z186+IND!Z186+SHL!Z186+SPA!Z186</f>
        <v>2367647</v>
      </c>
      <c r="AA186" s="108">
        <f t="shared" si="44"/>
        <v>59129</v>
      </c>
      <c r="AB186" s="108">
        <f t="shared" si="45"/>
        <v>2367647</v>
      </c>
      <c r="BN186" s="4">
        <v>1998</v>
      </c>
      <c r="BO186" s="4">
        <v>2</v>
      </c>
      <c r="BP186" s="108">
        <f>SPA!BP186+SHL!BP186+IND!BP186+COML!BP186+RESID!BJ186</f>
        <v>2247599</v>
      </c>
      <c r="BQ186" s="108"/>
      <c r="BR186" s="108"/>
      <c r="BS186" s="108"/>
      <c r="BT186" s="175">
        <f>SPA!BT186+SHL!BT186+IND!BT186+COML!BT186+RESID!BT186</f>
        <v>2286868.44090555</v>
      </c>
      <c r="BU186" s="108">
        <f t="shared" si="48"/>
        <v>182837.18319267035</v>
      </c>
      <c r="BV186" s="108">
        <f t="shared" si="47"/>
        <v>39269.440905550029</v>
      </c>
    </row>
    <row r="187" spans="1:74">
      <c r="A187" s="4">
        <v>1998</v>
      </c>
      <c r="B187" s="4">
        <v>3</v>
      </c>
      <c r="C187" s="108">
        <f>RESID!C187+COML!C187+IND!C187+SHL!C187+SPA!C187</f>
        <v>2285789</v>
      </c>
      <c r="D187" s="108">
        <f>RESID!D187+COML!D187+IND!D187+SHL!D187+SPA!D187</f>
        <v>1337046</v>
      </c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>
        <f t="shared" si="46"/>
        <v>107010</v>
      </c>
      <c r="Z187" s="175">
        <f>RESID!Z187+COML!Z187+IND!Z187+SHL!Z187+SPA!Z187</f>
        <v>2274216</v>
      </c>
      <c r="AA187" s="108">
        <f t="shared" si="44"/>
        <v>-11573</v>
      </c>
      <c r="AB187" s="108">
        <f t="shared" si="45"/>
        <v>2274216</v>
      </c>
      <c r="BN187" s="4">
        <v>1998</v>
      </c>
      <c r="BO187" s="4">
        <v>3</v>
      </c>
      <c r="BP187" s="108">
        <f>SPA!BP187+SHL!BP187+IND!BP187+COML!BP187+RESID!BJ187</f>
        <v>2445023</v>
      </c>
      <c r="BQ187" s="108"/>
      <c r="BR187" s="108"/>
      <c r="BS187" s="108"/>
      <c r="BT187" s="175">
        <f>SPA!BT187+SHL!BT187+IND!BT187+COML!BT187+RESID!BT187</f>
        <v>2310373.7261846038</v>
      </c>
      <c r="BU187" s="108">
        <f t="shared" si="48"/>
        <v>61865.640657802112</v>
      </c>
      <c r="BV187" s="108">
        <f t="shared" si="47"/>
        <v>-134649.27381539624</v>
      </c>
    </row>
    <row r="188" spans="1:74">
      <c r="A188" s="4">
        <v>1998</v>
      </c>
      <c r="B188" s="4">
        <v>4</v>
      </c>
      <c r="C188" s="108">
        <f>RESID!C188+COML!C188+IND!C188+SHL!C188+SPA!C188</f>
        <v>2430690</v>
      </c>
      <c r="D188" s="108">
        <f>RESID!D188+COML!D188+IND!D188+SHL!D188+SPA!D188</f>
        <v>1360307</v>
      </c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>
        <f t="shared" si="46"/>
        <v>104160</v>
      </c>
      <c r="Z188" s="175">
        <f>RESID!Z188+COML!Z188+IND!Z188+SHL!Z188+SPA!Z188</f>
        <v>2379075</v>
      </c>
      <c r="AA188" s="108">
        <f t="shared" si="44"/>
        <v>-51615</v>
      </c>
      <c r="AB188" s="108">
        <f t="shared" si="45"/>
        <v>2379075</v>
      </c>
      <c r="BN188" s="4">
        <v>1998</v>
      </c>
      <c r="BO188" s="4">
        <v>4</v>
      </c>
      <c r="BP188" s="108">
        <f>SPA!BP188+SHL!BP188+IND!BP188+COML!BP188+RESID!BJ188</f>
        <v>2373317</v>
      </c>
      <c r="BQ188" s="108"/>
      <c r="BR188" s="108"/>
      <c r="BS188" s="108"/>
      <c r="BT188" s="175">
        <f>SPA!BT188+SHL!BT188+IND!BT188+COML!BT188+RESID!BT188</f>
        <v>2408817.0887511736</v>
      </c>
      <c r="BU188" s="108">
        <f t="shared" si="48"/>
        <v>102176.10162694613</v>
      </c>
      <c r="BV188" s="108">
        <f t="shared" si="47"/>
        <v>35500.088751173578</v>
      </c>
    </row>
    <row r="189" spans="1:74">
      <c r="A189" s="4">
        <v>1998</v>
      </c>
      <c r="B189" s="4">
        <v>5</v>
      </c>
      <c r="C189" s="108">
        <f>RESID!C189+COML!C189+IND!C189+SHL!C189+SPA!C189</f>
        <v>2482426</v>
      </c>
      <c r="D189" s="108">
        <f>RESID!D189+COML!D189+IND!D189+SHL!D189+SPA!D189</f>
        <v>1317785</v>
      </c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>
        <f t="shared" si="46"/>
        <v>65329</v>
      </c>
      <c r="Z189" s="175">
        <f>RESID!Z189+COML!Z189+IND!Z189+SHL!Z189+SPA!Z189</f>
        <v>2472654</v>
      </c>
      <c r="AA189" s="108">
        <f t="shared" si="44"/>
        <v>-9772</v>
      </c>
      <c r="AB189" s="108">
        <f t="shared" si="45"/>
        <v>2472654</v>
      </c>
      <c r="BN189" s="4">
        <v>1998</v>
      </c>
      <c r="BO189" s="4">
        <v>5</v>
      </c>
      <c r="BP189" s="108">
        <f>SPA!BP189+SHL!BP189+IND!BP189+COML!BP189+RESID!BJ189</f>
        <v>2897426</v>
      </c>
      <c r="BQ189" s="108"/>
      <c r="BR189" s="108"/>
      <c r="BS189" s="108"/>
      <c r="BT189" s="175">
        <f>SPA!BT189+SHL!BT189+IND!BT189+COML!BT189+RESID!BT189</f>
        <v>2829640.7228641817</v>
      </c>
      <c r="BU189" s="108">
        <f t="shared" si="48"/>
        <v>21114.230779882055</v>
      </c>
      <c r="BV189" s="108">
        <f t="shared" si="47"/>
        <v>-67785.277135818265</v>
      </c>
    </row>
    <row r="190" spans="1:74">
      <c r="A190" s="4">
        <v>1998</v>
      </c>
      <c r="B190" s="4">
        <v>6</v>
      </c>
      <c r="C190" s="108">
        <f>RESID!C190+COML!C190+IND!C190+SHL!C190+SPA!C190</f>
        <v>3172412</v>
      </c>
      <c r="D190" s="108">
        <f>RESID!D190+COML!D190+IND!D190+SHL!D190+SPA!D190</f>
        <v>1324433</v>
      </c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>
        <f t="shared" si="46"/>
        <v>68003</v>
      </c>
      <c r="Z190" s="175">
        <f>RESID!Z190+COML!Z190+IND!Z190+SHL!Z190+SPA!Z190</f>
        <v>2953660</v>
      </c>
      <c r="AA190" s="108">
        <f t="shared" si="44"/>
        <v>-218752</v>
      </c>
      <c r="AB190" s="108">
        <f t="shared" si="45"/>
        <v>2953660</v>
      </c>
      <c r="BN190" s="4">
        <v>1998</v>
      </c>
      <c r="BO190" s="4">
        <v>6</v>
      </c>
      <c r="BP190" s="108">
        <f>SPA!BP190+SHL!BP190+IND!BP190+COML!BP190+RESID!BJ190</f>
        <v>3495977.0000000005</v>
      </c>
      <c r="BQ190" s="108"/>
      <c r="BR190" s="108"/>
      <c r="BS190" s="108"/>
      <c r="BT190" s="175">
        <f>SPA!BT190+SHL!BT190+IND!BT190+COML!BT190+RESID!BT190</f>
        <v>3109219.8991935635</v>
      </c>
      <c r="BU190" s="108">
        <f t="shared" si="48"/>
        <v>144623.19333054591</v>
      </c>
      <c r="BV190" s="108">
        <f t="shared" si="47"/>
        <v>-386757.10080643697</v>
      </c>
    </row>
    <row r="191" spans="1:74">
      <c r="A191" s="4">
        <v>1998</v>
      </c>
      <c r="B191" s="4">
        <v>7</v>
      </c>
      <c r="C191" s="108">
        <f>RESID!C191+COML!C191+IND!C191+SHL!C191+SPA!C191</f>
        <v>3326129</v>
      </c>
      <c r="D191" s="108">
        <f>RESID!D191+COML!D191+IND!D191+SHL!D191+SPA!D191</f>
        <v>1317148</v>
      </c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>
        <f t="shared" si="46"/>
        <v>58133</v>
      </c>
      <c r="Z191" s="175">
        <f>RESID!Z191+COML!Z191+IND!Z191+SHL!Z191+SPA!Z191</f>
        <v>3102184</v>
      </c>
      <c r="AA191" s="108">
        <f t="shared" si="44"/>
        <v>-223945</v>
      </c>
      <c r="AB191" s="108">
        <f t="shared" si="45"/>
        <v>3102184</v>
      </c>
      <c r="BN191" s="4">
        <v>1998</v>
      </c>
      <c r="BO191" s="4">
        <v>7</v>
      </c>
      <c r="BP191" s="108">
        <f>SPA!BP191+SHL!BP191+IND!BP191+COML!BP191+RESID!BJ191</f>
        <v>3215901.9999999995</v>
      </c>
      <c r="BQ191" s="108"/>
      <c r="BR191" s="108"/>
      <c r="BS191" s="108"/>
      <c r="BT191" s="175">
        <f>SPA!BT191+SHL!BT191+IND!BT191+COML!BT191+RESID!BT191</f>
        <v>3072673.4769902956</v>
      </c>
      <c r="BU191" s="108">
        <f t="shared" si="48"/>
        <v>-17253.22363147838</v>
      </c>
      <c r="BV191" s="108">
        <f t="shared" si="47"/>
        <v>-143228.52300970396</v>
      </c>
    </row>
    <row r="192" spans="1:74">
      <c r="A192" s="4">
        <v>1998</v>
      </c>
      <c r="B192" s="4">
        <v>8</v>
      </c>
      <c r="C192" s="108">
        <f>RESID!C192+COML!C192+IND!C192+SHL!C192+SPA!C192</f>
        <v>3428777</v>
      </c>
      <c r="D192" s="108">
        <f>RESID!D192+COML!D192+IND!D192+SHL!D192+SPA!D192</f>
        <v>1367458</v>
      </c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>
        <f t="shared" si="46"/>
        <v>225274</v>
      </c>
      <c r="Z192" s="175">
        <f>RESID!Z192+COML!Z192+IND!Z192+SHL!Z192+SPA!Z192</f>
        <v>3326053</v>
      </c>
      <c r="AA192" s="108">
        <f t="shared" si="44"/>
        <v>-102724</v>
      </c>
      <c r="AB192" s="108">
        <f t="shared" si="45"/>
        <v>3326053</v>
      </c>
      <c r="BN192" s="4">
        <v>1998</v>
      </c>
      <c r="BO192" s="4">
        <v>8</v>
      </c>
      <c r="BP192" s="108">
        <f>SPA!BP192+SHL!BP192+IND!BP192+COML!BP192+RESID!BJ192</f>
        <v>3595249</v>
      </c>
      <c r="BQ192" s="108"/>
      <c r="BR192" s="108"/>
      <c r="BS192" s="108"/>
      <c r="BT192" s="175">
        <f>SPA!BT192+SHL!BT192+IND!BT192+COML!BT192+RESID!BT192</f>
        <v>3488917.4466480659</v>
      </c>
      <c r="BU192" s="108">
        <f t="shared" si="48"/>
        <v>278634.40457318397</v>
      </c>
      <c r="BV192" s="108">
        <f t="shared" si="47"/>
        <v>-106331.55335193407</v>
      </c>
    </row>
    <row r="193" spans="1:74">
      <c r="A193" s="4">
        <v>1998</v>
      </c>
      <c r="B193" s="4">
        <v>9</v>
      </c>
      <c r="C193" s="108">
        <f>RESID!C193+COML!C193+IND!C193+SHL!C193+SPA!C193</f>
        <v>3197995</v>
      </c>
      <c r="D193" s="108">
        <f>RESID!D193+COML!D193+IND!D193+SHL!D193+SPA!D193</f>
        <v>1289164</v>
      </c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>
        <f t="shared" si="46"/>
        <v>72818</v>
      </c>
      <c r="Z193" s="175">
        <f>RESID!Z193+COML!Z193+IND!Z193+SHL!Z193+SPA!Z193</f>
        <v>3161909</v>
      </c>
      <c r="AA193" s="108">
        <f t="shared" si="44"/>
        <v>-36086</v>
      </c>
      <c r="AB193" s="108">
        <f t="shared" si="45"/>
        <v>3161909</v>
      </c>
      <c r="BN193" s="4">
        <v>1998</v>
      </c>
      <c r="BO193" s="4">
        <v>9</v>
      </c>
      <c r="BP193" s="108">
        <f>SPA!BP193+SHL!BP193+IND!BP193+COML!BP193+RESID!BJ193</f>
        <v>3062202</v>
      </c>
      <c r="BQ193" s="108"/>
      <c r="BR193" s="108"/>
      <c r="BS193" s="108"/>
      <c r="BT193" s="175">
        <f>SPA!BT193+SHL!BT193+IND!BT193+COML!BT193+RESID!BT193</f>
        <v>3077138.3279484999</v>
      </c>
      <c r="BU193" s="108">
        <f t="shared" si="48"/>
        <v>144498.94650979014</v>
      </c>
      <c r="BV193" s="108">
        <f t="shared" si="47"/>
        <v>14936.327948499937</v>
      </c>
    </row>
    <row r="194" spans="1:74">
      <c r="A194" s="4">
        <v>1998</v>
      </c>
      <c r="B194" s="4">
        <v>10</v>
      </c>
      <c r="C194" s="108">
        <f>RESID!C194+COML!C194+IND!C194+SHL!C194+SPA!C194</f>
        <v>3097704</v>
      </c>
      <c r="D194" s="108">
        <f>RESID!D194+COML!D194+IND!D194+SHL!D194+SPA!D194</f>
        <v>1377088</v>
      </c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>
        <f t="shared" si="46"/>
        <v>105130</v>
      </c>
      <c r="Z194" s="175">
        <f>RESID!Z194+COML!Z194+IND!Z194+SHL!Z194+SPA!Z194</f>
        <v>2955214</v>
      </c>
      <c r="AA194" s="108">
        <f t="shared" si="44"/>
        <v>-142490</v>
      </c>
      <c r="AB194" s="108">
        <f t="shared" si="45"/>
        <v>2955214</v>
      </c>
      <c r="BN194" s="4">
        <v>1998</v>
      </c>
      <c r="BO194" s="4">
        <v>10</v>
      </c>
      <c r="BP194" s="108">
        <f>SPA!BP194+SHL!BP194+IND!BP194+COML!BP194+RESID!BJ194</f>
        <v>2888275</v>
      </c>
      <c r="BQ194" s="108"/>
      <c r="BR194" s="108"/>
      <c r="BS194" s="108"/>
      <c r="BT194" s="175">
        <f>SPA!BT194+SHL!BT194+IND!BT194+COML!BT194+RESID!BT194</f>
        <v>2727771.8310604468</v>
      </c>
      <c r="BU194" s="108">
        <f t="shared" si="48"/>
        <v>73746.241170868278</v>
      </c>
      <c r="BV194" s="108">
        <f t="shared" si="47"/>
        <v>-160503.1689395532</v>
      </c>
    </row>
    <row r="195" spans="1:74">
      <c r="A195" s="4">
        <v>1998</v>
      </c>
      <c r="B195" s="4">
        <v>11</v>
      </c>
      <c r="C195" s="108">
        <f>RESID!C195+COML!C195+IND!C195+SHL!C195+SPA!C195</f>
        <v>2593955</v>
      </c>
      <c r="D195" s="108">
        <f>RESID!D195+COML!D195+IND!D195+SHL!D195+SPA!D195</f>
        <v>1359233</v>
      </c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>
        <f t="shared" si="46"/>
        <v>-1366</v>
      </c>
      <c r="Z195" s="175">
        <f>RESID!Z195+COML!Z195+IND!Z195+SHL!Z195+SPA!Z195</f>
        <v>2520068</v>
      </c>
      <c r="AA195" s="108">
        <f t="shared" si="44"/>
        <v>-73887</v>
      </c>
      <c r="AB195" s="108">
        <f t="shared" si="45"/>
        <v>2520068</v>
      </c>
      <c r="BN195" s="4">
        <v>1998</v>
      </c>
      <c r="BO195" s="4">
        <v>11</v>
      </c>
      <c r="BP195" s="108">
        <f>SPA!BP195+SHL!BP195+IND!BP195+COML!BP195+RESID!BJ195</f>
        <v>2382066</v>
      </c>
      <c r="BQ195" s="108"/>
      <c r="BR195" s="108"/>
      <c r="BS195" s="108"/>
      <c r="BT195" s="175">
        <f>SPA!BT195+SHL!BT195+IND!BT195+COML!BT195+RESID!BT195</f>
        <v>2275919.4216932864</v>
      </c>
      <c r="BU195" s="108">
        <f t="shared" si="48"/>
        <v>860.24444697098807</v>
      </c>
      <c r="BV195" s="108">
        <f t="shared" si="47"/>
        <v>-106146.57830671361</v>
      </c>
    </row>
    <row r="196" spans="1:74" s="89" customFormat="1">
      <c r="A196" s="89">
        <v>1998</v>
      </c>
      <c r="B196" s="89">
        <v>12</v>
      </c>
      <c r="C196" s="117">
        <f>RESID!C196+COML!C196+IND!C196+SHL!C196+SPA!C196</f>
        <v>2557012</v>
      </c>
      <c r="D196" s="117">
        <f>RESID!D196+COML!D196+IND!D196+SHL!D196+SPA!D196</f>
        <v>1348960</v>
      </c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>
        <f t="shared" si="46"/>
        <v>200306</v>
      </c>
      <c r="Z196" s="176">
        <f>RESID!Z196+COML!Z196+IND!Z196+SHL!Z196+SPA!Z196</f>
        <v>2516837</v>
      </c>
      <c r="AA196" s="117">
        <f t="shared" si="44"/>
        <v>-40175</v>
      </c>
      <c r="AB196" s="117">
        <f t="shared" si="45"/>
        <v>2516837</v>
      </c>
      <c r="BN196" s="89">
        <v>1998</v>
      </c>
      <c r="BO196" s="89">
        <v>12</v>
      </c>
      <c r="BP196" s="117">
        <f>SPA!BP196+SHL!BP196+IND!BP196+COML!BP196+RESID!BJ196</f>
        <v>2442563</v>
      </c>
      <c r="BQ196" s="117"/>
      <c r="BR196" s="117"/>
      <c r="BS196" s="117"/>
      <c r="BT196" s="176">
        <f>SPA!BT196+SHL!BT196+IND!BT196+COML!BT196+RESID!BT196</f>
        <v>2463835.1806808431</v>
      </c>
      <c r="BU196" s="117">
        <f t="shared" si="48"/>
        <v>191030.36748562753</v>
      </c>
      <c r="BV196" s="117">
        <f t="shared" si="47"/>
        <v>21272.18068084307</v>
      </c>
    </row>
    <row r="197" spans="1:74">
      <c r="A197" s="4">
        <v>1999</v>
      </c>
      <c r="B197" s="4">
        <v>1</v>
      </c>
      <c r="C197" s="108">
        <f>RESID!C197+COML!C197+IND!C197+SHL!C197+SPA!C197</f>
        <v>2596587</v>
      </c>
      <c r="D197" s="108">
        <f>RESID!D197+COML!D197+IND!D197+SHL!D197+SPA!D197</f>
        <v>1365304</v>
      </c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>
        <f t="shared" si="46"/>
        <v>42285</v>
      </c>
      <c r="Z197" s="175">
        <f>RESID!Z197+COML!Z197+IND!Z197+SHL!Z197+SPA!Z197</f>
        <v>2540505</v>
      </c>
      <c r="AA197" s="108">
        <f t="shared" si="44"/>
        <v>-56082</v>
      </c>
      <c r="AB197" s="108">
        <f t="shared" si="45"/>
        <v>2540505</v>
      </c>
      <c r="BN197" s="4">
        <v>1999</v>
      </c>
      <c r="BO197" s="4">
        <v>1</v>
      </c>
      <c r="BP197" s="108">
        <f>SPA!BP197+SHL!BP197+IND!BP197+COML!BP197+RESID!BJ197</f>
        <v>2640366</v>
      </c>
      <c r="BQ197" s="108"/>
      <c r="BR197" s="108"/>
      <c r="BS197" s="108"/>
      <c r="BT197" s="175">
        <f>SPA!BT197+SHL!BT197+IND!BT197+COML!BT197+RESID!BT197</f>
        <v>2597607.6520643877</v>
      </c>
      <c r="BU197" s="108">
        <f t="shared" si="48"/>
        <v>99343.245616158471</v>
      </c>
      <c r="BV197" s="108">
        <f t="shared" si="47"/>
        <v>-42758.347935612313</v>
      </c>
    </row>
    <row r="198" spans="1:74">
      <c r="A198" s="4">
        <v>1999</v>
      </c>
      <c r="B198" s="4">
        <v>2</v>
      </c>
      <c r="C198" s="108">
        <f>RESID!C198+COML!C198+IND!C198+SHL!C198+SPA!C198</f>
        <v>2269764</v>
      </c>
      <c r="D198" s="108">
        <f>RESID!D198+COML!D198+IND!D198+SHL!D198+SPA!D198</f>
        <v>1374580</v>
      </c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>
        <f t="shared" si="46"/>
        <v>-2630</v>
      </c>
      <c r="Z198" s="175">
        <f>RESID!Z198+COML!Z198+IND!Z198+SHL!Z198+SPA!Z198</f>
        <v>2365017</v>
      </c>
      <c r="AA198" s="108">
        <f t="shared" si="44"/>
        <v>95253</v>
      </c>
      <c r="AB198" s="108">
        <f t="shared" si="45"/>
        <v>2365017</v>
      </c>
      <c r="BN198" s="4">
        <v>1999</v>
      </c>
      <c r="BO198" s="4">
        <v>2</v>
      </c>
      <c r="BP198" s="108">
        <f>SPA!BP198+SHL!BP198+IND!BP198+COML!BP198+RESID!BJ198</f>
        <v>2201599</v>
      </c>
      <c r="BQ198" s="108"/>
      <c r="BR198" s="108"/>
      <c r="BS198" s="108"/>
      <c r="BT198" s="175">
        <f>SPA!BT198+SHL!BT198+IND!BT198+COML!BT198+RESID!BT198</f>
        <v>2198918.0585330967</v>
      </c>
      <c r="BU198" s="108">
        <f t="shared" si="48"/>
        <v>-87950.382372453343</v>
      </c>
      <c r="BV198" s="108">
        <f t="shared" si="47"/>
        <v>-2680.941466903314</v>
      </c>
    </row>
    <row r="199" spans="1:74">
      <c r="A199" s="4">
        <v>1999</v>
      </c>
      <c r="B199" s="4">
        <v>3</v>
      </c>
      <c r="C199" s="108">
        <f>RESID!C199+COML!C199+IND!C199+SHL!C199+SPA!C199</f>
        <v>2318075</v>
      </c>
      <c r="D199" s="108">
        <f>RESID!D199+COML!D199+IND!D199+SHL!D199+SPA!D199</f>
        <v>1363544</v>
      </c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>
        <f t="shared" si="46"/>
        <v>15456</v>
      </c>
      <c r="Z199" s="175">
        <f>RESID!Z199+COML!Z199+IND!Z199+SHL!Z199+SPA!Z199</f>
        <v>2289672</v>
      </c>
      <c r="AA199" s="108">
        <f t="shared" si="44"/>
        <v>-28403</v>
      </c>
      <c r="AB199" s="108">
        <f t="shared" si="45"/>
        <v>2289672</v>
      </c>
      <c r="BN199" s="4">
        <v>1999</v>
      </c>
      <c r="BO199" s="4">
        <v>3</v>
      </c>
      <c r="BP199" s="108">
        <f>SPA!BP199+SHL!BP199+IND!BP199+COML!BP199+RESID!BJ199</f>
        <v>2366965</v>
      </c>
      <c r="BQ199" s="108"/>
      <c r="BR199" s="108"/>
      <c r="BS199" s="108"/>
      <c r="BT199" s="175">
        <f>SPA!BT199+SHL!BT199+IND!BT199+COML!BT199+RESID!BT199</f>
        <v>2364247.1765735159</v>
      </c>
      <c r="BU199" s="108">
        <f t="shared" si="48"/>
        <v>53873.450388912112</v>
      </c>
      <c r="BV199" s="108">
        <f t="shared" si="47"/>
        <v>-2717.8234264841303</v>
      </c>
    </row>
    <row r="200" spans="1:74">
      <c r="A200" s="4">
        <v>1999</v>
      </c>
      <c r="B200" s="4">
        <v>4</v>
      </c>
      <c r="C200" s="108">
        <f>RESID!C200+COML!C200+IND!C200+SHL!C200+SPA!C200</f>
        <v>2491696</v>
      </c>
      <c r="D200" s="108">
        <f>RESID!D200+COML!D200+IND!D200+SHL!D200+SPA!D200</f>
        <v>1368080</v>
      </c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>
        <f t="shared" si="46"/>
        <v>49249</v>
      </c>
      <c r="Z200" s="175">
        <f>RESID!Z200+COML!Z200+IND!Z200+SHL!Z200+SPA!Z200</f>
        <v>2428324</v>
      </c>
      <c r="AA200" s="108">
        <f t="shared" si="44"/>
        <v>-63372</v>
      </c>
      <c r="AB200" s="108">
        <f t="shared" si="45"/>
        <v>2428324</v>
      </c>
      <c r="BN200" s="4">
        <v>1999</v>
      </c>
      <c r="BO200" s="4">
        <v>4</v>
      </c>
      <c r="BP200" s="108">
        <f>SPA!BP200+SHL!BP200+IND!BP200+COML!BP200+RESID!BJ200</f>
        <v>2611870</v>
      </c>
      <c r="BQ200" s="108"/>
      <c r="BR200" s="108"/>
      <c r="BS200" s="108"/>
      <c r="BT200" s="175">
        <f>SPA!BT200+SHL!BT200+IND!BT200+COML!BT200+RESID!BT200</f>
        <v>2419578.6681170007</v>
      </c>
      <c r="BU200" s="108">
        <f t="shared" si="48"/>
        <v>10761.579365827143</v>
      </c>
      <c r="BV200" s="108">
        <f t="shared" si="47"/>
        <v>-192291.33188299928</v>
      </c>
    </row>
    <row r="201" spans="1:74">
      <c r="A201" s="4">
        <v>1999</v>
      </c>
      <c r="B201" s="4">
        <v>5</v>
      </c>
      <c r="C201" s="108">
        <f>RESID!C201+COML!C201+IND!C201+SHL!C201+SPA!C201</f>
        <v>2630881</v>
      </c>
      <c r="D201" s="108">
        <f>RESID!D201+COML!D201+IND!D201+SHL!D201+SPA!D201</f>
        <v>1390139</v>
      </c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>
        <f t="shared" si="46"/>
        <v>85740</v>
      </c>
      <c r="Z201" s="175">
        <f>RESID!Z201+COML!Z201+IND!Z201+SHL!Z201+SPA!Z201</f>
        <v>2558394</v>
      </c>
      <c r="AA201" s="108">
        <f t="shared" si="44"/>
        <v>-72487</v>
      </c>
      <c r="AB201" s="108">
        <f t="shared" si="45"/>
        <v>2558394</v>
      </c>
      <c r="BN201" s="4">
        <v>1999</v>
      </c>
      <c r="BO201" s="4">
        <v>5</v>
      </c>
      <c r="BP201" s="108">
        <f>SPA!BP201+SHL!BP201+IND!BP201+COML!BP201+RESID!BJ201</f>
        <v>2852320</v>
      </c>
      <c r="BQ201" s="108"/>
      <c r="BR201" s="108"/>
      <c r="BS201" s="108"/>
      <c r="BT201" s="175">
        <f>SPA!BT201+SHL!BT201+IND!BT201+COML!BT201+RESID!BT201</f>
        <v>2948078.5666392185</v>
      </c>
      <c r="BU201" s="108">
        <f t="shared" si="48"/>
        <v>118437.84377503674</v>
      </c>
      <c r="BV201" s="108">
        <f t="shared" si="47"/>
        <v>95758.566639218479</v>
      </c>
    </row>
    <row r="202" spans="1:74">
      <c r="A202" s="4">
        <v>1999</v>
      </c>
      <c r="B202" s="4">
        <v>6</v>
      </c>
      <c r="C202" s="108">
        <f>RESID!C202+COML!C202+IND!C202+SHL!C202+SPA!C202</f>
        <v>2904604</v>
      </c>
      <c r="D202" s="108">
        <f>RESID!D202+COML!D202+IND!D202+SHL!D202+SPA!D202</f>
        <v>1335179</v>
      </c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>
        <f t="shared" si="46"/>
        <v>23768</v>
      </c>
      <c r="Z202" s="175">
        <f>RESID!Z202+COML!Z202+IND!Z202+SHL!Z202+SPA!Z202</f>
        <v>2977428</v>
      </c>
      <c r="AA202" s="108">
        <f t="shared" si="44"/>
        <v>72824</v>
      </c>
      <c r="AB202" s="108">
        <f t="shared" si="45"/>
        <v>2977428</v>
      </c>
      <c r="BN202" s="4">
        <v>1999</v>
      </c>
      <c r="BO202" s="4">
        <v>6</v>
      </c>
      <c r="BP202" s="108">
        <f>SPA!BP202+SHL!BP202+IND!BP202+COML!BP202+RESID!BJ202</f>
        <v>3015141</v>
      </c>
      <c r="BQ202" s="108"/>
      <c r="BR202" s="108"/>
      <c r="BS202" s="108"/>
      <c r="BT202" s="175">
        <f>SPA!BT202+SHL!BT202+IND!BT202+COML!BT202+RESID!BT202</f>
        <v>3079525.916822358</v>
      </c>
      <c r="BU202" s="108">
        <f t="shared" si="48"/>
        <v>-29693.982371205464</v>
      </c>
      <c r="BV202" s="108">
        <f t="shared" si="47"/>
        <v>64384.916822358035</v>
      </c>
    </row>
    <row r="203" spans="1:74">
      <c r="A203" s="4">
        <v>1999</v>
      </c>
      <c r="B203" s="4">
        <v>7</v>
      </c>
      <c r="C203" s="108">
        <f>RESID!C203+COML!C203+IND!C203+SHL!C203+SPA!C203</f>
        <v>3174117</v>
      </c>
      <c r="D203" s="108">
        <f>RESID!D203+COML!D203+IND!D203+SHL!D203+SPA!D203</f>
        <v>1354657</v>
      </c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>
        <f t="shared" si="46"/>
        <v>145086</v>
      </c>
      <c r="Z203" s="175">
        <f>RESID!Z203+COML!Z203+IND!Z203+SHL!Z203+SPA!Z203</f>
        <v>3247270</v>
      </c>
      <c r="AA203" s="108">
        <f t="shared" si="44"/>
        <v>73153</v>
      </c>
      <c r="AB203" s="108">
        <f t="shared" si="45"/>
        <v>3247270</v>
      </c>
      <c r="BN203" s="4">
        <v>1999</v>
      </c>
      <c r="BO203" s="4">
        <v>7</v>
      </c>
      <c r="BP203" s="108">
        <f>SPA!BP203+SHL!BP203+IND!BP203+COML!BP203+RESID!BJ203</f>
        <v>3489115</v>
      </c>
      <c r="BQ203" s="108"/>
      <c r="BR203" s="108"/>
      <c r="BS203" s="108"/>
      <c r="BT203" s="175">
        <f>SPA!BT203+SHL!BT203+IND!BT203+COML!BT203+RESID!BT203</f>
        <v>3426619.8269725167</v>
      </c>
      <c r="BU203" s="108">
        <f t="shared" si="48"/>
        <v>353946.34998222115</v>
      </c>
      <c r="BV203" s="108">
        <f t="shared" si="47"/>
        <v>-62495.173027483281</v>
      </c>
    </row>
    <row r="204" spans="1:74">
      <c r="A204" s="4">
        <v>1999</v>
      </c>
      <c r="B204" s="4">
        <v>8</v>
      </c>
      <c r="C204" s="108">
        <f>RESID!C204+COML!C204+IND!C204+SHL!C204+SPA!C204</f>
        <v>3612089</v>
      </c>
      <c r="D204" s="108">
        <f>RESID!D204+COML!D204+IND!D204+SHL!D204+SPA!D204</f>
        <v>1376848</v>
      </c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>
        <f t="shared" si="46"/>
        <v>146325</v>
      </c>
      <c r="Z204" s="175">
        <f>RESID!Z204+COML!Z204+IND!Z204+SHL!Z204+SPA!Z204</f>
        <v>3472378</v>
      </c>
      <c r="AA204" s="108">
        <f t="shared" si="44"/>
        <v>-139711</v>
      </c>
      <c r="AB204" s="108">
        <f t="shared" si="45"/>
        <v>3472378</v>
      </c>
      <c r="BN204" s="4">
        <v>1999</v>
      </c>
      <c r="BO204" s="4">
        <v>8</v>
      </c>
      <c r="BP204" s="108">
        <f>SPA!BP204+SHL!BP204+IND!BP204+COML!BP204+RESID!BJ204</f>
        <v>3486485</v>
      </c>
      <c r="BQ204" s="108"/>
      <c r="BR204" s="108"/>
      <c r="BS204" s="108"/>
      <c r="BT204" s="175">
        <f>SPA!BT204+SHL!BT204+IND!BT204+COML!BT204+RESID!BT204</f>
        <v>3419227.070687199</v>
      </c>
      <c r="BU204" s="108">
        <f t="shared" si="48"/>
        <v>-69690.375960866921</v>
      </c>
      <c r="BV204" s="108">
        <f t="shared" si="47"/>
        <v>-67257.929312800989</v>
      </c>
    </row>
    <row r="205" spans="1:74">
      <c r="A205" s="4">
        <v>1999</v>
      </c>
      <c r="B205" s="4">
        <v>9</v>
      </c>
      <c r="C205" s="108">
        <f>RESID!C205+COML!C205+IND!C205+SHL!C205+SPA!C205</f>
        <v>3436878</v>
      </c>
      <c r="D205" s="108">
        <f>RESID!D205+COML!D205+IND!D205+SHL!D205+SPA!D205</f>
        <v>1372537</v>
      </c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>
        <f t="shared" si="46"/>
        <v>302926</v>
      </c>
      <c r="Z205" s="175">
        <f>RESID!Z205+COML!Z205+IND!Z205+SHL!Z205+SPA!Z205</f>
        <v>3464835</v>
      </c>
      <c r="AA205" s="108">
        <f t="shared" si="44"/>
        <v>27957</v>
      </c>
      <c r="AB205" s="108">
        <f t="shared" si="45"/>
        <v>3464835</v>
      </c>
      <c r="BN205" s="4">
        <v>1999</v>
      </c>
      <c r="BO205" s="4">
        <v>9</v>
      </c>
      <c r="BP205" s="108">
        <f>SPA!BP205+SHL!BP205+IND!BP205+COML!BP205+RESID!BJ205</f>
        <v>3217940</v>
      </c>
      <c r="BQ205" s="108"/>
      <c r="BR205" s="108"/>
      <c r="BS205" s="108"/>
      <c r="BT205" s="175">
        <f>SPA!BT205+SHL!BT205+IND!BT205+COML!BT205+RESID!BT205</f>
        <v>3334830.4937845138</v>
      </c>
      <c r="BU205" s="108">
        <f t="shared" si="48"/>
        <v>257692.16583601385</v>
      </c>
      <c r="BV205" s="108">
        <f t="shared" ref="BV205:BV236" si="49">BT205-BP205</f>
        <v>116890.49378451379</v>
      </c>
    </row>
    <row r="206" spans="1:74">
      <c r="A206" s="4">
        <v>1999</v>
      </c>
      <c r="B206" s="4">
        <v>10</v>
      </c>
      <c r="C206" s="108">
        <f>RESID!C206+COML!C206+IND!C206+SHL!C206+SPA!C206</f>
        <v>2979952</v>
      </c>
      <c r="D206" s="108">
        <f>RESID!D206+COML!D206+IND!D206+SHL!D206+SPA!D206</f>
        <v>1366002</v>
      </c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>
        <f t="shared" si="46"/>
        <v>62808</v>
      </c>
      <c r="Z206" s="175">
        <f>RESID!Z206+COML!Z206+IND!Z206+SHL!Z206+SPA!Z206</f>
        <v>3018022</v>
      </c>
      <c r="AA206" s="108">
        <f t="shared" si="44"/>
        <v>38070</v>
      </c>
      <c r="AB206" s="108">
        <f t="shared" si="45"/>
        <v>3018022</v>
      </c>
      <c r="BN206" s="4">
        <v>1999</v>
      </c>
      <c r="BO206" s="4">
        <v>10</v>
      </c>
      <c r="BP206" s="108">
        <f>SPA!BP206+SHL!BP206+IND!BP206+COML!BP206+RESID!BJ206</f>
        <v>2757309</v>
      </c>
      <c r="BQ206" s="108"/>
      <c r="BR206" s="108"/>
      <c r="BS206" s="108"/>
      <c r="BT206" s="175">
        <f>SPA!BT206+SHL!BT206+IND!BT206+COML!BT206+RESID!BT206</f>
        <v>2771772.7536664996</v>
      </c>
      <c r="BU206" s="108">
        <f t="shared" si="48"/>
        <v>44000.922606052831</v>
      </c>
      <c r="BV206" s="108">
        <f t="shared" si="49"/>
        <v>14463.75366649963</v>
      </c>
    </row>
    <row r="207" spans="1:74">
      <c r="A207" s="4">
        <v>1999</v>
      </c>
      <c r="B207" s="4">
        <v>11</v>
      </c>
      <c r="C207" s="108">
        <f>RESID!C207+COML!C207+IND!C207+SHL!C207+SPA!C207</f>
        <v>2586978</v>
      </c>
      <c r="D207" s="108">
        <f>RESID!D207+COML!D207+IND!D207+SHL!D207+SPA!D207</f>
        <v>1439739</v>
      </c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>
        <f t="shared" si="46"/>
        <v>137022</v>
      </c>
      <c r="Z207" s="175">
        <f>RESID!Z207+COML!Z207+IND!Z207+SHL!Z207+SPA!Z207</f>
        <v>2657090</v>
      </c>
      <c r="AA207" s="108">
        <f t="shared" si="44"/>
        <v>70112</v>
      </c>
      <c r="AB207" s="108">
        <f t="shared" si="45"/>
        <v>2657090</v>
      </c>
      <c r="BN207" s="4">
        <v>1999</v>
      </c>
      <c r="BO207" s="4">
        <v>11</v>
      </c>
      <c r="BP207" s="108">
        <f>SPA!BP207+SHL!BP207+IND!BP207+COML!BP207+RESID!BJ207</f>
        <v>2366843</v>
      </c>
      <c r="BQ207" s="108"/>
      <c r="BR207" s="108"/>
      <c r="BS207" s="108"/>
      <c r="BT207" s="175">
        <f>SPA!BT207+SHL!BT207+IND!BT207+COML!BT207+RESID!BT207</f>
        <v>2436069.1252775732</v>
      </c>
      <c r="BU207" s="108">
        <f t="shared" si="48"/>
        <v>160149.70358428685</v>
      </c>
      <c r="BV207" s="108">
        <f t="shared" si="49"/>
        <v>69226.125277573243</v>
      </c>
    </row>
    <row r="208" spans="1:74" s="89" customFormat="1">
      <c r="A208" s="89">
        <v>1999</v>
      </c>
      <c r="B208" s="89">
        <v>12</v>
      </c>
      <c r="C208" s="117">
        <f>RESID!C208+COML!C208+IND!C208+SHL!C208+SPA!C208</f>
        <v>2439409</v>
      </c>
      <c r="D208" s="117">
        <f>RESID!D208+COML!D208+IND!D208+SHL!D208+SPA!D208</f>
        <v>1412343</v>
      </c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>
        <f t="shared" si="46"/>
        <v>16369</v>
      </c>
      <c r="Z208" s="176">
        <f>RESID!Z208+COML!Z208+IND!Z208+SHL!Z208+SPA!Z208</f>
        <v>2533206</v>
      </c>
      <c r="AA208" s="117">
        <f t="shared" si="44"/>
        <v>93797</v>
      </c>
      <c r="AB208" s="117">
        <f t="shared" si="45"/>
        <v>2533206</v>
      </c>
      <c r="BN208" s="89">
        <v>1999</v>
      </c>
      <c r="BO208" s="89">
        <v>12</v>
      </c>
      <c r="BP208" s="117">
        <f>SPA!BP208+SHL!BP208+IND!BP208+COML!BP208+RESID!BJ208</f>
        <v>2554443</v>
      </c>
      <c r="BQ208" s="117"/>
      <c r="BR208" s="117"/>
      <c r="BS208" s="117"/>
      <c r="BT208" s="176">
        <f>SPA!BT208+SHL!BT208+IND!BT208+COML!BT208+RESID!BT208</f>
        <v>2551117.2742743604</v>
      </c>
      <c r="BU208" s="117">
        <f t="shared" si="48"/>
        <v>87282.093593517318</v>
      </c>
      <c r="BV208" s="117">
        <f t="shared" si="49"/>
        <v>-3325.7257256396115</v>
      </c>
    </row>
    <row r="209" spans="1:74">
      <c r="A209" s="4">
        <v>2000</v>
      </c>
      <c r="B209" s="4">
        <v>1</v>
      </c>
      <c r="C209" s="108">
        <f>RESID!C209+COML!C209+IND!C209+SHL!C209+SPA!C209</f>
        <v>2421535</v>
      </c>
      <c r="D209" s="108">
        <f>RESID!D209+COML!D209+IND!D209+SHL!D209+SPA!D209</f>
        <v>1310116</v>
      </c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>
        <f t="shared" si="46"/>
        <v>-45184</v>
      </c>
      <c r="Z209" s="175">
        <f>RESID!Z209+COML!Z209+IND!Z209+SHL!Z209+SPA!Z209</f>
        <v>2495321</v>
      </c>
      <c r="AA209" s="108">
        <f t="shared" ref="AA209:AA238" si="50">Z209-C209</f>
        <v>73786</v>
      </c>
      <c r="AB209" s="519">
        <f>RESID!AB209+COML!AB209+IND!AB209+SHL!AB209+SPA!AB209</f>
        <v>2610352</v>
      </c>
      <c r="BN209" s="4">
        <v>2000</v>
      </c>
      <c r="BO209" s="4">
        <v>1</v>
      </c>
      <c r="BP209" s="108">
        <f>SPA!BP209+SHL!BP209+IND!BP209+COML!BP209+RESID!BJ209</f>
        <v>2642170</v>
      </c>
      <c r="BQ209" s="108"/>
      <c r="BR209" s="108"/>
      <c r="BS209" s="108"/>
      <c r="BT209" s="175">
        <f>SPA!BT209+SHL!BT209+IND!BT209+COML!BT209+RESID!BT209</f>
        <v>2569656.4098480856</v>
      </c>
      <c r="BU209" s="108">
        <f>BT209-BT197</f>
        <v>-27951.242216302082</v>
      </c>
      <c r="BV209" s="108">
        <f t="shared" si="49"/>
        <v>-72513.590151914395</v>
      </c>
    </row>
    <row r="210" spans="1:74">
      <c r="A210" s="4">
        <v>2000</v>
      </c>
      <c r="B210" s="4">
        <v>2</v>
      </c>
      <c r="C210" s="108">
        <f>RESID!C210+COML!C210+IND!C210+SHL!C210+SPA!C210</f>
        <v>2848887</v>
      </c>
      <c r="D210" s="108">
        <f>RESID!D210+COML!D210+IND!D210+SHL!D210+SPA!D210</f>
        <v>1424961</v>
      </c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>
        <f t="shared" si="46"/>
        <v>295796</v>
      </c>
      <c r="Z210" s="175">
        <f>RESID!Z210+COML!Z210+IND!Z210+SHL!Z210+SPA!Z210</f>
        <v>2660813</v>
      </c>
      <c r="AA210" s="108">
        <f t="shared" si="50"/>
        <v>-188074</v>
      </c>
      <c r="AB210" s="516">
        <f>RESID!AB210+COML!AB210+IND!AB210+SHL!AB210+SPA!AB210</f>
        <v>2626072</v>
      </c>
      <c r="BN210" s="4">
        <v>2000</v>
      </c>
      <c r="BO210" s="4">
        <v>2</v>
      </c>
      <c r="BP210" s="108">
        <f>SPA!BP210+SHL!BP210+IND!BP210+COML!BP210+RESID!BJ210</f>
        <v>2436047</v>
      </c>
      <c r="BQ210" s="108"/>
      <c r="BR210" s="108"/>
      <c r="BS210" s="108"/>
      <c r="BT210" s="175">
        <f>SPA!BT210+SHL!BT210+IND!BT210+COML!BT210+RESID!BT210</f>
        <v>2426447.83153571</v>
      </c>
      <c r="BU210" s="108">
        <f t="shared" ref="BU210:BU237" si="51">BT210-BT198</f>
        <v>227529.77300261334</v>
      </c>
      <c r="BV210" s="108">
        <f t="shared" si="49"/>
        <v>-9599.1684642899781</v>
      </c>
    </row>
    <row r="211" spans="1:74">
      <c r="A211" s="4">
        <v>2000</v>
      </c>
      <c r="B211" s="4">
        <v>3</v>
      </c>
      <c r="C211" s="108">
        <f>RESID!C211+COML!C211+IND!C211+SHL!C211+SPA!C211</f>
        <v>2380873</v>
      </c>
      <c r="D211" s="108">
        <f>RESID!D211+COML!D211+IND!D211+SHL!D211+SPA!D211</f>
        <v>1395039</v>
      </c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>
        <f t="shared" si="46"/>
        <v>153426</v>
      </c>
      <c r="Z211" s="175">
        <f>RESID!Z211+COML!Z211+IND!Z211+SHL!Z211+SPA!Z211</f>
        <v>2443098</v>
      </c>
      <c r="AA211" s="108">
        <f t="shared" si="50"/>
        <v>62225</v>
      </c>
      <c r="AB211" s="516">
        <f>RESID!AB211+COML!AB211+IND!AB211+SHL!AB211+SPA!AB211</f>
        <v>2492796</v>
      </c>
      <c r="BN211" s="4">
        <v>2000</v>
      </c>
      <c r="BO211" s="4">
        <v>3</v>
      </c>
      <c r="BP211" s="108">
        <f>SPA!BP211+SHL!BP211+IND!BP211+COML!BP211+RESID!BJ211</f>
        <v>2580111</v>
      </c>
      <c r="BQ211" s="108"/>
      <c r="BR211" s="108"/>
      <c r="BS211" s="108"/>
      <c r="BT211" s="175">
        <f>SPA!BT211+SHL!BT211+IND!BT211+COML!BT211+RESID!BT211</f>
        <v>2579829.2202606481</v>
      </c>
      <c r="BU211" s="108">
        <f t="shared" si="51"/>
        <v>215582.04368713219</v>
      </c>
      <c r="BV211" s="108">
        <f t="shared" si="49"/>
        <v>-281.77973935194314</v>
      </c>
    </row>
    <row r="212" spans="1:74">
      <c r="A212" s="4">
        <v>2000</v>
      </c>
      <c r="B212" s="4">
        <v>4</v>
      </c>
      <c r="C212" s="108">
        <f>RESID!C212+COML!C212+IND!C212+SHL!C212+SPA!C212</f>
        <v>2547297</v>
      </c>
      <c r="D212" s="108">
        <f>RESID!D212+COML!D212+IND!D212+SHL!D212+SPA!D212</f>
        <v>1418118</v>
      </c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>
        <f t="shared" si="46"/>
        <v>124531</v>
      </c>
      <c r="Z212" s="175">
        <f>RESID!Z212+COML!Z212+IND!Z212+SHL!Z212+SPA!Z212</f>
        <v>2552855</v>
      </c>
      <c r="AA212" s="108">
        <f t="shared" si="50"/>
        <v>5558</v>
      </c>
      <c r="AB212" s="516">
        <f>RESID!AB212+COML!AB212+IND!AB212+SHL!AB212+SPA!AB212</f>
        <v>2534791</v>
      </c>
      <c r="BN212" s="4">
        <v>2000</v>
      </c>
      <c r="BO212" s="4">
        <v>4</v>
      </c>
      <c r="BP212" s="108">
        <f>SPA!BP212+SHL!BP212+IND!BP212+COML!BP212+RESID!BJ212</f>
        <v>2444085</v>
      </c>
      <c r="BQ212" s="108"/>
      <c r="BR212" s="108"/>
      <c r="BS212" s="108"/>
      <c r="BT212" s="175">
        <f>SPA!BT212+SHL!BT212+IND!BT212+COML!BT212+RESID!BT212</f>
        <v>2508779.0365136135</v>
      </c>
      <c r="BU212" s="108">
        <f t="shared" si="51"/>
        <v>89200.368396612816</v>
      </c>
      <c r="BV212" s="108">
        <f t="shared" si="49"/>
        <v>64694.036513613537</v>
      </c>
    </row>
    <row r="213" spans="1:74">
      <c r="A213" s="4">
        <v>2000</v>
      </c>
      <c r="B213" s="4">
        <v>5</v>
      </c>
      <c r="C213" s="108">
        <f>RESID!C213+COML!C213+IND!C213+SHL!C213+SPA!C213</f>
        <v>2674480</v>
      </c>
      <c r="D213" s="108">
        <f>RESID!D213+COML!D213+IND!D213+SHL!D213+SPA!D213</f>
        <v>1385261</v>
      </c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>
        <f t="shared" si="46"/>
        <v>117704</v>
      </c>
      <c r="Z213" s="175">
        <f>RESID!Z213+COML!Z213+IND!Z213+SHL!Z213+SPA!Z213</f>
        <v>2676098</v>
      </c>
      <c r="AA213" s="108">
        <f t="shared" si="50"/>
        <v>1618</v>
      </c>
      <c r="AB213" s="516">
        <f>RESID!AB213+COML!AB213+IND!AB213+SHL!AB213+SPA!AB213</f>
        <v>2687599</v>
      </c>
      <c r="BN213" s="4">
        <v>2000</v>
      </c>
      <c r="BO213" s="4">
        <v>5</v>
      </c>
      <c r="BP213" s="108">
        <f>SPA!BP213+SHL!BP213+IND!BP213+COML!BP213+RESID!BJ213</f>
        <v>3213920</v>
      </c>
      <c r="BQ213" s="108"/>
      <c r="BR213" s="108"/>
      <c r="BS213" s="108"/>
      <c r="BT213" s="175">
        <f>SPA!BT213+SHL!BT213+IND!BT213+COML!BT213+RESID!BT213</f>
        <v>3099124.1186891245</v>
      </c>
      <c r="BU213" s="108">
        <f t="shared" si="51"/>
        <v>151045.55204990599</v>
      </c>
      <c r="BV213" s="108">
        <f t="shared" si="49"/>
        <v>-114795.88131087553</v>
      </c>
    </row>
    <row r="214" spans="1:74">
      <c r="A214" s="4">
        <v>2000</v>
      </c>
      <c r="B214" s="4">
        <v>6</v>
      </c>
      <c r="C214" s="108">
        <f>RESID!C214+COML!C214+IND!C214+SHL!C214+SPA!C214</f>
        <v>3374622</v>
      </c>
      <c r="D214" s="108">
        <f>RESID!D214+COML!D214+IND!D214+SHL!D214+SPA!D214</f>
        <v>1381198</v>
      </c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>
        <f t="shared" si="46"/>
        <v>250686</v>
      </c>
      <c r="Z214" s="175">
        <f>RESID!Z214+COML!Z214+IND!Z214+SHL!Z214+SPA!Z214</f>
        <v>3228114</v>
      </c>
      <c r="AA214" s="108">
        <f t="shared" si="50"/>
        <v>-146508</v>
      </c>
      <c r="AB214" s="516">
        <f>RESID!AB214+COML!AB214+IND!AB214+SHL!AB214+SPA!AB214</f>
        <v>3236877</v>
      </c>
      <c r="BN214" s="4">
        <v>2000</v>
      </c>
      <c r="BO214" s="4">
        <v>6</v>
      </c>
      <c r="BP214" s="108">
        <f>SPA!BP214+SHL!BP214+IND!BP214+COML!BP214+RESID!BJ214</f>
        <v>3292782</v>
      </c>
      <c r="BQ214" s="108"/>
      <c r="BR214" s="108"/>
      <c r="BS214" s="108"/>
      <c r="BT214" s="175">
        <f>SPA!BT214+SHL!BT214+IND!BT214+COML!BT214+RESID!BT214</f>
        <v>3245525.3524274235</v>
      </c>
      <c r="BU214" s="108">
        <f t="shared" si="51"/>
        <v>165999.43560506543</v>
      </c>
      <c r="BV214" s="108">
        <f t="shared" si="49"/>
        <v>-47256.647572576534</v>
      </c>
    </row>
    <row r="215" spans="1:74">
      <c r="A215" s="4">
        <v>2000</v>
      </c>
      <c r="B215" s="4">
        <v>7</v>
      </c>
      <c r="C215" s="108">
        <f>RESID!C215+COML!C215+IND!C215+SHL!C215+SPA!C215</f>
        <v>3517715</v>
      </c>
      <c r="D215" s="108">
        <f>RESID!D215+COML!D215+IND!D215+SHL!D215+SPA!D215</f>
        <v>1397002</v>
      </c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>
        <f t="shared" si="46"/>
        <v>195824</v>
      </c>
      <c r="Z215" s="175">
        <f>RESID!Z215+COML!Z215+IND!Z215+SHL!Z215+SPA!Z215</f>
        <v>3443094</v>
      </c>
      <c r="AA215" s="108">
        <f t="shared" si="50"/>
        <v>-74621</v>
      </c>
      <c r="AB215" s="516">
        <f>RESID!AB215+COML!AB215+IND!AB215+SHL!AB215+SPA!AB215</f>
        <v>3448092</v>
      </c>
      <c r="BN215" s="4">
        <v>2000</v>
      </c>
      <c r="BO215" s="4">
        <v>7</v>
      </c>
      <c r="BP215" s="108">
        <f>SPA!BP215+SHL!BP215+IND!BP215+COML!BP215+RESID!BJ215</f>
        <v>3411960</v>
      </c>
      <c r="BQ215" s="108"/>
      <c r="BR215" s="108"/>
      <c r="BS215" s="108"/>
      <c r="BT215" s="175">
        <f>SPA!BT215+SHL!BT215+IND!BT215+COML!BT215+RESID!BT215</f>
        <v>3414754.5134809995</v>
      </c>
      <c r="BU215" s="108">
        <f t="shared" si="51"/>
        <v>-11865.313491517212</v>
      </c>
      <c r="BV215" s="108">
        <f t="shared" si="49"/>
        <v>2794.513480999507</v>
      </c>
    </row>
    <row r="216" spans="1:74">
      <c r="A216" s="4">
        <v>2000</v>
      </c>
      <c r="B216" s="4">
        <v>8</v>
      </c>
      <c r="C216" s="108">
        <f>RESID!C216+COML!C216+IND!C216+SHL!C216+SPA!C216</f>
        <v>3361339</v>
      </c>
      <c r="D216" s="108">
        <f>RESID!D216+COML!D216+IND!D216+SHL!D216+SPA!D216</f>
        <v>1410309</v>
      </c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>
        <f t="shared" si="46"/>
        <v>-66614</v>
      </c>
      <c r="Z216" s="175">
        <f>RESID!Z216+COML!Z216+IND!Z216+SHL!Z216+SPA!Z216</f>
        <v>3405764</v>
      </c>
      <c r="AA216" s="108">
        <f t="shared" si="50"/>
        <v>44425</v>
      </c>
      <c r="AB216" s="516">
        <f>RESID!AB216+COML!AB216+IND!AB216+SHL!AB216+SPA!AB216</f>
        <v>3389551</v>
      </c>
      <c r="BN216" s="4">
        <v>2000</v>
      </c>
      <c r="BO216" s="4">
        <v>8</v>
      </c>
      <c r="BP216" s="108">
        <f>SPA!BP216+SHL!BP216+IND!BP216+COML!BP216+RESID!BJ216</f>
        <v>3575596</v>
      </c>
      <c r="BQ216" s="108"/>
      <c r="BR216" s="108"/>
      <c r="BS216" s="108"/>
      <c r="BT216" s="175">
        <f>SPA!BT216+SHL!BT216+IND!BT216+COML!BT216+RESID!BT216</f>
        <v>3568003.3526484356</v>
      </c>
      <c r="BU216" s="108">
        <f t="shared" si="51"/>
        <v>148776.28196123661</v>
      </c>
      <c r="BV216" s="108">
        <f t="shared" si="49"/>
        <v>-7592.6473515643738</v>
      </c>
    </row>
    <row r="217" spans="1:74">
      <c r="A217" s="4">
        <v>2000</v>
      </c>
      <c r="B217" s="4">
        <v>9</v>
      </c>
      <c r="C217" s="108">
        <f>RESID!C217+COML!C217+IND!C217+SHL!C217+SPA!C217</f>
        <v>3587709</v>
      </c>
      <c r="D217" s="108">
        <f>RESID!D217+COML!D217+IND!D217+SHL!D217+SPA!D217</f>
        <v>1418276</v>
      </c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>
        <f t="shared" si="46"/>
        <v>59929</v>
      </c>
      <c r="Z217" s="175">
        <f>RESID!Z217+COML!Z217+IND!Z217+SHL!Z217+SPA!Z217</f>
        <v>3524764</v>
      </c>
      <c r="AA217" s="108">
        <f t="shared" si="50"/>
        <v>-62945</v>
      </c>
      <c r="AB217" s="516">
        <f>RESID!AB217+COML!AB217+IND!AB217+SHL!AB217+SPA!AB217</f>
        <v>3509876</v>
      </c>
      <c r="BN217" s="4">
        <v>2000</v>
      </c>
      <c r="BO217" s="4">
        <v>9</v>
      </c>
      <c r="BP217" s="108">
        <f>SPA!BP217+SHL!BP217+IND!BP217+COML!BP217+RESID!BJ217</f>
        <v>3273420</v>
      </c>
      <c r="BQ217" s="108"/>
      <c r="BR217" s="108"/>
      <c r="BS217" s="108"/>
      <c r="BT217" s="175">
        <f>SPA!BT217+SHL!BT217+IND!BT217+COML!BT217+RESID!BT217</f>
        <v>3260315.2414379804</v>
      </c>
      <c r="BU217" s="108">
        <f t="shared" si="51"/>
        <v>-74515.252346533351</v>
      </c>
      <c r="BV217" s="108">
        <f t="shared" si="49"/>
        <v>-13104.75856201956</v>
      </c>
    </row>
    <row r="218" spans="1:74">
      <c r="A218" s="4">
        <v>2000</v>
      </c>
      <c r="B218" s="4">
        <v>10</v>
      </c>
      <c r="C218" s="108">
        <f>RESID!C218+COML!C218+IND!C218+SHL!C218+SPA!C218</f>
        <v>2984807</v>
      </c>
      <c r="D218" s="108">
        <f>RESID!D218+COML!D218+IND!D218+SHL!D218+SPA!D218</f>
        <v>1403424</v>
      </c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>
        <f t="shared" si="46"/>
        <v>79675</v>
      </c>
      <c r="Z218" s="175">
        <f>RESID!Z218+COML!Z218+IND!Z218+SHL!Z218+SPA!Z218</f>
        <v>3097697</v>
      </c>
      <c r="AA218" s="108">
        <f t="shared" si="50"/>
        <v>112890</v>
      </c>
      <c r="AB218" s="516">
        <f>RESID!AB218+COML!AB218+IND!AB218+SHL!AB218+SPA!AB218</f>
        <v>3130711</v>
      </c>
      <c r="BN218" s="4">
        <v>2000</v>
      </c>
      <c r="BO218" s="4">
        <v>10</v>
      </c>
      <c r="BP218" s="108">
        <f>SPA!BP218+SHL!BP218+IND!BP218+COML!BP218+RESID!BJ218</f>
        <v>2694918</v>
      </c>
      <c r="BQ218" s="108"/>
      <c r="BR218" s="108"/>
      <c r="BS218" s="108"/>
      <c r="BT218" s="175">
        <f>SPA!BT218+SHL!BT218+IND!BT218+COML!BT218+RESID!BT218</f>
        <v>2884856.0236440292</v>
      </c>
      <c r="BU218" s="108">
        <f t="shared" si="51"/>
        <v>113083.26997752953</v>
      </c>
      <c r="BV218" s="108">
        <f t="shared" si="49"/>
        <v>189938.02364402916</v>
      </c>
    </row>
    <row r="219" spans="1:74">
      <c r="A219" s="4">
        <v>2000</v>
      </c>
      <c r="B219" s="4">
        <v>11</v>
      </c>
      <c r="C219" s="108">
        <f>RESID!C219+COML!C219+IND!C219+SHL!C219+SPA!C219</f>
        <v>2550030</v>
      </c>
      <c r="D219" s="108">
        <f>RESID!D219+COML!D219+IND!D219+SHL!D219+SPA!D219</f>
        <v>1476041</v>
      </c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>
        <f t="shared" si="46"/>
        <v>34519</v>
      </c>
      <c r="Z219" s="175">
        <f>RESID!Z219+COML!Z219+IND!Z219+SHL!Z219+SPA!Z219</f>
        <v>2691609</v>
      </c>
      <c r="AA219" s="108">
        <f t="shared" si="50"/>
        <v>141579</v>
      </c>
      <c r="AB219" s="516">
        <f>RESID!AB219+COML!AB219+IND!AB219+SHL!AB219+SPA!AB219</f>
        <v>2612085</v>
      </c>
      <c r="BN219" s="4">
        <v>2000</v>
      </c>
      <c r="BO219" s="4">
        <v>11</v>
      </c>
      <c r="BP219" s="108">
        <f>SPA!BP219+SHL!BP219+IND!BP219+COML!BP219+RESID!BJ219</f>
        <v>2554818</v>
      </c>
      <c r="BQ219" s="108"/>
      <c r="BR219" s="108"/>
      <c r="BS219" s="108"/>
      <c r="BT219" s="175">
        <f>SPA!BT219+SHL!BT219+IND!BT219+COML!BT219+RESID!BT219</f>
        <v>2480795.7746036416</v>
      </c>
      <c r="BU219" s="108">
        <f t="shared" si="51"/>
        <v>44726.649326068349</v>
      </c>
      <c r="BV219" s="108">
        <f t="shared" si="49"/>
        <v>-74022.225396358408</v>
      </c>
    </row>
    <row r="220" spans="1:74" s="89" customFormat="1">
      <c r="A220" s="89">
        <v>2000</v>
      </c>
      <c r="B220" s="89">
        <v>12</v>
      </c>
      <c r="C220" s="117">
        <f>RESID!C220+COML!C220+IND!C220+SHL!C220+SPA!C220</f>
        <v>2582672</v>
      </c>
      <c r="D220" s="117">
        <f>RESID!D220+COML!D220+IND!D220+SHL!D220+SPA!D220</f>
        <v>1383629</v>
      </c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>
        <f t="shared" si="46"/>
        <v>-26917</v>
      </c>
      <c r="Z220" s="176">
        <f>RESID!Z220+COML!Z220+IND!Z220+SHL!Z220+SPA!Z220</f>
        <v>2506289</v>
      </c>
      <c r="AA220" s="117">
        <f t="shared" si="50"/>
        <v>-76383</v>
      </c>
      <c r="AB220" s="525">
        <f>RESID!AB220+COML!AB220+IND!AB220+SHL!AB220+SPA!AB220</f>
        <v>2566976</v>
      </c>
      <c r="BN220" s="89">
        <v>2000</v>
      </c>
      <c r="BO220" s="89">
        <v>12</v>
      </c>
      <c r="BP220" s="117">
        <f>SPA!BP220+SHL!BP220+IND!BP220+COML!BP220+RESID!BJ220</f>
        <v>2942086</v>
      </c>
      <c r="BQ220" s="117"/>
      <c r="BR220" s="117"/>
      <c r="BS220" s="117"/>
      <c r="BT220" s="176">
        <f>SPA!BT220+SHL!BT220+IND!BT220+COML!BT220+RESID!BT220</f>
        <v>2624474.255560067</v>
      </c>
      <c r="BU220" s="117">
        <f t="shared" si="51"/>
        <v>73356.981285706628</v>
      </c>
      <c r="BV220" s="117">
        <f t="shared" si="49"/>
        <v>-317611.74443993298</v>
      </c>
    </row>
    <row r="221" spans="1:74">
      <c r="A221" s="4">
        <f>A209+1</f>
        <v>2001</v>
      </c>
      <c r="B221" s="4">
        <f>B209</f>
        <v>1</v>
      </c>
      <c r="C221" s="108">
        <f>RESID!C221+COML!C221+IND!C221+SHL!C221+SPA!C221</f>
        <v>3369378</v>
      </c>
      <c r="D221" s="108">
        <f>RESID!D221+COML!D221+IND!D221+SHL!D221+SPA!D221</f>
        <v>1465039</v>
      </c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>
        <f t="shared" ref="Y221:Y263" si="52">Z221-Z209</f>
        <v>327385</v>
      </c>
      <c r="Z221" s="175">
        <f>RESID!Z221+COML!Z221+IND!Z221+SHL!Z221+SPA!Z221</f>
        <v>2822706</v>
      </c>
      <c r="AA221" s="108">
        <f t="shared" si="50"/>
        <v>-546672</v>
      </c>
      <c r="AB221" s="516">
        <f>RESID!AB221+COML!AB221+IND!AB221+SHL!AB221+SPA!AB221</f>
        <v>2776021</v>
      </c>
      <c r="BN221" s="4">
        <f>BN209+1</f>
        <v>2001</v>
      </c>
      <c r="BO221" s="4">
        <f>BO209</f>
        <v>1</v>
      </c>
      <c r="BP221" s="108">
        <f>SPA!BP221+SHL!BP221+IND!BP221+COML!BP221+RESID!BJ221</f>
        <v>3172614</v>
      </c>
      <c r="BQ221" s="108"/>
      <c r="BR221" s="108"/>
      <c r="BS221" s="108"/>
      <c r="BT221" s="175">
        <f>SPA!BT221+SHL!BT221+IND!BT221+COML!BT221+RESID!BT221</f>
        <v>2717150.6205351194</v>
      </c>
      <c r="BU221" s="108">
        <f t="shared" si="51"/>
        <v>147494.21068703383</v>
      </c>
      <c r="BV221" s="108">
        <f t="shared" si="49"/>
        <v>-455463.37946488056</v>
      </c>
    </row>
    <row r="222" spans="1:74">
      <c r="A222" s="4">
        <f t="shared" ref="A222:A285" si="53">A210+1</f>
        <v>2001</v>
      </c>
      <c r="B222" s="4">
        <f t="shared" ref="B222:B285" si="54">B210</f>
        <v>2</v>
      </c>
      <c r="C222" s="108">
        <f>RESID!C222+COML!C222+IND!C222+SHL!C222+SPA!C222</f>
        <v>2647844</v>
      </c>
      <c r="D222" s="108">
        <f>RESID!D222+COML!D222+IND!D222+SHL!D222+SPA!D222</f>
        <v>1434843</v>
      </c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>
        <f t="shared" si="52"/>
        <v>-142096</v>
      </c>
      <c r="Z222" s="175">
        <f>RESID!Z222+COML!Z222+IND!Z222+SHL!Z222+SPA!Z222</f>
        <v>2518717</v>
      </c>
      <c r="AA222" s="108">
        <f t="shared" si="50"/>
        <v>-129127</v>
      </c>
      <c r="AB222" s="516">
        <f>RESID!AB222+COML!AB222+IND!AB222+SHL!AB222+SPA!AB222</f>
        <v>2559585</v>
      </c>
      <c r="BN222" s="4">
        <f t="shared" ref="BN222:BN376" si="55">BN210+1</f>
        <v>2001</v>
      </c>
      <c r="BO222" s="4">
        <f t="shared" ref="BO222:BO376" si="56">BO210</f>
        <v>2</v>
      </c>
      <c r="BP222" s="108">
        <f>SPA!BP222+SHL!BP222+IND!BP222+COML!BP222+RESID!BJ222</f>
        <v>2351609</v>
      </c>
      <c r="BQ222" s="108"/>
      <c r="BR222" s="108"/>
      <c r="BS222" s="108"/>
      <c r="BT222" s="175">
        <f>SPA!BT222+SHL!BT222+IND!BT222+COML!BT222+RESID!BT222</f>
        <v>2402916.3310217001</v>
      </c>
      <c r="BU222" s="108">
        <f t="shared" si="51"/>
        <v>-23531.500514009967</v>
      </c>
      <c r="BV222" s="108">
        <f t="shared" si="49"/>
        <v>51307.331021700054</v>
      </c>
    </row>
    <row r="223" spans="1:74">
      <c r="A223" s="4">
        <f t="shared" si="53"/>
        <v>2001</v>
      </c>
      <c r="B223" s="4">
        <f t="shared" si="54"/>
        <v>3</v>
      </c>
      <c r="C223" s="108">
        <f>RESID!C223+COML!C223+IND!C223+SHL!C223+SPA!C223</f>
        <v>2409092</v>
      </c>
      <c r="D223" s="108">
        <f>RESID!D223+COML!D223+IND!D223+SHL!D223+SPA!D223</f>
        <v>1387507</v>
      </c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>
        <f t="shared" si="52"/>
        <v>-1975</v>
      </c>
      <c r="Z223" s="175">
        <f>RESID!Z223+COML!Z223+IND!Z223+SHL!Z223+SPA!Z223</f>
        <v>2441123</v>
      </c>
      <c r="AA223" s="108">
        <f t="shared" si="50"/>
        <v>32031</v>
      </c>
      <c r="AB223" s="516">
        <f>RESID!AB223+COML!AB223+IND!AB223+SHL!AB223+SPA!AB223</f>
        <v>2523339</v>
      </c>
      <c r="BN223" s="4">
        <f t="shared" si="55"/>
        <v>2001</v>
      </c>
      <c r="BO223" s="4">
        <f t="shared" si="56"/>
        <v>3</v>
      </c>
      <c r="BP223" s="108">
        <f>SPA!BP223+SHL!BP223+IND!BP223+COML!BP223+RESID!BJ223</f>
        <v>2516999</v>
      </c>
      <c r="BQ223" s="108"/>
      <c r="BR223" s="108"/>
      <c r="BS223" s="108"/>
      <c r="BT223" s="175">
        <f>SPA!BT223+SHL!BT223+IND!BT223+COML!BT223+RESID!BT223</f>
        <v>2531465.7593399235</v>
      </c>
      <c r="BU223" s="108">
        <f t="shared" si="51"/>
        <v>-48363.460920724552</v>
      </c>
      <c r="BV223" s="108">
        <f t="shared" si="49"/>
        <v>14466.759339923505</v>
      </c>
    </row>
    <row r="224" spans="1:74">
      <c r="A224" s="4">
        <f t="shared" si="53"/>
        <v>2001</v>
      </c>
      <c r="B224" s="4">
        <f t="shared" si="54"/>
        <v>4</v>
      </c>
      <c r="C224" s="108">
        <f>RESID!C224+COML!C224+IND!C224+SHL!C224+SPA!C224</f>
        <v>2607163</v>
      </c>
      <c r="D224" s="108">
        <f>RESID!D224+COML!D224+IND!D224+SHL!D224+SPA!D224</f>
        <v>1476160</v>
      </c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>
        <f t="shared" si="52"/>
        <v>79520</v>
      </c>
      <c r="Z224" s="175">
        <f>RESID!Z224+COML!Z224+IND!Z224+SHL!Z224+SPA!Z224</f>
        <v>2632375</v>
      </c>
      <c r="AA224" s="108">
        <f t="shared" si="50"/>
        <v>25212</v>
      </c>
      <c r="AB224" s="516">
        <f>RESID!AB224+COML!AB224+IND!AB224+SHL!AB224+SPA!AB224</f>
        <v>2573901</v>
      </c>
      <c r="BN224" s="4">
        <f t="shared" si="55"/>
        <v>2001</v>
      </c>
      <c r="BO224" s="4">
        <f t="shared" si="56"/>
        <v>4</v>
      </c>
      <c r="BP224" s="108">
        <f>SPA!BP224+SHL!BP224+IND!BP224+COML!BP224+RESID!BJ224</f>
        <v>2648567</v>
      </c>
      <c r="BQ224" s="108"/>
      <c r="BR224" s="108"/>
      <c r="BS224" s="108"/>
      <c r="BT224" s="175">
        <f>SPA!BT224+SHL!BT224+IND!BT224+COML!BT224+RESID!BT224</f>
        <v>2632626.5065165348</v>
      </c>
      <c r="BU224" s="108">
        <f t="shared" si="51"/>
        <v>123847.4700029213</v>
      </c>
      <c r="BV224" s="108">
        <f t="shared" si="49"/>
        <v>-15940.493483465165</v>
      </c>
    </row>
    <row r="225" spans="1:74">
      <c r="A225" s="4">
        <f t="shared" si="53"/>
        <v>2001</v>
      </c>
      <c r="B225" s="4">
        <f t="shared" si="54"/>
        <v>5</v>
      </c>
      <c r="C225" s="108">
        <f>RESID!C225+COML!C225+IND!C225+SHL!C225+SPA!C225</f>
        <v>2632423</v>
      </c>
      <c r="D225" s="108">
        <f>RESID!D225+COML!D225+IND!D225+SHL!D225+SPA!D225</f>
        <v>1440042</v>
      </c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>
        <f t="shared" si="52"/>
        <v>19296</v>
      </c>
      <c r="Z225" s="175">
        <f>RESID!Z225+COML!Z225+IND!Z225+SHL!Z225+SPA!Z225</f>
        <v>2695394</v>
      </c>
      <c r="AA225" s="108">
        <f t="shared" si="50"/>
        <v>62971</v>
      </c>
      <c r="AB225" s="516">
        <f>RESID!AB225+COML!AB225+IND!AB225+SHL!AB225+SPA!AB225</f>
        <v>2685392</v>
      </c>
      <c r="BN225" s="4">
        <f t="shared" si="55"/>
        <v>2001</v>
      </c>
      <c r="BO225" s="4">
        <f t="shared" si="56"/>
        <v>5</v>
      </c>
      <c r="BP225" s="108">
        <f>SPA!BP225+SHL!BP225+IND!BP225+COML!BP225+RESID!BJ225</f>
        <v>2972684</v>
      </c>
      <c r="BQ225" s="108"/>
      <c r="BR225" s="108"/>
      <c r="BS225" s="108"/>
      <c r="BT225" s="175">
        <f>SPA!BT225+SHL!BT225+IND!BT225+COML!BT225+RESID!BT225</f>
        <v>3100412.2608865476</v>
      </c>
      <c r="BU225" s="108">
        <f t="shared" si="51"/>
        <v>1288.1421974231489</v>
      </c>
      <c r="BV225" s="108">
        <f t="shared" si="49"/>
        <v>127728.26088654762</v>
      </c>
    </row>
    <row r="226" spans="1:74">
      <c r="A226" s="4">
        <f t="shared" si="53"/>
        <v>2001</v>
      </c>
      <c r="B226" s="4">
        <f t="shared" si="54"/>
        <v>6</v>
      </c>
      <c r="C226" s="108">
        <f>RESID!C226+COML!C226+IND!C226+SHL!C226+SPA!C226</f>
        <v>3289018</v>
      </c>
      <c r="D226" s="108">
        <f>RESID!D226+COML!D226+IND!D226+SHL!D226+SPA!D226</f>
        <v>1440977</v>
      </c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>
        <f t="shared" si="52"/>
        <v>59203</v>
      </c>
      <c r="Z226" s="175">
        <f>RESID!Z226+COML!Z226+IND!Z226+SHL!Z226+SPA!Z226</f>
        <v>3287317</v>
      </c>
      <c r="AA226" s="108">
        <f t="shared" si="50"/>
        <v>-1701</v>
      </c>
      <c r="AB226" s="516">
        <f>RESID!AB226+COML!AB226+IND!AB226+SHL!AB226+SPA!AB226</f>
        <v>3256901</v>
      </c>
      <c r="BN226" s="4">
        <f t="shared" si="55"/>
        <v>2001</v>
      </c>
      <c r="BO226" s="4">
        <f t="shared" si="56"/>
        <v>6</v>
      </c>
      <c r="BP226" s="108">
        <f>SPA!BP226+SHL!BP226+IND!BP226+COML!BP226+RESID!BJ226</f>
        <v>3338390</v>
      </c>
      <c r="BQ226" s="108"/>
      <c r="BR226" s="108"/>
      <c r="BS226" s="108"/>
      <c r="BT226" s="175">
        <f>SPA!BT226+SHL!BT226+IND!BT226+COML!BT226+RESID!BT226</f>
        <v>3339937.6960278433</v>
      </c>
      <c r="BU226" s="108">
        <f t="shared" si="51"/>
        <v>94412.343600419816</v>
      </c>
      <c r="BV226" s="108">
        <f t="shared" si="49"/>
        <v>1547.6960278432816</v>
      </c>
    </row>
    <row r="227" spans="1:74">
      <c r="A227" s="4">
        <f t="shared" si="53"/>
        <v>2001</v>
      </c>
      <c r="B227" s="4">
        <f t="shared" si="54"/>
        <v>7</v>
      </c>
      <c r="C227" s="108">
        <f>RESID!C227+COML!C227+IND!C227+SHL!C227+SPA!C227</f>
        <v>3287542</v>
      </c>
      <c r="D227" s="108">
        <f>RESID!D227+COML!D227+IND!D227+SHL!D227+SPA!D227</f>
        <v>1419223</v>
      </c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>
        <f t="shared" si="52"/>
        <v>-93121</v>
      </c>
      <c r="Z227" s="175">
        <f>RESID!Z227+COML!Z227+IND!Z227+SHL!Z227+SPA!Z227</f>
        <v>3349973</v>
      </c>
      <c r="AA227" s="108">
        <f t="shared" si="50"/>
        <v>62431</v>
      </c>
      <c r="AB227" s="516">
        <f>RESID!AB227+COML!AB227+IND!AB227+SHL!AB227+SPA!AB227</f>
        <v>3394328</v>
      </c>
      <c r="BN227" s="4">
        <f t="shared" si="55"/>
        <v>2001</v>
      </c>
      <c r="BO227" s="4">
        <f t="shared" si="56"/>
        <v>7</v>
      </c>
      <c r="BP227" s="108">
        <f>SPA!BP227+SHL!BP227+IND!BP227+COML!BP227+RESID!BJ227</f>
        <v>3345975</v>
      </c>
      <c r="BQ227" s="108"/>
      <c r="BR227" s="108"/>
      <c r="BS227" s="108"/>
      <c r="BT227" s="175">
        <f>SPA!BT227+SHL!BT227+IND!BT227+COML!BT227+RESID!BT227</f>
        <v>3436664.5026853713</v>
      </c>
      <c r="BU227" s="108">
        <f t="shared" si="51"/>
        <v>21909.989204371814</v>
      </c>
      <c r="BV227" s="108">
        <f t="shared" si="49"/>
        <v>90689.502685371321</v>
      </c>
    </row>
    <row r="228" spans="1:74">
      <c r="A228" s="4">
        <f t="shared" si="53"/>
        <v>2001</v>
      </c>
      <c r="B228" s="4">
        <f t="shared" si="54"/>
        <v>8</v>
      </c>
      <c r="C228" s="108">
        <f>RESID!C228+COML!C228+IND!C228+SHL!C228+SPA!C228</f>
        <v>3339041</v>
      </c>
      <c r="D228" s="108">
        <f>RESID!D228+COML!D228+IND!D228+SHL!D228+SPA!D228</f>
        <v>1449881</v>
      </c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>
        <f t="shared" si="52"/>
        <v>105556</v>
      </c>
      <c r="Z228" s="175">
        <f>RESID!Z228+COML!Z228+IND!Z228+SHL!Z228+SPA!Z228</f>
        <v>3511320</v>
      </c>
      <c r="AA228" s="108">
        <f t="shared" si="50"/>
        <v>172279</v>
      </c>
      <c r="AB228" s="516">
        <f>RESID!AB228+COML!AB228+IND!AB228+SHL!AB228+SPA!AB228</f>
        <v>3477600</v>
      </c>
      <c r="BN228" s="4">
        <f t="shared" si="55"/>
        <v>2001</v>
      </c>
      <c r="BO228" s="4">
        <f t="shared" si="56"/>
        <v>8</v>
      </c>
      <c r="BP228" s="108">
        <f>SPA!BP228+SHL!BP228+IND!BP228+COML!BP228+RESID!BJ228</f>
        <v>3639985</v>
      </c>
      <c r="BQ228" s="108"/>
      <c r="BR228" s="108"/>
      <c r="BS228" s="108"/>
      <c r="BT228" s="175">
        <f>SPA!BT228+SHL!BT228+IND!BT228+COML!BT228+RESID!BT228</f>
        <v>3660281.3041799907</v>
      </c>
      <c r="BU228" s="108">
        <f t="shared" si="51"/>
        <v>92277.951531555038</v>
      </c>
      <c r="BV228" s="108">
        <f t="shared" si="49"/>
        <v>20296.304179990664</v>
      </c>
    </row>
    <row r="229" spans="1:74">
      <c r="A229" s="4">
        <f t="shared" si="53"/>
        <v>2001</v>
      </c>
      <c r="B229" s="4">
        <f t="shared" si="54"/>
        <v>9</v>
      </c>
      <c r="C229" s="108">
        <f>RESID!C229+COML!C229+IND!C229+SHL!C229+SPA!C229</f>
        <v>3591133</v>
      </c>
      <c r="D229" s="108">
        <f>RESID!D229+COML!D229+IND!D229+SHL!D229+SPA!D229</f>
        <v>1452315</v>
      </c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>
        <f t="shared" si="52"/>
        <v>50103</v>
      </c>
      <c r="Z229" s="175">
        <f>RESID!Z229+COML!Z229+IND!Z229+SHL!Z229+SPA!Z229</f>
        <v>3574867</v>
      </c>
      <c r="AA229" s="108">
        <f t="shared" si="50"/>
        <v>-16266</v>
      </c>
      <c r="AB229" s="516">
        <f>RESID!AB229+COML!AB229+IND!AB229+SHL!AB229+SPA!AB229</f>
        <v>3569121</v>
      </c>
      <c r="BN229" s="4">
        <f t="shared" si="55"/>
        <v>2001</v>
      </c>
      <c r="BO229" s="4">
        <f t="shared" si="56"/>
        <v>9</v>
      </c>
      <c r="BP229" s="108">
        <f>SPA!BP229+SHL!BP229+IND!BP229+COML!BP229+RESID!BJ229</f>
        <v>3078076.0000000005</v>
      </c>
      <c r="BQ229" s="108"/>
      <c r="BR229" s="108"/>
      <c r="BS229" s="108"/>
      <c r="BT229" s="175">
        <f>SPA!BT229+SHL!BT229+IND!BT229+COML!BT229+RESID!BT229</f>
        <v>3357099.9646654981</v>
      </c>
      <c r="BU229" s="108">
        <f t="shared" si="51"/>
        <v>96784.723227517679</v>
      </c>
      <c r="BV229" s="108">
        <f t="shared" si="49"/>
        <v>279023.96466549765</v>
      </c>
    </row>
    <row r="230" spans="1:74">
      <c r="A230" s="4">
        <f t="shared" si="53"/>
        <v>2001</v>
      </c>
      <c r="B230" s="4">
        <f t="shared" si="54"/>
        <v>10</v>
      </c>
      <c r="C230" s="108">
        <f>RESID!C230+COML!C230+IND!C230+SHL!C230+SPA!C230</f>
        <v>2839060</v>
      </c>
      <c r="D230" s="108">
        <f>RESID!D230+COML!D230+IND!D230+SHL!D230+SPA!D230</f>
        <v>1443605</v>
      </c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>
        <f t="shared" si="52"/>
        <v>20002</v>
      </c>
      <c r="Z230" s="175">
        <f>RESID!Z230+COML!Z230+IND!Z230+SHL!Z230+SPA!Z230</f>
        <v>3117699</v>
      </c>
      <c r="AA230" s="108">
        <f t="shared" si="50"/>
        <v>278639</v>
      </c>
      <c r="AB230" s="516">
        <f>RESID!AB230+COML!AB230+IND!AB230+SHL!AB230+SPA!AB230</f>
        <v>3138774</v>
      </c>
      <c r="BN230" s="4">
        <f t="shared" si="55"/>
        <v>2001</v>
      </c>
      <c r="BO230" s="4">
        <f t="shared" si="56"/>
        <v>10</v>
      </c>
      <c r="BP230" s="108">
        <f>SPA!BP230+SHL!BP230+IND!BP230+COML!BP230+RESID!BJ230</f>
        <v>2780312</v>
      </c>
      <c r="BQ230" s="108"/>
      <c r="BR230" s="108"/>
      <c r="BS230" s="108"/>
      <c r="BT230" s="175">
        <f>SPA!BT230+SHL!BT230+IND!BT230+COML!BT230+RESID!BT230</f>
        <v>2877081.7822155501</v>
      </c>
      <c r="BU230" s="108">
        <f t="shared" si="51"/>
        <v>-7774.2414284790866</v>
      </c>
      <c r="BV230" s="108">
        <f t="shared" si="49"/>
        <v>96769.782215550076</v>
      </c>
    </row>
    <row r="231" spans="1:74">
      <c r="A231" s="4">
        <f t="shared" si="53"/>
        <v>2001</v>
      </c>
      <c r="B231" s="4">
        <f t="shared" si="54"/>
        <v>11</v>
      </c>
      <c r="C231" s="108">
        <f>RESID!C231+COML!C231+IND!C231+SHL!C231+SPA!C231</f>
        <v>2673167</v>
      </c>
      <c r="D231" s="108">
        <f>RESID!D231+COML!D231+IND!D231+SHL!D231+SPA!D231</f>
        <v>1495902</v>
      </c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>
        <f t="shared" si="52"/>
        <v>57663</v>
      </c>
      <c r="Z231" s="175">
        <f>RESID!Z231+COML!Z231+IND!Z231+SHL!Z231+SPA!Z231</f>
        <v>2749272</v>
      </c>
      <c r="AA231" s="108">
        <f t="shared" si="50"/>
        <v>76105</v>
      </c>
      <c r="AB231" s="516">
        <f>RESID!AB231+COML!AB231+IND!AB231+SHL!AB231+SPA!AB231</f>
        <v>2683264</v>
      </c>
      <c r="BN231" s="4">
        <f t="shared" si="55"/>
        <v>2001</v>
      </c>
      <c r="BO231" s="4">
        <f t="shared" si="56"/>
        <v>11</v>
      </c>
      <c r="BP231" s="108">
        <f>SPA!BP231+SHL!BP231+IND!BP231+COML!BP231+RESID!BJ231</f>
        <v>2418838</v>
      </c>
      <c r="BQ231" s="108"/>
      <c r="BR231" s="108"/>
      <c r="BS231" s="108"/>
      <c r="BT231" s="175">
        <f>SPA!BT231+SHL!BT231+IND!BT231+COML!BT231+RESID!BT231</f>
        <v>2476216.9970809976</v>
      </c>
      <c r="BU231" s="108">
        <f t="shared" si="51"/>
        <v>-4578.7775226440281</v>
      </c>
      <c r="BV231" s="108">
        <f t="shared" si="49"/>
        <v>57378.997080997564</v>
      </c>
    </row>
    <row r="232" spans="1:74" s="89" customFormat="1">
      <c r="A232" s="89">
        <f t="shared" si="53"/>
        <v>2001</v>
      </c>
      <c r="B232" s="89">
        <f t="shared" si="54"/>
        <v>12</v>
      </c>
      <c r="C232" s="117">
        <f>RESID!C232+COML!C232+IND!C232+SHL!C232+SPA!C232</f>
        <v>2578048</v>
      </c>
      <c r="D232" s="117">
        <f>RESID!D232+COML!D232+IND!D232+SHL!D232+SPA!D232</f>
        <v>1433760</v>
      </c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>
        <f t="shared" si="52"/>
        <v>135181</v>
      </c>
      <c r="Z232" s="176">
        <f>RESID!Z232+COML!Z232+IND!Z232+SHL!Z232+SPA!Z232</f>
        <v>2641470</v>
      </c>
      <c r="AA232" s="117">
        <f t="shared" si="50"/>
        <v>63422</v>
      </c>
      <c r="AB232" s="525">
        <f>RESID!AB232+COML!AB232+IND!AB232+SHL!AB232+SPA!AB232</f>
        <v>2678889</v>
      </c>
      <c r="BN232" s="89">
        <f t="shared" si="55"/>
        <v>2001</v>
      </c>
      <c r="BO232" s="89">
        <f t="shared" si="56"/>
        <v>12</v>
      </c>
      <c r="BP232" s="117">
        <f>SPA!BP232+SHL!BP232+IND!BP232+COML!BP232+RESID!BJ232</f>
        <v>2647751</v>
      </c>
      <c r="BQ232" s="117"/>
      <c r="BR232" s="117"/>
      <c r="BS232" s="117"/>
      <c r="BT232" s="176">
        <f>SPA!BT232+SHL!BT232+IND!BT232+COML!BT232+RESID!BT232</f>
        <v>2589479.8773209983</v>
      </c>
      <c r="BU232" s="117">
        <f t="shared" si="51"/>
        <v>-34994.378239068668</v>
      </c>
      <c r="BV232" s="117">
        <f t="shared" si="49"/>
        <v>-58271.122679001652</v>
      </c>
    </row>
    <row r="233" spans="1:74">
      <c r="A233" s="4">
        <f t="shared" si="53"/>
        <v>2002</v>
      </c>
      <c r="B233" s="4">
        <f t="shared" si="54"/>
        <v>1</v>
      </c>
      <c r="C233" s="108">
        <f>RESID!C233+COML!C233+IND!C233+SHL!C233+SPA!C233</f>
        <v>2954739</v>
      </c>
      <c r="D233" s="108">
        <f>RESID!D233+COML!D233+IND!D233+SHL!D233+SPA!D233</f>
        <v>1475831</v>
      </c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>
        <f t="shared" si="52"/>
        <v>-91539</v>
      </c>
      <c r="Z233" s="175">
        <f>RESID!Z233+COML!Z233+IND!Z233+SHL!Z233+SPA!Z233</f>
        <v>2731167</v>
      </c>
      <c r="AA233" s="108">
        <f t="shared" si="50"/>
        <v>-223572</v>
      </c>
      <c r="AB233" s="516">
        <f>RESID!AB233+COML!AB233+IND!AB233+SHL!AB233+SPA!AB233</f>
        <v>2723968</v>
      </c>
      <c r="BN233" s="4">
        <f t="shared" si="55"/>
        <v>2002</v>
      </c>
      <c r="BO233" s="4">
        <f t="shared" si="56"/>
        <v>1</v>
      </c>
      <c r="BP233" s="108">
        <f>SPA!BP233+SHL!BP233+IND!BP233+COML!BP233+RESID!BJ233</f>
        <v>2916618</v>
      </c>
      <c r="BQ233" s="108"/>
      <c r="BR233" s="108"/>
      <c r="BS233" s="108"/>
      <c r="BT233" s="175">
        <f>SPA!BT233+SHL!BT233+IND!BT233+COML!BT233+RESID!BT233</f>
        <v>2729316.4670997546</v>
      </c>
      <c r="BU233" s="108">
        <f t="shared" si="51"/>
        <v>12165.846564635169</v>
      </c>
      <c r="BV233" s="108">
        <f t="shared" si="49"/>
        <v>-187301.53290024539</v>
      </c>
    </row>
    <row r="234" spans="1:74">
      <c r="A234" s="4">
        <f t="shared" si="53"/>
        <v>2002</v>
      </c>
      <c r="B234" s="4">
        <f t="shared" si="54"/>
        <v>2</v>
      </c>
      <c r="C234" s="108">
        <f>RESID!C234+COML!C234+IND!C234+SHL!C234+SPA!C234</f>
        <v>2510505</v>
      </c>
      <c r="D234" s="108">
        <f>RESID!D234+COML!D234+IND!D234+SHL!D234+SPA!D234</f>
        <v>1477875</v>
      </c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>
        <f t="shared" si="52"/>
        <v>49893</v>
      </c>
      <c r="Z234" s="175">
        <f>RESID!Z234+COML!Z234+IND!Z234+SHL!Z234+SPA!Z234</f>
        <v>2568610</v>
      </c>
      <c r="AA234" s="108">
        <f t="shared" si="50"/>
        <v>58105</v>
      </c>
      <c r="AB234" s="516">
        <f>RESID!AB234+COML!AB234+IND!AB234+SHL!AB234+SPA!AB234</f>
        <v>2575266</v>
      </c>
      <c r="BN234" s="4">
        <f t="shared" si="55"/>
        <v>2002</v>
      </c>
      <c r="BO234" s="4">
        <f t="shared" si="56"/>
        <v>2</v>
      </c>
      <c r="BP234" s="108">
        <f>SPA!BP234+SHL!BP234+IND!BP234+COML!BP234+RESID!BJ234</f>
        <v>2359800</v>
      </c>
      <c r="BQ234" s="108"/>
      <c r="BR234" s="108"/>
      <c r="BS234" s="108"/>
      <c r="BT234" s="175">
        <f>SPA!BT234+SHL!BT234+IND!BT234+COML!BT234+RESID!BT234</f>
        <v>2385053.5383757353</v>
      </c>
      <c r="BU234" s="108">
        <f t="shared" si="51"/>
        <v>-17862.792645964772</v>
      </c>
      <c r="BV234" s="108">
        <f t="shared" si="49"/>
        <v>25253.538375735283</v>
      </c>
    </row>
    <row r="235" spans="1:74">
      <c r="A235" s="4">
        <f t="shared" si="53"/>
        <v>2002</v>
      </c>
      <c r="B235" s="4">
        <f t="shared" si="54"/>
        <v>3</v>
      </c>
      <c r="C235" s="108">
        <f>RESID!C235+COML!C235+IND!C235+SHL!C235+SPA!C235</f>
        <v>2553921</v>
      </c>
      <c r="D235" s="108">
        <f>RESID!D235+COML!D235+IND!D235+SHL!D235+SPA!D235</f>
        <v>1469300</v>
      </c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>
        <f t="shared" si="52"/>
        <v>33033</v>
      </c>
      <c r="Z235" s="175">
        <f>RESID!Z235+COML!Z235+IND!Z235+SHL!Z235+SPA!Z235</f>
        <v>2474156</v>
      </c>
      <c r="AA235" s="108">
        <f t="shared" si="50"/>
        <v>-79765</v>
      </c>
      <c r="AB235" s="516">
        <f>RESID!AB235+COML!AB235+IND!AB235+SHL!AB235+SPA!AB235</f>
        <v>2468741</v>
      </c>
      <c r="BN235" s="4">
        <f t="shared" si="55"/>
        <v>2002</v>
      </c>
      <c r="BO235" s="4">
        <f t="shared" si="56"/>
        <v>3</v>
      </c>
      <c r="BP235" s="108">
        <f>SPA!BP235+SHL!BP235+IND!BP235+COML!BP235+RESID!BJ235</f>
        <v>2749691</v>
      </c>
      <c r="BQ235" s="108"/>
      <c r="BR235" s="108"/>
      <c r="BS235" s="108"/>
      <c r="BT235" s="175">
        <f>SPA!BT235+SHL!BT235+IND!BT235+COML!BT235+RESID!BT235</f>
        <v>2590106.3181420877</v>
      </c>
      <c r="BU235" s="108">
        <f t="shared" si="51"/>
        <v>58640.55880216416</v>
      </c>
      <c r="BV235" s="108">
        <f t="shared" si="49"/>
        <v>-159584.68185791234</v>
      </c>
    </row>
    <row r="236" spans="1:74">
      <c r="A236" s="4">
        <f t="shared" si="53"/>
        <v>2002</v>
      </c>
      <c r="B236" s="4">
        <f t="shared" si="54"/>
        <v>4</v>
      </c>
      <c r="C236" s="108">
        <f>RESID!C236+COML!C236+IND!C236+SHL!C236+SPA!C236</f>
        <v>2639387</v>
      </c>
      <c r="D236" s="108">
        <f>RESID!D236+COML!D236+IND!D236+SHL!D236+SPA!D236</f>
        <v>1405222</v>
      </c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>
        <f t="shared" si="52"/>
        <v>-94700</v>
      </c>
      <c r="Z236" s="175">
        <f>RESID!Z236+COML!Z236+IND!Z236+SHL!Z236+SPA!Z236</f>
        <v>2537675</v>
      </c>
      <c r="AA236" s="108">
        <f t="shared" si="50"/>
        <v>-101712</v>
      </c>
      <c r="AB236" s="516">
        <f>RESID!AB236+COML!AB236+IND!AB236+SHL!AB236+SPA!AB236</f>
        <v>2644269</v>
      </c>
      <c r="BN236" s="4">
        <f t="shared" si="55"/>
        <v>2002</v>
      </c>
      <c r="BO236" s="4">
        <f t="shared" si="56"/>
        <v>4</v>
      </c>
      <c r="BP236" s="108">
        <f>SPA!BP236+SHL!BP236+IND!BP236+COML!BP236+RESID!BJ236</f>
        <v>2846180</v>
      </c>
      <c r="BQ236" s="108"/>
      <c r="BR236" s="108"/>
      <c r="BS236" s="108"/>
      <c r="BT236" s="175">
        <f>SPA!BT236+SHL!BT236+IND!BT236+COML!BT236+RESID!BT236</f>
        <v>2660839.1620119456</v>
      </c>
      <c r="BU236" s="108">
        <f t="shared" si="51"/>
        <v>28212.655495410785</v>
      </c>
      <c r="BV236" s="108">
        <f t="shared" si="49"/>
        <v>-185340.83798805438</v>
      </c>
    </row>
    <row r="237" spans="1:74">
      <c r="A237" s="4">
        <f t="shared" si="53"/>
        <v>2002</v>
      </c>
      <c r="B237" s="4">
        <f t="shared" si="54"/>
        <v>5</v>
      </c>
      <c r="C237" s="108">
        <f>RESID!C237+COML!C237+IND!C237+SHL!C237+SPA!C237</f>
        <v>3337036</v>
      </c>
      <c r="D237" s="108">
        <f>RESID!D237+COML!D237+IND!D237+SHL!D237+SPA!D237</f>
        <v>1535708</v>
      </c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>
        <f t="shared" si="52"/>
        <v>285046</v>
      </c>
      <c r="Z237" s="175">
        <f>RESID!Z237+COML!Z237+IND!Z237+SHL!Z237+SPA!Z237</f>
        <v>2980440</v>
      </c>
      <c r="AA237" s="108">
        <f t="shared" si="50"/>
        <v>-356596</v>
      </c>
      <c r="AB237" s="516">
        <f>RESID!AB237+COML!AB237+IND!AB237+SHL!AB237+SPA!AB237</f>
        <v>2841987</v>
      </c>
      <c r="BN237" s="4">
        <f t="shared" si="55"/>
        <v>2002</v>
      </c>
      <c r="BO237" s="4">
        <f t="shared" si="56"/>
        <v>5</v>
      </c>
      <c r="BP237" s="108">
        <f>SPA!BP237+SHL!BP237+IND!BP237+COML!BP237+RESID!BJ237</f>
        <v>3368696</v>
      </c>
      <c r="BQ237" s="108"/>
      <c r="BR237" s="108"/>
      <c r="BS237" s="108"/>
      <c r="BT237" s="175">
        <f>SPA!BT237+SHL!BT237+IND!BT237+COML!BT237+RESID!BT237</f>
        <v>3297234.5831495719</v>
      </c>
      <c r="BU237" s="108">
        <f t="shared" si="51"/>
        <v>196822.32226302428</v>
      </c>
      <c r="BV237" s="108">
        <f t="shared" ref="BV237:BV268" si="57">BT237-BP237</f>
        <v>-71461.416850428097</v>
      </c>
    </row>
    <row r="238" spans="1:74">
      <c r="A238" s="4">
        <f t="shared" si="53"/>
        <v>2002</v>
      </c>
      <c r="B238" s="4">
        <f t="shared" si="54"/>
        <v>6</v>
      </c>
      <c r="C238" s="108">
        <f>RESID!C238+COML!C238+IND!C238+SHL!C238+SPA!C238</f>
        <v>3103342</v>
      </c>
      <c r="D238" s="108">
        <f>RESID!D238+COML!D238+IND!D238+SHL!D238+SPA!D238</f>
        <v>1402590</v>
      </c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>
        <f t="shared" si="52"/>
        <v>-141743</v>
      </c>
      <c r="Z238" s="175">
        <f>RESID!Z238+COML!Z238+IND!Z238+SHL!Z238+SPA!Z238</f>
        <v>3145574</v>
      </c>
      <c r="AA238" s="108">
        <f t="shared" si="50"/>
        <v>42232</v>
      </c>
      <c r="AB238" s="516">
        <f>RESID!AB238+COML!AB238+IND!AB238+SHL!AB238+SPA!AB238</f>
        <v>3295880</v>
      </c>
      <c r="BN238" s="4">
        <f t="shared" si="55"/>
        <v>2002</v>
      </c>
      <c r="BO238" s="4">
        <f t="shared" si="56"/>
        <v>6</v>
      </c>
      <c r="BP238" s="108">
        <f>SPA!BP238+SHL!BP238+IND!BP238+COML!BP238+RESID!BJ238</f>
        <v>3259229</v>
      </c>
      <c r="BQ238" s="108"/>
      <c r="BR238" s="108"/>
      <c r="BS238" s="108"/>
      <c r="BT238" s="175">
        <f>SPA!BT238+SHL!BT238+IND!BT238+COML!BT238+RESID!BT238</f>
        <v>3348041.046800517</v>
      </c>
      <c r="BU238" s="108">
        <f t="shared" ref="BU238:BU243" si="58">BT238-BT226</f>
        <v>8103.3507726737298</v>
      </c>
      <c r="BV238" s="108">
        <f t="shared" si="57"/>
        <v>88812.046800517011</v>
      </c>
    </row>
    <row r="239" spans="1:74">
      <c r="A239" s="4">
        <f t="shared" si="53"/>
        <v>2002</v>
      </c>
      <c r="B239" s="4">
        <f t="shared" si="54"/>
        <v>7</v>
      </c>
      <c r="C239" s="108">
        <f>RESID!C239+COML!C239+IND!C239+SHL!C239+SPA!C239</f>
        <v>3442662</v>
      </c>
      <c r="D239" s="108">
        <f>RESID!D239+COML!D239+IND!D239+SHL!D239+SPA!D239</f>
        <v>1514771</v>
      </c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>
        <f t="shared" si="52"/>
        <v>270509</v>
      </c>
      <c r="Z239" s="175">
        <f>RESID!Z239+COML!Z239+IND!Z239+SHL!Z239+SPA!Z239</f>
        <v>3620482</v>
      </c>
      <c r="AA239" s="108">
        <f t="shared" ref="AA239:AA244" si="59">Z239-C239</f>
        <v>177820</v>
      </c>
      <c r="AB239" s="516">
        <f>RESID!AB239+COML!AB239+IND!AB239+SHL!AB239+SPA!AB239</f>
        <v>3509142</v>
      </c>
      <c r="BN239" s="4">
        <f t="shared" si="55"/>
        <v>2002</v>
      </c>
      <c r="BO239" s="4">
        <f t="shared" si="56"/>
        <v>7</v>
      </c>
      <c r="BP239" s="108">
        <f>SPA!BP239+SHL!BP239+IND!BP239+COML!BP239+RESID!BJ239</f>
        <v>3565148</v>
      </c>
      <c r="BQ239" s="108"/>
      <c r="BR239" s="108"/>
      <c r="BS239" s="108"/>
      <c r="BT239" s="175">
        <f>SPA!BT239+SHL!BT239+IND!BT239+COML!BT239+RESID!BT239</f>
        <v>3630086.1581223859</v>
      </c>
      <c r="BU239" s="108">
        <f t="shared" si="58"/>
        <v>193421.65543701453</v>
      </c>
      <c r="BV239" s="108">
        <f t="shared" si="57"/>
        <v>64938.158122385852</v>
      </c>
    </row>
    <row r="240" spans="1:74">
      <c r="A240" s="4">
        <f t="shared" si="53"/>
        <v>2002</v>
      </c>
      <c r="B240" s="4">
        <f t="shared" si="54"/>
        <v>8</v>
      </c>
      <c r="C240" s="108">
        <f>RESID!C240+COML!C240+IND!C240+SHL!C240+SPA!C240</f>
        <v>3450733</v>
      </c>
      <c r="D240" s="108">
        <f>RESID!D240+COML!D240+IND!D240+SHL!D240+SPA!D240</f>
        <v>1474561</v>
      </c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>
        <f t="shared" si="52"/>
        <v>33443</v>
      </c>
      <c r="Z240" s="175">
        <f>RESID!Z240+COML!Z240+IND!Z240+SHL!Z240+SPA!Z240</f>
        <v>3544763</v>
      </c>
      <c r="AA240" s="108">
        <f t="shared" si="59"/>
        <v>94030</v>
      </c>
      <c r="AB240" s="516">
        <f>RESID!AB240+COML!AB240+IND!AB240+SHL!AB240+SPA!AB240</f>
        <v>3553577</v>
      </c>
      <c r="BN240" s="4">
        <f t="shared" si="55"/>
        <v>2002</v>
      </c>
      <c r="BO240" s="4">
        <f t="shared" si="56"/>
        <v>8</v>
      </c>
      <c r="BP240" s="108">
        <f>SPA!BP240+SHL!BP240+IND!BP240+COML!BP240+RESID!BJ240</f>
        <v>3596860</v>
      </c>
      <c r="BQ240" s="108"/>
      <c r="BR240" s="108"/>
      <c r="BS240" s="108"/>
      <c r="BT240" s="175">
        <f>SPA!BT240+SHL!BT240+IND!BT240+COML!BT240+RESID!BT240</f>
        <v>3704184.9130278844</v>
      </c>
      <c r="BU240" s="108">
        <f t="shared" si="58"/>
        <v>43903.608847893775</v>
      </c>
      <c r="BV240" s="108">
        <f t="shared" si="57"/>
        <v>107324.91302788444</v>
      </c>
    </row>
    <row r="241" spans="1:74">
      <c r="A241" s="4">
        <f t="shared" si="53"/>
        <v>2002</v>
      </c>
      <c r="B241" s="4">
        <f t="shared" si="54"/>
        <v>9</v>
      </c>
      <c r="C241" s="108">
        <f>RESID!C241+COML!C241+IND!C241+SHL!C241+SPA!C241</f>
        <v>3558821</v>
      </c>
      <c r="D241" s="108">
        <f>RESID!D241+COML!D241+IND!D241+SHL!D241+SPA!D241</f>
        <v>1490835</v>
      </c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>
        <f t="shared" si="52"/>
        <v>48318</v>
      </c>
      <c r="Z241" s="175">
        <f>RESID!Z241+COML!Z241+IND!Z241+SHL!Z241+SPA!Z241</f>
        <v>3623185</v>
      </c>
      <c r="AA241" s="108">
        <f t="shared" si="59"/>
        <v>64364</v>
      </c>
      <c r="AB241" s="516">
        <f>RESID!AB241+COML!AB241+IND!AB241+SHL!AB241+SPA!AB241</f>
        <v>3608519</v>
      </c>
      <c r="BN241" s="4">
        <f t="shared" si="55"/>
        <v>2002</v>
      </c>
      <c r="BO241" s="4">
        <f t="shared" si="56"/>
        <v>9</v>
      </c>
      <c r="BP241" s="108">
        <f>SPA!BP241+SHL!BP241+IND!BP241+COML!BP241+RESID!BJ241</f>
        <v>3463776</v>
      </c>
      <c r="BQ241" s="108"/>
      <c r="BR241" s="108"/>
      <c r="BS241" s="108"/>
      <c r="BT241" s="175">
        <f>SPA!BT241+SHL!BT241+IND!BT241+COML!BT241+RESID!BT241</f>
        <v>3370956.9755115635</v>
      </c>
      <c r="BU241" s="108">
        <f t="shared" si="58"/>
        <v>13857.010846065357</v>
      </c>
      <c r="BV241" s="108">
        <f t="shared" si="57"/>
        <v>-92819.024488436524</v>
      </c>
    </row>
    <row r="242" spans="1:74">
      <c r="A242" s="4">
        <f t="shared" si="53"/>
        <v>2002</v>
      </c>
      <c r="B242" s="4">
        <f t="shared" si="54"/>
        <v>10</v>
      </c>
      <c r="C242" s="108">
        <f>RESID!C242+COML!C242+IND!C242+SHL!C242+SPA!C242</f>
        <v>3304901</v>
      </c>
      <c r="D242" s="108">
        <f>RESID!D242+COML!D242+IND!D242+SHL!D242+SPA!D242</f>
        <v>1432912</v>
      </c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>
        <f t="shared" si="52"/>
        <v>20166</v>
      </c>
      <c r="Z242" s="175">
        <f>RESID!Z242+COML!Z242+IND!Z242+SHL!Z242+SPA!Z242</f>
        <v>3137865</v>
      </c>
      <c r="AA242" s="108">
        <f t="shared" si="59"/>
        <v>-167036</v>
      </c>
      <c r="AB242" s="516">
        <f>RESID!AB242+COML!AB242+IND!AB242+SHL!AB242+SPA!AB242</f>
        <v>3229286</v>
      </c>
      <c r="BN242" s="4">
        <f t="shared" si="55"/>
        <v>2002</v>
      </c>
      <c r="BO242" s="4">
        <f t="shared" si="56"/>
        <v>10</v>
      </c>
      <c r="BP242" s="108">
        <f>SPA!BP242+SHL!BP242+IND!BP242+COML!BP242+RESID!BJ242</f>
        <v>3320673</v>
      </c>
      <c r="BQ242" s="108"/>
      <c r="BR242" s="108"/>
      <c r="BS242" s="108"/>
      <c r="BT242" s="175">
        <f>SPA!BT242+SHL!BT242+IND!BT242+COML!BT242+RESID!BT242</f>
        <v>3084003.8882510141</v>
      </c>
      <c r="BU242" s="108">
        <f t="shared" si="58"/>
        <v>206922.10603546398</v>
      </c>
      <c r="BV242" s="108">
        <f t="shared" si="57"/>
        <v>-236669.11174898595</v>
      </c>
    </row>
    <row r="243" spans="1:74">
      <c r="A243" s="4">
        <f t="shared" si="53"/>
        <v>2002</v>
      </c>
      <c r="B243" s="4">
        <f t="shared" si="54"/>
        <v>11</v>
      </c>
      <c r="C243" s="108">
        <f>RESID!C243+COML!C243+IND!C243+SHL!C243+SPA!C243</f>
        <v>3153699</v>
      </c>
      <c r="D243" s="108">
        <f>RESID!D243+COML!D243+IND!D243+SHL!D243+SPA!D243</f>
        <v>1565119</v>
      </c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>
        <f t="shared" si="52"/>
        <v>213233</v>
      </c>
      <c r="Z243" s="175">
        <f>RESID!Z243+COML!Z243+IND!Z243+SHL!Z243+SPA!Z243</f>
        <v>2962505</v>
      </c>
      <c r="AA243" s="108">
        <f t="shared" si="59"/>
        <v>-191194</v>
      </c>
      <c r="AB243" s="516">
        <f>RESID!AB243+COML!AB243+IND!AB243+SHL!AB243+SPA!AB243</f>
        <v>2835386</v>
      </c>
      <c r="BN243" s="4">
        <f t="shared" si="55"/>
        <v>2002</v>
      </c>
      <c r="BO243" s="4">
        <f t="shared" si="56"/>
        <v>11</v>
      </c>
      <c r="BP243" s="108">
        <f>SPA!BP243+SHL!BP243+IND!BP243+COML!BP243+RESID!BJ243</f>
        <v>2605280</v>
      </c>
      <c r="BQ243" s="108"/>
      <c r="BR243" s="108"/>
      <c r="BS243" s="108"/>
      <c r="BT243" s="175">
        <f>SPA!BT243+SHL!BT243+IND!BT243+COML!BT243+RESID!BT243</f>
        <v>2533892.691313915</v>
      </c>
      <c r="BU243" s="108">
        <f t="shared" si="58"/>
        <v>57675.694232917391</v>
      </c>
      <c r="BV243" s="108">
        <f t="shared" si="57"/>
        <v>-71387.308686085045</v>
      </c>
    </row>
    <row r="244" spans="1:74" s="89" customFormat="1">
      <c r="A244" s="89">
        <f t="shared" si="53"/>
        <v>2002</v>
      </c>
      <c r="B244" s="89">
        <f t="shared" si="54"/>
        <v>12</v>
      </c>
      <c r="C244" s="117">
        <f>RESID!C244+COML!C244+IND!C244+SHL!C244+SPA!C244</f>
        <v>2849598</v>
      </c>
      <c r="D244" s="117">
        <f>RESID!D244+COML!D244+IND!D244+SHL!D244+SPA!D244</f>
        <v>1464401</v>
      </c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7"/>
      <c r="W244" s="117"/>
      <c r="X244" s="117"/>
      <c r="Y244" s="117">
        <f t="shared" si="52"/>
        <v>154727</v>
      </c>
      <c r="Z244" s="176">
        <f>RESID!Z244+COML!Z244+IND!Z244+SHL!Z244+SPA!Z244</f>
        <v>2796197</v>
      </c>
      <c r="AA244" s="117">
        <f t="shared" si="59"/>
        <v>-53401</v>
      </c>
      <c r="AB244" s="525">
        <f>RESID!AB244+COML!AB244+IND!AB244+SHL!AB244+SPA!AB244</f>
        <v>2802870</v>
      </c>
      <c r="BN244" s="89">
        <f t="shared" si="55"/>
        <v>2002</v>
      </c>
      <c r="BO244" s="89">
        <f t="shared" si="56"/>
        <v>12</v>
      </c>
      <c r="BP244" s="117">
        <f>SPA!BP244+SHL!BP244+IND!BP244+COML!BP244+RESID!BJ244</f>
        <v>2785783</v>
      </c>
      <c r="BQ244" s="117"/>
      <c r="BR244" s="117"/>
      <c r="BS244" s="117"/>
      <c r="BT244" s="176">
        <f>SPA!BT244+SHL!BT244+IND!BT244+COML!BT244+RESID!BT244</f>
        <v>2695062.8146165041</v>
      </c>
      <c r="BU244" s="117">
        <f t="shared" ref="BU244:BU249" si="60">BT244-BT232</f>
        <v>105582.93729550578</v>
      </c>
      <c r="BV244" s="117">
        <f t="shared" si="57"/>
        <v>-90720.185383495875</v>
      </c>
    </row>
    <row r="245" spans="1:74">
      <c r="A245" s="4">
        <f t="shared" si="53"/>
        <v>2003</v>
      </c>
      <c r="B245" s="4">
        <f t="shared" si="54"/>
        <v>1</v>
      </c>
      <c r="C245" s="108">
        <f>RESID!C245+COML!C245+IND!C245+SHL!C245+SPA!C245</f>
        <v>3083847</v>
      </c>
      <c r="D245" s="108">
        <f>RESID!D245+COML!D245+IND!D245+SHL!D245+SPA!D245</f>
        <v>1490350</v>
      </c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>
        <f t="shared" si="52"/>
        <v>101612</v>
      </c>
      <c r="Z245" s="175">
        <f>RESID!Z245+COML!Z245+IND!Z245+SHL!Z245+SPA!Z245</f>
        <v>2832779</v>
      </c>
      <c r="AA245" s="108">
        <f t="shared" ref="AA245:AA250" si="61">Z245-C245</f>
        <v>-251068</v>
      </c>
      <c r="AB245" s="516">
        <f>RESID!AB245+COML!AB245+IND!AB245+SHL!AB245+SPA!AB245</f>
        <v>2871306</v>
      </c>
      <c r="BN245" s="4">
        <f t="shared" si="55"/>
        <v>2003</v>
      </c>
      <c r="BO245" s="4">
        <f t="shared" si="56"/>
        <v>1</v>
      </c>
      <c r="BP245" s="108">
        <f>SPA!BP245+SHL!BP245+IND!BP245+COML!BP245+RESID!BJ245</f>
        <v>3329587</v>
      </c>
      <c r="BQ245" s="108"/>
      <c r="BR245" s="108"/>
      <c r="BS245" s="108"/>
      <c r="BT245" s="175">
        <f>SPA!BT245+SHL!BT245+IND!BT245+COML!BT245+RESID!BT245</f>
        <v>2848131.7471236573</v>
      </c>
      <c r="BU245" s="108">
        <f t="shared" si="60"/>
        <v>118815.28002390265</v>
      </c>
      <c r="BV245" s="108">
        <f t="shared" si="57"/>
        <v>-481455.25287634274</v>
      </c>
    </row>
    <row r="246" spans="1:74">
      <c r="A246" s="4">
        <f t="shared" si="53"/>
        <v>2003</v>
      </c>
      <c r="B246" s="4">
        <f t="shared" si="54"/>
        <v>2</v>
      </c>
      <c r="C246" s="108">
        <f>RESID!C246+COML!C246+IND!C246+SHL!C246+SPA!C246</f>
        <v>2937496</v>
      </c>
      <c r="D246" s="108">
        <f>RESID!D246+COML!D246+IND!D246+SHL!D246+SPA!D246</f>
        <v>1504899</v>
      </c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>
        <f t="shared" si="52"/>
        <v>97415</v>
      </c>
      <c r="Z246" s="175">
        <f>RESID!Z246+COML!Z246+IND!Z246+SHL!Z246+SPA!Z246</f>
        <v>2666025</v>
      </c>
      <c r="AA246" s="108">
        <f t="shared" si="61"/>
        <v>-271471</v>
      </c>
      <c r="AB246" s="516">
        <f>RESID!AB246+COML!AB246+IND!AB246+SHL!AB246+SPA!AB246</f>
        <v>2690167</v>
      </c>
      <c r="BN246" s="4">
        <f t="shared" si="55"/>
        <v>2003</v>
      </c>
      <c r="BO246" s="4">
        <f t="shared" si="56"/>
        <v>2</v>
      </c>
      <c r="BP246" s="108">
        <f>SPA!BP246+SHL!BP246+IND!BP246+COML!BP246+RESID!BJ246</f>
        <v>2478386</v>
      </c>
      <c r="BQ246" s="108"/>
      <c r="BR246" s="108"/>
      <c r="BS246" s="108"/>
      <c r="BT246" s="175">
        <f>SPA!BT246+SHL!BT246+IND!BT246+COML!BT246+RESID!BT246</f>
        <v>2531765.5078947572</v>
      </c>
      <c r="BU246" s="108">
        <f t="shared" si="60"/>
        <v>146711.96951902192</v>
      </c>
      <c r="BV246" s="108">
        <f t="shared" si="57"/>
        <v>53379.507894757204</v>
      </c>
    </row>
    <row r="247" spans="1:74">
      <c r="A247" s="4">
        <f t="shared" si="53"/>
        <v>2003</v>
      </c>
      <c r="B247" s="4">
        <f t="shared" si="54"/>
        <v>3</v>
      </c>
      <c r="C247" s="108">
        <f>RESID!C247+COML!C247+IND!C247+SHL!C247+SPA!C247</f>
        <v>2545620</v>
      </c>
      <c r="D247" s="108">
        <f>RESID!D247+COML!D247+IND!D247+SHL!D247+SPA!D247</f>
        <v>1483062</v>
      </c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>
        <f t="shared" si="52"/>
        <v>102467</v>
      </c>
      <c r="Z247" s="175">
        <f>RESID!Z247+COML!Z247+IND!Z247+SHL!Z247+SPA!Z247</f>
        <v>2576623</v>
      </c>
      <c r="AA247" s="108">
        <f t="shared" si="61"/>
        <v>31003</v>
      </c>
      <c r="AB247" s="516">
        <f>RESID!AB247+COML!AB247+IND!AB247+SHL!AB247+SPA!AB247</f>
        <v>2610588</v>
      </c>
      <c r="BN247" s="4">
        <f t="shared" si="55"/>
        <v>2003</v>
      </c>
      <c r="BO247" s="4">
        <f t="shared" si="56"/>
        <v>3</v>
      </c>
      <c r="BP247" s="108">
        <f>SPA!BP247+SHL!BP247+IND!BP247+COML!BP247+RESID!BJ247</f>
        <v>2781079</v>
      </c>
      <c r="BQ247" s="108"/>
      <c r="BR247" s="108"/>
      <c r="BS247" s="108"/>
      <c r="BT247" s="175">
        <f>SPA!BT247+SHL!BT247+IND!BT247+COML!BT247+RESID!BT247</f>
        <v>2696339.0327983564</v>
      </c>
      <c r="BU247" s="108">
        <f t="shared" si="60"/>
        <v>106232.71465626871</v>
      </c>
      <c r="BV247" s="108">
        <f t="shared" si="57"/>
        <v>-84739.967201643623</v>
      </c>
    </row>
    <row r="248" spans="1:74">
      <c r="A248" s="4">
        <f t="shared" si="53"/>
        <v>2003</v>
      </c>
      <c r="B248" s="4">
        <f t="shared" si="54"/>
        <v>4</v>
      </c>
      <c r="C248" s="108">
        <f>RESID!C248+COML!C248+IND!C248+SHL!C248+SPA!C248</f>
        <v>2744534</v>
      </c>
      <c r="D248" s="108">
        <f>RESID!D248+COML!D248+IND!D248+SHL!D248+SPA!D248</f>
        <v>1513759</v>
      </c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>
        <f t="shared" si="52"/>
        <v>165448</v>
      </c>
      <c r="Z248" s="175">
        <f>RESID!Z248+COML!Z248+IND!Z248+SHL!Z248+SPA!Z248</f>
        <v>2703123</v>
      </c>
      <c r="AA248" s="108">
        <f t="shared" si="61"/>
        <v>-41411</v>
      </c>
      <c r="AB248" s="516">
        <f>RESID!AB248+COML!AB248+IND!AB248+SHL!AB248+SPA!AB248</f>
        <v>2687951</v>
      </c>
      <c r="BN248" s="4">
        <f t="shared" si="55"/>
        <v>2003</v>
      </c>
      <c r="BO248" s="4">
        <f t="shared" si="56"/>
        <v>4</v>
      </c>
      <c r="BP248" s="108">
        <f>SPA!BP248+SHL!BP248+IND!BP248+COML!BP248+RESID!BJ248</f>
        <v>2785370</v>
      </c>
      <c r="BQ248" s="108"/>
      <c r="BR248" s="108"/>
      <c r="BS248" s="108"/>
      <c r="BT248" s="175">
        <f>SPA!BT248+SHL!BT248+IND!BT248+COML!BT248+RESID!BT248</f>
        <v>2784039.3886709716</v>
      </c>
      <c r="BU248" s="108">
        <f t="shared" si="60"/>
        <v>123200.226659026</v>
      </c>
      <c r="BV248" s="108">
        <f t="shared" si="57"/>
        <v>-1330.6113290283829</v>
      </c>
    </row>
    <row r="249" spans="1:74">
      <c r="A249" s="4">
        <f t="shared" si="53"/>
        <v>2003</v>
      </c>
      <c r="B249" s="4">
        <f t="shared" si="54"/>
        <v>5</v>
      </c>
      <c r="C249" s="108">
        <f>RESID!C249+COML!C249+IND!C249+SHL!C249+SPA!C249</f>
        <v>3104300</v>
      </c>
      <c r="D249" s="108">
        <f>RESID!D249+COML!D249+IND!D249+SHL!D249+SPA!D249</f>
        <v>1503042</v>
      </c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>
        <f t="shared" si="52"/>
        <v>-70748</v>
      </c>
      <c r="Z249" s="175">
        <f>RESID!Z249+COML!Z249+IND!Z249+SHL!Z249+SPA!Z249</f>
        <v>2909692</v>
      </c>
      <c r="AA249" s="108">
        <f t="shared" si="61"/>
        <v>-194608</v>
      </c>
      <c r="AB249" s="516">
        <f>RESID!AB249+COML!AB249+IND!AB249+SHL!AB249+SPA!AB249</f>
        <v>2901004</v>
      </c>
      <c r="BN249" s="4">
        <f t="shared" si="55"/>
        <v>2003</v>
      </c>
      <c r="BO249" s="4">
        <f t="shared" si="56"/>
        <v>5</v>
      </c>
      <c r="BP249" s="108">
        <f>SPA!BP249+SHL!BP249+IND!BP249+COML!BP249+RESID!BJ249</f>
        <v>3571355</v>
      </c>
      <c r="BQ249" s="108"/>
      <c r="BR249" s="108"/>
      <c r="BS249" s="108"/>
      <c r="BT249" s="175">
        <f>SPA!BT249+SHL!BT249+IND!BT249+COML!BT249+RESID!BT249</f>
        <v>3392439.1123906169</v>
      </c>
      <c r="BU249" s="108">
        <f t="shared" si="60"/>
        <v>95204.529241045006</v>
      </c>
      <c r="BV249" s="108">
        <f t="shared" si="57"/>
        <v>-178915.88760938309</v>
      </c>
    </row>
    <row r="250" spans="1:74">
      <c r="A250" s="4">
        <f t="shared" si="53"/>
        <v>2003</v>
      </c>
      <c r="B250" s="4">
        <f t="shared" si="54"/>
        <v>6</v>
      </c>
      <c r="C250" s="108">
        <f>RESID!C250+COML!C250+IND!C250+SHL!C250+SPA!C250</f>
        <v>3555173</v>
      </c>
      <c r="D250" s="108">
        <f>RESID!D250+COML!D250+IND!D250+SHL!D250+SPA!D250</f>
        <v>1497400</v>
      </c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>
        <f t="shared" si="52"/>
        <v>343224</v>
      </c>
      <c r="Z250" s="175">
        <f>RESID!Z250+COML!Z250+IND!Z250+SHL!Z250+SPA!Z250</f>
        <v>3488798</v>
      </c>
      <c r="AA250" s="108">
        <f t="shared" si="61"/>
        <v>-66375</v>
      </c>
      <c r="AB250" s="516">
        <f>RESID!AB250+COML!AB250+IND!AB250+SHL!AB250+SPA!AB250</f>
        <v>3509001</v>
      </c>
      <c r="BN250" s="4">
        <f t="shared" si="55"/>
        <v>2003</v>
      </c>
      <c r="BO250" s="4">
        <f t="shared" si="56"/>
        <v>6</v>
      </c>
      <c r="BP250" s="108">
        <f>SPA!BP250+SHL!BP250+IND!BP250+COML!BP250+RESID!BJ250</f>
        <v>3462097</v>
      </c>
      <c r="BQ250" s="108"/>
      <c r="BR250" s="108"/>
      <c r="BS250" s="108"/>
      <c r="BT250" s="175">
        <f>SPA!BT250+SHL!BT250+IND!BT250+COML!BT250+RESID!BT250</f>
        <v>3505238.8546143509</v>
      </c>
      <c r="BU250" s="108">
        <f t="shared" ref="BU250:BU255" si="62">BT250-BT238</f>
        <v>157197.80781383393</v>
      </c>
      <c r="BV250" s="108">
        <f t="shared" si="57"/>
        <v>43141.854614350945</v>
      </c>
    </row>
    <row r="251" spans="1:74">
      <c r="A251" s="4">
        <f t="shared" si="53"/>
        <v>2003</v>
      </c>
      <c r="B251" s="4">
        <f t="shared" si="54"/>
        <v>7</v>
      </c>
      <c r="C251" s="108">
        <f>RESID!C251+COML!C251+IND!C251+SHL!C251+SPA!C251</f>
        <v>3601158</v>
      </c>
      <c r="D251" s="108">
        <f>RESID!D251+COML!D251+IND!D251+SHL!D251+SPA!D251</f>
        <v>1512495</v>
      </c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>
        <f t="shared" si="52"/>
        <v>15093</v>
      </c>
      <c r="Z251" s="175">
        <f>RESID!Z251+COML!Z251+IND!Z251+SHL!Z251+SPA!Z251</f>
        <v>3635575</v>
      </c>
      <c r="AA251" s="108">
        <f t="shared" ref="AA251:AA256" si="63">Z251-C251</f>
        <v>34417</v>
      </c>
      <c r="AB251" s="516">
        <f>RESID!AB251+COML!AB251+IND!AB251+SHL!AB251+SPA!AB251</f>
        <v>3627047</v>
      </c>
      <c r="BN251" s="4">
        <f t="shared" si="55"/>
        <v>2003</v>
      </c>
      <c r="BO251" s="4">
        <f t="shared" si="56"/>
        <v>7</v>
      </c>
      <c r="BP251" s="108">
        <f>SPA!BP251+SHL!BP251+IND!BP251+COML!BP251+RESID!BJ251</f>
        <v>3778131.9999999995</v>
      </c>
      <c r="BQ251" s="108"/>
      <c r="BR251" s="108"/>
      <c r="BS251" s="108"/>
      <c r="BT251" s="175">
        <f>SPA!BT251+SHL!BT251+IND!BT251+COML!BT251+RESID!BT251</f>
        <v>3802960.5245965561</v>
      </c>
      <c r="BU251" s="108">
        <f t="shared" si="62"/>
        <v>172874.36647417024</v>
      </c>
      <c r="BV251" s="108">
        <f t="shared" si="57"/>
        <v>24828.524596556555</v>
      </c>
    </row>
    <row r="252" spans="1:74">
      <c r="A252" s="4">
        <f t="shared" si="53"/>
        <v>2003</v>
      </c>
      <c r="B252" s="4">
        <f t="shared" si="54"/>
        <v>8</v>
      </c>
      <c r="C252" s="108">
        <f>RESID!C252+COML!C252+IND!C252+SHL!C252+SPA!C252</f>
        <v>3525125</v>
      </c>
      <c r="D252" s="108">
        <f>RESID!D252+COML!D252+IND!D252+SHL!D252+SPA!D252</f>
        <v>1502368</v>
      </c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>
        <f t="shared" si="52"/>
        <v>146798</v>
      </c>
      <c r="Z252" s="175">
        <f>RESID!Z252+COML!Z252+IND!Z252+SHL!Z252+SPA!Z252</f>
        <v>3691561</v>
      </c>
      <c r="AA252" s="108">
        <f t="shared" si="63"/>
        <v>166436</v>
      </c>
      <c r="AB252" s="516">
        <f>RESID!AB252+COML!AB252+IND!AB252+SHL!AB252+SPA!AB252</f>
        <v>3709164</v>
      </c>
      <c r="BN252" s="4">
        <f t="shared" si="55"/>
        <v>2003</v>
      </c>
      <c r="BO252" s="4">
        <f t="shared" si="56"/>
        <v>8</v>
      </c>
      <c r="BP252" s="108">
        <f>SPA!BP252+SHL!BP252+IND!BP252+COML!BP252+RESID!BJ252</f>
        <v>3602360</v>
      </c>
      <c r="BQ252" s="108"/>
      <c r="BR252" s="108"/>
      <c r="BS252" s="108"/>
      <c r="BT252" s="175">
        <f>SPA!BT252+SHL!BT252+IND!BT252+COML!BT252+RESID!BT252</f>
        <v>3744717.4293358582</v>
      </c>
      <c r="BU252" s="108">
        <f t="shared" si="62"/>
        <v>40532.516307973769</v>
      </c>
      <c r="BV252" s="108">
        <f t="shared" si="57"/>
        <v>142357.42933585821</v>
      </c>
    </row>
    <row r="253" spans="1:74">
      <c r="A253" s="4">
        <f t="shared" si="53"/>
        <v>2003</v>
      </c>
      <c r="B253" s="4">
        <f t="shared" si="54"/>
        <v>9</v>
      </c>
      <c r="C253" s="108">
        <f>RESID!C253+COML!C253+IND!C253+SHL!C253+SPA!C253</f>
        <v>3780268</v>
      </c>
      <c r="D253" s="108">
        <f>RESID!D253+COML!D253+IND!D253+SHL!D253+SPA!D253</f>
        <v>1535456</v>
      </c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>
        <f t="shared" si="52"/>
        <v>225913</v>
      </c>
      <c r="Z253" s="175">
        <f>RESID!Z253+COML!Z253+IND!Z253+SHL!Z253+SPA!Z253</f>
        <v>3849098</v>
      </c>
      <c r="AA253" s="108">
        <f t="shared" si="63"/>
        <v>68830</v>
      </c>
      <c r="AB253" s="516">
        <f>RESID!AB253+COML!AB253+IND!AB253+SHL!AB253+SPA!AB253</f>
        <v>3802730</v>
      </c>
      <c r="BN253" s="4">
        <f t="shared" si="55"/>
        <v>2003</v>
      </c>
      <c r="BO253" s="4">
        <f t="shared" si="56"/>
        <v>9</v>
      </c>
      <c r="BP253" s="108">
        <f>SPA!BP253+SHL!BP253+IND!BP253+COML!BP253+RESID!BJ253</f>
        <v>3402633</v>
      </c>
      <c r="BQ253" s="108"/>
      <c r="BR253" s="108"/>
      <c r="BS253" s="108"/>
      <c r="BT253" s="175">
        <f>SPA!BT253+SHL!BT253+IND!BT253+COML!BT253+RESID!BT253</f>
        <v>3530199.142631196</v>
      </c>
      <c r="BU253" s="108">
        <f t="shared" si="62"/>
        <v>159242.16711963248</v>
      </c>
      <c r="BV253" s="108">
        <f t="shared" si="57"/>
        <v>127566.14263119595</v>
      </c>
    </row>
    <row r="254" spans="1:74">
      <c r="A254" s="4">
        <f t="shared" si="53"/>
        <v>2003</v>
      </c>
      <c r="B254" s="4">
        <f t="shared" si="54"/>
        <v>10</v>
      </c>
      <c r="C254" s="108">
        <f>RESID!C254+COML!C254+IND!C254+SHL!C254+SPA!C254</f>
        <v>3249722</v>
      </c>
      <c r="D254" s="108">
        <f>RESID!D254+COML!D254+IND!D254+SHL!D254+SPA!D254</f>
        <v>1532589</v>
      </c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>
        <f t="shared" si="52"/>
        <v>246120</v>
      </c>
      <c r="Z254" s="175">
        <f>RESID!Z254+COML!Z254+IND!Z254+SHL!Z254+SPA!Z254</f>
        <v>3383985</v>
      </c>
      <c r="AA254" s="108">
        <f t="shared" si="63"/>
        <v>134263</v>
      </c>
      <c r="AB254" s="516">
        <f>RESID!AB254+COML!AB254+IND!AB254+SHL!AB254+SPA!AB254</f>
        <v>3385652</v>
      </c>
      <c r="BN254" s="4">
        <f t="shared" si="55"/>
        <v>2003</v>
      </c>
      <c r="BO254" s="4">
        <f t="shared" si="56"/>
        <v>10</v>
      </c>
      <c r="BP254" s="108">
        <f>SPA!BP254+SHL!BP254+IND!BP254+COML!BP254+RESID!BJ254</f>
        <v>3308022</v>
      </c>
      <c r="BQ254" s="108"/>
      <c r="BR254" s="108"/>
      <c r="BS254" s="108"/>
      <c r="BT254" s="175">
        <f>SPA!BT254+SHL!BT254+IND!BT254+COML!BT254+RESID!BT254</f>
        <v>3332914.763213384</v>
      </c>
      <c r="BU254" s="108">
        <f t="shared" si="62"/>
        <v>248910.87496236991</v>
      </c>
      <c r="BV254" s="108">
        <f t="shared" si="57"/>
        <v>24892.763213383965</v>
      </c>
    </row>
    <row r="255" spans="1:74">
      <c r="A255" s="4">
        <f t="shared" si="53"/>
        <v>2003</v>
      </c>
      <c r="B255" s="4">
        <f t="shared" si="54"/>
        <v>11</v>
      </c>
      <c r="C255" s="108">
        <f>RESID!C255+COML!C255+IND!C255+SHL!C255+SPA!C255</f>
        <v>2995022</v>
      </c>
      <c r="D255" s="108">
        <f>RESID!D255+COML!D255+IND!D255+SHL!D255+SPA!D255</f>
        <v>1530802</v>
      </c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>
        <f t="shared" si="52"/>
        <v>-56216</v>
      </c>
      <c r="Z255" s="175">
        <f>RESID!Z255+COML!Z255+IND!Z255+SHL!Z255+SPA!Z255</f>
        <v>2906289</v>
      </c>
      <c r="AA255" s="108">
        <f t="shared" si="63"/>
        <v>-88733</v>
      </c>
      <c r="AB255" s="516">
        <f>RESID!AB255+COML!AB255+IND!AB255+SHL!AB255+SPA!AB255</f>
        <v>2859961</v>
      </c>
      <c r="BN255" s="4">
        <f t="shared" si="55"/>
        <v>2003</v>
      </c>
      <c r="BO255" s="4">
        <f t="shared" si="56"/>
        <v>11</v>
      </c>
      <c r="BP255" s="108">
        <f>SPA!BP255+SHL!BP255+IND!BP255+COML!BP255+RESID!BJ255</f>
        <v>2581579</v>
      </c>
      <c r="BQ255" s="108"/>
      <c r="BR255" s="108"/>
      <c r="BS255" s="108"/>
      <c r="BT255" s="175">
        <f>SPA!BT255+SHL!BT255+IND!BT255+COML!BT255+RESID!BT255</f>
        <v>2411607.7889729803</v>
      </c>
      <c r="BU255" s="108">
        <f t="shared" si="62"/>
        <v>-122284.90234093461</v>
      </c>
      <c r="BV255" s="108">
        <f t="shared" si="57"/>
        <v>-169971.21102701966</v>
      </c>
    </row>
    <row r="256" spans="1:74" s="89" customFormat="1">
      <c r="A256" s="89">
        <f t="shared" si="53"/>
        <v>2003</v>
      </c>
      <c r="B256" s="89">
        <f t="shared" si="54"/>
        <v>12</v>
      </c>
      <c r="C256" s="117">
        <f>RESID!C256+COML!C256+IND!C256+SHL!C256+SPA!C256</f>
        <v>2834436</v>
      </c>
      <c r="D256" s="117">
        <f>RESID!D256+COML!D256+IND!D256+SHL!D256+SPA!D256</f>
        <v>1519708</v>
      </c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>
        <f t="shared" si="52"/>
        <v>-47473</v>
      </c>
      <c r="Z256" s="176">
        <f>RESID!Z256+COML!Z256+IND!Z256+SHL!Z256+SPA!Z256</f>
        <v>2748724</v>
      </c>
      <c r="AA256" s="117">
        <f t="shared" si="63"/>
        <v>-85712</v>
      </c>
      <c r="AB256" s="525">
        <f>RESID!AB256+COML!AB256+IND!AB256+SHL!AB256+SPA!AB256</f>
        <v>2791619</v>
      </c>
      <c r="BN256" s="89">
        <f t="shared" si="55"/>
        <v>2003</v>
      </c>
      <c r="BO256" s="89">
        <f t="shared" si="56"/>
        <v>12</v>
      </c>
      <c r="BP256" s="117">
        <f>SPA!BP256+SHL!BP256+IND!BP256+COML!BP256+RESID!BJ256</f>
        <v>3023786</v>
      </c>
      <c r="BQ256" s="117"/>
      <c r="BR256" s="117"/>
      <c r="BS256" s="117"/>
      <c r="BT256" s="176">
        <f>SPA!BT256+SHL!BT256+IND!BT256+COML!BT256+RESID!BT256</f>
        <v>2902992.0465899147</v>
      </c>
      <c r="BU256" s="117">
        <f t="shared" ref="BU256:BU261" si="64">BT256-BT244</f>
        <v>207929.23197341058</v>
      </c>
      <c r="BV256" s="117">
        <f t="shared" si="57"/>
        <v>-120793.95341008529</v>
      </c>
    </row>
    <row r="257" spans="1:76">
      <c r="A257" s="4">
        <f t="shared" si="53"/>
        <v>2004</v>
      </c>
      <c r="B257" s="4">
        <f t="shared" si="54"/>
        <v>1</v>
      </c>
      <c r="C257" s="108">
        <f>RESID!C257+COML!C257+IND!C257+SHL!C257+SPA!C257</f>
        <v>3057664</v>
      </c>
      <c r="D257" s="108">
        <f>RESID!D257+COML!D257+IND!D257+SHL!D257+SPA!D257</f>
        <v>1528584</v>
      </c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>
        <f t="shared" si="52"/>
        <v>142601</v>
      </c>
      <c r="Z257" s="175">
        <f>RESID!Z257+COML!Z257+IND!Z257+SHL!Z257+SPA!Z257</f>
        <v>2975380</v>
      </c>
      <c r="AA257" s="108">
        <f t="shared" ref="AA257:AA262" si="65">Z257-C257</f>
        <v>-82284</v>
      </c>
      <c r="AB257" s="516">
        <f>RESID!AB257+COML!AB257+IND!AB257+SHL!AB257+SPA!AB257</f>
        <v>2947159</v>
      </c>
      <c r="BN257" s="4">
        <f t="shared" si="55"/>
        <v>2004</v>
      </c>
      <c r="BO257" s="4">
        <f t="shared" si="56"/>
        <v>1</v>
      </c>
      <c r="BP257" s="108">
        <f>SPA!BP257+SHL!BP257+IND!BP257+COML!BP257+RESID!BJ257</f>
        <v>2953094</v>
      </c>
      <c r="BQ257" s="108"/>
      <c r="BR257" s="108"/>
      <c r="BS257" s="108"/>
      <c r="BT257" s="175">
        <f>SPA!BT257+SHL!BT257+IND!BT257+COML!BT257+RESID!BT257</f>
        <v>2847687.8949561627</v>
      </c>
      <c r="BU257" s="108">
        <f t="shared" si="64"/>
        <v>-443.85216749459505</v>
      </c>
      <c r="BV257" s="108">
        <f t="shared" si="57"/>
        <v>-105406.10504383733</v>
      </c>
    </row>
    <row r="258" spans="1:76">
      <c r="A258" s="4">
        <f t="shared" si="53"/>
        <v>2004</v>
      </c>
      <c r="B258" s="4">
        <f t="shared" si="54"/>
        <v>2</v>
      </c>
      <c r="C258" s="108">
        <f>RESID!C258+COML!C258+IND!C258+SHL!C258+SPA!C258</f>
        <v>2669385</v>
      </c>
      <c r="D258" s="108">
        <f>RESID!D258+COML!D258+IND!D258+SHL!D258+SPA!D258</f>
        <v>1492979</v>
      </c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>
        <f t="shared" si="52"/>
        <v>-21556</v>
      </c>
      <c r="Z258" s="175">
        <f>RESID!Z258+COML!Z258+IND!Z258+SHL!Z258+SPA!Z258</f>
        <v>2644469</v>
      </c>
      <c r="AA258" s="108">
        <f t="shared" si="65"/>
        <v>-24916</v>
      </c>
      <c r="AB258" s="516">
        <f>RESID!AB258+COML!AB258+IND!AB258+SHL!AB258+SPA!AB258</f>
        <v>2760162</v>
      </c>
      <c r="BN258" s="4">
        <f t="shared" si="55"/>
        <v>2004</v>
      </c>
      <c r="BO258" s="4">
        <f t="shared" si="56"/>
        <v>2</v>
      </c>
      <c r="BP258" s="108">
        <f>SPA!BP258+SHL!BP258+IND!BP258+COML!BP258+RESID!BJ258</f>
        <v>2601691</v>
      </c>
      <c r="BQ258" s="108"/>
      <c r="BR258" s="108"/>
      <c r="BS258" s="108"/>
      <c r="BT258" s="175">
        <f>SPA!BT258+SHL!BT258+IND!BT258+COML!BT258+RESID!BT258</f>
        <v>2590612.5228837905</v>
      </c>
      <c r="BU258" s="108">
        <f t="shared" si="64"/>
        <v>58847.014989033341</v>
      </c>
      <c r="BV258" s="108">
        <f t="shared" si="57"/>
        <v>-11078.477116209455</v>
      </c>
    </row>
    <row r="259" spans="1:76">
      <c r="A259" s="4">
        <f t="shared" si="53"/>
        <v>2004</v>
      </c>
      <c r="B259" s="4">
        <f t="shared" si="54"/>
        <v>3</v>
      </c>
      <c r="C259" s="108">
        <f>RESID!C259+COML!C259+IND!C259+SHL!C259+SPA!C259</f>
        <v>2749584</v>
      </c>
      <c r="D259" s="108">
        <f>RESID!D259+COML!D259+IND!D259+SHL!D259+SPA!D259</f>
        <v>1577095</v>
      </c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>
        <f t="shared" si="52"/>
        <v>172627</v>
      </c>
      <c r="Z259" s="175">
        <f>RESID!Z259+COML!Z259+IND!Z259+SHL!Z259+SPA!Z259</f>
        <v>2749250</v>
      </c>
      <c r="AA259" s="108">
        <f t="shared" si="65"/>
        <v>-334</v>
      </c>
      <c r="AB259" s="516">
        <f>RESID!AB259+COML!AB259+IND!AB259+SHL!AB259+SPA!AB259</f>
        <v>2668455</v>
      </c>
      <c r="BN259" s="4">
        <f t="shared" si="55"/>
        <v>2004</v>
      </c>
      <c r="BO259" s="4">
        <f t="shared" si="56"/>
        <v>3</v>
      </c>
      <c r="BP259" s="108">
        <f>SPA!BP259+SHL!BP259+IND!BP259+COML!BP259+RESID!BJ259</f>
        <v>2782555</v>
      </c>
      <c r="BQ259" s="108"/>
      <c r="BR259" s="108"/>
      <c r="BS259" s="108"/>
      <c r="BT259" s="175">
        <f>SPA!BT259+SHL!BT259+IND!BT259+COML!BT259+RESID!BT259</f>
        <v>2823731.6838424644</v>
      </c>
      <c r="BU259" s="108">
        <f t="shared" si="64"/>
        <v>127392.65104410797</v>
      </c>
      <c r="BV259" s="108">
        <f t="shared" si="57"/>
        <v>41176.68384246435</v>
      </c>
    </row>
    <row r="260" spans="1:76">
      <c r="A260" s="4">
        <f t="shared" si="53"/>
        <v>2004</v>
      </c>
      <c r="B260" s="4">
        <f t="shared" si="54"/>
        <v>4</v>
      </c>
      <c r="C260" s="108">
        <f>RESID!C260+COML!C260+IND!C260+SHL!C260+SPA!C260</f>
        <v>2644923</v>
      </c>
      <c r="D260" s="108">
        <f>RESID!D260+COML!D260+IND!D260+SHL!D260+SPA!D260</f>
        <v>1536158</v>
      </c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>
        <f t="shared" si="52"/>
        <v>36854</v>
      </c>
      <c r="Z260" s="175">
        <f>RESID!Z260+COML!Z260+IND!Z260+SHL!Z260+SPA!Z260</f>
        <v>2739977</v>
      </c>
      <c r="AA260" s="108">
        <f t="shared" si="65"/>
        <v>95054</v>
      </c>
      <c r="AB260" s="516">
        <f>RESID!AB260+COML!AB260+IND!AB260+SHL!AB260+SPA!AB260</f>
        <v>2759390</v>
      </c>
      <c r="BN260" s="4">
        <f t="shared" si="55"/>
        <v>2004</v>
      </c>
      <c r="BO260" s="4">
        <f t="shared" si="56"/>
        <v>4</v>
      </c>
      <c r="BP260" s="108">
        <f>SPA!BP260+SHL!BP260+IND!BP260+COML!BP260+RESID!BJ260</f>
        <v>2690434</v>
      </c>
      <c r="BQ260" s="108"/>
      <c r="BR260" s="108"/>
      <c r="BS260" s="108"/>
      <c r="BT260" s="175">
        <f>SPA!BT260+SHL!BT260+IND!BT260+COML!BT260+RESID!BT260</f>
        <v>2795798.0689582955</v>
      </c>
      <c r="BU260" s="108">
        <f t="shared" si="64"/>
        <v>11758.680287323892</v>
      </c>
      <c r="BV260" s="108">
        <f t="shared" si="57"/>
        <v>105364.06895829551</v>
      </c>
    </row>
    <row r="261" spans="1:76">
      <c r="A261" s="4">
        <f t="shared" si="53"/>
        <v>2004</v>
      </c>
      <c r="B261" s="4">
        <f t="shared" si="54"/>
        <v>5</v>
      </c>
      <c r="C261" s="108">
        <f>RESID!C261+COML!C261+IND!C261+SHL!C261+SPA!C261</f>
        <v>2946846</v>
      </c>
      <c r="D261" s="108">
        <f>RESID!D261+COML!D261+IND!D261+SHL!D261+SPA!D261</f>
        <v>1548579</v>
      </c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>
        <f t="shared" si="52"/>
        <v>79294</v>
      </c>
      <c r="Z261" s="175">
        <f>RESID!Z261+COML!Z261+IND!Z261+SHL!Z261+SPA!Z261</f>
        <v>2988986</v>
      </c>
      <c r="AA261" s="108">
        <f t="shared" si="65"/>
        <v>42140</v>
      </c>
      <c r="AB261" s="516">
        <f>RESID!AB261+COML!AB261+IND!AB261+SHL!AB261+SPA!AB261</f>
        <v>2953897</v>
      </c>
      <c r="BN261" s="4">
        <f t="shared" si="55"/>
        <v>2004</v>
      </c>
      <c r="BO261" s="4">
        <f t="shared" si="56"/>
        <v>5</v>
      </c>
      <c r="BP261" s="108">
        <f>SPA!BP261+SHL!BP261+IND!BP261+COML!BP261+RESID!BJ261</f>
        <v>3337495</v>
      </c>
      <c r="BQ261" s="108"/>
      <c r="BR261" s="108"/>
      <c r="BS261" s="108"/>
      <c r="BT261" s="175">
        <f>SPA!BT261+SHL!BT261+IND!BT261+COML!BT261+RESID!BT261</f>
        <v>3346686.6356886029</v>
      </c>
      <c r="BU261" s="108">
        <f t="shared" si="64"/>
        <v>-45752.476702013984</v>
      </c>
      <c r="BV261" s="108">
        <f t="shared" si="57"/>
        <v>9191.6356886029243</v>
      </c>
    </row>
    <row r="262" spans="1:76">
      <c r="A262" s="4">
        <f t="shared" si="53"/>
        <v>2004</v>
      </c>
      <c r="B262" s="4">
        <f t="shared" si="54"/>
        <v>6</v>
      </c>
      <c r="C262" s="108">
        <f>RESID!C262+COML!C262+IND!C262+SHL!C262+SPA!C262</f>
        <v>3656601</v>
      </c>
      <c r="D262" s="108">
        <f>RESID!D262+COML!D262+IND!D262+SHL!D262+SPA!D262</f>
        <v>1543585</v>
      </c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>
        <f t="shared" si="52"/>
        <v>84381</v>
      </c>
      <c r="Z262" s="175">
        <f>RESID!Z262+COML!Z262+IND!Z262+SHL!Z262+SPA!Z262</f>
        <v>3573179</v>
      </c>
      <c r="AA262" s="108">
        <f t="shared" si="65"/>
        <v>-83422</v>
      </c>
      <c r="AB262" s="516">
        <f>RESID!AB262+COML!AB262+IND!AB262+SHL!AB262+SPA!AB262</f>
        <v>3556558</v>
      </c>
      <c r="BN262" s="4">
        <f t="shared" si="55"/>
        <v>2004</v>
      </c>
      <c r="BO262" s="4">
        <f t="shared" si="56"/>
        <v>6</v>
      </c>
      <c r="BP262" s="108">
        <f>SPA!BP262+SHL!BP262+IND!BP262+COML!BP262+RESID!BJ262</f>
        <v>3863873</v>
      </c>
      <c r="BQ262" s="108"/>
      <c r="BR262" s="108"/>
      <c r="BS262" s="108"/>
      <c r="BT262" s="175">
        <f>SPA!BT262+SHL!BT262+IND!BT262+COML!BT262+RESID!BT262</f>
        <v>3704861.2716592643</v>
      </c>
      <c r="BU262" s="108">
        <f t="shared" ref="BU262:BU267" si="66">BT262-BT250</f>
        <v>199622.4170449134</v>
      </c>
      <c r="BV262" s="108">
        <f t="shared" si="57"/>
        <v>-159011.72834073566</v>
      </c>
    </row>
    <row r="263" spans="1:76">
      <c r="A263" s="4">
        <f t="shared" si="53"/>
        <v>2004</v>
      </c>
      <c r="B263" s="4">
        <f t="shared" si="54"/>
        <v>7</v>
      </c>
      <c r="C263" s="108">
        <f>RESID!C263+COML!C263+IND!C263+SHL!C263+SPA!C263</f>
        <v>3830002</v>
      </c>
      <c r="D263" s="108">
        <f>RESID!D263+COML!D263+IND!D263+SHL!D263+SPA!D263</f>
        <v>1534514</v>
      </c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>
        <f t="shared" si="52"/>
        <v>78753</v>
      </c>
      <c r="Z263" s="175">
        <f>RESID!Z263+COML!Z263+IND!Z263+SHL!Z263+SPA!Z263</f>
        <v>3714328</v>
      </c>
      <c r="AA263" s="108">
        <f t="shared" ref="AA263:AA268" si="67">Z263-C263</f>
        <v>-115674</v>
      </c>
      <c r="AB263" s="516">
        <f>RESID!AB263+COML!AB263+IND!AB263+SHL!AB263+SPA!AB263</f>
        <v>3752748</v>
      </c>
      <c r="BN263" s="4">
        <f t="shared" si="55"/>
        <v>2004</v>
      </c>
      <c r="BO263" s="4">
        <f t="shared" si="56"/>
        <v>7</v>
      </c>
      <c r="BP263" s="108">
        <f>SPA!BP263+SHL!BP263+IND!BP263+COML!BP263+RESID!BJ263</f>
        <v>3863604</v>
      </c>
      <c r="BQ263" s="108"/>
      <c r="BR263" s="108"/>
      <c r="BS263" s="108"/>
      <c r="BT263" s="175">
        <f>SPA!BT263+SHL!BT263+IND!BT263+COML!BT263+RESID!BT263</f>
        <v>3870375.0342464959</v>
      </c>
      <c r="BU263" s="108">
        <f t="shared" si="66"/>
        <v>67414.509649939835</v>
      </c>
      <c r="BV263" s="108">
        <f t="shared" si="57"/>
        <v>6771.0342464959249</v>
      </c>
      <c r="BX263" s="174"/>
    </row>
    <row r="264" spans="1:76">
      <c r="A264" s="3">
        <f t="shared" si="53"/>
        <v>2004</v>
      </c>
      <c r="B264" s="4">
        <f t="shared" si="54"/>
        <v>8</v>
      </c>
      <c r="C264" s="108">
        <f>RESID!C264+COML!C264+IND!C264+SHL!C264+SPA!C264</f>
        <v>3704809</v>
      </c>
      <c r="D264" s="108">
        <f>RESID!D264+COML!D264+IND!D264+SHL!D264+SPA!D264</f>
        <v>1545822</v>
      </c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4">
        <f t="shared" ref="Y264:Y282" si="68">Z264-Z252</f>
        <v>227935</v>
      </c>
      <c r="Z264" s="175">
        <f>RESID!Z264+COML!Z264+IND!Z264+SHL!Z264+SPA!Z264</f>
        <v>3919496</v>
      </c>
      <c r="AA264" s="108">
        <f t="shared" si="67"/>
        <v>214687</v>
      </c>
      <c r="AB264" s="516">
        <f>RESID!AB264+COML!AB264+IND!AB264+SHL!AB264+SPA!AB264</f>
        <v>4005483</v>
      </c>
      <c r="BN264" s="4">
        <f t="shared" si="55"/>
        <v>2004</v>
      </c>
      <c r="BO264" s="4">
        <f t="shared" si="56"/>
        <v>8</v>
      </c>
      <c r="BP264" s="108">
        <f>SPA!BP264+SHL!BP264+IND!BP264+COML!BP264+RESID!BJ264</f>
        <v>3742708</v>
      </c>
      <c r="BQ264" s="108"/>
      <c r="BR264" s="108"/>
      <c r="BS264" s="108"/>
      <c r="BT264" s="175">
        <f>SPA!BT264+SHL!BT264+IND!BT264+COML!BT264+RESID!BT264</f>
        <v>3906882.0153722614</v>
      </c>
      <c r="BU264" s="108">
        <f t="shared" si="66"/>
        <v>162164.5860364032</v>
      </c>
      <c r="BV264" s="108">
        <f t="shared" si="57"/>
        <v>164174.0153722614</v>
      </c>
    </row>
    <row r="265" spans="1:76">
      <c r="A265" s="3">
        <f t="shared" si="53"/>
        <v>2004</v>
      </c>
      <c r="B265" s="4">
        <f t="shared" si="54"/>
        <v>9</v>
      </c>
      <c r="C265" s="108">
        <f>RESID!C265+COML!C265+IND!C265+SHL!C265+SPA!C265</f>
        <v>3611678</v>
      </c>
      <c r="D265" s="108">
        <f>RESID!D265+COML!D265+IND!D265+SHL!D265+SPA!D265</f>
        <v>1564071</v>
      </c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4">
        <f t="shared" si="68"/>
        <v>-88943</v>
      </c>
      <c r="Z265" s="175">
        <f>RESID!Z265+COML!Z265+IND!Z265+SHL!Z265+SPA!Z265</f>
        <v>3760155</v>
      </c>
      <c r="AA265" s="108">
        <f t="shared" si="67"/>
        <v>148477</v>
      </c>
      <c r="AB265" s="516">
        <f>RESID!AB265+COML!AB265+IND!AB265+SHL!AB265+SPA!AB265</f>
        <v>3817271</v>
      </c>
      <c r="BN265" s="4">
        <f t="shared" si="55"/>
        <v>2004</v>
      </c>
      <c r="BO265" s="4">
        <f t="shared" si="56"/>
        <v>9</v>
      </c>
      <c r="BP265" s="108">
        <f>SPA!BP265+SHL!BP265+IND!BP265+COML!BP265+RESID!BJ265</f>
        <v>3373173</v>
      </c>
      <c r="BQ265" s="108"/>
      <c r="BR265" s="108"/>
      <c r="BS265" s="108"/>
      <c r="BT265" s="175">
        <f>SPA!BT265+SHL!BT265+IND!BT265+COML!BT265+RESID!BT265</f>
        <v>3493149.3698132131</v>
      </c>
      <c r="BU265" s="108">
        <f t="shared" si="66"/>
        <v>-37049.772817982826</v>
      </c>
      <c r="BV265" s="108">
        <f t="shared" si="57"/>
        <v>119976.36981321312</v>
      </c>
    </row>
    <row r="266" spans="1:76">
      <c r="A266" s="4">
        <f t="shared" si="53"/>
        <v>2004</v>
      </c>
      <c r="B266" s="4">
        <f t="shared" si="54"/>
        <v>10</v>
      </c>
      <c r="C266" s="108">
        <f>RESID!C266+COML!C266+IND!C266+SHL!C266+SPA!C266</f>
        <v>3374286</v>
      </c>
      <c r="D266" s="108">
        <f>RESID!D266+COML!D266+IND!D266+SHL!D266+SPA!D266</f>
        <v>1558458</v>
      </c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>
        <f t="shared" si="68"/>
        <v>-21582</v>
      </c>
      <c r="Z266" s="175">
        <f>RESID!Z266+COML!Z266+IND!Z266+SHL!Z266+SPA!Z266</f>
        <v>3362403</v>
      </c>
      <c r="AA266" s="108">
        <f t="shared" si="67"/>
        <v>-11883</v>
      </c>
      <c r="AB266" s="516">
        <f>RESID!AB266+COML!AB266+IND!AB266+SHL!AB266+SPA!AB266</f>
        <v>3379332</v>
      </c>
      <c r="BN266" s="4">
        <f t="shared" si="55"/>
        <v>2004</v>
      </c>
      <c r="BO266" s="4">
        <f t="shared" si="56"/>
        <v>10</v>
      </c>
      <c r="BP266" s="108">
        <f>SPA!BP266+SHL!BP266+IND!BP266+COML!BP266+RESID!BJ266</f>
        <v>3343508</v>
      </c>
      <c r="BQ266" s="108"/>
      <c r="BR266" s="108"/>
      <c r="BS266" s="108"/>
      <c r="BT266" s="175">
        <f>SPA!BT266+SHL!BT266+IND!BT266+COML!BT266+RESID!BT266</f>
        <v>3312861.6308970465</v>
      </c>
      <c r="BU266" s="108">
        <f t="shared" si="66"/>
        <v>-20053.132316337433</v>
      </c>
      <c r="BV266" s="108">
        <f t="shared" si="57"/>
        <v>-30646.369102953468</v>
      </c>
      <c r="BX266" s="174"/>
    </row>
    <row r="267" spans="1:76">
      <c r="A267" s="4">
        <f t="shared" si="53"/>
        <v>2004</v>
      </c>
      <c r="B267" s="4">
        <f t="shared" si="54"/>
        <v>11</v>
      </c>
      <c r="C267" s="108">
        <f>RESID!C267+COML!C267+IND!C267+SHL!C267+SPA!C267</f>
        <v>3030926</v>
      </c>
      <c r="D267" s="108">
        <f>RESID!D267+COML!D267+IND!D267+SHL!D267+SPA!D267</f>
        <v>1576099</v>
      </c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>
        <f t="shared" si="68"/>
        <v>91971</v>
      </c>
      <c r="Z267" s="175">
        <f>RESID!Z267+COML!Z267+IND!Z267+SHL!Z267+SPA!Z267</f>
        <v>2998260</v>
      </c>
      <c r="AA267" s="108">
        <f t="shared" si="67"/>
        <v>-32666</v>
      </c>
      <c r="AB267" s="516">
        <f>RESID!AB267+COML!AB267+IND!AB267+SHL!AB267+SPA!AB267</f>
        <v>2948922</v>
      </c>
      <c r="BN267" s="4">
        <f t="shared" si="55"/>
        <v>2004</v>
      </c>
      <c r="BO267" s="4">
        <f t="shared" si="56"/>
        <v>11</v>
      </c>
      <c r="BP267" s="108">
        <f>SPA!BP267+SHL!BP267+IND!BP267+COML!BP267+RESID!BJ267</f>
        <v>2755320</v>
      </c>
      <c r="BQ267" s="108"/>
      <c r="BR267" s="108"/>
      <c r="BS267" s="108"/>
      <c r="BT267" s="175">
        <f>SPA!BT267+SHL!BT267+IND!BT267+COML!BT267+RESID!BT267</f>
        <v>2751481.5572576672</v>
      </c>
      <c r="BU267" s="108">
        <f t="shared" si="66"/>
        <v>339873.76828468684</v>
      </c>
      <c r="BV267" s="108">
        <f t="shared" si="57"/>
        <v>-3838.4427423328161</v>
      </c>
    </row>
    <row r="268" spans="1:76" s="172" customFormat="1" ht="13.5" thickBot="1">
      <c r="A268" s="172">
        <f t="shared" si="53"/>
        <v>2004</v>
      </c>
      <c r="B268" s="172">
        <f t="shared" si="54"/>
        <v>12</v>
      </c>
      <c r="C268" s="173">
        <f>RESID!C268+COML!C268+IND!C268+SHL!C268+SPA!C268</f>
        <v>2916399</v>
      </c>
      <c r="D268" s="173">
        <f>RESID!D268+COML!D268+IND!D268+SHL!D268+SPA!D268</f>
        <v>1577286</v>
      </c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>
        <f t="shared" si="68"/>
        <v>192765</v>
      </c>
      <c r="Z268" s="177">
        <f>RESID!Z268+COML!Z268+IND!Z268+SHL!Z268+SPA!Z268</f>
        <v>2941489</v>
      </c>
      <c r="AA268" s="173">
        <f t="shared" si="67"/>
        <v>25090</v>
      </c>
      <c r="AB268" s="526">
        <f>RESID!AB268+COML!AB268+IND!AB268+SHL!AB268+SPA!AB268</f>
        <v>2921806</v>
      </c>
      <c r="BN268" s="172">
        <f t="shared" si="55"/>
        <v>2004</v>
      </c>
      <c r="BO268" s="172">
        <f t="shared" si="56"/>
        <v>12</v>
      </c>
      <c r="BP268" s="173">
        <f>SPA!BP268+SHL!BP268+IND!BP268+COML!BP268+RESID!BJ268</f>
        <v>3166611.9999999995</v>
      </c>
      <c r="BQ268" s="173"/>
      <c r="BR268" s="173"/>
      <c r="BS268" s="173"/>
      <c r="BT268" s="177">
        <f>SPA!BT268+SHL!BT268+IND!BT268+COML!BT268+RESID!BT268</f>
        <v>3021612.5633939328</v>
      </c>
      <c r="BU268" s="173">
        <f t="shared" ref="BU268:BU273" si="69">BT268-BT256</f>
        <v>118620.51680401806</v>
      </c>
      <c r="BV268" s="173">
        <f t="shared" si="57"/>
        <v>-144999.43660606677</v>
      </c>
    </row>
    <row r="269" spans="1:76">
      <c r="A269" s="4">
        <f t="shared" si="53"/>
        <v>2005</v>
      </c>
      <c r="B269" s="4">
        <f t="shared" si="54"/>
        <v>1</v>
      </c>
      <c r="C269" s="108">
        <f>RESID!C269+COML!C269+IND!C269+SHL!C269+SPA!C269</f>
        <v>3029290</v>
      </c>
      <c r="D269" s="108">
        <f>RESID!D269+COML!D269+IND!D269+SHL!D269+SPA!D269</f>
        <v>1549011</v>
      </c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>
        <f t="shared" si="68"/>
        <v>5144</v>
      </c>
      <c r="Z269" s="175">
        <f>RESID!Z269+COML!Z269+IND!Z269+SHL!Z269+SPA!Z269</f>
        <v>2980524</v>
      </c>
      <c r="AA269" s="108">
        <f t="shared" ref="AA269:AA274" si="70">Z269-C269</f>
        <v>-48766</v>
      </c>
      <c r="AB269" s="516">
        <f>RESID!AB269+COML!AB269+IND!AB269+SHL!AB269+SPA!AB269</f>
        <v>3033106</v>
      </c>
      <c r="BN269" s="4">
        <f t="shared" si="55"/>
        <v>2005</v>
      </c>
      <c r="BO269" s="4">
        <f t="shared" si="56"/>
        <v>1</v>
      </c>
      <c r="BP269" s="108">
        <f>SPA!BP269+SHL!BP269+IND!BP269+COML!BP269+RESID!BJ269</f>
        <v>2880093</v>
      </c>
      <c r="BQ269" s="108"/>
      <c r="BR269" s="108"/>
      <c r="BS269" s="108"/>
      <c r="BT269" s="175">
        <f>SPA!BT269+SHL!BT269+IND!BT269+COML!BT269+RESID!BT269</f>
        <v>2882595.7151723499</v>
      </c>
      <c r="BU269" s="108">
        <f t="shared" si="69"/>
        <v>34907.820216187276</v>
      </c>
      <c r="BV269" s="108">
        <f t="shared" ref="BV269:BV300" si="71">BT269-BP269</f>
        <v>2502.715172349941</v>
      </c>
    </row>
    <row r="270" spans="1:76">
      <c r="A270" s="4">
        <f t="shared" si="53"/>
        <v>2005</v>
      </c>
      <c r="B270" s="4">
        <f t="shared" si="54"/>
        <v>2</v>
      </c>
      <c r="C270" s="108">
        <f>RESID!C270+COML!C270+IND!C270+SHL!C270+SPA!C270</f>
        <v>2817495</v>
      </c>
      <c r="D270" s="108">
        <f>RESID!D270+COML!D270+IND!D270+SHL!D270+SPA!D270</f>
        <v>1560081</v>
      </c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>
        <f t="shared" si="68"/>
        <v>158506</v>
      </c>
      <c r="Z270" s="175">
        <f>RESID!Z270+COML!Z270+IND!Z270+SHL!Z270+SPA!Z270</f>
        <v>2802975</v>
      </c>
      <c r="AA270" s="108">
        <f t="shared" si="70"/>
        <v>-14520</v>
      </c>
      <c r="AB270" s="516">
        <f>RESID!AB270+COML!AB270+IND!AB270+SHL!AB270+SPA!AB270</f>
        <v>2830513</v>
      </c>
      <c r="BN270" s="4">
        <f t="shared" si="55"/>
        <v>2005</v>
      </c>
      <c r="BO270" s="4">
        <f t="shared" si="56"/>
        <v>2</v>
      </c>
      <c r="BP270" s="108">
        <f>SPA!BP270+SHL!BP270+IND!BP270+COML!BP270+RESID!BJ270</f>
        <v>2509072</v>
      </c>
      <c r="BQ270" s="108"/>
      <c r="BR270" s="108"/>
      <c r="BS270" s="108"/>
      <c r="BT270" s="175">
        <f>SPA!BT270+SHL!BT270+IND!BT270+COML!BT270+RESID!BT270</f>
        <v>2604197.1699149222</v>
      </c>
      <c r="BU270" s="108">
        <f t="shared" si="69"/>
        <v>13584.647031131666</v>
      </c>
      <c r="BV270" s="108">
        <f t="shared" si="71"/>
        <v>95125.169914922211</v>
      </c>
    </row>
    <row r="271" spans="1:76">
      <c r="A271" s="4">
        <f t="shared" si="53"/>
        <v>2005</v>
      </c>
      <c r="B271" s="4">
        <f t="shared" si="54"/>
        <v>3</v>
      </c>
      <c r="C271" s="108">
        <f>RESID!C271+COML!C271+IND!C271+SHL!C271+SPA!C271</f>
        <v>2720299</v>
      </c>
      <c r="D271" s="108">
        <f>RESID!D271+COML!D271+IND!D271+SHL!D271+SPA!D271</f>
        <v>1592964</v>
      </c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>
        <f t="shared" si="68"/>
        <v>691</v>
      </c>
      <c r="Z271" s="175">
        <f>RESID!Z271+COML!Z271+IND!Z271+SHL!Z271+SPA!Z271</f>
        <v>2749941</v>
      </c>
      <c r="AA271" s="108">
        <f t="shared" si="70"/>
        <v>29642</v>
      </c>
      <c r="AB271" s="516">
        <f>RESID!AB271+COML!AB271+IND!AB271+SHL!AB271+SPA!AB271</f>
        <v>2731002</v>
      </c>
      <c r="BN271" s="4">
        <f t="shared" si="55"/>
        <v>2005</v>
      </c>
      <c r="BO271" s="4">
        <f t="shared" si="56"/>
        <v>3</v>
      </c>
      <c r="BP271" s="108">
        <f>SPA!BP271+SHL!BP271+IND!BP271+COML!BP271+RESID!BJ271</f>
        <v>2930730</v>
      </c>
      <c r="BQ271" s="108"/>
      <c r="BR271" s="108"/>
      <c r="BS271" s="108"/>
      <c r="BT271" s="175">
        <f>SPA!BT271+SHL!BT271+IND!BT271+COML!BT271+RESID!BT271</f>
        <v>2830361.1690615942</v>
      </c>
      <c r="BU271" s="108">
        <f t="shared" si="69"/>
        <v>6629.4852191298269</v>
      </c>
      <c r="BV271" s="108">
        <f t="shared" si="71"/>
        <v>-100368.83093840582</v>
      </c>
    </row>
    <row r="272" spans="1:76">
      <c r="A272" s="4">
        <f t="shared" si="53"/>
        <v>2005</v>
      </c>
      <c r="B272" s="4">
        <f t="shared" si="54"/>
        <v>4</v>
      </c>
      <c r="C272" s="108">
        <f>RESID!C272+COML!C272+IND!C272+SHL!C272+SPA!C272</f>
        <v>2829555</v>
      </c>
      <c r="D272" s="108">
        <f>RESID!D272+COML!D272+IND!D272+SHL!D272+SPA!D272</f>
        <v>1564736</v>
      </c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>
        <f t="shared" si="68"/>
        <v>106068</v>
      </c>
      <c r="Z272" s="175">
        <f>RESID!Z272+COML!Z272+IND!Z272+SHL!Z272+SPA!Z272</f>
        <v>2846045</v>
      </c>
      <c r="AA272" s="108">
        <f t="shared" si="70"/>
        <v>16490</v>
      </c>
      <c r="AB272" s="516">
        <f>RESID!AB272+COML!AB272+IND!AB272+SHL!AB272+SPA!AB272</f>
        <v>2845293</v>
      </c>
      <c r="BN272" s="4">
        <f t="shared" si="55"/>
        <v>2005</v>
      </c>
      <c r="BO272" s="4">
        <f t="shared" si="56"/>
        <v>4</v>
      </c>
      <c r="BP272" s="108">
        <f>SPA!BP272+SHL!BP272+IND!BP272+COML!BP272+RESID!BJ272</f>
        <v>2730384</v>
      </c>
      <c r="BQ272" s="108"/>
      <c r="BR272" s="108"/>
      <c r="BS272" s="108"/>
      <c r="BT272" s="175">
        <f>SPA!BT272+SHL!BT272+IND!BT272+COML!BT272+RESID!BT272</f>
        <v>2907988.4355709045</v>
      </c>
      <c r="BU272" s="108">
        <f t="shared" si="69"/>
        <v>112190.36661260901</v>
      </c>
      <c r="BV272" s="108">
        <f t="shared" si="71"/>
        <v>177604.43557090452</v>
      </c>
    </row>
    <row r="273" spans="1:74">
      <c r="A273" s="4">
        <f t="shared" si="53"/>
        <v>2005</v>
      </c>
      <c r="B273" s="4">
        <f t="shared" si="54"/>
        <v>5</v>
      </c>
      <c r="C273" s="108">
        <f>RESID!C273+COML!C273+IND!C273+SHL!C273+SPA!C273</f>
        <v>2834360</v>
      </c>
      <c r="D273" s="108">
        <f>RESID!D273+COML!D273+IND!D273+SHL!D273+SPA!D273</f>
        <v>1625333</v>
      </c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>
        <f t="shared" si="68"/>
        <v>82571</v>
      </c>
      <c r="Z273" s="175">
        <f>RESID!Z273+COML!Z273+IND!Z273+SHL!Z273+SPA!Z273</f>
        <v>3071557</v>
      </c>
      <c r="AA273" s="108">
        <f t="shared" si="70"/>
        <v>237197</v>
      </c>
      <c r="AB273" s="516">
        <f>RESID!AB273+COML!AB273+IND!AB273+SHL!AB273+SPA!AB273</f>
        <v>2992955</v>
      </c>
      <c r="BN273" s="4">
        <f t="shared" si="55"/>
        <v>2005</v>
      </c>
      <c r="BO273" s="4">
        <f t="shared" si="56"/>
        <v>5</v>
      </c>
      <c r="BP273" s="108">
        <f>SPA!BP273+SHL!BP273+IND!BP273+COML!BP273+RESID!BJ273</f>
        <v>3308544</v>
      </c>
      <c r="BQ273" s="108"/>
      <c r="BR273" s="108"/>
      <c r="BS273" s="108"/>
      <c r="BT273" s="175">
        <f>SPA!BT273+SHL!BT273+IND!BT273+COML!BT273+RESID!BT273</f>
        <v>3511848.5359995053</v>
      </c>
      <c r="BU273" s="108">
        <f t="shared" si="69"/>
        <v>165161.90031090239</v>
      </c>
      <c r="BV273" s="108">
        <f t="shared" si="71"/>
        <v>203304.53599950531</v>
      </c>
    </row>
    <row r="274" spans="1:74">
      <c r="A274" s="4">
        <f t="shared" si="53"/>
        <v>2005</v>
      </c>
      <c r="B274" s="4">
        <f t="shared" si="54"/>
        <v>6</v>
      </c>
      <c r="C274" s="108">
        <f>RESID!C274+COML!C274+IND!C274+SHL!C274+SPA!C274</f>
        <v>3367359</v>
      </c>
      <c r="D274" s="108">
        <f>RESID!D274+COML!D274+IND!D274+SHL!D274+SPA!D274</f>
        <v>1494997</v>
      </c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>
        <f t="shared" si="68"/>
        <v>-62151</v>
      </c>
      <c r="Z274" s="175">
        <f>RESID!Z274+COML!Z274+IND!Z274+SHL!Z274+SPA!Z274</f>
        <v>3511028</v>
      </c>
      <c r="AA274" s="108">
        <f t="shared" si="70"/>
        <v>143669</v>
      </c>
      <c r="AB274" s="516">
        <f>RESID!AB274+COML!AB274+IND!AB274+SHL!AB274+SPA!AB274</f>
        <v>3622251</v>
      </c>
      <c r="BN274" s="4">
        <f t="shared" si="55"/>
        <v>2005</v>
      </c>
      <c r="BO274" s="4">
        <f t="shared" si="56"/>
        <v>6</v>
      </c>
      <c r="BP274" s="108">
        <f>SPA!BP274+SHL!BP274+IND!BP274+COML!BP274+RESID!BJ274</f>
        <v>3538252</v>
      </c>
      <c r="BQ274" s="108"/>
      <c r="BR274" s="108"/>
      <c r="BS274" s="108"/>
      <c r="BT274" s="175">
        <f>SPA!BT274+SHL!BT274+IND!BT274+COML!BT274+RESID!BT274</f>
        <v>3624146.7738781124</v>
      </c>
      <c r="BU274" s="108">
        <f t="shared" ref="BU274:BU279" si="72">BT274-BT262</f>
        <v>-80714.497781151906</v>
      </c>
      <c r="BV274" s="108">
        <f t="shared" si="71"/>
        <v>85894.773878112435</v>
      </c>
    </row>
    <row r="275" spans="1:74">
      <c r="A275" s="4">
        <f t="shared" si="53"/>
        <v>2005</v>
      </c>
      <c r="B275" s="4">
        <f t="shared" si="54"/>
        <v>7</v>
      </c>
      <c r="C275" s="108">
        <f>RESID!C275+COML!C275+IND!C275+SHL!C275+SPA!C275</f>
        <v>3915031</v>
      </c>
      <c r="D275" s="108">
        <f>RESID!D275+COML!D275+IND!D275+SHL!D275+SPA!D275</f>
        <v>1613464</v>
      </c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>
        <f t="shared" si="68"/>
        <v>174505</v>
      </c>
      <c r="Z275" s="175">
        <f>RESID!Z275+COML!Z275+IND!Z275+SHL!Z275+SPA!Z275</f>
        <v>3888833</v>
      </c>
      <c r="AA275" s="108">
        <f t="shared" ref="AA275:AA280" si="73">Z275-C275</f>
        <v>-26198</v>
      </c>
      <c r="AB275" s="516">
        <f>RESID!AB275+COML!AB275+IND!AB275+SHL!AB275+SPA!AB275</f>
        <v>3813100</v>
      </c>
      <c r="BN275" s="4">
        <f t="shared" si="55"/>
        <v>2005</v>
      </c>
      <c r="BO275" s="4">
        <f t="shared" si="56"/>
        <v>7</v>
      </c>
      <c r="BP275" s="108">
        <f>SPA!BP275+SHL!BP275+IND!BP275+COML!BP275+RESID!BJ275</f>
        <v>4153458.9999999995</v>
      </c>
      <c r="BQ275" s="108"/>
      <c r="BR275" s="108"/>
      <c r="BS275" s="108"/>
      <c r="BT275" s="175">
        <f>SPA!BT275+SHL!BT275+IND!BT275+COML!BT275+RESID!BT275</f>
        <v>3951031.8329860303</v>
      </c>
      <c r="BU275" s="108">
        <f t="shared" si="72"/>
        <v>80656.798739534337</v>
      </c>
      <c r="BV275" s="108">
        <f t="shared" si="71"/>
        <v>-202427.16701396927</v>
      </c>
    </row>
    <row r="276" spans="1:74">
      <c r="A276" s="4">
        <f t="shared" si="53"/>
        <v>2005</v>
      </c>
      <c r="B276" s="4">
        <f t="shared" si="54"/>
        <v>8</v>
      </c>
      <c r="C276" s="108">
        <f>RESID!C276+COML!C276+IND!C276+SHL!C276+SPA!C276</f>
        <v>4054710</v>
      </c>
      <c r="D276" s="108">
        <f>RESID!D276+COML!D276+IND!D276+SHL!D276+SPA!D276</f>
        <v>1580518</v>
      </c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>
        <f t="shared" si="68"/>
        <v>-91003</v>
      </c>
      <c r="Z276" s="175">
        <f>RESID!Z276+COML!Z276+IND!Z276+SHL!Z276+SPA!Z276</f>
        <v>3828493</v>
      </c>
      <c r="AA276" s="108">
        <f t="shared" si="73"/>
        <v>-226217</v>
      </c>
      <c r="AB276" s="516">
        <f>RESID!AB276+COML!AB276+IND!AB276+SHL!AB276+SPA!AB276</f>
        <v>3815477</v>
      </c>
      <c r="BN276" s="4">
        <f t="shared" si="55"/>
        <v>2005</v>
      </c>
      <c r="BO276" s="4">
        <f t="shared" si="56"/>
        <v>8</v>
      </c>
      <c r="BP276" s="108">
        <f>SPA!BP276+SHL!BP276+IND!BP276+COML!BP276+RESID!BJ276</f>
        <v>4155146</v>
      </c>
      <c r="BQ276" s="108"/>
      <c r="BR276" s="108"/>
      <c r="BS276" s="108"/>
      <c r="BT276" s="175">
        <f>SPA!BT276+SHL!BT276+IND!BT276+COML!BT276+RESID!BT276</f>
        <v>3915753.351342041</v>
      </c>
      <c r="BU276" s="108">
        <f t="shared" si="72"/>
        <v>8871.3359697796404</v>
      </c>
      <c r="BV276" s="108">
        <f t="shared" si="71"/>
        <v>-239392.64865795895</v>
      </c>
    </row>
    <row r="277" spans="1:74">
      <c r="A277" s="4">
        <f t="shared" si="53"/>
        <v>2005</v>
      </c>
      <c r="B277" s="4">
        <f t="shared" si="54"/>
        <v>9</v>
      </c>
      <c r="C277" s="108">
        <f>RESID!C277+COML!C277+IND!C277+SHL!C277+SPA!C277</f>
        <v>4145173</v>
      </c>
      <c r="D277" s="108">
        <f>RESID!D277+COML!D277+IND!D277+SHL!D277+SPA!D277</f>
        <v>1599386</v>
      </c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>
        <f t="shared" si="68"/>
        <v>204606</v>
      </c>
      <c r="Z277" s="175">
        <f>RESID!Z277+COML!Z277+IND!Z277+SHL!Z277+SPA!Z277</f>
        <v>3964761</v>
      </c>
      <c r="AA277" s="108">
        <f t="shared" si="73"/>
        <v>-180412</v>
      </c>
      <c r="AB277" s="516">
        <f>RESID!AB277+COML!AB277+IND!AB277+SHL!AB277+SPA!AB277</f>
        <v>3922337</v>
      </c>
      <c r="BN277" s="4">
        <f t="shared" si="55"/>
        <v>2005</v>
      </c>
      <c r="BO277" s="4">
        <f t="shared" si="56"/>
        <v>9</v>
      </c>
      <c r="BP277" s="108">
        <f>SPA!BP277+SHL!BP277+IND!BP277+COML!BP277+RESID!BJ277</f>
        <v>3854814</v>
      </c>
      <c r="BQ277" s="108"/>
      <c r="BR277" s="108"/>
      <c r="BS277" s="108"/>
      <c r="BT277" s="175">
        <f>SPA!BT277+SHL!BT277+IND!BT277+COML!BT277+RESID!BT277</f>
        <v>3748155.4114839649</v>
      </c>
      <c r="BU277" s="108">
        <f t="shared" si="72"/>
        <v>255006.04167075176</v>
      </c>
      <c r="BV277" s="108">
        <f t="shared" si="71"/>
        <v>-106658.58851603512</v>
      </c>
    </row>
    <row r="278" spans="1:74">
      <c r="A278" s="4">
        <f t="shared" si="53"/>
        <v>2005</v>
      </c>
      <c r="B278" s="4">
        <f t="shared" si="54"/>
        <v>10</v>
      </c>
      <c r="C278" s="108">
        <f>RESID!C278+COML!C278+IND!C278+SHL!C278+SPA!C278</f>
        <v>3555305</v>
      </c>
      <c r="D278" s="108">
        <f>RESID!D278+COML!D278+IND!D278+SHL!D278+SPA!D278</f>
        <v>1581858</v>
      </c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>
        <f t="shared" si="68"/>
        <v>-641</v>
      </c>
      <c r="Z278" s="175">
        <f>RESID!Z278+COML!Z278+IND!Z278+SHL!Z278+SPA!Z278</f>
        <v>3361762</v>
      </c>
      <c r="AA278" s="108">
        <f t="shared" si="73"/>
        <v>-193543</v>
      </c>
      <c r="AB278" s="516">
        <f>RESID!AB278+COML!AB278+IND!AB278+SHL!AB278+SPA!AB278</f>
        <v>3390108</v>
      </c>
      <c r="BN278" s="4">
        <f t="shared" si="55"/>
        <v>2005</v>
      </c>
      <c r="BO278" s="4">
        <f t="shared" si="56"/>
        <v>10</v>
      </c>
      <c r="BP278" s="108">
        <f>SPA!BP278+SHL!BP278+IND!BP278+COML!BP278+RESID!BJ278</f>
        <v>3255005</v>
      </c>
      <c r="BQ278" s="108"/>
      <c r="BR278" s="108"/>
      <c r="BS278" s="108"/>
      <c r="BT278" s="175">
        <f>SPA!BT278+SHL!BT278+IND!BT278+COML!BT278+RESID!BT278</f>
        <v>3136481.6601476651</v>
      </c>
      <c r="BU278" s="108">
        <f t="shared" si="72"/>
        <v>-176379.97074938146</v>
      </c>
      <c r="BV278" s="108">
        <f t="shared" si="71"/>
        <v>-118523.33985233493</v>
      </c>
    </row>
    <row r="279" spans="1:74">
      <c r="A279" s="4">
        <f t="shared" si="53"/>
        <v>2005</v>
      </c>
      <c r="B279" s="4">
        <f t="shared" si="54"/>
        <v>11</v>
      </c>
      <c r="C279" s="108">
        <f>RESID!C279+COML!C279+IND!C279+SHL!C279+SPA!C279</f>
        <v>3051979</v>
      </c>
      <c r="D279" s="108">
        <f>RESID!D279+COML!D279+IND!D279+SHL!D279+SPA!D279</f>
        <v>1639205</v>
      </c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>
        <f t="shared" si="68"/>
        <v>46518</v>
      </c>
      <c r="Z279" s="175">
        <f>RESID!Z279+COML!Z279+IND!Z279+SHL!Z279+SPA!Z279</f>
        <v>3044778</v>
      </c>
      <c r="AA279" s="108">
        <f t="shared" si="73"/>
        <v>-7201</v>
      </c>
      <c r="AB279" s="516">
        <f>RESID!AB279+COML!AB279+IND!AB279+SHL!AB279+SPA!AB279</f>
        <v>2987311</v>
      </c>
      <c r="BN279" s="4">
        <f t="shared" si="55"/>
        <v>2005</v>
      </c>
      <c r="BO279" s="4">
        <f t="shared" si="56"/>
        <v>11</v>
      </c>
      <c r="BP279" s="108">
        <f>SPA!BP279+SHL!BP279+IND!BP279+COML!BP279+RESID!BJ279</f>
        <v>2653329</v>
      </c>
      <c r="BQ279" s="108"/>
      <c r="BR279" s="108"/>
      <c r="BS279" s="108"/>
      <c r="BT279" s="175">
        <f>SPA!BT279+SHL!BT279+IND!BT279+COML!BT279+RESID!BT279</f>
        <v>2651037.8650543019</v>
      </c>
      <c r="BU279" s="108">
        <f t="shared" si="72"/>
        <v>-100443.69220336527</v>
      </c>
      <c r="BV279" s="108">
        <f t="shared" si="71"/>
        <v>-2291.1349456980824</v>
      </c>
    </row>
    <row r="280" spans="1:74" s="89" customFormat="1">
      <c r="A280" s="89">
        <f t="shared" si="53"/>
        <v>2005</v>
      </c>
      <c r="B280" s="89">
        <f t="shared" si="54"/>
        <v>12</v>
      </c>
      <c r="C280" s="117">
        <f>RESID!C280+COML!C280+IND!C280+SHL!C280+SPA!C280</f>
        <v>2856032</v>
      </c>
      <c r="D280" s="117">
        <f>RESID!D280+COML!D280+IND!D280+SHL!D280+SPA!D280</f>
        <v>1599134</v>
      </c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  <c r="V280" s="117"/>
      <c r="W280" s="117"/>
      <c r="X280" s="117"/>
      <c r="Y280" s="117">
        <f t="shared" si="68"/>
        <v>-27337</v>
      </c>
      <c r="Z280" s="176">
        <f>RESID!Z280+COML!Z280+IND!Z280+SHL!Z280+SPA!Z280</f>
        <v>2914152</v>
      </c>
      <c r="AA280" s="117">
        <f t="shared" si="73"/>
        <v>58120</v>
      </c>
      <c r="AB280" s="525">
        <f>RESID!AB280+COML!AB280+IND!AB280+SHL!AB280+SPA!AB280</f>
        <v>2912466</v>
      </c>
      <c r="BN280" s="89">
        <f t="shared" si="55"/>
        <v>2005</v>
      </c>
      <c r="BO280" s="89">
        <f t="shared" si="56"/>
        <v>12</v>
      </c>
      <c r="BP280" s="117">
        <f>SPA!BP280+SHL!BP280+IND!BP280+COML!BP280+RESID!BJ280</f>
        <v>2983315</v>
      </c>
      <c r="BQ280" s="117"/>
      <c r="BR280" s="117"/>
      <c r="BS280" s="117"/>
      <c r="BT280" s="176">
        <f>SPA!BT280+SHL!BT280+IND!BT280+COML!BT280+RESID!BT280</f>
        <v>2959815.1867314633</v>
      </c>
      <c r="BU280" s="117">
        <f t="shared" ref="BU280:BU285" si="74">BT280-BT268</f>
        <v>-61797.376662469469</v>
      </c>
      <c r="BV280" s="117">
        <f t="shared" si="71"/>
        <v>-23499.813268536702</v>
      </c>
    </row>
    <row r="281" spans="1:74">
      <c r="A281" s="4">
        <f t="shared" si="53"/>
        <v>2006</v>
      </c>
      <c r="B281" s="4">
        <f t="shared" si="54"/>
        <v>1</v>
      </c>
      <c r="C281" s="108">
        <f>RESID!C281+COML!C281+IND!C281+SHL!C281+SPA!C281</f>
        <v>3020208</v>
      </c>
      <c r="D281" s="108">
        <f>RESID!D281+COML!D281+IND!D281+SHL!D281+SPA!D281</f>
        <v>1581830</v>
      </c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>
        <f t="shared" si="68"/>
        <v>34187</v>
      </c>
      <c r="Z281" s="175">
        <f>RESID!Z281+COML!Z281+IND!Z281+SHL!Z281+SPA!Z281</f>
        <v>3014711</v>
      </c>
      <c r="AA281" s="108">
        <f t="shared" ref="AA281:AA286" si="75">Z281-C281</f>
        <v>-5497</v>
      </c>
      <c r="AB281" s="516">
        <f>RESID!AB281+COML!AB281+IND!AB281+SHL!AB281+SPA!AB281</f>
        <v>3056268</v>
      </c>
      <c r="BN281" s="4">
        <f t="shared" si="55"/>
        <v>2006</v>
      </c>
      <c r="BO281" s="4">
        <f t="shared" si="56"/>
        <v>1</v>
      </c>
      <c r="BP281" s="108">
        <f>SPA!BP281+SHL!BP281+IND!BP281+COML!BP281+RESID!BJ281</f>
        <v>2976175</v>
      </c>
      <c r="BQ281" s="108"/>
      <c r="BR281" s="108"/>
      <c r="BS281" s="108"/>
      <c r="BT281" s="175">
        <f>SPA!BT281+SHL!BT281+IND!BT281+COML!BT281+RESID!BT281</f>
        <v>3043680.9197785892</v>
      </c>
      <c r="BU281" s="108">
        <f t="shared" si="74"/>
        <v>161085.20460623922</v>
      </c>
      <c r="BV281" s="108">
        <f t="shared" si="71"/>
        <v>67505.919778589159</v>
      </c>
    </row>
    <row r="282" spans="1:74">
      <c r="A282" s="4">
        <f t="shared" si="53"/>
        <v>2006</v>
      </c>
      <c r="B282" s="4">
        <f t="shared" si="54"/>
        <v>2</v>
      </c>
      <c r="C282" s="108">
        <f>RESID!C282+COML!C282+IND!C282+SHL!C282+SPA!C282</f>
        <v>2807302</v>
      </c>
      <c r="D282" s="108">
        <f>RESID!D282+COML!D282+IND!D282+SHL!D282+SPA!D282</f>
        <v>1608384</v>
      </c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>
        <f t="shared" si="68"/>
        <v>27491</v>
      </c>
      <c r="Z282" s="175">
        <f>RESID!Z282+COML!Z282+IND!Z282+SHL!Z282+SPA!Z282</f>
        <v>2830466</v>
      </c>
      <c r="AA282" s="108">
        <f t="shared" si="75"/>
        <v>23164</v>
      </c>
      <c r="AB282" s="516">
        <f>RESID!AB282+COML!AB282+IND!AB282+SHL!AB282+SPA!AB282</f>
        <v>2840439</v>
      </c>
      <c r="BN282" s="4">
        <f t="shared" si="55"/>
        <v>2006</v>
      </c>
      <c r="BO282" s="4">
        <f t="shared" si="56"/>
        <v>2</v>
      </c>
      <c r="BP282" s="108">
        <f>SPA!BP282+SHL!BP282+IND!BP282+COML!BP282+RESID!BJ282</f>
        <v>2729356</v>
      </c>
      <c r="BQ282" s="108"/>
      <c r="BR282" s="108"/>
      <c r="BS282" s="108"/>
      <c r="BT282" s="175">
        <f>SPA!BT282+SHL!BT282+IND!BT282+COML!BT282+RESID!BT282</f>
        <v>2656545.7586966227</v>
      </c>
      <c r="BU282" s="108">
        <f t="shared" si="74"/>
        <v>52348.58878170047</v>
      </c>
      <c r="BV282" s="108">
        <f t="shared" si="71"/>
        <v>-72810.241303377319</v>
      </c>
    </row>
    <row r="283" spans="1:74">
      <c r="A283" s="4">
        <f t="shared" si="53"/>
        <v>2006</v>
      </c>
      <c r="B283" s="4">
        <f t="shared" si="54"/>
        <v>3</v>
      </c>
      <c r="C283" s="108">
        <f>RESID!C283+COML!C283+IND!C283+SHL!C283+SPA!C283</f>
        <v>2760124</v>
      </c>
      <c r="D283" s="108">
        <f>RESID!D283+COML!D283+IND!D283+SHL!D283+SPA!D283</f>
        <v>1627278</v>
      </c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>
        <f t="shared" ref="Y283:Y288" si="76">Z283-Z271</f>
        <v>-2600</v>
      </c>
      <c r="Z283" s="175">
        <f>RESID!Z283+COML!Z283+IND!Z283+SHL!Z283+SPA!Z283</f>
        <v>2747341</v>
      </c>
      <c r="AA283" s="108">
        <f t="shared" si="75"/>
        <v>-12783</v>
      </c>
      <c r="AB283" s="516">
        <f>RESID!AB283+COML!AB283+IND!AB283+SHL!AB283+SPA!AB283</f>
        <v>2713989</v>
      </c>
      <c r="BN283" s="4">
        <f t="shared" si="55"/>
        <v>2006</v>
      </c>
      <c r="BO283" s="4">
        <f t="shared" si="56"/>
        <v>3</v>
      </c>
      <c r="BP283" s="108">
        <f>SPA!BP283+SHL!BP283+IND!BP283+COML!BP283+RESID!BJ283</f>
        <v>2846678</v>
      </c>
      <c r="BQ283" s="108"/>
      <c r="BR283" s="108"/>
      <c r="BS283" s="108"/>
      <c r="BT283" s="175">
        <f>SPA!BT283+SHL!BT283+IND!BT283+COML!BT283+RESID!BT283</f>
        <v>2810506.3716573198</v>
      </c>
      <c r="BU283" s="108">
        <f t="shared" si="74"/>
        <v>-19854.797404274344</v>
      </c>
      <c r="BV283" s="108">
        <f t="shared" si="71"/>
        <v>-36171.628342680167</v>
      </c>
    </row>
    <row r="284" spans="1:74">
      <c r="A284" s="4">
        <f t="shared" si="53"/>
        <v>2006</v>
      </c>
      <c r="B284" s="4">
        <f t="shared" si="54"/>
        <v>4</v>
      </c>
      <c r="C284" s="108">
        <f>RESID!C284+COML!C284+IND!C284+SHL!C284+SPA!C284</f>
        <v>2794807</v>
      </c>
      <c r="D284" s="108">
        <f>RESID!D284+COML!D284+IND!D284+SHL!D284+SPA!D284</f>
        <v>1597523</v>
      </c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>
        <f t="shared" si="76"/>
        <v>-73078</v>
      </c>
      <c r="Z284" s="175">
        <f>RESID!Z284+COML!Z284+IND!Z284+SHL!Z284+SPA!Z284</f>
        <v>2772967</v>
      </c>
      <c r="AA284" s="108">
        <f t="shared" si="75"/>
        <v>-21840</v>
      </c>
      <c r="AB284" s="516">
        <f>RESID!AB284+COML!AB284+IND!AB284+SHL!AB284+SPA!AB284</f>
        <v>2786599</v>
      </c>
      <c r="BN284" s="4">
        <f t="shared" si="55"/>
        <v>2006</v>
      </c>
      <c r="BO284" s="4">
        <f t="shared" si="56"/>
        <v>4</v>
      </c>
      <c r="BP284" s="108">
        <f>SPA!BP284+SHL!BP284+IND!BP284+COML!BP284+RESID!BJ284</f>
        <v>3075435</v>
      </c>
      <c r="BQ284" s="108"/>
      <c r="BR284" s="108"/>
      <c r="BS284" s="108"/>
      <c r="BT284" s="175">
        <f>SPA!BT284+SHL!BT284+IND!BT284+COML!BT284+RESID!BT284</f>
        <v>2971185.4617045987</v>
      </c>
      <c r="BU284" s="108">
        <f t="shared" si="74"/>
        <v>63197.02613369422</v>
      </c>
      <c r="BV284" s="108">
        <f t="shared" si="71"/>
        <v>-104249.53829540126</v>
      </c>
    </row>
    <row r="285" spans="1:74">
      <c r="A285" s="4">
        <f t="shared" si="53"/>
        <v>2006</v>
      </c>
      <c r="B285" s="4">
        <f t="shared" si="54"/>
        <v>5</v>
      </c>
      <c r="C285" s="108">
        <f>RESID!C285+COML!C285+IND!C285+SHL!C285+SPA!C285</f>
        <v>3207226</v>
      </c>
      <c r="D285" s="108">
        <f>RESID!D285+COML!D285+IND!D285+SHL!D285+SPA!D285</f>
        <v>1619789</v>
      </c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>
        <f t="shared" si="76"/>
        <v>33710</v>
      </c>
      <c r="Z285" s="175">
        <f>RESID!Z285+COML!Z285+IND!Z285+SHL!Z285+SPA!Z285</f>
        <v>3105267</v>
      </c>
      <c r="AA285" s="108">
        <f t="shared" si="75"/>
        <v>-101959</v>
      </c>
      <c r="AB285" s="516">
        <f>RESID!AB285+COML!AB285+IND!AB285+SHL!AB285+SPA!AB285</f>
        <v>3089070</v>
      </c>
      <c r="BN285" s="4">
        <f t="shared" si="55"/>
        <v>2006</v>
      </c>
      <c r="BO285" s="4">
        <f t="shared" si="56"/>
        <v>5</v>
      </c>
      <c r="BP285" s="108">
        <f>SPA!BP285+SHL!BP285+IND!BP285+COML!BP285+RESID!BJ285</f>
        <v>3429019</v>
      </c>
      <c r="BQ285" s="108"/>
      <c r="BR285" s="108"/>
      <c r="BS285" s="108"/>
      <c r="BT285" s="175">
        <f>SPA!BT285+SHL!BT285+IND!BT285+COML!BT285+RESID!BT285</f>
        <v>3472926.6675404543</v>
      </c>
      <c r="BU285" s="108">
        <f t="shared" si="74"/>
        <v>-38921.868459051009</v>
      </c>
      <c r="BV285" s="108">
        <f t="shared" si="71"/>
        <v>43907.667540454306</v>
      </c>
    </row>
    <row r="286" spans="1:74">
      <c r="A286" s="4">
        <f t="shared" ref="A286:A349" si="77">A274+1</f>
        <v>2006</v>
      </c>
      <c r="B286" s="4">
        <f t="shared" ref="B286:B349" si="78">B274</f>
        <v>6</v>
      </c>
      <c r="C286" s="108">
        <f>RESID!C286+COML!C286+IND!C286+SHL!C286+SPA!C286</f>
        <v>3658724</v>
      </c>
      <c r="D286" s="108">
        <f>RESID!D286+COML!D286+IND!D286+SHL!D286+SPA!D286</f>
        <v>1623089</v>
      </c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>
        <f t="shared" si="76"/>
        <v>162893</v>
      </c>
      <c r="Z286" s="175">
        <f>RESID!Z286+COML!Z286+IND!Z286+SHL!Z286+SPA!Z286</f>
        <v>3673921</v>
      </c>
      <c r="AA286" s="108">
        <f t="shared" si="75"/>
        <v>15197</v>
      </c>
      <c r="AB286" s="516">
        <f>RESID!AB286+COML!AB286+IND!AB286+SHL!AB286+SPA!AB286</f>
        <v>3571088</v>
      </c>
      <c r="BN286" s="4">
        <f t="shared" si="55"/>
        <v>2006</v>
      </c>
      <c r="BO286" s="4">
        <f t="shared" si="56"/>
        <v>6</v>
      </c>
      <c r="BP286" s="108">
        <f>SPA!BP286+SHL!BP286+IND!BP286+COML!BP286+RESID!BJ286</f>
        <v>3804852</v>
      </c>
      <c r="BQ286" s="108"/>
      <c r="BR286" s="108"/>
      <c r="BS286" s="108"/>
      <c r="BT286" s="175">
        <f>SPA!BT286+SHL!BT286+IND!BT286+COML!BT286+RESID!BT286</f>
        <v>3808003.5957439812</v>
      </c>
      <c r="BU286" s="108">
        <f t="shared" ref="BU286:BU291" si="79">BT286-BT274</f>
        <v>183856.82186586875</v>
      </c>
      <c r="BV286" s="108">
        <f t="shared" si="71"/>
        <v>3151.59574398119</v>
      </c>
    </row>
    <row r="287" spans="1:74">
      <c r="A287" s="4">
        <f t="shared" si="77"/>
        <v>2006</v>
      </c>
      <c r="B287" s="4">
        <f t="shared" si="78"/>
        <v>7</v>
      </c>
      <c r="C287" s="108">
        <f>RESID!C287+COML!C287+IND!C287+SHL!C287+SPA!C287</f>
        <v>3673280</v>
      </c>
      <c r="D287" s="108">
        <f>RESID!D287+COML!D287+IND!D287+SHL!D287+SPA!D287</f>
        <v>1535461</v>
      </c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>
        <f t="shared" si="76"/>
        <v>-182312</v>
      </c>
      <c r="Z287" s="175">
        <f>RESID!Z287+COML!Z287+IND!Z287+SHL!Z287+SPA!Z287</f>
        <v>3706521</v>
      </c>
      <c r="AA287" s="108">
        <f t="shared" ref="AA287:AA292" si="80">Z287-C287</f>
        <v>33241</v>
      </c>
      <c r="AB287" s="516">
        <f>RESID!AB287+COML!AB287+IND!AB287+SHL!AB287+SPA!AB287</f>
        <v>3857532</v>
      </c>
      <c r="BN287" s="4">
        <f t="shared" si="55"/>
        <v>2006</v>
      </c>
      <c r="BO287" s="4">
        <f t="shared" si="56"/>
        <v>7</v>
      </c>
      <c r="BP287" s="108">
        <f>SPA!BP287+SHL!BP287+IND!BP287+COML!BP287+RESID!BJ287</f>
        <v>3875690</v>
      </c>
      <c r="BQ287" s="108"/>
      <c r="BR287" s="108"/>
      <c r="BS287" s="108"/>
      <c r="BT287" s="175">
        <f>SPA!BT287+SHL!BT287+IND!BT287+COML!BT287+RESID!BT287</f>
        <v>3910565.3086531367</v>
      </c>
      <c r="BU287" s="108">
        <f t="shared" si="79"/>
        <v>-40466.524332893547</v>
      </c>
      <c r="BV287" s="108">
        <f t="shared" si="71"/>
        <v>34875.308653136715</v>
      </c>
    </row>
    <row r="288" spans="1:74">
      <c r="A288" s="4">
        <f t="shared" si="77"/>
        <v>2006</v>
      </c>
      <c r="B288" s="4">
        <f t="shared" si="78"/>
        <v>8</v>
      </c>
      <c r="C288" s="108">
        <f>RESID!C288+COML!C288+IND!C288+SHL!C288+SPA!C288</f>
        <v>4197477</v>
      </c>
      <c r="D288" s="108">
        <f>RESID!D288+COML!D288+IND!D288+SHL!D288+SPA!D288</f>
        <v>1692017</v>
      </c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>
        <f t="shared" si="76"/>
        <v>286112</v>
      </c>
      <c r="Z288" s="175">
        <f>RESID!Z288+COML!Z288+IND!Z288+SHL!Z288+SPA!Z288</f>
        <v>4114605</v>
      </c>
      <c r="AA288" s="108">
        <f t="shared" si="80"/>
        <v>-82872</v>
      </c>
      <c r="AB288" s="516">
        <f>RESID!AB288+COML!AB288+IND!AB288+SHL!AB288+SPA!AB288</f>
        <v>3990661</v>
      </c>
      <c r="BN288" s="4">
        <f t="shared" si="55"/>
        <v>2006</v>
      </c>
      <c r="BO288" s="4">
        <f t="shared" si="56"/>
        <v>8</v>
      </c>
      <c r="BP288" s="108">
        <f>SPA!BP288+SHL!BP288+IND!BP288+COML!BP288+RESID!BJ288</f>
        <v>4190394</v>
      </c>
      <c r="BQ288" s="108"/>
      <c r="BR288" s="108"/>
      <c r="BS288" s="108"/>
      <c r="BT288" s="175">
        <f>SPA!BT288+SHL!BT288+IND!BT288+COML!BT288+RESID!BT288</f>
        <v>4127497.5041464306</v>
      </c>
      <c r="BU288" s="108">
        <f t="shared" si="79"/>
        <v>211744.1528043896</v>
      </c>
      <c r="BV288" s="108">
        <f t="shared" si="71"/>
        <v>-62896.495853569359</v>
      </c>
    </row>
    <row r="289" spans="1:74">
      <c r="A289" s="4">
        <f t="shared" si="77"/>
        <v>2006</v>
      </c>
      <c r="B289" s="4">
        <f t="shared" si="78"/>
        <v>9</v>
      </c>
      <c r="C289" s="108">
        <f>RESID!C289+COML!C289+IND!C289+SHL!C289+SPA!C289</f>
        <v>3950808</v>
      </c>
      <c r="D289" s="108">
        <f>RESID!D289+COML!D289+IND!D289+SHL!D289+SPA!D289</f>
        <v>1628938</v>
      </c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>
        <f t="shared" ref="Y289:Y294" si="81">Z289-Z277</f>
        <v>19763</v>
      </c>
      <c r="Z289" s="175">
        <f>RESID!Z289+COML!Z289+IND!Z289+SHL!Z289+SPA!Z289</f>
        <v>3984524</v>
      </c>
      <c r="AA289" s="108">
        <f t="shared" si="80"/>
        <v>33716</v>
      </c>
      <c r="AB289" s="516">
        <f>RESID!AB289+COML!AB289+IND!AB289+SHL!AB289+SPA!AB289</f>
        <v>3961316</v>
      </c>
      <c r="BN289" s="4">
        <f t="shared" si="55"/>
        <v>2006</v>
      </c>
      <c r="BO289" s="4">
        <f t="shared" si="56"/>
        <v>9</v>
      </c>
      <c r="BP289" s="108">
        <f>SPA!BP289+SHL!BP289+IND!BP289+COML!BP289+RESID!BJ289</f>
        <v>3622426</v>
      </c>
      <c r="BQ289" s="108"/>
      <c r="BR289" s="108"/>
      <c r="BS289" s="108"/>
      <c r="BT289" s="175">
        <f>SPA!BT289+SHL!BT289+IND!BT289+COML!BT289+RESID!BT289</f>
        <v>3693064.0290644881</v>
      </c>
      <c r="BU289" s="108">
        <f t="shared" si="79"/>
        <v>-55091.382419476751</v>
      </c>
      <c r="BV289" s="108">
        <f t="shared" si="71"/>
        <v>70638.029064488132</v>
      </c>
    </row>
    <row r="290" spans="1:74">
      <c r="A290" s="4">
        <f t="shared" si="77"/>
        <v>2006</v>
      </c>
      <c r="B290" s="4">
        <f t="shared" si="78"/>
        <v>10</v>
      </c>
      <c r="C290" s="108">
        <f>RESID!C290+COML!C290+IND!C290+SHL!C290+SPA!C290</f>
        <v>3361153</v>
      </c>
      <c r="D290" s="108">
        <f>RESID!D290+COML!D290+IND!D290+SHL!D290+SPA!D290</f>
        <v>1556355</v>
      </c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>
        <f t="shared" si="81"/>
        <v>78495</v>
      </c>
      <c r="Z290" s="175">
        <f>RESID!Z290+COML!Z290+IND!Z290+SHL!Z290+SPA!Z290</f>
        <v>3440257</v>
      </c>
      <c r="AA290" s="108">
        <f t="shared" si="80"/>
        <v>79104</v>
      </c>
      <c r="AB290" s="516">
        <f>RESID!AB290+COML!AB290+IND!AB290+SHL!AB290+SPA!AB290</f>
        <v>3591012</v>
      </c>
      <c r="BN290" s="4">
        <f t="shared" si="55"/>
        <v>2006</v>
      </c>
      <c r="BO290" s="4">
        <f t="shared" si="56"/>
        <v>10</v>
      </c>
      <c r="BP290" s="108">
        <f>SPA!BP290+SHL!BP290+IND!BP290+COML!BP290+RESID!BJ290</f>
        <v>3182493</v>
      </c>
      <c r="BQ290" s="108"/>
      <c r="BR290" s="108"/>
      <c r="BS290" s="108"/>
      <c r="BT290" s="175">
        <f>SPA!BT290+SHL!BT290+IND!BT290+COML!BT290+RESID!BT290</f>
        <v>3239128.8207071628</v>
      </c>
      <c r="BU290" s="108">
        <f t="shared" si="79"/>
        <v>102647.16055949777</v>
      </c>
      <c r="BV290" s="108">
        <f t="shared" si="71"/>
        <v>56635.820707162842</v>
      </c>
    </row>
    <row r="291" spans="1:74">
      <c r="A291" s="4">
        <f t="shared" si="77"/>
        <v>2006</v>
      </c>
      <c r="B291" s="4">
        <f t="shared" si="78"/>
        <v>11</v>
      </c>
      <c r="C291" s="108">
        <f>RESID!C291+COML!C291+IND!C291+SHL!C291+SPA!C291</f>
        <v>3084405</v>
      </c>
      <c r="D291" s="108">
        <f>RESID!D291+COML!D291+IND!D291+SHL!D291+SPA!D291</f>
        <v>1694761</v>
      </c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>
        <f t="shared" si="81"/>
        <v>111887</v>
      </c>
      <c r="Z291" s="175">
        <f>RESID!Z291+COML!Z291+IND!Z291+SHL!Z291+SPA!Z291</f>
        <v>3156665</v>
      </c>
      <c r="AA291" s="108">
        <f t="shared" si="80"/>
        <v>72260</v>
      </c>
      <c r="AB291" s="516">
        <f>RESID!AB291+COML!AB291+IND!AB291+SHL!AB291+SPA!AB291</f>
        <v>3056879</v>
      </c>
      <c r="BN291" s="4">
        <f t="shared" si="55"/>
        <v>2006</v>
      </c>
      <c r="BO291" s="4">
        <f t="shared" si="56"/>
        <v>11</v>
      </c>
      <c r="BP291" s="108">
        <f>SPA!BP291+SHL!BP291+IND!BP291+COML!BP291+RESID!BJ291</f>
        <v>2715874</v>
      </c>
      <c r="BQ291" s="108"/>
      <c r="BR291" s="108"/>
      <c r="BS291" s="108"/>
      <c r="BT291" s="175">
        <f>SPA!BT291+SHL!BT291+IND!BT291+COML!BT291+RESID!BT291</f>
        <v>2700420.9127125572</v>
      </c>
      <c r="BU291" s="108">
        <f t="shared" si="79"/>
        <v>49383.047658255324</v>
      </c>
      <c r="BV291" s="108">
        <f t="shared" si="71"/>
        <v>-15453.087287442759</v>
      </c>
    </row>
    <row r="292" spans="1:74" s="89" customFormat="1">
      <c r="A292" s="89">
        <f t="shared" si="77"/>
        <v>2006</v>
      </c>
      <c r="B292" s="89">
        <f t="shared" si="78"/>
        <v>12</v>
      </c>
      <c r="C292" s="117">
        <f>RESID!C292+COML!C292+IND!C292+SHL!C292+SPA!C292</f>
        <v>2916326</v>
      </c>
      <c r="D292" s="117">
        <f>RESID!D292+COML!D292+IND!D292+SHL!D292+SPA!D292</f>
        <v>1679056</v>
      </c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  <c r="V292" s="117"/>
      <c r="W292" s="117"/>
      <c r="X292" s="117"/>
      <c r="Y292" s="117">
        <f t="shared" si="81"/>
        <v>41636</v>
      </c>
      <c r="Z292" s="176">
        <f>RESID!Z292+COML!Z292+IND!Z292+SHL!Z292+SPA!Z292</f>
        <v>2955788</v>
      </c>
      <c r="AA292" s="117">
        <f t="shared" si="80"/>
        <v>39462</v>
      </c>
      <c r="AB292" s="525">
        <f>RESID!AB292+COML!AB292+IND!AB292+SHL!AB292+SPA!AB292</f>
        <v>2912707</v>
      </c>
      <c r="BN292" s="89">
        <f t="shared" si="55"/>
        <v>2006</v>
      </c>
      <c r="BO292" s="89">
        <f t="shared" si="56"/>
        <v>12</v>
      </c>
      <c r="BP292" s="117">
        <f>SPA!BP292+SHL!BP292+IND!BP292+COML!BP292+RESID!BJ292</f>
        <v>2849299</v>
      </c>
      <c r="BQ292" s="117"/>
      <c r="BR292" s="117"/>
      <c r="BS292" s="117"/>
      <c r="BT292" s="176">
        <f>SPA!BT292+SHL!BT292+IND!BT292+COML!BT292+RESID!BT292</f>
        <v>2959569.9710722705</v>
      </c>
      <c r="BU292" s="117">
        <f t="shared" ref="BU292:BU297" si="82">BT292-BT280</f>
        <v>-245.21565919276327</v>
      </c>
      <c r="BV292" s="117">
        <f t="shared" si="71"/>
        <v>110270.97107227053</v>
      </c>
    </row>
    <row r="293" spans="1:74">
      <c r="A293" s="4">
        <f t="shared" si="77"/>
        <v>2007</v>
      </c>
      <c r="B293" s="4">
        <f t="shared" si="78"/>
        <v>1</v>
      </c>
      <c r="C293" s="108">
        <f>RESID!C293+COML!C293+IND!C293+SHL!C293+SPA!C293</f>
        <v>2762442</v>
      </c>
      <c r="D293" s="108">
        <f>RESID!D293+COML!D293+IND!D293+SHL!D293+SPA!D293</f>
        <v>1565251</v>
      </c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>
        <f t="shared" si="81"/>
        <v>103729</v>
      </c>
      <c r="Z293" s="175">
        <f>RESID!Z293+COML!Z293+IND!Z293+SHL!Z293+SPA!Z293</f>
        <v>3118440</v>
      </c>
      <c r="AA293" s="108">
        <f t="shared" ref="AA293:AA298" si="83">Z293-C293</f>
        <v>355998</v>
      </c>
      <c r="AB293" s="516">
        <f>RESID!AB293+COML!AB293+IND!AB293+SHL!AB293+SPA!AB293</f>
        <v>3215553</v>
      </c>
      <c r="BN293" s="4">
        <f t="shared" si="55"/>
        <v>2007</v>
      </c>
      <c r="BO293" s="4">
        <f t="shared" si="56"/>
        <v>1</v>
      </c>
      <c r="BP293" s="108">
        <f>SPA!BP293+SHL!BP293+IND!BP293+COML!BP293+RESID!BJ293</f>
        <v>2882477</v>
      </c>
      <c r="BQ293" s="108"/>
      <c r="BR293" s="108"/>
      <c r="BS293" s="108"/>
      <c r="BT293" s="175">
        <f>SPA!BT293+SHL!BT293+IND!BT293+COML!BT293+RESID!BT293</f>
        <v>3117111.6578657925</v>
      </c>
      <c r="BU293" s="108">
        <f t="shared" si="82"/>
        <v>73430.738087203354</v>
      </c>
      <c r="BV293" s="108">
        <f t="shared" si="71"/>
        <v>234634.65786579251</v>
      </c>
    </row>
    <row r="294" spans="1:74">
      <c r="A294" s="4">
        <f t="shared" si="77"/>
        <v>2007</v>
      </c>
      <c r="B294" s="4">
        <f t="shared" si="78"/>
        <v>2</v>
      </c>
      <c r="C294" s="108">
        <f>RESID!C294+COML!C294+IND!C294+SHL!C294+SPA!C294</f>
        <v>2885029</v>
      </c>
      <c r="D294" s="108">
        <f>RESID!D294+COML!D294+IND!D294+SHL!D294+SPA!D294</f>
        <v>1642862</v>
      </c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>
        <f t="shared" si="81"/>
        <v>-5666</v>
      </c>
      <c r="Z294" s="175">
        <f>RESID!Z294+COML!Z294+IND!Z294+SHL!Z294+SPA!Z294</f>
        <v>2824800</v>
      </c>
      <c r="AA294" s="108">
        <f t="shared" si="83"/>
        <v>-60229</v>
      </c>
      <c r="AB294" s="516">
        <f>RESID!AB294+COML!AB294+IND!AB294+SHL!AB294+SPA!AB294</f>
        <v>2788847</v>
      </c>
      <c r="BN294" s="4">
        <f t="shared" si="55"/>
        <v>2007</v>
      </c>
      <c r="BO294" s="4">
        <f t="shared" si="56"/>
        <v>2</v>
      </c>
      <c r="BP294" s="108">
        <f>SPA!BP294+SHL!BP294+IND!BP294+COML!BP294+RESID!BJ294</f>
        <v>2683521</v>
      </c>
      <c r="BQ294" s="108"/>
      <c r="BR294" s="108"/>
      <c r="BS294" s="108"/>
      <c r="BT294" s="175">
        <f>SPA!BT294+SHL!BT294+IND!BT294+COML!BT294+RESID!BT294</f>
        <v>2565429.8988277023</v>
      </c>
      <c r="BU294" s="108">
        <f t="shared" si="82"/>
        <v>-91115.859868920408</v>
      </c>
      <c r="BV294" s="108">
        <f t="shared" si="71"/>
        <v>-118091.10117229773</v>
      </c>
    </row>
    <row r="295" spans="1:74">
      <c r="A295" s="4">
        <f t="shared" si="77"/>
        <v>2007</v>
      </c>
      <c r="B295" s="4">
        <f t="shared" si="78"/>
        <v>3</v>
      </c>
      <c r="C295" s="108">
        <f>RESID!C295+COML!C295+IND!C295+SHL!C295+SPA!C295</f>
        <v>2774163</v>
      </c>
      <c r="D295" s="108">
        <f>RESID!D295+COML!D295+IND!D295+SHL!D295+SPA!D295</f>
        <v>1629704</v>
      </c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>
        <f t="shared" ref="Y295:Y300" si="84">Z295-Z283</f>
        <v>-36912</v>
      </c>
      <c r="Z295" s="175">
        <f>RESID!Z295+COML!Z295+IND!Z295+SHL!Z295+SPA!Z295</f>
        <v>2710429</v>
      </c>
      <c r="AA295" s="108">
        <f t="shared" si="83"/>
        <v>-63734</v>
      </c>
      <c r="AB295" s="516">
        <f>RESID!AB295+COML!AB295+IND!AB295+SHL!AB295+SPA!AB295</f>
        <v>2758161</v>
      </c>
      <c r="BN295" s="4">
        <f t="shared" si="55"/>
        <v>2007</v>
      </c>
      <c r="BO295" s="4">
        <f t="shared" si="56"/>
        <v>3</v>
      </c>
      <c r="BP295" s="108">
        <f>SPA!BP295+SHL!BP295+IND!BP295+COML!BP295+RESID!BJ295</f>
        <v>2924987</v>
      </c>
      <c r="BQ295" s="108"/>
      <c r="BR295" s="108"/>
      <c r="BS295" s="108"/>
      <c r="BT295" s="175">
        <f>SPA!BT295+SHL!BT295+IND!BT295+COML!BT295+RESID!BT295</f>
        <v>2908023.325463227</v>
      </c>
      <c r="BU295" s="108">
        <f t="shared" si="82"/>
        <v>97516.953805907164</v>
      </c>
      <c r="BV295" s="108">
        <f t="shared" si="71"/>
        <v>-16963.674536773004</v>
      </c>
    </row>
    <row r="296" spans="1:74">
      <c r="A296" s="4">
        <f t="shared" si="77"/>
        <v>2007</v>
      </c>
      <c r="B296" s="4">
        <f t="shared" si="78"/>
        <v>4</v>
      </c>
      <c r="C296" s="108">
        <f>RESID!C296+COML!C296+IND!C296+SHL!C296+SPA!C296</f>
        <v>2798985</v>
      </c>
      <c r="D296" s="108">
        <f>RESID!D296+COML!D296+IND!D296+SHL!D296+SPA!D296</f>
        <v>1634149</v>
      </c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>
        <f t="shared" si="84"/>
        <v>74224</v>
      </c>
      <c r="Z296" s="175">
        <f>RESID!Z296+COML!Z296+IND!Z296+SHL!Z296+SPA!Z296</f>
        <v>2847191</v>
      </c>
      <c r="AA296" s="108">
        <f t="shared" si="83"/>
        <v>48206</v>
      </c>
      <c r="AB296" s="516">
        <f>RESID!AB296+COML!AB296+IND!AB296+SHL!AB296+SPA!AB296</f>
        <v>2859522</v>
      </c>
      <c r="BN296" s="4">
        <f t="shared" si="55"/>
        <v>2007</v>
      </c>
      <c r="BO296" s="4">
        <f t="shared" si="56"/>
        <v>4</v>
      </c>
      <c r="BP296" s="108">
        <f>SPA!BP296+SHL!BP296+IND!BP296+COML!BP296+RESID!BJ296</f>
        <v>2847212</v>
      </c>
      <c r="BQ296" s="108"/>
      <c r="BR296" s="108"/>
      <c r="BS296" s="108"/>
      <c r="BT296" s="175">
        <f>SPA!BT296+SHL!BT296+IND!BT296+COML!BT296+RESID!BT296</f>
        <v>2934013.3007967276</v>
      </c>
      <c r="BU296" s="108">
        <f t="shared" si="82"/>
        <v>-37172.16090787109</v>
      </c>
      <c r="BV296" s="108">
        <f t="shared" si="71"/>
        <v>86801.30079672765</v>
      </c>
    </row>
    <row r="297" spans="1:74">
      <c r="A297" s="4">
        <f t="shared" si="77"/>
        <v>2007</v>
      </c>
      <c r="B297" s="4">
        <f t="shared" si="78"/>
        <v>5</v>
      </c>
      <c r="C297" s="108">
        <f>RESID!C297+COML!C297+IND!C297+SHL!C297+SPA!C297</f>
        <v>3042929</v>
      </c>
      <c r="D297" s="108">
        <f>RESID!D297+COML!D297+IND!D297+SHL!D297+SPA!D297</f>
        <v>1648789</v>
      </c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>
        <f t="shared" si="84"/>
        <v>-25714</v>
      </c>
      <c r="Z297" s="175">
        <f>RESID!Z297+COML!Z297+IND!Z297+SHL!Z297+SPA!Z297</f>
        <v>3079553</v>
      </c>
      <c r="AA297" s="108">
        <f t="shared" si="83"/>
        <v>36624</v>
      </c>
      <c r="AB297" s="516">
        <f>RESID!AB297+COML!AB297+IND!AB297+SHL!AB297+SPA!AB297</f>
        <v>3025857</v>
      </c>
      <c r="BN297" s="4">
        <f t="shared" si="55"/>
        <v>2007</v>
      </c>
      <c r="BO297" s="4">
        <f t="shared" si="56"/>
        <v>5</v>
      </c>
      <c r="BP297" s="108">
        <f>SPA!BP297+SHL!BP297+IND!BP297+COML!BP297+RESID!BJ297</f>
        <v>3395732</v>
      </c>
      <c r="BQ297" s="108"/>
      <c r="BR297" s="108"/>
      <c r="BS297" s="108"/>
      <c r="BT297" s="175">
        <f>SPA!BT297+SHL!BT297+IND!BT297+COML!BT297+RESID!BT297</f>
        <v>3582286.3965468337</v>
      </c>
      <c r="BU297" s="108">
        <f t="shared" si="82"/>
        <v>109359.72900637938</v>
      </c>
      <c r="BV297" s="108">
        <f t="shared" si="71"/>
        <v>186554.39654683368</v>
      </c>
    </row>
    <row r="298" spans="1:74">
      <c r="A298" s="4">
        <f t="shared" si="77"/>
        <v>2007</v>
      </c>
      <c r="B298" s="4">
        <f t="shared" si="78"/>
        <v>6</v>
      </c>
      <c r="C298" s="108">
        <f>RESID!C298+COML!C298+IND!C298+SHL!C298+SPA!C298</f>
        <v>3356677</v>
      </c>
      <c r="D298" s="108">
        <f>RESID!D298+COML!D298+IND!D298+SHL!D298+SPA!D298</f>
        <v>1630365</v>
      </c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>
        <f t="shared" si="84"/>
        <v>-116235</v>
      </c>
      <c r="Z298" s="175">
        <f>RESID!Z298+COML!Z298+IND!Z298+SHL!Z298+SPA!Z298</f>
        <v>3557686</v>
      </c>
      <c r="AA298" s="108">
        <f t="shared" si="83"/>
        <v>201009</v>
      </c>
      <c r="AB298" s="516">
        <f>RESID!AB298+COML!AB298+IND!AB298+SHL!AB298+SPA!AB298</f>
        <v>3519382</v>
      </c>
      <c r="BN298" s="4">
        <f t="shared" si="55"/>
        <v>2007</v>
      </c>
      <c r="BO298" s="4">
        <f t="shared" si="56"/>
        <v>6</v>
      </c>
      <c r="BP298" s="108">
        <f>SPA!BP298+SHL!BP298+IND!BP298+COML!BP298+RESID!BJ298</f>
        <v>3623173</v>
      </c>
      <c r="BQ298" s="108"/>
      <c r="BR298" s="108"/>
      <c r="BS298" s="108"/>
      <c r="BT298" s="175">
        <f>SPA!BT298+SHL!BT298+IND!BT298+COML!BT298+RESID!BT298</f>
        <v>3677588.4098943947</v>
      </c>
      <c r="BU298" s="108">
        <f t="shared" ref="BU298:BU303" si="85">BT298-BT286</f>
        <v>-130415.1858495865</v>
      </c>
      <c r="BV298" s="108">
        <f t="shared" si="71"/>
        <v>54415.409894394688</v>
      </c>
    </row>
    <row r="299" spans="1:74">
      <c r="A299" s="4">
        <f t="shared" si="77"/>
        <v>2007</v>
      </c>
      <c r="B299" s="4">
        <f t="shared" si="78"/>
        <v>7</v>
      </c>
      <c r="C299" s="108">
        <f>RESID!C299+COML!C299+IND!C299+SHL!C299+SPA!C299</f>
        <v>3735974</v>
      </c>
      <c r="D299" s="108">
        <f>RESID!D299+COML!D299+IND!D299+SHL!D299+SPA!D299</f>
        <v>1549501</v>
      </c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>
        <f t="shared" si="84"/>
        <v>9959</v>
      </c>
      <c r="Z299" s="175">
        <f>RESID!Z299+COML!Z299+IND!Z299+SHL!Z299+SPA!Z299</f>
        <v>3716480</v>
      </c>
      <c r="AA299" s="108">
        <f t="shared" ref="AA299:AA304" si="86">Z299-C299</f>
        <v>-19494</v>
      </c>
      <c r="AB299" s="516">
        <f>RESID!AB299+COML!AB299+IND!AB299+SHL!AB299+SPA!AB299</f>
        <v>3863420</v>
      </c>
      <c r="BN299" s="4">
        <f t="shared" si="55"/>
        <v>2007</v>
      </c>
      <c r="BO299" s="4">
        <f t="shared" si="56"/>
        <v>7</v>
      </c>
      <c r="BP299" s="108">
        <f>SPA!BP299+SHL!BP299+IND!BP299+COML!BP299+RESID!BJ299</f>
        <v>4003091.9999999995</v>
      </c>
      <c r="BQ299" s="108"/>
      <c r="BR299" s="108"/>
      <c r="BS299" s="108"/>
      <c r="BT299" s="175">
        <f>SPA!BT299+SHL!BT299+IND!BT299+COML!BT299+RESID!BT299</f>
        <v>3972022.692707961</v>
      </c>
      <c r="BU299" s="108">
        <f t="shared" si="85"/>
        <v>61457.384054824244</v>
      </c>
      <c r="BV299" s="108">
        <f t="shared" si="71"/>
        <v>-31069.307292038575</v>
      </c>
    </row>
    <row r="300" spans="1:74">
      <c r="A300" s="4">
        <f t="shared" si="77"/>
        <v>2007</v>
      </c>
      <c r="B300" s="4">
        <f t="shared" si="78"/>
        <v>8</v>
      </c>
      <c r="C300" s="108">
        <f>RESID!C300+COML!C300+IND!C300+SHL!C300+SPA!C300</f>
        <v>4287145</v>
      </c>
      <c r="D300" s="108">
        <f>RESID!D300+COML!D300+IND!D300+SHL!D300+SPA!D300</f>
        <v>1743078</v>
      </c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>
        <f t="shared" si="84"/>
        <v>52593</v>
      </c>
      <c r="Z300" s="175">
        <f>RESID!Z300+COML!Z300+IND!Z300+SHL!Z300+SPA!Z300</f>
        <v>4167198</v>
      </c>
      <c r="AA300" s="108">
        <f t="shared" si="86"/>
        <v>-119947</v>
      </c>
      <c r="AB300" s="516">
        <f>RESID!AB300+COML!AB300+IND!AB300+SHL!AB300+SPA!AB300</f>
        <v>3971002</v>
      </c>
      <c r="BN300" s="4">
        <f t="shared" si="55"/>
        <v>2007</v>
      </c>
      <c r="BO300" s="4">
        <f t="shared" si="56"/>
        <v>8</v>
      </c>
      <c r="BP300" s="108">
        <f>SPA!BP300+SHL!BP300+IND!BP300+COML!BP300+RESID!BJ300</f>
        <v>4279326</v>
      </c>
      <c r="BQ300" s="108"/>
      <c r="BR300" s="108"/>
      <c r="BS300" s="108"/>
      <c r="BT300" s="175">
        <f>SPA!BT300+SHL!BT300+IND!BT300+COML!BT300+RESID!BT300</f>
        <v>4071343.8732355647</v>
      </c>
      <c r="BU300" s="108">
        <f t="shared" si="85"/>
        <v>-56153.630910865963</v>
      </c>
      <c r="BV300" s="108">
        <f t="shared" si="71"/>
        <v>-207982.12676443532</v>
      </c>
    </row>
    <row r="301" spans="1:74">
      <c r="A301" s="4">
        <f t="shared" si="77"/>
        <v>2007</v>
      </c>
      <c r="B301" s="4">
        <f t="shared" si="78"/>
        <v>9</v>
      </c>
      <c r="C301" s="108">
        <f>RESID!C301+COML!C301+IND!C301+SHL!C301+SPA!C301</f>
        <v>3956784</v>
      </c>
      <c r="D301" s="108">
        <f>RESID!D301+COML!D301+IND!D301+SHL!D301+SPA!D301</f>
        <v>1562105</v>
      </c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>
        <f t="shared" ref="Y301:Y306" si="87">Z301-Z289</f>
        <v>-150445</v>
      </c>
      <c r="Z301" s="175">
        <f>RESID!Z301+COML!Z301+IND!Z301+SHL!Z301+SPA!Z301</f>
        <v>3834079</v>
      </c>
      <c r="AA301" s="108">
        <f t="shared" si="86"/>
        <v>-122705</v>
      </c>
      <c r="AB301" s="516">
        <f>RESID!AB301+COML!AB301+IND!AB301+SHL!AB301+SPA!AB301</f>
        <v>3950628</v>
      </c>
      <c r="BN301" s="4">
        <f t="shared" si="55"/>
        <v>2007</v>
      </c>
      <c r="BO301" s="4">
        <f t="shared" si="56"/>
        <v>9</v>
      </c>
      <c r="BP301" s="108">
        <f>SPA!BP301+SHL!BP301+IND!BP301+COML!BP301+RESID!BJ301</f>
        <v>3627402</v>
      </c>
      <c r="BQ301" s="108"/>
      <c r="BR301" s="108"/>
      <c r="BS301" s="108"/>
      <c r="BT301" s="175">
        <f>SPA!BT301+SHL!BT301+IND!BT301+COML!BT301+RESID!BT301</f>
        <v>3588018.3370613679</v>
      </c>
      <c r="BU301" s="108">
        <f t="shared" si="85"/>
        <v>-105045.6920031202</v>
      </c>
      <c r="BV301" s="108">
        <f t="shared" ref="BV301:BV332" si="88">BT301-BP301</f>
        <v>-39383.662938632071</v>
      </c>
    </row>
    <row r="302" spans="1:74">
      <c r="A302" s="4">
        <f t="shared" si="77"/>
        <v>2007</v>
      </c>
      <c r="B302" s="4">
        <f t="shared" si="78"/>
        <v>10</v>
      </c>
      <c r="C302" s="108">
        <f>RESID!C302+COML!C302+IND!C302+SHL!C302+SPA!C302</f>
        <v>3626283</v>
      </c>
      <c r="D302" s="108">
        <f>RESID!D302+COML!D302+IND!D302+SHL!D302+SPA!D302</f>
        <v>1633257</v>
      </c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>
        <f t="shared" si="87"/>
        <v>74655</v>
      </c>
      <c r="Z302" s="175">
        <f>RESID!Z302+COML!Z302+IND!Z302+SHL!Z302+SPA!Z302</f>
        <v>3514912</v>
      </c>
      <c r="AA302" s="108">
        <f t="shared" si="86"/>
        <v>-111371</v>
      </c>
      <c r="AB302" s="516">
        <f>RESID!AB302+COML!AB302+IND!AB302+SHL!AB302+SPA!AB302</f>
        <v>3559673</v>
      </c>
      <c r="BN302" s="4">
        <f t="shared" si="55"/>
        <v>2007</v>
      </c>
      <c r="BO302" s="4">
        <f t="shared" si="56"/>
        <v>10</v>
      </c>
      <c r="BP302" s="108">
        <f>SPA!BP302+SHL!BP302+IND!BP302+COML!BP302+RESID!BJ302</f>
        <v>3512470</v>
      </c>
      <c r="BQ302" s="108"/>
      <c r="BR302" s="108"/>
      <c r="BS302" s="108"/>
      <c r="BT302" s="175">
        <f>SPA!BT302+SHL!BT302+IND!BT302+COML!BT302+RESID!BT302</f>
        <v>3267171.4857398458</v>
      </c>
      <c r="BU302" s="108">
        <f t="shared" si="85"/>
        <v>28042.66503268294</v>
      </c>
      <c r="BV302" s="108">
        <f t="shared" si="88"/>
        <v>-245298.51426015422</v>
      </c>
    </row>
    <row r="303" spans="1:74">
      <c r="A303" s="4">
        <f t="shared" si="77"/>
        <v>2007</v>
      </c>
      <c r="B303" s="4">
        <f t="shared" si="78"/>
        <v>11</v>
      </c>
      <c r="C303" s="108">
        <f>RESID!C303+COML!C303+IND!C303+SHL!C303+SPA!C303</f>
        <v>3187572</v>
      </c>
      <c r="D303" s="108">
        <f>RESID!D303+COML!D303+IND!D303+SHL!D303+SPA!D303</f>
        <v>1710595</v>
      </c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>
        <f t="shared" si="87"/>
        <v>-54269</v>
      </c>
      <c r="Z303" s="175">
        <f>RESID!Z303+COML!Z303+IND!Z303+SHL!Z303+SPA!Z303</f>
        <v>3102396</v>
      </c>
      <c r="AA303" s="108">
        <f t="shared" si="86"/>
        <v>-85176</v>
      </c>
      <c r="AB303" s="516">
        <f>RESID!AB303+COML!AB303+IND!AB303+SHL!AB303+SPA!AB303</f>
        <v>3050971</v>
      </c>
      <c r="BN303" s="4">
        <f t="shared" si="55"/>
        <v>2007</v>
      </c>
      <c r="BO303" s="4">
        <f t="shared" si="56"/>
        <v>11</v>
      </c>
      <c r="BP303" s="108">
        <f>SPA!BP303+SHL!BP303+IND!BP303+COML!BP303+RESID!BJ303</f>
        <v>2696092</v>
      </c>
      <c r="BQ303" s="108"/>
      <c r="BR303" s="108"/>
      <c r="BS303" s="108"/>
      <c r="BT303" s="175">
        <f>SPA!BT303+SHL!BT303+IND!BT303+COML!BT303+RESID!BT303</f>
        <v>2742099.8186314339</v>
      </c>
      <c r="BU303" s="108">
        <f t="shared" si="85"/>
        <v>41678.90591887664</v>
      </c>
      <c r="BV303" s="108">
        <f t="shared" si="88"/>
        <v>46007.818631433882</v>
      </c>
    </row>
    <row r="304" spans="1:74" s="89" customFormat="1">
      <c r="A304" s="89">
        <f t="shared" si="77"/>
        <v>2007</v>
      </c>
      <c r="B304" s="89">
        <f t="shared" si="78"/>
        <v>12</v>
      </c>
      <c r="C304" s="117">
        <f>RESID!C304+COML!C304+IND!C304+SHL!C304+SPA!C304</f>
        <v>2867658</v>
      </c>
      <c r="D304" s="117">
        <f>RESID!D304+COML!D304+IND!D304+SHL!D304+SPA!D304</f>
        <v>1638502</v>
      </c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  <c r="V304" s="117"/>
      <c r="W304" s="117"/>
      <c r="X304" s="117"/>
      <c r="Y304" s="117">
        <f t="shared" si="87"/>
        <v>-16209</v>
      </c>
      <c r="Z304" s="176">
        <f>RESID!Z304+COML!Z304+IND!Z304+SHL!Z304+SPA!Z304</f>
        <v>2939579</v>
      </c>
      <c r="AA304" s="117">
        <f t="shared" si="86"/>
        <v>71921</v>
      </c>
      <c r="AB304" s="525">
        <f>RESID!AB304+COML!AB304+IND!AB304+SHL!AB304+SPA!AB304</f>
        <v>2891425</v>
      </c>
      <c r="BN304" s="89">
        <f t="shared" si="55"/>
        <v>2007</v>
      </c>
      <c r="BO304" s="89">
        <f t="shared" si="56"/>
        <v>12</v>
      </c>
      <c r="BP304" s="117">
        <f>SPA!BP304+SHL!BP304+IND!BP304+COML!BP304+RESID!BJ304</f>
        <v>2800615</v>
      </c>
      <c r="BQ304" s="117"/>
      <c r="BR304" s="117"/>
      <c r="BS304" s="117"/>
      <c r="BT304" s="176">
        <f>SPA!BT304+SHL!BT304+IND!BT304+COML!BT304+RESID!BT304</f>
        <v>2875604.6294891192</v>
      </c>
      <c r="BU304" s="117">
        <f t="shared" ref="BU304:BU309" si="89">BT304-BT292</f>
        <v>-83965.34158315137</v>
      </c>
      <c r="BV304" s="117">
        <f t="shared" si="88"/>
        <v>74989.629489119165</v>
      </c>
    </row>
    <row r="305" spans="1:74">
      <c r="A305" s="4">
        <f t="shared" si="77"/>
        <v>2008</v>
      </c>
      <c r="B305" s="4">
        <f t="shared" si="78"/>
        <v>1</v>
      </c>
      <c r="C305" s="108">
        <f>RESID!C305+COML!C305+IND!C305+SHL!C305+SPA!C305</f>
        <v>2908505</v>
      </c>
      <c r="D305" s="108">
        <f>RESID!D305+COML!D305+IND!D305+SHL!D305+SPA!D305</f>
        <v>1631276</v>
      </c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>
        <f t="shared" si="87"/>
        <v>-198413</v>
      </c>
      <c r="Z305" s="175">
        <f>RESID!Z305+COML!Z305+IND!Z305+SHL!Z305+SPA!Z305</f>
        <v>2920027</v>
      </c>
      <c r="AA305" s="108">
        <f t="shared" ref="AA305:AA310" si="90">Z305-C305</f>
        <v>11522</v>
      </c>
      <c r="AB305" s="516">
        <f>RESID!AB305+COML!AB305+IND!AB305+SHL!AB305+SPA!AB305</f>
        <v>2961444</v>
      </c>
      <c r="BN305" s="4">
        <f t="shared" si="55"/>
        <v>2008</v>
      </c>
      <c r="BO305" s="4">
        <f t="shared" si="56"/>
        <v>1</v>
      </c>
      <c r="BP305" s="108">
        <f>SPA!BP305+SHL!BP305+IND!BP305+COML!BP305+RESID!BJ305</f>
        <v>3044711</v>
      </c>
      <c r="BQ305" s="108"/>
      <c r="BR305" s="108"/>
      <c r="BS305" s="108"/>
      <c r="BT305" s="175">
        <f>SPA!BT305+SHL!BT305+IND!BT305+COML!BT305+RESID!BT305</f>
        <v>3014627.5541466651</v>
      </c>
      <c r="BU305" s="108">
        <f t="shared" si="89"/>
        <v>-102484.10371912736</v>
      </c>
      <c r="BV305" s="108">
        <f t="shared" si="88"/>
        <v>-30083.445853334852</v>
      </c>
    </row>
    <row r="306" spans="1:74">
      <c r="A306" s="4">
        <f t="shared" si="77"/>
        <v>2008</v>
      </c>
      <c r="B306" s="4">
        <f t="shared" si="78"/>
        <v>2</v>
      </c>
      <c r="C306" s="108">
        <f>RESID!C306+COML!C306+IND!C306+SHL!C306+SPA!C306</f>
        <v>2697978</v>
      </c>
      <c r="D306" s="108">
        <f>RESID!D306+COML!D306+IND!D306+SHL!D306+SPA!D306</f>
        <v>1656954</v>
      </c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>
        <f t="shared" si="87"/>
        <v>-28571</v>
      </c>
      <c r="Z306" s="175">
        <f>RESID!Z306+COML!Z306+IND!Z306+SHL!Z306+SPA!Z306</f>
        <v>2796229</v>
      </c>
      <c r="AA306" s="108">
        <f t="shared" si="90"/>
        <v>98251</v>
      </c>
      <c r="AB306" s="516">
        <f>RESID!AB306+COML!AB306+IND!AB306+SHL!AB306+SPA!AB306</f>
        <v>2829711</v>
      </c>
      <c r="BN306" s="4">
        <f t="shared" si="55"/>
        <v>2008</v>
      </c>
      <c r="BO306" s="4">
        <f t="shared" si="56"/>
        <v>2</v>
      </c>
      <c r="BP306" s="108">
        <f>SPA!BP306+SHL!BP306+IND!BP306+COML!BP306+RESID!BJ306</f>
        <v>2569858</v>
      </c>
      <c r="BQ306" s="108"/>
      <c r="BR306" s="108"/>
      <c r="BS306" s="108"/>
      <c r="BT306" s="175">
        <f>SPA!BT306+SHL!BT306+IND!BT306+COML!BT306+RESID!BT306</f>
        <v>2614625.7719473448</v>
      </c>
      <c r="BU306" s="108">
        <f t="shared" si="89"/>
        <v>49195.873119642492</v>
      </c>
      <c r="BV306" s="108">
        <f t="shared" si="88"/>
        <v>44767.771947344765</v>
      </c>
    </row>
    <row r="307" spans="1:74">
      <c r="A307" s="4">
        <f t="shared" si="77"/>
        <v>2008</v>
      </c>
      <c r="B307" s="4">
        <f t="shared" si="78"/>
        <v>3</v>
      </c>
      <c r="C307" s="108">
        <f>RESID!C307+COML!C307+IND!C307+SHL!C307+SPA!C307</f>
        <v>2691413</v>
      </c>
      <c r="D307" s="108">
        <f>RESID!D307+COML!D307+IND!D307+SHL!D307+SPA!D307</f>
        <v>1593019</v>
      </c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>
        <f t="shared" ref="Y307:Y312" si="91">Z307-Z295</f>
        <v>36189</v>
      </c>
      <c r="Z307" s="175">
        <f>RESID!Z307+COML!Z307+IND!Z307+SHL!Z307+SPA!Z307</f>
        <v>2746618</v>
      </c>
      <c r="AA307" s="108">
        <f t="shared" si="90"/>
        <v>55205</v>
      </c>
      <c r="AB307" s="516">
        <f>RESID!AB307+COML!AB307+IND!AB307+SHL!AB307+SPA!AB307</f>
        <v>2794022</v>
      </c>
      <c r="BN307" s="4">
        <f t="shared" si="55"/>
        <v>2008</v>
      </c>
      <c r="BO307" s="4">
        <f t="shared" si="56"/>
        <v>3</v>
      </c>
      <c r="BP307" s="108">
        <f>SPA!BP307+SHL!BP307+IND!BP307+COML!BP307+RESID!BJ307</f>
        <v>2751762</v>
      </c>
      <c r="BQ307" s="108"/>
      <c r="BR307" s="108"/>
      <c r="BS307" s="108"/>
      <c r="BT307" s="175">
        <f>SPA!BT307+SHL!BT307+IND!BT307+COML!BT307+RESID!BT307</f>
        <v>2809869.4370151162</v>
      </c>
      <c r="BU307" s="108">
        <f t="shared" si="89"/>
        <v>-98153.888448110782</v>
      </c>
      <c r="BV307" s="108">
        <f t="shared" si="88"/>
        <v>58107.437015116215</v>
      </c>
    </row>
    <row r="308" spans="1:74">
      <c r="A308" s="4">
        <f t="shared" si="77"/>
        <v>2008</v>
      </c>
      <c r="B308" s="4">
        <f t="shared" si="78"/>
        <v>4</v>
      </c>
      <c r="C308" s="108">
        <f>RESID!C308+COML!C308+IND!C308+SHL!C308+SPA!C308</f>
        <v>2852712</v>
      </c>
      <c r="D308" s="108">
        <f>RESID!D308+COML!D308+IND!D308+SHL!D308+SPA!D308</f>
        <v>1668732</v>
      </c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>
        <f t="shared" si="91"/>
        <v>35974</v>
      </c>
      <c r="Z308" s="175">
        <f>RESID!Z308+COML!Z308+IND!Z308+SHL!Z308+SPA!Z308</f>
        <v>2883165</v>
      </c>
      <c r="AA308" s="108">
        <f t="shared" si="90"/>
        <v>30453</v>
      </c>
      <c r="AB308" s="516">
        <f>RESID!AB308+COML!AB308+IND!AB308+SHL!AB308+SPA!AB308</f>
        <v>2859328</v>
      </c>
      <c r="BN308" s="4">
        <f t="shared" si="55"/>
        <v>2008</v>
      </c>
      <c r="BO308" s="4">
        <f t="shared" si="56"/>
        <v>4</v>
      </c>
      <c r="BP308" s="108">
        <f>SPA!BP308+SHL!BP308+IND!BP308+COML!BP308+RESID!BJ308</f>
        <v>2990120</v>
      </c>
      <c r="BQ308" s="108"/>
      <c r="BR308" s="108"/>
      <c r="BS308" s="108"/>
      <c r="BT308" s="175">
        <f>SPA!BT308+SHL!BT308+IND!BT308+COML!BT308+RESID!BT308</f>
        <v>3005248.8889790773</v>
      </c>
      <c r="BU308" s="108">
        <f t="shared" si="89"/>
        <v>71235.588182349689</v>
      </c>
      <c r="BV308" s="108">
        <f t="shared" si="88"/>
        <v>15128.888979077339</v>
      </c>
    </row>
    <row r="309" spans="1:74">
      <c r="A309" s="4">
        <f t="shared" si="77"/>
        <v>2008</v>
      </c>
      <c r="B309" s="4">
        <f t="shared" si="78"/>
        <v>5</v>
      </c>
      <c r="C309" s="108">
        <f>RESID!C309+COML!C309+IND!C309+SHL!C309+SPA!C309</f>
        <v>3059536</v>
      </c>
      <c r="D309" s="108">
        <f>RESID!D309+COML!D309+IND!D309+SHL!D309+SPA!D309</f>
        <v>1636715</v>
      </c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>
        <f t="shared" si="91"/>
        <v>17938</v>
      </c>
      <c r="Z309" s="175">
        <f>RESID!Z309+COML!Z309+IND!Z309+SHL!Z309+SPA!Z309</f>
        <v>3097491</v>
      </c>
      <c r="AA309" s="108">
        <f t="shared" si="90"/>
        <v>37955</v>
      </c>
      <c r="AB309" s="516">
        <f>RESID!AB309+COML!AB309+IND!AB309+SHL!AB309+SPA!AB309</f>
        <v>3013026</v>
      </c>
      <c r="BN309" s="4">
        <f t="shared" si="55"/>
        <v>2008</v>
      </c>
      <c r="BO309" s="4">
        <f t="shared" si="56"/>
        <v>5</v>
      </c>
      <c r="BP309" s="108">
        <f>SPA!BP309+SHL!BP309+IND!BP309+COML!BP309+RESID!BJ309</f>
        <v>3527822</v>
      </c>
      <c r="BQ309" s="108"/>
      <c r="BR309" s="108"/>
      <c r="BS309" s="108"/>
      <c r="BT309" s="175">
        <f>SPA!BT309+SHL!BT309+IND!BT309+COML!BT309+RESID!BT309</f>
        <v>3454519.2907442786</v>
      </c>
      <c r="BU309" s="108">
        <f t="shared" si="89"/>
        <v>-127767.1058025551</v>
      </c>
      <c r="BV309" s="108">
        <f t="shared" si="88"/>
        <v>-73302.70925572142</v>
      </c>
    </row>
    <row r="310" spans="1:74">
      <c r="A310" s="4">
        <f t="shared" si="77"/>
        <v>2008</v>
      </c>
      <c r="B310" s="4">
        <f t="shared" si="78"/>
        <v>6</v>
      </c>
      <c r="C310" s="108">
        <f>RESID!C310+COML!C310+IND!C310+SHL!C310+SPA!C310</f>
        <v>3720184</v>
      </c>
      <c r="D310" s="108">
        <f>RESID!D310+COML!D310+IND!D310+SHL!D310+SPA!D310</f>
        <v>1673629</v>
      </c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>
        <f t="shared" si="91"/>
        <v>89754</v>
      </c>
      <c r="Z310" s="175">
        <f>RESID!Z310+COML!Z310+IND!Z310+SHL!Z310+SPA!Z310</f>
        <v>3647440</v>
      </c>
      <c r="AA310" s="108">
        <f t="shared" si="90"/>
        <v>-72744</v>
      </c>
      <c r="AB310" s="516">
        <f>RESID!AB310+COML!AB310+IND!AB310+SHL!AB310+SPA!AB310</f>
        <v>3599770</v>
      </c>
      <c r="BN310" s="4">
        <f t="shared" si="55"/>
        <v>2008</v>
      </c>
      <c r="BO310" s="4">
        <f t="shared" si="56"/>
        <v>6</v>
      </c>
      <c r="BP310" s="108">
        <f>SPA!BP310+SHL!BP310+IND!BP310+COML!BP310+RESID!BJ310</f>
        <v>3741941</v>
      </c>
      <c r="BQ310" s="108"/>
      <c r="BR310" s="108"/>
      <c r="BS310" s="108"/>
      <c r="BT310" s="175">
        <f>SPA!BT310+SHL!BT310+IND!BT310+COML!BT310+RESID!BT310</f>
        <v>3673281.100505501</v>
      </c>
      <c r="BU310" s="108">
        <f t="shared" ref="BU310:BU315" si="92">BT310-BT298</f>
        <v>-4307.3093888936564</v>
      </c>
      <c r="BV310" s="108">
        <f t="shared" si="88"/>
        <v>-68659.899494498968</v>
      </c>
    </row>
    <row r="311" spans="1:74">
      <c r="A311" s="4">
        <f t="shared" si="77"/>
        <v>2008</v>
      </c>
      <c r="B311" s="4">
        <f t="shared" si="78"/>
        <v>7</v>
      </c>
      <c r="C311" s="108">
        <f>RESID!C311+COML!C311+IND!C311+SHL!C311+SPA!C311</f>
        <v>3541168</v>
      </c>
      <c r="D311" s="108">
        <f>RESID!D311+COML!D311+IND!D311+SHL!D311+SPA!D311</f>
        <v>1535469</v>
      </c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>
        <f t="shared" si="91"/>
        <v>-92588</v>
      </c>
      <c r="Z311" s="175">
        <f>RESID!Z311+COML!Z311+IND!Z311+SHL!Z311+SPA!Z311</f>
        <v>3623892</v>
      </c>
      <c r="AA311" s="108">
        <f t="shared" ref="AA311:AA316" si="93">Z311-C311</f>
        <v>82724</v>
      </c>
      <c r="AB311" s="516">
        <f>RESID!AB311+COML!AB311+IND!AB311+SHL!AB311+SPA!AB311</f>
        <v>3755910</v>
      </c>
      <c r="BN311" s="4">
        <f t="shared" si="55"/>
        <v>2008</v>
      </c>
      <c r="BO311" s="4">
        <f t="shared" si="56"/>
        <v>7</v>
      </c>
      <c r="BP311" s="108">
        <f>SPA!BP311+SHL!BP311+IND!BP311+COML!BP311+RESID!BJ311</f>
        <v>3768165</v>
      </c>
      <c r="BQ311" s="108"/>
      <c r="BR311" s="108"/>
      <c r="BS311" s="108"/>
      <c r="BT311" s="175">
        <f>SPA!BT311+SHL!BT311+IND!BT311+COML!BT311+RESID!BT311</f>
        <v>3888476.4422517298</v>
      </c>
      <c r="BU311" s="108">
        <f t="shared" si="92"/>
        <v>-83546.250456231181</v>
      </c>
      <c r="BV311" s="108">
        <f t="shared" si="88"/>
        <v>120311.44225172978</v>
      </c>
    </row>
    <row r="312" spans="1:74">
      <c r="A312" s="4">
        <f t="shared" si="77"/>
        <v>2008</v>
      </c>
      <c r="B312" s="4">
        <f t="shared" si="78"/>
        <v>8</v>
      </c>
      <c r="C312" s="108">
        <f>RESID!C312+COML!C312+IND!C312+SHL!C312+SPA!C312</f>
        <v>3819325</v>
      </c>
      <c r="D312" s="108">
        <f>RESID!D312+COML!D312+IND!D312+SHL!D312+SPA!D312</f>
        <v>1646558</v>
      </c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>
        <f t="shared" si="91"/>
        <v>-283273</v>
      </c>
      <c r="Z312" s="175">
        <f>RESID!Z312+COML!Z312+IND!Z312+SHL!Z312+SPA!Z312</f>
        <v>3883925</v>
      </c>
      <c r="AA312" s="108">
        <f t="shared" si="93"/>
        <v>64600</v>
      </c>
      <c r="AB312" s="516">
        <f>RESID!AB312+COML!AB312+IND!AB312+SHL!AB312+SPA!AB312</f>
        <v>3879779</v>
      </c>
      <c r="BN312" s="4">
        <f t="shared" si="55"/>
        <v>2008</v>
      </c>
      <c r="BO312" s="4">
        <f t="shared" si="56"/>
        <v>8</v>
      </c>
      <c r="BP312" s="108">
        <f>SPA!BP312+SHL!BP312+IND!BP312+COML!BP312+RESID!BJ312</f>
        <v>3760774</v>
      </c>
      <c r="BQ312" s="108"/>
      <c r="BR312" s="108"/>
      <c r="BS312" s="108"/>
      <c r="BT312" s="175">
        <f>SPA!BT312+SHL!BT312+IND!BT312+COML!BT312+RESID!BT312</f>
        <v>3872941.1952888547</v>
      </c>
      <c r="BU312" s="108">
        <f t="shared" si="92"/>
        <v>-198402.67794671003</v>
      </c>
      <c r="BV312" s="108">
        <f t="shared" si="88"/>
        <v>112167.19528885465</v>
      </c>
    </row>
    <row r="313" spans="1:74">
      <c r="A313" s="4">
        <f t="shared" si="77"/>
        <v>2008</v>
      </c>
      <c r="B313" s="4">
        <f t="shared" si="78"/>
        <v>9</v>
      </c>
      <c r="C313" s="108">
        <f>RESID!C313+COML!C313+IND!C313+SHL!C313+SPA!C313</f>
        <v>4137621</v>
      </c>
      <c r="D313" s="108">
        <f>RESID!D313+COML!D313+IND!D313+SHL!D313+SPA!D313</f>
        <v>1722161</v>
      </c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>
        <f t="shared" ref="Y313:Y318" si="94">Z313-Z301</f>
        <v>242900</v>
      </c>
      <c r="Z313" s="175">
        <f>RESID!Z313+COML!Z313+IND!Z313+SHL!Z313+SPA!Z313</f>
        <v>4076979</v>
      </c>
      <c r="AA313" s="108">
        <f t="shared" si="93"/>
        <v>-60642</v>
      </c>
      <c r="AB313" s="516">
        <f>RESID!AB313+COML!AB313+IND!AB313+SHL!AB313+SPA!AB313</f>
        <v>3950711</v>
      </c>
      <c r="BN313" s="4">
        <f t="shared" si="55"/>
        <v>2008</v>
      </c>
      <c r="BO313" s="4">
        <f t="shared" si="56"/>
        <v>9</v>
      </c>
      <c r="BP313" s="108">
        <f>SPA!BP313+SHL!BP313+IND!BP313+COML!BP313+RESID!BJ313</f>
        <v>3764854</v>
      </c>
      <c r="BQ313" s="108"/>
      <c r="BR313" s="108"/>
      <c r="BS313" s="108"/>
      <c r="BT313" s="175">
        <f>SPA!BT313+SHL!BT313+IND!BT313+COML!BT313+RESID!BT313</f>
        <v>3733139.218979375</v>
      </c>
      <c r="BU313" s="108">
        <f t="shared" si="92"/>
        <v>145120.88191800704</v>
      </c>
      <c r="BV313" s="108">
        <f t="shared" si="88"/>
        <v>-31714.781020625029</v>
      </c>
    </row>
    <row r="314" spans="1:74">
      <c r="A314" s="4">
        <f t="shared" si="77"/>
        <v>2008</v>
      </c>
      <c r="B314" s="4">
        <f t="shared" si="78"/>
        <v>10</v>
      </c>
      <c r="C314" s="108">
        <f>RESID!C314+COML!C314+IND!C314+SHL!C314+SPA!C314</f>
        <v>3300300</v>
      </c>
      <c r="D314" s="108">
        <f>RESID!D314+COML!D314+IND!D314+SHL!D314+SPA!D314</f>
        <v>1566241</v>
      </c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>
        <f t="shared" si="94"/>
        <v>-228926</v>
      </c>
      <c r="Z314" s="175">
        <f>RESID!Z314+COML!Z314+IND!Z314+SHL!Z314+SPA!Z314</f>
        <v>3285986</v>
      </c>
      <c r="AA314" s="108">
        <f t="shared" si="93"/>
        <v>-14314</v>
      </c>
      <c r="AB314" s="516">
        <f>RESID!AB314+COML!AB314+IND!AB314+SHL!AB314+SPA!AB314</f>
        <v>3417453</v>
      </c>
      <c r="BN314" s="4">
        <f t="shared" si="55"/>
        <v>2008</v>
      </c>
      <c r="BO314" s="4">
        <f t="shared" si="56"/>
        <v>10</v>
      </c>
      <c r="BP314" s="108">
        <f>SPA!BP314+SHL!BP314+IND!BP314+COML!BP314+RESID!BJ314</f>
        <v>3051574</v>
      </c>
      <c r="BQ314" s="108"/>
      <c r="BR314" s="108"/>
      <c r="BS314" s="108"/>
      <c r="BT314" s="175">
        <f>SPA!BT314+SHL!BT314+IND!BT314+COML!BT314+RESID!BT314</f>
        <v>3063094.8099903124</v>
      </c>
      <c r="BU314" s="108">
        <f t="shared" si="92"/>
        <v>-204076.67574953334</v>
      </c>
      <c r="BV314" s="108">
        <f t="shared" si="88"/>
        <v>11520.809990312438</v>
      </c>
    </row>
    <row r="315" spans="1:74">
      <c r="A315" s="4">
        <f t="shared" si="77"/>
        <v>2008</v>
      </c>
      <c r="B315" s="4">
        <f t="shared" si="78"/>
        <v>11</v>
      </c>
      <c r="C315" s="108">
        <f>RESID!C315+COML!C315+IND!C315+SHL!C315+SPA!C315</f>
        <v>3066590</v>
      </c>
      <c r="D315" s="108">
        <f>RESID!D315+COML!D315+IND!D315+SHL!D315+SPA!D315</f>
        <v>1699424</v>
      </c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>
        <f t="shared" si="94"/>
        <v>6507</v>
      </c>
      <c r="Z315" s="175">
        <f>RESID!Z315+COML!Z315+IND!Z315+SHL!Z315+SPA!Z315</f>
        <v>3108903</v>
      </c>
      <c r="AA315" s="108">
        <f t="shared" si="93"/>
        <v>42313</v>
      </c>
      <c r="AB315" s="516">
        <f>RESID!AB315+COML!AB315+IND!AB315+SHL!AB315+SPA!AB315</f>
        <v>2923759</v>
      </c>
      <c r="BN315" s="4">
        <f t="shared" si="55"/>
        <v>2008</v>
      </c>
      <c r="BO315" s="4">
        <f t="shared" si="56"/>
        <v>11</v>
      </c>
      <c r="BP315" s="108">
        <f>SPA!BP315+SHL!BP315+IND!BP315+COML!BP315+RESID!BJ315</f>
        <v>2736915</v>
      </c>
      <c r="BQ315" s="108"/>
      <c r="BR315" s="108"/>
      <c r="BS315" s="108"/>
      <c r="BT315" s="175">
        <f>SPA!BT315+SHL!BT315+IND!BT315+COML!BT315+RESID!BT315</f>
        <v>2642812.7216687724</v>
      </c>
      <c r="BU315" s="108">
        <f t="shared" si="92"/>
        <v>-99287.096962661482</v>
      </c>
      <c r="BV315" s="108">
        <f t="shared" si="88"/>
        <v>-94102.278331227601</v>
      </c>
    </row>
    <row r="316" spans="1:74" s="89" customFormat="1">
      <c r="A316" s="89">
        <f t="shared" si="77"/>
        <v>2008</v>
      </c>
      <c r="B316" s="89">
        <f t="shared" si="78"/>
        <v>12</v>
      </c>
      <c r="C316" s="117">
        <f>RESID!C316+COML!C316+IND!C316+SHL!C316+SPA!C316</f>
        <v>2760379</v>
      </c>
      <c r="D316" s="117">
        <f>RESID!D316+COML!D316+IND!D316+SHL!D316+SPA!D316</f>
        <v>1636749</v>
      </c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>
        <f t="shared" si="94"/>
        <v>-220756</v>
      </c>
      <c r="Z316" s="176">
        <f>RESID!Z316+COML!Z316+IND!Z316+SHL!Z316+SPA!Z316</f>
        <v>2718823</v>
      </c>
      <c r="AA316" s="117">
        <f t="shared" si="93"/>
        <v>-41556</v>
      </c>
      <c r="AB316" s="525">
        <f>RESID!AB316+COML!AB316+IND!AB316+SHL!AB316+SPA!AB316</f>
        <v>2819307</v>
      </c>
      <c r="BN316" s="89">
        <f t="shared" si="55"/>
        <v>2008</v>
      </c>
      <c r="BO316" s="89">
        <f t="shared" si="56"/>
        <v>12</v>
      </c>
      <c r="BP316" s="117">
        <f>SPA!BP316+SHL!BP316+IND!BP316+COML!BP316+RESID!BJ316</f>
        <v>2747446</v>
      </c>
      <c r="BQ316" s="117"/>
      <c r="BR316" s="117"/>
      <c r="BS316" s="117"/>
      <c r="BT316" s="176">
        <f>SPA!BT316+SHL!BT316+IND!BT316+COML!BT316+RESID!BT316</f>
        <v>2854735.2424650807</v>
      </c>
      <c r="BU316" s="117">
        <f t="shared" ref="BU316:BU321" si="95">BT316-BT304</f>
        <v>-20869.387024038471</v>
      </c>
      <c r="BV316" s="117">
        <f t="shared" si="88"/>
        <v>107289.24246508069</v>
      </c>
    </row>
    <row r="317" spans="1:74">
      <c r="A317" s="4">
        <f t="shared" si="77"/>
        <v>2009</v>
      </c>
      <c r="B317" s="4">
        <f t="shared" si="78"/>
        <v>1</v>
      </c>
      <c r="C317" s="108">
        <f>RESID!C317+COML!C317+IND!C317+SHL!C317+SPA!C317</f>
        <v>2779630</v>
      </c>
      <c r="D317" s="108">
        <f>RESID!D317+COML!D317+IND!D317+SHL!D317+SPA!D317</f>
        <v>1616254</v>
      </c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>
        <f t="shared" si="94"/>
        <v>-15297</v>
      </c>
      <c r="Z317" s="175">
        <f>RESID!Z317+COML!Z317+IND!Z317+SHL!Z317+SPA!Z317</f>
        <v>2904730</v>
      </c>
      <c r="AA317" s="108">
        <f t="shared" ref="AA317" si="96">Z317-C317</f>
        <v>125100</v>
      </c>
      <c r="AB317" s="516">
        <f>RESID!AB317+COML!AB317+IND!AB317+SHL!AB317+SPA!AB317</f>
        <v>2916734</v>
      </c>
      <c r="BN317" s="4">
        <f t="shared" si="55"/>
        <v>2009</v>
      </c>
      <c r="BO317" s="4">
        <f t="shared" si="56"/>
        <v>1</v>
      </c>
      <c r="BP317" s="108">
        <f>SPA!BP317+SHL!BP317+IND!BP317+COML!BP317+RESID!BJ317</f>
        <v>2924062</v>
      </c>
      <c r="BQ317" s="108"/>
      <c r="BR317" s="108"/>
      <c r="BS317" s="108"/>
      <c r="BT317" s="175">
        <f>SPA!BT317+SHL!BT317+IND!BT317+COML!BT317+RESID!BT317</f>
        <v>2770375.4683919623</v>
      </c>
      <c r="BU317" s="108">
        <f t="shared" si="95"/>
        <v>-244252.0857547028</v>
      </c>
      <c r="BV317" s="108">
        <f t="shared" si="88"/>
        <v>-153686.53160803765</v>
      </c>
    </row>
    <row r="318" spans="1:74">
      <c r="A318" s="4">
        <f t="shared" si="77"/>
        <v>2009</v>
      </c>
      <c r="B318" s="4">
        <f t="shared" si="78"/>
        <v>2</v>
      </c>
      <c r="C318" s="108">
        <f>RESID!C318+COML!C318+IND!C318+SHL!C318+SPA!C318</f>
        <v>2944576</v>
      </c>
      <c r="D318" s="108">
        <f>RESID!D318+COML!D318+IND!D318+SHL!D318+SPA!D318</f>
        <v>1659363</v>
      </c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>
        <f t="shared" si="94"/>
        <v>-133443</v>
      </c>
      <c r="Z318" s="175">
        <f>RESID!Z318+COML!Z318+IND!Z318+SHL!Z318+SPA!Z318</f>
        <v>2662786</v>
      </c>
      <c r="AA318" s="108">
        <f t="shared" ref="AA318:AA319" si="97">Z318-C318</f>
        <v>-281790</v>
      </c>
      <c r="AB318" s="516">
        <f>RESID!AB318+COML!AB318+IND!AB318+SHL!AB318+SPA!AB318</f>
        <v>2652058</v>
      </c>
      <c r="BN318" s="4">
        <f t="shared" si="55"/>
        <v>2009</v>
      </c>
      <c r="BO318" s="4">
        <f t="shared" si="56"/>
        <v>2</v>
      </c>
      <c r="BP318" s="108">
        <f>SPA!BP318+SHL!BP318+IND!BP318+COML!BP318+RESID!BJ318</f>
        <v>2657508</v>
      </c>
      <c r="BQ318" s="108"/>
      <c r="BR318" s="108"/>
      <c r="BS318" s="108"/>
      <c r="BT318" s="175">
        <f>SPA!BT318+SHL!BT318+IND!BT318+COML!BT318+RESID!BT318</f>
        <v>2536429.484908714</v>
      </c>
      <c r="BU318" s="108">
        <f t="shared" si="95"/>
        <v>-78196.287038630806</v>
      </c>
      <c r="BV318" s="108">
        <f t="shared" si="88"/>
        <v>-121078.51509128604</v>
      </c>
    </row>
    <row r="319" spans="1:74">
      <c r="A319" s="4">
        <f t="shared" si="77"/>
        <v>2009</v>
      </c>
      <c r="B319" s="4">
        <f t="shared" si="78"/>
        <v>3</v>
      </c>
      <c r="C319" s="108">
        <f>RESID!C319+COML!C319+IND!C319+SHL!C319+SPA!C319</f>
        <v>2639743</v>
      </c>
      <c r="D319" s="108">
        <f>RESID!D319+COML!D319+IND!D319+SHL!D319+SPA!D319</f>
        <v>1618658</v>
      </c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>
        <f t="shared" ref="Y319" si="98">Z319-Z307</f>
        <v>-180978</v>
      </c>
      <c r="Z319" s="175">
        <f>RESID!Z319+COML!Z319+IND!Z319+SHL!Z319+SPA!Z319</f>
        <v>2565640</v>
      </c>
      <c r="AA319" s="108">
        <f t="shared" si="97"/>
        <v>-74103</v>
      </c>
      <c r="AB319" s="516">
        <f>RESID!AB319+COML!AB319+IND!AB319+SHL!AB319+SPA!AB319</f>
        <v>2603720</v>
      </c>
      <c r="BN319" s="4">
        <f t="shared" si="55"/>
        <v>2009</v>
      </c>
      <c r="BO319" s="4">
        <f t="shared" si="56"/>
        <v>3</v>
      </c>
      <c r="BP319" s="108">
        <f>SPA!BP319+SHL!BP319+IND!BP319+COML!BP319+RESID!BJ319</f>
        <v>2767486</v>
      </c>
      <c r="BQ319" s="108"/>
      <c r="BR319" s="108"/>
      <c r="BS319" s="108"/>
      <c r="BT319" s="175">
        <f>SPA!BT319+SHL!BT319+IND!BT319+COML!BT319+RESID!BT319</f>
        <v>2663233.5201453343</v>
      </c>
      <c r="BU319" s="108">
        <f t="shared" si="95"/>
        <v>-146635.91686978191</v>
      </c>
      <c r="BV319" s="108">
        <f t="shared" si="88"/>
        <v>-104252.4798546657</v>
      </c>
    </row>
    <row r="320" spans="1:74">
      <c r="A320" s="4">
        <f t="shared" si="77"/>
        <v>2009</v>
      </c>
      <c r="B320" s="4">
        <f t="shared" si="78"/>
        <v>4</v>
      </c>
      <c r="C320" s="108">
        <f>RESID!C320+COML!C320+IND!C320+SHL!C320+SPA!C320</f>
        <v>2680180</v>
      </c>
      <c r="D320" s="108">
        <f>RESID!D320+COML!D320+IND!D320+SHL!D320+SPA!D320</f>
        <v>1609162</v>
      </c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>
        <f t="shared" ref="Y320" si="99">Z320-Z308</f>
        <v>-203976</v>
      </c>
      <c r="Z320" s="175">
        <f>RESID!Z320+COML!Z320+IND!Z320+SHL!Z320+SPA!Z320</f>
        <v>2679189</v>
      </c>
      <c r="AA320" s="108">
        <f t="shared" ref="AA320" si="100">Z320-C320</f>
        <v>-991</v>
      </c>
      <c r="AB320" s="516">
        <f>RESID!AB320+COML!AB320+IND!AB320+SHL!AB320+SPA!AB320</f>
        <v>2675686</v>
      </c>
      <c r="BN320" s="4">
        <f t="shared" si="55"/>
        <v>2009</v>
      </c>
      <c r="BO320" s="4">
        <f t="shared" si="56"/>
        <v>4</v>
      </c>
      <c r="BP320" s="108">
        <f>SPA!BP320+SHL!BP320+IND!BP320+COML!BP320+RESID!BJ320</f>
        <v>2743318</v>
      </c>
      <c r="BQ320" s="108"/>
      <c r="BR320" s="108"/>
      <c r="BS320" s="108"/>
      <c r="BT320" s="175">
        <f>SPA!BT320+SHL!BT320+IND!BT320+COML!BT320+RESID!BT320</f>
        <v>2730665.9568382697</v>
      </c>
      <c r="BU320" s="108">
        <f t="shared" si="95"/>
        <v>-274582.93214080762</v>
      </c>
      <c r="BV320" s="108">
        <f t="shared" si="88"/>
        <v>-12652.043161730282</v>
      </c>
    </row>
    <row r="321" spans="1:74">
      <c r="A321" s="4">
        <f t="shared" si="77"/>
        <v>2009</v>
      </c>
      <c r="B321" s="4">
        <f t="shared" si="78"/>
        <v>5</v>
      </c>
      <c r="C321" s="108">
        <f>RESID!C321+COML!C321+IND!C321+SHL!C321+SPA!C321</f>
        <v>2968744</v>
      </c>
      <c r="D321" s="108">
        <f>RESID!D321+COML!D321+IND!D321+SHL!D321+SPA!D321</f>
        <v>1617127</v>
      </c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>
        <f t="shared" ref="Y321" si="101">Z321-Z309</f>
        <v>-235682</v>
      </c>
      <c r="Z321" s="175">
        <f>RESID!Z321+COML!Z321+IND!Z321+SHL!Z321+SPA!Z321</f>
        <v>2861809</v>
      </c>
      <c r="AA321" s="108">
        <f t="shared" ref="AA321" si="102">Z321-C321</f>
        <v>-106935</v>
      </c>
      <c r="AB321" s="516">
        <f>RESID!AB321+COML!AB321+IND!AB321+SHL!AB321+SPA!AB321</f>
        <v>2854326</v>
      </c>
      <c r="BN321" s="4">
        <f t="shared" si="55"/>
        <v>2009</v>
      </c>
      <c r="BO321" s="4">
        <f t="shared" si="56"/>
        <v>5</v>
      </c>
      <c r="BP321" s="108">
        <f>SPA!BP321+SHL!BP321+IND!BP321+COML!BP321+RESID!BJ321</f>
        <v>3334066</v>
      </c>
      <c r="BQ321" s="108"/>
      <c r="BR321" s="108"/>
      <c r="BS321" s="108"/>
      <c r="BT321" s="175">
        <f>SPA!BT321+SHL!BT321+IND!BT321+COML!BT321+RESID!BT321</f>
        <v>3318474.3988657342</v>
      </c>
      <c r="BU321" s="108">
        <f t="shared" si="95"/>
        <v>-136044.89187854435</v>
      </c>
      <c r="BV321" s="108">
        <f t="shared" si="88"/>
        <v>-15591.601134265773</v>
      </c>
    </row>
    <row r="322" spans="1:74">
      <c r="A322" s="4">
        <f t="shared" si="77"/>
        <v>2009</v>
      </c>
      <c r="B322" s="4">
        <f t="shared" si="78"/>
        <v>6</v>
      </c>
      <c r="C322" s="108">
        <f>RESID!C322+COML!C322+IND!C322+SHL!C322+SPA!C322</f>
        <v>3443926</v>
      </c>
      <c r="D322" s="108">
        <f>RESID!D322+COML!D322+IND!D322+SHL!D322+SPA!D322</f>
        <v>1663175</v>
      </c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>
        <f t="shared" ref="Y322" si="103">Z322-Z310</f>
        <v>-129050</v>
      </c>
      <c r="Z322" s="175">
        <f>RESID!Z322+COML!Z322+IND!Z322+SHL!Z322+SPA!Z322</f>
        <v>3518390</v>
      </c>
      <c r="AA322" s="108">
        <f t="shared" ref="AA322" si="104">Z322-C322</f>
        <v>74464</v>
      </c>
      <c r="AB322" s="516">
        <f>RESID!AB322+COML!AB322+IND!AB322+SHL!AB322+SPA!AB322</f>
        <v>3451680</v>
      </c>
      <c r="BN322" s="4">
        <f t="shared" si="55"/>
        <v>2009</v>
      </c>
      <c r="BO322" s="4">
        <f t="shared" si="56"/>
        <v>6</v>
      </c>
      <c r="BP322" s="108">
        <f>SPA!BP322+SHL!BP322+IND!BP322+COML!BP322+RESID!BJ322</f>
        <v>3718744</v>
      </c>
      <c r="BQ322" s="108"/>
      <c r="BR322" s="108"/>
      <c r="BS322" s="108"/>
      <c r="BT322" s="175">
        <f>SPA!BT322+SHL!BT322+IND!BT322+COML!BT322+RESID!BT322</f>
        <v>3564198.2750369445</v>
      </c>
      <c r="BU322" s="108">
        <f t="shared" ref="BU322" si="105">BT322-BT310</f>
        <v>-109082.82546855649</v>
      </c>
      <c r="BV322" s="108">
        <f t="shared" si="88"/>
        <v>-154545.72496305546</v>
      </c>
    </row>
    <row r="323" spans="1:74">
      <c r="A323" s="4">
        <f t="shared" si="77"/>
        <v>2009</v>
      </c>
      <c r="B323" s="4">
        <f t="shared" si="78"/>
        <v>7</v>
      </c>
      <c r="C323" s="108">
        <f>RESID!C323+COML!C323+IND!C323+SHL!C323+SPA!C323</f>
        <v>3783981</v>
      </c>
      <c r="D323" s="108">
        <f>RESID!D323+COML!D323+IND!D323+SHL!D323+SPA!D323</f>
        <v>1627818</v>
      </c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>
        <f t="shared" ref="Y323" si="106">Z323-Z311</f>
        <v>65473</v>
      </c>
      <c r="Z323" s="175">
        <f>RESID!Z323+COML!Z323+IND!Z323+SHL!Z323+SPA!Z323</f>
        <v>3689365</v>
      </c>
      <c r="AA323" s="108">
        <f t="shared" ref="AA323" si="107">Z323-C323</f>
        <v>-94616</v>
      </c>
      <c r="AB323" s="516">
        <f>RESID!AB323+COML!AB323+IND!AB323+SHL!AB323+SPA!AB323</f>
        <v>3670810</v>
      </c>
      <c r="BN323" s="4">
        <f t="shared" si="55"/>
        <v>2009</v>
      </c>
      <c r="BO323" s="4">
        <f t="shared" si="56"/>
        <v>7</v>
      </c>
      <c r="BP323" s="108">
        <f>SPA!BP323+SHL!BP323+IND!BP323+COML!BP323+RESID!BJ323</f>
        <v>3835804</v>
      </c>
      <c r="BQ323" s="108"/>
      <c r="BR323" s="108"/>
      <c r="BS323" s="108"/>
      <c r="BT323" s="175">
        <f>SPA!BT323+SHL!BT323+IND!BT323+COML!BT323+RESID!BT323</f>
        <v>3881323.0312690651</v>
      </c>
      <c r="BU323" s="108">
        <f t="shared" ref="BU323" si="108">BT323-BT311</f>
        <v>-7153.4109826646745</v>
      </c>
      <c r="BV323" s="108">
        <f t="shared" si="88"/>
        <v>45519.031269065104</v>
      </c>
    </row>
    <row r="324" spans="1:74">
      <c r="A324" s="4">
        <f t="shared" si="77"/>
        <v>2009</v>
      </c>
      <c r="B324" s="4">
        <f t="shared" si="78"/>
        <v>8</v>
      </c>
      <c r="C324" s="108">
        <f>RESID!C324+COML!C324+IND!C324+SHL!C324+SPA!C324</f>
        <v>3552088</v>
      </c>
      <c r="D324" s="108">
        <f>RESID!D324+COML!D324+IND!D324+SHL!D324+SPA!D324</f>
        <v>1547694</v>
      </c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>
        <f t="shared" ref="Y324" si="109">Z324-Z312</f>
        <v>-290998</v>
      </c>
      <c r="Z324" s="175">
        <f>RESID!Z324+COML!Z324+IND!Z324+SHL!Z324+SPA!Z324</f>
        <v>3592927</v>
      </c>
      <c r="AA324" s="108">
        <f t="shared" ref="AA324" si="110">Z324-C324</f>
        <v>40839</v>
      </c>
      <c r="AB324" s="516">
        <f>RESID!AB324+COML!AB324+IND!AB324+SHL!AB324+SPA!AB324</f>
        <v>3740849</v>
      </c>
      <c r="BN324" s="4">
        <f t="shared" si="55"/>
        <v>2009</v>
      </c>
      <c r="BO324" s="4">
        <f t="shared" si="56"/>
        <v>8</v>
      </c>
      <c r="BP324" s="108">
        <f>SPA!BP324+SHL!BP324+IND!BP324+COML!BP324+RESID!BJ324</f>
        <v>3778027</v>
      </c>
      <c r="BQ324" s="108"/>
      <c r="BR324" s="108"/>
      <c r="BS324" s="108"/>
      <c r="BT324" s="175">
        <f>SPA!BT324+SHL!BT324+IND!BT324+COML!BT324+RESID!BT324</f>
        <v>3744260.5320653762</v>
      </c>
      <c r="BU324" s="108">
        <f t="shared" ref="BU324" si="111">BT324-BT312</f>
        <v>-128680.66322347848</v>
      </c>
      <c r="BV324" s="108">
        <f t="shared" si="88"/>
        <v>-33766.467934623826</v>
      </c>
    </row>
    <row r="325" spans="1:74">
      <c r="A325" s="4">
        <f t="shared" si="77"/>
        <v>2009</v>
      </c>
      <c r="B325" s="4">
        <f t="shared" si="78"/>
        <v>9</v>
      </c>
      <c r="C325" s="108">
        <f>RESID!C325+COML!C325+IND!C325+SHL!C325+SPA!C325</f>
        <v>3708830</v>
      </c>
      <c r="D325" s="108">
        <f>RESID!D325+COML!D325+IND!D325+SHL!D325+SPA!D325</f>
        <v>1610350</v>
      </c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>
        <f t="shared" ref="Y325" si="112">Z325-Z313</f>
        <v>-311217</v>
      </c>
      <c r="Z325" s="175">
        <f>RESID!Z325+COML!Z325+IND!Z325+SHL!Z325+SPA!Z325</f>
        <v>3765762</v>
      </c>
      <c r="AA325" s="108">
        <f t="shared" ref="AA325" si="113">Z325-C325</f>
        <v>56932</v>
      </c>
      <c r="AB325" s="516">
        <f>RESID!AB325+COML!AB325+IND!AB325+SHL!AB325+SPA!AB325</f>
        <v>3764145</v>
      </c>
      <c r="BN325" s="4">
        <f t="shared" si="55"/>
        <v>2009</v>
      </c>
      <c r="BO325" s="4">
        <f t="shared" si="56"/>
        <v>9</v>
      </c>
      <c r="BP325" s="108">
        <f>SPA!BP325+SHL!BP325+IND!BP325+COML!BP325+RESID!BJ325</f>
        <v>3483186</v>
      </c>
      <c r="BQ325" s="108"/>
      <c r="BR325" s="108"/>
      <c r="BS325" s="108"/>
      <c r="BT325" s="175">
        <f>SPA!BT325+SHL!BT325+IND!BT325+COML!BT325+RESID!BT325</f>
        <v>3459910.2850787239</v>
      </c>
      <c r="BU325" s="108">
        <f t="shared" ref="BU325" si="114">BT325-BT313</f>
        <v>-273228.93390065106</v>
      </c>
      <c r="BV325" s="108">
        <f t="shared" si="88"/>
        <v>-23275.714921276085</v>
      </c>
    </row>
    <row r="326" spans="1:74">
      <c r="A326" s="4">
        <f t="shared" si="77"/>
        <v>2009</v>
      </c>
      <c r="B326" s="4">
        <f t="shared" si="78"/>
        <v>10</v>
      </c>
      <c r="C326" s="108">
        <f>RESID!C326+COML!C326+IND!C326+SHL!C326+SPA!C326</f>
        <v>3440442</v>
      </c>
      <c r="D326" s="108">
        <f>RESID!D326+COML!D326+IND!D326+SHL!D326+SPA!D326</f>
        <v>1573886</v>
      </c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>
        <f t="shared" ref="Y326" si="115">Z326-Z314</f>
        <v>-54842</v>
      </c>
      <c r="Z326" s="175">
        <f>RESID!Z326+COML!Z326+IND!Z326+SHL!Z326+SPA!Z326</f>
        <v>3231144</v>
      </c>
      <c r="AA326" s="108">
        <f t="shared" ref="AA326" si="116">Z326-C326</f>
        <v>-209298</v>
      </c>
      <c r="AB326" s="516">
        <f>RESID!AB326+COML!AB326+IND!AB326+SHL!AB326+SPA!AB326</f>
        <v>3295487</v>
      </c>
      <c r="BN326" s="4">
        <f t="shared" si="55"/>
        <v>2009</v>
      </c>
      <c r="BO326" s="4">
        <f t="shared" si="56"/>
        <v>10</v>
      </c>
      <c r="BP326" s="108">
        <f>SPA!BP326+SHL!BP326+IND!BP326+COML!BP326+RESID!BJ326</f>
        <v>3286832</v>
      </c>
      <c r="BQ326" s="108"/>
      <c r="BR326" s="108"/>
      <c r="BS326" s="108"/>
      <c r="BT326" s="175">
        <f>SPA!BT326+SHL!BT326+IND!BT326+COML!BT326+RESID!BT326</f>
        <v>2994670.3651828337</v>
      </c>
      <c r="BU326" s="108">
        <f t="shared" ref="BU326" si="117">BT326-BT314</f>
        <v>-68424.444807478692</v>
      </c>
      <c r="BV326" s="108">
        <f t="shared" si="88"/>
        <v>-292161.63481716625</v>
      </c>
    </row>
    <row r="327" spans="1:74">
      <c r="A327" s="4">
        <f t="shared" si="77"/>
        <v>2009</v>
      </c>
      <c r="B327" s="4">
        <f t="shared" si="78"/>
        <v>11</v>
      </c>
      <c r="C327" s="108">
        <f>RESID!C327+COML!C327+IND!C327+SHL!C327+SPA!C327</f>
        <v>3253370</v>
      </c>
      <c r="D327" s="108">
        <f>RESID!D327+COML!D327+IND!D327+SHL!D327+SPA!D327</f>
        <v>1799862</v>
      </c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>
        <f t="shared" ref="Y327" si="118">Z327-Z315</f>
        <v>-83267</v>
      </c>
      <c r="Z327" s="175">
        <f>RESID!Z327+COML!Z327+IND!Z327+SHL!Z327+SPA!Z327</f>
        <v>3025636</v>
      </c>
      <c r="AA327" s="108">
        <f t="shared" ref="AA327" si="119">Z327-C327</f>
        <v>-227734</v>
      </c>
      <c r="AB327" s="516">
        <f>RESID!AB327+COML!AB327+IND!AB327+SHL!AB327+SPA!AB327</f>
        <v>2842434</v>
      </c>
      <c r="BN327" s="4">
        <f t="shared" si="55"/>
        <v>2009</v>
      </c>
      <c r="BO327" s="4">
        <f t="shared" si="56"/>
        <v>11</v>
      </c>
      <c r="BP327" s="108">
        <f>SPA!BP327+SHL!BP327+IND!BP327+COML!BP327+RESID!BJ327</f>
        <v>2716516</v>
      </c>
      <c r="BQ327" s="108"/>
      <c r="BR327" s="108"/>
      <c r="BS327" s="108"/>
      <c r="BT327" s="175">
        <f>SPA!BT327+SHL!BT327+IND!BT327+COML!BT327+RESID!BT327</f>
        <v>2733643.5271217464</v>
      </c>
      <c r="BU327" s="108">
        <f t="shared" ref="BU327" si="120">BT327-BT315</f>
        <v>90830.805452974048</v>
      </c>
      <c r="BV327" s="108">
        <f t="shared" si="88"/>
        <v>17127.527121746447</v>
      </c>
    </row>
    <row r="328" spans="1:74" s="89" customFormat="1">
      <c r="A328" s="89">
        <f t="shared" si="77"/>
        <v>2009</v>
      </c>
      <c r="B328" s="89">
        <f t="shared" si="78"/>
        <v>12</v>
      </c>
      <c r="C328" s="117">
        <f>RESID!C328+COML!C328+IND!C328+SHL!C328+SPA!C328</f>
        <v>2628739</v>
      </c>
      <c r="D328" s="117">
        <f>RESID!D328+COML!D328+IND!D328+SHL!D328+SPA!D328</f>
        <v>1618711</v>
      </c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  <c r="V328" s="117"/>
      <c r="W328" s="117"/>
      <c r="X328" s="117"/>
      <c r="Y328" s="117">
        <f t="shared" ref="Y328" si="121">Z328-Z316</f>
        <v>-33750</v>
      </c>
      <c r="Z328" s="176">
        <f>RESID!Z328+COML!Z328+IND!Z328+SHL!Z328+SPA!Z328</f>
        <v>2685073</v>
      </c>
      <c r="AA328" s="117">
        <f t="shared" ref="AA328" si="122">Z328-C328</f>
        <v>56334</v>
      </c>
      <c r="AB328" s="525">
        <f>RESID!AB328+COML!AB328+IND!AB328+SHL!AB328+SPA!AB328</f>
        <v>2723617</v>
      </c>
      <c r="BN328" s="89">
        <f t="shared" si="55"/>
        <v>2009</v>
      </c>
      <c r="BO328" s="89">
        <f t="shared" si="56"/>
        <v>12</v>
      </c>
      <c r="BP328" s="117">
        <f>SPA!BP328+SHL!BP328+IND!BP328+COML!BP328+RESID!BJ328</f>
        <v>2709639</v>
      </c>
      <c r="BQ328" s="117"/>
      <c r="BR328" s="117"/>
      <c r="BS328" s="117"/>
      <c r="BT328" s="176">
        <f>SPA!BT328+SHL!BT328+IND!BT328+COML!BT328+RESID!BT328</f>
        <v>2671915.0625511841</v>
      </c>
      <c r="BU328" s="117">
        <f t="shared" ref="BU328" si="123">BT328-BT316</f>
        <v>-182820.1799138966</v>
      </c>
      <c r="BV328" s="117">
        <f t="shared" si="88"/>
        <v>-37723.937448815908</v>
      </c>
    </row>
    <row r="329" spans="1:74">
      <c r="A329" s="4">
        <f t="shared" si="77"/>
        <v>2010</v>
      </c>
      <c r="B329" s="4">
        <f t="shared" si="78"/>
        <v>1</v>
      </c>
      <c r="C329" s="108">
        <f>RESID!C329+COML!C329+IND!C329+SHL!C329+SPA!C329</f>
        <v>3308515</v>
      </c>
      <c r="D329" s="108">
        <f>RESID!D329+COML!D329+IND!D329+SHL!D329+SPA!D329</f>
        <v>1623930</v>
      </c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>
        <f t="shared" ref="Y329" si="124">Z329-Z317</f>
        <v>-140504</v>
      </c>
      <c r="Z329" s="175">
        <f>RESID!Z329+COML!Z329+IND!Z329+SHL!Z329+SPA!Z329</f>
        <v>2764226</v>
      </c>
      <c r="AA329" s="108">
        <f t="shared" ref="AA329" si="125">Z329-C329</f>
        <v>-544289</v>
      </c>
      <c r="AB329" s="516">
        <f>RESID!AB329+COML!AB329+IND!AB329+SHL!AB329+SPA!AB329</f>
        <v>2723896</v>
      </c>
      <c r="BN329" s="4">
        <f t="shared" si="55"/>
        <v>2010</v>
      </c>
      <c r="BO329" s="4">
        <f t="shared" si="56"/>
        <v>1</v>
      </c>
      <c r="BP329" s="108">
        <f>SPA!BP329+SHL!BP329+IND!BP329+COML!BP329+RESID!BJ329</f>
        <v>3505006</v>
      </c>
      <c r="BQ329" s="108"/>
      <c r="BR329" s="108"/>
      <c r="BS329" s="108"/>
      <c r="BT329" s="175">
        <f>SPA!BT329+SHL!BT329+IND!BT329+COML!BT329+RESID!BT329</f>
        <v>2768599.4219995174</v>
      </c>
      <c r="BU329" s="108">
        <f t="shared" ref="BU329" si="126">BT329-BT317</f>
        <v>-1776.0463924449869</v>
      </c>
      <c r="BV329" s="108">
        <f t="shared" si="88"/>
        <v>-736406.57800048264</v>
      </c>
    </row>
    <row r="330" spans="1:74">
      <c r="A330" s="4">
        <f t="shared" si="77"/>
        <v>2010</v>
      </c>
      <c r="B330" s="4">
        <f t="shared" si="78"/>
        <v>2</v>
      </c>
      <c r="C330" s="108">
        <f>RESID!C330+COML!C330+IND!C330+SHL!C330+SPA!C330</f>
        <v>2925334</v>
      </c>
      <c r="D330" s="108">
        <f>RESID!D330+COML!D330+IND!D330+SHL!D330+SPA!D330</f>
        <v>1593714</v>
      </c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>
        <f t="shared" ref="Y330" si="127">Z330-Z318</f>
        <v>-71199</v>
      </c>
      <c r="Z330" s="175">
        <f>RESID!Z330+COML!Z330+IND!Z330+SHL!Z330+SPA!Z330</f>
        <v>2591587</v>
      </c>
      <c r="AA330" s="108">
        <f t="shared" ref="AA330" si="128">Z330-C330</f>
        <v>-333747</v>
      </c>
      <c r="AB330" s="516">
        <f>RESID!AB330+COML!AB330+IND!AB330+SHL!AB330+SPA!AB330</f>
        <v>2655947</v>
      </c>
      <c r="BN330" s="4">
        <f t="shared" si="55"/>
        <v>2010</v>
      </c>
      <c r="BO330" s="4">
        <f t="shared" si="56"/>
        <v>2</v>
      </c>
      <c r="BP330" s="108">
        <f>SPA!BP330+SHL!BP330+IND!BP330+COML!BP330+RESID!BJ330</f>
        <v>2914910</v>
      </c>
      <c r="BQ330" s="108"/>
      <c r="BR330" s="108"/>
      <c r="BS330" s="108"/>
      <c r="BT330" s="175">
        <f>SPA!BT330+SHL!BT330+IND!BT330+COML!BT330+RESID!BT330</f>
        <v>2421559.5883541759</v>
      </c>
      <c r="BU330" s="108">
        <f t="shared" ref="BU330" si="129">BT330-BT318</f>
        <v>-114869.89655453805</v>
      </c>
      <c r="BV330" s="108">
        <f t="shared" si="88"/>
        <v>-493350.41164582409</v>
      </c>
    </row>
    <row r="331" spans="1:74">
      <c r="A331" s="4">
        <f t="shared" si="77"/>
        <v>2010</v>
      </c>
      <c r="B331" s="4">
        <f t="shared" si="78"/>
        <v>3</v>
      </c>
      <c r="C331" s="108">
        <f>RESID!C331+COML!C331+IND!C331+SHL!C331+SPA!C331</f>
        <v>2990727</v>
      </c>
      <c r="D331" s="108">
        <f>RESID!D331+COML!D331+IND!D331+SHL!D331+SPA!D331</f>
        <v>1651502</v>
      </c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>
        <f t="shared" ref="Y331" si="130">Z331-Z319</f>
        <v>-18231</v>
      </c>
      <c r="Z331" s="175">
        <f>RESID!Z331+COML!Z331+IND!Z331+SHL!Z331+SPA!Z331</f>
        <v>2547409</v>
      </c>
      <c r="AA331" s="108">
        <f t="shared" ref="AA331" si="131">Z331-C331</f>
        <v>-443318</v>
      </c>
      <c r="AB331" s="516">
        <f>RESID!AB331+COML!AB331+IND!AB331+SHL!AB331+SPA!AB331</f>
        <v>2543234</v>
      </c>
      <c r="BN331" s="4">
        <f t="shared" si="55"/>
        <v>2010</v>
      </c>
      <c r="BO331" s="4">
        <f t="shared" si="56"/>
        <v>3</v>
      </c>
      <c r="BP331" s="108">
        <f>SPA!BP331+SHL!BP331+IND!BP331+COML!BP331+RESID!BJ331</f>
        <v>2734418</v>
      </c>
      <c r="BQ331" s="108"/>
      <c r="BR331" s="108"/>
      <c r="BS331" s="108"/>
      <c r="BT331" s="175">
        <f>SPA!BT331+SHL!BT331+IND!BT331+COML!BT331+RESID!BT331</f>
        <v>2750230.3154815705</v>
      </c>
      <c r="BU331" s="108">
        <f t="shared" ref="BU331" si="132">BT331-BT319</f>
        <v>86996.795336236246</v>
      </c>
      <c r="BV331" s="108">
        <f t="shared" si="88"/>
        <v>15812.315481570549</v>
      </c>
    </row>
    <row r="332" spans="1:74">
      <c r="A332" s="4">
        <f t="shared" si="77"/>
        <v>2010</v>
      </c>
      <c r="B332" s="4">
        <f t="shared" si="78"/>
        <v>4</v>
      </c>
      <c r="C332" s="108">
        <f>RESID!C332+COML!C332+IND!C332+SHL!C332+SPA!C332</f>
        <v>2615494</v>
      </c>
      <c r="D332" s="108">
        <f>RESID!D332+COML!D332+IND!D332+SHL!D332+SPA!D332</f>
        <v>1635449</v>
      </c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>
        <f t="shared" ref="Y332" si="133">Z332-Z320</f>
        <v>90038</v>
      </c>
      <c r="Z332" s="175">
        <f>RESID!Z332+COML!Z332+IND!Z332+SHL!Z332+SPA!Z332</f>
        <v>2769227</v>
      </c>
      <c r="AA332" s="108">
        <f t="shared" ref="AA332" si="134">Z332-C332</f>
        <v>153733</v>
      </c>
      <c r="AB332" s="516">
        <f>RESID!AB332+COML!AB332+IND!AB332+SHL!AB332+SPA!AB332</f>
        <v>2763118</v>
      </c>
      <c r="BN332" s="4">
        <f t="shared" si="55"/>
        <v>2010</v>
      </c>
      <c r="BO332" s="4">
        <f t="shared" si="56"/>
        <v>4</v>
      </c>
      <c r="BP332" s="108">
        <f>SPA!BP332+SHL!BP332+IND!BP332+COML!BP332+RESID!BJ332</f>
        <v>2673622</v>
      </c>
      <c r="BQ332" s="108"/>
      <c r="BR332" s="108"/>
      <c r="BS332" s="108"/>
      <c r="BT332" s="175">
        <f>SPA!BT332+SHL!BT332+IND!BT332+COML!BT332+RESID!BT332</f>
        <v>2801504.01969634</v>
      </c>
      <c r="BU332" s="108">
        <f t="shared" ref="BU332" si="135">BT332-BT320</f>
        <v>70838.062858070247</v>
      </c>
      <c r="BV332" s="108">
        <f t="shared" si="88"/>
        <v>127882.01969633996</v>
      </c>
    </row>
    <row r="333" spans="1:74">
      <c r="A333" s="4">
        <f t="shared" si="77"/>
        <v>2010</v>
      </c>
      <c r="B333" s="4">
        <f t="shared" si="78"/>
        <v>5</v>
      </c>
      <c r="C333" s="108">
        <f>RESID!C333+COML!C333+IND!C333+SHL!C333+SPA!C333</f>
        <v>2968073</v>
      </c>
      <c r="D333" s="108">
        <f>RESID!D333+COML!D333+IND!D333+SHL!D333+SPA!D333</f>
        <v>1624155</v>
      </c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>
        <f t="shared" ref="Y333" si="136">Z333-Z321</f>
        <v>58044</v>
      </c>
      <c r="Z333" s="175">
        <f>RESID!Z333+COML!Z333+IND!Z333+SHL!Z333+SPA!Z333</f>
        <v>2919853</v>
      </c>
      <c r="AA333" s="108">
        <f t="shared" ref="AA333" si="137">Z333-C333</f>
        <v>-48220</v>
      </c>
      <c r="AB333" s="516">
        <f>RESID!AB333+COML!AB333+IND!AB333+SHL!AB333+SPA!AB333</f>
        <v>2894781</v>
      </c>
      <c r="BN333" s="4">
        <f t="shared" si="55"/>
        <v>2010</v>
      </c>
      <c r="BO333" s="4">
        <f t="shared" si="56"/>
        <v>5</v>
      </c>
      <c r="BP333" s="108">
        <f>SPA!BP333+SHL!BP333+IND!BP333+COML!BP333+RESID!BJ333</f>
        <v>3511079</v>
      </c>
      <c r="BQ333" s="108"/>
      <c r="BR333" s="108"/>
      <c r="BS333" s="108"/>
      <c r="BT333" s="175">
        <f>SPA!BT333+SHL!BT333+IND!BT333+COML!BT333+RESID!BT333</f>
        <v>3260901.429572924</v>
      </c>
      <c r="BU333" s="108">
        <f t="shared" ref="BU333" si="138">BT333-BT321</f>
        <v>-57572.969292810187</v>
      </c>
      <c r="BV333" s="108">
        <f t="shared" ref="BV333:BV366" si="139">BT333-BP333</f>
        <v>-250177.57042707596</v>
      </c>
    </row>
    <row r="334" spans="1:74">
      <c r="A334" s="4">
        <f t="shared" si="77"/>
        <v>2010</v>
      </c>
      <c r="B334" s="4">
        <f t="shared" si="78"/>
        <v>6</v>
      </c>
      <c r="C334" s="108">
        <f>RESID!C334+COML!C334+IND!C334+SHL!C334+SPA!C334</f>
        <v>3644739</v>
      </c>
      <c r="D334" s="108">
        <f>RESID!D334+COML!D334+IND!D334+SHL!D334+SPA!D334</f>
        <v>1658083</v>
      </c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>
        <f t="shared" ref="Y334" si="140">Z334-Z322</f>
        <v>-59709</v>
      </c>
      <c r="Z334" s="175">
        <f>RESID!Z334+COML!Z334+IND!Z334+SHL!Z334+SPA!Z334</f>
        <v>3458681</v>
      </c>
      <c r="AA334" s="108">
        <f t="shared" ref="AA334" si="141">Z334-C334</f>
        <v>-186058</v>
      </c>
      <c r="AB334" s="516">
        <f>RESID!AB334+COML!AB334+IND!AB334+SHL!AB334+SPA!AB334</f>
        <v>3391524</v>
      </c>
      <c r="BN334" s="4">
        <f t="shared" si="55"/>
        <v>2010</v>
      </c>
      <c r="BO334" s="4">
        <f t="shared" si="56"/>
        <v>6</v>
      </c>
      <c r="BP334" s="108">
        <f>SPA!BP334+SHL!BP334+IND!BP334+COML!BP334+RESID!BJ334</f>
        <v>3843902</v>
      </c>
      <c r="BQ334" s="108"/>
      <c r="BR334" s="108"/>
      <c r="BS334" s="108"/>
      <c r="BT334" s="175">
        <f>SPA!BT334+SHL!BT334+IND!BT334+COML!BT334+RESID!BT334</f>
        <v>3472224.9493214302</v>
      </c>
      <c r="BU334" s="108">
        <f t="shared" ref="BU334" si="142">BT334-BT322</f>
        <v>-91973.325715514366</v>
      </c>
      <c r="BV334" s="108">
        <f t="shared" si="139"/>
        <v>-371677.05067856982</v>
      </c>
    </row>
    <row r="335" spans="1:74">
      <c r="A335" s="4">
        <f t="shared" si="77"/>
        <v>2010</v>
      </c>
      <c r="B335" s="4">
        <f t="shared" si="78"/>
        <v>7</v>
      </c>
      <c r="C335" s="108">
        <f>RESID!C335+COML!C335+IND!C335+SHL!C335+SPA!C335</f>
        <v>3785974</v>
      </c>
      <c r="D335" s="108">
        <f>RESID!D335+COML!D335+IND!D335+SHL!D335+SPA!D335</f>
        <v>1610675</v>
      </c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>
        <f t="shared" ref="Y335" si="143">Z335-Z323</f>
        <v>-127619</v>
      </c>
      <c r="Z335" s="175">
        <f>RESID!Z335+COML!Z335+IND!Z335+SHL!Z335+SPA!Z335</f>
        <v>3561746</v>
      </c>
      <c r="AA335" s="108">
        <f t="shared" ref="AA335" si="144">Z335-C335</f>
        <v>-224228</v>
      </c>
      <c r="AB335" s="516">
        <f>RESID!AB335+COML!AB335+IND!AB335+SHL!AB335+SPA!AB335</f>
        <v>3598420</v>
      </c>
      <c r="BN335" s="4">
        <f t="shared" si="55"/>
        <v>2010</v>
      </c>
      <c r="BO335" s="4">
        <f t="shared" si="56"/>
        <v>7</v>
      </c>
      <c r="BP335" s="108">
        <f>SPA!BP335+SHL!BP335+IND!BP335+COML!BP335+RESID!BJ335</f>
        <v>3898754</v>
      </c>
      <c r="BQ335" s="108"/>
      <c r="BR335" s="108"/>
      <c r="BS335" s="108"/>
      <c r="BT335" s="175">
        <f>SPA!BT335+SHL!BT335+IND!BT335+COML!BT335+RESID!BT335</f>
        <v>3700977.5338932052</v>
      </c>
      <c r="BU335" s="108">
        <f t="shared" ref="BU335" si="145">BT335-BT323</f>
        <v>-180345.49737585988</v>
      </c>
      <c r="BV335" s="108">
        <f t="shared" si="139"/>
        <v>-197776.46610679477</v>
      </c>
    </row>
    <row r="336" spans="1:74">
      <c r="A336" s="4">
        <f t="shared" si="77"/>
        <v>2010</v>
      </c>
      <c r="B336" s="4">
        <f t="shared" si="78"/>
        <v>8</v>
      </c>
      <c r="C336" s="108">
        <f>RESID!C336+COML!C336+IND!C336+SHL!C336+SPA!C336</f>
        <v>3869929</v>
      </c>
      <c r="D336" s="108">
        <f>RESID!D336+COML!D336+IND!D336+SHL!D336+SPA!D336</f>
        <v>1588932</v>
      </c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>
        <f t="shared" ref="Y336" si="146">Z336-Z324</f>
        <v>57413</v>
      </c>
      <c r="Z336" s="175">
        <f>RESID!Z336+COML!Z336+IND!Z336+SHL!Z336+SPA!Z336</f>
        <v>3650340</v>
      </c>
      <c r="AA336" s="108">
        <f t="shared" ref="AA336" si="147">Z336-C336</f>
        <v>-219589</v>
      </c>
      <c r="AB336" s="516">
        <f>RESID!AB336+COML!AB336+IND!AB336+SHL!AB336+SPA!AB336</f>
        <v>3715283</v>
      </c>
      <c r="BN336" s="4">
        <f t="shared" si="55"/>
        <v>2010</v>
      </c>
      <c r="BO336" s="4">
        <f t="shared" si="56"/>
        <v>8</v>
      </c>
      <c r="BP336" s="108">
        <f>SPA!BP336+SHL!BP336+IND!BP336+COML!BP336+RESID!BJ336</f>
        <v>3779905.0000000005</v>
      </c>
      <c r="BQ336" s="108"/>
      <c r="BR336" s="108"/>
      <c r="BS336" s="108"/>
      <c r="BT336" s="175">
        <f>SPA!BT336+SHL!BT336+IND!BT336+COML!BT336+RESID!BT336</f>
        <v>3623168.9504704154</v>
      </c>
      <c r="BU336" s="108">
        <f t="shared" ref="BU336" si="148">BT336-BT324</f>
        <v>-121091.58159496076</v>
      </c>
      <c r="BV336" s="108">
        <f t="shared" si="139"/>
        <v>-156736.04952958506</v>
      </c>
    </row>
    <row r="337" spans="1:74">
      <c r="A337" s="4">
        <f t="shared" si="77"/>
        <v>2010</v>
      </c>
      <c r="B337" s="4">
        <f t="shared" si="78"/>
        <v>9</v>
      </c>
      <c r="C337" s="108">
        <f>RESID!C337+COML!C337+IND!C337+SHL!C337+SPA!C337</f>
        <v>3709936</v>
      </c>
      <c r="D337" s="108">
        <f>RESID!D337+COML!D337+IND!D337+SHL!D337+SPA!D337</f>
        <v>1639474</v>
      </c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>
        <f t="shared" ref="Y337" si="149">Z337-Z325</f>
        <v>-166040</v>
      </c>
      <c r="Z337" s="175">
        <f>RESID!Z337+COML!Z337+IND!Z337+SHL!Z337+SPA!Z337</f>
        <v>3599722</v>
      </c>
      <c r="AA337" s="108">
        <f t="shared" ref="AA337" si="150">Z337-C337</f>
        <v>-110214</v>
      </c>
      <c r="AB337" s="516">
        <f>RESID!AB337+COML!AB337+IND!AB337+SHL!AB337+SPA!AB337</f>
        <v>3618468</v>
      </c>
      <c r="BN337" s="4">
        <f t="shared" si="55"/>
        <v>2010</v>
      </c>
      <c r="BO337" s="4">
        <f t="shared" si="56"/>
        <v>9</v>
      </c>
      <c r="BP337" s="108">
        <f>SPA!BP337+SHL!BP337+IND!BP337+COML!BP337+RESID!BJ337</f>
        <v>3564629</v>
      </c>
      <c r="BQ337" s="108"/>
      <c r="BR337" s="108"/>
      <c r="BS337" s="108"/>
      <c r="BT337" s="175">
        <f>SPA!BT337+SHL!BT337+IND!BT337+COML!BT337+RESID!BT337</f>
        <v>3440037.2795920293</v>
      </c>
      <c r="BU337" s="108">
        <f t="shared" ref="BU337" si="151">BT337-BT325</f>
        <v>-19873.00548669463</v>
      </c>
      <c r="BV337" s="108">
        <f t="shared" si="139"/>
        <v>-124591.72040797072</v>
      </c>
    </row>
    <row r="338" spans="1:74">
      <c r="A338" s="4">
        <f t="shared" si="77"/>
        <v>2010</v>
      </c>
      <c r="B338" s="4">
        <f t="shared" si="78"/>
        <v>10</v>
      </c>
      <c r="C338" s="108">
        <f>RESID!C338+COML!C338+IND!C338+SHL!C338+SPA!C338</f>
        <v>3184058</v>
      </c>
      <c r="D338" s="108">
        <f>RESID!D338+COML!D338+IND!D338+SHL!D338+SPA!D338</f>
        <v>1544664</v>
      </c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>
        <f t="shared" ref="Y338" si="152">Z338-Z326</f>
        <v>-118240</v>
      </c>
      <c r="Z338" s="175">
        <f>RESID!Z338+COML!Z338+IND!Z338+SHL!Z338+SPA!Z338</f>
        <v>3112904</v>
      </c>
      <c r="AA338" s="108">
        <f t="shared" ref="AA338" si="153">Z338-C338</f>
        <v>-71154</v>
      </c>
      <c r="AB338" s="516">
        <f>RESID!AB338+COML!AB338+IND!AB338+SHL!AB338+SPA!AB338</f>
        <v>3243024</v>
      </c>
      <c r="BN338" s="4">
        <f t="shared" si="55"/>
        <v>2010</v>
      </c>
      <c r="BO338" s="4">
        <f t="shared" si="56"/>
        <v>10</v>
      </c>
      <c r="BP338" s="108">
        <f>SPA!BP338+SHL!BP338+IND!BP338+COML!BP338+RESID!BJ338</f>
        <v>3009580</v>
      </c>
      <c r="BQ338" s="108"/>
      <c r="BR338" s="108"/>
      <c r="BS338" s="108"/>
      <c r="BT338" s="175">
        <f>SPA!BT338+SHL!BT338+IND!BT338+COML!BT338+RESID!BT338</f>
        <v>3038490.3112095594</v>
      </c>
      <c r="BU338" s="108">
        <f t="shared" ref="BU338" si="154">BT338-BT326</f>
        <v>43819.946026725695</v>
      </c>
      <c r="BV338" s="108">
        <f t="shared" si="139"/>
        <v>28910.311209559441</v>
      </c>
    </row>
    <row r="339" spans="1:74">
      <c r="A339" s="4">
        <f t="shared" si="77"/>
        <v>2010</v>
      </c>
      <c r="B339" s="4">
        <f t="shared" si="78"/>
        <v>11</v>
      </c>
      <c r="C339" s="108">
        <f>RESID!C339+COML!C339+IND!C339+SHL!C339+SPA!C339</f>
        <v>2988161</v>
      </c>
      <c r="D339" s="108">
        <f>RESID!D339+COML!D339+IND!D339+SHL!D339+SPA!D339</f>
        <v>1813002</v>
      </c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>
        <f t="shared" ref="Y339" si="155">Z339-Z327</f>
        <v>-134489</v>
      </c>
      <c r="Z339" s="175">
        <f>RESID!Z339+COML!Z339+IND!Z339+SHL!Z339+SPA!Z339</f>
        <v>2891147</v>
      </c>
      <c r="AA339" s="108">
        <f t="shared" ref="AA339" si="156">Z339-C339</f>
        <v>-97014</v>
      </c>
      <c r="AB339" s="516">
        <f>RESID!AB339+COML!AB339+IND!AB339+SHL!AB339+SPA!AB339</f>
        <v>2720286</v>
      </c>
      <c r="BN339" s="4">
        <f t="shared" si="55"/>
        <v>2010</v>
      </c>
      <c r="BO339" s="4">
        <f t="shared" si="56"/>
        <v>11</v>
      </c>
      <c r="BP339" s="108">
        <f>SPA!BP339+SHL!BP339+IND!BP339+COML!BP339+RESID!BJ339</f>
        <v>2533406</v>
      </c>
      <c r="BQ339" s="108"/>
      <c r="BR339" s="108"/>
      <c r="BS339" s="108"/>
      <c r="BT339" s="175">
        <f>SPA!BT339+SHL!BT339+IND!BT339+COML!BT339+RESID!BT339</f>
        <v>2511023.6035427167</v>
      </c>
      <c r="BU339" s="108">
        <f t="shared" ref="BU339" si="157">BT339-BT327</f>
        <v>-222619.92357902974</v>
      </c>
      <c r="BV339" s="108">
        <f t="shared" si="139"/>
        <v>-22382.396457283292</v>
      </c>
    </row>
    <row r="340" spans="1:74" s="89" customFormat="1">
      <c r="A340" s="89">
        <f t="shared" si="77"/>
        <v>2010</v>
      </c>
      <c r="B340" s="89">
        <f t="shared" si="78"/>
        <v>12</v>
      </c>
      <c r="C340" s="117">
        <f>RESID!C340+COML!C340+IND!C340+SHL!C340+SPA!C340</f>
        <v>2934126</v>
      </c>
      <c r="D340" s="117">
        <f>RESID!D340+COML!D340+IND!D340+SHL!D340+SPA!D340</f>
        <v>1706180</v>
      </c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  <c r="S340" s="117"/>
      <c r="T340" s="117"/>
      <c r="U340" s="117"/>
      <c r="V340" s="117"/>
      <c r="W340" s="117"/>
      <c r="X340" s="117"/>
      <c r="Y340" s="117">
        <f t="shared" ref="Y340" si="158">Z340-Z328</f>
        <v>26244</v>
      </c>
      <c r="Z340" s="176">
        <f>RESID!Z340+COML!Z340+IND!Z340+SHL!Z340+SPA!Z340</f>
        <v>2711317</v>
      </c>
      <c r="AA340" s="117">
        <f t="shared" ref="AA340" si="159">Z340-C340</f>
        <v>-222809</v>
      </c>
      <c r="AB340" s="525">
        <f>RESID!AB340+COML!AB340+IND!AB340+SHL!AB340+SPA!AB340</f>
        <v>2575194</v>
      </c>
      <c r="BN340" s="89">
        <f t="shared" si="55"/>
        <v>2010</v>
      </c>
      <c r="BO340" s="89">
        <f t="shared" si="56"/>
        <v>12</v>
      </c>
      <c r="BP340" s="117">
        <f>SPA!BP340+SHL!BP340+IND!BP340+COML!BP340+RESID!BJ340</f>
        <v>3413917</v>
      </c>
      <c r="BQ340" s="117"/>
      <c r="BR340" s="117"/>
      <c r="BS340" s="117"/>
      <c r="BT340" s="176">
        <f>SPA!BT340+SHL!BT340+IND!BT340+COML!BT340+RESID!BT340</f>
        <v>2601909.631570504</v>
      </c>
      <c r="BU340" s="117">
        <f t="shared" ref="BU340" si="160">BT340-BT328</f>
        <v>-70005.430980680045</v>
      </c>
      <c r="BV340" s="117">
        <f t="shared" si="139"/>
        <v>-812007.36842949595</v>
      </c>
    </row>
    <row r="341" spans="1:74">
      <c r="A341" s="4">
        <f t="shared" si="77"/>
        <v>2011</v>
      </c>
      <c r="B341" s="4">
        <f t="shared" si="78"/>
        <v>1</v>
      </c>
      <c r="C341" s="108">
        <f>RESID!C341+COML!C341+IND!C341+SHL!C341+SPA!C341</f>
        <v>3147089</v>
      </c>
      <c r="D341" s="108">
        <f>RESID!D341+COML!D341+IND!D341+SHL!D341+SPA!D341</f>
        <v>1559193</v>
      </c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>
        <f t="shared" ref="Y341" si="161">Z341-Z329</f>
        <v>-116607</v>
      </c>
      <c r="Z341" s="175">
        <f>RESID!Z341+COML!Z341+IND!Z341+SHL!Z341+SPA!Z341</f>
        <v>2647619</v>
      </c>
      <c r="AA341" s="108">
        <f t="shared" ref="AA341" si="162">Z341-C341</f>
        <v>-499470</v>
      </c>
      <c r="AB341" s="516">
        <f>RESID!AB341+COML!AB341+IND!AB341+SHL!AB341+SPA!AB341</f>
        <v>2733880</v>
      </c>
      <c r="BN341" s="4">
        <f t="shared" si="55"/>
        <v>2011</v>
      </c>
      <c r="BO341" s="4">
        <f t="shared" si="56"/>
        <v>1</v>
      </c>
      <c r="BP341" s="108">
        <f>SPA!BP341+SHL!BP341+IND!BP341+COML!BP341+RESID!BJ341</f>
        <v>2807851</v>
      </c>
      <c r="BQ341" s="108"/>
      <c r="BR341" s="108"/>
      <c r="BS341" s="108"/>
      <c r="BT341" s="175">
        <f>SPA!BT341+SHL!BT341+IND!BT341+COML!BT341+RESID!BT341</f>
        <v>2676329.6367156561</v>
      </c>
      <c r="BU341" s="108">
        <f t="shared" ref="BU341" si="163">BT341-BT329</f>
        <v>-92269.785283861216</v>
      </c>
      <c r="BV341" s="108">
        <f t="shared" si="139"/>
        <v>-131521.36328434385</v>
      </c>
    </row>
    <row r="342" spans="1:74">
      <c r="A342" s="4">
        <f t="shared" si="77"/>
        <v>2011</v>
      </c>
      <c r="B342" s="4">
        <f t="shared" si="78"/>
        <v>2</v>
      </c>
      <c r="C342" s="108">
        <f>RESID!C342+COML!C342+IND!C342+SHL!C342+SPA!C342</f>
        <v>2732539</v>
      </c>
      <c r="D342" s="108">
        <f>RESID!D342+COML!D342+IND!D342+SHL!D342+SPA!D342</f>
        <v>1643049</v>
      </c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>
        <f t="shared" ref="Y342" si="164">Z342-Z330</f>
        <v>29449</v>
      </c>
      <c r="Z342" s="175">
        <f>RESID!Z342+COML!Z342+IND!Z342+SHL!Z342+SPA!Z342</f>
        <v>2621036</v>
      </c>
      <c r="AA342" s="108">
        <f t="shared" ref="AA342" si="165">Z342-C342</f>
        <v>-111503</v>
      </c>
      <c r="AB342" s="516">
        <f>RESID!AB342+COML!AB342+IND!AB342+SHL!AB342+SPA!AB342</f>
        <v>2669389</v>
      </c>
      <c r="BN342" s="4">
        <f t="shared" si="55"/>
        <v>2011</v>
      </c>
      <c r="BO342" s="4">
        <f t="shared" si="56"/>
        <v>2</v>
      </c>
      <c r="BP342" s="108">
        <f>SPA!BP342+SHL!BP342+IND!BP342+COML!BP342+RESID!BJ342</f>
        <v>2509868</v>
      </c>
      <c r="BQ342" s="108"/>
      <c r="BR342" s="108"/>
      <c r="BS342" s="108"/>
      <c r="BT342" s="175">
        <f>SPA!BT342+SHL!BT342+IND!BT342+COML!BT342+RESID!BT342</f>
        <v>2545168.4130094168</v>
      </c>
      <c r="BU342" s="108">
        <f t="shared" ref="BU342" si="166">BT342-BT330</f>
        <v>123608.82465524087</v>
      </c>
      <c r="BV342" s="108">
        <f t="shared" si="139"/>
        <v>35300.413009416778</v>
      </c>
    </row>
    <row r="343" spans="1:74">
      <c r="A343" s="4">
        <f t="shared" si="77"/>
        <v>2011</v>
      </c>
      <c r="B343" s="4">
        <f t="shared" si="78"/>
        <v>3</v>
      </c>
      <c r="C343" s="108">
        <f>RESID!C343+COML!C343+IND!C343+SHL!C343+SPA!C343</f>
        <v>2447296</v>
      </c>
      <c r="D343" s="108">
        <f>RESID!D343+COML!D343+IND!D343+SHL!D343+SPA!D343</f>
        <v>1559091</v>
      </c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>
        <f t="shared" ref="Y343" si="167">Z343-Z331</f>
        <v>-45249</v>
      </c>
      <c r="Z343" s="175">
        <f>RESID!Z343+COML!Z343+IND!Z343+SHL!Z343+SPA!Z343</f>
        <v>2502160</v>
      </c>
      <c r="AA343" s="108">
        <f t="shared" ref="AA343" si="168">Z343-C343</f>
        <v>54864</v>
      </c>
      <c r="AB343" s="516">
        <f>RESID!AB343+COML!AB343+IND!AB343+SHL!AB343+SPA!AB343</f>
        <v>2582256</v>
      </c>
      <c r="BN343" s="4">
        <f t="shared" si="55"/>
        <v>2011</v>
      </c>
      <c r="BO343" s="4">
        <f t="shared" si="56"/>
        <v>3</v>
      </c>
      <c r="BP343" s="108">
        <f>SPA!BP343+SHL!BP343+IND!BP343+COML!BP343+RESID!BJ343</f>
        <v>2653730</v>
      </c>
      <c r="BQ343" s="108"/>
      <c r="BR343" s="108"/>
      <c r="BS343" s="108"/>
      <c r="BT343" s="175">
        <f>SPA!BT343+SHL!BT343+IND!BT343+COML!BT343+RESID!BT343</f>
        <v>2655411.0405711718</v>
      </c>
      <c r="BU343" s="108">
        <f t="shared" ref="BU343" si="169">BT343-BT331</f>
        <v>-94819.274910398759</v>
      </c>
      <c r="BV343" s="108">
        <f t="shared" si="139"/>
        <v>1681.0405711717904</v>
      </c>
    </row>
    <row r="344" spans="1:74">
      <c r="A344" s="4">
        <f t="shared" si="77"/>
        <v>2011</v>
      </c>
      <c r="B344" s="4">
        <f t="shared" si="78"/>
        <v>4</v>
      </c>
      <c r="C344" s="108">
        <f>RESID!C344+COML!C344+IND!C344+SHL!C344+SPA!C344</f>
        <v>2687732</v>
      </c>
      <c r="D344" s="108">
        <f>RESID!D344+COML!D344+IND!D344+SHL!D344+SPA!D344</f>
        <v>1633686</v>
      </c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>
        <f t="shared" ref="Y344" si="170">Z344-Z332</f>
        <v>-83238</v>
      </c>
      <c r="Z344" s="175">
        <f>RESID!Z344+COML!Z344+IND!Z344+SHL!Z344+SPA!Z344</f>
        <v>2685989</v>
      </c>
      <c r="AA344" s="108">
        <f t="shared" ref="AA344" si="171">Z344-C344</f>
        <v>-1743</v>
      </c>
      <c r="AB344" s="516">
        <f>RESID!AB344+COML!AB344+IND!AB344+SHL!AB344+SPA!AB344</f>
        <v>2673762</v>
      </c>
      <c r="BN344" s="4">
        <f t="shared" si="55"/>
        <v>2011</v>
      </c>
      <c r="BO344" s="4">
        <f t="shared" si="56"/>
        <v>4</v>
      </c>
      <c r="BP344" s="108">
        <f>SPA!BP344+SHL!BP344+IND!BP344+COML!BP344+RESID!BJ344</f>
        <v>3007771</v>
      </c>
      <c r="BQ344" s="108"/>
      <c r="BR344" s="108"/>
      <c r="BS344" s="108"/>
      <c r="BT344" s="175">
        <f>SPA!BT344+SHL!BT344+IND!BT344+COML!BT344+RESID!BT344</f>
        <v>2718869.0163932987</v>
      </c>
      <c r="BU344" s="108">
        <f t="shared" ref="BU344" si="172">BT344-BT332</f>
        <v>-82635.003303041216</v>
      </c>
      <c r="BV344" s="108">
        <f t="shared" si="139"/>
        <v>-288901.98360670125</v>
      </c>
    </row>
    <row r="345" spans="1:74">
      <c r="A345" s="4">
        <f t="shared" si="77"/>
        <v>2011</v>
      </c>
      <c r="B345" s="4">
        <f t="shared" si="78"/>
        <v>5</v>
      </c>
      <c r="C345" s="108">
        <f>RESID!C345+COML!C345+IND!C345+SHL!C345+SPA!C345</f>
        <v>3188641</v>
      </c>
      <c r="D345" s="108">
        <f>RESID!D345+COML!D345+IND!D345+SHL!D345+SPA!D345</f>
        <v>1643192</v>
      </c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>
        <f t="shared" ref="Y345" si="173">Z345-Z333</f>
        <v>-25576</v>
      </c>
      <c r="Z345" s="175">
        <f>RESID!Z345+COML!Z345+IND!Z345+SHL!Z345+SPA!Z345</f>
        <v>2894277</v>
      </c>
      <c r="AA345" s="108">
        <f t="shared" ref="AA345" si="174">Z345-C345</f>
        <v>-294364</v>
      </c>
      <c r="AB345" s="516">
        <f>RESID!AB345+COML!AB345+IND!AB345+SHL!AB345+SPA!AB345</f>
        <v>2888963</v>
      </c>
      <c r="BN345" s="4">
        <f t="shared" si="55"/>
        <v>2011</v>
      </c>
      <c r="BO345" s="4">
        <f t="shared" si="56"/>
        <v>5</v>
      </c>
      <c r="BP345" s="108">
        <f>SPA!BP345+SHL!BP345+IND!BP345+COML!BP345+RESID!BJ345</f>
        <v>3357457</v>
      </c>
      <c r="BQ345" s="108"/>
      <c r="BR345" s="108"/>
      <c r="BS345" s="108"/>
      <c r="BT345" s="175">
        <f>SPA!BT345+SHL!BT345+IND!BT345+COML!BT345+RESID!BT345</f>
        <v>3278094.5200562128</v>
      </c>
      <c r="BU345" s="108">
        <f t="shared" ref="BU345" si="175">BT345-BT333</f>
        <v>17193.090483288746</v>
      </c>
      <c r="BV345" s="108">
        <f t="shared" si="139"/>
        <v>-79362.479943787213</v>
      </c>
    </row>
    <row r="346" spans="1:74">
      <c r="A346" s="4">
        <f t="shared" si="77"/>
        <v>2011</v>
      </c>
      <c r="B346" s="4">
        <f t="shared" si="78"/>
        <v>6</v>
      </c>
      <c r="C346" s="108">
        <f>RESID!C346+COML!C346+IND!C346+SHL!C346+SPA!C346</f>
        <v>3507715</v>
      </c>
      <c r="D346" s="108">
        <f>RESID!D346+COML!D346+IND!D346+SHL!D346+SPA!D346</f>
        <v>1643917</v>
      </c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>
        <f t="shared" ref="Y346" si="176">Z346-Z334</f>
        <v>11079</v>
      </c>
      <c r="Z346" s="175">
        <f>RESID!Z346+COML!Z346+IND!Z346+SHL!Z346+SPA!Z346</f>
        <v>3469760</v>
      </c>
      <c r="AA346" s="108">
        <f t="shared" ref="AA346" si="177">Z346-C346</f>
        <v>-37955</v>
      </c>
      <c r="AB346" s="516">
        <f>RESID!AB346+COML!AB346+IND!AB346+SHL!AB346+SPA!AB346</f>
        <v>3428813</v>
      </c>
      <c r="BN346" s="4">
        <f t="shared" si="55"/>
        <v>2011</v>
      </c>
      <c r="BO346" s="4">
        <f t="shared" si="56"/>
        <v>6</v>
      </c>
      <c r="BP346" s="108">
        <f>SPA!BP346+SHL!BP346+IND!BP346+COML!BP346+RESID!BJ346</f>
        <v>3682981</v>
      </c>
      <c r="BQ346" s="108"/>
      <c r="BR346" s="108"/>
      <c r="BS346" s="108"/>
      <c r="BT346" s="175">
        <f>SPA!BT346+SHL!BT346+IND!BT346+COML!BT346+RESID!BT346</f>
        <v>3516580.8342030002</v>
      </c>
      <c r="BU346" s="108">
        <f t="shared" ref="BU346" si="178">BT346-BT334</f>
        <v>44355.884881570004</v>
      </c>
      <c r="BV346" s="108">
        <f t="shared" si="139"/>
        <v>-166400.16579699982</v>
      </c>
    </row>
    <row r="347" spans="1:74">
      <c r="A347" s="4">
        <f t="shared" si="77"/>
        <v>2011</v>
      </c>
      <c r="B347" s="4">
        <f t="shared" si="78"/>
        <v>7</v>
      </c>
      <c r="C347" s="108">
        <f>RESID!C347+COML!C347+IND!C347+SHL!C347+SPA!C347</f>
        <v>3642152</v>
      </c>
      <c r="D347" s="108">
        <f>RESID!D347+COML!D347+IND!D347+SHL!D347+SPA!D347</f>
        <v>1636034</v>
      </c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>
        <f t="shared" ref="Y347" si="179">Z347-Z335</f>
        <v>-28996</v>
      </c>
      <c r="Z347" s="175">
        <f>RESID!Z347+COML!Z347+IND!Z347+SHL!Z347+SPA!Z347</f>
        <v>3532750</v>
      </c>
      <c r="AA347" s="108">
        <f t="shared" ref="AA347" si="180">Z347-C347</f>
        <v>-109402</v>
      </c>
      <c r="AB347" s="516">
        <f>RESID!AB347+COML!AB347+IND!AB347+SHL!AB347+SPA!AB347</f>
        <v>3576016</v>
      </c>
      <c r="BN347" s="4">
        <f t="shared" si="55"/>
        <v>2011</v>
      </c>
      <c r="BO347" s="4">
        <f t="shared" si="56"/>
        <v>7</v>
      </c>
      <c r="BP347" s="108">
        <f>SPA!BP347+SHL!BP347+IND!BP347+COML!BP347+RESID!BJ347</f>
        <v>3766003</v>
      </c>
      <c r="BQ347" s="108"/>
      <c r="BR347" s="108"/>
      <c r="BS347" s="108"/>
      <c r="BT347" s="175">
        <f>SPA!BT347+SHL!BT347+IND!BT347+COML!BT347+RESID!BT347</f>
        <v>3669990.4148243484</v>
      </c>
      <c r="BU347" s="108">
        <f t="shared" ref="BU347" si="181">BT347-BT335</f>
        <v>-30987.119068856817</v>
      </c>
      <c r="BV347" s="108">
        <f t="shared" si="139"/>
        <v>-96012.585175651591</v>
      </c>
    </row>
    <row r="348" spans="1:74">
      <c r="A348" s="4">
        <f t="shared" si="77"/>
        <v>2011</v>
      </c>
      <c r="B348" s="4">
        <f t="shared" si="78"/>
        <v>8</v>
      </c>
      <c r="C348" s="108">
        <f>RESID!C348+COML!C348+IND!C348+SHL!C348+SPA!C348</f>
        <v>3983502</v>
      </c>
      <c r="D348" s="108">
        <f>RESID!D348+COML!D348+IND!D348+SHL!D348+SPA!D348</f>
        <v>1735827</v>
      </c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>
        <f t="shared" ref="Y348" si="182">Z348-Z336</f>
        <v>134920</v>
      </c>
      <c r="Z348" s="175">
        <f>RESID!Z348+COML!Z348+IND!Z348+SHL!Z348+SPA!Z348</f>
        <v>3785260</v>
      </c>
      <c r="AA348" s="108">
        <f t="shared" ref="AA348" si="183">Z348-C348</f>
        <v>-198242</v>
      </c>
      <c r="AB348" s="516">
        <f>RESID!AB348+COML!AB348+IND!AB348+SHL!AB348+SPA!AB348</f>
        <v>3645717</v>
      </c>
      <c r="BN348" s="4">
        <f t="shared" si="55"/>
        <v>2011</v>
      </c>
      <c r="BO348" s="4">
        <f t="shared" si="56"/>
        <v>8</v>
      </c>
      <c r="BP348" s="108">
        <f>SPA!BP348+SHL!BP348+IND!BP348+COML!BP348+RESID!BJ348</f>
        <v>3976824</v>
      </c>
      <c r="BQ348" s="108"/>
      <c r="BR348" s="108"/>
      <c r="BS348" s="108"/>
      <c r="BT348" s="175">
        <f>SPA!BT348+SHL!BT348+IND!BT348+COML!BT348+RESID!BT348</f>
        <v>3793923.3700451041</v>
      </c>
      <c r="BU348" s="108">
        <f t="shared" ref="BU348" si="184">BT348-BT336</f>
        <v>170754.41957468865</v>
      </c>
      <c r="BV348" s="108">
        <f t="shared" si="139"/>
        <v>-182900.62995489594</v>
      </c>
    </row>
    <row r="349" spans="1:74">
      <c r="A349" s="4">
        <f t="shared" si="77"/>
        <v>2011</v>
      </c>
      <c r="B349" s="4">
        <f t="shared" si="78"/>
        <v>9</v>
      </c>
      <c r="C349" s="108">
        <f>RESID!C349+COML!C349+IND!C349+SHL!C349+SPA!C349</f>
        <v>3721734</v>
      </c>
      <c r="D349" s="108">
        <f>RESID!D349+COML!D349+IND!D349+SHL!D349+SPA!D349</f>
        <v>1639479</v>
      </c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>
        <f t="shared" ref="Y349" si="185">Z349-Z337</f>
        <v>65502</v>
      </c>
      <c r="Z349" s="175">
        <f>RESID!Z349+COML!Z349+IND!Z349+SHL!Z349+SPA!Z349</f>
        <v>3665224</v>
      </c>
      <c r="AA349" s="108">
        <f t="shared" ref="AA349" si="186">Z349-C349</f>
        <v>-56510</v>
      </c>
      <c r="AB349" s="516">
        <f>RESID!AB349+COML!AB349+IND!AB349+SHL!AB349+SPA!AB349</f>
        <v>3682119</v>
      </c>
      <c r="BN349" s="4">
        <f t="shared" si="55"/>
        <v>2011</v>
      </c>
      <c r="BO349" s="4">
        <f t="shared" si="56"/>
        <v>9</v>
      </c>
      <c r="BP349" s="108">
        <f>SPA!BP349+SHL!BP349+IND!BP349+COML!BP349+RESID!BJ349</f>
        <v>3411638</v>
      </c>
      <c r="BQ349" s="108"/>
      <c r="BR349" s="108"/>
      <c r="BS349" s="108"/>
      <c r="BT349" s="175">
        <f>SPA!BT349+SHL!BT349+IND!BT349+COML!BT349+RESID!BT349</f>
        <v>3406594.6908788369</v>
      </c>
      <c r="BU349" s="108">
        <f t="shared" ref="BU349" si="187">BT349-BT337</f>
        <v>-33442.588713192381</v>
      </c>
      <c r="BV349" s="108">
        <f t="shared" si="139"/>
        <v>-5043.3091211630963</v>
      </c>
    </row>
    <row r="350" spans="1:74">
      <c r="A350" s="4">
        <f t="shared" ref="A350:A377" si="188">A338+1</f>
        <v>2011</v>
      </c>
      <c r="B350" s="4">
        <f t="shared" ref="B350:B377" si="189">B338</f>
        <v>10</v>
      </c>
      <c r="C350" s="108">
        <f>RESID!C350+COML!C350+IND!C350+SHL!C350+SPA!C350</f>
        <v>3189128</v>
      </c>
      <c r="D350" s="108">
        <f>RESID!D350+COML!D350+IND!D350+SHL!D350+SPA!D350</f>
        <v>1549292</v>
      </c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>
        <f t="shared" ref="Y350" si="190">Z350-Z338</f>
        <v>67375</v>
      </c>
      <c r="Z350" s="175">
        <f>RESID!Z350+COML!Z350+IND!Z350+SHL!Z350+SPA!Z350</f>
        <v>3180279</v>
      </c>
      <c r="AA350" s="108">
        <f t="shared" ref="AA350" si="191">Z350-C350</f>
        <v>-8849</v>
      </c>
      <c r="AB350" s="516">
        <f>RESID!AB350+COML!AB350+IND!AB350+SHL!AB350+SPA!AB350</f>
        <v>3339157</v>
      </c>
      <c r="BN350" s="4">
        <f t="shared" si="55"/>
        <v>2011</v>
      </c>
      <c r="BO350" s="4">
        <f t="shared" si="56"/>
        <v>10</v>
      </c>
      <c r="BP350" s="108">
        <f>SPA!BP350+SHL!BP350+IND!BP350+COML!BP350+RESID!BJ350</f>
        <v>2766057</v>
      </c>
      <c r="BQ350" s="108"/>
      <c r="BR350" s="108"/>
      <c r="BS350" s="108"/>
      <c r="BT350" s="175">
        <f>SPA!BT350+SHL!BT350+IND!BT350+COML!BT350+RESID!BT350</f>
        <v>3051635.8048888505</v>
      </c>
      <c r="BU350" s="108">
        <f t="shared" ref="BU350" si="192">BT350-BT338</f>
        <v>13145.493679291103</v>
      </c>
      <c r="BV350" s="108">
        <f t="shared" si="139"/>
        <v>285578.80488885054</v>
      </c>
    </row>
    <row r="351" spans="1:74">
      <c r="A351" s="4">
        <f t="shared" si="188"/>
        <v>2011</v>
      </c>
      <c r="B351" s="4">
        <f t="shared" si="189"/>
        <v>11</v>
      </c>
      <c r="C351" s="108">
        <f>RESID!C351+COML!C351+IND!C351+SHL!C351+SPA!C351</f>
        <v>2781028</v>
      </c>
      <c r="D351" s="108">
        <f>RESID!D351+COML!D351+IND!D351+SHL!D351+SPA!D351</f>
        <v>1799796</v>
      </c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>
        <f t="shared" ref="Y351" si="193">Z351-Z339</f>
        <v>117702</v>
      </c>
      <c r="Z351" s="175">
        <f>RESID!Z351+COML!Z351+IND!Z351+SHL!Z351+SPA!Z351</f>
        <v>3008849</v>
      </c>
      <c r="AA351" s="108">
        <f t="shared" ref="AA351" si="194">Z351-C351</f>
        <v>227821</v>
      </c>
      <c r="AB351" s="516">
        <f>RESID!AB351+COML!AB351+IND!AB351+SHL!AB351+SPA!AB351</f>
        <v>2844582</v>
      </c>
      <c r="BN351" s="4">
        <f t="shared" si="55"/>
        <v>2011</v>
      </c>
      <c r="BO351" s="4">
        <f t="shared" si="56"/>
        <v>11</v>
      </c>
      <c r="BP351" s="108">
        <f>SPA!BP351+SHL!BP351+IND!BP351+COML!BP351+RESID!BJ351</f>
        <v>2564967</v>
      </c>
      <c r="BQ351" s="108"/>
      <c r="BR351" s="108"/>
      <c r="BS351" s="108"/>
      <c r="BT351" s="175">
        <f>SPA!BT351+SHL!BT351+IND!BT351+COML!BT351+RESID!BT351</f>
        <v>2638168.9502498959</v>
      </c>
      <c r="BU351" s="108">
        <f t="shared" ref="BU351" si="195">BT351-BT339</f>
        <v>127145.34670717921</v>
      </c>
      <c r="BV351" s="108">
        <f t="shared" si="139"/>
        <v>73201.950249895919</v>
      </c>
    </row>
    <row r="352" spans="1:74" s="89" customFormat="1">
      <c r="A352" s="89">
        <f t="shared" si="188"/>
        <v>2011</v>
      </c>
      <c r="B352" s="89">
        <f t="shared" si="189"/>
        <v>12</v>
      </c>
      <c r="C352" s="117">
        <f>RESID!C352+COML!C352+IND!C352+SHL!C352+SPA!C352</f>
        <v>2568381</v>
      </c>
      <c r="D352" s="117">
        <f>RESID!D352+COML!D352+IND!D352+SHL!D352+SPA!D352</f>
        <v>1663186</v>
      </c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  <c r="S352" s="117"/>
      <c r="T352" s="117"/>
      <c r="U352" s="117"/>
      <c r="V352" s="117"/>
      <c r="W352" s="117"/>
      <c r="X352" s="117"/>
      <c r="Y352" s="117">
        <f t="shared" ref="Y352" si="196">Z352-Z340</f>
        <v>-15657</v>
      </c>
      <c r="Z352" s="176">
        <f>RESID!Z352+COML!Z352+IND!Z352+SHL!Z352+SPA!Z352</f>
        <v>2695660</v>
      </c>
      <c r="AA352" s="117">
        <f t="shared" ref="AA352" si="197">Z352-C352</f>
        <v>127279</v>
      </c>
      <c r="AB352" s="525">
        <f>RESID!AB352+COML!AB352+IND!AB352+SHL!AB352+SPA!AB352</f>
        <v>2708796</v>
      </c>
      <c r="BN352" s="89">
        <f t="shared" si="55"/>
        <v>2011</v>
      </c>
      <c r="BO352" s="89">
        <f t="shared" si="56"/>
        <v>12</v>
      </c>
      <c r="BP352" s="117">
        <f>SPA!BP352+SHL!BP352+IND!BP352+COML!BP352+RESID!BJ352</f>
        <v>2463156</v>
      </c>
      <c r="BQ352" s="117"/>
      <c r="BR352" s="117"/>
      <c r="BS352" s="117"/>
      <c r="BT352" s="176">
        <f>SPA!BT352+SHL!BT352+IND!BT352+COML!BT352+RESID!BT352</f>
        <v>2649539.3162798686</v>
      </c>
      <c r="BU352" s="117">
        <f t="shared" ref="BU352" si="198">BT352-BT340</f>
        <v>47629.684709364548</v>
      </c>
      <c r="BV352" s="117">
        <f t="shared" si="139"/>
        <v>186383.3162798686</v>
      </c>
    </row>
    <row r="353" spans="1:74">
      <c r="A353" s="4">
        <f t="shared" si="188"/>
        <v>2012</v>
      </c>
      <c r="B353" s="4">
        <f t="shared" si="189"/>
        <v>1</v>
      </c>
      <c r="C353" s="108">
        <f>RESID!C353+COML!C353+IND!C353+SHL!C353+SPA!C353</f>
        <v>2673803</v>
      </c>
      <c r="D353" s="108">
        <f>RESID!D353+COML!D353+IND!D353+SHL!D353+SPA!D353</f>
        <v>1573768</v>
      </c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>
        <f t="shared" ref="Y353" si="199">Z353-Z341</f>
        <v>109468</v>
      </c>
      <c r="Z353" s="175">
        <f>RESID!Z353+COML!Z353+IND!Z353+SHL!Z353+SPA!Z353</f>
        <v>2757087</v>
      </c>
      <c r="AA353" s="108">
        <f t="shared" ref="AA353" si="200">Z353-C353</f>
        <v>83284</v>
      </c>
      <c r="AB353" s="516">
        <f>RESID!AB353+COML!AB353+IND!AB353+SHL!AB353+SPA!AB353</f>
        <v>2812105</v>
      </c>
      <c r="BN353" s="4">
        <f t="shared" si="55"/>
        <v>2012</v>
      </c>
      <c r="BO353" s="4">
        <f t="shared" si="56"/>
        <v>1</v>
      </c>
      <c r="BP353" s="108">
        <f>SPA!BP353+SHL!BP353+IND!BP353+COML!BP353+RESID!BJ353</f>
        <v>2839410</v>
      </c>
      <c r="BQ353" s="108"/>
      <c r="BR353" s="108"/>
      <c r="BS353" s="108"/>
      <c r="BT353" s="175">
        <f>SPA!BT353+SHL!BT353+IND!BT353+COML!BT353+RESID!BT353</f>
        <v>2845710.9418386994</v>
      </c>
      <c r="BU353" s="108">
        <f t="shared" ref="BU353" si="201">BT353-BT341</f>
        <v>169381.30512304325</v>
      </c>
      <c r="BV353" s="108">
        <f t="shared" si="139"/>
        <v>6300.941838699393</v>
      </c>
    </row>
    <row r="354" spans="1:74">
      <c r="A354" s="4">
        <f t="shared" si="188"/>
        <v>2012</v>
      </c>
      <c r="B354" s="4">
        <f t="shared" si="189"/>
        <v>2</v>
      </c>
      <c r="C354" s="108">
        <f>RESID!C354+COML!C354+IND!C354+SHL!C354+SPA!C354</f>
        <v>2498544</v>
      </c>
      <c r="D354" s="108">
        <f>RESID!D354+COML!D354+IND!D354+SHL!D354+SPA!D354</f>
        <v>1562274</v>
      </c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>
        <f t="shared" ref="Y354" si="202">Z354-Z342</f>
        <v>-28493</v>
      </c>
      <c r="Z354" s="175">
        <f>RESID!Z354+COML!Z354+IND!Z354+SHL!Z354+SPA!Z354</f>
        <v>2592543</v>
      </c>
      <c r="AA354" s="108">
        <f t="shared" ref="AA354" si="203">Z354-C354</f>
        <v>93999</v>
      </c>
      <c r="AB354" s="516">
        <f>RESID!AB354+COML!AB354+IND!AB354+SHL!AB354+SPA!AB354</f>
        <v>2670493</v>
      </c>
      <c r="BN354" s="4">
        <f t="shared" si="55"/>
        <v>2012</v>
      </c>
      <c r="BO354" s="4">
        <f t="shared" si="56"/>
        <v>2</v>
      </c>
      <c r="BP354" s="108">
        <f>SPA!BP354+SHL!BP354+IND!BP354+COML!BP354+RESID!BJ354</f>
        <v>2477889</v>
      </c>
      <c r="BQ354" s="108"/>
      <c r="BR354" s="108"/>
      <c r="BS354" s="108"/>
      <c r="BT354" s="175">
        <f>SPA!BT354+SHL!BT354+IND!BT354+COML!BT354+RESID!BT354</f>
        <v>2537807.6579692094</v>
      </c>
      <c r="BU354" s="108">
        <f t="shared" ref="BU354" si="204">BT354-BT342</f>
        <v>-7360.7550402074121</v>
      </c>
      <c r="BV354" s="108">
        <f t="shared" si="139"/>
        <v>59918.657969209366</v>
      </c>
    </row>
    <row r="355" spans="1:74">
      <c r="A355" s="4">
        <f t="shared" si="188"/>
        <v>2012</v>
      </c>
      <c r="B355" s="4">
        <f t="shared" si="189"/>
        <v>3</v>
      </c>
      <c r="C355" s="108">
        <f>RESID!C355+COML!C355+IND!C355+SHL!C355+SPA!C355</f>
        <v>2606590</v>
      </c>
      <c r="D355" s="108">
        <f>RESID!D355+COML!D355+IND!D355+SHL!D355+SPA!D355</f>
        <v>1661342</v>
      </c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>
        <f t="shared" ref="Y355" si="205">Z355-Z343</f>
        <v>129192</v>
      </c>
      <c r="Z355" s="175">
        <f>RESID!Z355+COML!Z355+IND!Z355+SHL!Z355+SPA!Z355</f>
        <v>2631352</v>
      </c>
      <c r="AA355" s="108">
        <f t="shared" ref="AA355" si="206">Z355-C355</f>
        <v>24762</v>
      </c>
      <c r="AB355" s="516">
        <f>RESID!AB355+COML!AB355+IND!AB355+SHL!AB355+SPA!AB355</f>
        <v>2630635</v>
      </c>
      <c r="BN355" s="4">
        <f t="shared" si="55"/>
        <v>2012</v>
      </c>
      <c r="BO355" s="4">
        <f t="shared" si="56"/>
        <v>3</v>
      </c>
      <c r="BP355" s="108">
        <f>SPA!BP355+SHL!BP355+IND!BP355+COML!BP355+RESID!BJ355</f>
        <v>2795397</v>
      </c>
      <c r="BQ355" s="108"/>
      <c r="BR355" s="108"/>
      <c r="BS355" s="108"/>
      <c r="BT355" s="175">
        <f>SPA!BT355+SHL!BT355+IND!BT355+COML!BT355+RESID!BT355</f>
        <v>2640195.108143534</v>
      </c>
      <c r="BU355" s="108">
        <f t="shared" ref="BU355" si="207">BT355-BT343</f>
        <v>-15215.932427637745</v>
      </c>
      <c r="BV355" s="108">
        <f t="shared" si="139"/>
        <v>-155201.89185646595</v>
      </c>
    </row>
    <row r="356" spans="1:74">
      <c r="A356" s="4">
        <f t="shared" si="188"/>
        <v>2012</v>
      </c>
      <c r="B356" s="4">
        <f t="shared" si="189"/>
        <v>4</v>
      </c>
      <c r="C356" s="108">
        <f>RESID!C356+COML!C356+IND!C356+SHL!C356+SPA!C356</f>
        <v>2796555</v>
      </c>
      <c r="D356" s="108">
        <f>RESID!D356+COML!D356+IND!D356+SHL!D356+SPA!D356</f>
        <v>1638074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>
        <f t="shared" ref="Y356" si="208">Z356-Z344</f>
        <v>-10591</v>
      </c>
      <c r="Z356" s="175">
        <f>RESID!Z356+COML!Z356+IND!Z356+SHL!Z356+SPA!Z356</f>
        <v>2675398</v>
      </c>
      <c r="AA356" s="108">
        <f t="shared" ref="AA356" si="209">Z356-C356</f>
        <v>-121157</v>
      </c>
      <c r="AB356" s="516">
        <f>RESID!AB356+COML!AB356+IND!AB356+SHL!AB356+SPA!AB356</f>
        <v>2692722</v>
      </c>
      <c r="BN356" s="4">
        <f t="shared" si="55"/>
        <v>2012</v>
      </c>
      <c r="BO356" s="4">
        <f t="shared" si="56"/>
        <v>4</v>
      </c>
      <c r="BP356" s="108">
        <f>SPA!BP356+SHL!BP356+IND!BP356+COML!BP356+RESID!BJ356</f>
        <v>2843616</v>
      </c>
      <c r="BQ356" s="108"/>
      <c r="BR356" s="108"/>
      <c r="BS356" s="108"/>
      <c r="BT356" s="175">
        <f>SPA!BT356+SHL!BT356+IND!BT356+COML!BT356+RESID!BT356</f>
        <v>2790273.0661546947</v>
      </c>
      <c r="BU356" s="108">
        <f t="shared" ref="BU356" si="210">BT356-BT344</f>
        <v>71404.049761395901</v>
      </c>
      <c r="BV356" s="108">
        <f t="shared" si="139"/>
        <v>-53342.93384530535</v>
      </c>
    </row>
    <row r="357" spans="1:74">
      <c r="A357" s="4">
        <f t="shared" si="188"/>
        <v>2012</v>
      </c>
      <c r="B357" s="4">
        <f t="shared" si="189"/>
        <v>5</v>
      </c>
      <c r="C357" s="108">
        <f>RESID!C357+COML!C357+IND!C357+SHL!C357+SPA!C357</f>
        <v>2936035</v>
      </c>
      <c r="D357" s="108">
        <f>RESID!D357+COML!D357+IND!D357+SHL!D357+SPA!D357</f>
        <v>1661773</v>
      </c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>
        <f t="shared" ref="Y357" si="211">Z357-Z345</f>
        <v>-14512</v>
      </c>
      <c r="Z357" s="175">
        <f>RESID!Z357+COML!Z357+IND!Z357+SHL!Z357+SPA!Z357</f>
        <v>2879765</v>
      </c>
      <c r="AA357" s="108">
        <f t="shared" ref="AA357" si="212">Z357-C357</f>
        <v>-56270</v>
      </c>
      <c r="AB357" s="516">
        <f>RESID!AB357+COML!AB357+IND!AB357+SHL!AB357+SPA!AB357</f>
        <v>2866397</v>
      </c>
      <c r="BN357" s="4">
        <f t="shared" si="55"/>
        <v>2012</v>
      </c>
      <c r="BO357" s="4">
        <f t="shared" si="56"/>
        <v>5</v>
      </c>
      <c r="BP357" s="108">
        <f>SPA!BP357+SHL!BP357+IND!BP357+COML!BP357+RESID!BJ357</f>
        <v>3376408</v>
      </c>
      <c r="BQ357" s="108"/>
      <c r="BR357" s="108"/>
      <c r="BS357" s="108"/>
      <c r="BT357" s="175">
        <f>SPA!BT357+SHL!BT357+IND!BT357+COML!BT357+RESID!BT357</f>
        <v>3238055.3447658559</v>
      </c>
      <c r="BU357" s="108">
        <f t="shared" ref="BU357" si="213">BT357-BT345</f>
        <v>-40039.175290356856</v>
      </c>
      <c r="BV357" s="108">
        <f t="shared" si="139"/>
        <v>-138352.65523414407</v>
      </c>
    </row>
    <row r="358" spans="1:74">
      <c r="A358" s="4">
        <f t="shared" si="188"/>
        <v>2012</v>
      </c>
      <c r="B358" s="4">
        <f t="shared" si="189"/>
        <v>6</v>
      </c>
      <c r="C358" s="108">
        <f>RESID!C358+COML!C358+IND!C358+SHL!C358+SPA!C358</f>
        <v>3374794</v>
      </c>
      <c r="D358" s="108">
        <f>RESID!D358+COML!D358+IND!D358+SHL!D358+SPA!D358</f>
        <v>1655470</v>
      </c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>
        <f t="shared" ref="Y358" si="214">Z358-Z346</f>
        <v>-83440</v>
      </c>
      <c r="Z358" s="175">
        <f>RESID!Z358+COML!Z358+IND!Z358+SHL!Z358+SPA!Z358</f>
        <v>3386320</v>
      </c>
      <c r="AA358" s="108">
        <f t="shared" ref="AA358" si="215">Z358-C358</f>
        <v>11526</v>
      </c>
      <c r="AB358" s="516">
        <f>RESID!AB358+COML!AB358+IND!AB358+SHL!AB358+SPA!AB358</f>
        <v>3351727</v>
      </c>
      <c r="BN358" s="4">
        <f t="shared" si="55"/>
        <v>2012</v>
      </c>
      <c r="BO358" s="4">
        <f t="shared" si="56"/>
        <v>6</v>
      </c>
      <c r="BP358" s="108">
        <f>SPA!BP358+SHL!BP358+IND!BP358+COML!BP358+RESID!BJ358</f>
        <v>3284475</v>
      </c>
      <c r="BQ358" s="108"/>
      <c r="BR358" s="108"/>
      <c r="BS358" s="108"/>
      <c r="BT358" s="175">
        <f>SPA!BT358+SHL!BT358+IND!BT358+COML!BT358+RESID!BT358</f>
        <v>3423614.7635523849</v>
      </c>
      <c r="BU358" s="108">
        <f t="shared" ref="BU358" si="216">BT358-BT346</f>
        <v>-92966.070650615264</v>
      </c>
      <c r="BV358" s="108">
        <f t="shared" si="139"/>
        <v>139139.76355238492</v>
      </c>
    </row>
    <row r="359" spans="1:74">
      <c r="A359" s="4">
        <f t="shared" si="188"/>
        <v>2012</v>
      </c>
      <c r="B359" s="4">
        <f t="shared" si="189"/>
        <v>7</v>
      </c>
      <c r="C359" s="108">
        <f>RESID!C359+COML!C359+IND!C359+SHL!C359+SPA!C359</f>
        <v>3354925</v>
      </c>
      <c r="D359" s="108">
        <f>RESID!D359+COML!D359+IND!D359+SHL!D359+SPA!D359</f>
        <v>1573032</v>
      </c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>
        <f t="shared" ref="Y359:Y360" si="217">Z359-Z347</f>
        <v>-68064</v>
      </c>
      <c r="Z359" s="175">
        <f>RESID!Z359+COML!Z359+IND!Z359+SHL!Z359+SPA!Z359</f>
        <v>3464686</v>
      </c>
      <c r="AA359" s="108">
        <f t="shared" ref="AA359:AA360" si="218">Z359-C359</f>
        <v>109761</v>
      </c>
      <c r="AB359" s="516">
        <f>RESID!AB359+COML!AB359+IND!AB359+SHL!AB359+SPA!AB359</f>
        <v>3576615</v>
      </c>
      <c r="BN359" s="4">
        <f t="shared" si="55"/>
        <v>2012</v>
      </c>
      <c r="BO359" s="4">
        <f t="shared" si="56"/>
        <v>7</v>
      </c>
      <c r="BP359" s="108">
        <f>SPA!BP359+SHL!BP359+IND!BP359+COML!BP359+RESID!BJ359</f>
        <v>3748995</v>
      </c>
      <c r="BQ359" s="108"/>
      <c r="BR359" s="108"/>
      <c r="BS359" s="108"/>
      <c r="BT359" s="175">
        <f>SPA!BT359+SHL!BT359+IND!BT359+COML!BT359+RESID!BT359</f>
        <v>3708808.2924150387</v>
      </c>
      <c r="BU359" s="108">
        <f t="shared" ref="BU359:BU360" si="219">BT359-BT347</f>
        <v>38817.877590690274</v>
      </c>
      <c r="BV359" s="108">
        <f t="shared" si="139"/>
        <v>-40186.707584961317</v>
      </c>
    </row>
    <row r="360" spans="1:74">
      <c r="A360" s="4">
        <f t="shared" si="188"/>
        <v>2012</v>
      </c>
      <c r="B360" s="4">
        <f t="shared" si="189"/>
        <v>8</v>
      </c>
      <c r="C360" s="108">
        <f>RESID!C360+COML!C360+IND!C360+SHL!C360+SPA!C360</f>
        <v>3875021</v>
      </c>
      <c r="D360" s="108">
        <f>RESID!D360+COML!D360+IND!D360+SHL!D360+SPA!D360</f>
        <v>1740865</v>
      </c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>
        <f t="shared" si="217"/>
        <v>31071</v>
      </c>
      <c r="Z360" s="175">
        <f>RESID!Z360+COML!Z360+IND!Z360+SHL!Z360+SPA!Z360</f>
        <v>3816331</v>
      </c>
      <c r="AA360" s="108">
        <f t="shared" si="218"/>
        <v>-58690</v>
      </c>
      <c r="AB360" s="516">
        <f>RESID!AB360+COML!AB360+IND!AB360+SHL!AB360+SPA!AB360</f>
        <v>3712036</v>
      </c>
      <c r="BN360" s="4">
        <f t="shared" si="55"/>
        <v>2012</v>
      </c>
      <c r="BO360" s="4">
        <f t="shared" si="56"/>
        <v>8</v>
      </c>
      <c r="BP360" s="108">
        <f>SPA!BP360+SHL!BP360+IND!BP360+COML!BP360+RESID!BJ360</f>
        <v>3738611</v>
      </c>
      <c r="BQ360" s="108"/>
      <c r="BR360" s="108"/>
      <c r="BS360" s="108"/>
      <c r="BT360" s="175">
        <f>SPA!BT360+SHL!BT360+IND!BT360+COML!BT360+RESID!BT360</f>
        <v>3774886.1224161005</v>
      </c>
      <c r="BU360" s="108">
        <f t="shared" si="219"/>
        <v>-19037.247629003599</v>
      </c>
      <c r="BV360" s="108">
        <f t="shared" si="139"/>
        <v>36275.122416100465</v>
      </c>
    </row>
    <row r="361" spans="1:74">
      <c r="A361" s="4">
        <f t="shared" si="188"/>
        <v>2012</v>
      </c>
      <c r="B361" s="4">
        <f t="shared" si="189"/>
        <v>9</v>
      </c>
      <c r="C361" s="108">
        <f>RESID!C361+COML!C361+IND!C361+SHL!C361+SPA!C361</f>
        <v>3512415</v>
      </c>
      <c r="D361" s="108">
        <f>RESID!D361+COML!D361+IND!D361+SHL!D361+SPA!D361</f>
        <v>1591765</v>
      </c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>
        <f t="shared" ref="Y361" si="220">Z361-Z349</f>
        <v>-90638</v>
      </c>
      <c r="Z361" s="175">
        <f>RESID!Z361+COML!Z361+IND!Z361+SHL!Z361+SPA!Z361</f>
        <v>3574586</v>
      </c>
      <c r="AA361" s="108">
        <f t="shared" ref="AA361" si="221">Z361-C361</f>
        <v>62171</v>
      </c>
      <c r="AB361" s="516">
        <f>RESID!AB361+COML!AB361+IND!AB361+SHL!AB361+SPA!AB361</f>
        <v>3665704</v>
      </c>
      <c r="BN361" s="4">
        <f t="shared" si="55"/>
        <v>2012</v>
      </c>
      <c r="BO361" s="4">
        <f t="shared" si="56"/>
        <v>9</v>
      </c>
      <c r="BP361" s="108">
        <f>SPA!BP361+SHL!BP361+IND!BP361+COML!BP361+RESID!BJ361</f>
        <v>3329662</v>
      </c>
      <c r="BQ361" s="108"/>
      <c r="BR361" s="108"/>
      <c r="BS361" s="108"/>
      <c r="BT361" s="175">
        <f>SPA!BT361+SHL!BT361+IND!BT361+COML!BT361+RESID!BT361</f>
        <v>3364514.6603330988</v>
      </c>
      <c r="BU361" s="108">
        <f t="shared" ref="BU361" si="222">BT361-BT349</f>
        <v>-42080.03054573806</v>
      </c>
      <c r="BV361" s="108">
        <f t="shared" si="139"/>
        <v>34852.660333098844</v>
      </c>
    </row>
    <row r="362" spans="1:74">
      <c r="A362" s="4">
        <f t="shared" si="188"/>
        <v>2012</v>
      </c>
      <c r="B362" s="4">
        <f t="shared" si="189"/>
        <v>10</v>
      </c>
      <c r="C362" s="108">
        <f>RESID!C362+COML!C362+IND!C362+SHL!C362+SPA!C362</f>
        <v>3318344</v>
      </c>
      <c r="D362" s="108">
        <f>RESID!D362+COML!D362+IND!D362+SHL!D362+SPA!D362</f>
        <v>1643997</v>
      </c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>
        <f t="shared" ref="Y362" si="223">Z362-Z350</f>
        <v>49737</v>
      </c>
      <c r="Z362" s="175">
        <f>RESID!Z362+COML!Z362+IND!Z362+SHL!Z362+SPA!Z362</f>
        <v>3230016</v>
      </c>
      <c r="AA362" s="108">
        <f t="shared" ref="AA362" si="224">Z362-C362</f>
        <v>-88328</v>
      </c>
      <c r="AB362" s="516">
        <f>RESID!AB362+COML!AB362+IND!AB362+SHL!AB362+SPA!AB362</f>
        <v>3260702</v>
      </c>
      <c r="BN362" s="4">
        <f t="shared" si="55"/>
        <v>2012</v>
      </c>
      <c r="BO362" s="4">
        <f t="shared" si="56"/>
        <v>10</v>
      </c>
      <c r="BP362" s="108">
        <f>SPA!BP362+SHL!BP362+IND!BP362+COML!BP362+RESID!BJ362</f>
        <v>3042813</v>
      </c>
      <c r="BQ362" s="108"/>
      <c r="BR362" s="108"/>
      <c r="BS362" s="108"/>
      <c r="BT362" s="175">
        <f>SPA!BT362+SHL!BT362+IND!BT362+COML!BT362+RESID!BT362</f>
        <v>2990581.4985592188</v>
      </c>
      <c r="BU362" s="108">
        <f t="shared" ref="BU362" si="225">BT362-BT350</f>
        <v>-61054.306329631712</v>
      </c>
      <c r="BV362" s="108">
        <f t="shared" si="139"/>
        <v>-52231.501440781169</v>
      </c>
    </row>
    <row r="363" spans="1:74">
      <c r="A363" s="4">
        <f t="shared" si="188"/>
        <v>2012</v>
      </c>
      <c r="B363" s="4">
        <f t="shared" si="189"/>
        <v>11</v>
      </c>
      <c r="C363" s="108">
        <f>RESID!C363+COML!C363+IND!C363+SHL!C363+SPA!C363</f>
        <v>2920346</v>
      </c>
      <c r="D363" s="108">
        <f>RESID!D363+COML!D363+IND!D363+SHL!D363+SPA!D363</f>
        <v>1834820</v>
      </c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>
        <f t="shared" ref="Y363" si="226">Z363-Z351</f>
        <v>-93741</v>
      </c>
      <c r="Z363" s="175">
        <f>RESID!Z363+COML!Z363+IND!Z363+SHL!Z363+SPA!Z363</f>
        <v>2915108</v>
      </c>
      <c r="AA363" s="108">
        <f t="shared" ref="AA363" si="227">Z363-C363</f>
        <v>-5238</v>
      </c>
      <c r="AB363" s="516">
        <f>RESID!AB363+COML!AB363+IND!AB363+SHL!AB363+SPA!AB363</f>
        <v>2730447</v>
      </c>
      <c r="BN363" s="4">
        <f t="shared" si="55"/>
        <v>2012</v>
      </c>
      <c r="BO363" s="4">
        <f t="shared" si="56"/>
        <v>11</v>
      </c>
      <c r="BP363" s="108">
        <f>SPA!BP363+SHL!BP363+IND!BP363+COML!BP363+RESID!BJ363</f>
        <v>2469672</v>
      </c>
      <c r="BQ363" s="108"/>
      <c r="BR363" s="108"/>
      <c r="BS363" s="108"/>
      <c r="BT363" s="175">
        <f>SPA!BT363+SHL!BT363+IND!BT363+COML!BT363+RESID!BT363</f>
        <v>2636331.5411344543</v>
      </c>
      <c r="BU363" s="108">
        <f t="shared" ref="BU363" si="228">BT363-BT351</f>
        <v>-1837.4091154416092</v>
      </c>
      <c r="BV363" s="108">
        <f t="shared" si="139"/>
        <v>166659.54113445431</v>
      </c>
    </row>
    <row r="364" spans="1:74" s="89" customFormat="1">
      <c r="A364" s="89">
        <f t="shared" si="188"/>
        <v>2012</v>
      </c>
      <c r="B364" s="89">
        <f t="shared" si="189"/>
        <v>12</v>
      </c>
      <c r="C364" s="117">
        <f>RESID!C364+COML!C364+IND!C364+SHL!C364+SPA!C364</f>
        <v>2514086</v>
      </c>
      <c r="D364" s="117">
        <f>RESID!D364+COML!D364+IND!D364+SHL!D364+SPA!D364</f>
        <v>1660701</v>
      </c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>
        <f t="shared" ref="Y364" si="229">Z364-Z352</f>
        <v>7046</v>
      </c>
      <c r="Z364" s="176">
        <f>RESID!Z364+COML!Z364+IND!Z364+SHL!Z364+SPA!Z364</f>
        <v>2702706</v>
      </c>
      <c r="AA364" s="117">
        <f t="shared" ref="AA364" si="230">Z364-C364</f>
        <v>188620</v>
      </c>
      <c r="AB364" s="525">
        <f>RESID!AB364+COML!AB364+IND!AB364+SHL!AB364+SPA!AB364</f>
        <v>2706574</v>
      </c>
      <c r="BN364" s="89">
        <f t="shared" si="55"/>
        <v>2012</v>
      </c>
      <c r="BO364" s="89">
        <f t="shared" si="56"/>
        <v>12</v>
      </c>
      <c r="BP364" s="117">
        <f>SPA!BP364+SHL!BP364+IND!BP364+COML!BP364+RESID!BJ364</f>
        <v>2733525</v>
      </c>
      <c r="BQ364" s="117"/>
      <c r="BR364" s="117"/>
      <c r="BS364" s="117"/>
      <c r="BT364" s="176">
        <f>SPA!BT364+SHL!BT364+IND!BT364+COML!BT364+RESID!BT364</f>
        <v>2768664.561505069</v>
      </c>
      <c r="BU364" s="117">
        <f t="shared" ref="BU364" si="231">BT364-BT352</f>
        <v>119125.24522520043</v>
      </c>
      <c r="BV364" s="117">
        <f t="shared" si="139"/>
        <v>35139.561505069025</v>
      </c>
    </row>
    <row r="365" spans="1:74">
      <c r="A365" s="4">
        <f t="shared" si="188"/>
        <v>2013</v>
      </c>
      <c r="B365" s="4">
        <f t="shared" si="189"/>
        <v>1</v>
      </c>
      <c r="C365" s="108">
        <f>RESID!C365+COML!C365+IND!C365+SHL!C365+SPA!C365</f>
        <v>2608841</v>
      </c>
      <c r="D365" s="108">
        <f>RESID!D365+COML!D365+IND!D365+SHL!D365+SPA!D365</f>
        <v>1571086</v>
      </c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>
        <f t="shared" ref="Y365" si="232">Z365-Z353</f>
        <v>-57599</v>
      </c>
      <c r="Z365" s="175">
        <f>RESID!Z365+COML!Z365+IND!Z365+SHL!Z365+SPA!Z365</f>
        <v>2699488</v>
      </c>
      <c r="AA365" s="108">
        <f t="shared" ref="AA365" si="233">Z365-C365</f>
        <v>90647</v>
      </c>
      <c r="AB365" s="516">
        <f>RESID!AB365+COML!AB365+IND!AB365+SHL!AB365+SPA!AB365</f>
        <v>2786792</v>
      </c>
      <c r="AC365" s="4">
        <f t="shared" ref="AC365:AC371" si="234">AB365-AB353</f>
        <v>-25313</v>
      </c>
      <c r="BN365" s="4">
        <f t="shared" si="55"/>
        <v>2013</v>
      </c>
      <c r="BO365" s="4">
        <f t="shared" si="56"/>
        <v>1</v>
      </c>
      <c r="BP365" s="108">
        <f>SPA!BP365+SHL!BP365+IND!BP365+COML!BP365+RESID!BJ365</f>
        <v>2575129</v>
      </c>
      <c r="BQ365" s="108"/>
      <c r="BR365" s="108"/>
      <c r="BS365" s="108"/>
      <c r="BT365" s="175">
        <f>SPA!BT365+SHL!BT365+IND!BT365+COML!BT365+RESID!BT365</f>
        <v>2759689.7567254519</v>
      </c>
      <c r="BU365" s="108">
        <f t="shared" ref="BU365" si="235">BT365-BT353</f>
        <v>-86021.185113247484</v>
      </c>
      <c r="BV365" s="108">
        <f t="shared" si="139"/>
        <v>184560.75672545191</v>
      </c>
    </row>
    <row r="366" spans="1:74">
      <c r="A366" s="4">
        <f t="shared" si="188"/>
        <v>2013</v>
      </c>
      <c r="B366" s="4">
        <f t="shared" si="189"/>
        <v>2</v>
      </c>
      <c r="C366" s="108">
        <f>RESID!C366+COML!C366+IND!C366+SHL!C366+SPA!C366</f>
        <v>2578190</v>
      </c>
      <c r="D366" s="108">
        <f>RESID!D366+COML!D366+IND!D366+SHL!D366+SPA!D366</f>
        <v>1661119</v>
      </c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>
        <f t="shared" ref="Y366" si="236">Z366-Z354</f>
        <v>112361</v>
      </c>
      <c r="Z366" s="175">
        <f>RESID!Z366+COML!Z366+IND!Z366+SHL!Z366+SPA!Z366</f>
        <v>2704904</v>
      </c>
      <c r="AA366" s="108">
        <f t="shared" ref="AA366" si="237">Z366-C366</f>
        <v>126714</v>
      </c>
      <c r="AB366" s="516">
        <f>RESID!AB366+COML!AB366+IND!AB366+SHL!AB366+SPA!AB366</f>
        <v>2715080</v>
      </c>
      <c r="AC366" s="4">
        <f t="shared" si="234"/>
        <v>44587</v>
      </c>
      <c r="BN366" s="4">
        <f t="shared" si="55"/>
        <v>2013</v>
      </c>
      <c r="BO366" s="4">
        <f t="shared" si="56"/>
        <v>2</v>
      </c>
      <c r="BP366" s="108">
        <f>SPA!BP366+SHL!BP366+IND!BP366+COML!BP366+RESID!BJ366</f>
        <v>2451642</v>
      </c>
      <c r="BQ366" s="108"/>
      <c r="BR366" s="108"/>
      <c r="BS366" s="108"/>
      <c r="BT366" s="175">
        <f>SPA!BT366+SHL!BT366+IND!BT366+COML!BT366+RESID!BT366</f>
        <v>2485352.8586858232</v>
      </c>
      <c r="BU366" s="108">
        <f t="shared" ref="BU366" si="238">BT366-BT354</f>
        <v>-52454.799283386208</v>
      </c>
      <c r="BV366" s="108">
        <f t="shared" si="139"/>
        <v>33710.858685823157</v>
      </c>
    </row>
    <row r="367" spans="1:74">
      <c r="A367" s="4">
        <f t="shared" si="188"/>
        <v>2013</v>
      </c>
      <c r="B367" s="4">
        <f t="shared" si="189"/>
        <v>3</v>
      </c>
      <c r="C367" s="108">
        <f>RESID!C367+COML!C367+IND!C367+SHL!C367+SPA!C367</f>
        <v>2542536</v>
      </c>
      <c r="D367" s="108">
        <f>RESID!D367+COML!D367+IND!D367+SHL!D367+SPA!D367</f>
        <v>1587592</v>
      </c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>
        <f t="shared" ref="Y367" si="239">Z367-Z355</f>
        <v>-127712</v>
      </c>
      <c r="Z367" s="175">
        <f>RESID!Z367+COML!Z367+IND!Z367+SHL!Z367+SPA!Z367</f>
        <v>2503640</v>
      </c>
      <c r="AA367" s="108">
        <f t="shared" ref="AA367" si="240">Z367-C367</f>
        <v>-38896</v>
      </c>
      <c r="AB367" s="516">
        <f>RESID!AB367+COML!AB367+IND!AB367+SHL!AB367+SPA!AB367</f>
        <v>2564496</v>
      </c>
      <c r="AC367" s="4">
        <f t="shared" si="234"/>
        <v>-66139</v>
      </c>
      <c r="BN367" s="4">
        <f t="shared" si="55"/>
        <v>2013</v>
      </c>
      <c r="BO367" s="4">
        <f t="shared" si="56"/>
        <v>3</v>
      </c>
      <c r="BP367" s="108">
        <f>SPA!BP367+SHL!BP367+IND!BP367+COML!BP367+RESID!BJ367</f>
        <v>2736687</v>
      </c>
      <c r="BQ367" s="108"/>
      <c r="BR367" s="108"/>
      <c r="BS367" s="108"/>
      <c r="BT367" s="175">
        <f>SPA!BT367+SHL!BT367+IND!BT367+COML!BT367+RESID!BT367</f>
        <v>2655963.1741222115</v>
      </c>
      <c r="BU367" s="108">
        <f t="shared" ref="BU367" si="241">BT367-BT355</f>
        <v>15768.065978677478</v>
      </c>
      <c r="BV367" s="108">
        <f t="shared" ref="BV367" si="242">BT367-BP367</f>
        <v>-80723.825877788477</v>
      </c>
    </row>
    <row r="368" spans="1:74">
      <c r="A368" s="4">
        <f t="shared" si="188"/>
        <v>2013</v>
      </c>
      <c r="B368" s="4">
        <f t="shared" si="189"/>
        <v>4</v>
      </c>
      <c r="C368" s="108">
        <f>RESID!C368+COML!C368+IND!C368+SHL!C368+SPA!C368</f>
        <v>2678410</v>
      </c>
      <c r="D368" s="108">
        <f>RESID!D368+COML!D368+IND!D368+SHL!D368+SPA!D368</f>
        <v>1666315</v>
      </c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>
        <f t="shared" ref="Y368" si="243">Z368-Z356</f>
        <v>-59514</v>
      </c>
      <c r="Z368" s="175">
        <f>RESID!Z368+COML!Z368+IND!Z368+SHL!Z368+SPA!Z368</f>
        <v>2615884</v>
      </c>
      <c r="AA368" s="108">
        <f t="shared" ref="AA368" si="244">Z368-C368</f>
        <v>-62526</v>
      </c>
      <c r="AB368" s="516">
        <f>RESID!AB368+COML!AB368+IND!AB368+SHL!AB368+SPA!AB368</f>
        <v>2665932</v>
      </c>
      <c r="AC368" s="4">
        <f t="shared" si="234"/>
        <v>-26790</v>
      </c>
      <c r="BN368" s="4">
        <f t="shared" si="55"/>
        <v>2013</v>
      </c>
      <c r="BO368" s="4">
        <f t="shared" si="56"/>
        <v>4</v>
      </c>
      <c r="BP368" s="108">
        <f>SPA!BP368+SHL!BP368+IND!BP368+COML!BP368+RESID!BJ368</f>
        <v>2796344</v>
      </c>
      <c r="BQ368" s="108"/>
      <c r="BR368" s="108"/>
      <c r="BS368" s="108"/>
      <c r="BT368" s="175">
        <f>SPA!BT368+SHL!BT368+IND!BT368+COML!BT368+RESID!BT368</f>
        <v>2678607.5821092678</v>
      </c>
      <c r="BU368" s="108">
        <f t="shared" ref="BU368" si="245">BT368-BT356</f>
        <v>-111665.48404542683</v>
      </c>
      <c r="BV368" s="108">
        <f t="shared" ref="BV368" si="246">BT368-BP368</f>
        <v>-117736.41789073218</v>
      </c>
    </row>
    <row r="369" spans="1:74">
      <c r="A369" s="4">
        <f t="shared" si="188"/>
        <v>2013</v>
      </c>
      <c r="B369" s="4">
        <f t="shared" si="189"/>
        <v>5</v>
      </c>
      <c r="C369" s="108">
        <f>RESID!C369+COML!C369+IND!C369+SHL!C369+SPA!C369</f>
        <v>3007039</v>
      </c>
      <c r="D369" s="108">
        <f>RESID!D369+COML!D369+IND!D369+SHL!D369+SPA!D369</f>
        <v>1753245</v>
      </c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>
        <f t="shared" ref="Y369" si="247">Z369-Z357</f>
        <v>96520</v>
      </c>
      <c r="Z369" s="175">
        <f>RESID!Z369+COML!Z369+IND!Z369+SHL!Z369+SPA!Z369</f>
        <v>2976285</v>
      </c>
      <c r="AA369" s="108">
        <f t="shared" ref="AA369" si="248">Z369-C369</f>
        <v>-30754</v>
      </c>
      <c r="AB369" s="516">
        <f>RESID!AB369+COML!AB369+IND!AB369+SHL!AB369+SPA!AB369</f>
        <v>2890584</v>
      </c>
      <c r="AC369" s="4">
        <f t="shared" si="234"/>
        <v>24187</v>
      </c>
      <c r="BN369" s="4">
        <f t="shared" si="55"/>
        <v>2013</v>
      </c>
      <c r="BO369" s="4">
        <f t="shared" si="56"/>
        <v>5</v>
      </c>
      <c r="BP369" s="108">
        <f>SPA!BP369+SHL!BP369+IND!BP369+COML!BP369+RESID!BJ369</f>
        <v>3115688</v>
      </c>
      <c r="BQ369" s="108"/>
      <c r="BR369" s="108"/>
      <c r="BS369" s="108"/>
      <c r="BT369" s="175">
        <f>SPA!BT369+SHL!BT369+IND!BT369+COML!BT369+RESID!BT369</f>
        <v>3306002.0906788856</v>
      </c>
      <c r="BU369" s="108">
        <f t="shared" ref="BU369" si="249">BT369-BT357</f>
        <v>67946.745913029648</v>
      </c>
      <c r="BV369" s="108">
        <f t="shared" ref="BV369" si="250">BT369-BP369</f>
        <v>190314.09067888558</v>
      </c>
    </row>
    <row r="370" spans="1:74">
      <c r="A370" s="4">
        <f t="shared" si="188"/>
        <v>2013</v>
      </c>
      <c r="B370" s="4">
        <f t="shared" si="189"/>
        <v>6</v>
      </c>
      <c r="C370" s="108">
        <f>RESID!C370+COML!C370+IND!C370+SHL!C370+SPA!C370</f>
        <v>3332395</v>
      </c>
      <c r="D370" s="108">
        <f>RESID!D370+COML!D370+IND!D370+SHL!D370+SPA!D370</f>
        <v>1677685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>
        <f t="shared" ref="Y370" si="251">Z370-Z358</f>
        <v>33683</v>
      </c>
      <c r="Z370" s="175">
        <f>RESID!Z370+COML!Z370+IND!Z370+SHL!Z370+SPA!Z370</f>
        <v>3420003</v>
      </c>
      <c r="AA370" s="108">
        <f t="shared" ref="AA370" si="252">Z370-C370</f>
        <v>87608</v>
      </c>
      <c r="AB370" s="516">
        <f>RESID!AB370+COML!AB370+IND!AB370+SHL!AB370+SPA!AB370</f>
        <v>3400829</v>
      </c>
      <c r="AC370" s="4">
        <f t="shared" si="234"/>
        <v>49102</v>
      </c>
      <c r="BN370" s="4">
        <f t="shared" si="55"/>
        <v>2013</v>
      </c>
      <c r="BO370" s="4">
        <f t="shared" si="56"/>
        <v>6</v>
      </c>
      <c r="BP370" s="108">
        <f>SPA!BP370+SHL!BP370+IND!BP370+COML!BP370+RESID!BJ370</f>
        <v>3484769</v>
      </c>
      <c r="BQ370" s="108"/>
      <c r="BR370" s="108"/>
      <c r="BS370" s="108"/>
      <c r="BT370" s="175">
        <f>SPA!BT370+SHL!BT370+IND!BT370+COML!BT370+RESID!BT370</f>
        <v>3391588.6840482056</v>
      </c>
      <c r="BU370" s="108">
        <f t="shared" ref="BU370" si="253">BT370-BT358</f>
        <v>-32026.079504179303</v>
      </c>
      <c r="BV370" s="108">
        <f t="shared" ref="BV370" si="254">BT370-BP370</f>
        <v>-93180.315951794386</v>
      </c>
    </row>
    <row r="371" spans="1:74">
      <c r="A371" s="4">
        <f t="shared" si="188"/>
        <v>2013</v>
      </c>
      <c r="B371" s="4">
        <f t="shared" si="189"/>
        <v>7</v>
      </c>
      <c r="C371" s="108">
        <f>RESID!C371+COML!C371+IND!C371+SHL!C371+SPA!C371</f>
        <v>3558687</v>
      </c>
      <c r="D371" s="108">
        <f>RESID!D371+COML!D371+IND!D371+SHL!D371+SPA!D371</f>
        <v>1679740</v>
      </c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>
        <f t="shared" ref="Y371" si="255">Z371-Z359</f>
        <v>95185</v>
      </c>
      <c r="Z371" s="175">
        <f>RESID!Z371+COML!Z371+IND!Z371+SHL!Z371+SPA!Z371</f>
        <v>3559871</v>
      </c>
      <c r="AA371" s="108">
        <f t="shared" ref="AA371" si="256">Z371-C371</f>
        <v>1184</v>
      </c>
      <c r="AB371" s="516">
        <f>RESID!AB371+COML!AB371+IND!AB371+SHL!AB371+SPA!AB371</f>
        <v>3533985</v>
      </c>
      <c r="AC371" s="4">
        <f t="shared" si="234"/>
        <v>-42630</v>
      </c>
      <c r="BN371" s="4">
        <f t="shared" si="55"/>
        <v>2013</v>
      </c>
      <c r="BO371" s="4">
        <f t="shared" si="56"/>
        <v>7</v>
      </c>
      <c r="BP371" s="108">
        <f>SPA!BP371+SHL!BP371+IND!BP371+COML!BP371+RESID!BJ371</f>
        <v>3579413</v>
      </c>
      <c r="BQ371" s="108"/>
      <c r="BR371" s="108"/>
      <c r="BS371" s="108"/>
      <c r="BT371" s="175">
        <f>SPA!BT371+SHL!BT371+IND!BT371+COML!BT371+RESID!BT371</f>
        <v>3664137.7067800732</v>
      </c>
      <c r="BU371" s="108">
        <f t="shared" ref="BU371" si="257">BT371-BT359</f>
        <v>-44670.58563496545</v>
      </c>
      <c r="BV371" s="108">
        <f t="shared" ref="BV371" si="258">BT371-BP371</f>
        <v>84724.706780073233</v>
      </c>
    </row>
    <row r="372" spans="1:74">
      <c r="A372" s="4">
        <f t="shared" si="188"/>
        <v>2013</v>
      </c>
      <c r="B372" s="4">
        <f t="shared" si="189"/>
        <v>8</v>
      </c>
      <c r="C372" s="108">
        <f>RESID!C372+COML!C372+IND!C372+SHL!C372+SPA!C372</f>
        <v>3478835</v>
      </c>
      <c r="D372" s="108">
        <f>RESID!D372+COML!D372+IND!D372+SHL!D372+SPA!D372</f>
        <v>1589974</v>
      </c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>
        <f t="shared" ref="Y372" si="259">Z372-Z360</f>
        <v>-305176</v>
      </c>
      <c r="Z372" s="175">
        <f>RESID!Z372+COML!Z372+IND!Z372+SHL!Z372+SPA!Z372</f>
        <v>3511155</v>
      </c>
      <c r="AA372" s="108">
        <f t="shared" ref="AA372" si="260">Z372-C372</f>
        <v>32320</v>
      </c>
      <c r="AB372" s="516">
        <f>RESID!AB372+COML!AB372+IND!AB372+SHL!AB372+SPA!AB372</f>
        <v>3611177</v>
      </c>
      <c r="AC372" s="4">
        <f>AB372-AB360</f>
        <v>-100859</v>
      </c>
      <c r="BN372" s="4">
        <f t="shared" si="55"/>
        <v>2013</v>
      </c>
      <c r="BO372" s="4">
        <f t="shared" si="56"/>
        <v>8</v>
      </c>
      <c r="BP372" s="108">
        <f>SPA!BP372+SHL!BP372+IND!BP372+COML!BP372+RESID!BJ372</f>
        <v>3798715</v>
      </c>
      <c r="BQ372" s="108"/>
      <c r="BR372" s="108"/>
      <c r="BS372" s="108"/>
      <c r="BT372" s="175">
        <f>SPA!BT372+SHL!BT372+IND!BT372+COML!BT372+RESID!BT372</f>
        <v>3675569.5575346118</v>
      </c>
      <c r="BU372" s="108">
        <f t="shared" ref="BU372" si="261">BT372-BT360</f>
        <v>-99316.564881488681</v>
      </c>
      <c r="BV372" s="108">
        <f t="shared" ref="BV372" si="262">BT372-BP372</f>
        <v>-123145.44246538822</v>
      </c>
    </row>
    <row r="373" spans="1:74">
      <c r="A373" s="4">
        <f t="shared" si="188"/>
        <v>2013</v>
      </c>
      <c r="B373" s="4">
        <f t="shared" si="189"/>
        <v>9</v>
      </c>
      <c r="C373" s="108">
        <f>RESID!C373+COML!C373+IND!C373+SHL!C373+SPA!C373</f>
        <v>3700720</v>
      </c>
      <c r="D373" s="108">
        <f>RESID!D373+COML!D373+IND!D373+SHL!D373+SPA!D373</f>
        <v>1671256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>
        <f t="shared" ref="Y373" si="263">Z373-Z361</f>
        <v>43087</v>
      </c>
      <c r="Z373" s="175">
        <f>RESID!Z373+COML!Z373+IND!Z373+SHL!Z373+SPA!Z373</f>
        <v>3617673</v>
      </c>
      <c r="AA373" s="108">
        <f t="shared" ref="AA373" si="264">Z373-C373</f>
        <v>-83047</v>
      </c>
      <c r="AB373" s="516">
        <f>RESID!AB373+COML!AB373+IND!AB373+SHL!AB373+SPA!AB373</f>
        <v>3616943</v>
      </c>
      <c r="AC373" s="4">
        <f>AB373-AB361</f>
        <v>-48761</v>
      </c>
      <c r="BN373" s="4">
        <f t="shared" si="55"/>
        <v>2013</v>
      </c>
      <c r="BO373" s="4">
        <f t="shared" si="56"/>
        <v>9</v>
      </c>
      <c r="BP373" s="108">
        <f>SPA!BP373+SHL!BP373+IND!BP373+COML!BP373+RESID!BJ373</f>
        <v>3429992</v>
      </c>
      <c r="BQ373" s="108"/>
      <c r="BR373" s="108"/>
      <c r="BS373" s="108"/>
      <c r="BT373" s="175">
        <f>SPA!BT373+SHL!BT373+IND!BT373+COML!BT373+RESID!BT373</f>
        <v>3436008.9255687823</v>
      </c>
      <c r="BU373" s="108">
        <f t="shared" ref="BU373" si="265">BT373-BT361</f>
        <v>71494.265235683415</v>
      </c>
      <c r="BV373" s="108">
        <f t="shared" ref="BV373" si="266">BT373-BP373</f>
        <v>6016.9255687822588</v>
      </c>
    </row>
    <row r="374" spans="1:74">
      <c r="A374" s="4">
        <f t="shared" si="188"/>
        <v>2013</v>
      </c>
      <c r="B374" s="4">
        <f t="shared" si="189"/>
        <v>10</v>
      </c>
      <c r="C374" s="108">
        <f>RESID!C374+COML!C374+IND!C374+SHL!C374+SPA!C374</f>
        <v>3384393</v>
      </c>
      <c r="D374" s="108">
        <f>RESID!D374+COML!D374+IND!D374+SHL!D374+SPA!D374</f>
        <v>1686850</v>
      </c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>
        <f t="shared" ref="Y374" si="267">Z374-Z362</f>
        <v>71099</v>
      </c>
      <c r="Z374" s="175">
        <f>RESID!Z374+COML!Z374+IND!Z374+SHL!Z374+SPA!Z374</f>
        <v>3301115</v>
      </c>
      <c r="AA374" s="108">
        <f t="shared" ref="AA374" si="268">Z374-C374</f>
        <v>-83278</v>
      </c>
      <c r="AB374" s="516">
        <f>RESID!AB374+COML!AB374+IND!AB374+SHL!AB374+SPA!AB374</f>
        <v>3287249</v>
      </c>
      <c r="AC374" s="4">
        <f>AB374-AB362</f>
        <v>26547</v>
      </c>
      <c r="BN374" s="4">
        <f t="shared" si="55"/>
        <v>2013</v>
      </c>
      <c r="BO374" s="4">
        <f t="shared" si="56"/>
        <v>10</v>
      </c>
      <c r="BP374" s="108">
        <f>SPA!BP374+SHL!BP374+IND!BP374+COML!BP374+RESID!BJ374</f>
        <v>3144599</v>
      </c>
      <c r="BQ374" s="108"/>
      <c r="BR374" s="108"/>
      <c r="BS374" s="108"/>
      <c r="BT374" s="175">
        <f>SPA!BT374+SHL!BT374+IND!BT374+COML!BT374+RESID!BT374</f>
        <v>3026033.5955704502</v>
      </c>
      <c r="BU374" s="108">
        <f t="shared" ref="BU374" si="269">BT374-BT362</f>
        <v>35452.097011231352</v>
      </c>
      <c r="BV374" s="108">
        <f t="shared" ref="BV374" si="270">BT374-BP374</f>
        <v>-118565.40442954982</v>
      </c>
    </row>
    <row r="375" spans="1:74">
      <c r="A375" s="4">
        <f t="shared" si="188"/>
        <v>2013</v>
      </c>
      <c r="B375" s="4">
        <f t="shared" si="189"/>
        <v>11</v>
      </c>
      <c r="C375" s="108">
        <f>RESID!C375+COML!C375+IND!C375+SHL!C375+SPA!C375</f>
        <v>2942773</v>
      </c>
      <c r="D375" s="108">
        <f>RESID!D375+COML!D375+IND!D375+SHL!D375+SPA!D375</f>
        <v>1780171</v>
      </c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>
        <f t="shared" ref="Y375" si="271">Z375-Z363</f>
        <v>-101916</v>
      </c>
      <c r="Z375" s="175">
        <f>RESID!Z375+COML!Z375+IND!Z375+SHL!Z375+SPA!Z375</f>
        <v>2813192</v>
      </c>
      <c r="AA375" s="108">
        <f t="shared" ref="AA375" si="272">Z375-C375</f>
        <v>-129581</v>
      </c>
      <c r="AB375" s="516">
        <f>RESID!AB375+COML!AB375+IND!AB375+SHL!AB375+SPA!AB375</f>
        <v>2718499</v>
      </c>
      <c r="AC375" s="4">
        <f>AB375-AB363</f>
        <v>-11948</v>
      </c>
      <c r="BN375" s="4">
        <f t="shared" si="55"/>
        <v>2013</v>
      </c>
      <c r="BO375" s="4">
        <f t="shared" si="56"/>
        <v>11</v>
      </c>
      <c r="BP375" s="108">
        <f>SPA!BP375+SHL!BP375+IND!BP375+COML!BP375+RESID!BJ375</f>
        <v>2672655</v>
      </c>
      <c r="BQ375" s="108"/>
      <c r="BR375" s="108"/>
      <c r="BS375" s="108"/>
      <c r="BT375" s="175">
        <f>SPA!BT375+SHL!BT375+IND!BT375+COML!BT375+RESID!BT375</f>
        <v>2575964.3755538133</v>
      </c>
      <c r="BU375" s="108">
        <f t="shared" ref="BU375" si="273">BT375-BT363</f>
        <v>-60367.165580641013</v>
      </c>
      <c r="BV375" s="108">
        <f t="shared" ref="BV375" si="274">BT375-BP375</f>
        <v>-96690.624446186703</v>
      </c>
    </row>
    <row r="376" spans="1:74">
      <c r="A376" s="4">
        <f t="shared" si="188"/>
        <v>2013</v>
      </c>
      <c r="B376" s="4">
        <f t="shared" si="189"/>
        <v>12</v>
      </c>
      <c r="C376" s="108">
        <f>RESID!C376+COML!C376+IND!C376+SHL!C376+SPA!C376</f>
        <v>2803169</v>
      </c>
      <c r="D376" s="108">
        <f>RESID!D376+COML!D376+IND!D376+SHL!D376+SPA!D376</f>
        <v>1861144</v>
      </c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>
        <f t="shared" ref="Y376" si="275">Z376-Z364</f>
        <v>107355</v>
      </c>
      <c r="Z376" s="175">
        <f>RESID!Z376+COML!Z376+IND!Z376+SHL!Z376+SPA!Z376</f>
        <v>2810061</v>
      </c>
      <c r="AA376" s="108">
        <f t="shared" ref="AA376" si="276">Z376-C376</f>
        <v>6892</v>
      </c>
      <c r="AB376" s="516">
        <f>RESID!AB376+COML!AB376+IND!AB376+SHL!AB376+SPA!AB376</f>
        <v>2643563</v>
      </c>
      <c r="AC376" s="4">
        <f>AB376-AB364</f>
        <v>-63011</v>
      </c>
      <c r="BN376" s="4">
        <f t="shared" si="55"/>
        <v>2013</v>
      </c>
      <c r="BO376" s="4">
        <f t="shared" si="56"/>
        <v>12</v>
      </c>
      <c r="BP376" s="108">
        <f>SPA!BP376+SHL!BP376+IND!BP376+COML!BP376+RESID!BJ376</f>
        <v>2669223</v>
      </c>
      <c r="BQ376" s="108"/>
      <c r="BR376" s="108"/>
      <c r="BS376" s="108"/>
      <c r="BT376" s="175">
        <f>SPA!BT376+SHL!BT376+IND!BT376+COML!BT376+RESID!BT376</f>
        <v>2783304.6352396244</v>
      </c>
      <c r="BU376" s="108">
        <f t="shared" ref="BU376" si="277">BT376-BT364</f>
        <v>14640.073734555393</v>
      </c>
      <c r="BV376" s="108">
        <f t="shared" ref="BV376" si="278">BT376-BP376</f>
        <v>114081.63523962442</v>
      </c>
    </row>
    <row r="377" spans="1:74">
      <c r="A377" s="4">
        <f t="shared" si="188"/>
        <v>2014</v>
      </c>
      <c r="B377" s="4">
        <f t="shared" si="189"/>
        <v>1</v>
      </c>
      <c r="BT377" s="4"/>
    </row>
    <row r="378" spans="1:74">
      <c r="BT378" s="4"/>
    </row>
    <row r="379" spans="1:74">
      <c r="BT379" s="4"/>
    </row>
    <row r="380" spans="1:74">
      <c r="BT380" s="4"/>
    </row>
    <row r="381" spans="1:74">
      <c r="BT381" s="4"/>
    </row>
    <row r="382" spans="1:74">
      <c r="BT382" s="4"/>
    </row>
    <row r="383" spans="1:74">
      <c r="BT383" s="4"/>
    </row>
    <row r="398" spans="75:77">
      <c r="BW398" s="69" t="s">
        <v>247</v>
      </c>
      <c r="BX398" s="31" t="s">
        <v>248</v>
      </c>
      <c r="BY398" s="31" t="s">
        <v>249</v>
      </c>
    </row>
    <row r="399" spans="75:77">
      <c r="BW399" s="354" t="s">
        <v>246</v>
      </c>
      <c r="BX399" s="108">
        <f>SUM(BU317:BU326)</f>
        <v>-1466282.3920652969</v>
      </c>
      <c r="BY399" s="86">
        <f>BX399/$BX$401</f>
        <v>0.35806473513695664</v>
      </c>
    </row>
    <row r="400" spans="75:77" ht="15">
      <c r="BW400" s="354" t="s">
        <v>135</v>
      </c>
      <c r="BX400" s="421">
        <f>SUM(Whole!BV317:BV326)</f>
        <v>-2628738</v>
      </c>
      <c r="BY400" s="87">
        <f>BX400/$BX$401</f>
        <v>0.64193526486304331</v>
      </c>
    </row>
    <row r="401" spans="75:77">
      <c r="BW401" s="361" t="s">
        <v>250</v>
      </c>
      <c r="BX401" s="108">
        <f>BX400+BX399</f>
        <v>-4095020.3920652969</v>
      </c>
      <c r="BY401" s="86">
        <f>BX401/$BX$401</f>
        <v>1</v>
      </c>
    </row>
  </sheetData>
  <phoneticPr fontId="4" type="noConversion"/>
  <pageMargins left="0.75" right="0.75" top="1" bottom="1" header="0.5" footer="0.5"/>
  <pageSetup orientation="portrait" r:id="rId1"/>
  <headerFooter alignWithMargins="0">
    <oddFooter>&amp;R14LGBRA-NRGPOD1-6-DOC 33
14BGBRA-STAFFROG1-19A-DOC 33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DG377"/>
  <sheetViews>
    <sheetView tabSelected="1" topLeftCell="AD1" zoomScale="80" zoomScaleNormal="80" workbookViewId="0">
      <selection activeCell="AW37" sqref="AW37"/>
    </sheetView>
  </sheetViews>
  <sheetFormatPr defaultColWidth="8.88671875" defaultRowHeight="12.75"/>
  <cols>
    <col min="1" max="1" width="6.77734375" style="4" customWidth="1"/>
    <col min="2" max="2" width="6.5546875" style="4" customWidth="1"/>
    <col min="3" max="3" width="10.21875" style="5" customWidth="1"/>
    <col min="4" max="4" width="9.6640625" style="4" bestFit="1" customWidth="1"/>
    <col min="5" max="5" width="8.6640625" style="4" customWidth="1"/>
    <col min="6" max="6" width="10.109375" style="5" customWidth="1"/>
    <col min="7" max="7" width="8.33203125" style="4" bestFit="1" customWidth="1"/>
    <col min="8" max="8" width="9" style="4" customWidth="1"/>
    <col min="9" max="10" width="8.88671875" style="4"/>
    <col min="11" max="11" width="5.21875" style="4" bestFit="1" customWidth="1"/>
    <col min="12" max="12" width="3.77734375" style="4" customWidth="1"/>
    <col min="13" max="13" width="6.5546875" style="4" customWidth="1"/>
    <col min="14" max="14" width="8.88671875" style="4"/>
    <col min="15" max="15" width="5.21875" style="4" bestFit="1" customWidth="1"/>
    <col min="16" max="16" width="4.33203125" style="4" customWidth="1"/>
    <col min="17" max="17" width="8.21875" style="4" customWidth="1"/>
    <col min="18" max="18" width="7" style="4" bestFit="1" customWidth="1"/>
    <col min="19" max="19" width="8.5546875" style="4" bestFit="1" customWidth="1"/>
    <col min="20" max="20" width="3.77734375" style="4" customWidth="1"/>
    <col min="21" max="22" width="8.88671875" style="4"/>
    <col min="23" max="23" width="7.33203125" style="4" bestFit="1" customWidth="1"/>
    <col min="24" max="24" width="8.5546875" style="5" bestFit="1" customWidth="1"/>
    <col min="25" max="25" width="3" style="4" customWidth="1"/>
    <col min="26" max="26" width="9.5546875" style="6" customWidth="1"/>
    <col min="27" max="27" width="7.109375" style="4" bestFit="1" customWidth="1"/>
    <col min="28" max="28" width="11.109375" style="4" bestFit="1" customWidth="1"/>
    <col min="29" max="33" width="8.88671875" style="4"/>
    <col min="34" max="34" width="11" style="4" bestFit="1" customWidth="1"/>
    <col min="35" max="36" width="8.88671875" style="4"/>
    <col min="37" max="37" width="5.5546875" style="4" customWidth="1"/>
    <col min="38" max="38" width="9.109375" style="4" customWidth="1"/>
    <col min="39" max="41" width="8.88671875" style="4"/>
    <col min="42" max="42" width="7.88671875" style="4" customWidth="1"/>
    <col min="43" max="43" width="8.88671875" style="4"/>
    <col min="44" max="44" width="8.33203125" style="4" customWidth="1"/>
    <col min="45" max="45" width="8.88671875" style="4"/>
    <col min="46" max="46" width="8.21875" style="4" customWidth="1"/>
    <col min="47" max="47" width="8.88671875" style="4" bestFit="1"/>
    <col min="48" max="48" width="7.21875" style="4" bestFit="1" customWidth="1"/>
    <col min="49" max="50" width="3.109375" style="4" customWidth="1"/>
    <col min="51" max="51" width="4.88671875" style="4" bestFit="1" customWidth="1"/>
    <col min="52" max="52" width="4.21875" style="4" customWidth="1"/>
    <col min="53" max="55" width="8.88671875" style="4"/>
    <col min="56" max="56" width="4.21875" style="4" customWidth="1"/>
    <col min="57" max="59" width="8.88671875" style="4"/>
    <col min="60" max="60" width="4.109375" style="4" customWidth="1"/>
    <col min="61" max="61" width="10.77734375" style="9" bestFit="1" customWidth="1"/>
    <col min="62" max="62" width="9" style="10" customWidth="1"/>
    <col min="63" max="63" width="9.44140625" style="11" customWidth="1"/>
    <col min="64" max="64" width="4" style="11" customWidth="1"/>
    <col min="65" max="65" width="3.21875" style="4" customWidth="1"/>
    <col min="66" max="66" width="5.44140625" style="4" bestFit="1" customWidth="1"/>
    <col min="67" max="67" width="5.6640625" style="4" customWidth="1"/>
    <col min="68" max="71" width="8.88671875" style="4"/>
    <col min="72" max="72" width="9.5546875" style="6" bestFit="1" customWidth="1"/>
    <col min="73" max="73" width="8.5546875" style="4" customWidth="1"/>
    <col min="74" max="75" width="8.88671875" style="4" bestFit="1" customWidth="1"/>
    <col min="76" max="76" width="7.33203125" style="4" customWidth="1"/>
    <col min="77" max="83" width="0.88671875" style="4" customWidth="1"/>
    <col min="84" max="84" width="5.5546875" style="4" bestFit="1" customWidth="1"/>
    <col min="85" max="85" width="10" style="4" bestFit="1" customWidth="1"/>
    <col min="86" max="86" width="8.88671875" style="4"/>
    <col min="87" max="87" width="10" style="4" bestFit="1" customWidth="1"/>
    <col min="88" max="106" width="8.88671875" style="4"/>
    <col min="107" max="110" width="2.77734375" style="4" customWidth="1"/>
    <col min="111" max="111" width="12.5546875" style="4" customWidth="1"/>
    <col min="112" max="16384" width="8.88671875" style="4"/>
  </cols>
  <sheetData>
    <row r="1" spans="1:111">
      <c r="A1" s="142" t="s">
        <v>204</v>
      </c>
      <c r="B1" s="143"/>
      <c r="C1" s="144"/>
      <c r="D1" s="143"/>
      <c r="E1" s="143"/>
      <c r="AK1" s="591" t="s">
        <v>0</v>
      </c>
      <c r="AL1" s="591"/>
      <c r="AM1" s="591"/>
      <c r="AN1" s="591"/>
      <c r="AO1" s="591"/>
      <c r="AP1" s="591"/>
      <c r="AQ1" s="591"/>
      <c r="AR1" s="591"/>
      <c r="AS1" s="591"/>
      <c r="AT1" s="591"/>
      <c r="AU1" s="591"/>
    </row>
    <row r="2" spans="1:111">
      <c r="A2" s="424" t="s">
        <v>255</v>
      </c>
      <c r="B2" s="23"/>
      <c r="C2" s="141"/>
      <c r="D2" s="23"/>
      <c r="E2" s="23"/>
      <c r="AK2" s="592" t="s">
        <v>244</v>
      </c>
      <c r="AL2" s="592"/>
      <c r="AM2" s="592"/>
      <c r="AN2" s="592"/>
      <c r="AO2" s="592"/>
      <c r="AP2" s="592"/>
      <c r="AQ2" s="592"/>
      <c r="AR2" s="592"/>
      <c r="AS2" s="592"/>
      <c r="AT2" s="592"/>
      <c r="AU2" s="592"/>
      <c r="AV2" s="297"/>
    </row>
    <row r="3" spans="1:111">
      <c r="A3" s="424" t="s">
        <v>256</v>
      </c>
      <c r="B3" s="23"/>
      <c r="C3" s="141"/>
      <c r="D3" s="23"/>
      <c r="E3" s="23"/>
      <c r="AN3" s="7"/>
      <c r="AO3" s="8"/>
      <c r="AP3" s="8"/>
      <c r="AQ3" s="8"/>
      <c r="AR3" s="8"/>
      <c r="AS3" s="8"/>
      <c r="BT3" s="205"/>
    </row>
    <row r="4" spans="1:111">
      <c r="A4" s="145"/>
      <c r="B4" s="23"/>
      <c r="C4" s="141"/>
      <c r="D4" s="23"/>
      <c r="E4" s="23"/>
    </row>
    <row r="5" spans="1:111">
      <c r="A5" s="145"/>
      <c r="B5" s="23"/>
      <c r="C5" s="141"/>
      <c r="D5" s="23"/>
      <c r="E5" s="23"/>
      <c r="AN5" s="256" t="s">
        <v>97</v>
      </c>
      <c r="CF5" s="22" t="s">
        <v>130</v>
      </c>
      <c r="CG5" s="23"/>
      <c r="CI5" s="13" t="s">
        <v>157</v>
      </c>
      <c r="CK5" s="13" t="s">
        <v>157</v>
      </c>
    </row>
    <row r="6" spans="1:111">
      <c r="A6" s="14" t="s">
        <v>129</v>
      </c>
      <c r="C6" s="4"/>
      <c r="F6" s="24"/>
      <c r="G6" s="24"/>
      <c r="AL6" s="29" t="s">
        <v>40</v>
      </c>
      <c r="AM6" s="29" t="s">
        <v>42</v>
      </c>
      <c r="AN6" s="256" t="s">
        <v>4</v>
      </c>
      <c r="AO6" s="29" t="s">
        <v>42</v>
      </c>
      <c r="AP6" s="65" t="s">
        <v>2</v>
      </c>
      <c r="AQ6" s="29" t="s">
        <v>42</v>
      </c>
      <c r="AR6" s="255" t="s">
        <v>40</v>
      </c>
      <c r="AS6" s="29" t="s">
        <v>42</v>
      </c>
      <c r="AT6" s="288" t="s">
        <v>3</v>
      </c>
      <c r="AU6" s="29" t="s">
        <v>42</v>
      </c>
      <c r="CG6" s="29" t="s">
        <v>40</v>
      </c>
      <c r="CI6" s="30" t="s">
        <v>3</v>
      </c>
      <c r="CK6" s="30" t="s">
        <v>3</v>
      </c>
    </row>
    <row r="7" spans="1:111">
      <c r="A7" s="22" t="s">
        <v>1</v>
      </c>
      <c r="B7" s="15"/>
      <c r="C7" s="15" t="s">
        <v>203</v>
      </c>
      <c r="D7" s="4">
        <v>2007</v>
      </c>
      <c r="E7" s="4">
        <v>2008</v>
      </c>
      <c r="F7" s="4">
        <v>2009</v>
      </c>
      <c r="G7" s="355" t="s">
        <v>267</v>
      </c>
      <c r="H7" s="463" t="s">
        <v>287</v>
      </c>
      <c r="I7" s="463" t="s">
        <v>302</v>
      </c>
      <c r="AK7" s="34" t="s">
        <v>8</v>
      </c>
      <c r="AL7" s="281" t="s">
        <v>192</v>
      </c>
      <c r="AM7" s="229" t="s">
        <v>46</v>
      </c>
      <c r="AN7" s="293" t="s">
        <v>192</v>
      </c>
      <c r="AO7" s="229" t="s">
        <v>46</v>
      </c>
      <c r="AP7" s="267" t="s">
        <v>10</v>
      </c>
      <c r="AQ7" s="229" t="s">
        <v>46</v>
      </c>
      <c r="AR7" s="123" t="s">
        <v>38</v>
      </c>
      <c r="AS7" s="229" t="s">
        <v>46</v>
      </c>
      <c r="AT7" s="124" t="s">
        <v>38</v>
      </c>
      <c r="AU7" s="229" t="s">
        <v>46</v>
      </c>
      <c r="CF7" s="34" t="s">
        <v>8</v>
      </c>
      <c r="CG7" s="123" t="s">
        <v>131</v>
      </c>
      <c r="CH7" s="36" t="s">
        <v>42</v>
      </c>
      <c r="CI7" s="124" t="str">
        <f>CG7</f>
        <v>SPASALES</v>
      </c>
      <c r="CJ7" s="36" t="s">
        <v>42</v>
      </c>
      <c r="CK7" s="37" t="s">
        <v>266</v>
      </c>
    </row>
    <row r="8" spans="1:111">
      <c r="A8" s="31" t="s">
        <v>6</v>
      </c>
      <c r="B8" s="38"/>
      <c r="C8" s="38" t="s">
        <v>207</v>
      </c>
      <c r="D8" s="38" t="s">
        <v>206</v>
      </c>
      <c r="E8" s="38" t="s">
        <v>206</v>
      </c>
      <c r="F8" s="38" t="s">
        <v>206</v>
      </c>
      <c r="G8" s="38" t="s">
        <v>206</v>
      </c>
      <c r="H8" s="38" t="s">
        <v>206</v>
      </c>
      <c r="I8" s="38" t="s">
        <v>207</v>
      </c>
      <c r="AK8" s="22">
        <v>1984</v>
      </c>
      <c r="AL8" s="108">
        <f>ROUND(SUM(C17:C28),0)</f>
        <v>1172525</v>
      </c>
      <c r="AM8" s="40"/>
      <c r="AN8" s="50">
        <f>ROUND(SUM(Z17:Z28),0)</f>
        <v>1211844</v>
      </c>
      <c r="AO8" s="40"/>
      <c r="AP8" s="40">
        <v>5813</v>
      </c>
      <c r="AQ8" s="40"/>
      <c r="AR8" s="50">
        <f t="shared" ref="AR8:AR29" si="0">AL8/AP8*1000</f>
        <v>201707.38001032168</v>
      </c>
      <c r="AS8" s="40"/>
      <c r="AT8" s="50">
        <f>ROUND(AN8/AP8*1000,0)</f>
        <v>208471</v>
      </c>
      <c r="AU8" s="40"/>
      <c r="CF8" s="22">
        <v>1984</v>
      </c>
      <c r="DA8" s="593" t="s">
        <v>288</v>
      </c>
      <c r="DB8" s="594"/>
      <c r="DC8" s="594"/>
      <c r="DD8" s="594"/>
      <c r="DE8" s="594"/>
      <c r="DF8" s="594"/>
      <c r="DG8" s="595"/>
    </row>
    <row r="9" spans="1:111">
      <c r="A9" s="268" t="s">
        <v>11</v>
      </c>
      <c r="B9" s="148"/>
      <c r="C9" s="141">
        <v>40.58</v>
      </c>
      <c r="D9" s="52">
        <v>1.242</v>
      </c>
      <c r="E9" s="52">
        <v>1.7749999999999999</v>
      </c>
      <c r="F9" s="52">
        <v>2.4049999999999998</v>
      </c>
      <c r="G9" s="52">
        <v>1.2150000000000001</v>
      </c>
      <c r="H9" s="52">
        <v>2.028</v>
      </c>
      <c r="I9" s="52">
        <v>57.363999999999997</v>
      </c>
      <c r="AK9" s="22">
        <v>1985</v>
      </c>
      <c r="AL9" s="108">
        <f>ROUND(SUM(C29:C40),0)</f>
        <v>1251287</v>
      </c>
      <c r="AM9" s="290">
        <f>AL9/AL8-1</f>
        <v>6.7172981386324437E-2</v>
      </c>
      <c r="AN9" s="50">
        <f>ROUND(SUM(Z29:Z40),0)</f>
        <v>1197808</v>
      </c>
      <c r="AO9" s="290">
        <f>AN9/AN8-1</f>
        <v>-1.1582348883189542E-2</v>
      </c>
      <c r="AP9" s="40">
        <v>6188</v>
      </c>
      <c r="AQ9" s="290">
        <f t="shared" ref="AQ9:AQ29" si="1">AP9/AP8-1</f>
        <v>6.4510579735076456E-2</v>
      </c>
      <c r="AR9" s="50">
        <f t="shared" si="0"/>
        <v>202211.86166774403</v>
      </c>
      <c r="AS9" s="290">
        <f t="shared" ref="AS9:AS29" si="2">AR9/AR8-1</f>
        <v>2.5010570133652266E-3</v>
      </c>
      <c r="AT9" s="50">
        <f t="shared" ref="AT9:AT29" si="3">ROUND(AN9/AP9*1000,0)</f>
        <v>193569</v>
      </c>
      <c r="AU9" s="290">
        <f t="shared" ref="AU9:AU29" si="4">AT9/AT8-1</f>
        <v>-7.1482364453569036E-2</v>
      </c>
      <c r="AV9" s="132"/>
      <c r="CF9" s="22">
        <v>1985</v>
      </c>
      <c r="DA9" s="596" t="s">
        <v>289</v>
      </c>
      <c r="DB9" s="596"/>
      <c r="DC9" s="596"/>
      <c r="DD9" s="596"/>
      <c r="DE9" s="596"/>
      <c r="DF9" s="596"/>
      <c r="DG9" s="596"/>
    </row>
    <row r="10" spans="1:111" ht="15.75">
      <c r="A10" s="14" t="s">
        <v>188</v>
      </c>
      <c r="B10" s="149"/>
      <c r="C10" s="46">
        <v>229.18</v>
      </c>
      <c r="D10" s="58">
        <v>10.744999999999999</v>
      </c>
      <c r="E10" s="58">
        <v>10.874000000000001</v>
      </c>
      <c r="F10" s="58">
        <v>10.9</v>
      </c>
      <c r="G10" s="58">
        <v>8.907</v>
      </c>
      <c r="H10" s="58">
        <v>10.327999999999999</v>
      </c>
      <c r="I10" s="58">
        <v>230.07499999999999</v>
      </c>
      <c r="AK10" s="22">
        <v>1986</v>
      </c>
      <c r="AL10" s="108">
        <f>ROUND(SUM(C41:C52),0)</f>
        <v>1301158</v>
      </c>
      <c r="AM10" s="290">
        <f t="shared" ref="AM10:AO29" si="5">AL10/AL9-1</f>
        <v>3.9855764504865832E-2</v>
      </c>
      <c r="AN10" s="50">
        <f>ROUND(SUM(Z41:Z52),0)</f>
        <v>1261337</v>
      </c>
      <c r="AO10" s="290">
        <f t="shared" si="5"/>
        <v>5.3037715560423804E-2</v>
      </c>
      <c r="AP10" s="40">
        <v>6599</v>
      </c>
      <c r="AQ10" s="290">
        <f t="shared" si="1"/>
        <v>6.641887524240464E-2</v>
      </c>
      <c r="AR10" s="50">
        <f t="shared" si="0"/>
        <v>197175.02651916957</v>
      </c>
      <c r="AS10" s="290">
        <f t="shared" si="2"/>
        <v>-2.4908702719183329E-2</v>
      </c>
      <c r="AT10" s="50">
        <f t="shared" si="3"/>
        <v>191141</v>
      </c>
      <c r="AU10" s="290">
        <f t="shared" si="4"/>
        <v>-1.2543330801936259E-2</v>
      </c>
      <c r="AV10" s="132"/>
      <c r="CF10" s="22">
        <v>1986</v>
      </c>
      <c r="DA10"/>
    </row>
    <row r="11" spans="1:111" ht="15.75">
      <c r="A11" s="23"/>
      <c r="B11" s="149"/>
      <c r="C11" s="23"/>
      <c r="D11" s="14"/>
      <c r="F11" s="14"/>
      <c r="AK11" s="22">
        <v>1987</v>
      </c>
      <c r="AL11" s="108">
        <f>ROUND(SUM(C53:C64),0)</f>
        <v>1335901</v>
      </c>
      <c r="AM11" s="290">
        <f t="shared" si="5"/>
        <v>2.6701599652002361E-2</v>
      </c>
      <c r="AN11" s="50">
        <f>ROUND(SUM(Z53:Z64),0)</f>
        <v>1353081</v>
      </c>
      <c r="AO11" s="290">
        <f t="shared" si="5"/>
        <v>7.273551794643307E-2</v>
      </c>
      <c r="AP11" s="40">
        <v>7096</v>
      </c>
      <c r="AQ11" s="290">
        <f t="shared" si="1"/>
        <v>7.5314441582057912E-2</v>
      </c>
      <c r="AR11" s="50">
        <f t="shared" si="0"/>
        <v>188261.13303269449</v>
      </c>
      <c r="AS11" s="290">
        <f t="shared" si="2"/>
        <v>-4.5208024788111034E-2</v>
      </c>
      <c r="AT11" s="50">
        <f t="shared" si="3"/>
        <v>190682</v>
      </c>
      <c r="AU11" s="290">
        <f t="shared" si="4"/>
        <v>-2.4013686231629805E-3</v>
      </c>
      <c r="AV11" s="132"/>
      <c r="CF11" s="22">
        <v>1987</v>
      </c>
      <c r="DA11"/>
    </row>
    <row r="12" spans="1:111" ht="15.75">
      <c r="A12" s="23"/>
      <c r="B12" s="23"/>
      <c r="C12" s="141"/>
      <c r="D12" s="148"/>
      <c r="E12" s="23"/>
      <c r="J12" s="374" t="s">
        <v>251</v>
      </c>
      <c r="K12" s="13"/>
      <c r="L12" s="13"/>
      <c r="M12" s="13"/>
      <c r="N12" s="13" t="str">
        <f>J12</f>
        <v>20Yr Normal</v>
      </c>
      <c r="O12" s="13"/>
      <c r="AB12" s="507" t="s">
        <v>305</v>
      </c>
      <c r="AK12" s="22">
        <v>1988</v>
      </c>
      <c r="AL12" s="108">
        <f>ROUND(SUM(C65:C76),0)</f>
        <v>1447421</v>
      </c>
      <c r="AM12" s="290">
        <f t="shared" si="5"/>
        <v>8.3479239853851528E-2</v>
      </c>
      <c r="AN12" s="50">
        <f>ROUND(SUM(Z65:Z76),0)</f>
        <v>1472255</v>
      </c>
      <c r="AO12" s="290">
        <f t="shared" si="5"/>
        <v>8.8076027968761572E-2</v>
      </c>
      <c r="AP12" s="40">
        <v>7636</v>
      </c>
      <c r="AQ12" s="290">
        <f t="shared" si="1"/>
        <v>7.6099210822998975E-2</v>
      </c>
      <c r="AR12" s="50">
        <f t="shared" si="0"/>
        <v>189552.25248821374</v>
      </c>
      <c r="AS12" s="290">
        <f t="shared" si="2"/>
        <v>6.8581306970836309E-3</v>
      </c>
      <c r="AT12" s="50">
        <f t="shared" si="3"/>
        <v>192804</v>
      </c>
      <c r="AU12" s="290">
        <f t="shared" si="4"/>
        <v>1.1128475682025574E-2</v>
      </c>
      <c r="AV12" s="132"/>
      <c r="CF12" s="22">
        <v>1988</v>
      </c>
      <c r="DA12"/>
    </row>
    <row r="13" spans="1:111" ht="15.75">
      <c r="A13" s="125"/>
      <c r="B13" s="23"/>
      <c r="C13" s="141"/>
      <c r="D13" s="23"/>
      <c r="E13" s="23"/>
      <c r="J13" s="374" t="s">
        <v>252</v>
      </c>
      <c r="K13" s="13"/>
      <c r="L13" s="13"/>
      <c r="M13" s="13"/>
      <c r="N13" s="13" t="str">
        <f>J13</f>
        <v>1989-2008</v>
      </c>
      <c r="O13" s="13"/>
      <c r="Y13" s="146"/>
      <c r="Z13" s="171" t="s">
        <v>12</v>
      </c>
      <c r="AA13" s="146"/>
      <c r="AB13" s="491" t="s">
        <v>304</v>
      </c>
      <c r="AC13" s="146"/>
      <c r="AD13" s="146"/>
      <c r="AI13" s="15"/>
      <c r="AK13" s="22">
        <v>1989</v>
      </c>
      <c r="AL13" s="108">
        <f>ROUND(SUM(C77:C88),0)</f>
        <v>1560818</v>
      </c>
      <c r="AM13" s="290">
        <f t="shared" si="5"/>
        <v>7.8344172151709746E-2</v>
      </c>
      <c r="AN13" s="50">
        <f>ROUND(SUM(Z77:Z88),0)</f>
        <v>1513188</v>
      </c>
      <c r="AO13" s="290">
        <f t="shared" si="5"/>
        <v>2.7802928161221985E-2</v>
      </c>
      <c r="AP13" s="40">
        <v>8108</v>
      </c>
      <c r="AQ13" s="290">
        <f t="shared" si="1"/>
        <v>6.1812467260345727E-2</v>
      </c>
      <c r="AR13" s="50">
        <f t="shared" si="0"/>
        <v>192503.45337937839</v>
      </c>
      <c r="AS13" s="290">
        <f t="shared" si="2"/>
        <v>1.5569326412241624E-2</v>
      </c>
      <c r="AT13" s="50">
        <f t="shared" si="3"/>
        <v>186629</v>
      </c>
      <c r="AU13" s="290">
        <f t="shared" si="4"/>
        <v>-3.2027343831040889E-2</v>
      </c>
      <c r="AV13" s="132"/>
      <c r="CF13" s="51">
        <v>1989</v>
      </c>
      <c r="DA13"/>
      <c r="DB13" s="170" t="s">
        <v>4</v>
      </c>
      <c r="DC13" s="170"/>
      <c r="DD13" s="171"/>
      <c r="DE13" s="171"/>
    </row>
    <row r="14" spans="1:111" ht="13.5" thickBot="1">
      <c r="C14" s="52" t="s">
        <v>12</v>
      </c>
      <c r="D14" s="52" t="s">
        <v>12</v>
      </c>
      <c r="I14" s="14" t="s">
        <v>187</v>
      </c>
      <c r="L14" s="13"/>
      <c r="Q14" s="356" t="s">
        <v>5</v>
      </c>
      <c r="R14" s="356" t="s">
        <v>5</v>
      </c>
      <c r="S14" s="324" t="s">
        <v>2</v>
      </c>
      <c r="W14" s="57"/>
      <c r="X14" s="45" t="s">
        <v>98</v>
      </c>
      <c r="Y14" s="57"/>
      <c r="Z14" s="171" t="s">
        <v>15</v>
      </c>
      <c r="AA14" s="45" t="s">
        <v>67</v>
      </c>
      <c r="AB14" s="508" t="s">
        <v>303</v>
      </c>
      <c r="AC14" s="57"/>
      <c r="AD14" s="57"/>
      <c r="AE14" s="4" t="s">
        <v>13</v>
      </c>
      <c r="AF14" s="13" t="s">
        <v>14</v>
      </c>
      <c r="AG14" s="13" t="s">
        <v>14</v>
      </c>
      <c r="AI14" s="294"/>
      <c r="AK14" s="22">
        <v>1990</v>
      </c>
      <c r="AL14" s="108">
        <f>ROUND(SUM(C89:C100),0)</f>
        <v>1657576</v>
      </c>
      <c r="AM14" s="290">
        <f t="shared" si="5"/>
        <v>6.1991852989906615E-2</v>
      </c>
      <c r="AN14" s="50">
        <f>ROUND(SUM(Z89:Z100),0)</f>
        <v>1622560</v>
      </c>
      <c r="AO14" s="290">
        <f t="shared" si="5"/>
        <v>7.2279188045371701E-2</v>
      </c>
      <c r="AP14" s="40">
        <v>8711</v>
      </c>
      <c r="AQ14" s="290">
        <f t="shared" si="1"/>
        <v>7.4370991613221582E-2</v>
      </c>
      <c r="AR14" s="50">
        <f t="shared" si="0"/>
        <v>190285.38629319251</v>
      </c>
      <c r="AS14" s="290">
        <f t="shared" si="2"/>
        <v>-1.1522219717350235E-2</v>
      </c>
      <c r="AT14" s="50">
        <f t="shared" si="3"/>
        <v>186266</v>
      </c>
      <c r="AU14" s="290">
        <f t="shared" si="4"/>
        <v>-1.9450353374876883E-3</v>
      </c>
      <c r="AV14" s="132"/>
      <c r="BA14" s="53" t="s">
        <v>16</v>
      </c>
      <c r="BB14" s="54"/>
      <c r="BC14" s="55"/>
      <c r="BE14" s="59" t="str">
        <f>BA14</f>
        <v>Calendar Month</v>
      </c>
      <c r="BF14" s="54"/>
      <c r="BG14" s="55"/>
      <c r="BI14" s="60" t="str">
        <f>BE14</f>
        <v>Calendar Month</v>
      </c>
      <c r="BJ14" s="61"/>
      <c r="BK14" s="62"/>
      <c r="BL14" s="282"/>
      <c r="BP14" s="15" t="s">
        <v>12</v>
      </c>
      <c r="BQ14" s="63" t="s">
        <v>12</v>
      </c>
      <c r="BR14" s="64" t="s">
        <v>17</v>
      </c>
      <c r="BS14" s="64"/>
      <c r="BT14" s="171" t="s">
        <v>17</v>
      </c>
      <c r="BU14" s="64"/>
      <c r="BV14" s="13" t="s">
        <v>2</v>
      </c>
      <c r="CF14" s="22">
        <v>1990</v>
      </c>
      <c r="DB14" s="170" t="s">
        <v>2</v>
      </c>
      <c r="DC14" s="463"/>
      <c r="DD14" s="205"/>
      <c r="DE14" s="171"/>
      <c r="DF14" s="374"/>
      <c r="DG14" s="463" t="s">
        <v>301</v>
      </c>
    </row>
    <row r="15" spans="1:111">
      <c r="C15" s="52" t="s">
        <v>4</v>
      </c>
      <c r="D15" s="52" t="s">
        <v>4</v>
      </c>
      <c r="F15" s="582" t="s">
        <v>328</v>
      </c>
      <c r="H15" s="13" t="s">
        <v>18</v>
      </c>
      <c r="I15" s="13" t="s">
        <v>12</v>
      </c>
      <c r="J15" s="13" t="s">
        <v>19</v>
      </c>
      <c r="L15" s="13" t="s">
        <v>18</v>
      </c>
      <c r="M15" s="15" t="s">
        <v>20</v>
      </c>
      <c r="N15" s="15" t="s">
        <v>21</v>
      </c>
      <c r="P15" s="13" t="s">
        <v>18</v>
      </c>
      <c r="Q15" s="24" t="s">
        <v>102</v>
      </c>
      <c r="R15" s="13" t="s">
        <v>22</v>
      </c>
      <c r="S15" s="65" t="s">
        <v>12</v>
      </c>
      <c r="T15" s="13" t="s">
        <v>18</v>
      </c>
      <c r="W15" s="52" t="s">
        <v>3</v>
      </c>
      <c r="X15" s="15" t="s">
        <v>51</v>
      </c>
      <c r="Z15" s="171" t="s">
        <v>25</v>
      </c>
      <c r="AA15" s="13" t="s">
        <v>71</v>
      </c>
      <c r="AB15" s="508" t="s">
        <v>4</v>
      </c>
      <c r="AC15" s="15"/>
      <c r="AD15" s="15"/>
      <c r="AE15" s="4" t="s">
        <v>24</v>
      </c>
      <c r="AF15" s="4" t="s">
        <v>3</v>
      </c>
      <c r="AG15" s="4" t="s">
        <v>3</v>
      </c>
      <c r="AH15" s="13" t="s">
        <v>96</v>
      </c>
      <c r="AI15" s="15"/>
      <c r="AK15" s="22">
        <v>1991</v>
      </c>
      <c r="AL15" s="108">
        <f>ROUND(SUM(C101:C112),0)</f>
        <v>1739996</v>
      </c>
      <c r="AM15" s="290">
        <f t="shared" si="5"/>
        <v>4.9723210278141083E-2</v>
      </c>
      <c r="AN15" s="50">
        <f>ROUND(SUM(Z101:Z112),0)</f>
        <v>1696305</v>
      </c>
      <c r="AO15" s="290">
        <f t="shared" si="5"/>
        <v>4.5449783058870041E-2</v>
      </c>
      <c r="AP15" s="40">
        <v>9194</v>
      </c>
      <c r="AQ15" s="290">
        <f t="shared" si="1"/>
        <v>5.5447135805303693E-2</v>
      </c>
      <c r="AR15" s="50">
        <f t="shared" si="0"/>
        <v>189253.42614748748</v>
      </c>
      <c r="AS15" s="290">
        <f t="shared" si="2"/>
        <v>-5.4232233268559638E-3</v>
      </c>
      <c r="AT15" s="50">
        <f t="shared" si="3"/>
        <v>184501</v>
      </c>
      <c r="AU15" s="290">
        <f t="shared" si="4"/>
        <v>-9.4756960475879115E-3</v>
      </c>
      <c r="AV15" s="132"/>
      <c r="BA15" s="13" t="s">
        <v>12</v>
      </c>
      <c r="BB15" s="13" t="s">
        <v>19</v>
      </c>
      <c r="BD15" s="13" t="s">
        <v>18</v>
      </c>
      <c r="BE15" s="15" t="s">
        <v>20</v>
      </c>
      <c r="BF15" s="15" t="s">
        <v>21</v>
      </c>
      <c r="BH15" s="13" t="s">
        <v>18</v>
      </c>
      <c r="BI15" s="126" t="s">
        <v>101</v>
      </c>
      <c r="BJ15" s="127" t="s">
        <v>27</v>
      </c>
      <c r="BK15" s="278" t="s">
        <v>167</v>
      </c>
      <c r="BL15" s="278"/>
      <c r="BM15" s="13" t="s">
        <v>18</v>
      </c>
      <c r="BP15" s="15" t="s">
        <v>28</v>
      </c>
      <c r="BQ15" s="63" t="s">
        <v>28</v>
      </c>
      <c r="BR15" s="63" t="s">
        <v>28</v>
      </c>
      <c r="BS15" s="63"/>
      <c r="BT15" s="283" t="s">
        <v>28</v>
      </c>
      <c r="BU15" s="63"/>
      <c r="BV15" s="4" t="s">
        <v>39</v>
      </c>
      <c r="BW15" s="374" t="s">
        <v>311</v>
      </c>
      <c r="CF15" s="22">
        <v>1991</v>
      </c>
      <c r="DA15" s="505" t="s">
        <v>290</v>
      </c>
      <c r="DB15" s="170" t="s">
        <v>5</v>
      </c>
      <c r="DC15" s="170"/>
      <c r="DD15" s="171"/>
      <c r="DE15" s="205"/>
      <c r="DF15" s="356"/>
      <c r="DG15" s="170" t="s">
        <v>298</v>
      </c>
    </row>
    <row r="16" spans="1:111" ht="13.5" thickBot="1">
      <c r="A16" s="31" t="s">
        <v>8</v>
      </c>
      <c r="B16" s="31" t="s">
        <v>29</v>
      </c>
      <c r="C16" s="67" t="s">
        <v>30</v>
      </c>
      <c r="D16" s="66" t="s">
        <v>31</v>
      </c>
      <c r="E16" s="66" t="s">
        <v>32</v>
      </c>
      <c r="F16" s="585" t="s">
        <v>332</v>
      </c>
      <c r="H16" s="36" t="s">
        <v>18</v>
      </c>
      <c r="I16" s="129" t="s">
        <v>253</v>
      </c>
      <c r="J16" s="129" t="s">
        <v>253</v>
      </c>
      <c r="K16" s="31" t="s">
        <v>33</v>
      </c>
      <c r="L16" s="36" t="s">
        <v>18</v>
      </c>
      <c r="M16" s="38" t="s">
        <v>254</v>
      </c>
      <c r="N16" s="38" t="s">
        <v>254</v>
      </c>
      <c r="O16" s="31" t="s">
        <v>33</v>
      </c>
      <c r="P16" s="36" t="s">
        <v>18</v>
      </c>
      <c r="Q16" s="31" t="s">
        <v>35</v>
      </c>
      <c r="R16" s="31" t="s">
        <v>35</v>
      </c>
      <c r="S16" s="267" t="s">
        <v>35</v>
      </c>
      <c r="T16" s="36" t="s">
        <v>18</v>
      </c>
      <c r="U16" s="31" t="s">
        <v>8</v>
      </c>
      <c r="V16" s="31" t="s">
        <v>29</v>
      </c>
      <c r="W16" s="150" t="s">
        <v>32</v>
      </c>
      <c r="X16" s="38" t="s">
        <v>54</v>
      </c>
      <c r="Z16" s="357" t="s">
        <v>2</v>
      </c>
      <c r="AA16" s="31" t="s">
        <v>74</v>
      </c>
      <c r="AB16" s="513" t="s">
        <v>37</v>
      </c>
      <c r="AC16" s="31" t="s">
        <v>8</v>
      </c>
      <c r="AD16" s="31" t="s">
        <v>29</v>
      </c>
      <c r="AE16" s="69" t="s">
        <v>36</v>
      </c>
      <c r="AF16" s="151" t="s">
        <v>32</v>
      </c>
      <c r="AG16" s="152" t="s">
        <v>99</v>
      </c>
      <c r="AH16" s="24" t="s">
        <v>209</v>
      </c>
      <c r="AI16" s="31"/>
      <c r="AK16" s="22">
        <v>1992</v>
      </c>
      <c r="AL16" s="108">
        <f>ROUND(SUM(C113:C124),0)</f>
        <v>1765431</v>
      </c>
      <c r="AM16" s="290">
        <f t="shared" si="5"/>
        <v>1.4617849696206164E-2</v>
      </c>
      <c r="AN16" s="50">
        <f>ROUND(SUM(Z113:Z124),0)</f>
        <v>1800289</v>
      </c>
      <c r="AO16" s="290">
        <f t="shared" si="5"/>
        <v>6.1300296821621192E-2</v>
      </c>
      <c r="AP16" s="40">
        <v>9835</v>
      </c>
      <c r="AQ16" s="290">
        <f t="shared" si="1"/>
        <v>6.971938220578644E-2</v>
      </c>
      <c r="AR16" s="50">
        <f t="shared" si="0"/>
        <v>179504.9313675648</v>
      </c>
      <c r="AS16" s="290">
        <f t="shared" si="2"/>
        <v>-5.1510268418208494E-2</v>
      </c>
      <c r="AT16" s="50">
        <f t="shared" si="3"/>
        <v>183049</v>
      </c>
      <c r="AU16" s="290">
        <f t="shared" si="4"/>
        <v>-7.8698760440323312E-3</v>
      </c>
      <c r="AV16" s="132"/>
      <c r="AY16" s="31" t="s">
        <v>8</v>
      </c>
      <c r="AZ16" s="31" t="s">
        <v>29</v>
      </c>
      <c r="BA16" s="129" t="s">
        <v>26</v>
      </c>
      <c r="BB16" s="129" t="s">
        <v>26</v>
      </c>
      <c r="BC16" s="68" t="s">
        <v>33</v>
      </c>
      <c r="BD16" s="36" t="s">
        <v>18</v>
      </c>
      <c r="BE16" s="31" t="s">
        <v>34</v>
      </c>
      <c r="BF16" s="31" t="s">
        <v>34</v>
      </c>
      <c r="BG16" s="67" t="s">
        <v>33</v>
      </c>
      <c r="BH16" s="36" t="s">
        <v>18</v>
      </c>
      <c r="BI16" s="70" t="s">
        <v>35</v>
      </c>
      <c r="BJ16" s="71" t="s">
        <v>35</v>
      </c>
      <c r="BK16" s="279" t="s">
        <v>35</v>
      </c>
      <c r="BL16" s="279"/>
      <c r="BM16" s="36" t="s">
        <v>18</v>
      </c>
      <c r="BN16" s="31" t="s">
        <v>8</v>
      </c>
      <c r="BO16" s="31" t="s">
        <v>29</v>
      </c>
      <c r="BP16" s="38" t="s">
        <v>37</v>
      </c>
      <c r="BQ16" s="72" t="s">
        <v>38</v>
      </c>
      <c r="BR16" s="72" t="s">
        <v>38</v>
      </c>
      <c r="BS16" s="264" t="s">
        <v>186</v>
      </c>
      <c r="BT16" s="238" t="s">
        <v>37</v>
      </c>
      <c r="BU16" s="264" t="s">
        <v>186</v>
      </c>
      <c r="BV16" s="543" t="s">
        <v>40</v>
      </c>
      <c r="BW16" s="229" t="s">
        <v>310</v>
      </c>
      <c r="CF16" s="22">
        <v>1992</v>
      </c>
      <c r="DA16" s="493" t="s">
        <v>291</v>
      </c>
      <c r="DB16" s="185" t="s">
        <v>296</v>
      </c>
      <c r="DC16" s="185"/>
      <c r="DD16" s="202"/>
      <c r="DE16" s="202"/>
      <c r="DF16" s="36"/>
      <c r="DG16" s="185" t="s">
        <v>296</v>
      </c>
    </row>
    <row r="17" spans="1:89">
      <c r="A17" s="4">
        <v>1984</v>
      </c>
      <c r="B17" s="4">
        <v>1</v>
      </c>
      <c r="C17" s="5">
        <v>86319</v>
      </c>
      <c r="D17" s="5">
        <v>5656</v>
      </c>
      <c r="E17" s="73">
        <f t="shared" ref="E17:E80" si="6">ROUND(C17/D17*1000,0)</f>
        <v>15261</v>
      </c>
      <c r="F17" s="540">
        <f t="shared" ref="F17:F81" si="7">D17</f>
        <v>5656</v>
      </c>
      <c r="H17" s="13" t="s">
        <v>18</v>
      </c>
      <c r="I17" s="76">
        <f>'[7]Gov 65 &amp; 70'!$S102</f>
        <v>16.899999999999999</v>
      </c>
      <c r="J17" s="423">
        <f>[7]Gov20Yr!$T6</f>
        <v>28.7</v>
      </c>
      <c r="K17" s="362">
        <f t="shared" ref="K17:K48" si="8">(J17-I17)</f>
        <v>11.8</v>
      </c>
      <c r="L17" s="200" t="s">
        <v>18</v>
      </c>
      <c r="M17" s="76">
        <f>'[7]Gov 65 &amp; 70'!$J102</f>
        <v>308.7</v>
      </c>
      <c r="N17" s="423">
        <f>[7]Gov20Yr!$S6</f>
        <v>192.9</v>
      </c>
      <c r="O17" s="363">
        <f t="shared" ref="O17:O48" si="9">(N17-M17)</f>
        <v>-115.79999999999998</v>
      </c>
      <c r="P17" s="13" t="s">
        <v>18</v>
      </c>
      <c r="Q17" s="77">
        <f>K17*$C$10</f>
        <v>2704.3240000000001</v>
      </c>
      <c r="R17" s="78">
        <f>O17*$C$9</f>
        <v>-4699.1639999999989</v>
      </c>
      <c r="S17" s="479">
        <f>ROUND((R17+Q17),0)</f>
        <v>-1995</v>
      </c>
      <c r="T17" s="13" t="s">
        <v>18</v>
      </c>
      <c r="U17" s="4">
        <v>1984</v>
      </c>
      <c r="V17" s="4">
        <v>1</v>
      </c>
      <c r="W17" s="153">
        <f>Z17/D17*1000</f>
        <v>14908.769448373409</v>
      </c>
      <c r="X17" s="153"/>
      <c r="Y17" s="80"/>
      <c r="Z17" s="244">
        <f>S17+C17</f>
        <v>84324</v>
      </c>
      <c r="AA17" s="119">
        <f t="shared" ref="AA17:AA80" si="10">Z17-C17</f>
        <v>-1995</v>
      </c>
      <c r="AB17" s="244">
        <f>Z17</f>
        <v>84324</v>
      </c>
      <c r="AC17" s="4">
        <v>1984</v>
      </c>
      <c r="AD17" s="4">
        <v>1</v>
      </c>
      <c r="AE17" s="107">
        <f>RESID!AC17</f>
        <v>31.95</v>
      </c>
      <c r="AF17" s="40">
        <f>AG17/D17*1000</f>
        <v>14194.837340876944</v>
      </c>
      <c r="AG17" s="4">
        <f>ROUND(Z17/(AE17/30.42),0)</f>
        <v>80286</v>
      </c>
      <c r="AI17" s="80"/>
      <c r="AK17" s="22">
        <v>1993</v>
      </c>
      <c r="AL17" s="108">
        <f>ROUND(SUM(C125:C136),0)</f>
        <v>1864833</v>
      </c>
      <c r="AM17" s="290">
        <f t="shared" si="5"/>
        <v>5.6304664413392436E-2</v>
      </c>
      <c r="AN17" s="50">
        <f>ROUND(SUM(Z125:Z136),0)</f>
        <v>1889481</v>
      </c>
      <c r="AO17" s="290">
        <f t="shared" si="5"/>
        <v>4.9543156682066103E-2</v>
      </c>
      <c r="AP17" s="40">
        <v>12667</v>
      </c>
      <c r="AQ17" s="290">
        <f t="shared" si="1"/>
        <v>0.28795119471276065</v>
      </c>
      <c r="AR17" s="50">
        <f t="shared" si="0"/>
        <v>147219.78368990289</v>
      </c>
      <c r="AS17" s="290">
        <f t="shared" si="2"/>
        <v>-0.17985660578623852</v>
      </c>
      <c r="AT17" s="50">
        <f t="shared" si="3"/>
        <v>149166</v>
      </c>
      <c r="AU17" s="290">
        <f t="shared" si="4"/>
        <v>-0.18510344224770414</v>
      </c>
      <c r="AV17" s="132"/>
      <c r="AY17" s="4">
        <v>1984</v>
      </c>
      <c r="AZ17" s="4">
        <v>1</v>
      </c>
      <c r="BA17" s="4">
        <f>'[8]Gov 65 &amp; 70'!$S102</f>
        <v>17.899999999999999</v>
      </c>
      <c r="BB17" s="4">
        <f>[8]Gov20Yr!$T6</f>
        <v>23.9</v>
      </c>
      <c r="BC17" s="44">
        <f>(BB17-BA17)</f>
        <v>6</v>
      </c>
      <c r="BD17" s="13" t="s">
        <v>18</v>
      </c>
      <c r="BE17" s="4">
        <f>'[8]Gov 65 &amp; 70'!$J102</f>
        <v>279.3</v>
      </c>
      <c r="BF17" s="76">
        <f>[8]Gov20Yr!$S6</f>
        <v>176.9</v>
      </c>
      <c r="BG17" s="41">
        <f>(BF17-BE17)</f>
        <v>-102.4</v>
      </c>
      <c r="BH17" s="36" t="s">
        <v>18</v>
      </c>
      <c r="BI17" s="271">
        <f>$C$10*BC17</f>
        <v>1375.08</v>
      </c>
      <c r="BJ17" s="272">
        <f>$C$9*BG17</f>
        <v>-4155.3919999999998</v>
      </c>
      <c r="BK17" s="481">
        <f>ROUND(BJ17+BI17,0)</f>
        <v>-2780</v>
      </c>
      <c r="BL17" s="269"/>
      <c r="BM17" s="36" t="s">
        <v>18</v>
      </c>
      <c r="BN17" s="4">
        <v>1984</v>
      </c>
      <c r="BO17" s="4">
        <v>1</v>
      </c>
      <c r="CF17" s="22">
        <v>1993</v>
      </c>
    </row>
    <row r="18" spans="1:89">
      <c r="A18" s="4">
        <v>1984</v>
      </c>
      <c r="B18" s="4">
        <v>2</v>
      </c>
      <c r="C18" s="5">
        <v>88783</v>
      </c>
      <c r="D18" s="5">
        <v>5681</v>
      </c>
      <c r="E18" s="73">
        <f t="shared" si="6"/>
        <v>15628</v>
      </c>
      <c r="F18" s="540">
        <f t="shared" si="7"/>
        <v>5681</v>
      </c>
      <c r="H18" s="13" t="s">
        <v>18</v>
      </c>
      <c r="I18" s="76">
        <f>'[7]Gov 65 &amp; 70'!$S103</f>
        <v>21.1</v>
      </c>
      <c r="J18" s="423">
        <f>[7]Gov20Yr!$T7</f>
        <v>22.6</v>
      </c>
      <c r="K18" s="362">
        <f t="shared" si="8"/>
        <v>1.5</v>
      </c>
      <c r="L18" s="200" t="s">
        <v>18</v>
      </c>
      <c r="M18" s="76">
        <f>'[7]Gov 65 &amp; 70'!$J103</f>
        <v>232.8</v>
      </c>
      <c r="N18" s="423">
        <f>[7]Gov20Yr!$S7</f>
        <v>177.2</v>
      </c>
      <c r="O18" s="363">
        <f t="shared" si="9"/>
        <v>-55.600000000000023</v>
      </c>
      <c r="P18" s="13" t="s">
        <v>18</v>
      </c>
      <c r="Q18" s="77">
        <f t="shared" ref="Q18:Q81" si="11">K18*$C$10</f>
        <v>343.77</v>
      </c>
      <c r="R18" s="78">
        <f t="shared" ref="R18:R81" si="12">O18*$C$9</f>
        <v>-2256.248000000001</v>
      </c>
      <c r="S18" s="479">
        <f t="shared" ref="S18:S81" si="13">ROUND((R18+Q18),0)</f>
        <v>-1912</v>
      </c>
      <c r="T18" s="13" t="s">
        <v>18</v>
      </c>
      <c r="U18" s="4">
        <v>1984</v>
      </c>
      <c r="V18" s="4">
        <v>2</v>
      </c>
      <c r="W18" s="153">
        <f t="shared" ref="W18:W81" si="14">Z18/D18*1000</f>
        <v>15291.497975708502</v>
      </c>
      <c r="X18" s="153"/>
      <c r="Y18" s="80"/>
      <c r="Z18" s="98">
        <f t="shared" ref="Z18:Z81" si="15">S18+C18</f>
        <v>86871</v>
      </c>
      <c r="AA18" s="119">
        <f t="shared" si="10"/>
        <v>-1912</v>
      </c>
      <c r="AB18" s="98">
        <f t="shared" ref="AB18:AB81" si="16">Z18</f>
        <v>86871</v>
      </c>
      <c r="AC18" s="4">
        <v>1984</v>
      </c>
      <c r="AD18" s="4">
        <v>2</v>
      </c>
      <c r="AE18" s="107">
        <f>RESID!AC18</f>
        <v>29.65</v>
      </c>
      <c r="AF18" s="40">
        <f t="shared" ref="AF18:AF81" si="17">AG18/D18*1000</f>
        <v>15688.61116000704</v>
      </c>
      <c r="AG18" s="4">
        <f t="shared" ref="AG18:AG81" si="18">ROUND(Z18/(AE18/30.42),0)</f>
        <v>89127</v>
      </c>
      <c r="AI18" s="80"/>
      <c r="AK18" s="51">
        <v>1994</v>
      </c>
      <c r="AL18" s="50">
        <f>ROUND(SUM(C137:C148),0)</f>
        <v>1953837</v>
      </c>
      <c r="AM18" s="290">
        <f t="shared" si="5"/>
        <v>4.7727598128089799E-2</v>
      </c>
      <c r="AN18" s="50">
        <f>ROUND(SUM(Z137:Z148),0)</f>
        <v>1963106</v>
      </c>
      <c r="AO18" s="290">
        <f t="shared" si="5"/>
        <v>3.8965726567242509E-2</v>
      </c>
      <c r="AP18" s="40">
        <v>14745</v>
      </c>
      <c r="AQ18" s="290">
        <f t="shared" si="1"/>
        <v>0.16404831451803892</v>
      </c>
      <c r="AR18" s="50">
        <f t="shared" si="0"/>
        <v>132508.44354018313</v>
      </c>
      <c r="AS18" s="290">
        <f t="shared" si="2"/>
        <v>-9.9927739200507681E-2</v>
      </c>
      <c r="AT18" s="50">
        <f t="shared" si="3"/>
        <v>133137</v>
      </c>
      <c r="AU18" s="290">
        <f t="shared" si="4"/>
        <v>-0.10745746349704355</v>
      </c>
      <c r="AV18" s="132"/>
      <c r="AY18" s="4">
        <v>1984</v>
      </c>
      <c r="AZ18" s="4">
        <v>2</v>
      </c>
      <c r="BA18" s="4">
        <f>'[8]Gov 65 &amp; 70'!$S103</f>
        <v>21.9</v>
      </c>
      <c r="BB18" s="4">
        <f>[8]Gov20Yr!$T7</f>
        <v>32.799999999999997</v>
      </c>
      <c r="BC18" s="82">
        <f t="shared" ref="BC18:BC81" si="19">BB18-BA18</f>
        <v>10.899999999999999</v>
      </c>
      <c r="BD18" s="36" t="s">
        <v>18</v>
      </c>
      <c r="BE18" s="4">
        <f>'[8]Gov 65 &amp; 70'!$J103</f>
        <v>178.2</v>
      </c>
      <c r="BF18" s="76">
        <f>[8]Gov20Yr!$S7</f>
        <v>139.1</v>
      </c>
      <c r="BG18" s="83">
        <f t="shared" ref="BG18:BG81" si="20">BF18-BE18</f>
        <v>-39.099999999999994</v>
      </c>
      <c r="BH18" s="36" t="s">
        <v>18</v>
      </c>
      <c r="BI18" s="273">
        <f t="shared" ref="BI18:BI81" si="21">$C$10*BC18</f>
        <v>2498.0619999999999</v>
      </c>
      <c r="BJ18" s="270">
        <f t="shared" ref="BJ18:BJ81" si="22">$C$9*BG18</f>
        <v>-1586.6779999999997</v>
      </c>
      <c r="BK18" s="482">
        <f t="shared" ref="BK18:BK81" si="23">ROUND(BJ18+BI18,0)</f>
        <v>911</v>
      </c>
      <c r="BL18" s="276"/>
      <c r="BM18" s="36" t="s">
        <v>18</v>
      </c>
      <c r="BN18" s="4">
        <v>1984</v>
      </c>
      <c r="BO18" s="4">
        <v>2</v>
      </c>
      <c r="CF18" s="51">
        <v>1994</v>
      </c>
    </row>
    <row r="19" spans="1:89">
      <c r="A19" s="4">
        <v>1984</v>
      </c>
      <c r="B19" s="4">
        <v>3</v>
      </c>
      <c r="C19" s="5">
        <v>86657</v>
      </c>
      <c r="D19" s="5">
        <v>5723</v>
      </c>
      <c r="E19" s="73">
        <f t="shared" si="6"/>
        <v>15142</v>
      </c>
      <c r="F19" s="540">
        <f t="shared" si="7"/>
        <v>5723</v>
      </c>
      <c r="H19" s="13" t="s">
        <v>18</v>
      </c>
      <c r="I19" s="76">
        <f>'[7]Gov 65 &amp; 70'!$S104</f>
        <v>31.5</v>
      </c>
      <c r="J19" s="423">
        <f>[7]Gov20Yr!$T8</f>
        <v>44.5</v>
      </c>
      <c r="K19" s="362">
        <f t="shared" si="8"/>
        <v>13</v>
      </c>
      <c r="L19" s="200" t="s">
        <v>18</v>
      </c>
      <c r="M19" s="76">
        <f>'[7]Gov 65 &amp; 70'!$J104</f>
        <v>161.80000000000001</v>
      </c>
      <c r="N19" s="423">
        <f>[7]Gov20Yr!$S8</f>
        <v>119.5</v>
      </c>
      <c r="O19" s="363">
        <f t="shared" si="9"/>
        <v>-42.300000000000011</v>
      </c>
      <c r="P19" s="13" t="s">
        <v>18</v>
      </c>
      <c r="Q19" s="77">
        <f t="shared" si="11"/>
        <v>2979.34</v>
      </c>
      <c r="R19" s="78">
        <f t="shared" si="12"/>
        <v>-1716.5340000000003</v>
      </c>
      <c r="S19" s="479">
        <f t="shared" si="13"/>
        <v>1263</v>
      </c>
      <c r="T19" s="13" t="s">
        <v>18</v>
      </c>
      <c r="U19" s="4">
        <v>1984</v>
      </c>
      <c r="V19" s="4">
        <v>3</v>
      </c>
      <c r="W19" s="153">
        <f t="shared" si="14"/>
        <v>15362.572077581688</v>
      </c>
      <c r="X19" s="153"/>
      <c r="Y19" s="80"/>
      <c r="Z19" s="98">
        <f t="shared" si="15"/>
        <v>87920</v>
      </c>
      <c r="AA19" s="119">
        <f t="shared" si="10"/>
        <v>1263</v>
      </c>
      <c r="AB19" s="98">
        <f t="shared" si="16"/>
        <v>87920</v>
      </c>
      <c r="AC19" s="4">
        <v>1984</v>
      </c>
      <c r="AD19" s="4">
        <v>3</v>
      </c>
      <c r="AE19" s="107">
        <f>RESID!AC19</f>
        <v>29.4</v>
      </c>
      <c r="AF19" s="40">
        <f t="shared" si="17"/>
        <v>15895.509348243928</v>
      </c>
      <c r="AG19" s="4">
        <f t="shared" si="18"/>
        <v>90970</v>
      </c>
      <c r="AI19" s="80"/>
      <c r="AK19" s="22">
        <v>1995</v>
      </c>
      <c r="AL19" s="50">
        <f>ROUND(SUM(C149:C160),0)</f>
        <v>2057725</v>
      </c>
      <c r="AM19" s="290">
        <f t="shared" si="5"/>
        <v>5.3171272731553421E-2</v>
      </c>
      <c r="AN19" s="50">
        <f>ROUND(SUM(Z149:Z160),0)</f>
        <v>2051087</v>
      </c>
      <c r="AO19" s="290">
        <f t="shared" si="5"/>
        <v>4.4817243694431186E-2</v>
      </c>
      <c r="AP19" s="40">
        <v>15326</v>
      </c>
      <c r="AQ19" s="290">
        <f t="shared" si="1"/>
        <v>3.9403187521193539E-2</v>
      </c>
      <c r="AR19" s="50">
        <f t="shared" si="0"/>
        <v>134263.66958110401</v>
      </c>
      <c r="AS19" s="290">
        <f t="shared" si="2"/>
        <v>1.3246144879730748E-2</v>
      </c>
      <c r="AT19" s="50">
        <f t="shared" si="3"/>
        <v>133831</v>
      </c>
      <c r="AU19" s="290">
        <f t="shared" si="4"/>
        <v>5.2126756649166772E-3</v>
      </c>
      <c r="AV19" s="132"/>
      <c r="AY19" s="4">
        <v>1984</v>
      </c>
      <c r="AZ19" s="4">
        <v>3</v>
      </c>
      <c r="BA19" s="4">
        <f>'[8]Gov 65 &amp; 70'!$S104</f>
        <v>53.8</v>
      </c>
      <c r="BB19" s="4">
        <f>[8]Gov20Yr!$T8</f>
        <v>64.099999999999994</v>
      </c>
      <c r="BC19" s="82">
        <f t="shared" si="19"/>
        <v>10.299999999999997</v>
      </c>
      <c r="BD19" s="36" t="s">
        <v>18</v>
      </c>
      <c r="BE19" s="4">
        <f>'[8]Gov 65 &amp; 70'!$J104</f>
        <v>121.5</v>
      </c>
      <c r="BF19" s="76">
        <f>[8]Gov20Yr!$S8</f>
        <v>85.4</v>
      </c>
      <c r="BG19" s="83">
        <f t="shared" si="20"/>
        <v>-36.099999999999994</v>
      </c>
      <c r="BH19" s="36" t="s">
        <v>18</v>
      </c>
      <c r="BI19" s="273">
        <f t="shared" si="21"/>
        <v>2360.5539999999996</v>
      </c>
      <c r="BJ19" s="270">
        <f t="shared" si="22"/>
        <v>-1464.9379999999996</v>
      </c>
      <c r="BK19" s="482">
        <f t="shared" si="23"/>
        <v>896</v>
      </c>
      <c r="BL19" s="276"/>
      <c r="BM19" s="36" t="s">
        <v>18</v>
      </c>
      <c r="BN19" s="4">
        <v>1984</v>
      </c>
      <c r="BO19" s="4">
        <v>3</v>
      </c>
      <c r="CF19" s="22">
        <v>1995</v>
      </c>
    </row>
    <row r="20" spans="1:89">
      <c r="A20" s="4">
        <v>1984</v>
      </c>
      <c r="B20" s="4">
        <v>4</v>
      </c>
      <c r="C20" s="5">
        <v>87680</v>
      </c>
      <c r="D20" s="5">
        <v>5770</v>
      </c>
      <c r="E20" s="73">
        <f t="shared" si="6"/>
        <v>15196</v>
      </c>
      <c r="F20" s="540">
        <f t="shared" si="7"/>
        <v>5770</v>
      </c>
      <c r="H20" s="13" t="s">
        <v>18</v>
      </c>
      <c r="I20" s="76">
        <f>'[7]Gov 65 &amp; 70'!$S105</f>
        <v>56.2</v>
      </c>
      <c r="J20" s="423">
        <f>[7]Gov20Yr!$T9</f>
        <v>87.7</v>
      </c>
      <c r="K20" s="362">
        <f t="shared" si="8"/>
        <v>31.5</v>
      </c>
      <c r="L20" s="200" t="s">
        <v>18</v>
      </c>
      <c r="M20" s="76">
        <f>'[7]Gov 65 &amp; 70'!$J105</f>
        <v>81.5</v>
      </c>
      <c r="N20" s="423">
        <f>[7]Gov20Yr!$S9</f>
        <v>60.3</v>
      </c>
      <c r="O20" s="363">
        <f t="shared" si="9"/>
        <v>-21.200000000000003</v>
      </c>
      <c r="P20" s="13" t="s">
        <v>18</v>
      </c>
      <c r="Q20" s="77">
        <f t="shared" si="11"/>
        <v>7219.17</v>
      </c>
      <c r="R20" s="78">
        <f t="shared" si="12"/>
        <v>-860.29600000000005</v>
      </c>
      <c r="S20" s="479">
        <f t="shared" si="13"/>
        <v>6359</v>
      </c>
      <c r="T20" s="13" t="s">
        <v>18</v>
      </c>
      <c r="U20" s="4">
        <v>1984</v>
      </c>
      <c r="V20" s="4">
        <v>4</v>
      </c>
      <c r="W20" s="153">
        <f t="shared" si="14"/>
        <v>16297.92027729636</v>
      </c>
      <c r="X20" s="153"/>
      <c r="Y20" s="80"/>
      <c r="Z20" s="98">
        <f t="shared" si="15"/>
        <v>94039</v>
      </c>
      <c r="AA20" s="119">
        <f t="shared" si="10"/>
        <v>6359</v>
      </c>
      <c r="AB20" s="98">
        <f t="shared" si="16"/>
        <v>94039</v>
      </c>
      <c r="AC20" s="4">
        <v>1984</v>
      </c>
      <c r="AD20" s="4">
        <v>4</v>
      </c>
      <c r="AE20" s="107">
        <f>RESID!AC20</f>
        <v>29.6</v>
      </c>
      <c r="AF20" s="40">
        <f t="shared" si="17"/>
        <v>16749.393414211441</v>
      </c>
      <c r="AG20" s="4">
        <f t="shared" si="18"/>
        <v>96644</v>
      </c>
      <c r="AI20" s="80"/>
      <c r="AK20" s="51">
        <v>1996</v>
      </c>
      <c r="AL20" s="50">
        <f>ROUND(SUM(C161:C172),0)</f>
        <v>2205425</v>
      </c>
      <c r="AM20" s="290">
        <f t="shared" si="5"/>
        <v>7.1778298849457522E-2</v>
      </c>
      <c r="AN20" s="50">
        <f>ROUND(SUM(Z161:Z172),0)</f>
        <v>2216416</v>
      </c>
      <c r="AO20" s="290">
        <f t="shared" si="5"/>
        <v>8.0605552080433407E-2</v>
      </c>
      <c r="AP20" s="40">
        <v>15698</v>
      </c>
      <c r="AQ20" s="290">
        <f t="shared" si="1"/>
        <v>2.4272478141719844E-2</v>
      </c>
      <c r="AR20" s="50">
        <f t="shared" si="0"/>
        <v>140490.82685692445</v>
      </c>
      <c r="AS20" s="290">
        <f t="shared" si="2"/>
        <v>4.6380061674530904E-2</v>
      </c>
      <c r="AT20" s="50">
        <f t="shared" si="3"/>
        <v>141191</v>
      </c>
      <c r="AU20" s="290">
        <f t="shared" si="4"/>
        <v>5.4994732162204629E-2</v>
      </c>
      <c r="AV20" s="132"/>
      <c r="AY20" s="4">
        <v>1984</v>
      </c>
      <c r="AZ20" s="4">
        <v>4</v>
      </c>
      <c r="BA20" s="4">
        <f>'[8]Gov 65 &amp; 70'!$S105</f>
        <v>94.2</v>
      </c>
      <c r="BB20" s="4">
        <f>[8]Gov20Yr!$T9</f>
        <v>122</v>
      </c>
      <c r="BC20" s="82">
        <f t="shared" si="19"/>
        <v>27.799999999999997</v>
      </c>
      <c r="BD20" s="36" t="s">
        <v>18</v>
      </c>
      <c r="BE20" s="4">
        <f>'[8]Gov 65 &amp; 70'!$J105</f>
        <v>51.7</v>
      </c>
      <c r="BF20" s="76">
        <f>[8]Gov20Yr!$S9</f>
        <v>34.700000000000003</v>
      </c>
      <c r="BG20" s="83">
        <f t="shared" si="20"/>
        <v>-17</v>
      </c>
      <c r="BH20" s="36" t="s">
        <v>18</v>
      </c>
      <c r="BI20" s="273">
        <f t="shared" si="21"/>
        <v>6371.2039999999997</v>
      </c>
      <c r="BJ20" s="270">
        <f t="shared" si="22"/>
        <v>-689.86</v>
      </c>
      <c r="BK20" s="482">
        <f t="shared" si="23"/>
        <v>5681</v>
      </c>
      <c r="BL20" s="276"/>
      <c r="BM20" s="36" t="s">
        <v>18</v>
      </c>
      <c r="BN20" s="4">
        <v>1984</v>
      </c>
      <c r="BO20" s="4">
        <v>4</v>
      </c>
      <c r="CF20" s="51">
        <v>1996</v>
      </c>
    </row>
    <row r="21" spans="1:89">
      <c r="A21" s="4">
        <v>1984</v>
      </c>
      <c r="B21" s="4">
        <v>5</v>
      </c>
      <c r="C21" s="5">
        <v>98608</v>
      </c>
      <c r="D21" s="5">
        <v>5805</v>
      </c>
      <c r="E21" s="73">
        <f t="shared" si="6"/>
        <v>16987</v>
      </c>
      <c r="F21" s="540">
        <f t="shared" si="7"/>
        <v>5805</v>
      </c>
      <c r="H21" s="13" t="s">
        <v>18</v>
      </c>
      <c r="I21" s="76">
        <f>'[7]Gov 65 &amp; 70'!$S106</f>
        <v>155</v>
      </c>
      <c r="J21" s="423">
        <f>[7]Gov20Yr!$T10</f>
        <v>157.69999999999999</v>
      </c>
      <c r="K21" s="362">
        <f t="shared" si="8"/>
        <v>2.6999999999999886</v>
      </c>
      <c r="L21" s="200" t="s">
        <v>18</v>
      </c>
      <c r="M21" s="76">
        <f>'[7]Gov 65 &amp; 70'!$J106</f>
        <v>34.4</v>
      </c>
      <c r="N21" s="423">
        <f>[7]Gov20Yr!$S10</f>
        <v>18.600000000000001</v>
      </c>
      <c r="O21" s="363">
        <f t="shared" si="9"/>
        <v>-15.799999999999997</v>
      </c>
      <c r="P21" s="13" t="s">
        <v>18</v>
      </c>
      <c r="Q21" s="77">
        <f t="shared" si="11"/>
        <v>618.78599999999744</v>
      </c>
      <c r="R21" s="78">
        <f t="shared" si="12"/>
        <v>-641.16399999999987</v>
      </c>
      <c r="S21" s="479">
        <f t="shared" si="13"/>
        <v>-22</v>
      </c>
      <c r="T21" s="13" t="s">
        <v>18</v>
      </c>
      <c r="U21" s="4">
        <v>1984</v>
      </c>
      <c r="V21" s="4">
        <v>5</v>
      </c>
      <c r="W21" s="153">
        <f t="shared" si="14"/>
        <v>16982.945736434107</v>
      </c>
      <c r="X21" s="153"/>
      <c r="Y21" s="80"/>
      <c r="Z21" s="98">
        <f t="shared" si="15"/>
        <v>98586</v>
      </c>
      <c r="AA21" s="119">
        <f t="shared" si="10"/>
        <v>-22</v>
      </c>
      <c r="AB21" s="98">
        <f t="shared" si="16"/>
        <v>98586</v>
      </c>
      <c r="AC21" s="4">
        <v>1984</v>
      </c>
      <c r="AD21" s="4">
        <v>5</v>
      </c>
      <c r="AE21" s="107">
        <f>RESID!AC21</f>
        <v>30.6</v>
      </c>
      <c r="AF21" s="40">
        <f t="shared" si="17"/>
        <v>16883.031869078379</v>
      </c>
      <c r="AG21" s="4">
        <f t="shared" si="18"/>
        <v>98006</v>
      </c>
      <c r="AI21" s="80"/>
      <c r="AK21" s="22">
        <v>1997</v>
      </c>
      <c r="AL21" s="50">
        <f>ROUND(SUM(C173:C184),0)</f>
        <v>2298506</v>
      </c>
      <c r="AM21" s="290">
        <f t="shared" si="5"/>
        <v>4.2205470600904516E-2</v>
      </c>
      <c r="AN21" s="50">
        <f>ROUND(SUM(Z173:Z184),0)</f>
        <v>2317367</v>
      </c>
      <c r="AO21" s="290">
        <f t="shared" si="5"/>
        <v>4.5546955084244223E-2</v>
      </c>
      <c r="AP21" s="40">
        <v>16331</v>
      </c>
      <c r="AQ21" s="290">
        <f t="shared" si="1"/>
        <v>4.0323608102942998E-2</v>
      </c>
      <c r="AR21" s="50">
        <f t="shared" si="0"/>
        <v>140744.96356622377</v>
      </c>
      <c r="AS21" s="290">
        <f t="shared" si="2"/>
        <v>1.8089203045130731E-3</v>
      </c>
      <c r="AT21" s="50">
        <f t="shared" si="3"/>
        <v>141900</v>
      </c>
      <c r="AU21" s="290">
        <f t="shared" si="4"/>
        <v>5.021566530444499E-3</v>
      </c>
      <c r="AV21" s="132"/>
      <c r="AY21" s="4">
        <v>1984</v>
      </c>
      <c r="AZ21" s="4">
        <v>5</v>
      </c>
      <c r="BA21" s="4">
        <f>'[8]Gov 65 &amp; 70'!$S106</f>
        <v>229.3</v>
      </c>
      <c r="BB21" s="4">
        <f>[8]Gov20Yr!$T10</f>
        <v>253</v>
      </c>
      <c r="BC21" s="82">
        <f t="shared" si="19"/>
        <v>23.699999999999989</v>
      </c>
      <c r="BD21" s="36" t="s">
        <v>18</v>
      </c>
      <c r="BE21" s="4">
        <f>'[8]Gov 65 &amp; 70'!$J106</f>
        <v>8.8000000000000007</v>
      </c>
      <c r="BF21" s="76">
        <f>[8]Gov20Yr!$S10</f>
        <v>4.3</v>
      </c>
      <c r="BG21" s="83">
        <f t="shared" si="20"/>
        <v>-4.5000000000000009</v>
      </c>
      <c r="BH21" s="36" t="s">
        <v>18</v>
      </c>
      <c r="BI21" s="273">
        <f t="shared" si="21"/>
        <v>5431.565999999998</v>
      </c>
      <c r="BJ21" s="270">
        <f t="shared" si="22"/>
        <v>-182.61000000000004</v>
      </c>
      <c r="BK21" s="482">
        <f t="shared" si="23"/>
        <v>5249</v>
      </c>
      <c r="BL21" s="276"/>
      <c r="BM21" s="36" t="s">
        <v>18</v>
      </c>
      <c r="BN21" s="4">
        <v>1984</v>
      </c>
      <c r="BO21" s="4">
        <v>5</v>
      </c>
      <c r="CF21" s="22">
        <v>1997</v>
      </c>
      <c r="CG21" s="84">
        <f>ROUND(SUM(BP173:BP184),0)</f>
        <v>2298488</v>
      </c>
      <c r="CH21" s="47"/>
      <c r="CI21" s="84">
        <f>ROUND(SUM(BT173:BT184),0)</f>
        <v>2316322</v>
      </c>
      <c r="CK21" s="84">
        <f>CI21+SHL!CJ21</f>
        <v>2343478</v>
      </c>
    </row>
    <row r="22" spans="1:89">
      <c r="A22" s="4">
        <v>1984</v>
      </c>
      <c r="B22" s="4">
        <v>6</v>
      </c>
      <c r="C22" s="5">
        <v>103508</v>
      </c>
      <c r="D22" s="5">
        <v>5827</v>
      </c>
      <c r="E22" s="73">
        <f t="shared" si="6"/>
        <v>17764</v>
      </c>
      <c r="F22" s="540">
        <f t="shared" si="7"/>
        <v>5827</v>
      </c>
      <c r="H22" s="13" t="s">
        <v>18</v>
      </c>
      <c r="I22" s="76">
        <f>'[7]Gov 65 &amp; 70'!$S107</f>
        <v>230.3</v>
      </c>
      <c r="J22" s="423">
        <f>[7]Gov20Yr!$T11</f>
        <v>295.39999999999998</v>
      </c>
      <c r="K22" s="362">
        <f t="shared" si="8"/>
        <v>65.099999999999966</v>
      </c>
      <c r="L22" s="200" t="s">
        <v>18</v>
      </c>
      <c r="M22" s="76">
        <f>'[7]Gov 65 &amp; 70'!$J107</f>
        <v>8.8000000000000007</v>
      </c>
      <c r="N22" s="423">
        <f>[7]Gov20Yr!$S11</f>
        <v>2.2000000000000002</v>
      </c>
      <c r="O22" s="363">
        <f t="shared" si="9"/>
        <v>-6.6000000000000005</v>
      </c>
      <c r="P22" s="13" t="s">
        <v>18</v>
      </c>
      <c r="Q22" s="77">
        <f t="shared" si="11"/>
        <v>14919.617999999993</v>
      </c>
      <c r="R22" s="78">
        <f t="shared" si="12"/>
        <v>-267.82800000000003</v>
      </c>
      <c r="S22" s="479">
        <f t="shared" si="13"/>
        <v>14652</v>
      </c>
      <c r="T22" s="13" t="s">
        <v>18</v>
      </c>
      <c r="U22" s="4">
        <v>1984</v>
      </c>
      <c r="V22" s="4">
        <v>6</v>
      </c>
      <c r="W22" s="153">
        <f t="shared" si="14"/>
        <v>20278.016131800239</v>
      </c>
      <c r="X22" s="153"/>
      <c r="Y22" s="80"/>
      <c r="Z22" s="98">
        <f t="shared" si="15"/>
        <v>118160</v>
      </c>
      <c r="AA22" s="119">
        <f t="shared" si="10"/>
        <v>14652</v>
      </c>
      <c r="AB22" s="98">
        <f t="shared" si="16"/>
        <v>118160</v>
      </c>
      <c r="AC22" s="4">
        <v>1984</v>
      </c>
      <c r="AD22" s="4">
        <v>6</v>
      </c>
      <c r="AE22" s="107">
        <f>RESID!AC22</f>
        <v>30.65</v>
      </c>
      <c r="AF22" s="40">
        <f t="shared" si="17"/>
        <v>20125.793718894802</v>
      </c>
      <c r="AG22" s="4">
        <f t="shared" si="18"/>
        <v>117273</v>
      </c>
      <c r="AI22" s="80"/>
      <c r="AK22" s="51">
        <v>1998</v>
      </c>
      <c r="AL22" s="50">
        <f>ROUND(SUM(C185:C196),0)</f>
        <v>2458729</v>
      </c>
      <c r="AM22" s="290">
        <f t="shared" si="5"/>
        <v>6.9707453450197576E-2</v>
      </c>
      <c r="AN22" s="50">
        <f>ROUND(SUM(Z185:Z196),0)</f>
        <v>2399083</v>
      </c>
      <c r="AO22" s="290">
        <f t="shared" si="5"/>
        <v>3.5262433615391942E-2</v>
      </c>
      <c r="AP22" s="243">
        <v>16870</v>
      </c>
      <c r="AQ22" s="290">
        <f t="shared" si="1"/>
        <v>3.3004714959279813E-2</v>
      </c>
      <c r="AR22" s="50">
        <f t="shared" si="0"/>
        <v>145745.64315352697</v>
      </c>
      <c r="AS22" s="290">
        <f t="shared" si="2"/>
        <v>3.553007838145672E-2</v>
      </c>
      <c r="AT22" s="50">
        <f t="shared" si="3"/>
        <v>142210</v>
      </c>
      <c r="AU22" s="290">
        <f t="shared" si="4"/>
        <v>2.1846370683580307E-3</v>
      </c>
      <c r="AV22" s="132"/>
      <c r="AY22" s="4">
        <v>1984</v>
      </c>
      <c r="AZ22" s="4">
        <v>6</v>
      </c>
      <c r="BA22" s="4">
        <f>'[8]Gov 65 &amp; 70'!$S107</f>
        <v>290.10000000000002</v>
      </c>
      <c r="BB22" s="4">
        <f>[8]Gov20Yr!$T11</f>
        <v>336.1</v>
      </c>
      <c r="BC22" s="82">
        <f t="shared" si="19"/>
        <v>46</v>
      </c>
      <c r="BD22" s="36" t="s">
        <v>18</v>
      </c>
      <c r="BE22" s="4">
        <f>'[8]Gov 65 &amp; 70'!$J107</f>
        <v>3.9</v>
      </c>
      <c r="BF22" s="76">
        <f>[8]Gov20Yr!$S11</f>
        <v>0</v>
      </c>
      <c r="BG22" s="83">
        <f t="shared" si="20"/>
        <v>-3.9</v>
      </c>
      <c r="BH22" s="36" t="s">
        <v>18</v>
      </c>
      <c r="BI22" s="273">
        <f t="shared" si="21"/>
        <v>10542.28</v>
      </c>
      <c r="BJ22" s="270">
        <f t="shared" si="22"/>
        <v>-158.262</v>
      </c>
      <c r="BK22" s="482">
        <f t="shared" si="23"/>
        <v>10384</v>
      </c>
      <c r="BL22" s="276"/>
      <c r="BM22" s="36" t="s">
        <v>18</v>
      </c>
      <c r="BN22" s="4">
        <v>1984</v>
      </c>
      <c r="BO22" s="4">
        <v>6</v>
      </c>
      <c r="CF22" s="51">
        <v>1998</v>
      </c>
      <c r="CG22" s="84">
        <f>ROUND(SUM(BP185:BP196),0)</f>
        <v>2465585</v>
      </c>
      <c r="CH22" s="47">
        <f t="shared" ref="CH22:CH27" si="24">(CG22/CG21-1)*100</f>
        <v>7.269866103281819</v>
      </c>
      <c r="CI22" s="84">
        <f>ROUND(SUM(BT185:BT196),0)</f>
        <v>2401776</v>
      </c>
      <c r="CJ22" s="47">
        <f t="shared" ref="CJ22:CJ27" si="25">(CI22/CI21-1)*100</f>
        <v>3.6892107401302665</v>
      </c>
      <c r="CK22" s="84">
        <f>CI22+SHL!CJ22</f>
        <v>2428513</v>
      </c>
    </row>
    <row r="23" spans="1:89">
      <c r="A23" s="4">
        <v>1984</v>
      </c>
      <c r="B23" s="4">
        <v>7</v>
      </c>
      <c r="C23" s="5">
        <v>99912</v>
      </c>
      <c r="D23" s="5">
        <v>5824</v>
      </c>
      <c r="E23" s="73">
        <f t="shared" si="6"/>
        <v>17155</v>
      </c>
      <c r="F23" s="540">
        <f t="shared" si="7"/>
        <v>5824</v>
      </c>
      <c r="H23" s="13" t="s">
        <v>18</v>
      </c>
      <c r="I23" s="76">
        <f>'[7]Gov 65 &amp; 70'!$S108</f>
        <v>321.8</v>
      </c>
      <c r="J23" s="423">
        <f>[7]Gov20Yr!$T12</f>
        <v>363.4</v>
      </c>
      <c r="K23" s="362">
        <f t="shared" si="8"/>
        <v>41.599999999999966</v>
      </c>
      <c r="L23" s="200" t="s">
        <v>18</v>
      </c>
      <c r="M23" s="76">
        <f>'[7]Gov 65 &amp; 70'!$J108</f>
        <v>1</v>
      </c>
      <c r="N23" s="423">
        <f>[7]Gov20Yr!$S12</f>
        <v>0</v>
      </c>
      <c r="O23" s="363">
        <f t="shared" si="9"/>
        <v>-1</v>
      </c>
      <c r="P23" s="13" t="s">
        <v>18</v>
      </c>
      <c r="Q23" s="77">
        <f t="shared" si="11"/>
        <v>9533.8879999999917</v>
      </c>
      <c r="R23" s="78">
        <f t="shared" si="12"/>
        <v>-40.58</v>
      </c>
      <c r="S23" s="479">
        <f t="shared" si="13"/>
        <v>9493</v>
      </c>
      <c r="T23" s="13" t="s">
        <v>18</v>
      </c>
      <c r="U23" s="4">
        <v>1984</v>
      </c>
      <c r="V23" s="4">
        <v>7</v>
      </c>
      <c r="W23" s="153">
        <f t="shared" si="14"/>
        <v>18785.199175824175</v>
      </c>
      <c r="X23" s="153"/>
      <c r="Y23" s="80"/>
      <c r="Z23" s="98">
        <f t="shared" si="15"/>
        <v>109405</v>
      </c>
      <c r="AA23" s="119">
        <f t="shared" si="10"/>
        <v>9493</v>
      </c>
      <c r="AB23" s="98">
        <f t="shared" si="16"/>
        <v>109405</v>
      </c>
      <c r="AC23" s="4">
        <v>1984</v>
      </c>
      <c r="AD23" s="4">
        <v>7</v>
      </c>
      <c r="AE23" s="107">
        <f>RESID!AC23</f>
        <v>30.55</v>
      </c>
      <c r="AF23" s="40">
        <f t="shared" si="17"/>
        <v>18705.185439560439</v>
      </c>
      <c r="AG23" s="4">
        <f t="shared" si="18"/>
        <v>108939</v>
      </c>
      <c r="AI23" s="80"/>
      <c r="AK23" s="22">
        <v>1999</v>
      </c>
      <c r="AL23" s="50">
        <f>ROUND(SUM(C197:C208),0)</f>
        <v>2509032</v>
      </c>
      <c r="AM23" s="290">
        <f t="shared" si="5"/>
        <v>2.0458944438366267E-2</v>
      </c>
      <c r="AN23" s="50">
        <f>ROUND(SUM(Z197:Z208),0)</f>
        <v>2509131</v>
      </c>
      <c r="AO23" s="290">
        <f t="shared" si="5"/>
        <v>4.587085982435779E-2</v>
      </c>
      <c r="AP23" s="84">
        <f>ROUND(AVERAGE(D197:D208),0)</f>
        <v>17503</v>
      </c>
      <c r="AQ23" s="290">
        <f t="shared" si="1"/>
        <v>3.7522228808535951E-2</v>
      </c>
      <c r="AR23" s="50">
        <f t="shared" si="0"/>
        <v>143348.68308290007</v>
      </c>
      <c r="AS23" s="290">
        <f t="shared" si="2"/>
        <v>-1.6446186786537198E-2</v>
      </c>
      <c r="AT23" s="50">
        <f t="shared" si="3"/>
        <v>143354</v>
      </c>
      <c r="AU23" s="290">
        <f t="shared" si="4"/>
        <v>8.0444413191758102E-3</v>
      </c>
      <c r="AV23" s="132"/>
      <c r="AY23" s="4">
        <v>1984</v>
      </c>
      <c r="AZ23" s="4">
        <v>7</v>
      </c>
      <c r="BA23" s="4">
        <f>'[8]Gov 65 &amp; 70'!$S108</f>
        <v>343.4</v>
      </c>
      <c r="BB23" s="4">
        <f>[8]Gov20Yr!$T12</f>
        <v>391.2</v>
      </c>
      <c r="BC23" s="82">
        <f t="shared" si="19"/>
        <v>47.800000000000011</v>
      </c>
      <c r="BD23" s="36" t="s">
        <v>18</v>
      </c>
      <c r="BE23" s="4">
        <f>'[8]Gov 65 &amp; 70'!$J108</f>
        <v>0</v>
      </c>
      <c r="BF23" s="76">
        <f>[8]Gov20Yr!$S12</f>
        <v>0</v>
      </c>
      <c r="BG23" s="83">
        <f t="shared" si="20"/>
        <v>0</v>
      </c>
      <c r="BH23" s="36" t="s">
        <v>18</v>
      </c>
      <c r="BI23" s="273">
        <f t="shared" si="21"/>
        <v>10954.804000000004</v>
      </c>
      <c r="BJ23" s="270">
        <f t="shared" si="22"/>
        <v>0</v>
      </c>
      <c r="BK23" s="482">
        <f t="shared" si="23"/>
        <v>10955</v>
      </c>
      <c r="BL23" s="276"/>
      <c r="BM23" s="36" t="s">
        <v>18</v>
      </c>
      <c r="BN23" s="4">
        <v>1984</v>
      </c>
      <c r="BO23" s="4">
        <v>7</v>
      </c>
      <c r="CF23" s="22">
        <v>1999</v>
      </c>
      <c r="CG23" s="84">
        <f>ROUND(SUM(BP197:BP208),0)</f>
        <v>2518590</v>
      </c>
      <c r="CH23" s="47">
        <f t="shared" si="24"/>
        <v>2.1497940651001635</v>
      </c>
      <c r="CI23" s="84">
        <f>ROUND(SUM(BT197:BT208),0)</f>
        <v>2521112</v>
      </c>
      <c r="CJ23" s="47">
        <f t="shared" si="25"/>
        <v>4.9686565275029793</v>
      </c>
      <c r="CK23" s="84">
        <f>CI23+SHL!CJ23</f>
        <v>2547981</v>
      </c>
    </row>
    <row r="24" spans="1:89">
      <c r="A24" s="4">
        <v>1984</v>
      </c>
      <c r="B24" s="4">
        <v>8</v>
      </c>
      <c r="C24" s="5">
        <v>99209</v>
      </c>
      <c r="D24" s="5">
        <v>5837</v>
      </c>
      <c r="E24" s="73">
        <f t="shared" si="6"/>
        <v>16997</v>
      </c>
      <c r="F24" s="540">
        <f t="shared" si="7"/>
        <v>5837</v>
      </c>
      <c r="H24" s="13" t="s">
        <v>18</v>
      </c>
      <c r="I24" s="76">
        <f>'[7]Gov 65 &amp; 70'!$S109</f>
        <v>368.2</v>
      </c>
      <c r="J24" s="423">
        <f>[7]Gov20Yr!$T13</f>
        <v>390.1</v>
      </c>
      <c r="K24" s="362">
        <f t="shared" si="8"/>
        <v>21.900000000000034</v>
      </c>
      <c r="L24" s="200" t="s">
        <v>18</v>
      </c>
      <c r="M24" s="76">
        <f>'[7]Gov 65 &amp; 70'!$J109</f>
        <v>0</v>
      </c>
      <c r="N24" s="423">
        <f>[7]Gov20Yr!$S13</f>
        <v>0</v>
      </c>
      <c r="O24" s="363">
        <f t="shared" si="9"/>
        <v>0</v>
      </c>
      <c r="P24" s="13" t="s">
        <v>18</v>
      </c>
      <c r="Q24" s="77">
        <f t="shared" si="11"/>
        <v>5019.0420000000076</v>
      </c>
      <c r="R24" s="78">
        <f t="shared" si="12"/>
        <v>0</v>
      </c>
      <c r="S24" s="479">
        <f t="shared" si="13"/>
        <v>5019</v>
      </c>
      <c r="T24" s="13" t="s">
        <v>18</v>
      </c>
      <c r="U24" s="4">
        <v>1984</v>
      </c>
      <c r="V24" s="4">
        <v>8</v>
      </c>
      <c r="W24" s="153">
        <f t="shared" si="14"/>
        <v>17856.433099194794</v>
      </c>
      <c r="X24" s="153"/>
      <c r="Y24" s="80"/>
      <c r="Z24" s="98">
        <f t="shared" si="15"/>
        <v>104228</v>
      </c>
      <c r="AA24" s="119">
        <f t="shared" si="10"/>
        <v>5019</v>
      </c>
      <c r="AB24" s="98">
        <f t="shared" si="16"/>
        <v>104228</v>
      </c>
      <c r="AC24" s="4">
        <v>1984</v>
      </c>
      <c r="AD24" s="4">
        <v>8</v>
      </c>
      <c r="AE24" s="107">
        <f>RESID!AC24</f>
        <v>31.2</v>
      </c>
      <c r="AF24" s="40">
        <f t="shared" si="17"/>
        <v>17409.970875449715</v>
      </c>
      <c r="AG24" s="4">
        <f t="shared" si="18"/>
        <v>101622</v>
      </c>
      <c r="AI24" s="80"/>
      <c r="AK24" s="51">
        <v>2000</v>
      </c>
      <c r="AL24" s="50">
        <f>ROUND(SUM(C209:C220),0)</f>
        <v>2626234</v>
      </c>
      <c r="AM24" s="290">
        <f t="shared" si="5"/>
        <v>4.6712038746417051E-2</v>
      </c>
      <c r="AN24" s="549">
        <f>ROUND(SUM(AB209:AB220),0)</f>
        <v>2634016</v>
      </c>
      <c r="AO24" s="290">
        <f t="shared" si="5"/>
        <v>4.9772211972989755E-2</v>
      </c>
      <c r="AP24" s="84">
        <f>ROUND(AVERAGE(D209:D220),0)</f>
        <v>17916</v>
      </c>
      <c r="AQ24" s="290">
        <f t="shared" si="1"/>
        <v>2.3595954979146461E-2</v>
      </c>
      <c r="AR24" s="50">
        <f t="shared" si="0"/>
        <v>146585.95668676042</v>
      </c>
      <c r="AS24" s="290">
        <f t="shared" si="2"/>
        <v>2.2583211329455954E-2</v>
      </c>
      <c r="AT24" s="549">
        <f t="shared" si="3"/>
        <v>147020</v>
      </c>
      <c r="AU24" s="290">
        <f t="shared" si="4"/>
        <v>2.5573056908073655E-2</v>
      </c>
      <c r="AV24" s="132"/>
      <c r="AY24" s="4">
        <v>1984</v>
      </c>
      <c r="AZ24" s="4">
        <v>8</v>
      </c>
      <c r="BA24" s="4">
        <f>'[8]Gov 65 &amp; 70'!$S109</f>
        <v>386.8</v>
      </c>
      <c r="BB24" s="4">
        <f>[8]Gov20Yr!$T13</f>
        <v>394.4</v>
      </c>
      <c r="BC24" s="82">
        <f t="shared" si="19"/>
        <v>7.5999999999999659</v>
      </c>
      <c r="BD24" s="36" t="s">
        <v>18</v>
      </c>
      <c r="BE24" s="4">
        <f>'[8]Gov 65 &amp; 70'!$J109</f>
        <v>0</v>
      </c>
      <c r="BF24" s="76">
        <f>[8]Gov20Yr!$S13</f>
        <v>0</v>
      </c>
      <c r="BG24" s="83">
        <f t="shared" si="20"/>
        <v>0</v>
      </c>
      <c r="BH24" s="36" t="s">
        <v>18</v>
      </c>
      <c r="BI24" s="273">
        <f t="shared" si="21"/>
        <v>1741.7679999999923</v>
      </c>
      <c r="BJ24" s="270">
        <f t="shared" si="22"/>
        <v>0</v>
      </c>
      <c r="BK24" s="482">
        <f t="shared" si="23"/>
        <v>1742</v>
      </c>
      <c r="BL24" s="276"/>
      <c r="BM24" s="36" t="s">
        <v>18</v>
      </c>
      <c r="BN24" s="4">
        <v>1984</v>
      </c>
      <c r="BO24" s="4">
        <v>8</v>
      </c>
      <c r="CF24" s="51">
        <v>2000</v>
      </c>
      <c r="CG24" s="84">
        <f>ROUND(SUM(BP209:BP220),0)</f>
        <v>2637909</v>
      </c>
      <c r="CH24" s="47">
        <f t="shared" si="24"/>
        <v>4.7375317141734152</v>
      </c>
      <c r="CI24" s="84">
        <f>ROUND(SUM(BT209:BT220),0)</f>
        <v>2634605</v>
      </c>
      <c r="CJ24" s="47">
        <f t="shared" si="25"/>
        <v>4.5017040099765593</v>
      </c>
      <c r="CK24" s="84">
        <f>CI24+SHL!CJ24</f>
        <v>2662669</v>
      </c>
    </row>
    <row r="25" spans="1:89">
      <c r="A25" s="4">
        <v>1984</v>
      </c>
      <c r="B25" s="4">
        <v>9</v>
      </c>
      <c r="C25" s="5">
        <v>114105</v>
      </c>
      <c r="D25" s="5">
        <v>5879</v>
      </c>
      <c r="E25" s="73">
        <f t="shared" si="6"/>
        <v>19409</v>
      </c>
      <c r="F25" s="540">
        <f t="shared" si="7"/>
        <v>5879</v>
      </c>
      <c r="H25" s="13" t="s">
        <v>18</v>
      </c>
      <c r="I25" s="76">
        <f>'[7]Gov 65 &amp; 70'!$S110</f>
        <v>366.7</v>
      </c>
      <c r="J25" s="423">
        <f>[7]Gov20Yr!$T14</f>
        <v>381.2</v>
      </c>
      <c r="K25" s="362">
        <f t="shared" si="8"/>
        <v>14.5</v>
      </c>
      <c r="L25" s="200" t="s">
        <v>18</v>
      </c>
      <c r="M25" s="76">
        <f>'[7]Gov 65 &amp; 70'!$J110</f>
        <v>0</v>
      </c>
      <c r="N25" s="423">
        <f>[7]Gov20Yr!$S14</f>
        <v>0</v>
      </c>
      <c r="O25" s="363">
        <f t="shared" si="9"/>
        <v>0</v>
      </c>
      <c r="P25" s="13" t="s">
        <v>18</v>
      </c>
      <c r="Q25" s="77">
        <f t="shared" si="11"/>
        <v>3323.11</v>
      </c>
      <c r="R25" s="78">
        <f t="shared" si="12"/>
        <v>0</v>
      </c>
      <c r="S25" s="479">
        <f t="shared" si="13"/>
        <v>3323</v>
      </c>
      <c r="T25" s="13" t="s">
        <v>18</v>
      </c>
      <c r="U25" s="4">
        <v>1984</v>
      </c>
      <c r="V25" s="4">
        <v>9</v>
      </c>
      <c r="W25" s="153">
        <f t="shared" si="14"/>
        <v>19974.145262799793</v>
      </c>
      <c r="X25" s="153"/>
      <c r="Y25" s="80"/>
      <c r="Z25" s="98">
        <f t="shared" si="15"/>
        <v>117428</v>
      </c>
      <c r="AA25" s="119">
        <f t="shared" si="10"/>
        <v>3323</v>
      </c>
      <c r="AB25" s="98">
        <f t="shared" si="16"/>
        <v>117428</v>
      </c>
      <c r="AC25" s="4">
        <v>1984</v>
      </c>
      <c r="AD25" s="4">
        <v>9</v>
      </c>
      <c r="AE25" s="107">
        <f>RESID!AC25</f>
        <v>31.9</v>
      </c>
      <c r="AF25" s="40">
        <f t="shared" si="17"/>
        <v>19047.457050518795</v>
      </c>
      <c r="AG25" s="4">
        <f t="shared" si="18"/>
        <v>111980</v>
      </c>
      <c r="AI25" s="80"/>
      <c r="AK25" s="22">
        <v>2001</v>
      </c>
      <c r="AL25" s="50">
        <f>ROUND(SUM(C221:C232),0)</f>
        <v>2698043</v>
      </c>
      <c r="AM25" s="290">
        <f t="shared" si="5"/>
        <v>2.7342955730525142E-2</v>
      </c>
      <c r="AN25" s="549">
        <f>ROUND(SUM(AB221:AB232),0)</f>
        <v>2722397</v>
      </c>
      <c r="AO25" s="290">
        <f t="shared" si="5"/>
        <v>3.3553706583407283E-2</v>
      </c>
      <c r="AP25" s="84">
        <f>ROUND(AVERAGE(D221:D232),0)</f>
        <v>18717</v>
      </c>
      <c r="AQ25" s="290">
        <f t="shared" si="1"/>
        <v>4.4708640321500237E-2</v>
      </c>
      <c r="AR25" s="50">
        <f t="shared" si="0"/>
        <v>144149.32948656302</v>
      </c>
      <c r="AS25" s="290">
        <f t="shared" si="2"/>
        <v>-1.6622514566004609E-2</v>
      </c>
      <c r="AT25" s="549">
        <f t="shared" si="3"/>
        <v>145450</v>
      </c>
      <c r="AU25" s="290">
        <f t="shared" si="4"/>
        <v>-1.0678819208270962E-2</v>
      </c>
      <c r="AV25" s="132"/>
      <c r="AY25" s="4">
        <v>1984</v>
      </c>
      <c r="AZ25" s="4">
        <v>9</v>
      </c>
      <c r="BA25" s="4">
        <f>'[8]Gov 65 &amp; 70'!$S110</f>
        <v>294.3</v>
      </c>
      <c r="BB25" s="4">
        <f>[8]Gov20Yr!$T14</f>
        <v>339.3</v>
      </c>
      <c r="BC25" s="82">
        <f t="shared" si="19"/>
        <v>45</v>
      </c>
      <c r="BD25" s="36" t="s">
        <v>18</v>
      </c>
      <c r="BE25" s="4">
        <f>'[8]Gov 65 &amp; 70'!$J110</f>
        <v>0.1</v>
      </c>
      <c r="BF25" s="76">
        <f>[8]Gov20Yr!$S14</f>
        <v>0</v>
      </c>
      <c r="BG25" s="83">
        <f t="shared" si="20"/>
        <v>-0.1</v>
      </c>
      <c r="BH25" s="36" t="s">
        <v>18</v>
      </c>
      <c r="BI25" s="273">
        <f t="shared" si="21"/>
        <v>10313.1</v>
      </c>
      <c r="BJ25" s="270">
        <f t="shared" si="22"/>
        <v>-4.0579999999999998</v>
      </c>
      <c r="BK25" s="482">
        <f t="shared" si="23"/>
        <v>10309</v>
      </c>
      <c r="BL25" s="276"/>
      <c r="BM25" s="36" t="s">
        <v>18</v>
      </c>
      <c r="BN25" s="4">
        <v>1984</v>
      </c>
      <c r="BO25" s="4">
        <v>9</v>
      </c>
      <c r="CF25" s="22">
        <v>2001</v>
      </c>
      <c r="CG25" s="84">
        <f>ROUND(SUM(BP221:BP232),0)</f>
        <v>2686199</v>
      </c>
      <c r="CH25" s="47">
        <f t="shared" si="24"/>
        <v>1.8306165982223011</v>
      </c>
      <c r="CI25" s="84">
        <f>ROUND(SUM(BT221:BT232),0)</f>
        <v>2710997</v>
      </c>
      <c r="CJ25" s="47">
        <f t="shared" si="25"/>
        <v>2.8995617938932128</v>
      </c>
      <c r="CK25" s="84">
        <f>CI25+SHL!CJ25</f>
        <v>2738803</v>
      </c>
    </row>
    <row r="26" spans="1:89">
      <c r="A26" s="4">
        <v>1984</v>
      </c>
      <c r="B26" s="4">
        <v>10</v>
      </c>
      <c r="C26" s="5">
        <v>109063</v>
      </c>
      <c r="D26" s="5">
        <v>5889</v>
      </c>
      <c r="E26" s="73">
        <f t="shared" si="6"/>
        <v>18520</v>
      </c>
      <c r="F26" s="540">
        <f t="shared" si="7"/>
        <v>5889</v>
      </c>
      <c r="H26" s="13" t="s">
        <v>18</v>
      </c>
      <c r="I26" s="76">
        <f>'[7]Gov 65 &amp; 70'!$S111</f>
        <v>235.5</v>
      </c>
      <c r="J26" s="423">
        <f>[7]Gov20Yr!$T15</f>
        <v>287.8</v>
      </c>
      <c r="K26" s="362">
        <f t="shared" si="8"/>
        <v>52.300000000000011</v>
      </c>
      <c r="L26" s="200" t="s">
        <v>18</v>
      </c>
      <c r="M26" s="76">
        <f>'[7]Gov 65 &amp; 70'!$J111</f>
        <v>4.8</v>
      </c>
      <c r="N26" s="423">
        <f>[7]Gov20Yr!$S15</f>
        <v>2.5</v>
      </c>
      <c r="O26" s="363">
        <f t="shared" si="9"/>
        <v>-2.2999999999999998</v>
      </c>
      <c r="P26" s="13" t="s">
        <v>18</v>
      </c>
      <c r="Q26" s="77">
        <f t="shared" si="11"/>
        <v>11986.114000000003</v>
      </c>
      <c r="R26" s="78">
        <f t="shared" si="12"/>
        <v>-93.333999999999989</v>
      </c>
      <c r="S26" s="479">
        <f t="shared" si="13"/>
        <v>11893</v>
      </c>
      <c r="T26" s="13" t="s">
        <v>18</v>
      </c>
      <c r="U26" s="4">
        <v>1984</v>
      </c>
      <c r="V26" s="4">
        <v>10</v>
      </c>
      <c r="W26" s="153">
        <f t="shared" si="14"/>
        <v>20539.310579045679</v>
      </c>
      <c r="X26" s="153"/>
      <c r="Y26" s="80"/>
      <c r="Z26" s="98">
        <f t="shared" si="15"/>
        <v>120956</v>
      </c>
      <c r="AA26" s="119">
        <f t="shared" si="10"/>
        <v>11893</v>
      </c>
      <c r="AB26" s="98">
        <f t="shared" si="16"/>
        <v>120956</v>
      </c>
      <c r="AC26" s="4">
        <v>1984</v>
      </c>
      <c r="AD26" s="4">
        <v>10</v>
      </c>
      <c r="AE26" s="107">
        <f>RESID!AC26</f>
        <v>29.7</v>
      </c>
      <c r="AF26" s="40">
        <f t="shared" si="17"/>
        <v>21037.18797758533</v>
      </c>
      <c r="AG26" s="4">
        <f t="shared" si="18"/>
        <v>123888</v>
      </c>
      <c r="AI26" s="80"/>
      <c r="AK26" s="51">
        <v>2002</v>
      </c>
      <c r="AL26" s="50">
        <f>ROUND(SUM(C233:C244),0)</f>
        <v>2822087</v>
      </c>
      <c r="AM26" s="290">
        <f t="shared" si="5"/>
        <v>4.5975545979066945E-2</v>
      </c>
      <c r="AN26" s="549">
        <f>ROUND(SUM(AB233:AB244),0)</f>
        <v>2788658</v>
      </c>
      <c r="AO26" s="290">
        <f t="shared" si="5"/>
        <v>2.4339212833396351E-2</v>
      </c>
      <c r="AP26" s="84">
        <f>ROUND(AVERAGE(D233:D244),0)</f>
        <v>19169</v>
      </c>
      <c r="AQ26" s="290">
        <f t="shared" si="1"/>
        <v>2.4149169204466636E-2</v>
      </c>
      <c r="AR26" s="50">
        <f t="shared" si="0"/>
        <v>147221.39913401846</v>
      </c>
      <c r="AS26" s="290">
        <f t="shared" si="2"/>
        <v>2.1311716526172253E-2</v>
      </c>
      <c r="AT26" s="549">
        <f t="shared" si="3"/>
        <v>145477</v>
      </c>
      <c r="AU26" s="290">
        <f t="shared" si="4"/>
        <v>1.8563080096245521E-4</v>
      </c>
      <c r="AV26" s="132"/>
      <c r="AY26" s="4">
        <v>1984</v>
      </c>
      <c r="AZ26" s="4">
        <v>10</v>
      </c>
      <c r="BA26" s="4">
        <f>'[8]Gov 65 &amp; 70'!$S111</f>
        <v>210.4</v>
      </c>
      <c r="BB26" s="4">
        <f>[8]Gov20Yr!$T15</f>
        <v>200.4</v>
      </c>
      <c r="BC26" s="82">
        <f t="shared" si="19"/>
        <v>-10</v>
      </c>
      <c r="BD26" s="36" t="s">
        <v>18</v>
      </c>
      <c r="BE26" s="4">
        <f>'[8]Gov 65 &amp; 70'!$J111</f>
        <v>6.3</v>
      </c>
      <c r="BF26" s="76">
        <f>[8]Gov20Yr!$S15</f>
        <v>15</v>
      </c>
      <c r="BG26" s="83">
        <f t="shared" si="20"/>
        <v>8.6999999999999993</v>
      </c>
      <c r="BH26" s="36" t="s">
        <v>18</v>
      </c>
      <c r="BI26" s="273">
        <f t="shared" si="21"/>
        <v>-2291.8000000000002</v>
      </c>
      <c r="BJ26" s="270">
        <f t="shared" si="22"/>
        <v>353.04599999999994</v>
      </c>
      <c r="BK26" s="482">
        <f t="shared" si="23"/>
        <v>-1939</v>
      </c>
      <c r="BL26" s="276"/>
      <c r="BM26" s="36" t="s">
        <v>18</v>
      </c>
      <c r="BN26" s="4">
        <v>1984</v>
      </c>
      <c r="BO26" s="4">
        <v>10</v>
      </c>
      <c r="CF26" s="51">
        <v>2002</v>
      </c>
      <c r="CG26" s="84">
        <f>ROUND(SUM(BP233:BP244),0)</f>
        <v>2806428</v>
      </c>
      <c r="CH26" s="47">
        <f t="shared" si="24"/>
        <v>4.4758039147509088</v>
      </c>
      <c r="CI26" s="84">
        <f>ROUND(SUM(BT233:BT244),0)</f>
        <v>2777201</v>
      </c>
      <c r="CJ26" s="47">
        <f t="shared" si="25"/>
        <v>2.4420536061087406</v>
      </c>
      <c r="CK26" s="84">
        <f>CI26+SHL!CJ26</f>
        <v>2805560</v>
      </c>
    </row>
    <row r="27" spans="1:89">
      <c r="A27" s="4">
        <v>1984</v>
      </c>
      <c r="B27" s="4">
        <v>11</v>
      </c>
      <c r="C27" s="5">
        <v>105376</v>
      </c>
      <c r="D27" s="5">
        <v>5920</v>
      </c>
      <c r="E27" s="73">
        <f t="shared" si="6"/>
        <v>17800</v>
      </c>
      <c r="F27" s="540">
        <f t="shared" si="7"/>
        <v>5920</v>
      </c>
      <c r="H27" s="13" t="s">
        <v>18</v>
      </c>
      <c r="I27" s="76">
        <f>'[7]Gov 65 &amp; 70'!$S112</f>
        <v>180.6</v>
      </c>
      <c r="J27" s="423">
        <f>[7]Gov20Yr!$T16</f>
        <v>140.19999999999999</v>
      </c>
      <c r="K27" s="362">
        <f t="shared" si="8"/>
        <v>-40.400000000000006</v>
      </c>
      <c r="L27" s="200" t="s">
        <v>18</v>
      </c>
      <c r="M27" s="76">
        <f>'[7]Gov 65 &amp; 70'!$J112</f>
        <v>32.700000000000003</v>
      </c>
      <c r="N27" s="423">
        <f>[7]Gov20Yr!$S16</f>
        <v>38.6</v>
      </c>
      <c r="O27" s="363">
        <f t="shared" si="9"/>
        <v>5.8999999999999986</v>
      </c>
      <c r="P27" s="13" t="s">
        <v>18</v>
      </c>
      <c r="Q27" s="77">
        <f t="shared" si="11"/>
        <v>-9258.8720000000012</v>
      </c>
      <c r="R27" s="78">
        <f t="shared" si="12"/>
        <v>239.42199999999994</v>
      </c>
      <c r="S27" s="479">
        <f t="shared" si="13"/>
        <v>-9019</v>
      </c>
      <c r="T27" s="13" t="s">
        <v>18</v>
      </c>
      <c r="U27" s="4">
        <v>1984</v>
      </c>
      <c r="V27" s="4">
        <v>11</v>
      </c>
      <c r="W27" s="153">
        <f t="shared" si="14"/>
        <v>16276.520270270272</v>
      </c>
      <c r="X27" s="153"/>
      <c r="Y27" s="80"/>
      <c r="Z27" s="98">
        <f t="shared" si="15"/>
        <v>96357</v>
      </c>
      <c r="AA27" s="119">
        <f t="shared" si="10"/>
        <v>-9019</v>
      </c>
      <c r="AB27" s="98">
        <f t="shared" si="16"/>
        <v>96357</v>
      </c>
      <c r="AC27" s="4">
        <v>1984</v>
      </c>
      <c r="AD27" s="4">
        <v>11</v>
      </c>
      <c r="AE27" s="107">
        <f>RESID!AC27</f>
        <v>30.15</v>
      </c>
      <c r="AF27" s="40">
        <f t="shared" si="17"/>
        <v>16422.297297297297</v>
      </c>
      <c r="AG27" s="4">
        <f t="shared" si="18"/>
        <v>97220</v>
      </c>
      <c r="AI27" s="80"/>
      <c r="AK27" s="22">
        <v>2003</v>
      </c>
      <c r="AL27" s="50">
        <f>ROUND(SUM(C245:C256),0)</f>
        <v>2945604</v>
      </c>
      <c r="AM27" s="290">
        <f t="shared" si="5"/>
        <v>4.376796321304055E-2</v>
      </c>
      <c r="AN27" s="549">
        <f>ROUND(SUM(AB245:AB256),0)</f>
        <v>2943413</v>
      </c>
      <c r="AO27" s="290">
        <f t="shared" si="5"/>
        <v>5.54944349576032E-2</v>
      </c>
      <c r="AP27" s="84">
        <f>ROUND(AVERAGE(D245:D256),0)</f>
        <v>19726</v>
      </c>
      <c r="AQ27" s="290">
        <f t="shared" si="1"/>
        <v>2.9057332150868698E-2</v>
      </c>
      <c r="AR27" s="50">
        <f t="shared" si="0"/>
        <v>149325.96573050797</v>
      </c>
      <c r="AS27" s="290">
        <f t="shared" si="2"/>
        <v>1.4295249256350839E-2</v>
      </c>
      <c r="AT27" s="549">
        <f t="shared" si="3"/>
        <v>149215</v>
      </c>
      <c r="AU27" s="290">
        <f t="shared" si="4"/>
        <v>2.5694783367817609E-2</v>
      </c>
      <c r="AV27" s="132"/>
      <c r="AY27" s="4">
        <v>1984</v>
      </c>
      <c r="AZ27" s="4">
        <v>11</v>
      </c>
      <c r="BA27" s="4">
        <f>'[8]Gov 65 &amp; 70'!$S112</f>
        <v>60.3</v>
      </c>
      <c r="BB27" s="4">
        <f>[8]Gov20Yr!$T16</f>
        <v>66.3</v>
      </c>
      <c r="BC27" s="82">
        <f t="shared" si="19"/>
        <v>6</v>
      </c>
      <c r="BD27" s="36" t="s">
        <v>18</v>
      </c>
      <c r="BE27" s="4">
        <f>'[8]Gov 65 &amp; 70'!$J112</f>
        <v>114.4</v>
      </c>
      <c r="BF27" s="76">
        <f>[8]Gov20Yr!$S16</f>
        <v>69.900000000000006</v>
      </c>
      <c r="BG27" s="83">
        <f t="shared" si="20"/>
        <v>-44.5</v>
      </c>
      <c r="BH27" s="36" t="s">
        <v>18</v>
      </c>
      <c r="BI27" s="273">
        <f t="shared" si="21"/>
        <v>1375.08</v>
      </c>
      <c r="BJ27" s="270">
        <f t="shared" si="22"/>
        <v>-1805.81</v>
      </c>
      <c r="BK27" s="482">
        <f t="shared" si="23"/>
        <v>-431</v>
      </c>
      <c r="BL27" s="276"/>
      <c r="BM27" s="36" t="s">
        <v>18</v>
      </c>
      <c r="BN27" s="4">
        <v>1984</v>
      </c>
      <c r="BO27" s="4">
        <v>11</v>
      </c>
      <c r="CF27" s="51">
        <v>2003</v>
      </c>
      <c r="CG27" s="84">
        <f>ROUND(SUM(BP245:BP256),0)</f>
        <v>2965313</v>
      </c>
      <c r="CH27" s="47">
        <f t="shared" si="24"/>
        <v>5.6614671746433531</v>
      </c>
      <c r="CI27" s="84">
        <f>ROUND(SUM(BT245:BT256),0)</f>
        <v>2959632</v>
      </c>
      <c r="CJ27" s="47">
        <f t="shared" si="25"/>
        <v>6.5688799622353633</v>
      </c>
      <c r="CK27" s="84">
        <f>CI27+SHL!CJ27</f>
        <v>2988317</v>
      </c>
    </row>
    <row r="28" spans="1:89" s="89" customFormat="1">
      <c r="A28" s="89">
        <v>1984</v>
      </c>
      <c r="B28" s="89">
        <v>12</v>
      </c>
      <c r="C28" s="103">
        <v>93305</v>
      </c>
      <c r="D28" s="103">
        <v>5949</v>
      </c>
      <c r="E28" s="104">
        <f t="shared" si="6"/>
        <v>15684</v>
      </c>
      <c r="F28" s="586">
        <f t="shared" si="7"/>
        <v>5949</v>
      </c>
      <c r="H28" s="90" t="s">
        <v>18</v>
      </c>
      <c r="I28" s="92">
        <f>'[7]Gov 65 &amp; 70'!$S113</f>
        <v>48.9</v>
      </c>
      <c r="J28" s="369">
        <f>[7]Gov20Yr!$T17</f>
        <v>50.8</v>
      </c>
      <c r="K28" s="364">
        <f t="shared" si="8"/>
        <v>1.8999999999999986</v>
      </c>
      <c r="L28" s="210" t="s">
        <v>18</v>
      </c>
      <c r="M28" s="92">
        <f>'[7]Gov 65 &amp; 70'!$J113</f>
        <v>126</v>
      </c>
      <c r="N28" s="369">
        <f>[7]Gov20Yr!$S17</f>
        <v>121.8</v>
      </c>
      <c r="O28" s="365">
        <f t="shared" si="9"/>
        <v>-4.2000000000000028</v>
      </c>
      <c r="P28" s="90" t="s">
        <v>18</v>
      </c>
      <c r="Q28" s="114">
        <f t="shared" si="11"/>
        <v>435.44199999999967</v>
      </c>
      <c r="R28" s="95">
        <f t="shared" si="12"/>
        <v>-170.43600000000012</v>
      </c>
      <c r="S28" s="480">
        <f t="shared" si="13"/>
        <v>265</v>
      </c>
      <c r="T28" s="90" t="s">
        <v>18</v>
      </c>
      <c r="U28" s="89">
        <v>1984</v>
      </c>
      <c r="V28" s="89">
        <v>12</v>
      </c>
      <c r="W28" s="154">
        <f t="shared" si="14"/>
        <v>15728.693898134139</v>
      </c>
      <c r="X28" s="154"/>
      <c r="Y28" s="134"/>
      <c r="Z28" s="155">
        <f t="shared" si="15"/>
        <v>93570</v>
      </c>
      <c r="AA28" s="156">
        <f t="shared" si="10"/>
        <v>265</v>
      </c>
      <c r="AB28" s="155">
        <f t="shared" si="16"/>
        <v>93570</v>
      </c>
      <c r="AC28" s="89">
        <v>1984</v>
      </c>
      <c r="AD28" s="89">
        <v>12</v>
      </c>
      <c r="AE28" s="110">
        <f>RESID!AC28</f>
        <v>30.15</v>
      </c>
      <c r="AF28" s="116">
        <f t="shared" si="17"/>
        <v>15869.557908892251</v>
      </c>
      <c r="AG28" s="89">
        <f t="shared" si="18"/>
        <v>94408</v>
      </c>
      <c r="AI28" s="134"/>
      <c r="AK28" s="22">
        <v>2004</v>
      </c>
      <c r="AL28" s="50">
        <f>ROUND(SUM(C257:C268),0)</f>
        <v>3015746</v>
      </c>
      <c r="AM28" s="290">
        <f t="shared" si="5"/>
        <v>2.3812433714783143E-2</v>
      </c>
      <c r="AN28" s="549">
        <f>ROUND(SUM(AB257:AB268),0)</f>
        <v>3027998</v>
      </c>
      <c r="AO28" s="290">
        <f t="shared" si="5"/>
        <v>2.8737047774131552E-2</v>
      </c>
      <c r="AP28" s="84">
        <f>ROUND(AVERAGE(D257:D268),0)</f>
        <v>20557</v>
      </c>
      <c r="AQ28" s="290">
        <f t="shared" si="1"/>
        <v>4.2127141843252502E-2</v>
      </c>
      <c r="AR28" s="50">
        <f t="shared" si="0"/>
        <v>146701.65880235442</v>
      </c>
      <c r="AS28" s="290">
        <f t="shared" si="2"/>
        <v>-1.7574350953066697E-2</v>
      </c>
      <c r="AT28" s="549">
        <f t="shared" si="3"/>
        <v>147298</v>
      </c>
      <c r="AU28" s="290">
        <f t="shared" si="4"/>
        <v>-1.2847233857185891E-2</v>
      </c>
      <c r="AV28" s="132"/>
      <c r="AY28" s="89">
        <v>1984</v>
      </c>
      <c r="AZ28" s="89">
        <v>12</v>
      </c>
      <c r="BA28" s="89">
        <f>'[8]Gov 65 &amp; 70'!$S113</f>
        <v>62</v>
      </c>
      <c r="BB28" s="89">
        <f>[8]Gov20Yr!$T17</f>
        <v>28.2</v>
      </c>
      <c r="BC28" s="111">
        <f t="shared" si="19"/>
        <v>-33.799999999999997</v>
      </c>
      <c r="BD28" s="113" t="s">
        <v>18</v>
      </c>
      <c r="BE28" s="89">
        <f>'[8]Gov 65 &amp; 70'!$J113</f>
        <v>91.9</v>
      </c>
      <c r="BF28" s="92">
        <f>[8]Gov20Yr!$S17</f>
        <v>170</v>
      </c>
      <c r="BG28" s="112">
        <f t="shared" si="20"/>
        <v>78.099999999999994</v>
      </c>
      <c r="BH28" s="113" t="s">
        <v>18</v>
      </c>
      <c r="BI28" s="274">
        <f t="shared" si="21"/>
        <v>-7746.2839999999997</v>
      </c>
      <c r="BJ28" s="275">
        <f t="shared" si="22"/>
        <v>3169.2979999999998</v>
      </c>
      <c r="BK28" s="483">
        <f t="shared" si="23"/>
        <v>-4577</v>
      </c>
      <c r="BL28" s="277"/>
      <c r="BM28" s="113" t="s">
        <v>18</v>
      </c>
      <c r="BN28" s="89">
        <v>1984</v>
      </c>
      <c r="BO28" s="89">
        <v>12</v>
      </c>
      <c r="BT28" s="96"/>
      <c r="CF28" s="51">
        <v>2004</v>
      </c>
      <c r="CG28" s="84">
        <f>ROUND(SUM(BP257:BP268),0)</f>
        <v>3043859</v>
      </c>
      <c r="CH28" s="47">
        <f t="shared" ref="CH28:CH33" si="26">(CG28/CG27-1)*100</f>
        <v>2.6488266162796315</v>
      </c>
      <c r="CI28" s="84">
        <f>ROUND(SUM(BT257:BT268),0)</f>
        <v>3055288</v>
      </c>
      <c r="CJ28" s="47">
        <f t="shared" ref="CJ28:CJ33" si="27">(CI28/CI27-1)*100</f>
        <v>3.2320234407520854</v>
      </c>
      <c r="CK28" s="84">
        <f>CI28+SHL!CJ28</f>
        <v>3083572</v>
      </c>
    </row>
    <row r="29" spans="1:89">
      <c r="A29" s="4">
        <v>1985</v>
      </c>
      <c r="B29" s="4">
        <v>1</v>
      </c>
      <c r="C29" s="5">
        <v>90177</v>
      </c>
      <c r="D29" s="5">
        <v>6027</v>
      </c>
      <c r="E29" s="73">
        <f t="shared" si="6"/>
        <v>14962</v>
      </c>
      <c r="F29" s="540">
        <f t="shared" si="7"/>
        <v>6027</v>
      </c>
      <c r="H29" s="13" t="s">
        <v>18</v>
      </c>
      <c r="I29" s="76">
        <f>'[7]Gov 65 &amp; 70'!$S114</f>
        <v>55.3</v>
      </c>
      <c r="J29" s="76">
        <f>J17</f>
        <v>28.7</v>
      </c>
      <c r="K29" s="362">
        <f t="shared" si="8"/>
        <v>-26.599999999999998</v>
      </c>
      <c r="L29" s="200" t="s">
        <v>18</v>
      </c>
      <c r="M29" s="76">
        <f>'[7]Gov 65 &amp; 70'!$J114</f>
        <v>151</v>
      </c>
      <c r="N29" s="76">
        <f>N17</f>
        <v>192.9</v>
      </c>
      <c r="O29" s="363">
        <f t="shared" si="9"/>
        <v>41.900000000000006</v>
      </c>
      <c r="P29" s="13" t="s">
        <v>18</v>
      </c>
      <c r="Q29" s="77">
        <f t="shared" si="11"/>
        <v>-6096.1880000000001</v>
      </c>
      <c r="R29" s="78">
        <f t="shared" si="12"/>
        <v>1700.3020000000001</v>
      </c>
      <c r="S29" s="479">
        <f t="shared" si="13"/>
        <v>-4396</v>
      </c>
      <c r="T29" s="13" t="s">
        <v>18</v>
      </c>
      <c r="U29" s="4">
        <v>1985</v>
      </c>
      <c r="V29" s="4">
        <v>1</v>
      </c>
      <c r="W29" s="153">
        <f t="shared" si="14"/>
        <v>14232.785797245728</v>
      </c>
      <c r="X29" s="153">
        <f t="shared" ref="X29:X92" si="28">W29-W17</f>
        <v>-675.98365112768079</v>
      </c>
      <c r="Y29" s="80"/>
      <c r="Z29" s="98">
        <f t="shared" si="15"/>
        <v>85781</v>
      </c>
      <c r="AA29" s="119">
        <f t="shared" si="10"/>
        <v>-4396</v>
      </c>
      <c r="AB29" s="98">
        <f t="shared" si="16"/>
        <v>85781</v>
      </c>
      <c r="AC29" s="4">
        <v>1985</v>
      </c>
      <c r="AD29" s="4">
        <v>1</v>
      </c>
      <c r="AE29" s="107">
        <f>RESID!AC29</f>
        <v>31.85</v>
      </c>
      <c r="AF29" s="40">
        <f t="shared" si="17"/>
        <v>13593.827775012445</v>
      </c>
      <c r="AG29" s="4">
        <f t="shared" si="18"/>
        <v>81930</v>
      </c>
      <c r="AI29" s="80"/>
      <c r="AK29" s="22">
        <v>2005</v>
      </c>
      <c r="AL29" s="50">
        <f>ROUND(SUM(C269:C280),0)</f>
        <v>3171077</v>
      </c>
      <c r="AM29" s="290">
        <f t="shared" si="5"/>
        <v>5.1506658717279219E-2</v>
      </c>
      <c r="AN29" s="549">
        <f>ROUND(SUM(AB269:AB280),0)</f>
        <v>3161328</v>
      </c>
      <c r="AO29" s="290">
        <f t="shared" si="5"/>
        <v>4.4032393680577098E-2</v>
      </c>
      <c r="AP29" s="84">
        <f>ROUND(AVERAGE(D269:D280),0)</f>
        <v>20879</v>
      </c>
      <c r="AQ29" s="290">
        <f t="shared" si="1"/>
        <v>1.5663764167923366E-2</v>
      </c>
      <c r="AR29" s="50">
        <f t="shared" si="0"/>
        <v>151878.77771923941</v>
      </c>
      <c r="AS29" s="290">
        <f t="shared" si="2"/>
        <v>3.5290118456396735E-2</v>
      </c>
      <c r="AT29" s="549">
        <f t="shared" si="3"/>
        <v>151412</v>
      </c>
      <c r="AU29" s="290">
        <f t="shared" si="4"/>
        <v>2.7929775013917357E-2</v>
      </c>
      <c r="AV29" s="132"/>
      <c r="AY29" s="4">
        <v>1985</v>
      </c>
      <c r="AZ29" s="4">
        <v>1</v>
      </c>
      <c r="BA29" s="4">
        <f>'[8]Gov 65 &amp; 70'!$S114</f>
        <v>17.399999999999999</v>
      </c>
      <c r="BB29" s="4">
        <f>BB17</f>
        <v>23.9</v>
      </c>
      <c r="BC29" s="82">
        <f t="shared" si="19"/>
        <v>6.5</v>
      </c>
      <c r="BD29" s="36" t="s">
        <v>18</v>
      </c>
      <c r="BE29" s="4">
        <f>'[8]Gov 65 &amp; 70'!$J114</f>
        <v>344.5</v>
      </c>
      <c r="BF29" s="4">
        <f>BF17</f>
        <v>176.9</v>
      </c>
      <c r="BG29" s="83">
        <f t="shared" si="20"/>
        <v>-167.6</v>
      </c>
      <c r="BH29" s="36" t="s">
        <v>18</v>
      </c>
      <c r="BI29" s="273">
        <f t="shared" si="21"/>
        <v>1489.67</v>
      </c>
      <c r="BJ29" s="270">
        <f t="shared" si="22"/>
        <v>-6801.2079999999996</v>
      </c>
      <c r="BK29" s="482">
        <f t="shared" si="23"/>
        <v>-5312</v>
      </c>
      <c r="BL29" s="276"/>
      <c r="BM29" s="36" t="s">
        <v>18</v>
      </c>
      <c r="BN29" s="4">
        <v>1985</v>
      </c>
      <c r="BO29" s="4">
        <v>1</v>
      </c>
      <c r="CF29" s="51">
        <v>2005</v>
      </c>
      <c r="CG29" s="84">
        <f>ROUND(SUM(BP269:BP280),0)</f>
        <v>3156783</v>
      </c>
      <c r="CH29" s="47">
        <f t="shared" si="26"/>
        <v>3.7098958920239067</v>
      </c>
      <c r="CI29" s="84">
        <f>ROUND(SUM(BT269:BT280),0)</f>
        <v>3149326</v>
      </c>
      <c r="CJ29" s="47">
        <f t="shared" si="27"/>
        <v>3.0778767828106623</v>
      </c>
      <c r="CK29" s="84">
        <f>CI29+SHL!CJ29</f>
        <v>3176439</v>
      </c>
    </row>
    <row r="30" spans="1:89">
      <c r="A30" s="4">
        <v>1985</v>
      </c>
      <c r="B30" s="4">
        <v>2</v>
      </c>
      <c r="C30" s="5">
        <v>95027</v>
      </c>
      <c r="D30" s="5">
        <v>6059</v>
      </c>
      <c r="E30" s="73">
        <f t="shared" si="6"/>
        <v>15684</v>
      </c>
      <c r="F30" s="540">
        <f t="shared" si="7"/>
        <v>6059</v>
      </c>
      <c r="H30" s="13" t="s">
        <v>18</v>
      </c>
      <c r="I30" s="76">
        <f>'[7]Gov 65 &amp; 70'!$S115</f>
        <v>20.3</v>
      </c>
      <c r="J30" s="76">
        <f t="shared" ref="J30:J93" si="29">J18</f>
        <v>22.6</v>
      </c>
      <c r="K30" s="362">
        <f t="shared" si="8"/>
        <v>2.3000000000000007</v>
      </c>
      <c r="L30" s="200" t="s">
        <v>18</v>
      </c>
      <c r="M30" s="76">
        <f>'[7]Gov 65 &amp; 70'!$J115</f>
        <v>306.39999999999998</v>
      </c>
      <c r="N30" s="76">
        <f t="shared" ref="N30:N93" si="30">N18</f>
        <v>177.2</v>
      </c>
      <c r="O30" s="363">
        <f t="shared" si="9"/>
        <v>-129.19999999999999</v>
      </c>
      <c r="P30" s="13" t="s">
        <v>18</v>
      </c>
      <c r="Q30" s="77">
        <f t="shared" si="11"/>
        <v>527.11400000000015</v>
      </c>
      <c r="R30" s="78">
        <f t="shared" si="12"/>
        <v>-5242.9359999999997</v>
      </c>
      <c r="S30" s="479">
        <f t="shared" si="13"/>
        <v>-4716</v>
      </c>
      <c r="T30" s="13" t="s">
        <v>18</v>
      </c>
      <c r="U30" s="4">
        <v>1985</v>
      </c>
      <c r="V30" s="4">
        <v>2</v>
      </c>
      <c r="W30" s="153">
        <f t="shared" si="14"/>
        <v>14905.264895197228</v>
      </c>
      <c r="X30" s="153">
        <f t="shared" si="28"/>
        <v>-386.23308051127424</v>
      </c>
      <c r="Y30" s="80"/>
      <c r="Z30" s="98">
        <f t="shared" si="15"/>
        <v>90311</v>
      </c>
      <c r="AA30" s="119">
        <f t="shared" si="10"/>
        <v>-4716</v>
      </c>
      <c r="AB30" s="98">
        <f t="shared" si="16"/>
        <v>90311</v>
      </c>
      <c r="AC30" s="4">
        <v>1985</v>
      </c>
      <c r="AD30" s="4">
        <v>2</v>
      </c>
      <c r="AE30" s="107">
        <f>RESID!AC30</f>
        <v>29.65</v>
      </c>
      <c r="AF30" s="40">
        <f t="shared" si="17"/>
        <v>15292.292457501238</v>
      </c>
      <c r="AG30" s="4">
        <f t="shared" si="18"/>
        <v>92656</v>
      </c>
      <c r="AI30" s="80"/>
      <c r="AK30" s="22">
        <v>2006</v>
      </c>
      <c r="AL30" s="50">
        <f>ROUND(SUM(C281:C292),0)</f>
        <v>3249422</v>
      </c>
      <c r="AM30" s="290">
        <f t="shared" ref="AM30:AM35" si="31">AL30/AL29-1</f>
        <v>2.4706117196145128E-2</v>
      </c>
      <c r="AN30" s="549">
        <f>ROUND(SUM(AB281:AB292),0)</f>
        <v>3254410</v>
      </c>
      <c r="AO30" s="290">
        <f t="shared" ref="AO30:AO35" si="32">AN30/AN29-1</f>
        <v>2.9443955198574789E-2</v>
      </c>
      <c r="AP30" s="84">
        <f>ROUND(AVERAGE(D281:D292),0)</f>
        <v>21412</v>
      </c>
      <c r="AQ30" s="290">
        <f t="shared" ref="AQ30:AQ35" si="33">AP30/AP29-1</f>
        <v>2.5528042530772455E-2</v>
      </c>
      <c r="AR30" s="50">
        <f t="shared" ref="AR30:AR35" si="34">AL30/AP30*1000</f>
        <v>151757.05212030638</v>
      </c>
      <c r="AS30" s="290">
        <f t="shared" ref="AS30:AS35" si="35">AR30/AR29-1</f>
        <v>-8.0146548952386709E-4</v>
      </c>
      <c r="AT30" s="549">
        <f t="shared" ref="AT30:AT35" si="36">ROUND(AN30/AP30*1000,0)</f>
        <v>151990</v>
      </c>
      <c r="AU30" s="290">
        <f t="shared" ref="AU30:AU35" si="37">AT30/AT29-1</f>
        <v>3.8173988851610829E-3</v>
      </c>
      <c r="AY30" s="4">
        <v>1985</v>
      </c>
      <c r="AZ30" s="4">
        <v>2</v>
      </c>
      <c r="BA30" s="4">
        <f>'[8]Gov 65 &amp; 70'!$S115</f>
        <v>40.700000000000003</v>
      </c>
      <c r="BB30" s="4">
        <f t="shared" ref="BB30:BB93" si="38">BB18</f>
        <v>32.799999999999997</v>
      </c>
      <c r="BC30" s="82">
        <f t="shared" si="19"/>
        <v>-7.9000000000000057</v>
      </c>
      <c r="BD30" s="36" t="s">
        <v>18</v>
      </c>
      <c r="BE30" s="4">
        <f>'[8]Gov 65 &amp; 70'!$J115</f>
        <v>168</v>
      </c>
      <c r="BF30" s="4">
        <f t="shared" ref="BF30:BF93" si="39">BF18</f>
        <v>139.1</v>
      </c>
      <c r="BG30" s="83">
        <f t="shared" si="20"/>
        <v>-28.900000000000006</v>
      </c>
      <c r="BH30" s="36" t="s">
        <v>18</v>
      </c>
      <c r="BI30" s="273">
        <f t="shared" si="21"/>
        <v>-1810.5220000000013</v>
      </c>
      <c r="BJ30" s="270">
        <f t="shared" si="22"/>
        <v>-1172.7620000000002</v>
      </c>
      <c r="BK30" s="482">
        <f t="shared" si="23"/>
        <v>-2983</v>
      </c>
      <c r="BL30" s="276"/>
      <c r="BM30" s="36" t="s">
        <v>18</v>
      </c>
      <c r="BN30" s="4">
        <v>1985</v>
      </c>
      <c r="BO30" s="4">
        <v>2</v>
      </c>
      <c r="CF30" s="51">
        <v>2006</v>
      </c>
      <c r="CG30" s="84">
        <f>ROUND(SUM(BP281:BP292),0)</f>
        <v>3238130</v>
      </c>
      <c r="CH30" s="47">
        <f t="shared" si="26"/>
        <v>2.5768955294044549</v>
      </c>
      <c r="CI30" s="84">
        <f>ROUND(SUM(BT281:BT292),0)</f>
        <v>3240992</v>
      </c>
      <c r="CJ30" s="47">
        <f t="shared" si="27"/>
        <v>2.9106545337002299</v>
      </c>
      <c r="CK30" s="84">
        <f>CI30+SHL!CJ30</f>
        <v>3267487</v>
      </c>
    </row>
    <row r="31" spans="1:89">
      <c r="A31" s="4">
        <v>1985</v>
      </c>
      <c r="B31" s="4">
        <v>3</v>
      </c>
      <c r="C31" s="5">
        <v>96426</v>
      </c>
      <c r="D31" s="5">
        <v>6114</v>
      </c>
      <c r="E31" s="73">
        <f t="shared" si="6"/>
        <v>15771</v>
      </c>
      <c r="F31" s="540">
        <f t="shared" si="7"/>
        <v>6114</v>
      </c>
      <c r="H31" s="13" t="s">
        <v>18</v>
      </c>
      <c r="I31" s="76">
        <f>'[7]Gov 65 &amp; 70'!$S116</f>
        <v>62.9</v>
      </c>
      <c r="J31" s="76">
        <f t="shared" si="29"/>
        <v>44.5</v>
      </c>
      <c r="K31" s="362">
        <f t="shared" si="8"/>
        <v>-18.399999999999999</v>
      </c>
      <c r="L31" s="200" t="s">
        <v>18</v>
      </c>
      <c r="M31" s="76">
        <f>'[7]Gov 65 &amp; 70'!$J116</f>
        <v>120.4</v>
      </c>
      <c r="N31" s="76">
        <f t="shared" si="30"/>
        <v>119.5</v>
      </c>
      <c r="O31" s="363">
        <f t="shared" si="9"/>
        <v>-0.90000000000000568</v>
      </c>
      <c r="P31" s="13" t="s">
        <v>18</v>
      </c>
      <c r="Q31" s="77">
        <f t="shared" si="11"/>
        <v>-4216.9119999999994</v>
      </c>
      <c r="R31" s="78">
        <f t="shared" si="12"/>
        <v>-36.522000000000226</v>
      </c>
      <c r="S31" s="479">
        <f t="shared" si="13"/>
        <v>-4253</v>
      </c>
      <c r="T31" s="13" t="s">
        <v>18</v>
      </c>
      <c r="U31" s="4">
        <v>1985</v>
      </c>
      <c r="V31" s="4">
        <v>3</v>
      </c>
      <c r="W31" s="153">
        <f t="shared" si="14"/>
        <v>15075.727837749428</v>
      </c>
      <c r="X31" s="153">
        <f t="shared" si="28"/>
        <v>-286.84423983226043</v>
      </c>
      <c r="Y31" s="80"/>
      <c r="Z31" s="98">
        <f t="shared" si="15"/>
        <v>92173</v>
      </c>
      <c r="AA31" s="119">
        <f t="shared" si="10"/>
        <v>-4253</v>
      </c>
      <c r="AB31" s="98">
        <f t="shared" si="16"/>
        <v>92173</v>
      </c>
      <c r="AC31" s="4">
        <v>1985</v>
      </c>
      <c r="AD31" s="4">
        <v>3</v>
      </c>
      <c r="AE31" s="107">
        <f>RESID!AC31</f>
        <v>29.4</v>
      </c>
      <c r="AF31" s="40">
        <f t="shared" si="17"/>
        <v>15598.789663068368</v>
      </c>
      <c r="AG31" s="4">
        <f t="shared" si="18"/>
        <v>95371</v>
      </c>
      <c r="AI31" s="80"/>
      <c r="AK31" s="22">
        <v>2007</v>
      </c>
      <c r="AL31" s="50">
        <f>ROUND(SUM(C293:C304),0)</f>
        <v>3340614</v>
      </c>
      <c r="AM31" s="290">
        <f t="shared" si="31"/>
        <v>2.8064068009633791E-2</v>
      </c>
      <c r="AN31" s="549">
        <f>ROUND(SUM(AB293:AB304),0)</f>
        <v>3321659</v>
      </c>
      <c r="AO31" s="290">
        <f t="shared" si="32"/>
        <v>2.066396059500808E-2</v>
      </c>
      <c r="AP31" s="84">
        <f>ROUND(AVERAGE(D293:D304),0)</f>
        <v>22296</v>
      </c>
      <c r="AQ31" s="290">
        <f t="shared" si="33"/>
        <v>4.1285260601531926E-2</v>
      </c>
      <c r="AR31" s="50">
        <f t="shared" si="34"/>
        <v>149830.19375672765</v>
      </c>
      <c r="AS31" s="290">
        <f t="shared" si="35"/>
        <v>-1.2696993890282005E-2</v>
      </c>
      <c r="AT31" s="549">
        <f t="shared" si="36"/>
        <v>148980</v>
      </c>
      <c r="AU31" s="290">
        <f t="shared" si="37"/>
        <v>-1.9803934469373008E-2</v>
      </c>
      <c r="AY31" s="4">
        <v>1985</v>
      </c>
      <c r="AZ31" s="4">
        <v>3</v>
      </c>
      <c r="BA31" s="4">
        <f>'[8]Gov 65 &amp; 70'!$S116</f>
        <v>83.5</v>
      </c>
      <c r="BB31" s="4">
        <f t="shared" si="38"/>
        <v>64.099999999999994</v>
      </c>
      <c r="BC31" s="82">
        <f t="shared" si="19"/>
        <v>-19.400000000000006</v>
      </c>
      <c r="BD31" s="36" t="s">
        <v>18</v>
      </c>
      <c r="BE31" s="4">
        <f>'[8]Gov 65 &amp; 70'!$J116</f>
        <v>57.5</v>
      </c>
      <c r="BF31" s="4">
        <f t="shared" si="39"/>
        <v>85.4</v>
      </c>
      <c r="BG31" s="83">
        <f t="shared" si="20"/>
        <v>27.900000000000006</v>
      </c>
      <c r="BH31" s="36" t="s">
        <v>18</v>
      </c>
      <c r="BI31" s="273">
        <f t="shared" si="21"/>
        <v>-4446.0920000000015</v>
      </c>
      <c r="BJ31" s="270">
        <f t="shared" si="22"/>
        <v>1132.1820000000002</v>
      </c>
      <c r="BK31" s="482">
        <f t="shared" si="23"/>
        <v>-3314</v>
      </c>
      <c r="BL31" s="276"/>
      <c r="BM31" s="36" t="s">
        <v>18</v>
      </c>
      <c r="BN31" s="4">
        <v>1985</v>
      </c>
      <c r="BO31" s="4">
        <v>3</v>
      </c>
      <c r="CF31" s="51">
        <v>2007</v>
      </c>
      <c r="CG31" s="84">
        <f>ROUND(SUM(BP293:BP304),0)</f>
        <v>3344769</v>
      </c>
      <c r="CH31" s="47">
        <f t="shared" si="26"/>
        <v>3.2932278815242189</v>
      </c>
      <c r="CI31" s="84">
        <f>ROUND(SUM(BT293:BT304),0)</f>
        <v>3329213</v>
      </c>
      <c r="CJ31" s="47">
        <f t="shared" si="27"/>
        <v>2.7220369565861269</v>
      </c>
      <c r="CK31" s="84">
        <f>CI31+SHL!CJ31</f>
        <v>3355323</v>
      </c>
    </row>
    <row r="32" spans="1:89">
      <c r="A32" s="4">
        <v>1985</v>
      </c>
      <c r="B32" s="4">
        <v>4</v>
      </c>
      <c r="C32" s="5">
        <v>93264</v>
      </c>
      <c r="D32" s="5">
        <v>6157</v>
      </c>
      <c r="E32" s="73">
        <f t="shared" si="6"/>
        <v>15148</v>
      </c>
      <c r="F32" s="540">
        <f t="shared" si="7"/>
        <v>6157</v>
      </c>
      <c r="H32" s="13" t="s">
        <v>18</v>
      </c>
      <c r="I32" s="76">
        <f>'[7]Gov 65 &amp; 70'!$S117</f>
        <v>74.3</v>
      </c>
      <c r="J32" s="76">
        <f t="shared" si="29"/>
        <v>87.7</v>
      </c>
      <c r="K32" s="362">
        <f t="shared" si="8"/>
        <v>13.400000000000006</v>
      </c>
      <c r="L32" s="200" t="s">
        <v>18</v>
      </c>
      <c r="M32" s="76">
        <f>'[7]Gov 65 &amp; 70'!$J117</f>
        <v>61.1</v>
      </c>
      <c r="N32" s="76">
        <f t="shared" si="30"/>
        <v>60.3</v>
      </c>
      <c r="O32" s="363">
        <f t="shared" si="9"/>
        <v>-0.80000000000000426</v>
      </c>
      <c r="P32" s="13" t="s">
        <v>18</v>
      </c>
      <c r="Q32" s="77">
        <f t="shared" si="11"/>
        <v>3071.0120000000015</v>
      </c>
      <c r="R32" s="78">
        <f t="shared" si="12"/>
        <v>-32.464000000000169</v>
      </c>
      <c r="S32" s="479">
        <f t="shared" si="13"/>
        <v>3039</v>
      </c>
      <c r="T32" s="13" t="s">
        <v>18</v>
      </c>
      <c r="U32" s="4">
        <v>1985</v>
      </c>
      <c r="V32" s="4">
        <v>4</v>
      </c>
      <c r="W32" s="153">
        <f t="shared" si="14"/>
        <v>15641.221374045803</v>
      </c>
      <c r="X32" s="153">
        <f t="shared" si="28"/>
        <v>-656.69890325055712</v>
      </c>
      <c r="Y32" s="80"/>
      <c r="Z32" s="98">
        <f t="shared" si="15"/>
        <v>96303</v>
      </c>
      <c r="AA32" s="119">
        <f t="shared" si="10"/>
        <v>3039</v>
      </c>
      <c r="AB32" s="98">
        <f t="shared" si="16"/>
        <v>96303</v>
      </c>
      <c r="AC32" s="4">
        <v>1985</v>
      </c>
      <c r="AD32" s="4">
        <v>4</v>
      </c>
      <c r="AE32" s="107">
        <f>RESID!AC32</f>
        <v>30.35</v>
      </c>
      <c r="AF32" s="40">
        <f t="shared" si="17"/>
        <v>15677.277895078772</v>
      </c>
      <c r="AG32" s="4">
        <f t="shared" si="18"/>
        <v>96525</v>
      </c>
      <c r="AI32" s="80"/>
      <c r="AK32" s="22">
        <v>2008</v>
      </c>
      <c r="AL32" s="50">
        <f>ROUND(SUM(C305:C316),0)</f>
        <v>3275813</v>
      </c>
      <c r="AM32" s="290">
        <f t="shared" si="31"/>
        <v>-1.9397931039024541E-2</v>
      </c>
      <c r="AN32" s="549">
        <f>ROUND(SUM(AB305:AB316),0)</f>
        <v>3291495</v>
      </c>
      <c r="AO32" s="290">
        <f t="shared" si="32"/>
        <v>-9.0810044017161085E-3</v>
      </c>
      <c r="AP32" s="84">
        <f>ROUND(AVERAGE(D305:D316),0)</f>
        <v>23062</v>
      </c>
      <c r="AQ32" s="290">
        <f t="shared" si="33"/>
        <v>3.4355938284894139E-2</v>
      </c>
      <c r="AR32" s="50">
        <f t="shared" si="34"/>
        <v>142043.75162605153</v>
      </c>
      <c r="AS32" s="290">
        <f t="shared" si="35"/>
        <v>-5.1968444646868783E-2</v>
      </c>
      <c r="AT32" s="549">
        <f t="shared" si="36"/>
        <v>142724</v>
      </c>
      <c r="AU32" s="290">
        <f t="shared" si="37"/>
        <v>-4.1992213719962423E-2</v>
      </c>
      <c r="AY32" s="4">
        <v>1985</v>
      </c>
      <c r="AZ32" s="4">
        <v>4</v>
      </c>
      <c r="BA32" s="4">
        <f>'[8]Gov 65 &amp; 70'!$S117</f>
        <v>118.9</v>
      </c>
      <c r="BB32" s="4">
        <f t="shared" si="38"/>
        <v>122</v>
      </c>
      <c r="BC32" s="82">
        <f t="shared" si="19"/>
        <v>3.0999999999999943</v>
      </c>
      <c r="BD32" s="36" t="s">
        <v>18</v>
      </c>
      <c r="BE32" s="4">
        <f>'[8]Gov 65 &amp; 70'!$J117</f>
        <v>32.9</v>
      </c>
      <c r="BF32" s="4">
        <f t="shared" si="39"/>
        <v>34.700000000000003</v>
      </c>
      <c r="BG32" s="83">
        <f t="shared" si="20"/>
        <v>1.8000000000000043</v>
      </c>
      <c r="BH32" s="36" t="s">
        <v>18</v>
      </c>
      <c r="BI32" s="273">
        <f t="shared" si="21"/>
        <v>710.45799999999872</v>
      </c>
      <c r="BJ32" s="270">
        <f t="shared" si="22"/>
        <v>73.044000000000167</v>
      </c>
      <c r="BK32" s="482">
        <f t="shared" si="23"/>
        <v>784</v>
      </c>
      <c r="BL32" s="276"/>
      <c r="BM32" s="36" t="s">
        <v>18</v>
      </c>
      <c r="BN32" s="4">
        <v>1985</v>
      </c>
      <c r="BO32" s="4">
        <v>4</v>
      </c>
      <c r="CF32" s="51">
        <v>2008</v>
      </c>
      <c r="CG32" s="84">
        <f>ROUND(SUM(BP305:BP316),0)</f>
        <v>3254862</v>
      </c>
      <c r="CH32" s="47">
        <f t="shared" si="26"/>
        <v>-2.6879883184758091</v>
      </c>
      <c r="CI32" s="84">
        <f>ROUND(SUM(BT305:BT316),0)</f>
        <v>3268991</v>
      </c>
      <c r="CJ32" s="47">
        <f t="shared" si="27"/>
        <v>-1.808895976316327</v>
      </c>
      <c r="CK32" s="84">
        <f>CI32+SHL!CJ32</f>
        <v>3295220</v>
      </c>
    </row>
    <row r="33" spans="1:89">
      <c r="A33" s="4">
        <v>1985</v>
      </c>
      <c r="B33" s="4">
        <v>5</v>
      </c>
      <c r="C33" s="5">
        <v>103217</v>
      </c>
      <c r="D33" s="5">
        <v>6170</v>
      </c>
      <c r="E33" s="73">
        <f t="shared" si="6"/>
        <v>16729</v>
      </c>
      <c r="F33" s="540">
        <f t="shared" si="7"/>
        <v>6170</v>
      </c>
      <c r="H33" s="13" t="s">
        <v>18</v>
      </c>
      <c r="I33" s="76">
        <f>'[7]Gov 65 &amp; 70'!$S118</f>
        <v>173.7</v>
      </c>
      <c r="J33" s="76">
        <f t="shared" si="29"/>
        <v>157.69999999999999</v>
      </c>
      <c r="K33" s="362">
        <f t="shared" si="8"/>
        <v>-16</v>
      </c>
      <c r="L33" s="200" t="s">
        <v>18</v>
      </c>
      <c r="M33" s="76">
        <f>'[7]Gov 65 &amp; 70'!$J118</f>
        <v>14.2</v>
      </c>
      <c r="N33" s="76">
        <f t="shared" si="30"/>
        <v>18.600000000000001</v>
      </c>
      <c r="O33" s="363">
        <f t="shared" si="9"/>
        <v>4.4000000000000021</v>
      </c>
      <c r="P33" s="13" t="s">
        <v>18</v>
      </c>
      <c r="Q33" s="77">
        <f t="shared" si="11"/>
        <v>-3666.88</v>
      </c>
      <c r="R33" s="78">
        <f t="shared" si="12"/>
        <v>178.55200000000008</v>
      </c>
      <c r="S33" s="479">
        <f t="shared" si="13"/>
        <v>-3488</v>
      </c>
      <c r="T33" s="13" t="s">
        <v>18</v>
      </c>
      <c r="U33" s="4">
        <v>1985</v>
      </c>
      <c r="V33" s="4">
        <v>5</v>
      </c>
      <c r="W33" s="153">
        <f t="shared" si="14"/>
        <v>16163.533225283629</v>
      </c>
      <c r="X33" s="153">
        <f t="shared" si="28"/>
        <v>-819.41251115047817</v>
      </c>
      <c r="Y33" s="80"/>
      <c r="Z33" s="98">
        <f t="shared" si="15"/>
        <v>99729</v>
      </c>
      <c r="AA33" s="119">
        <f t="shared" si="10"/>
        <v>-3488</v>
      </c>
      <c r="AB33" s="98">
        <f t="shared" si="16"/>
        <v>99729</v>
      </c>
      <c r="AC33" s="4">
        <v>1985</v>
      </c>
      <c r="AD33" s="4">
        <v>5</v>
      </c>
      <c r="AE33" s="107">
        <f>RESID!AC33</f>
        <v>29.85</v>
      </c>
      <c r="AF33" s="40">
        <f t="shared" si="17"/>
        <v>16472.123176661262</v>
      </c>
      <c r="AG33" s="4">
        <f t="shared" si="18"/>
        <v>101633</v>
      </c>
      <c r="AI33" s="80"/>
      <c r="AK33" s="22">
        <v>2009</v>
      </c>
      <c r="AL33" s="50">
        <f>ROUND(SUM(C317:C328),0)</f>
        <v>3230223</v>
      </c>
      <c r="AM33" s="290">
        <f t="shared" si="31"/>
        <v>-1.391715583276576E-2</v>
      </c>
      <c r="AN33" s="549">
        <f>ROUND(SUM(AB317:AB328),0)</f>
        <v>3198335</v>
      </c>
      <c r="AO33" s="290">
        <f t="shared" si="32"/>
        <v>-2.8303248220033717E-2</v>
      </c>
      <c r="AP33" s="84">
        <f>ROUND(AVERAGE(D317:D328),0)</f>
        <v>23346</v>
      </c>
      <c r="AQ33" s="290">
        <f t="shared" si="33"/>
        <v>1.2314630127482351E-2</v>
      </c>
      <c r="AR33" s="50">
        <f t="shared" si="34"/>
        <v>138363.01721922384</v>
      </c>
      <c r="AS33" s="290">
        <f t="shared" si="35"/>
        <v>-2.5912680879604633E-2</v>
      </c>
      <c r="AT33" s="549">
        <f t="shared" si="36"/>
        <v>136997</v>
      </c>
      <c r="AU33" s="290">
        <f t="shared" si="37"/>
        <v>-4.0126397802752178E-2</v>
      </c>
      <c r="AY33" s="4">
        <v>1985</v>
      </c>
      <c r="AZ33" s="4">
        <v>5</v>
      </c>
      <c r="BA33" s="4">
        <f>'[8]Gov 65 &amp; 70'!$S118</f>
        <v>266.7</v>
      </c>
      <c r="BB33" s="4">
        <f t="shared" si="38"/>
        <v>253</v>
      </c>
      <c r="BC33" s="82">
        <f t="shared" si="19"/>
        <v>-13.699999999999989</v>
      </c>
      <c r="BD33" s="36" t="s">
        <v>18</v>
      </c>
      <c r="BE33" s="4">
        <f>'[8]Gov 65 &amp; 70'!$J118</f>
        <v>2.2000000000000002</v>
      </c>
      <c r="BF33" s="4">
        <f t="shared" si="39"/>
        <v>4.3</v>
      </c>
      <c r="BG33" s="83">
        <f t="shared" si="20"/>
        <v>2.0999999999999996</v>
      </c>
      <c r="BH33" s="36" t="s">
        <v>18</v>
      </c>
      <c r="BI33" s="273">
        <f t="shared" si="21"/>
        <v>-3139.7659999999973</v>
      </c>
      <c r="BJ33" s="270">
        <f t="shared" si="22"/>
        <v>85.217999999999975</v>
      </c>
      <c r="BK33" s="482">
        <f t="shared" si="23"/>
        <v>-3055</v>
      </c>
      <c r="BL33" s="276"/>
      <c r="BM33" s="36" t="s">
        <v>18</v>
      </c>
      <c r="BN33" s="4">
        <v>1985</v>
      </c>
      <c r="BO33" s="4">
        <v>5</v>
      </c>
      <c r="CF33" s="51">
        <v>2009</v>
      </c>
      <c r="CG33" s="84">
        <f>ROUND(SUM(BP317:BP328),0)</f>
        <v>3256356</v>
      </c>
      <c r="CH33" s="47">
        <f t="shared" si="26"/>
        <v>4.5900563526202198E-2</v>
      </c>
      <c r="CI33" s="84">
        <f>ROUND(SUM(BT317:BT328),0)</f>
        <v>3224243</v>
      </c>
      <c r="CJ33" s="47">
        <f t="shared" si="27"/>
        <v>-1.3688627469454651</v>
      </c>
      <c r="CK33" s="84">
        <f>CI33+SHL!CJ33</f>
        <v>3250368</v>
      </c>
    </row>
    <row r="34" spans="1:89">
      <c r="A34" s="4">
        <v>1985</v>
      </c>
      <c r="B34" s="4">
        <v>6</v>
      </c>
      <c r="C34" s="5">
        <v>115219</v>
      </c>
      <c r="D34" s="5">
        <v>6186</v>
      </c>
      <c r="E34" s="73">
        <f t="shared" si="6"/>
        <v>18626</v>
      </c>
      <c r="F34" s="540">
        <f t="shared" si="7"/>
        <v>6186</v>
      </c>
      <c r="H34" s="13" t="s">
        <v>18</v>
      </c>
      <c r="I34" s="76">
        <f>'[7]Gov 65 &amp; 70'!$S119</f>
        <v>326.39999999999998</v>
      </c>
      <c r="J34" s="76">
        <f t="shared" si="29"/>
        <v>295.39999999999998</v>
      </c>
      <c r="K34" s="362">
        <f t="shared" si="8"/>
        <v>-31</v>
      </c>
      <c r="L34" s="200" t="s">
        <v>18</v>
      </c>
      <c r="M34" s="76">
        <f>'[7]Gov 65 &amp; 70'!$J119</f>
        <v>1.2</v>
      </c>
      <c r="N34" s="76">
        <f t="shared" si="30"/>
        <v>2.2000000000000002</v>
      </c>
      <c r="O34" s="363">
        <f t="shared" si="9"/>
        <v>1.0000000000000002</v>
      </c>
      <c r="P34" s="13" t="s">
        <v>18</v>
      </c>
      <c r="Q34" s="77">
        <f t="shared" si="11"/>
        <v>-7104.58</v>
      </c>
      <c r="R34" s="78">
        <f t="shared" si="12"/>
        <v>40.580000000000005</v>
      </c>
      <c r="S34" s="479">
        <f t="shared" si="13"/>
        <v>-7064</v>
      </c>
      <c r="T34" s="13" t="s">
        <v>18</v>
      </c>
      <c r="U34" s="4">
        <v>1985</v>
      </c>
      <c r="V34" s="4">
        <v>6</v>
      </c>
      <c r="W34" s="153">
        <f t="shared" si="14"/>
        <v>17483.83446492079</v>
      </c>
      <c r="X34" s="153">
        <f t="shared" si="28"/>
        <v>-2794.181666879449</v>
      </c>
      <c r="Y34" s="80"/>
      <c r="Z34" s="98">
        <f t="shared" si="15"/>
        <v>108155</v>
      </c>
      <c r="AA34" s="119">
        <f t="shared" si="10"/>
        <v>-7064</v>
      </c>
      <c r="AB34" s="98">
        <f t="shared" si="16"/>
        <v>108155</v>
      </c>
      <c r="AC34" s="4">
        <v>1985</v>
      </c>
      <c r="AD34" s="4">
        <v>6</v>
      </c>
      <c r="AE34" s="107">
        <f>RESID!AC34</f>
        <v>30.8</v>
      </c>
      <c r="AF34" s="40">
        <f t="shared" si="17"/>
        <v>17268.186226964113</v>
      </c>
      <c r="AG34" s="4">
        <f t="shared" si="18"/>
        <v>106821</v>
      </c>
      <c r="AI34" s="80"/>
      <c r="AK34" s="22">
        <v>2010</v>
      </c>
      <c r="AL34" s="50">
        <f>ROUND(SUM(C329:C340),0)</f>
        <v>3259985</v>
      </c>
      <c r="AM34" s="290">
        <f t="shared" si="31"/>
        <v>9.2136053764708681E-3</v>
      </c>
      <c r="AN34" s="549">
        <f>ROUND(SUM(AB329:AB340),0)</f>
        <v>3216077</v>
      </c>
      <c r="AO34" s="290">
        <f t="shared" si="32"/>
        <v>5.5472613094000867E-3</v>
      </c>
      <c r="AP34" s="84">
        <f>ROUND(AVERAGE(D329:D340),0)</f>
        <v>23571</v>
      </c>
      <c r="AQ34" s="290">
        <f t="shared" si="33"/>
        <v>9.637625289128815E-3</v>
      </c>
      <c r="AR34" s="50">
        <f t="shared" si="34"/>
        <v>138304.90857409529</v>
      </c>
      <c r="AS34" s="290">
        <f t="shared" si="35"/>
        <v>-4.1997237626356654E-4</v>
      </c>
      <c r="AT34" s="549">
        <f t="shared" si="36"/>
        <v>136442</v>
      </c>
      <c r="AU34" s="290">
        <f t="shared" si="37"/>
        <v>-4.0511836025606263E-3</v>
      </c>
      <c r="AY34" s="4">
        <v>1985</v>
      </c>
      <c r="AZ34" s="4">
        <v>6</v>
      </c>
      <c r="BA34" s="4">
        <f>'[8]Gov 65 &amp; 70'!$S119</f>
        <v>382.7</v>
      </c>
      <c r="BB34" s="4">
        <f t="shared" si="38"/>
        <v>336.1</v>
      </c>
      <c r="BC34" s="82">
        <f t="shared" si="19"/>
        <v>-46.599999999999966</v>
      </c>
      <c r="BD34" s="36" t="s">
        <v>18</v>
      </c>
      <c r="BE34" s="4">
        <f>'[8]Gov 65 &amp; 70'!$J119</f>
        <v>0.1</v>
      </c>
      <c r="BF34" s="4">
        <f t="shared" si="39"/>
        <v>0</v>
      </c>
      <c r="BG34" s="83">
        <f t="shared" si="20"/>
        <v>-0.1</v>
      </c>
      <c r="BH34" s="36" t="s">
        <v>18</v>
      </c>
      <c r="BI34" s="273">
        <f t="shared" si="21"/>
        <v>-10679.787999999993</v>
      </c>
      <c r="BJ34" s="270">
        <f t="shared" si="22"/>
        <v>-4.0579999999999998</v>
      </c>
      <c r="BK34" s="482">
        <f t="shared" si="23"/>
        <v>-10684</v>
      </c>
      <c r="BL34" s="276"/>
      <c r="BM34" s="36" t="s">
        <v>18</v>
      </c>
      <c r="BN34" s="4">
        <v>1985</v>
      </c>
      <c r="BO34" s="4">
        <v>6</v>
      </c>
      <c r="CF34" s="51">
        <v>2010</v>
      </c>
      <c r="CG34" s="84">
        <f>ROUND(SUM(BP329:BP340),0)</f>
        <v>3288482</v>
      </c>
      <c r="CH34" s="47">
        <f t="shared" ref="CH34" si="40">(CG34/CG33-1)*100</f>
        <v>0.98656289422900389</v>
      </c>
      <c r="CI34" s="84">
        <f>ROUND(SUM(BT329:BT340),0)</f>
        <v>3245017</v>
      </c>
      <c r="CJ34" s="47">
        <f t="shared" ref="CJ34" si="41">(CI34/CI33-1)*100</f>
        <v>0.64430627592275691</v>
      </c>
      <c r="CK34" s="84">
        <f>CI34+SHL!CJ34</f>
        <v>3270998</v>
      </c>
    </row>
    <row r="35" spans="1:89">
      <c r="A35" s="4">
        <v>1985</v>
      </c>
      <c r="B35" s="4">
        <v>7</v>
      </c>
      <c r="C35" s="5">
        <v>104357</v>
      </c>
      <c r="D35" s="5">
        <v>6190</v>
      </c>
      <c r="E35" s="73">
        <f t="shared" si="6"/>
        <v>16859</v>
      </c>
      <c r="F35" s="540">
        <f t="shared" si="7"/>
        <v>6190</v>
      </c>
      <c r="H35" s="13" t="s">
        <v>18</v>
      </c>
      <c r="I35" s="76">
        <f>'[7]Gov 65 &amp; 70'!$S120</f>
        <v>371.5</v>
      </c>
      <c r="J35" s="76">
        <f t="shared" si="29"/>
        <v>363.4</v>
      </c>
      <c r="K35" s="362">
        <f t="shared" si="8"/>
        <v>-8.1000000000000227</v>
      </c>
      <c r="L35" s="200" t="s">
        <v>18</v>
      </c>
      <c r="M35" s="76">
        <f>'[7]Gov 65 &amp; 70'!$J120</f>
        <v>0.1</v>
      </c>
      <c r="N35" s="76">
        <f t="shared" si="30"/>
        <v>0</v>
      </c>
      <c r="O35" s="363">
        <f t="shared" si="9"/>
        <v>-0.1</v>
      </c>
      <c r="P35" s="13" t="s">
        <v>18</v>
      </c>
      <c r="Q35" s="77">
        <f t="shared" si="11"/>
        <v>-1856.3580000000052</v>
      </c>
      <c r="R35" s="78">
        <f t="shared" si="12"/>
        <v>-4.0579999999999998</v>
      </c>
      <c r="S35" s="479">
        <f t="shared" si="13"/>
        <v>-1860</v>
      </c>
      <c r="T35" s="13" t="s">
        <v>18</v>
      </c>
      <c r="U35" s="4">
        <v>1985</v>
      </c>
      <c r="V35" s="4">
        <v>7</v>
      </c>
      <c r="W35" s="153">
        <f t="shared" si="14"/>
        <v>16558.481421647819</v>
      </c>
      <c r="X35" s="153">
        <f t="shared" si="28"/>
        <v>-2226.7177541763558</v>
      </c>
      <c r="Y35" s="80"/>
      <c r="Z35" s="98">
        <f t="shared" si="15"/>
        <v>102497</v>
      </c>
      <c r="AA35" s="119">
        <f t="shared" si="10"/>
        <v>-1860</v>
      </c>
      <c r="AB35" s="98">
        <f t="shared" si="16"/>
        <v>102497</v>
      </c>
      <c r="AC35" s="4">
        <v>1985</v>
      </c>
      <c r="AD35" s="4">
        <v>7</v>
      </c>
      <c r="AE35" s="107">
        <f>RESID!AC35</f>
        <v>30.4</v>
      </c>
      <c r="AF35" s="40">
        <f t="shared" si="17"/>
        <v>16569.305331179323</v>
      </c>
      <c r="AG35" s="4">
        <f t="shared" si="18"/>
        <v>102564</v>
      </c>
      <c r="AI35" s="80"/>
      <c r="AK35" s="22">
        <v>2011</v>
      </c>
      <c r="AL35" s="50">
        <f>ROUND(SUM(C341:C352),0)</f>
        <v>3199671</v>
      </c>
      <c r="AM35" s="290">
        <f t="shared" si="31"/>
        <v>-1.8501312122601754E-2</v>
      </c>
      <c r="AN35" s="549">
        <f>ROUND(SUM(AB341:AB352),0)</f>
        <v>3177276</v>
      </c>
      <c r="AO35" s="290">
        <f t="shared" si="32"/>
        <v>-1.2064698699689069E-2</v>
      </c>
      <c r="AP35" s="84">
        <f>ROUND(AVERAGE(D341:D352),0)</f>
        <v>23640</v>
      </c>
      <c r="AQ35" s="290">
        <f t="shared" si="33"/>
        <v>2.9273259513808991E-3</v>
      </c>
      <c r="AR35" s="50">
        <f t="shared" si="34"/>
        <v>135349.87309644671</v>
      </c>
      <c r="AS35" s="290">
        <f t="shared" si="35"/>
        <v>-2.1366092556761695E-2</v>
      </c>
      <c r="AT35" s="549">
        <f t="shared" si="36"/>
        <v>134403</v>
      </c>
      <c r="AU35" s="290">
        <f t="shared" si="37"/>
        <v>-1.4944078802714755E-2</v>
      </c>
      <c r="AY35" s="4">
        <v>1985</v>
      </c>
      <c r="AZ35" s="4">
        <v>7</v>
      </c>
      <c r="BA35" s="4">
        <f>'[8]Gov 65 &amp; 70'!$S120</f>
        <v>375</v>
      </c>
      <c r="BB35" s="4">
        <f t="shared" si="38"/>
        <v>391.2</v>
      </c>
      <c r="BC35" s="82">
        <f t="shared" si="19"/>
        <v>16.199999999999989</v>
      </c>
      <c r="BD35" s="36" t="s">
        <v>18</v>
      </c>
      <c r="BE35" s="4">
        <f>'[8]Gov 65 &amp; 70'!$J120</f>
        <v>0</v>
      </c>
      <c r="BF35" s="4">
        <f t="shared" si="39"/>
        <v>0</v>
      </c>
      <c r="BG35" s="83">
        <f t="shared" si="20"/>
        <v>0</v>
      </c>
      <c r="BH35" s="36" t="s">
        <v>18</v>
      </c>
      <c r="BI35" s="273">
        <f t="shared" si="21"/>
        <v>3712.7159999999976</v>
      </c>
      <c r="BJ35" s="270">
        <f t="shared" si="22"/>
        <v>0</v>
      </c>
      <c r="BK35" s="482">
        <f t="shared" si="23"/>
        <v>3713</v>
      </c>
      <c r="BL35" s="276"/>
      <c r="BM35" s="36" t="s">
        <v>18</v>
      </c>
      <c r="BN35" s="4">
        <v>1985</v>
      </c>
      <c r="BO35" s="4">
        <v>7</v>
      </c>
      <c r="CF35" s="51">
        <v>2011</v>
      </c>
      <c r="CG35" s="84">
        <f>ROUND(SUM(BP341:BP352),0)</f>
        <v>3158290</v>
      </c>
      <c r="CH35" s="47">
        <f t="shared" ref="CH35" si="42">(CG35/CG34-1)*100</f>
        <v>-3.9590303367936897</v>
      </c>
      <c r="CI35" s="84">
        <f>ROUND(SUM(BT341:BT352),0)</f>
        <v>3131642</v>
      </c>
      <c r="CJ35" s="47">
        <f t="shared" ref="CJ35" si="43">(CI35/CI34-1)*100</f>
        <v>-3.4938183682858948</v>
      </c>
      <c r="CK35" s="84">
        <f>CI35+SHL!CJ35</f>
        <v>3156156</v>
      </c>
    </row>
    <row r="36" spans="1:89">
      <c r="A36" s="4">
        <v>1985</v>
      </c>
      <c r="B36" s="4">
        <v>8</v>
      </c>
      <c r="C36" s="5">
        <v>103813</v>
      </c>
      <c r="D36" s="5">
        <v>6207</v>
      </c>
      <c r="E36" s="73">
        <f t="shared" si="6"/>
        <v>16725</v>
      </c>
      <c r="F36" s="540">
        <f t="shared" si="7"/>
        <v>6207</v>
      </c>
      <c r="H36" s="13" t="s">
        <v>18</v>
      </c>
      <c r="I36" s="76">
        <f>'[7]Gov 65 &amp; 70'!$S121</f>
        <v>375.1</v>
      </c>
      <c r="J36" s="76">
        <f t="shared" si="29"/>
        <v>390.1</v>
      </c>
      <c r="K36" s="362">
        <f t="shared" si="8"/>
        <v>15</v>
      </c>
      <c r="L36" s="200" t="s">
        <v>18</v>
      </c>
      <c r="M36" s="76">
        <f>'[7]Gov 65 &amp; 70'!$J121</f>
        <v>0</v>
      </c>
      <c r="N36" s="76">
        <f t="shared" si="30"/>
        <v>0</v>
      </c>
      <c r="O36" s="363">
        <f t="shared" si="9"/>
        <v>0</v>
      </c>
      <c r="P36" s="13" t="s">
        <v>18</v>
      </c>
      <c r="Q36" s="77">
        <f t="shared" si="11"/>
        <v>3437.7000000000003</v>
      </c>
      <c r="R36" s="78">
        <f t="shared" si="12"/>
        <v>0</v>
      </c>
      <c r="S36" s="479">
        <f t="shared" si="13"/>
        <v>3438</v>
      </c>
      <c r="T36" s="13" t="s">
        <v>18</v>
      </c>
      <c r="U36" s="4">
        <v>1985</v>
      </c>
      <c r="V36" s="4">
        <v>8</v>
      </c>
      <c r="W36" s="153">
        <f t="shared" si="14"/>
        <v>17279.039793781216</v>
      </c>
      <c r="X36" s="153">
        <f t="shared" si="28"/>
        <v>-577.39330541357776</v>
      </c>
      <c r="Y36" s="80"/>
      <c r="Z36" s="98">
        <f t="shared" si="15"/>
        <v>107251</v>
      </c>
      <c r="AA36" s="119">
        <f t="shared" si="10"/>
        <v>3438</v>
      </c>
      <c r="AB36" s="98">
        <f t="shared" si="16"/>
        <v>107251</v>
      </c>
      <c r="AC36" s="4">
        <v>1985</v>
      </c>
      <c r="AD36" s="4">
        <v>8</v>
      </c>
      <c r="AE36" s="107">
        <f>RESID!AC36</f>
        <v>31.2</v>
      </c>
      <c r="AF36" s="40">
        <f t="shared" si="17"/>
        <v>16847.108103753824</v>
      </c>
      <c r="AG36" s="4">
        <f t="shared" si="18"/>
        <v>104570</v>
      </c>
      <c r="AI36" s="80"/>
      <c r="AK36" s="22">
        <v>2012</v>
      </c>
      <c r="AL36" s="50">
        <f>ROUND(SUM(C353:C364),0)</f>
        <v>3221388</v>
      </c>
      <c r="AM36" s="290">
        <f t="shared" ref="AM36" si="44">AL36/AL35-1</f>
        <v>6.7872603152010491E-3</v>
      </c>
      <c r="AN36" s="549">
        <f>ROUND(SUM(AB353:AB364),0)</f>
        <v>3213916</v>
      </c>
      <c r="AO36" s="290">
        <f t="shared" ref="AO36" si="45">AN36/AN35-1</f>
        <v>1.1531890839826309E-2</v>
      </c>
      <c r="AP36" s="84">
        <f>ROUND(AVERAGE(D353:D364),0)</f>
        <v>23904</v>
      </c>
      <c r="AQ36" s="290">
        <f t="shared" ref="AQ36" si="46">AP36/AP35-1</f>
        <v>1.116751269035543E-2</v>
      </c>
      <c r="AR36" s="50">
        <f t="shared" ref="AR36" si="47">AL36/AP36*1000</f>
        <v>134763.55421686749</v>
      </c>
      <c r="AS36" s="290">
        <f t="shared" ref="AS36" si="48">AR36/AR35-1</f>
        <v>-4.3318760939023981E-3</v>
      </c>
      <c r="AT36" s="549">
        <f t="shared" ref="AT36" si="49">ROUND(AN36/AP36*1000,0)</f>
        <v>134451</v>
      </c>
      <c r="AU36" s="290">
        <f t="shared" ref="AU36" si="50">AT36/AT35-1</f>
        <v>3.5713488538191562E-4</v>
      </c>
      <c r="AY36" s="4">
        <v>1985</v>
      </c>
      <c r="AZ36" s="4">
        <v>8</v>
      </c>
      <c r="BA36" s="4">
        <f>'[8]Gov 65 &amp; 70'!$S121</f>
        <v>380.2</v>
      </c>
      <c r="BB36" s="4">
        <f t="shared" si="38"/>
        <v>394.4</v>
      </c>
      <c r="BC36" s="82">
        <f t="shared" si="19"/>
        <v>14.199999999999989</v>
      </c>
      <c r="BD36" s="36" t="s">
        <v>18</v>
      </c>
      <c r="BE36" s="4">
        <f>'[8]Gov 65 &amp; 70'!$J121</f>
        <v>0</v>
      </c>
      <c r="BF36" s="4">
        <f t="shared" si="39"/>
        <v>0</v>
      </c>
      <c r="BG36" s="83">
        <f t="shared" si="20"/>
        <v>0</v>
      </c>
      <c r="BH36" s="36" t="s">
        <v>18</v>
      </c>
      <c r="BI36" s="273">
        <f t="shared" si="21"/>
        <v>3254.3559999999975</v>
      </c>
      <c r="BJ36" s="270">
        <f t="shared" si="22"/>
        <v>0</v>
      </c>
      <c r="BK36" s="482">
        <f t="shared" si="23"/>
        <v>3254</v>
      </c>
      <c r="BL36" s="276"/>
      <c r="BM36" s="36" t="s">
        <v>18</v>
      </c>
      <c r="BN36" s="4">
        <v>1985</v>
      </c>
      <c r="BO36" s="4">
        <v>8</v>
      </c>
      <c r="CF36" s="51">
        <v>2012</v>
      </c>
      <c r="CG36" s="84">
        <f>ROUND(SUM(BP353:BP364),0)</f>
        <v>3251518</v>
      </c>
      <c r="CH36" s="47">
        <f t="shared" ref="CH36" si="51">(CG36/CG35-1)*100</f>
        <v>2.9518505267090767</v>
      </c>
      <c r="CI36" s="84">
        <f>ROUND(SUM(BT353:BT364),0)</f>
        <v>3243500</v>
      </c>
      <c r="CJ36" s="47">
        <f t="shared" ref="CJ36" si="52">(CI36/CI35-1)*100</f>
        <v>3.5718642169187964</v>
      </c>
      <c r="CK36" s="84">
        <f>CI36+SHL!CJ36</f>
        <v>3268825</v>
      </c>
    </row>
    <row r="37" spans="1:89">
      <c r="A37" s="4">
        <v>1985</v>
      </c>
      <c r="B37" s="4">
        <v>9</v>
      </c>
      <c r="C37" s="5">
        <v>115385</v>
      </c>
      <c r="D37" s="5">
        <v>6243</v>
      </c>
      <c r="E37" s="73">
        <f t="shared" si="6"/>
        <v>18482</v>
      </c>
      <c r="F37" s="540">
        <f t="shared" si="7"/>
        <v>6243</v>
      </c>
      <c r="H37" s="13" t="s">
        <v>18</v>
      </c>
      <c r="I37" s="76">
        <f>'[7]Gov 65 &amp; 70'!$S122</f>
        <v>360.1</v>
      </c>
      <c r="J37" s="76">
        <f t="shared" si="29"/>
        <v>381.2</v>
      </c>
      <c r="K37" s="362">
        <f t="shared" si="8"/>
        <v>21.099999999999966</v>
      </c>
      <c r="L37" s="200" t="s">
        <v>18</v>
      </c>
      <c r="M37" s="76">
        <f>'[7]Gov 65 &amp; 70'!$J122</f>
        <v>0</v>
      </c>
      <c r="N37" s="76">
        <f t="shared" si="30"/>
        <v>0</v>
      </c>
      <c r="O37" s="363">
        <f t="shared" si="9"/>
        <v>0</v>
      </c>
      <c r="P37" s="13" t="s">
        <v>18</v>
      </c>
      <c r="Q37" s="77">
        <f t="shared" si="11"/>
        <v>4835.6979999999921</v>
      </c>
      <c r="R37" s="78">
        <f t="shared" si="12"/>
        <v>0</v>
      </c>
      <c r="S37" s="479">
        <f t="shared" si="13"/>
        <v>4836</v>
      </c>
      <c r="T37" s="13" t="s">
        <v>18</v>
      </c>
      <c r="U37" s="4">
        <v>1985</v>
      </c>
      <c r="V37" s="4">
        <v>9</v>
      </c>
      <c r="W37" s="153">
        <f t="shared" si="14"/>
        <v>19256.92775909018</v>
      </c>
      <c r="X37" s="153">
        <f t="shared" si="28"/>
        <v>-717.21750370961308</v>
      </c>
      <c r="Y37" s="80"/>
      <c r="Z37" s="98">
        <f t="shared" si="15"/>
        <v>120221</v>
      </c>
      <c r="AA37" s="119">
        <f t="shared" si="10"/>
        <v>4836</v>
      </c>
      <c r="AB37" s="98">
        <f t="shared" si="16"/>
        <v>120221</v>
      </c>
      <c r="AC37" s="4">
        <v>1985</v>
      </c>
      <c r="AD37" s="4">
        <v>9</v>
      </c>
      <c r="AE37" s="107">
        <f>RESID!AC37</f>
        <v>30.5</v>
      </c>
      <c r="AF37" s="40">
        <f t="shared" si="17"/>
        <v>19206.471247797534</v>
      </c>
      <c r="AG37" s="4">
        <f t="shared" si="18"/>
        <v>119906</v>
      </c>
      <c r="AI37" s="80"/>
      <c r="AK37" s="22">
        <v>2013</v>
      </c>
      <c r="AL37" s="50">
        <f>ROUND(SUM(C365:C376),0)</f>
        <v>3158896</v>
      </c>
      <c r="AM37" s="290">
        <f t="shared" ref="AM37" si="53">AL37/AL36-1</f>
        <v>-1.9399091323367479E-2</v>
      </c>
      <c r="AN37" s="549">
        <f>ROUND(SUM(AB365:AB376),0)</f>
        <v>3140559</v>
      </c>
      <c r="AO37" s="290">
        <f t="shared" ref="AO37" si="54">AN37/AN36-1</f>
        <v>-2.2824803137356464E-2</v>
      </c>
      <c r="AP37" s="84">
        <f>ROUND(AVERAGE(D365:D376),0)</f>
        <v>24180</v>
      </c>
      <c r="AQ37" s="290">
        <f t="shared" ref="AQ37" si="55">AP37/AP36-1</f>
        <v>1.1546184738955745E-2</v>
      </c>
      <c r="AR37" s="50">
        <f t="shared" ref="AR37" si="56">AL37/AP37*1000</f>
        <v>130640.86021505378</v>
      </c>
      <c r="AS37" s="290">
        <f t="shared" ref="AS37" si="57">AR37/AR36-1</f>
        <v>-3.059205454895686E-2</v>
      </c>
      <c r="AT37" s="549">
        <f t="shared" ref="AT37" si="58">ROUND(AN37/AP37*1000,0)</f>
        <v>129883</v>
      </c>
      <c r="AU37" s="290">
        <f t="shared" ref="AU37" si="59">AT37/AT36-1</f>
        <v>-3.3975202862009168E-2</v>
      </c>
      <c r="AY37" s="4">
        <v>1985</v>
      </c>
      <c r="AZ37" s="4">
        <v>9</v>
      </c>
      <c r="BA37" s="4">
        <f>'[8]Gov 65 &amp; 70'!$S122</f>
        <v>308.89999999999998</v>
      </c>
      <c r="BB37" s="4">
        <f t="shared" si="38"/>
        <v>339.3</v>
      </c>
      <c r="BC37" s="82">
        <f t="shared" si="19"/>
        <v>30.400000000000034</v>
      </c>
      <c r="BD37" s="36" t="s">
        <v>18</v>
      </c>
      <c r="BE37" s="4">
        <f>'[8]Gov 65 &amp; 70'!$J122</f>
        <v>0.4</v>
      </c>
      <c r="BF37" s="4">
        <f t="shared" si="39"/>
        <v>0</v>
      </c>
      <c r="BG37" s="83">
        <f t="shared" si="20"/>
        <v>-0.4</v>
      </c>
      <c r="BH37" s="36" t="s">
        <v>18</v>
      </c>
      <c r="BI37" s="273">
        <f t="shared" si="21"/>
        <v>6967.0720000000083</v>
      </c>
      <c r="BJ37" s="270">
        <f t="shared" si="22"/>
        <v>-16.231999999999999</v>
      </c>
      <c r="BK37" s="482">
        <f t="shared" si="23"/>
        <v>6951</v>
      </c>
      <c r="BL37" s="276"/>
      <c r="BM37" s="36" t="s">
        <v>18</v>
      </c>
      <c r="BN37" s="4">
        <v>1985</v>
      </c>
      <c r="BO37" s="4">
        <v>9</v>
      </c>
    </row>
    <row r="38" spans="1:89">
      <c r="A38" s="4">
        <v>1985</v>
      </c>
      <c r="B38" s="4">
        <v>10</v>
      </c>
      <c r="C38" s="5">
        <v>114798</v>
      </c>
      <c r="D38" s="5">
        <v>6269</v>
      </c>
      <c r="E38" s="73">
        <f t="shared" si="6"/>
        <v>18312</v>
      </c>
      <c r="F38" s="540">
        <f t="shared" si="7"/>
        <v>6269</v>
      </c>
      <c r="H38" s="13" t="s">
        <v>18</v>
      </c>
      <c r="I38" s="76">
        <f>'[7]Gov 65 &amp; 70'!$S123</f>
        <v>292.10000000000002</v>
      </c>
      <c r="J38" s="76">
        <f t="shared" si="29"/>
        <v>287.8</v>
      </c>
      <c r="K38" s="362">
        <f t="shared" si="8"/>
        <v>-4.3000000000000114</v>
      </c>
      <c r="L38" s="200" t="s">
        <v>18</v>
      </c>
      <c r="M38" s="76">
        <f>'[7]Gov 65 &amp; 70'!$J123</f>
        <v>1.4</v>
      </c>
      <c r="N38" s="76">
        <f t="shared" si="30"/>
        <v>2.5</v>
      </c>
      <c r="O38" s="363">
        <f t="shared" si="9"/>
        <v>1.1000000000000001</v>
      </c>
      <c r="P38" s="13" t="s">
        <v>18</v>
      </c>
      <c r="Q38" s="77">
        <f t="shared" si="11"/>
        <v>-985.47400000000266</v>
      </c>
      <c r="R38" s="78">
        <f t="shared" si="12"/>
        <v>44.638000000000005</v>
      </c>
      <c r="S38" s="479">
        <f t="shared" si="13"/>
        <v>-941</v>
      </c>
      <c r="T38" s="13" t="s">
        <v>18</v>
      </c>
      <c r="U38" s="4">
        <v>1985</v>
      </c>
      <c r="V38" s="4">
        <v>10</v>
      </c>
      <c r="W38" s="153">
        <f t="shared" si="14"/>
        <v>18161.907800287128</v>
      </c>
      <c r="X38" s="153">
        <f t="shared" si="28"/>
        <v>-2377.402778758551</v>
      </c>
      <c r="Y38" s="80"/>
      <c r="Z38" s="98">
        <f t="shared" si="15"/>
        <v>113857</v>
      </c>
      <c r="AA38" s="119">
        <f t="shared" si="10"/>
        <v>-941</v>
      </c>
      <c r="AB38" s="98">
        <f t="shared" si="16"/>
        <v>113857</v>
      </c>
      <c r="AC38" s="4">
        <v>1985</v>
      </c>
      <c r="AD38" s="4">
        <v>10</v>
      </c>
      <c r="AE38" s="107">
        <f>RESID!AC38</f>
        <v>29.7</v>
      </c>
      <c r="AF38" s="40">
        <f t="shared" si="17"/>
        <v>18602.169405008772</v>
      </c>
      <c r="AG38" s="4">
        <f t="shared" si="18"/>
        <v>116617</v>
      </c>
      <c r="AI38" s="80"/>
      <c r="AY38" s="4">
        <v>1985</v>
      </c>
      <c r="AZ38" s="4">
        <v>10</v>
      </c>
      <c r="BA38" s="4">
        <f>'[8]Gov 65 &amp; 70'!$S123</f>
        <v>289.89999999999998</v>
      </c>
      <c r="BB38" s="4">
        <f t="shared" si="38"/>
        <v>200.4</v>
      </c>
      <c r="BC38" s="82">
        <f t="shared" si="19"/>
        <v>-89.499999999999972</v>
      </c>
      <c r="BD38" s="36" t="s">
        <v>18</v>
      </c>
      <c r="BE38" s="4">
        <f>'[8]Gov 65 &amp; 70'!$J123</f>
        <v>1.7</v>
      </c>
      <c r="BF38" s="4">
        <f t="shared" si="39"/>
        <v>15</v>
      </c>
      <c r="BG38" s="83">
        <f t="shared" si="20"/>
        <v>13.3</v>
      </c>
      <c r="BH38" s="36" t="s">
        <v>18</v>
      </c>
      <c r="BI38" s="273">
        <f t="shared" si="21"/>
        <v>-20511.609999999993</v>
      </c>
      <c r="BJ38" s="270">
        <f t="shared" si="22"/>
        <v>539.71400000000006</v>
      </c>
      <c r="BK38" s="482">
        <f t="shared" si="23"/>
        <v>-19972</v>
      </c>
      <c r="BL38" s="276"/>
      <c r="BM38" s="36" t="s">
        <v>18</v>
      </c>
      <c r="BN38" s="4">
        <v>1985</v>
      </c>
      <c r="BO38" s="4">
        <v>10</v>
      </c>
    </row>
    <row r="39" spans="1:89">
      <c r="A39" s="4">
        <v>1985</v>
      </c>
      <c r="B39" s="4">
        <v>11</v>
      </c>
      <c r="C39" s="5">
        <v>111457</v>
      </c>
      <c r="D39" s="5">
        <v>6293</v>
      </c>
      <c r="E39" s="73">
        <f t="shared" si="6"/>
        <v>17711</v>
      </c>
      <c r="F39" s="540">
        <f t="shared" si="7"/>
        <v>6293</v>
      </c>
      <c r="H39" s="13" t="s">
        <v>18</v>
      </c>
      <c r="I39" s="76">
        <f>'[7]Gov 65 &amp; 70'!$S124</f>
        <v>232.6</v>
      </c>
      <c r="J39" s="76">
        <f t="shared" si="29"/>
        <v>140.19999999999999</v>
      </c>
      <c r="K39" s="362">
        <f t="shared" si="8"/>
        <v>-92.4</v>
      </c>
      <c r="L39" s="200" t="s">
        <v>18</v>
      </c>
      <c r="M39" s="76">
        <f>'[7]Gov 65 &amp; 70'!$J124</f>
        <v>14.1</v>
      </c>
      <c r="N39" s="76">
        <f t="shared" si="30"/>
        <v>38.6</v>
      </c>
      <c r="O39" s="363">
        <f t="shared" si="9"/>
        <v>24.5</v>
      </c>
      <c r="P39" s="13" t="s">
        <v>18</v>
      </c>
      <c r="Q39" s="77">
        <f t="shared" si="11"/>
        <v>-21176.232000000004</v>
      </c>
      <c r="R39" s="78">
        <f t="shared" si="12"/>
        <v>994.20999999999992</v>
      </c>
      <c r="S39" s="479">
        <f t="shared" si="13"/>
        <v>-20182</v>
      </c>
      <c r="T39" s="13" t="s">
        <v>18</v>
      </c>
      <c r="U39" s="4">
        <v>1985</v>
      </c>
      <c r="V39" s="4">
        <v>11</v>
      </c>
      <c r="W39" s="153">
        <f t="shared" si="14"/>
        <v>14504.211028126489</v>
      </c>
      <c r="X39" s="153">
        <f t="shared" si="28"/>
        <v>-1772.3092421437832</v>
      </c>
      <c r="Y39" s="80"/>
      <c r="Z39" s="98">
        <f t="shared" si="15"/>
        <v>91275</v>
      </c>
      <c r="AA39" s="119">
        <f t="shared" si="10"/>
        <v>-20182</v>
      </c>
      <c r="AB39" s="98">
        <f t="shared" si="16"/>
        <v>91275</v>
      </c>
      <c r="AC39" s="4">
        <v>1985</v>
      </c>
      <c r="AD39" s="4">
        <v>11</v>
      </c>
      <c r="AE39" s="107">
        <f>RESID!AC39</f>
        <v>29.95</v>
      </c>
      <c r="AF39" s="40">
        <f t="shared" si="17"/>
        <v>14731.76545367869</v>
      </c>
      <c r="AG39" s="4">
        <f t="shared" si="18"/>
        <v>92707</v>
      </c>
      <c r="AI39" s="80"/>
      <c r="AY39" s="4">
        <v>1985</v>
      </c>
      <c r="AZ39" s="4">
        <v>11</v>
      </c>
      <c r="BA39" s="4">
        <f>'[8]Gov 65 &amp; 70'!$S124</f>
        <v>155.5</v>
      </c>
      <c r="BB39" s="4">
        <f t="shared" si="38"/>
        <v>66.3</v>
      </c>
      <c r="BC39" s="82">
        <f t="shared" si="19"/>
        <v>-89.2</v>
      </c>
      <c r="BD39" s="36" t="s">
        <v>18</v>
      </c>
      <c r="BE39" s="4">
        <f>'[8]Gov 65 &amp; 70'!$J124</f>
        <v>24.1</v>
      </c>
      <c r="BF39" s="4">
        <f t="shared" si="39"/>
        <v>69.900000000000006</v>
      </c>
      <c r="BG39" s="83">
        <f t="shared" si="20"/>
        <v>45.800000000000004</v>
      </c>
      <c r="BH39" s="36" t="s">
        <v>18</v>
      </c>
      <c r="BI39" s="273">
        <f t="shared" si="21"/>
        <v>-20442.856</v>
      </c>
      <c r="BJ39" s="270">
        <f t="shared" si="22"/>
        <v>1858.5640000000001</v>
      </c>
      <c r="BK39" s="482">
        <f t="shared" si="23"/>
        <v>-18584</v>
      </c>
      <c r="BL39" s="276"/>
      <c r="BM39" s="36" t="s">
        <v>18</v>
      </c>
      <c r="BN39" s="4">
        <v>1985</v>
      </c>
      <c r="BO39" s="4">
        <v>11</v>
      </c>
    </row>
    <row r="40" spans="1:89" s="89" customFormat="1">
      <c r="A40" s="89">
        <v>1985</v>
      </c>
      <c r="B40" s="89">
        <v>12</v>
      </c>
      <c r="C40" s="103">
        <v>108147</v>
      </c>
      <c r="D40" s="103">
        <v>6336</v>
      </c>
      <c r="E40" s="104">
        <f t="shared" si="6"/>
        <v>17069</v>
      </c>
      <c r="F40" s="586">
        <f t="shared" si="7"/>
        <v>6336</v>
      </c>
      <c r="H40" s="90" t="s">
        <v>18</v>
      </c>
      <c r="I40" s="92">
        <f>'[7]Gov 65 &amp; 70'!$S125</f>
        <v>139.30000000000001</v>
      </c>
      <c r="J40" s="92">
        <f t="shared" si="29"/>
        <v>50.8</v>
      </c>
      <c r="K40" s="364">
        <f t="shared" si="8"/>
        <v>-88.500000000000014</v>
      </c>
      <c r="L40" s="210" t="s">
        <v>18</v>
      </c>
      <c r="M40" s="92">
        <f>'[7]Gov 65 &amp; 70'!$J125</f>
        <v>62.9</v>
      </c>
      <c r="N40" s="92">
        <f t="shared" si="30"/>
        <v>121.8</v>
      </c>
      <c r="O40" s="365">
        <f t="shared" si="9"/>
        <v>58.9</v>
      </c>
      <c r="P40" s="90" t="s">
        <v>18</v>
      </c>
      <c r="Q40" s="114">
        <f t="shared" si="11"/>
        <v>-20282.430000000004</v>
      </c>
      <c r="R40" s="95">
        <f t="shared" si="12"/>
        <v>2390.1619999999998</v>
      </c>
      <c r="S40" s="480">
        <f t="shared" si="13"/>
        <v>-17892</v>
      </c>
      <c r="T40" s="90" t="s">
        <v>18</v>
      </c>
      <c r="U40" s="89">
        <v>1985</v>
      </c>
      <c r="V40" s="89">
        <v>12</v>
      </c>
      <c r="W40" s="154">
        <f t="shared" si="14"/>
        <v>14244.791666666666</v>
      </c>
      <c r="X40" s="154">
        <f t="shared" si="28"/>
        <v>-1483.902231467473</v>
      </c>
      <c r="Y40" s="134"/>
      <c r="Z40" s="155">
        <f t="shared" si="15"/>
        <v>90255</v>
      </c>
      <c r="AA40" s="156">
        <f t="shared" si="10"/>
        <v>-17892</v>
      </c>
      <c r="AB40" s="155">
        <f t="shared" si="16"/>
        <v>90255</v>
      </c>
      <c r="AC40" s="89">
        <v>1985</v>
      </c>
      <c r="AD40" s="89">
        <v>12</v>
      </c>
      <c r="AE40" s="110">
        <f>RESID!AC40</f>
        <v>31.65</v>
      </c>
      <c r="AF40" s="116">
        <f t="shared" si="17"/>
        <v>13691.130050505049</v>
      </c>
      <c r="AG40" s="89">
        <f t="shared" si="18"/>
        <v>86747</v>
      </c>
      <c r="AI40" s="134"/>
      <c r="AY40" s="89">
        <v>1985</v>
      </c>
      <c r="AZ40" s="89">
        <v>12</v>
      </c>
      <c r="BA40" s="89">
        <f>'[8]Gov 65 &amp; 70'!$S125</f>
        <v>32.6</v>
      </c>
      <c r="BB40" s="89">
        <f t="shared" si="38"/>
        <v>28.2</v>
      </c>
      <c r="BC40" s="111">
        <f t="shared" si="19"/>
        <v>-4.4000000000000021</v>
      </c>
      <c r="BD40" s="113" t="s">
        <v>18</v>
      </c>
      <c r="BE40" s="89">
        <f>'[8]Gov 65 &amp; 70'!$J125</f>
        <v>254.8</v>
      </c>
      <c r="BF40" s="89">
        <f t="shared" si="39"/>
        <v>170</v>
      </c>
      <c r="BG40" s="112">
        <f t="shared" si="20"/>
        <v>-84.800000000000011</v>
      </c>
      <c r="BH40" s="113" t="s">
        <v>18</v>
      </c>
      <c r="BI40" s="274">
        <f t="shared" si="21"/>
        <v>-1008.3920000000005</v>
      </c>
      <c r="BJ40" s="275">
        <f t="shared" si="22"/>
        <v>-3441.1840000000002</v>
      </c>
      <c r="BK40" s="483">
        <f t="shared" si="23"/>
        <v>-4450</v>
      </c>
      <c r="BL40" s="277"/>
      <c r="BM40" s="113" t="s">
        <v>18</v>
      </c>
      <c r="BN40" s="89">
        <v>1985</v>
      </c>
      <c r="BO40" s="89">
        <v>12</v>
      </c>
      <c r="BT40" s="96"/>
    </row>
    <row r="41" spans="1:89">
      <c r="A41" s="4">
        <v>1986</v>
      </c>
      <c r="B41" s="4">
        <v>1</v>
      </c>
      <c r="C41" s="5">
        <v>95731</v>
      </c>
      <c r="D41" s="5">
        <v>6402</v>
      </c>
      <c r="E41" s="73">
        <f t="shared" si="6"/>
        <v>14953</v>
      </c>
      <c r="F41" s="540">
        <f t="shared" si="7"/>
        <v>6402</v>
      </c>
      <c r="H41" s="13" t="s">
        <v>18</v>
      </c>
      <c r="I41" s="76">
        <f>'[7]Gov 65 &amp; 70'!$S126</f>
        <v>23.3</v>
      </c>
      <c r="J41" s="76">
        <f t="shared" si="29"/>
        <v>28.7</v>
      </c>
      <c r="K41" s="362">
        <f t="shared" si="8"/>
        <v>5.3999999999999986</v>
      </c>
      <c r="L41" s="200" t="s">
        <v>18</v>
      </c>
      <c r="M41" s="76">
        <f>'[7]Gov 65 &amp; 70'!$J126</f>
        <v>259.8</v>
      </c>
      <c r="N41" s="76">
        <f t="shared" si="30"/>
        <v>192.9</v>
      </c>
      <c r="O41" s="363">
        <f t="shared" si="9"/>
        <v>-66.900000000000006</v>
      </c>
      <c r="P41" s="13" t="s">
        <v>18</v>
      </c>
      <c r="Q41" s="77">
        <f t="shared" si="11"/>
        <v>1237.5719999999997</v>
      </c>
      <c r="R41" s="78">
        <f t="shared" si="12"/>
        <v>-2714.8020000000001</v>
      </c>
      <c r="S41" s="479">
        <f t="shared" si="13"/>
        <v>-1477</v>
      </c>
      <c r="T41" s="13" t="s">
        <v>18</v>
      </c>
      <c r="U41" s="4">
        <v>1986</v>
      </c>
      <c r="V41" s="4">
        <v>1</v>
      </c>
      <c r="W41" s="153">
        <f t="shared" si="14"/>
        <v>14722.586691658857</v>
      </c>
      <c r="X41" s="153">
        <f t="shared" si="28"/>
        <v>489.80089441312884</v>
      </c>
      <c r="Y41" s="80"/>
      <c r="Z41" s="98">
        <f t="shared" si="15"/>
        <v>94254</v>
      </c>
      <c r="AA41" s="119">
        <f t="shared" si="10"/>
        <v>-1477</v>
      </c>
      <c r="AB41" s="98">
        <f t="shared" si="16"/>
        <v>94254</v>
      </c>
      <c r="AC41" s="4">
        <v>1986</v>
      </c>
      <c r="AD41" s="4">
        <v>1</v>
      </c>
      <c r="AE41" s="107">
        <f>RESID!AC41</f>
        <v>31.95</v>
      </c>
      <c r="AF41" s="40">
        <f t="shared" si="17"/>
        <v>14017.49453295845</v>
      </c>
      <c r="AG41" s="4">
        <f t="shared" si="18"/>
        <v>89740</v>
      </c>
      <c r="AI41" s="80"/>
      <c r="AY41" s="4">
        <v>1986</v>
      </c>
      <c r="AZ41" s="4">
        <v>1</v>
      </c>
      <c r="BA41" s="4">
        <f>'[8]Gov 65 &amp; 70'!$S126</f>
        <v>15.7</v>
      </c>
      <c r="BB41" s="4">
        <f t="shared" si="38"/>
        <v>23.9</v>
      </c>
      <c r="BC41" s="82">
        <f t="shared" si="19"/>
        <v>8.1999999999999993</v>
      </c>
      <c r="BD41" s="36" t="s">
        <v>18</v>
      </c>
      <c r="BE41" s="4">
        <f>'[8]Gov 65 &amp; 70'!$J126</f>
        <v>217.4</v>
      </c>
      <c r="BF41" s="4">
        <f t="shared" si="39"/>
        <v>176.9</v>
      </c>
      <c r="BG41" s="83">
        <f t="shared" si="20"/>
        <v>-40.5</v>
      </c>
      <c r="BH41" s="36" t="s">
        <v>18</v>
      </c>
      <c r="BI41" s="273">
        <f t="shared" si="21"/>
        <v>1879.2759999999998</v>
      </c>
      <c r="BJ41" s="270">
        <f t="shared" si="22"/>
        <v>-1643.49</v>
      </c>
      <c r="BK41" s="482">
        <f t="shared" si="23"/>
        <v>236</v>
      </c>
      <c r="BL41" s="276"/>
      <c r="BM41" s="36" t="s">
        <v>18</v>
      </c>
      <c r="BN41" s="4">
        <v>1986</v>
      </c>
      <c r="BO41" s="4">
        <v>1</v>
      </c>
    </row>
    <row r="42" spans="1:89">
      <c r="A42" s="4">
        <v>1986</v>
      </c>
      <c r="B42" s="4">
        <v>2</v>
      </c>
      <c r="C42" s="5">
        <v>95675</v>
      </c>
      <c r="D42" s="5">
        <v>6422</v>
      </c>
      <c r="E42" s="73">
        <f t="shared" si="6"/>
        <v>14898</v>
      </c>
      <c r="F42" s="540">
        <f t="shared" si="7"/>
        <v>6422</v>
      </c>
      <c r="H42" s="13" t="s">
        <v>18</v>
      </c>
      <c r="I42" s="76">
        <f>'[7]Gov 65 &amp; 70'!$S127</f>
        <v>22.7</v>
      </c>
      <c r="J42" s="76">
        <f t="shared" si="29"/>
        <v>22.6</v>
      </c>
      <c r="K42" s="362">
        <f t="shared" si="8"/>
        <v>-9.9999999999997868E-2</v>
      </c>
      <c r="L42" s="200" t="s">
        <v>18</v>
      </c>
      <c r="M42" s="76">
        <f>'[7]Gov 65 &amp; 70'!$J127</f>
        <v>194.2</v>
      </c>
      <c r="N42" s="76">
        <f t="shared" si="30"/>
        <v>177.2</v>
      </c>
      <c r="O42" s="363">
        <f t="shared" si="9"/>
        <v>-17</v>
      </c>
      <c r="P42" s="13" t="s">
        <v>18</v>
      </c>
      <c r="Q42" s="77">
        <f t="shared" si="11"/>
        <v>-22.917999999999513</v>
      </c>
      <c r="R42" s="78">
        <f t="shared" si="12"/>
        <v>-689.86</v>
      </c>
      <c r="S42" s="479">
        <f t="shared" si="13"/>
        <v>-713</v>
      </c>
      <c r="T42" s="13" t="s">
        <v>18</v>
      </c>
      <c r="U42" s="4">
        <v>1986</v>
      </c>
      <c r="V42" s="4">
        <v>2</v>
      </c>
      <c r="W42" s="153">
        <f t="shared" si="14"/>
        <v>14786.98224852071</v>
      </c>
      <c r="X42" s="153">
        <f t="shared" si="28"/>
        <v>-118.2826466765182</v>
      </c>
      <c r="Y42" s="80"/>
      <c r="Z42" s="98">
        <f t="shared" si="15"/>
        <v>94962</v>
      </c>
      <c r="AA42" s="119">
        <f t="shared" si="10"/>
        <v>-713</v>
      </c>
      <c r="AB42" s="98">
        <f t="shared" si="16"/>
        <v>94962</v>
      </c>
      <c r="AC42" s="4">
        <v>1986</v>
      </c>
      <c r="AD42" s="4">
        <v>2</v>
      </c>
      <c r="AE42" s="107">
        <f>RESID!AC42</f>
        <v>29.65</v>
      </c>
      <c r="AF42" s="40">
        <f t="shared" si="17"/>
        <v>15170.974774213641</v>
      </c>
      <c r="AG42" s="4">
        <f t="shared" si="18"/>
        <v>97428</v>
      </c>
      <c r="AI42" s="80"/>
      <c r="AY42" s="4">
        <v>1986</v>
      </c>
      <c r="AZ42" s="4">
        <v>2</v>
      </c>
      <c r="BA42" s="4">
        <f>'[8]Gov 65 &amp; 70'!$S127</f>
        <v>38.9</v>
      </c>
      <c r="BB42" s="4">
        <f t="shared" si="38"/>
        <v>32.799999999999997</v>
      </c>
      <c r="BC42" s="82">
        <f t="shared" si="19"/>
        <v>-6.1000000000000014</v>
      </c>
      <c r="BD42" s="36" t="s">
        <v>18</v>
      </c>
      <c r="BE42" s="4">
        <f>'[8]Gov 65 &amp; 70'!$J127</f>
        <v>113.8</v>
      </c>
      <c r="BF42" s="4">
        <f t="shared" si="39"/>
        <v>139.1</v>
      </c>
      <c r="BG42" s="83">
        <f t="shared" si="20"/>
        <v>25.299999999999997</v>
      </c>
      <c r="BH42" s="36" t="s">
        <v>18</v>
      </c>
      <c r="BI42" s="273">
        <f t="shared" si="21"/>
        <v>-1397.9980000000003</v>
      </c>
      <c r="BJ42" s="270">
        <f t="shared" si="22"/>
        <v>1026.6739999999998</v>
      </c>
      <c r="BK42" s="482">
        <f t="shared" si="23"/>
        <v>-371</v>
      </c>
      <c r="BL42" s="276"/>
      <c r="BM42" s="36" t="s">
        <v>18</v>
      </c>
      <c r="BN42" s="4">
        <v>1986</v>
      </c>
      <c r="BO42" s="4">
        <v>2</v>
      </c>
      <c r="BP42" s="108"/>
    </row>
    <row r="43" spans="1:89">
      <c r="A43" s="4">
        <v>1986</v>
      </c>
      <c r="B43" s="4">
        <v>3</v>
      </c>
      <c r="C43" s="5">
        <v>95676</v>
      </c>
      <c r="D43" s="5">
        <v>6472</v>
      </c>
      <c r="E43" s="73">
        <f t="shared" si="6"/>
        <v>14783</v>
      </c>
      <c r="F43" s="540">
        <f t="shared" si="7"/>
        <v>6472</v>
      </c>
      <c r="H43" s="13" t="s">
        <v>18</v>
      </c>
      <c r="I43" s="76">
        <f>'[7]Gov 65 &amp; 70'!$S128</f>
        <v>42.8</v>
      </c>
      <c r="J43" s="76">
        <f t="shared" si="29"/>
        <v>44.5</v>
      </c>
      <c r="K43" s="362">
        <f t="shared" si="8"/>
        <v>1.7000000000000028</v>
      </c>
      <c r="L43" s="200" t="s">
        <v>18</v>
      </c>
      <c r="M43" s="76">
        <f>'[7]Gov 65 &amp; 70'!$J128</f>
        <v>146.1</v>
      </c>
      <c r="N43" s="76">
        <f t="shared" si="30"/>
        <v>119.5</v>
      </c>
      <c r="O43" s="363">
        <f t="shared" si="9"/>
        <v>-26.599999999999994</v>
      </c>
      <c r="P43" s="13" t="s">
        <v>18</v>
      </c>
      <c r="Q43" s="77">
        <f t="shared" si="11"/>
        <v>389.60600000000068</v>
      </c>
      <c r="R43" s="78">
        <f t="shared" si="12"/>
        <v>-1079.4279999999997</v>
      </c>
      <c r="S43" s="479">
        <f t="shared" si="13"/>
        <v>-690</v>
      </c>
      <c r="T43" s="13" t="s">
        <v>18</v>
      </c>
      <c r="U43" s="4">
        <v>1986</v>
      </c>
      <c r="V43" s="4">
        <v>3</v>
      </c>
      <c r="W43" s="153">
        <f t="shared" si="14"/>
        <v>14676.45241038319</v>
      </c>
      <c r="X43" s="153">
        <f t="shared" si="28"/>
        <v>-399.27542736623764</v>
      </c>
      <c r="Y43" s="80"/>
      <c r="Z43" s="98">
        <f t="shared" si="15"/>
        <v>94986</v>
      </c>
      <c r="AA43" s="119">
        <f t="shared" si="10"/>
        <v>-690</v>
      </c>
      <c r="AB43" s="98">
        <f t="shared" si="16"/>
        <v>94986</v>
      </c>
      <c r="AC43" s="4">
        <v>1986</v>
      </c>
      <c r="AD43" s="4">
        <v>3</v>
      </c>
      <c r="AE43" s="107">
        <f>RESID!AC43</f>
        <v>29.4</v>
      </c>
      <c r="AF43" s="40">
        <f t="shared" si="17"/>
        <v>15185.568603213846</v>
      </c>
      <c r="AG43" s="4">
        <f t="shared" si="18"/>
        <v>98281</v>
      </c>
      <c r="AI43" s="80"/>
      <c r="AY43" s="4">
        <v>1986</v>
      </c>
      <c r="AZ43" s="4">
        <v>3</v>
      </c>
      <c r="BA43" s="4">
        <f>'[8]Gov 65 &amp; 70'!$S128</f>
        <v>66.5</v>
      </c>
      <c r="BB43" s="4">
        <f t="shared" si="38"/>
        <v>64.099999999999994</v>
      </c>
      <c r="BC43" s="82">
        <f t="shared" si="19"/>
        <v>-2.4000000000000057</v>
      </c>
      <c r="BD43" s="36" t="s">
        <v>18</v>
      </c>
      <c r="BE43" s="4">
        <f>'[8]Gov 65 &amp; 70'!$J128</f>
        <v>130.69999999999999</v>
      </c>
      <c r="BF43" s="4">
        <f t="shared" si="39"/>
        <v>85.4</v>
      </c>
      <c r="BG43" s="83">
        <f t="shared" si="20"/>
        <v>-45.299999999999983</v>
      </c>
      <c r="BH43" s="36" t="s">
        <v>18</v>
      </c>
      <c r="BI43" s="273">
        <f t="shared" si="21"/>
        <v>-550.03200000000129</v>
      </c>
      <c r="BJ43" s="270">
        <f t="shared" si="22"/>
        <v>-1838.2739999999992</v>
      </c>
      <c r="BK43" s="482">
        <f t="shared" si="23"/>
        <v>-2388</v>
      </c>
      <c r="BL43" s="276"/>
      <c r="BM43" s="36" t="s">
        <v>18</v>
      </c>
      <c r="BN43" s="4">
        <v>1986</v>
      </c>
      <c r="BO43" s="4">
        <v>3</v>
      </c>
      <c r="BP43" s="108"/>
    </row>
    <row r="44" spans="1:89">
      <c r="A44" s="4">
        <v>1986</v>
      </c>
      <c r="B44" s="4">
        <v>4</v>
      </c>
      <c r="C44" s="5">
        <v>99852</v>
      </c>
      <c r="D44" s="5">
        <v>6497</v>
      </c>
      <c r="E44" s="73">
        <f t="shared" si="6"/>
        <v>15369</v>
      </c>
      <c r="F44" s="540">
        <f t="shared" si="7"/>
        <v>6497</v>
      </c>
      <c r="H44" s="13" t="s">
        <v>18</v>
      </c>
      <c r="I44" s="76">
        <f>'[7]Gov 65 &amp; 70'!$S129</f>
        <v>81.7</v>
      </c>
      <c r="J44" s="76">
        <f t="shared" si="29"/>
        <v>87.7</v>
      </c>
      <c r="K44" s="362">
        <f t="shared" si="8"/>
        <v>6</v>
      </c>
      <c r="L44" s="200" t="s">
        <v>18</v>
      </c>
      <c r="M44" s="76">
        <f>'[7]Gov 65 &amp; 70'!$J129</f>
        <v>81.900000000000006</v>
      </c>
      <c r="N44" s="76">
        <f t="shared" si="30"/>
        <v>60.3</v>
      </c>
      <c r="O44" s="363">
        <f t="shared" si="9"/>
        <v>-21.600000000000009</v>
      </c>
      <c r="P44" s="13" t="s">
        <v>18</v>
      </c>
      <c r="Q44" s="77">
        <f t="shared" si="11"/>
        <v>1375.08</v>
      </c>
      <c r="R44" s="78">
        <f t="shared" si="12"/>
        <v>-876.52800000000036</v>
      </c>
      <c r="S44" s="479">
        <f t="shared" si="13"/>
        <v>499</v>
      </c>
      <c r="T44" s="13" t="s">
        <v>18</v>
      </c>
      <c r="U44" s="4">
        <v>1986</v>
      </c>
      <c r="V44" s="4">
        <v>4</v>
      </c>
      <c r="W44" s="153">
        <f t="shared" si="14"/>
        <v>15445.744189625982</v>
      </c>
      <c r="X44" s="153">
        <f t="shared" si="28"/>
        <v>-195.47718441982033</v>
      </c>
      <c r="Y44" s="80"/>
      <c r="Z44" s="98">
        <f t="shared" si="15"/>
        <v>100351</v>
      </c>
      <c r="AA44" s="119">
        <f t="shared" si="10"/>
        <v>499</v>
      </c>
      <c r="AB44" s="98">
        <f t="shared" si="16"/>
        <v>100351</v>
      </c>
      <c r="AC44" s="4">
        <v>1986</v>
      </c>
      <c r="AD44" s="4">
        <v>4</v>
      </c>
      <c r="AE44" s="107">
        <f>RESID!AC44</f>
        <v>30.75</v>
      </c>
      <c r="AF44" s="40">
        <f t="shared" si="17"/>
        <v>15279.975373249192</v>
      </c>
      <c r="AG44" s="4">
        <f t="shared" si="18"/>
        <v>99274</v>
      </c>
      <c r="AI44" s="80"/>
      <c r="AY44" s="4">
        <v>1986</v>
      </c>
      <c r="AZ44" s="4">
        <v>4</v>
      </c>
      <c r="BA44" s="4">
        <f>'[8]Gov 65 &amp; 70'!$S129</f>
        <v>98.3</v>
      </c>
      <c r="BB44" s="4">
        <f t="shared" si="38"/>
        <v>122</v>
      </c>
      <c r="BC44" s="82">
        <f t="shared" si="19"/>
        <v>23.700000000000003</v>
      </c>
      <c r="BD44" s="36" t="s">
        <v>18</v>
      </c>
      <c r="BE44" s="4">
        <f>'[8]Gov 65 &amp; 70'!$J129</f>
        <v>54.2</v>
      </c>
      <c r="BF44" s="4">
        <f t="shared" si="39"/>
        <v>34.700000000000003</v>
      </c>
      <c r="BG44" s="83">
        <f t="shared" si="20"/>
        <v>-19.5</v>
      </c>
      <c r="BH44" s="36" t="s">
        <v>18</v>
      </c>
      <c r="BI44" s="273">
        <f t="shared" si="21"/>
        <v>5431.5660000000007</v>
      </c>
      <c r="BJ44" s="270">
        <f t="shared" si="22"/>
        <v>-791.31</v>
      </c>
      <c r="BK44" s="482">
        <f t="shared" si="23"/>
        <v>4640</v>
      </c>
      <c r="BL44" s="276"/>
      <c r="BM44" s="36" t="s">
        <v>18</v>
      </c>
      <c r="BN44" s="4">
        <v>1986</v>
      </c>
      <c r="BO44" s="4">
        <v>4</v>
      </c>
      <c r="BP44" s="108"/>
    </row>
    <row r="45" spans="1:89">
      <c r="A45" s="4">
        <v>1986</v>
      </c>
      <c r="B45" s="4">
        <v>5</v>
      </c>
      <c r="C45" s="5">
        <v>103676</v>
      </c>
      <c r="D45" s="5">
        <v>6549</v>
      </c>
      <c r="E45" s="73">
        <f t="shared" si="6"/>
        <v>15831</v>
      </c>
      <c r="F45" s="540">
        <f t="shared" si="7"/>
        <v>6549</v>
      </c>
      <c r="H45" s="13" t="s">
        <v>18</v>
      </c>
      <c r="I45" s="76">
        <f>'[7]Gov 65 &amp; 70'!$S130</f>
        <v>137.4</v>
      </c>
      <c r="J45" s="76">
        <f t="shared" si="29"/>
        <v>157.69999999999999</v>
      </c>
      <c r="K45" s="362">
        <f t="shared" si="8"/>
        <v>20.299999999999983</v>
      </c>
      <c r="L45" s="200" t="s">
        <v>18</v>
      </c>
      <c r="M45" s="76">
        <f>'[7]Gov 65 &amp; 70'!$J130</f>
        <v>39.200000000000003</v>
      </c>
      <c r="N45" s="76">
        <f t="shared" si="30"/>
        <v>18.600000000000001</v>
      </c>
      <c r="O45" s="363">
        <f t="shared" si="9"/>
        <v>-20.6</v>
      </c>
      <c r="P45" s="13" t="s">
        <v>18</v>
      </c>
      <c r="Q45" s="77">
        <f t="shared" si="11"/>
        <v>4652.3539999999966</v>
      </c>
      <c r="R45" s="78">
        <f t="shared" si="12"/>
        <v>-835.94799999999998</v>
      </c>
      <c r="S45" s="479">
        <f t="shared" si="13"/>
        <v>3816</v>
      </c>
      <c r="T45" s="13" t="s">
        <v>18</v>
      </c>
      <c r="U45" s="4">
        <v>1986</v>
      </c>
      <c r="V45" s="4">
        <v>5</v>
      </c>
      <c r="W45" s="153">
        <f t="shared" si="14"/>
        <v>16413.498244006718</v>
      </c>
      <c r="X45" s="153">
        <f t="shared" si="28"/>
        <v>249.96501872308909</v>
      </c>
      <c r="Y45" s="80"/>
      <c r="Z45" s="98">
        <f t="shared" si="15"/>
        <v>107492</v>
      </c>
      <c r="AA45" s="119">
        <f t="shared" si="10"/>
        <v>3816</v>
      </c>
      <c r="AB45" s="98">
        <f t="shared" si="16"/>
        <v>107492</v>
      </c>
      <c r="AC45" s="4">
        <v>1986</v>
      </c>
      <c r="AD45" s="4">
        <v>5</v>
      </c>
      <c r="AE45" s="107">
        <f>RESID!AC45</f>
        <v>29.45</v>
      </c>
      <c r="AF45" s="40">
        <f t="shared" si="17"/>
        <v>16954.038784547258</v>
      </c>
      <c r="AG45" s="4">
        <f t="shared" si="18"/>
        <v>111032</v>
      </c>
      <c r="AI45" s="80"/>
      <c r="AY45" s="4">
        <v>1986</v>
      </c>
      <c r="AZ45" s="4">
        <v>5</v>
      </c>
      <c r="BA45" s="4">
        <f>'[8]Gov 65 &amp; 70'!$S130</f>
        <v>248.5</v>
      </c>
      <c r="BB45" s="4">
        <f t="shared" si="38"/>
        <v>253</v>
      </c>
      <c r="BC45" s="82">
        <f t="shared" si="19"/>
        <v>4.5</v>
      </c>
      <c r="BD45" s="36" t="s">
        <v>18</v>
      </c>
      <c r="BE45" s="4">
        <f>'[8]Gov 65 &amp; 70'!$J130</f>
        <v>5.5</v>
      </c>
      <c r="BF45" s="4">
        <f t="shared" si="39"/>
        <v>4.3</v>
      </c>
      <c r="BG45" s="83">
        <f t="shared" si="20"/>
        <v>-1.2000000000000002</v>
      </c>
      <c r="BH45" s="36" t="s">
        <v>18</v>
      </c>
      <c r="BI45" s="273">
        <f t="shared" si="21"/>
        <v>1031.31</v>
      </c>
      <c r="BJ45" s="270">
        <f t="shared" si="22"/>
        <v>-48.696000000000005</v>
      </c>
      <c r="BK45" s="482">
        <f t="shared" si="23"/>
        <v>983</v>
      </c>
      <c r="BL45" s="276"/>
      <c r="BM45" s="36" t="s">
        <v>18</v>
      </c>
      <c r="BN45" s="4">
        <v>1986</v>
      </c>
      <c r="BO45" s="4">
        <v>5</v>
      </c>
      <c r="BP45" s="108"/>
    </row>
    <row r="46" spans="1:89">
      <c r="A46" s="4">
        <v>1986</v>
      </c>
      <c r="B46" s="4">
        <v>6</v>
      </c>
      <c r="C46" s="5">
        <v>115958</v>
      </c>
      <c r="D46" s="5">
        <v>6597</v>
      </c>
      <c r="E46" s="73">
        <f t="shared" si="6"/>
        <v>17577</v>
      </c>
      <c r="F46" s="540">
        <f t="shared" si="7"/>
        <v>6597</v>
      </c>
      <c r="H46" s="13" t="s">
        <v>18</v>
      </c>
      <c r="I46" s="76">
        <f>'[7]Gov 65 &amp; 70'!$S131</f>
        <v>302.60000000000002</v>
      </c>
      <c r="J46" s="76">
        <f t="shared" si="29"/>
        <v>295.39999999999998</v>
      </c>
      <c r="K46" s="362">
        <f t="shared" si="8"/>
        <v>-7.2000000000000455</v>
      </c>
      <c r="L46" s="200" t="s">
        <v>18</v>
      </c>
      <c r="M46" s="76">
        <f>'[7]Gov 65 &amp; 70'!$J131</f>
        <v>3.1</v>
      </c>
      <c r="N46" s="76">
        <f t="shared" si="30"/>
        <v>2.2000000000000002</v>
      </c>
      <c r="O46" s="363">
        <f t="shared" si="9"/>
        <v>-0.89999999999999991</v>
      </c>
      <c r="P46" s="13" t="s">
        <v>18</v>
      </c>
      <c r="Q46" s="77">
        <f t="shared" si="11"/>
        <v>-1650.0960000000105</v>
      </c>
      <c r="R46" s="78">
        <f t="shared" si="12"/>
        <v>-36.521999999999991</v>
      </c>
      <c r="S46" s="479">
        <f t="shared" si="13"/>
        <v>-1687</v>
      </c>
      <c r="T46" s="13" t="s">
        <v>18</v>
      </c>
      <c r="U46" s="4">
        <v>1986</v>
      </c>
      <c r="V46" s="4">
        <v>6</v>
      </c>
      <c r="W46" s="153">
        <f t="shared" si="14"/>
        <v>17321.661361224797</v>
      </c>
      <c r="X46" s="153">
        <f t="shared" si="28"/>
        <v>-162.17310369599363</v>
      </c>
      <c r="Y46" s="80"/>
      <c r="Z46" s="98">
        <f t="shared" si="15"/>
        <v>114271</v>
      </c>
      <c r="AA46" s="119">
        <f t="shared" si="10"/>
        <v>-1687</v>
      </c>
      <c r="AB46" s="98">
        <f t="shared" si="16"/>
        <v>114271</v>
      </c>
      <c r="AC46" s="4">
        <v>1986</v>
      </c>
      <c r="AD46" s="4">
        <v>6</v>
      </c>
      <c r="AE46" s="107">
        <f>RESID!AC46</f>
        <v>30.8</v>
      </c>
      <c r="AF46" s="40">
        <f t="shared" si="17"/>
        <v>17107.927845990602</v>
      </c>
      <c r="AG46" s="4">
        <f t="shared" si="18"/>
        <v>112861</v>
      </c>
      <c r="AI46" s="80"/>
      <c r="AY46" s="4">
        <v>1986</v>
      </c>
      <c r="AZ46" s="4">
        <v>6</v>
      </c>
      <c r="BA46" s="4">
        <f>'[8]Gov 65 &amp; 70'!$S131</f>
        <v>349.4</v>
      </c>
      <c r="BB46" s="4">
        <f t="shared" si="38"/>
        <v>336.1</v>
      </c>
      <c r="BC46" s="82">
        <f t="shared" si="19"/>
        <v>-13.299999999999955</v>
      </c>
      <c r="BD46" s="36" t="s">
        <v>18</v>
      </c>
      <c r="BE46" s="4">
        <f>'[8]Gov 65 &amp; 70'!$J131</f>
        <v>0</v>
      </c>
      <c r="BF46" s="4">
        <f t="shared" si="39"/>
        <v>0</v>
      </c>
      <c r="BG46" s="83">
        <f t="shared" si="20"/>
        <v>0</v>
      </c>
      <c r="BH46" s="36" t="s">
        <v>18</v>
      </c>
      <c r="BI46" s="273">
        <f t="shared" si="21"/>
        <v>-3048.0939999999896</v>
      </c>
      <c r="BJ46" s="270">
        <f t="shared" si="22"/>
        <v>0</v>
      </c>
      <c r="BK46" s="482">
        <f t="shared" si="23"/>
        <v>-3048</v>
      </c>
      <c r="BL46" s="276"/>
      <c r="BM46" s="36" t="s">
        <v>18</v>
      </c>
      <c r="BN46" s="4">
        <v>1986</v>
      </c>
      <c r="BO46" s="4">
        <v>6</v>
      </c>
      <c r="BP46" s="108"/>
    </row>
    <row r="47" spans="1:89">
      <c r="A47" s="4">
        <v>1986</v>
      </c>
      <c r="B47" s="4">
        <v>7</v>
      </c>
      <c r="C47" s="5">
        <v>108561</v>
      </c>
      <c r="D47" s="5">
        <v>6602</v>
      </c>
      <c r="E47" s="73">
        <f t="shared" si="6"/>
        <v>16444</v>
      </c>
      <c r="F47" s="540">
        <f t="shared" si="7"/>
        <v>6602</v>
      </c>
      <c r="H47" s="13" t="s">
        <v>18</v>
      </c>
      <c r="I47" s="76">
        <f>'[7]Gov 65 &amp; 70'!$S132</f>
        <v>354.5</v>
      </c>
      <c r="J47" s="76">
        <f t="shared" si="29"/>
        <v>363.4</v>
      </c>
      <c r="K47" s="362">
        <f t="shared" si="8"/>
        <v>8.8999999999999773</v>
      </c>
      <c r="L47" s="200" t="s">
        <v>18</v>
      </c>
      <c r="M47" s="76">
        <f>'[7]Gov 65 &amp; 70'!$J132</f>
        <v>0</v>
      </c>
      <c r="N47" s="76">
        <f t="shared" si="30"/>
        <v>0</v>
      </c>
      <c r="O47" s="363">
        <f t="shared" si="9"/>
        <v>0</v>
      </c>
      <c r="P47" s="13" t="s">
        <v>18</v>
      </c>
      <c r="Q47" s="77">
        <f t="shared" si="11"/>
        <v>2039.7019999999948</v>
      </c>
      <c r="R47" s="78">
        <f t="shared" si="12"/>
        <v>0</v>
      </c>
      <c r="S47" s="479">
        <f t="shared" si="13"/>
        <v>2040</v>
      </c>
      <c r="T47" s="13" t="s">
        <v>18</v>
      </c>
      <c r="U47" s="4">
        <v>1986</v>
      </c>
      <c r="V47" s="4">
        <v>7</v>
      </c>
      <c r="W47" s="153">
        <f t="shared" si="14"/>
        <v>16752.650711905484</v>
      </c>
      <c r="X47" s="153">
        <f t="shared" si="28"/>
        <v>194.16929025766512</v>
      </c>
      <c r="Y47" s="80"/>
      <c r="Z47" s="98">
        <f t="shared" si="15"/>
        <v>110601</v>
      </c>
      <c r="AA47" s="119">
        <f t="shared" si="10"/>
        <v>2040</v>
      </c>
      <c r="AB47" s="98">
        <f t="shared" si="16"/>
        <v>110601</v>
      </c>
      <c r="AC47" s="4">
        <v>1986</v>
      </c>
      <c r="AD47" s="4">
        <v>7</v>
      </c>
      <c r="AE47" s="107">
        <f>RESID!AC47</f>
        <v>30.4</v>
      </c>
      <c r="AF47" s="40">
        <f t="shared" si="17"/>
        <v>16763.70796728264</v>
      </c>
      <c r="AG47" s="4">
        <f t="shared" si="18"/>
        <v>110674</v>
      </c>
      <c r="AI47" s="80"/>
      <c r="AY47" s="4">
        <v>1986</v>
      </c>
      <c r="AZ47" s="4">
        <v>7</v>
      </c>
      <c r="BA47" s="4">
        <f>'[8]Gov 65 &amp; 70'!$S132</f>
        <v>391.2</v>
      </c>
      <c r="BB47" s="4">
        <f t="shared" si="38"/>
        <v>391.2</v>
      </c>
      <c r="BC47" s="82">
        <f t="shared" si="19"/>
        <v>0</v>
      </c>
      <c r="BD47" s="36" t="s">
        <v>18</v>
      </c>
      <c r="BE47" s="4">
        <f>'[8]Gov 65 &amp; 70'!$J132</f>
        <v>0</v>
      </c>
      <c r="BF47" s="4">
        <f t="shared" si="39"/>
        <v>0</v>
      </c>
      <c r="BG47" s="83">
        <f t="shared" si="20"/>
        <v>0</v>
      </c>
      <c r="BH47" s="36" t="s">
        <v>18</v>
      </c>
      <c r="BI47" s="273">
        <f t="shared" si="21"/>
        <v>0</v>
      </c>
      <c r="BJ47" s="270">
        <f t="shared" si="22"/>
        <v>0</v>
      </c>
      <c r="BK47" s="482">
        <f t="shared" si="23"/>
        <v>0</v>
      </c>
      <c r="BL47" s="276"/>
      <c r="BM47" s="36" t="s">
        <v>18</v>
      </c>
      <c r="BN47" s="4">
        <v>1986</v>
      </c>
      <c r="BO47" s="4">
        <v>7</v>
      </c>
      <c r="BP47" s="108"/>
    </row>
    <row r="48" spans="1:89">
      <c r="A48" s="4">
        <v>1986</v>
      </c>
      <c r="B48" s="4">
        <v>8</v>
      </c>
      <c r="C48" s="5">
        <v>113201</v>
      </c>
      <c r="D48" s="5">
        <v>6631</v>
      </c>
      <c r="E48" s="73">
        <f t="shared" si="6"/>
        <v>17071</v>
      </c>
      <c r="F48" s="540">
        <f t="shared" si="7"/>
        <v>6631</v>
      </c>
      <c r="H48" s="13" t="s">
        <v>18</v>
      </c>
      <c r="I48" s="76">
        <f>'[7]Gov 65 &amp; 70'!$S133</f>
        <v>399.3</v>
      </c>
      <c r="J48" s="76">
        <f t="shared" si="29"/>
        <v>390.1</v>
      </c>
      <c r="K48" s="362">
        <f t="shared" si="8"/>
        <v>-9.1999999999999886</v>
      </c>
      <c r="L48" s="200" t="s">
        <v>18</v>
      </c>
      <c r="M48" s="76">
        <f>'[7]Gov 65 &amp; 70'!$J133</f>
        <v>0</v>
      </c>
      <c r="N48" s="76">
        <f t="shared" si="30"/>
        <v>0</v>
      </c>
      <c r="O48" s="363">
        <f t="shared" si="9"/>
        <v>0</v>
      </c>
      <c r="P48" s="13" t="s">
        <v>18</v>
      </c>
      <c r="Q48" s="77">
        <f t="shared" si="11"/>
        <v>-2108.4559999999974</v>
      </c>
      <c r="R48" s="78">
        <f t="shared" si="12"/>
        <v>0</v>
      </c>
      <c r="S48" s="479">
        <f t="shared" si="13"/>
        <v>-2108</v>
      </c>
      <c r="T48" s="13" t="s">
        <v>18</v>
      </c>
      <c r="U48" s="4">
        <v>1986</v>
      </c>
      <c r="V48" s="4">
        <v>8</v>
      </c>
      <c r="W48" s="153">
        <f t="shared" si="14"/>
        <v>16753.581661891119</v>
      </c>
      <c r="X48" s="153">
        <f t="shared" si="28"/>
        <v>-525.45813189009641</v>
      </c>
      <c r="Y48" s="80"/>
      <c r="Z48" s="98">
        <f t="shared" si="15"/>
        <v>111093</v>
      </c>
      <c r="AA48" s="119">
        <f t="shared" si="10"/>
        <v>-2108</v>
      </c>
      <c r="AB48" s="98">
        <f t="shared" si="16"/>
        <v>111093</v>
      </c>
      <c r="AC48" s="4">
        <v>1986</v>
      </c>
      <c r="AD48" s="4">
        <v>8</v>
      </c>
      <c r="AE48" s="107">
        <f>RESID!AC48</f>
        <v>31.2</v>
      </c>
      <c r="AF48" s="40">
        <f t="shared" si="17"/>
        <v>16334.791132559192</v>
      </c>
      <c r="AG48" s="4">
        <f t="shared" si="18"/>
        <v>108316</v>
      </c>
      <c r="AI48" s="80"/>
      <c r="AY48" s="4">
        <v>1986</v>
      </c>
      <c r="AZ48" s="4">
        <v>8</v>
      </c>
      <c r="BA48" s="4">
        <f>'[8]Gov 65 &amp; 70'!$S133</f>
        <v>397.3</v>
      </c>
      <c r="BB48" s="4">
        <f t="shared" si="38"/>
        <v>394.4</v>
      </c>
      <c r="BC48" s="82">
        <f t="shared" si="19"/>
        <v>-2.9000000000000341</v>
      </c>
      <c r="BD48" s="36" t="s">
        <v>18</v>
      </c>
      <c r="BE48" s="4">
        <f>'[8]Gov 65 &amp; 70'!$J133</f>
        <v>0.1</v>
      </c>
      <c r="BF48" s="4">
        <f t="shared" si="39"/>
        <v>0</v>
      </c>
      <c r="BG48" s="83">
        <f t="shared" si="20"/>
        <v>-0.1</v>
      </c>
      <c r="BH48" s="36" t="s">
        <v>18</v>
      </c>
      <c r="BI48" s="273">
        <f t="shared" si="21"/>
        <v>-664.6220000000078</v>
      </c>
      <c r="BJ48" s="270">
        <f t="shared" si="22"/>
        <v>-4.0579999999999998</v>
      </c>
      <c r="BK48" s="482">
        <f t="shared" si="23"/>
        <v>-669</v>
      </c>
      <c r="BL48" s="276"/>
      <c r="BM48" s="36" t="s">
        <v>18</v>
      </c>
      <c r="BN48" s="4">
        <v>1986</v>
      </c>
      <c r="BO48" s="4">
        <v>8</v>
      </c>
      <c r="BP48" s="108"/>
    </row>
    <row r="49" spans="1:72">
      <c r="A49" s="4">
        <v>1986</v>
      </c>
      <c r="B49" s="4">
        <v>9</v>
      </c>
      <c r="C49" s="5">
        <v>120276</v>
      </c>
      <c r="D49" s="5">
        <v>6694</v>
      </c>
      <c r="E49" s="73">
        <f t="shared" si="6"/>
        <v>17968</v>
      </c>
      <c r="F49" s="540">
        <f t="shared" si="7"/>
        <v>6694</v>
      </c>
      <c r="H49" s="13" t="s">
        <v>18</v>
      </c>
      <c r="I49" s="76">
        <f>'[7]Gov 65 &amp; 70'!$S134</f>
        <v>381.8</v>
      </c>
      <c r="J49" s="76">
        <f t="shared" si="29"/>
        <v>381.2</v>
      </c>
      <c r="K49" s="362">
        <f t="shared" ref="K49:K80" si="60">(J49-I49)</f>
        <v>-0.60000000000002274</v>
      </c>
      <c r="L49" s="200" t="s">
        <v>18</v>
      </c>
      <c r="M49" s="76">
        <f>'[7]Gov 65 &amp; 70'!$J134</f>
        <v>0.1</v>
      </c>
      <c r="N49" s="76">
        <f t="shared" si="30"/>
        <v>0</v>
      </c>
      <c r="O49" s="363">
        <f t="shared" ref="O49:O80" si="61">(N49-M49)</f>
        <v>-0.1</v>
      </c>
      <c r="P49" s="13" t="s">
        <v>18</v>
      </c>
      <c r="Q49" s="77">
        <f t="shared" si="11"/>
        <v>-137.50800000000521</v>
      </c>
      <c r="R49" s="78">
        <f t="shared" si="12"/>
        <v>-4.0579999999999998</v>
      </c>
      <c r="S49" s="479">
        <f t="shared" si="13"/>
        <v>-142</v>
      </c>
      <c r="T49" s="13" t="s">
        <v>18</v>
      </c>
      <c r="U49" s="4">
        <v>1986</v>
      </c>
      <c r="V49" s="4">
        <v>9</v>
      </c>
      <c r="W49" s="153">
        <f t="shared" si="14"/>
        <v>17946.519270988945</v>
      </c>
      <c r="X49" s="153">
        <f t="shared" si="28"/>
        <v>-1310.408488101235</v>
      </c>
      <c r="Y49" s="80"/>
      <c r="Z49" s="98">
        <f t="shared" si="15"/>
        <v>120134</v>
      </c>
      <c r="AA49" s="119">
        <f t="shared" si="10"/>
        <v>-142</v>
      </c>
      <c r="AB49" s="98">
        <f t="shared" si="16"/>
        <v>120134</v>
      </c>
      <c r="AC49" s="4">
        <v>1986</v>
      </c>
      <c r="AD49" s="4">
        <v>9</v>
      </c>
      <c r="AE49" s="107">
        <f>RESID!AC49</f>
        <v>30.55</v>
      </c>
      <c r="AF49" s="40">
        <f t="shared" si="17"/>
        <v>17870.182252763669</v>
      </c>
      <c r="AG49" s="4">
        <f t="shared" si="18"/>
        <v>119623</v>
      </c>
      <c r="AI49" s="80"/>
      <c r="AY49" s="4">
        <v>1986</v>
      </c>
      <c r="AZ49" s="4">
        <v>9</v>
      </c>
      <c r="BA49" s="4">
        <f>'[8]Gov 65 &amp; 70'!$S134</f>
        <v>355.5</v>
      </c>
      <c r="BB49" s="4">
        <f t="shared" si="38"/>
        <v>339.3</v>
      </c>
      <c r="BC49" s="82">
        <f t="shared" si="19"/>
        <v>-16.199999999999989</v>
      </c>
      <c r="BD49" s="36" t="s">
        <v>18</v>
      </c>
      <c r="BE49" s="4">
        <f>'[8]Gov 65 &amp; 70'!$J134</f>
        <v>0</v>
      </c>
      <c r="BF49" s="4">
        <f t="shared" si="39"/>
        <v>0</v>
      </c>
      <c r="BG49" s="83">
        <f t="shared" si="20"/>
        <v>0</v>
      </c>
      <c r="BH49" s="36" t="s">
        <v>18</v>
      </c>
      <c r="BI49" s="273">
        <f t="shared" si="21"/>
        <v>-3712.7159999999976</v>
      </c>
      <c r="BJ49" s="270">
        <f t="shared" si="22"/>
        <v>0</v>
      </c>
      <c r="BK49" s="482">
        <f t="shared" si="23"/>
        <v>-3713</v>
      </c>
      <c r="BL49" s="276"/>
      <c r="BM49" s="36" t="s">
        <v>18</v>
      </c>
      <c r="BN49" s="4">
        <v>1986</v>
      </c>
      <c r="BO49" s="4">
        <v>9</v>
      </c>
      <c r="BP49" s="108"/>
    </row>
    <row r="50" spans="1:72">
      <c r="A50" s="4">
        <v>1986</v>
      </c>
      <c r="B50" s="4">
        <v>10</v>
      </c>
      <c r="C50" s="5">
        <v>125365</v>
      </c>
      <c r="D50" s="5">
        <v>6731</v>
      </c>
      <c r="E50" s="73">
        <f t="shared" si="6"/>
        <v>18625</v>
      </c>
      <c r="F50" s="540">
        <f t="shared" si="7"/>
        <v>6731</v>
      </c>
      <c r="H50" s="13" t="s">
        <v>18</v>
      </c>
      <c r="I50" s="76">
        <f>'[7]Gov 65 &amp; 70'!$S135</f>
        <v>335</v>
      </c>
      <c r="J50" s="76">
        <f t="shared" si="29"/>
        <v>287.8</v>
      </c>
      <c r="K50" s="362">
        <f t="shared" si="60"/>
        <v>-47.199999999999989</v>
      </c>
      <c r="L50" s="200" t="s">
        <v>18</v>
      </c>
      <c r="M50" s="76">
        <f>'[7]Gov 65 &amp; 70'!$J135</f>
        <v>1.6</v>
      </c>
      <c r="N50" s="76">
        <f t="shared" si="30"/>
        <v>2.5</v>
      </c>
      <c r="O50" s="363">
        <f t="shared" si="61"/>
        <v>0.89999999999999991</v>
      </c>
      <c r="P50" s="13" t="s">
        <v>18</v>
      </c>
      <c r="Q50" s="77">
        <f t="shared" si="11"/>
        <v>-10817.295999999998</v>
      </c>
      <c r="R50" s="78">
        <f t="shared" si="12"/>
        <v>36.521999999999991</v>
      </c>
      <c r="S50" s="479">
        <f t="shared" si="13"/>
        <v>-10781</v>
      </c>
      <c r="T50" s="13" t="s">
        <v>18</v>
      </c>
      <c r="U50" s="4">
        <v>1986</v>
      </c>
      <c r="V50" s="4">
        <v>10</v>
      </c>
      <c r="W50" s="153">
        <f t="shared" si="14"/>
        <v>17023.324914574358</v>
      </c>
      <c r="X50" s="153">
        <f t="shared" si="28"/>
        <v>-1138.5828857127708</v>
      </c>
      <c r="Y50" s="80"/>
      <c r="Z50" s="98">
        <f t="shared" si="15"/>
        <v>114584</v>
      </c>
      <c r="AA50" s="119">
        <f t="shared" si="10"/>
        <v>-10781</v>
      </c>
      <c r="AB50" s="98">
        <f t="shared" si="16"/>
        <v>114584</v>
      </c>
      <c r="AC50" s="4">
        <v>1986</v>
      </c>
      <c r="AD50" s="4">
        <v>10</v>
      </c>
      <c r="AE50" s="107">
        <f>RESID!AC50</f>
        <v>29.65</v>
      </c>
      <c r="AF50" s="40">
        <f t="shared" si="17"/>
        <v>17465.458327143067</v>
      </c>
      <c r="AG50" s="4">
        <f t="shared" si="18"/>
        <v>117560</v>
      </c>
      <c r="AI50" s="80"/>
      <c r="AY50" s="4">
        <v>1986</v>
      </c>
      <c r="AZ50" s="4">
        <v>10</v>
      </c>
      <c r="BA50" s="4">
        <f>'[8]Gov 65 &amp; 70'!$S135</f>
        <v>233.9</v>
      </c>
      <c r="BB50" s="4">
        <f t="shared" si="38"/>
        <v>200.4</v>
      </c>
      <c r="BC50" s="82">
        <f t="shared" si="19"/>
        <v>-33.5</v>
      </c>
      <c r="BD50" s="36" t="s">
        <v>18</v>
      </c>
      <c r="BE50" s="4">
        <f>'[8]Gov 65 &amp; 70'!$J135</f>
        <v>9.9</v>
      </c>
      <c r="BF50" s="4">
        <f t="shared" si="39"/>
        <v>15</v>
      </c>
      <c r="BG50" s="83">
        <f t="shared" si="20"/>
        <v>5.0999999999999996</v>
      </c>
      <c r="BH50" s="36" t="s">
        <v>18</v>
      </c>
      <c r="BI50" s="273">
        <f t="shared" si="21"/>
        <v>-7677.5300000000007</v>
      </c>
      <c r="BJ50" s="270">
        <f t="shared" si="22"/>
        <v>206.95799999999997</v>
      </c>
      <c r="BK50" s="482">
        <f t="shared" si="23"/>
        <v>-7471</v>
      </c>
      <c r="BL50" s="276"/>
      <c r="BM50" s="36" t="s">
        <v>18</v>
      </c>
      <c r="BN50" s="4">
        <v>1986</v>
      </c>
      <c r="BO50" s="4">
        <v>10</v>
      </c>
      <c r="BP50" s="108"/>
    </row>
    <row r="51" spans="1:72">
      <c r="A51" s="4">
        <v>1986</v>
      </c>
      <c r="B51" s="4">
        <v>11</v>
      </c>
      <c r="C51" s="5">
        <v>113097</v>
      </c>
      <c r="D51" s="5">
        <v>6779</v>
      </c>
      <c r="E51" s="73">
        <f t="shared" si="6"/>
        <v>16683</v>
      </c>
      <c r="F51" s="540">
        <f t="shared" si="7"/>
        <v>6779</v>
      </c>
      <c r="H51" s="13" t="s">
        <v>18</v>
      </c>
      <c r="I51" s="76">
        <f>'[7]Gov 65 &amp; 70'!$S136</f>
        <v>188.8</v>
      </c>
      <c r="J51" s="76">
        <f t="shared" si="29"/>
        <v>140.19999999999999</v>
      </c>
      <c r="K51" s="362">
        <f t="shared" si="60"/>
        <v>-48.600000000000023</v>
      </c>
      <c r="L51" s="200" t="s">
        <v>18</v>
      </c>
      <c r="M51" s="76">
        <f>'[7]Gov 65 &amp; 70'!$J136</f>
        <v>10.7</v>
      </c>
      <c r="N51" s="76">
        <f t="shared" si="30"/>
        <v>38.6</v>
      </c>
      <c r="O51" s="363">
        <f t="shared" si="61"/>
        <v>27.900000000000002</v>
      </c>
      <c r="P51" s="13" t="s">
        <v>18</v>
      </c>
      <c r="Q51" s="77">
        <f t="shared" si="11"/>
        <v>-11138.148000000005</v>
      </c>
      <c r="R51" s="78">
        <f t="shared" si="12"/>
        <v>1132.182</v>
      </c>
      <c r="S51" s="479">
        <f t="shared" si="13"/>
        <v>-10006</v>
      </c>
      <c r="T51" s="13" t="s">
        <v>18</v>
      </c>
      <c r="U51" s="4">
        <v>1986</v>
      </c>
      <c r="V51" s="4">
        <v>11</v>
      </c>
      <c r="W51" s="153">
        <f t="shared" si="14"/>
        <v>15207.405222009147</v>
      </c>
      <c r="X51" s="153">
        <f t="shared" si="28"/>
        <v>703.19419388265851</v>
      </c>
      <c r="Y51" s="80"/>
      <c r="Z51" s="98">
        <f t="shared" si="15"/>
        <v>103091</v>
      </c>
      <c r="AA51" s="119">
        <f t="shared" si="10"/>
        <v>-10006</v>
      </c>
      <c r="AB51" s="98">
        <f t="shared" si="16"/>
        <v>103091</v>
      </c>
      <c r="AC51" s="4">
        <v>1986</v>
      </c>
      <c r="AD51" s="4">
        <v>11</v>
      </c>
      <c r="AE51" s="107">
        <f>RESID!AC51</f>
        <v>30.05</v>
      </c>
      <c r="AF51" s="40">
        <f t="shared" si="17"/>
        <v>15394.600973594926</v>
      </c>
      <c r="AG51" s="4">
        <f t="shared" si="18"/>
        <v>104360</v>
      </c>
      <c r="AI51" s="80"/>
      <c r="AY51" s="4">
        <v>1986</v>
      </c>
      <c r="AZ51" s="4">
        <v>11</v>
      </c>
      <c r="BA51" s="4">
        <f>'[8]Gov 65 &amp; 70'!$S136</f>
        <v>183.9</v>
      </c>
      <c r="BB51" s="4">
        <f t="shared" si="38"/>
        <v>66.3</v>
      </c>
      <c r="BC51" s="82">
        <f t="shared" si="19"/>
        <v>-117.60000000000001</v>
      </c>
      <c r="BD51" s="36" t="s">
        <v>18</v>
      </c>
      <c r="BE51" s="4">
        <f>'[8]Gov 65 &amp; 70'!$J136</f>
        <v>11.6</v>
      </c>
      <c r="BF51" s="4">
        <f t="shared" si="39"/>
        <v>69.900000000000006</v>
      </c>
      <c r="BG51" s="83">
        <f t="shared" si="20"/>
        <v>58.300000000000004</v>
      </c>
      <c r="BH51" s="36" t="s">
        <v>18</v>
      </c>
      <c r="BI51" s="273">
        <f t="shared" si="21"/>
        <v>-26951.568000000003</v>
      </c>
      <c r="BJ51" s="270">
        <f t="shared" si="22"/>
        <v>2365.8139999999999</v>
      </c>
      <c r="BK51" s="482">
        <f t="shared" si="23"/>
        <v>-24586</v>
      </c>
      <c r="BL51" s="276"/>
      <c r="BM51" s="36" t="s">
        <v>18</v>
      </c>
      <c r="BN51" s="4">
        <v>1986</v>
      </c>
      <c r="BO51" s="4">
        <v>11</v>
      </c>
      <c r="BP51" s="108"/>
    </row>
    <row r="52" spans="1:72" s="89" customFormat="1">
      <c r="A52" s="89">
        <v>1986</v>
      </c>
      <c r="B52" s="89">
        <v>12</v>
      </c>
      <c r="C52" s="103">
        <v>114090</v>
      </c>
      <c r="D52" s="103">
        <v>6813</v>
      </c>
      <c r="E52" s="104">
        <f t="shared" si="6"/>
        <v>16746</v>
      </c>
      <c r="F52" s="586">
        <f t="shared" si="7"/>
        <v>6813</v>
      </c>
      <c r="H52" s="90" t="s">
        <v>18</v>
      </c>
      <c r="I52" s="92">
        <f>'[7]Gov 65 &amp; 70'!$S137</f>
        <v>147.1</v>
      </c>
      <c r="J52" s="92">
        <f t="shared" si="29"/>
        <v>50.8</v>
      </c>
      <c r="K52" s="364">
        <f t="shared" si="60"/>
        <v>-96.3</v>
      </c>
      <c r="L52" s="210" t="s">
        <v>18</v>
      </c>
      <c r="M52" s="92">
        <f>'[7]Gov 65 &amp; 70'!$J137</f>
        <v>35.6</v>
      </c>
      <c r="N52" s="92">
        <f t="shared" si="30"/>
        <v>121.8</v>
      </c>
      <c r="O52" s="365">
        <f t="shared" si="61"/>
        <v>86.199999999999989</v>
      </c>
      <c r="P52" s="90" t="s">
        <v>18</v>
      </c>
      <c r="Q52" s="114">
        <f t="shared" si="11"/>
        <v>-22070.034</v>
      </c>
      <c r="R52" s="95">
        <f t="shared" si="12"/>
        <v>3497.9959999999992</v>
      </c>
      <c r="S52" s="480">
        <f t="shared" si="13"/>
        <v>-18572</v>
      </c>
      <c r="T52" s="90" t="s">
        <v>18</v>
      </c>
      <c r="U52" s="89">
        <v>1986</v>
      </c>
      <c r="V52" s="89">
        <v>12</v>
      </c>
      <c r="W52" s="154">
        <f t="shared" si="14"/>
        <v>14019.96183766329</v>
      </c>
      <c r="X52" s="154">
        <f t="shared" si="28"/>
        <v>-224.82982900337629</v>
      </c>
      <c r="Y52" s="134"/>
      <c r="Z52" s="155">
        <f t="shared" si="15"/>
        <v>95518</v>
      </c>
      <c r="AA52" s="156">
        <f t="shared" si="10"/>
        <v>-18572</v>
      </c>
      <c r="AB52" s="155">
        <f t="shared" si="16"/>
        <v>95518</v>
      </c>
      <c r="AC52" s="89">
        <v>1986</v>
      </c>
      <c r="AD52" s="89">
        <v>12</v>
      </c>
      <c r="AE52" s="110">
        <f>RESID!AC52</f>
        <v>31.6</v>
      </c>
      <c r="AF52" s="116">
        <f t="shared" si="17"/>
        <v>13496.403933656245</v>
      </c>
      <c r="AG52" s="89">
        <f t="shared" si="18"/>
        <v>91951</v>
      </c>
      <c r="AI52" s="134"/>
      <c r="AY52" s="89">
        <v>1986</v>
      </c>
      <c r="AZ52" s="89">
        <v>12</v>
      </c>
      <c r="BA52" s="89">
        <f>'[8]Gov 65 &amp; 70'!$S137</f>
        <v>49.1</v>
      </c>
      <c r="BB52" s="89">
        <f t="shared" si="38"/>
        <v>28.2</v>
      </c>
      <c r="BC52" s="111">
        <f t="shared" si="19"/>
        <v>-20.900000000000002</v>
      </c>
      <c r="BD52" s="113" t="s">
        <v>18</v>
      </c>
      <c r="BE52" s="89">
        <f>'[8]Gov 65 &amp; 70'!$J137</f>
        <v>92.1</v>
      </c>
      <c r="BF52" s="89">
        <f t="shared" si="39"/>
        <v>170</v>
      </c>
      <c r="BG52" s="112">
        <f t="shared" si="20"/>
        <v>77.900000000000006</v>
      </c>
      <c r="BH52" s="113" t="s">
        <v>18</v>
      </c>
      <c r="BI52" s="274">
        <f t="shared" si="21"/>
        <v>-4789.862000000001</v>
      </c>
      <c r="BJ52" s="275">
        <f t="shared" si="22"/>
        <v>3161.1820000000002</v>
      </c>
      <c r="BK52" s="483">
        <f t="shared" si="23"/>
        <v>-1629</v>
      </c>
      <c r="BL52" s="277"/>
      <c r="BM52" s="113" t="s">
        <v>18</v>
      </c>
      <c r="BN52" s="89">
        <v>1986</v>
      </c>
      <c r="BO52" s="89">
        <v>12</v>
      </c>
      <c r="BP52" s="117"/>
      <c r="BT52" s="96"/>
    </row>
    <row r="53" spans="1:72">
      <c r="A53" s="4">
        <v>1987</v>
      </c>
      <c r="B53" s="4">
        <v>1</v>
      </c>
      <c r="C53" s="5">
        <v>97439</v>
      </c>
      <c r="D53" s="5">
        <v>6848</v>
      </c>
      <c r="E53" s="73">
        <f t="shared" si="6"/>
        <v>14229</v>
      </c>
      <c r="F53" s="540">
        <f t="shared" si="7"/>
        <v>6848</v>
      </c>
      <c r="H53" s="13" t="s">
        <v>18</v>
      </c>
      <c r="I53" s="76">
        <f>'[7]Gov 65 &amp; 70'!$S138</f>
        <v>32.299999999999997</v>
      </c>
      <c r="J53" s="76">
        <f t="shared" si="29"/>
        <v>28.7</v>
      </c>
      <c r="K53" s="362">
        <f t="shared" si="60"/>
        <v>-3.5999999999999979</v>
      </c>
      <c r="L53" s="200" t="s">
        <v>18</v>
      </c>
      <c r="M53" s="76">
        <f>'[7]Gov 65 &amp; 70'!$J138</f>
        <v>157.1</v>
      </c>
      <c r="N53" s="76">
        <f t="shared" si="30"/>
        <v>192.9</v>
      </c>
      <c r="O53" s="363">
        <f t="shared" si="61"/>
        <v>35.800000000000011</v>
      </c>
      <c r="P53" s="13" t="s">
        <v>18</v>
      </c>
      <c r="Q53" s="77">
        <f t="shared" si="11"/>
        <v>-825.04799999999955</v>
      </c>
      <c r="R53" s="78">
        <f t="shared" si="12"/>
        <v>1452.7640000000004</v>
      </c>
      <c r="S53" s="479">
        <f t="shared" si="13"/>
        <v>628</v>
      </c>
      <c r="T53" s="13" t="s">
        <v>18</v>
      </c>
      <c r="U53" s="4">
        <v>1987</v>
      </c>
      <c r="V53" s="4">
        <v>1</v>
      </c>
      <c r="W53" s="153">
        <f t="shared" si="14"/>
        <v>14320.531542056075</v>
      </c>
      <c r="X53" s="153">
        <f t="shared" si="28"/>
        <v>-402.05514960278197</v>
      </c>
      <c r="Y53" s="80"/>
      <c r="Z53" s="98">
        <f t="shared" si="15"/>
        <v>98067</v>
      </c>
      <c r="AA53" s="119">
        <f t="shared" si="10"/>
        <v>628</v>
      </c>
      <c r="AB53" s="98">
        <f t="shared" si="16"/>
        <v>98067</v>
      </c>
      <c r="AC53" s="4">
        <v>1987</v>
      </c>
      <c r="AD53" s="4">
        <v>1</v>
      </c>
      <c r="AE53" s="107">
        <f>RESID!AC53</f>
        <v>32</v>
      </c>
      <c r="AF53" s="40">
        <f t="shared" si="17"/>
        <v>13613.46378504673</v>
      </c>
      <c r="AG53" s="4">
        <f t="shared" si="18"/>
        <v>93225</v>
      </c>
      <c r="AI53" s="80"/>
      <c r="AY53" s="4">
        <v>1987</v>
      </c>
      <c r="AZ53" s="4">
        <v>1</v>
      </c>
      <c r="BA53" s="4">
        <f>'[8]Gov 65 &amp; 70'!$S138</f>
        <v>17</v>
      </c>
      <c r="BB53" s="4">
        <f t="shared" si="38"/>
        <v>23.9</v>
      </c>
      <c r="BC53" s="82">
        <f t="shared" si="19"/>
        <v>6.8999999999999986</v>
      </c>
      <c r="BD53" s="36" t="s">
        <v>18</v>
      </c>
      <c r="BE53" s="4">
        <f>'[8]Gov 65 &amp; 70'!$J138</f>
        <v>246.9</v>
      </c>
      <c r="BF53" s="4">
        <f t="shared" si="39"/>
        <v>176.9</v>
      </c>
      <c r="BG53" s="83">
        <f t="shared" si="20"/>
        <v>-70</v>
      </c>
      <c r="BH53" s="36" t="s">
        <v>18</v>
      </c>
      <c r="BI53" s="273">
        <f t="shared" si="21"/>
        <v>1581.3419999999996</v>
      </c>
      <c r="BJ53" s="270">
        <f t="shared" si="22"/>
        <v>-2840.6</v>
      </c>
      <c r="BK53" s="482">
        <f t="shared" si="23"/>
        <v>-1259</v>
      </c>
      <c r="BL53" s="276"/>
      <c r="BM53" s="36" t="s">
        <v>18</v>
      </c>
      <c r="BN53" s="4">
        <v>1987</v>
      </c>
      <c r="BO53" s="4">
        <v>1</v>
      </c>
      <c r="BP53" s="108"/>
    </row>
    <row r="54" spans="1:72">
      <c r="A54" s="4">
        <v>1987</v>
      </c>
      <c r="B54" s="4">
        <v>2</v>
      </c>
      <c r="C54" s="5">
        <v>97115</v>
      </c>
      <c r="D54" s="5">
        <v>6874</v>
      </c>
      <c r="E54" s="73">
        <f t="shared" si="6"/>
        <v>14128</v>
      </c>
      <c r="F54" s="540">
        <f t="shared" si="7"/>
        <v>6874</v>
      </c>
      <c r="H54" s="13" t="s">
        <v>18</v>
      </c>
      <c r="I54" s="76">
        <f>'[7]Gov 65 &amp; 70'!$S139</f>
        <v>15.4</v>
      </c>
      <c r="J54" s="76">
        <f t="shared" si="29"/>
        <v>22.6</v>
      </c>
      <c r="K54" s="362">
        <f t="shared" si="60"/>
        <v>7.2000000000000011</v>
      </c>
      <c r="L54" s="200" t="s">
        <v>18</v>
      </c>
      <c r="M54" s="76">
        <f>'[7]Gov 65 &amp; 70'!$J139</f>
        <v>215</v>
      </c>
      <c r="N54" s="76">
        <f t="shared" si="30"/>
        <v>177.2</v>
      </c>
      <c r="O54" s="363">
        <f t="shared" si="61"/>
        <v>-37.800000000000011</v>
      </c>
      <c r="P54" s="13" t="s">
        <v>18</v>
      </c>
      <c r="Q54" s="77">
        <f t="shared" si="11"/>
        <v>1650.0960000000002</v>
      </c>
      <c r="R54" s="78">
        <f t="shared" si="12"/>
        <v>-1533.9240000000004</v>
      </c>
      <c r="S54" s="479">
        <f t="shared" si="13"/>
        <v>116</v>
      </c>
      <c r="T54" s="13" t="s">
        <v>18</v>
      </c>
      <c r="U54" s="4">
        <v>1987</v>
      </c>
      <c r="V54" s="4">
        <v>2</v>
      </c>
      <c r="W54" s="153">
        <f t="shared" si="14"/>
        <v>14144.748327029387</v>
      </c>
      <c r="X54" s="153">
        <f t="shared" si="28"/>
        <v>-642.23392149132269</v>
      </c>
      <c r="Y54" s="80"/>
      <c r="Z54" s="98">
        <f t="shared" si="15"/>
        <v>97231</v>
      </c>
      <c r="AA54" s="119">
        <f t="shared" si="10"/>
        <v>116</v>
      </c>
      <c r="AB54" s="98">
        <f t="shared" si="16"/>
        <v>97231</v>
      </c>
      <c r="AC54" s="4">
        <v>1987</v>
      </c>
      <c r="AD54" s="4">
        <v>2</v>
      </c>
      <c r="AE54" s="107">
        <f>RESID!AC54</f>
        <v>29.55</v>
      </c>
      <c r="AF54" s="40">
        <f t="shared" si="17"/>
        <v>14561.245272039569</v>
      </c>
      <c r="AG54" s="4">
        <f t="shared" si="18"/>
        <v>100094</v>
      </c>
      <c r="AI54" s="80"/>
      <c r="AY54" s="4">
        <v>1987</v>
      </c>
      <c r="AZ54" s="4">
        <v>2</v>
      </c>
      <c r="BA54" s="4">
        <f>'[8]Gov 65 &amp; 70'!$S139</f>
        <v>22.5</v>
      </c>
      <c r="BB54" s="4">
        <f t="shared" si="38"/>
        <v>32.799999999999997</v>
      </c>
      <c r="BC54" s="82">
        <f t="shared" si="19"/>
        <v>10.299999999999997</v>
      </c>
      <c r="BD54" s="36" t="s">
        <v>18</v>
      </c>
      <c r="BE54" s="4">
        <f>'[8]Gov 65 &amp; 70'!$J139</f>
        <v>137.5</v>
      </c>
      <c r="BF54" s="4">
        <f t="shared" si="39"/>
        <v>139.1</v>
      </c>
      <c r="BG54" s="83">
        <f t="shared" si="20"/>
        <v>1.5999999999999943</v>
      </c>
      <c r="BH54" s="36" t="s">
        <v>18</v>
      </c>
      <c r="BI54" s="273">
        <f t="shared" si="21"/>
        <v>2360.5539999999996</v>
      </c>
      <c r="BJ54" s="270">
        <f t="shared" si="22"/>
        <v>64.92799999999977</v>
      </c>
      <c r="BK54" s="482">
        <f t="shared" si="23"/>
        <v>2425</v>
      </c>
      <c r="BL54" s="276"/>
      <c r="BM54" s="36" t="s">
        <v>18</v>
      </c>
      <c r="BN54" s="4">
        <v>1987</v>
      </c>
      <c r="BO54" s="4">
        <v>2</v>
      </c>
      <c r="BP54" s="108"/>
    </row>
    <row r="55" spans="1:72">
      <c r="A55" s="4">
        <v>1987</v>
      </c>
      <c r="B55" s="4">
        <v>3</v>
      </c>
      <c r="C55" s="5">
        <v>97840</v>
      </c>
      <c r="D55" s="5">
        <v>6907</v>
      </c>
      <c r="E55" s="73">
        <f t="shared" si="6"/>
        <v>14165</v>
      </c>
      <c r="F55" s="540">
        <f t="shared" si="7"/>
        <v>6907</v>
      </c>
      <c r="H55" s="13" t="s">
        <v>18</v>
      </c>
      <c r="I55" s="76">
        <f>'[7]Gov 65 &amp; 70'!$S140</f>
        <v>28</v>
      </c>
      <c r="J55" s="76">
        <f t="shared" si="29"/>
        <v>44.5</v>
      </c>
      <c r="K55" s="362">
        <f t="shared" si="60"/>
        <v>16.5</v>
      </c>
      <c r="L55" s="200" t="s">
        <v>18</v>
      </c>
      <c r="M55" s="76">
        <f>'[7]Gov 65 &amp; 70'!$J140</f>
        <v>119.9</v>
      </c>
      <c r="N55" s="76">
        <f t="shared" si="30"/>
        <v>119.5</v>
      </c>
      <c r="O55" s="363">
        <f t="shared" si="61"/>
        <v>-0.40000000000000568</v>
      </c>
      <c r="P55" s="13" t="s">
        <v>18</v>
      </c>
      <c r="Q55" s="77">
        <f t="shared" si="11"/>
        <v>3781.4700000000003</v>
      </c>
      <c r="R55" s="78">
        <f t="shared" si="12"/>
        <v>-16.23200000000023</v>
      </c>
      <c r="S55" s="479">
        <f t="shared" si="13"/>
        <v>3765</v>
      </c>
      <c r="T55" s="13" t="s">
        <v>18</v>
      </c>
      <c r="U55" s="4">
        <v>1987</v>
      </c>
      <c r="V55" s="4">
        <v>3</v>
      </c>
      <c r="W55" s="153">
        <f t="shared" si="14"/>
        <v>14710.438685391631</v>
      </c>
      <c r="X55" s="153">
        <f t="shared" si="28"/>
        <v>33.986275008441226</v>
      </c>
      <c r="Y55" s="80"/>
      <c r="Z55" s="98">
        <f t="shared" si="15"/>
        <v>101605</v>
      </c>
      <c r="AA55" s="119">
        <f t="shared" si="10"/>
        <v>3765</v>
      </c>
      <c r="AB55" s="98">
        <f t="shared" si="16"/>
        <v>101605</v>
      </c>
      <c r="AC55" s="4">
        <v>1987</v>
      </c>
      <c r="AD55" s="4">
        <v>3</v>
      </c>
      <c r="AE55" s="107">
        <f>RESID!AC55</f>
        <v>29.4</v>
      </c>
      <c r="AF55" s="40">
        <f t="shared" si="17"/>
        <v>15220.790502388882</v>
      </c>
      <c r="AG55" s="4">
        <f t="shared" si="18"/>
        <v>105130</v>
      </c>
      <c r="AI55" s="80"/>
      <c r="AY55" s="4">
        <v>1987</v>
      </c>
      <c r="AZ55" s="4">
        <v>3</v>
      </c>
      <c r="BA55" s="4">
        <f>'[8]Gov 65 &amp; 70'!$S140</f>
        <v>44.1</v>
      </c>
      <c r="BB55" s="4">
        <f t="shared" si="38"/>
        <v>64.099999999999994</v>
      </c>
      <c r="BC55" s="82">
        <f t="shared" si="19"/>
        <v>19.999999999999993</v>
      </c>
      <c r="BD55" s="36" t="s">
        <v>18</v>
      </c>
      <c r="BE55" s="4">
        <f>'[8]Gov 65 &amp; 70'!$J140</f>
        <v>89</v>
      </c>
      <c r="BF55" s="4">
        <f t="shared" si="39"/>
        <v>85.4</v>
      </c>
      <c r="BG55" s="83">
        <f t="shared" si="20"/>
        <v>-3.5999999999999943</v>
      </c>
      <c r="BH55" s="36" t="s">
        <v>18</v>
      </c>
      <c r="BI55" s="273">
        <f t="shared" si="21"/>
        <v>4583.5999999999985</v>
      </c>
      <c r="BJ55" s="270">
        <f t="shared" si="22"/>
        <v>-146.08799999999977</v>
      </c>
      <c r="BK55" s="482">
        <f t="shared" si="23"/>
        <v>4438</v>
      </c>
      <c r="BL55" s="276"/>
      <c r="BM55" s="36" t="s">
        <v>18</v>
      </c>
      <c r="BN55" s="4">
        <v>1987</v>
      </c>
      <c r="BO55" s="4">
        <v>3</v>
      </c>
      <c r="BP55" s="108"/>
    </row>
    <row r="56" spans="1:72">
      <c r="A56" s="4">
        <v>1987</v>
      </c>
      <c r="B56" s="4">
        <v>4</v>
      </c>
      <c r="C56" s="5">
        <v>99066</v>
      </c>
      <c r="D56" s="5">
        <v>6982</v>
      </c>
      <c r="E56" s="73">
        <f t="shared" si="6"/>
        <v>14189</v>
      </c>
      <c r="F56" s="540">
        <f t="shared" si="7"/>
        <v>6982</v>
      </c>
      <c r="H56" s="13" t="s">
        <v>18</v>
      </c>
      <c r="I56" s="76">
        <f>'[7]Gov 65 &amp; 70'!$S141</f>
        <v>47.7</v>
      </c>
      <c r="J56" s="76">
        <f t="shared" si="29"/>
        <v>87.7</v>
      </c>
      <c r="K56" s="362">
        <f t="shared" si="60"/>
        <v>40</v>
      </c>
      <c r="L56" s="200" t="s">
        <v>18</v>
      </c>
      <c r="M56" s="76">
        <f>'[7]Gov 65 &amp; 70'!$J141</f>
        <v>106.7</v>
      </c>
      <c r="N56" s="76">
        <f t="shared" si="30"/>
        <v>60.3</v>
      </c>
      <c r="O56" s="363">
        <f t="shared" si="61"/>
        <v>-46.400000000000006</v>
      </c>
      <c r="P56" s="13" t="s">
        <v>18</v>
      </c>
      <c r="Q56" s="77">
        <f t="shared" si="11"/>
        <v>9167.2000000000007</v>
      </c>
      <c r="R56" s="78">
        <f t="shared" si="12"/>
        <v>-1882.9120000000003</v>
      </c>
      <c r="S56" s="479">
        <f t="shared" si="13"/>
        <v>7284</v>
      </c>
      <c r="T56" s="13" t="s">
        <v>18</v>
      </c>
      <c r="U56" s="4">
        <v>1987</v>
      </c>
      <c r="V56" s="4">
        <v>4</v>
      </c>
      <c r="W56" s="153">
        <f t="shared" si="14"/>
        <v>15232.025207676885</v>
      </c>
      <c r="X56" s="153">
        <f t="shared" si="28"/>
        <v>-213.71898194909772</v>
      </c>
      <c r="Y56" s="80"/>
      <c r="Z56" s="98">
        <f t="shared" si="15"/>
        <v>106350</v>
      </c>
      <c r="AA56" s="119">
        <f t="shared" si="10"/>
        <v>7284</v>
      </c>
      <c r="AB56" s="98">
        <f t="shared" si="16"/>
        <v>106350</v>
      </c>
      <c r="AC56" s="4">
        <v>1987</v>
      </c>
      <c r="AD56" s="4">
        <v>4</v>
      </c>
      <c r="AE56" s="107">
        <f>RESID!AC56</f>
        <v>29.75</v>
      </c>
      <c r="AF56" s="40">
        <f t="shared" si="17"/>
        <v>15575.050128902893</v>
      </c>
      <c r="AG56" s="4">
        <f t="shared" si="18"/>
        <v>108745</v>
      </c>
      <c r="AI56" s="80"/>
      <c r="AY56" s="4">
        <v>1987</v>
      </c>
      <c r="AZ56" s="4">
        <v>4</v>
      </c>
      <c r="BA56" s="4">
        <f>'[8]Gov 65 &amp; 70'!$S141</f>
        <v>75.2</v>
      </c>
      <c r="BB56" s="4">
        <f t="shared" si="38"/>
        <v>122</v>
      </c>
      <c r="BC56" s="82">
        <f t="shared" si="19"/>
        <v>46.8</v>
      </c>
      <c r="BD56" s="36" t="s">
        <v>18</v>
      </c>
      <c r="BE56" s="4">
        <f>'[8]Gov 65 &amp; 70'!$J141</f>
        <v>100.2</v>
      </c>
      <c r="BF56" s="4">
        <f t="shared" si="39"/>
        <v>34.700000000000003</v>
      </c>
      <c r="BG56" s="83">
        <f t="shared" si="20"/>
        <v>-65.5</v>
      </c>
      <c r="BH56" s="36" t="s">
        <v>18</v>
      </c>
      <c r="BI56" s="273">
        <f t="shared" si="21"/>
        <v>10725.624</v>
      </c>
      <c r="BJ56" s="270">
        <f t="shared" si="22"/>
        <v>-2657.99</v>
      </c>
      <c r="BK56" s="482">
        <f t="shared" si="23"/>
        <v>8068</v>
      </c>
      <c r="BL56" s="276"/>
      <c r="BM56" s="36" t="s">
        <v>18</v>
      </c>
      <c r="BN56" s="4">
        <v>1987</v>
      </c>
      <c r="BO56" s="4">
        <v>4</v>
      </c>
      <c r="BP56" s="108"/>
    </row>
    <row r="57" spans="1:72">
      <c r="A57" s="4">
        <v>1987</v>
      </c>
      <c r="B57" s="4">
        <v>5</v>
      </c>
      <c r="C57" s="5">
        <v>109363</v>
      </c>
      <c r="D57" s="5">
        <v>7011</v>
      </c>
      <c r="E57" s="73">
        <f t="shared" si="6"/>
        <v>15599</v>
      </c>
      <c r="F57" s="540">
        <f t="shared" si="7"/>
        <v>7011</v>
      </c>
      <c r="H57" s="13" t="s">
        <v>18</v>
      </c>
      <c r="I57" s="76">
        <f>'[7]Gov 65 &amp; 70'!$S142</f>
        <v>137.1</v>
      </c>
      <c r="J57" s="76">
        <f t="shared" si="29"/>
        <v>157.69999999999999</v>
      </c>
      <c r="K57" s="362">
        <f t="shared" si="60"/>
        <v>20.599999999999994</v>
      </c>
      <c r="L57" s="200" t="s">
        <v>18</v>
      </c>
      <c r="M57" s="76">
        <f>'[7]Gov 65 &amp; 70'!$J142</f>
        <v>43.7</v>
      </c>
      <c r="N57" s="76">
        <f t="shared" si="30"/>
        <v>18.600000000000001</v>
      </c>
      <c r="O57" s="363">
        <f t="shared" si="61"/>
        <v>-25.1</v>
      </c>
      <c r="P57" s="13" t="s">
        <v>18</v>
      </c>
      <c r="Q57" s="77">
        <f t="shared" si="11"/>
        <v>4721.1079999999993</v>
      </c>
      <c r="R57" s="78">
        <f t="shared" si="12"/>
        <v>-1018.558</v>
      </c>
      <c r="S57" s="479">
        <f t="shared" si="13"/>
        <v>3703</v>
      </c>
      <c r="T57" s="13" t="s">
        <v>18</v>
      </c>
      <c r="U57" s="4">
        <v>1987</v>
      </c>
      <c r="V57" s="4">
        <v>5</v>
      </c>
      <c r="W57" s="153">
        <f t="shared" si="14"/>
        <v>16126.943374696904</v>
      </c>
      <c r="X57" s="153">
        <f t="shared" si="28"/>
        <v>-286.55486930981351</v>
      </c>
      <c r="Y57" s="80"/>
      <c r="Z57" s="98">
        <f t="shared" si="15"/>
        <v>113066</v>
      </c>
      <c r="AA57" s="119">
        <f t="shared" si="10"/>
        <v>3703</v>
      </c>
      <c r="AB57" s="98">
        <f t="shared" si="16"/>
        <v>113066</v>
      </c>
      <c r="AC57" s="4">
        <v>1987</v>
      </c>
      <c r="AD57" s="4">
        <v>5</v>
      </c>
      <c r="AE57" s="107">
        <f>RESID!AC57</f>
        <v>30.5</v>
      </c>
      <c r="AF57" s="40">
        <f t="shared" si="17"/>
        <v>16084.581372129509</v>
      </c>
      <c r="AG57" s="4">
        <f t="shared" si="18"/>
        <v>112769</v>
      </c>
      <c r="AI57" s="80"/>
      <c r="AY57" s="4">
        <v>1987</v>
      </c>
      <c r="AZ57" s="4">
        <v>5</v>
      </c>
      <c r="BA57" s="4">
        <f>'[8]Gov 65 &amp; 70'!$S142</f>
        <v>236</v>
      </c>
      <c r="BB57" s="4">
        <f t="shared" si="38"/>
        <v>253</v>
      </c>
      <c r="BC57" s="82">
        <f t="shared" si="19"/>
        <v>17</v>
      </c>
      <c r="BD57" s="36" t="s">
        <v>18</v>
      </c>
      <c r="BE57" s="4">
        <f>'[8]Gov 65 &amp; 70'!$J142</f>
        <v>4.0999999999999996</v>
      </c>
      <c r="BF57" s="4">
        <f t="shared" si="39"/>
        <v>4.3</v>
      </c>
      <c r="BG57" s="83">
        <f t="shared" si="20"/>
        <v>0.20000000000000018</v>
      </c>
      <c r="BH57" s="36" t="s">
        <v>18</v>
      </c>
      <c r="BI57" s="273">
        <f t="shared" si="21"/>
        <v>3896.06</v>
      </c>
      <c r="BJ57" s="270">
        <f t="shared" si="22"/>
        <v>8.1160000000000068</v>
      </c>
      <c r="BK57" s="482">
        <f t="shared" si="23"/>
        <v>3904</v>
      </c>
      <c r="BL57" s="276"/>
      <c r="BM57" s="36" t="s">
        <v>18</v>
      </c>
      <c r="BN57" s="4">
        <v>1987</v>
      </c>
      <c r="BO57" s="4">
        <v>5</v>
      </c>
      <c r="BP57" s="108"/>
    </row>
    <row r="58" spans="1:72">
      <c r="A58" s="4">
        <v>1987</v>
      </c>
      <c r="B58" s="4">
        <v>6</v>
      </c>
      <c r="C58" s="5">
        <v>121525</v>
      </c>
      <c r="D58" s="5">
        <v>7075</v>
      </c>
      <c r="E58" s="73">
        <f t="shared" si="6"/>
        <v>17177</v>
      </c>
      <c r="F58" s="540">
        <f t="shared" si="7"/>
        <v>7075</v>
      </c>
      <c r="H58" s="13" t="s">
        <v>18</v>
      </c>
      <c r="I58" s="76">
        <f>'[7]Gov 65 &amp; 70'!$S143</f>
        <v>287.3</v>
      </c>
      <c r="J58" s="76">
        <f t="shared" si="29"/>
        <v>295.39999999999998</v>
      </c>
      <c r="K58" s="362">
        <f t="shared" si="60"/>
        <v>8.0999999999999659</v>
      </c>
      <c r="L58" s="200" t="s">
        <v>18</v>
      </c>
      <c r="M58" s="76">
        <f>'[7]Gov 65 &amp; 70'!$J143</f>
        <v>1.2</v>
      </c>
      <c r="N58" s="76">
        <f t="shared" si="30"/>
        <v>2.2000000000000002</v>
      </c>
      <c r="O58" s="363">
        <f t="shared" si="61"/>
        <v>1.0000000000000002</v>
      </c>
      <c r="P58" s="13" t="s">
        <v>18</v>
      </c>
      <c r="Q58" s="77">
        <f t="shared" si="11"/>
        <v>1856.3579999999922</v>
      </c>
      <c r="R58" s="78">
        <f t="shared" si="12"/>
        <v>40.580000000000005</v>
      </c>
      <c r="S58" s="479">
        <f t="shared" si="13"/>
        <v>1897</v>
      </c>
      <c r="T58" s="13" t="s">
        <v>18</v>
      </c>
      <c r="U58" s="4">
        <v>1987</v>
      </c>
      <c r="V58" s="4">
        <v>6</v>
      </c>
      <c r="W58" s="153">
        <f t="shared" si="14"/>
        <v>17444.805653710246</v>
      </c>
      <c r="X58" s="153">
        <f t="shared" si="28"/>
        <v>123.14429248544911</v>
      </c>
      <c r="Y58" s="80"/>
      <c r="Z58" s="98">
        <f t="shared" si="15"/>
        <v>123422</v>
      </c>
      <c r="AA58" s="119">
        <f t="shared" si="10"/>
        <v>1897</v>
      </c>
      <c r="AB58" s="98">
        <f t="shared" si="16"/>
        <v>123422</v>
      </c>
      <c r="AC58" s="4">
        <v>1987</v>
      </c>
      <c r="AD58" s="4">
        <v>6</v>
      </c>
      <c r="AE58" s="107">
        <f>RESID!AC58</f>
        <v>30.75</v>
      </c>
      <c r="AF58" s="40">
        <f t="shared" si="17"/>
        <v>17257.526501766784</v>
      </c>
      <c r="AG58" s="4">
        <f t="shared" si="18"/>
        <v>122097</v>
      </c>
      <c r="AI58" s="80"/>
      <c r="AY58" s="4">
        <v>1987</v>
      </c>
      <c r="AZ58" s="4">
        <v>6</v>
      </c>
      <c r="BA58" s="4">
        <f>'[8]Gov 65 &amp; 70'!$S143</f>
        <v>370.9</v>
      </c>
      <c r="BB58" s="4">
        <f t="shared" si="38"/>
        <v>336.1</v>
      </c>
      <c r="BC58" s="82">
        <f t="shared" si="19"/>
        <v>-34.799999999999955</v>
      </c>
      <c r="BD58" s="36" t="s">
        <v>18</v>
      </c>
      <c r="BE58" s="4">
        <f>'[8]Gov 65 &amp; 70'!$J143</f>
        <v>0.1</v>
      </c>
      <c r="BF58" s="4">
        <f t="shared" si="39"/>
        <v>0</v>
      </c>
      <c r="BG58" s="83">
        <f t="shared" si="20"/>
        <v>-0.1</v>
      </c>
      <c r="BH58" s="36" t="s">
        <v>18</v>
      </c>
      <c r="BI58" s="273">
        <f t="shared" si="21"/>
        <v>-7975.4639999999899</v>
      </c>
      <c r="BJ58" s="270">
        <f t="shared" si="22"/>
        <v>-4.0579999999999998</v>
      </c>
      <c r="BK58" s="482">
        <f t="shared" si="23"/>
        <v>-7980</v>
      </c>
      <c r="BL58" s="276"/>
      <c r="BM58" s="36" t="s">
        <v>18</v>
      </c>
      <c r="BN58" s="4">
        <v>1987</v>
      </c>
      <c r="BO58" s="4">
        <v>6</v>
      </c>
      <c r="BP58" s="108"/>
    </row>
    <row r="59" spans="1:72">
      <c r="A59" s="4">
        <v>1987</v>
      </c>
      <c r="B59" s="4">
        <v>7</v>
      </c>
      <c r="C59" s="5">
        <v>119349</v>
      </c>
      <c r="D59" s="5">
        <v>7096</v>
      </c>
      <c r="E59" s="73">
        <f t="shared" si="6"/>
        <v>16819</v>
      </c>
      <c r="F59" s="540">
        <f t="shared" si="7"/>
        <v>7096</v>
      </c>
      <c r="H59" s="13" t="s">
        <v>18</v>
      </c>
      <c r="I59" s="76">
        <f>'[7]Gov 65 &amp; 70'!$S144</f>
        <v>399.8</v>
      </c>
      <c r="J59" s="76">
        <f t="shared" si="29"/>
        <v>363.4</v>
      </c>
      <c r="K59" s="362">
        <f t="shared" si="60"/>
        <v>-36.400000000000034</v>
      </c>
      <c r="L59" s="200" t="s">
        <v>18</v>
      </c>
      <c r="M59" s="76">
        <f>'[7]Gov 65 &amp; 70'!$J144</f>
        <v>0</v>
      </c>
      <c r="N59" s="76">
        <f t="shared" si="30"/>
        <v>0</v>
      </c>
      <c r="O59" s="363">
        <f t="shared" si="61"/>
        <v>0</v>
      </c>
      <c r="P59" s="13" t="s">
        <v>18</v>
      </c>
      <c r="Q59" s="77">
        <f t="shared" si="11"/>
        <v>-8342.1520000000073</v>
      </c>
      <c r="R59" s="78">
        <f t="shared" si="12"/>
        <v>0</v>
      </c>
      <c r="S59" s="479">
        <f t="shared" si="13"/>
        <v>-8342</v>
      </c>
      <c r="T59" s="13" t="s">
        <v>18</v>
      </c>
      <c r="U59" s="4">
        <v>1987</v>
      </c>
      <c r="V59" s="4">
        <v>7</v>
      </c>
      <c r="W59" s="153">
        <f t="shared" si="14"/>
        <v>15643.602029312289</v>
      </c>
      <c r="X59" s="153">
        <f t="shared" si="28"/>
        <v>-1109.0486825931948</v>
      </c>
      <c r="Y59" s="80"/>
      <c r="Z59" s="98">
        <f t="shared" si="15"/>
        <v>111007</v>
      </c>
      <c r="AA59" s="119">
        <f t="shared" si="10"/>
        <v>-8342</v>
      </c>
      <c r="AB59" s="98">
        <f t="shared" si="16"/>
        <v>111007</v>
      </c>
      <c r="AC59" s="4">
        <v>1987</v>
      </c>
      <c r="AD59" s="4">
        <v>7</v>
      </c>
      <c r="AE59" s="107">
        <f>RESID!AC59</f>
        <v>30.8</v>
      </c>
      <c r="AF59" s="40">
        <f t="shared" si="17"/>
        <v>15450.535512965051</v>
      </c>
      <c r="AG59" s="4">
        <f t="shared" si="18"/>
        <v>109637</v>
      </c>
      <c r="AI59" s="80"/>
      <c r="AY59" s="4">
        <v>1987</v>
      </c>
      <c r="AZ59" s="4">
        <v>7</v>
      </c>
      <c r="BA59" s="4">
        <f>'[8]Gov 65 &amp; 70'!$S144</f>
        <v>414</v>
      </c>
      <c r="BB59" s="4">
        <f t="shared" si="38"/>
        <v>391.2</v>
      </c>
      <c r="BC59" s="82">
        <f t="shared" si="19"/>
        <v>-22.800000000000011</v>
      </c>
      <c r="BD59" s="36" t="s">
        <v>18</v>
      </c>
      <c r="BE59" s="4">
        <f>'[8]Gov 65 &amp; 70'!$J144</f>
        <v>0</v>
      </c>
      <c r="BF59" s="4">
        <f t="shared" si="39"/>
        <v>0</v>
      </c>
      <c r="BG59" s="83">
        <f t="shared" si="20"/>
        <v>0</v>
      </c>
      <c r="BH59" s="36" t="s">
        <v>18</v>
      </c>
      <c r="BI59" s="273">
        <f t="shared" si="21"/>
        <v>-5225.3040000000028</v>
      </c>
      <c r="BJ59" s="270">
        <f t="shared" si="22"/>
        <v>0</v>
      </c>
      <c r="BK59" s="482">
        <f t="shared" si="23"/>
        <v>-5225</v>
      </c>
      <c r="BL59" s="276"/>
      <c r="BM59" s="36" t="s">
        <v>18</v>
      </c>
      <c r="BN59" s="4">
        <v>1987</v>
      </c>
      <c r="BO59" s="4">
        <v>7</v>
      </c>
      <c r="BP59" s="108"/>
    </row>
    <row r="60" spans="1:72">
      <c r="A60" s="4">
        <v>1987</v>
      </c>
      <c r="B60" s="4">
        <v>8</v>
      </c>
      <c r="C60" s="5">
        <v>118359</v>
      </c>
      <c r="D60" s="5">
        <v>7150</v>
      </c>
      <c r="E60" s="73">
        <f t="shared" si="6"/>
        <v>16554</v>
      </c>
      <c r="F60" s="540">
        <f t="shared" si="7"/>
        <v>7150</v>
      </c>
      <c r="H60" s="13" t="s">
        <v>18</v>
      </c>
      <c r="I60" s="76">
        <f>'[7]Gov 65 &amp; 70'!$S145</f>
        <v>414.7</v>
      </c>
      <c r="J60" s="76">
        <f t="shared" si="29"/>
        <v>390.1</v>
      </c>
      <c r="K60" s="362">
        <f t="shared" si="60"/>
        <v>-24.599999999999966</v>
      </c>
      <c r="L60" s="200" t="s">
        <v>18</v>
      </c>
      <c r="M60" s="76">
        <f>'[7]Gov 65 &amp; 70'!$J145</f>
        <v>0</v>
      </c>
      <c r="N60" s="76">
        <f t="shared" si="30"/>
        <v>0</v>
      </c>
      <c r="O60" s="363">
        <f t="shared" si="61"/>
        <v>0</v>
      </c>
      <c r="P60" s="13" t="s">
        <v>18</v>
      </c>
      <c r="Q60" s="77">
        <f t="shared" si="11"/>
        <v>-5637.8279999999922</v>
      </c>
      <c r="R60" s="78">
        <f t="shared" si="12"/>
        <v>0</v>
      </c>
      <c r="S60" s="479">
        <f t="shared" si="13"/>
        <v>-5638</v>
      </c>
      <c r="T60" s="13" t="s">
        <v>18</v>
      </c>
      <c r="U60" s="4">
        <v>1987</v>
      </c>
      <c r="V60" s="4">
        <v>8</v>
      </c>
      <c r="W60" s="153">
        <f t="shared" si="14"/>
        <v>15765.174825174825</v>
      </c>
      <c r="X60" s="153">
        <f t="shared" si="28"/>
        <v>-988.40683671629449</v>
      </c>
      <c r="Y60" s="80"/>
      <c r="Z60" s="98">
        <f t="shared" si="15"/>
        <v>112721</v>
      </c>
      <c r="AA60" s="119">
        <f t="shared" si="10"/>
        <v>-5638</v>
      </c>
      <c r="AB60" s="98">
        <f t="shared" si="16"/>
        <v>112721</v>
      </c>
      <c r="AC60" s="4">
        <v>1987</v>
      </c>
      <c r="AD60" s="4">
        <v>8</v>
      </c>
      <c r="AE60" s="107">
        <f>RESID!AC60</f>
        <v>30.8</v>
      </c>
      <c r="AF60" s="40">
        <f t="shared" si="17"/>
        <v>15570.629370629371</v>
      </c>
      <c r="AG60" s="4">
        <f t="shared" si="18"/>
        <v>111330</v>
      </c>
      <c r="AI60" s="80"/>
      <c r="AY60" s="4">
        <v>1987</v>
      </c>
      <c r="AZ60" s="4">
        <v>8</v>
      </c>
      <c r="BA60" s="4">
        <f>'[8]Gov 65 &amp; 70'!$S145</f>
        <v>430.5</v>
      </c>
      <c r="BB60" s="4">
        <f t="shared" si="38"/>
        <v>394.4</v>
      </c>
      <c r="BC60" s="82">
        <f t="shared" si="19"/>
        <v>-36.100000000000023</v>
      </c>
      <c r="BD60" s="36" t="s">
        <v>18</v>
      </c>
      <c r="BE60" s="4">
        <f>'[8]Gov 65 &amp; 70'!$J145</f>
        <v>0</v>
      </c>
      <c r="BF60" s="4">
        <f t="shared" si="39"/>
        <v>0</v>
      </c>
      <c r="BG60" s="83">
        <f t="shared" si="20"/>
        <v>0</v>
      </c>
      <c r="BH60" s="36" t="s">
        <v>18</v>
      </c>
      <c r="BI60" s="273">
        <f t="shared" si="21"/>
        <v>-8273.3980000000047</v>
      </c>
      <c r="BJ60" s="270">
        <f t="shared" si="22"/>
        <v>0</v>
      </c>
      <c r="BK60" s="482">
        <f t="shared" si="23"/>
        <v>-8273</v>
      </c>
      <c r="BL60" s="276"/>
      <c r="BM60" s="36" t="s">
        <v>18</v>
      </c>
      <c r="BN60" s="4">
        <v>1987</v>
      </c>
      <c r="BO60" s="4">
        <v>8</v>
      </c>
      <c r="BP60" s="108"/>
    </row>
    <row r="61" spans="1:72">
      <c r="A61" s="4">
        <v>1987</v>
      </c>
      <c r="B61" s="4">
        <v>9</v>
      </c>
      <c r="C61" s="5">
        <v>129468</v>
      </c>
      <c r="D61" s="5">
        <v>7221</v>
      </c>
      <c r="E61" s="73">
        <f t="shared" si="6"/>
        <v>17929</v>
      </c>
      <c r="F61" s="540">
        <f t="shared" si="7"/>
        <v>7221</v>
      </c>
      <c r="H61" s="13" t="s">
        <v>18</v>
      </c>
      <c r="I61" s="76">
        <f>'[7]Gov 65 &amp; 70'!$S146</f>
        <v>400</v>
      </c>
      <c r="J61" s="76">
        <f t="shared" si="29"/>
        <v>381.2</v>
      </c>
      <c r="K61" s="362">
        <f t="shared" si="60"/>
        <v>-18.800000000000011</v>
      </c>
      <c r="L61" s="200" t="s">
        <v>18</v>
      </c>
      <c r="M61" s="76">
        <f>'[7]Gov 65 &amp; 70'!$J146</f>
        <v>0</v>
      </c>
      <c r="N61" s="76">
        <f t="shared" si="30"/>
        <v>0</v>
      </c>
      <c r="O61" s="363">
        <f t="shared" si="61"/>
        <v>0</v>
      </c>
      <c r="P61" s="13" t="s">
        <v>18</v>
      </c>
      <c r="Q61" s="77">
        <f t="shared" si="11"/>
        <v>-4308.5840000000026</v>
      </c>
      <c r="R61" s="78">
        <f t="shared" si="12"/>
        <v>0</v>
      </c>
      <c r="S61" s="479">
        <f t="shared" si="13"/>
        <v>-4309</v>
      </c>
      <c r="T61" s="13" t="s">
        <v>18</v>
      </c>
      <c r="U61" s="4">
        <v>1987</v>
      </c>
      <c r="V61" s="4">
        <v>9</v>
      </c>
      <c r="W61" s="153">
        <f t="shared" si="14"/>
        <v>17332.640908461432</v>
      </c>
      <c r="X61" s="153">
        <f t="shared" si="28"/>
        <v>-613.87836252751367</v>
      </c>
      <c r="Y61" s="80"/>
      <c r="Z61" s="98">
        <f t="shared" si="15"/>
        <v>125159</v>
      </c>
      <c r="AA61" s="119">
        <f t="shared" si="10"/>
        <v>-4309</v>
      </c>
      <c r="AB61" s="98">
        <f t="shared" si="16"/>
        <v>125159</v>
      </c>
      <c r="AC61" s="4">
        <v>1987</v>
      </c>
      <c r="AD61" s="4">
        <v>9</v>
      </c>
      <c r="AE61" s="107">
        <f>RESID!AC61</f>
        <v>30.25</v>
      </c>
      <c r="AF61" s="40">
        <f t="shared" si="17"/>
        <v>17429.995845450769</v>
      </c>
      <c r="AG61" s="4">
        <f t="shared" si="18"/>
        <v>125862</v>
      </c>
      <c r="AI61" s="80"/>
      <c r="AY61" s="4">
        <v>1987</v>
      </c>
      <c r="AZ61" s="4">
        <v>9</v>
      </c>
      <c r="BA61" s="4">
        <f>'[8]Gov 65 &amp; 70'!$S146</f>
        <v>345.2</v>
      </c>
      <c r="BB61" s="4">
        <f t="shared" si="38"/>
        <v>339.3</v>
      </c>
      <c r="BC61" s="82">
        <f t="shared" si="19"/>
        <v>-5.8999999999999773</v>
      </c>
      <c r="BD61" s="36" t="s">
        <v>18</v>
      </c>
      <c r="BE61" s="4">
        <f>'[8]Gov 65 &amp; 70'!$J146</f>
        <v>0.6</v>
      </c>
      <c r="BF61" s="4">
        <f t="shared" si="39"/>
        <v>0</v>
      </c>
      <c r="BG61" s="83">
        <f t="shared" si="20"/>
        <v>-0.6</v>
      </c>
      <c r="BH61" s="36" t="s">
        <v>18</v>
      </c>
      <c r="BI61" s="273">
        <f t="shared" si="21"/>
        <v>-1352.1619999999948</v>
      </c>
      <c r="BJ61" s="270">
        <f t="shared" si="22"/>
        <v>-24.347999999999999</v>
      </c>
      <c r="BK61" s="482">
        <f t="shared" si="23"/>
        <v>-1377</v>
      </c>
      <c r="BL61" s="276"/>
      <c r="BM61" s="36" t="s">
        <v>18</v>
      </c>
      <c r="BN61" s="4">
        <v>1987</v>
      </c>
      <c r="BO61" s="4">
        <v>9</v>
      </c>
      <c r="BP61" s="108"/>
    </row>
    <row r="62" spans="1:72">
      <c r="A62" s="4">
        <v>1987</v>
      </c>
      <c r="B62" s="4">
        <v>10</v>
      </c>
      <c r="C62" s="5">
        <v>126098</v>
      </c>
      <c r="D62" s="5">
        <v>7240</v>
      </c>
      <c r="E62" s="73">
        <f t="shared" si="6"/>
        <v>17417</v>
      </c>
      <c r="F62" s="540">
        <f t="shared" si="7"/>
        <v>7240</v>
      </c>
      <c r="H62" s="13" t="s">
        <v>18</v>
      </c>
      <c r="I62" s="76">
        <f>'[7]Gov 65 &amp; 70'!$S147</f>
        <v>260.89999999999998</v>
      </c>
      <c r="J62" s="76">
        <f t="shared" si="29"/>
        <v>287.8</v>
      </c>
      <c r="K62" s="362">
        <f t="shared" si="60"/>
        <v>26.900000000000034</v>
      </c>
      <c r="L62" s="200" t="s">
        <v>18</v>
      </c>
      <c r="M62" s="76">
        <f>'[7]Gov 65 &amp; 70'!$J147</f>
        <v>10.199999999999999</v>
      </c>
      <c r="N62" s="76">
        <f t="shared" si="30"/>
        <v>2.5</v>
      </c>
      <c r="O62" s="363">
        <f t="shared" si="61"/>
        <v>-7.6999999999999993</v>
      </c>
      <c r="P62" s="13" t="s">
        <v>18</v>
      </c>
      <c r="Q62" s="77">
        <f t="shared" si="11"/>
        <v>6164.9420000000082</v>
      </c>
      <c r="R62" s="78">
        <f t="shared" si="12"/>
        <v>-312.46599999999995</v>
      </c>
      <c r="S62" s="479">
        <f t="shared" si="13"/>
        <v>5852</v>
      </c>
      <c r="T62" s="13" t="s">
        <v>18</v>
      </c>
      <c r="U62" s="4">
        <v>1987</v>
      </c>
      <c r="V62" s="4">
        <v>10</v>
      </c>
      <c r="W62" s="153">
        <f t="shared" si="14"/>
        <v>18225.138121546963</v>
      </c>
      <c r="X62" s="153">
        <f t="shared" si="28"/>
        <v>1201.8132069726053</v>
      </c>
      <c r="Y62" s="80"/>
      <c r="Z62" s="98">
        <f t="shared" si="15"/>
        <v>131950</v>
      </c>
      <c r="AA62" s="119">
        <f t="shared" si="10"/>
        <v>5852</v>
      </c>
      <c r="AB62" s="98">
        <f t="shared" si="16"/>
        <v>131950</v>
      </c>
      <c r="AC62" s="4">
        <v>1987</v>
      </c>
      <c r="AD62" s="4">
        <v>10</v>
      </c>
      <c r="AE62" s="107">
        <f>RESID!AC62</f>
        <v>29.95</v>
      </c>
      <c r="AF62" s="40">
        <f t="shared" si="17"/>
        <v>18511.187845303866</v>
      </c>
      <c r="AG62" s="4">
        <f t="shared" si="18"/>
        <v>134021</v>
      </c>
      <c r="AI62" s="80"/>
      <c r="AY62" s="4">
        <v>1987</v>
      </c>
      <c r="AZ62" s="4">
        <v>10</v>
      </c>
      <c r="BA62" s="4">
        <f>'[8]Gov 65 &amp; 70'!$S147</f>
        <v>106.6</v>
      </c>
      <c r="BB62" s="4">
        <f t="shared" si="38"/>
        <v>200.4</v>
      </c>
      <c r="BC62" s="82">
        <f t="shared" si="19"/>
        <v>93.800000000000011</v>
      </c>
      <c r="BD62" s="36" t="s">
        <v>18</v>
      </c>
      <c r="BE62" s="4">
        <f>'[8]Gov 65 &amp; 70'!$J147</f>
        <v>35.700000000000003</v>
      </c>
      <c r="BF62" s="4">
        <f t="shared" si="39"/>
        <v>15</v>
      </c>
      <c r="BG62" s="83">
        <f t="shared" si="20"/>
        <v>-20.700000000000003</v>
      </c>
      <c r="BH62" s="36" t="s">
        <v>18</v>
      </c>
      <c r="BI62" s="273">
        <f t="shared" si="21"/>
        <v>21497.084000000003</v>
      </c>
      <c r="BJ62" s="270">
        <f t="shared" si="22"/>
        <v>-840.00600000000009</v>
      </c>
      <c r="BK62" s="482">
        <f t="shared" si="23"/>
        <v>20657</v>
      </c>
      <c r="BL62" s="276"/>
      <c r="BM62" s="36" t="s">
        <v>18</v>
      </c>
      <c r="BN62" s="4">
        <v>1987</v>
      </c>
      <c r="BO62" s="4">
        <v>10</v>
      </c>
      <c r="BP62" s="108"/>
    </row>
    <row r="63" spans="1:72">
      <c r="A63" s="4">
        <v>1987</v>
      </c>
      <c r="B63" s="4">
        <v>11</v>
      </c>
      <c r="C63" s="5">
        <v>111850</v>
      </c>
      <c r="D63" s="5">
        <v>7332</v>
      </c>
      <c r="E63" s="73">
        <f t="shared" si="6"/>
        <v>15255</v>
      </c>
      <c r="F63" s="540">
        <f t="shared" si="7"/>
        <v>7332</v>
      </c>
      <c r="H63" s="13" t="s">
        <v>18</v>
      </c>
      <c r="I63" s="76">
        <f>'[7]Gov 65 &amp; 70'!$S148</f>
        <v>92.1</v>
      </c>
      <c r="J63" s="76">
        <f t="shared" si="29"/>
        <v>140.19999999999999</v>
      </c>
      <c r="K63" s="362">
        <f t="shared" si="60"/>
        <v>48.099999999999994</v>
      </c>
      <c r="L63" s="200" t="s">
        <v>18</v>
      </c>
      <c r="M63" s="76">
        <f>'[7]Gov 65 &amp; 70'!$J148</f>
        <v>41.6</v>
      </c>
      <c r="N63" s="76">
        <f t="shared" si="30"/>
        <v>38.6</v>
      </c>
      <c r="O63" s="363">
        <f t="shared" si="61"/>
        <v>-3</v>
      </c>
      <c r="P63" s="13" t="s">
        <v>18</v>
      </c>
      <c r="Q63" s="77">
        <f t="shared" si="11"/>
        <v>11023.557999999999</v>
      </c>
      <c r="R63" s="78">
        <f t="shared" si="12"/>
        <v>-121.74</v>
      </c>
      <c r="S63" s="479">
        <f t="shared" si="13"/>
        <v>10902</v>
      </c>
      <c r="T63" s="13" t="s">
        <v>18</v>
      </c>
      <c r="U63" s="4">
        <v>1987</v>
      </c>
      <c r="V63" s="4">
        <v>11</v>
      </c>
      <c r="W63" s="153">
        <f t="shared" si="14"/>
        <v>16741.953082378615</v>
      </c>
      <c r="X63" s="153">
        <f t="shared" si="28"/>
        <v>1534.5478603694683</v>
      </c>
      <c r="Y63" s="80"/>
      <c r="Z63" s="98">
        <f t="shared" si="15"/>
        <v>122752</v>
      </c>
      <c r="AA63" s="119">
        <f t="shared" si="10"/>
        <v>10902</v>
      </c>
      <c r="AB63" s="98">
        <f t="shared" si="16"/>
        <v>122752</v>
      </c>
      <c r="AC63" s="4">
        <v>1987</v>
      </c>
      <c r="AD63" s="4">
        <v>11</v>
      </c>
      <c r="AE63" s="107">
        <f>RESID!AC63</f>
        <v>30.05</v>
      </c>
      <c r="AF63" s="40">
        <f t="shared" si="17"/>
        <v>16948.036006546645</v>
      </c>
      <c r="AG63" s="4">
        <f t="shared" si="18"/>
        <v>124263</v>
      </c>
      <c r="AI63" s="80"/>
      <c r="AY63" s="4">
        <v>1987</v>
      </c>
      <c r="AZ63" s="4">
        <v>11</v>
      </c>
      <c r="BA63" s="4">
        <f>'[8]Gov 65 &amp; 70'!$S148</f>
        <v>64.7</v>
      </c>
      <c r="BB63" s="4">
        <f t="shared" si="38"/>
        <v>66.3</v>
      </c>
      <c r="BC63" s="82">
        <f t="shared" si="19"/>
        <v>1.5999999999999943</v>
      </c>
      <c r="BD63" s="36" t="s">
        <v>18</v>
      </c>
      <c r="BE63" s="4">
        <f>'[8]Gov 65 &amp; 70'!$J148</f>
        <v>70.099999999999994</v>
      </c>
      <c r="BF63" s="4">
        <f t="shared" si="39"/>
        <v>69.900000000000006</v>
      </c>
      <c r="BG63" s="83">
        <f t="shared" si="20"/>
        <v>-0.19999999999998863</v>
      </c>
      <c r="BH63" s="36" t="s">
        <v>18</v>
      </c>
      <c r="BI63" s="273">
        <f t="shared" si="21"/>
        <v>366.68799999999868</v>
      </c>
      <c r="BJ63" s="270">
        <f t="shared" si="22"/>
        <v>-8.1159999999995378</v>
      </c>
      <c r="BK63" s="482">
        <f t="shared" si="23"/>
        <v>359</v>
      </c>
      <c r="BL63" s="276"/>
      <c r="BM63" s="36" t="s">
        <v>18</v>
      </c>
      <c r="BN63" s="4">
        <v>1987</v>
      </c>
      <c r="BO63" s="4">
        <v>11</v>
      </c>
      <c r="BP63" s="108"/>
    </row>
    <row r="64" spans="1:72" s="89" customFormat="1">
      <c r="A64" s="89">
        <v>1987</v>
      </c>
      <c r="B64" s="89">
        <v>12</v>
      </c>
      <c r="C64" s="103">
        <v>108429</v>
      </c>
      <c r="D64" s="103">
        <v>7421</v>
      </c>
      <c r="E64" s="104">
        <f t="shared" si="6"/>
        <v>14611</v>
      </c>
      <c r="F64" s="586">
        <f t="shared" si="7"/>
        <v>7421</v>
      </c>
      <c r="H64" s="90" t="s">
        <v>18</v>
      </c>
      <c r="I64" s="92">
        <f>'[7]Gov 65 &amp; 70'!$S149</f>
        <v>46.2</v>
      </c>
      <c r="J64" s="92">
        <f t="shared" si="29"/>
        <v>50.8</v>
      </c>
      <c r="K64" s="364">
        <f t="shared" si="60"/>
        <v>4.5999999999999943</v>
      </c>
      <c r="L64" s="210" t="s">
        <v>18</v>
      </c>
      <c r="M64" s="92">
        <f>'[7]Gov 65 &amp; 70'!$J149</f>
        <v>115.2</v>
      </c>
      <c r="N64" s="92">
        <f t="shared" si="30"/>
        <v>121.8</v>
      </c>
      <c r="O64" s="365">
        <f t="shared" si="61"/>
        <v>6.5999999999999943</v>
      </c>
      <c r="P64" s="90" t="s">
        <v>18</v>
      </c>
      <c r="Q64" s="114">
        <f t="shared" si="11"/>
        <v>1054.2279999999987</v>
      </c>
      <c r="R64" s="95">
        <f t="shared" si="12"/>
        <v>267.82799999999975</v>
      </c>
      <c r="S64" s="480">
        <f t="shared" si="13"/>
        <v>1322</v>
      </c>
      <c r="T64" s="90" t="s">
        <v>18</v>
      </c>
      <c r="U64" s="89">
        <v>1987</v>
      </c>
      <c r="V64" s="89">
        <v>12</v>
      </c>
      <c r="W64" s="154">
        <f t="shared" si="14"/>
        <v>14789.246732246327</v>
      </c>
      <c r="X64" s="154">
        <f t="shared" si="28"/>
        <v>769.28489458303739</v>
      </c>
      <c r="Y64" s="134"/>
      <c r="Z64" s="155">
        <f t="shared" si="15"/>
        <v>109751</v>
      </c>
      <c r="AA64" s="156">
        <f t="shared" si="10"/>
        <v>1322</v>
      </c>
      <c r="AB64" s="155">
        <f t="shared" si="16"/>
        <v>109751</v>
      </c>
      <c r="AC64" s="89">
        <v>1987</v>
      </c>
      <c r="AD64" s="89">
        <v>12</v>
      </c>
      <c r="AE64" s="110">
        <f>RESID!AC64</f>
        <v>31.75</v>
      </c>
      <c r="AF64" s="116">
        <f t="shared" si="17"/>
        <v>14169.788438215875</v>
      </c>
      <c r="AG64" s="89">
        <f t="shared" si="18"/>
        <v>105154</v>
      </c>
      <c r="AI64" s="134"/>
      <c r="AY64" s="89">
        <v>1987</v>
      </c>
      <c r="AZ64" s="89">
        <v>12</v>
      </c>
      <c r="BA64" s="89">
        <f>'[8]Gov 65 &amp; 70'!$S149</f>
        <v>33.4</v>
      </c>
      <c r="BB64" s="89">
        <f t="shared" si="38"/>
        <v>28.2</v>
      </c>
      <c r="BC64" s="111">
        <f t="shared" si="19"/>
        <v>-5.1999999999999993</v>
      </c>
      <c r="BD64" s="113" t="s">
        <v>18</v>
      </c>
      <c r="BE64" s="89">
        <f>'[8]Gov 65 &amp; 70'!$J149</f>
        <v>144.4</v>
      </c>
      <c r="BF64" s="89">
        <f t="shared" si="39"/>
        <v>170</v>
      </c>
      <c r="BG64" s="112">
        <f t="shared" si="20"/>
        <v>25.599999999999994</v>
      </c>
      <c r="BH64" s="113" t="s">
        <v>18</v>
      </c>
      <c r="BI64" s="274">
        <f t="shared" si="21"/>
        <v>-1191.7359999999999</v>
      </c>
      <c r="BJ64" s="275">
        <f t="shared" si="22"/>
        <v>1038.8479999999997</v>
      </c>
      <c r="BK64" s="483">
        <f t="shared" si="23"/>
        <v>-153</v>
      </c>
      <c r="BL64" s="277"/>
      <c r="BM64" s="113" t="s">
        <v>18</v>
      </c>
      <c r="BN64" s="89">
        <v>1987</v>
      </c>
      <c r="BO64" s="89">
        <v>12</v>
      </c>
      <c r="BP64" s="117"/>
      <c r="BT64" s="96"/>
    </row>
    <row r="65" spans="1:72">
      <c r="A65" s="4">
        <v>1988</v>
      </c>
      <c r="B65" s="4">
        <v>1</v>
      </c>
      <c r="C65" s="5">
        <v>105578</v>
      </c>
      <c r="D65" s="5">
        <v>7402</v>
      </c>
      <c r="E65" s="73">
        <f t="shared" si="6"/>
        <v>14263</v>
      </c>
      <c r="F65" s="540">
        <f t="shared" si="7"/>
        <v>7402</v>
      </c>
      <c r="H65" s="13" t="s">
        <v>18</v>
      </c>
      <c r="I65" s="76">
        <f>'[7]Gov 65 &amp; 70'!$S150</f>
        <v>30</v>
      </c>
      <c r="J65" s="76">
        <f t="shared" si="29"/>
        <v>28.7</v>
      </c>
      <c r="K65" s="362">
        <f t="shared" si="60"/>
        <v>-1.3000000000000007</v>
      </c>
      <c r="L65" s="200" t="s">
        <v>18</v>
      </c>
      <c r="M65" s="76">
        <f>'[7]Gov 65 &amp; 70'!$J150</f>
        <v>181.9</v>
      </c>
      <c r="N65" s="76">
        <f t="shared" si="30"/>
        <v>192.9</v>
      </c>
      <c r="O65" s="363">
        <f t="shared" si="61"/>
        <v>11</v>
      </c>
      <c r="P65" s="13" t="s">
        <v>18</v>
      </c>
      <c r="Q65" s="77">
        <f t="shared" si="11"/>
        <v>-297.9340000000002</v>
      </c>
      <c r="R65" s="78">
        <f t="shared" si="12"/>
        <v>446.38</v>
      </c>
      <c r="S65" s="479">
        <f t="shared" si="13"/>
        <v>148</v>
      </c>
      <c r="T65" s="13" t="s">
        <v>18</v>
      </c>
      <c r="U65" s="4">
        <v>1988</v>
      </c>
      <c r="V65" s="4">
        <v>1</v>
      </c>
      <c r="W65" s="153">
        <f t="shared" si="14"/>
        <v>14283.436908943528</v>
      </c>
      <c r="X65" s="153">
        <f t="shared" si="28"/>
        <v>-37.094633112546944</v>
      </c>
      <c r="Y65" s="80"/>
      <c r="Z65" s="98">
        <f t="shared" si="15"/>
        <v>105726</v>
      </c>
      <c r="AA65" s="119">
        <f t="shared" si="10"/>
        <v>148</v>
      </c>
      <c r="AB65" s="98">
        <f t="shared" si="16"/>
        <v>105726</v>
      </c>
      <c r="AC65" s="4">
        <v>1988</v>
      </c>
      <c r="AD65" s="4">
        <v>1</v>
      </c>
      <c r="AE65" s="107">
        <f>RESID!AC65</f>
        <v>31.85</v>
      </c>
      <c r="AF65" s="40">
        <f t="shared" si="17"/>
        <v>13642.123750337747</v>
      </c>
      <c r="AG65" s="4">
        <f t="shared" si="18"/>
        <v>100979</v>
      </c>
      <c r="AI65" s="80"/>
      <c r="AY65" s="4">
        <v>1988</v>
      </c>
      <c r="AZ65" s="4">
        <v>1</v>
      </c>
      <c r="BA65" s="4">
        <f>'[8]Gov 65 &amp; 70'!$S150</f>
        <v>12.6</v>
      </c>
      <c r="BB65" s="4">
        <f t="shared" si="38"/>
        <v>23.9</v>
      </c>
      <c r="BC65" s="82">
        <f t="shared" si="19"/>
        <v>11.299999999999999</v>
      </c>
      <c r="BD65" s="36" t="s">
        <v>18</v>
      </c>
      <c r="BE65" s="4">
        <f>'[8]Gov 65 &amp; 70'!$J150</f>
        <v>285.39999999999998</v>
      </c>
      <c r="BF65" s="4">
        <f t="shared" si="39"/>
        <v>176.9</v>
      </c>
      <c r="BG65" s="83">
        <f t="shared" si="20"/>
        <v>-108.49999999999997</v>
      </c>
      <c r="BH65" s="36" t="s">
        <v>18</v>
      </c>
      <c r="BI65" s="273">
        <f t="shared" si="21"/>
        <v>2589.7339999999999</v>
      </c>
      <c r="BJ65" s="270">
        <f t="shared" si="22"/>
        <v>-4402.9299999999985</v>
      </c>
      <c r="BK65" s="482">
        <f t="shared" si="23"/>
        <v>-1813</v>
      </c>
      <c r="BL65" s="276"/>
      <c r="BM65" s="36" t="s">
        <v>18</v>
      </c>
      <c r="BN65" s="4">
        <v>1988</v>
      </c>
      <c r="BO65" s="4">
        <v>1</v>
      </c>
      <c r="BP65" s="108"/>
    </row>
    <row r="66" spans="1:72">
      <c r="A66" s="4">
        <v>1988</v>
      </c>
      <c r="B66" s="4">
        <v>2</v>
      </c>
      <c r="C66" s="5">
        <v>107404</v>
      </c>
      <c r="D66" s="5">
        <v>7476</v>
      </c>
      <c r="E66" s="73">
        <f t="shared" si="6"/>
        <v>14367</v>
      </c>
      <c r="F66" s="540">
        <f t="shared" si="7"/>
        <v>7476</v>
      </c>
      <c r="H66" s="13" t="s">
        <v>18</v>
      </c>
      <c r="I66" s="76">
        <f>'[7]Gov 65 &amp; 70'!$S151</f>
        <v>18</v>
      </c>
      <c r="J66" s="76">
        <f t="shared" si="29"/>
        <v>22.6</v>
      </c>
      <c r="K66" s="362">
        <f t="shared" si="60"/>
        <v>4.6000000000000014</v>
      </c>
      <c r="L66" s="200" t="s">
        <v>18</v>
      </c>
      <c r="M66" s="76">
        <f>'[7]Gov 65 &amp; 70'!$J151</f>
        <v>267.60000000000002</v>
      </c>
      <c r="N66" s="76">
        <f t="shared" si="30"/>
        <v>177.2</v>
      </c>
      <c r="O66" s="363">
        <f t="shared" si="61"/>
        <v>-90.400000000000034</v>
      </c>
      <c r="P66" s="13" t="s">
        <v>18</v>
      </c>
      <c r="Q66" s="77">
        <f t="shared" si="11"/>
        <v>1054.2280000000003</v>
      </c>
      <c r="R66" s="78">
        <f t="shared" si="12"/>
        <v>-3668.4320000000012</v>
      </c>
      <c r="S66" s="479">
        <f t="shared" si="13"/>
        <v>-2614</v>
      </c>
      <c r="T66" s="13" t="s">
        <v>18</v>
      </c>
      <c r="U66" s="4">
        <v>1988</v>
      </c>
      <c r="V66" s="4">
        <v>2</v>
      </c>
      <c r="W66" s="153">
        <f t="shared" si="14"/>
        <v>14016.85393258427</v>
      </c>
      <c r="X66" s="153">
        <f t="shared" si="28"/>
        <v>-127.89439444511663</v>
      </c>
      <c r="Y66" s="80"/>
      <c r="Z66" s="98">
        <f t="shared" si="15"/>
        <v>104790</v>
      </c>
      <c r="AA66" s="119">
        <f t="shared" si="10"/>
        <v>-2614</v>
      </c>
      <c r="AB66" s="98">
        <f t="shared" si="16"/>
        <v>104790</v>
      </c>
      <c r="AC66" s="4">
        <v>1988</v>
      </c>
      <c r="AD66" s="4">
        <v>2</v>
      </c>
      <c r="AE66" s="107">
        <f>RESID!AC66</f>
        <v>29.55</v>
      </c>
      <c r="AF66" s="40">
        <f t="shared" si="17"/>
        <v>14429.507758159443</v>
      </c>
      <c r="AG66" s="4">
        <f t="shared" si="18"/>
        <v>107875</v>
      </c>
      <c r="AI66" s="80"/>
      <c r="AY66" s="4">
        <v>1988</v>
      </c>
      <c r="AZ66" s="4">
        <v>2</v>
      </c>
      <c r="BA66" s="4">
        <f>'[8]Gov 65 &amp; 70'!$S151</f>
        <v>21.4</v>
      </c>
      <c r="BB66" s="4">
        <f t="shared" si="38"/>
        <v>32.799999999999997</v>
      </c>
      <c r="BC66" s="82">
        <f t="shared" si="19"/>
        <v>11.399999999999999</v>
      </c>
      <c r="BD66" s="36" t="s">
        <v>18</v>
      </c>
      <c r="BE66" s="4">
        <f>'[8]Gov 65 &amp; 70'!$J151</f>
        <v>230.5</v>
      </c>
      <c r="BF66" s="4">
        <f t="shared" si="39"/>
        <v>139.1</v>
      </c>
      <c r="BG66" s="83">
        <f t="shared" si="20"/>
        <v>-91.4</v>
      </c>
      <c r="BH66" s="36" t="s">
        <v>18</v>
      </c>
      <c r="BI66" s="273">
        <f t="shared" si="21"/>
        <v>2612.6519999999996</v>
      </c>
      <c r="BJ66" s="270">
        <f t="shared" si="22"/>
        <v>-3709.0120000000002</v>
      </c>
      <c r="BK66" s="482">
        <f t="shared" si="23"/>
        <v>-1096</v>
      </c>
      <c r="BL66" s="276"/>
      <c r="BM66" s="36" t="s">
        <v>18</v>
      </c>
      <c r="BN66" s="4">
        <v>1988</v>
      </c>
      <c r="BO66" s="4">
        <v>2</v>
      </c>
      <c r="BP66" s="108"/>
    </row>
    <row r="67" spans="1:72">
      <c r="A67" s="4">
        <v>1988</v>
      </c>
      <c r="B67" s="4">
        <v>3</v>
      </c>
      <c r="C67" s="5">
        <v>105524</v>
      </c>
      <c r="D67" s="5">
        <v>7511</v>
      </c>
      <c r="E67" s="73">
        <f t="shared" si="6"/>
        <v>14049</v>
      </c>
      <c r="F67" s="540">
        <f t="shared" si="7"/>
        <v>7511</v>
      </c>
      <c r="H67" s="13" t="s">
        <v>18</v>
      </c>
      <c r="I67" s="76">
        <f>'[7]Gov 65 &amp; 70'!$S152</f>
        <v>22.3</v>
      </c>
      <c r="J67" s="76">
        <f t="shared" si="29"/>
        <v>44.5</v>
      </c>
      <c r="K67" s="362">
        <f t="shared" si="60"/>
        <v>22.2</v>
      </c>
      <c r="L67" s="200" t="s">
        <v>18</v>
      </c>
      <c r="M67" s="76">
        <f>'[7]Gov 65 &amp; 70'!$J152</f>
        <v>196.6</v>
      </c>
      <c r="N67" s="76">
        <f t="shared" si="30"/>
        <v>119.5</v>
      </c>
      <c r="O67" s="363">
        <f t="shared" si="61"/>
        <v>-77.099999999999994</v>
      </c>
      <c r="P67" s="13" t="s">
        <v>18</v>
      </c>
      <c r="Q67" s="77">
        <f t="shared" si="11"/>
        <v>5087.7960000000003</v>
      </c>
      <c r="R67" s="78">
        <f t="shared" si="12"/>
        <v>-3128.7179999999998</v>
      </c>
      <c r="S67" s="479">
        <f t="shared" si="13"/>
        <v>1959</v>
      </c>
      <c r="T67" s="13" t="s">
        <v>18</v>
      </c>
      <c r="U67" s="4">
        <v>1988</v>
      </c>
      <c r="V67" s="4">
        <v>3</v>
      </c>
      <c r="W67" s="153">
        <f t="shared" si="14"/>
        <v>14310.078551457862</v>
      </c>
      <c r="X67" s="153">
        <f t="shared" si="28"/>
        <v>-400.36013393376925</v>
      </c>
      <c r="Y67" s="80"/>
      <c r="Z67" s="98">
        <f t="shared" si="15"/>
        <v>107483</v>
      </c>
      <c r="AA67" s="119">
        <f t="shared" si="10"/>
        <v>1959</v>
      </c>
      <c r="AB67" s="98">
        <f t="shared" si="16"/>
        <v>107483</v>
      </c>
      <c r="AC67" s="4">
        <v>1988</v>
      </c>
      <c r="AD67" s="4">
        <v>3</v>
      </c>
      <c r="AE67" s="107">
        <f>RESID!AC67</f>
        <v>29.4</v>
      </c>
      <c r="AF67" s="40">
        <f t="shared" si="17"/>
        <v>14806.55039275729</v>
      </c>
      <c r="AG67" s="4">
        <f t="shared" si="18"/>
        <v>111212</v>
      </c>
      <c r="AI67" s="80"/>
      <c r="AY67" s="4">
        <v>1988</v>
      </c>
      <c r="AZ67" s="4">
        <v>3</v>
      </c>
      <c r="BA67" s="4">
        <f>'[8]Gov 65 &amp; 70'!$S152</f>
        <v>49.7</v>
      </c>
      <c r="BB67" s="4">
        <f t="shared" si="38"/>
        <v>64.099999999999994</v>
      </c>
      <c r="BC67" s="82">
        <f t="shared" si="19"/>
        <v>14.399999999999991</v>
      </c>
      <c r="BD67" s="36" t="s">
        <v>18</v>
      </c>
      <c r="BE67" s="4">
        <f>'[8]Gov 65 &amp; 70'!$J152</f>
        <v>122.6</v>
      </c>
      <c r="BF67" s="4">
        <f t="shared" si="39"/>
        <v>85.4</v>
      </c>
      <c r="BG67" s="83">
        <f t="shared" si="20"/>
        <v>-37.199999999999989</v>
      </c>
      <c r="BH67" s="36" t="s">
        <v>18</v>
      </c>
      <c r="BI67" s="273">
        <f t="shared" si="21"/>
        <v>3300.1919999999982</v>
      </c>
      <c r="BJ67" s="270">
        <f t="shared" si="22"/>
        <v>-1509.5759999999996</v>
      </c>
      <c r="BK67" s="482">
        <f t="shared" si="23"/>
        <v>1791</v>
      </c>
      <c r="BL67" s="276"/>
      <c r="BM67" s="36" t="s">
        <v>18</v>
      </c>
      <c r="BN67" s="4">
        <v>1988</v>
      </c>
      <c r="BO67" s="4">
        <v>3</v>
      </c>
      <c r="BP67" s="108"/>
    </row>
    <row r="68" spans="1:72">
      <c r="A68" s="4">
        <v>1988</v>
      </c>
      <c r="B68" s="4">
        <v>4</v>
      </c>
      <c r="C68" s="5">
        <v>114398</v>
      </c>
      <c r="D68" s="5">
        <v>7566</v>
      </c>
      <c r="E68" s="73">
        <f t="shared" si="6"/>
        <v>15120</v>
      </c>
      <c r="F68" s="540">
        <f t="shared" si="7"/>
        <v>7566</v>
      </c>
      <c r="H68" s="13" t="s">
        <v>18</v>
      </c>
      <c r="I68" s="76">
        <f>'[7]Gov 65 &amp; 70'!$S153</f>
        <v>78.099999999999994</v>
      </c>
      <c r="J68" s="76">
        <f t="shared" si="29"/>
        <v>87.7</v>
      </c>
      <c r="K68" s="362">
        <f t="shared" si="60"/>
        <v>9.6000000000000085</v>
      </c>
      <c r="L68" s="200" t="s">
        <v>18</v>
      </c>
      <c r="M68" s="76">
        <f>'[7]Gov 65 &amp; 70'!$J153</f>
        <v>95.4</v>
      </c>
      <c r="N68" s="76">
        <f t="shared" si="30"/>
        <v>60.3</v>
      </c>
      <c r="O68" s="363">
        <f t="shared" si="61"/>
        <v>-35.100000000000009</v>
      </c>
      <c r="P68" s="13" t="s">
        <v>18</v>
      </c>
      <c r="Q68" s="77">
        <f t="shared" si="11"/>
        <v>2200.128000000002</v>
      </c>
      <c r="R68" s="78">
        <f t="shared" si="12"/>
        <v>-1424.3580000000002</v>
      </c>
      <c r="S68" s="479">
        <f t="shared" si="13"/>
        <v>776</v>
      </c>
      <c r="T68" s="13" t="s">
        <v>18</v>
      </c>
      <c r="U68" s="4">
        <v>1988</v>
      </c>
      <c r="V68" s="4">
        <v>4</v>
      </c>
      <c r="W68" s="153">
        <f t="shared" si="14"/>
        <v>15222.574676182923</v>
      </c>
      <c r="X68" s="153">
        <f t="shared" si="28"/>
        <v>-9.4505314939615346</v>
      </c>
      <c r="Y68" s="80"/>
      <c r="Z68" s="98">
        <f t="shared" si="15"/>
        <v>115174</v>
      </c>
      <c r="AA68" s="119">
        <f t="shared" si="10"/>
        <v>776</v>
      </c>
      <c r="AB68" s="98">
        <f t="shared" si="16"/>
        <v>115174</v>
      </c>
      <c r="AC68" s="4">
        <v>1988</v>
      </c>
      <c r="AD68" s="4">
        <v>4</v>
      </c>
      <c r="AE68" s="107">
        <f>RESID!AC68</f>
        <v>32.049999999999997</v>
      </c>
      <c r="AF68" s="40">
        <f t="shared" si="17"/>
        <v>14448.321438012159</v>
      </c>
      <c r="AG68" s="4">
        <f t="shared" si="18"/>
        <v>109316</v>
      </c>
      <c r="AI68" s="80"/>
      <c r="AY68" s="4">
        <v>1988</v>
      </c>
      <c r="AZ68" s="4">
        <v>4</v>
      </c>
      <c r="BA68" s="4">
        <f>'[8]Gov 65 &amp; 70'!$S153</f>
        <v>117</v>
      </c>
      <c r="BB68" s="4">
        <f t="shared" si="38"/>
        <v>122</v>
      </c>
      <c r="BC68" s="82">
        <f t="shared" si="19"/>
        <v>5</v>
      </c>
      <c r="BD68" s="36" t="s">
        <v>18</v>
      </c>
      <c r="BE68" s="4">
        <f>'[8]Gov 65 &amp; 70'!$J153</f>
        <v>41.6</v>
      </c>
      <c r="BF68" s="4">
        <f t="shared" si="39"/>
        <v>34.700000000000003</v>
      </c>
      <c r="BG68" s="83">
        <f t="shared" si="20"/>
        <v>-6.8999999999999986</v>
      </c>
      <c r="BH68" s="36" t="s">
        <v>18</v>
      </c>
      <c r="BI68" s="273">
        <f t="shared" si="21"/>
        <v>1145.9000000000001</v>
      </c>
      <c r="BJ68" s="270">
        <f t="shared" si="22"/>
        <v>-280.00199999999995</v>
      </c>
      <c r="BK68" s="482">
        <f t="shared" si="23"/>
        <v>866</v>
      </c>
      <c r="BL68" s="276"/>
      <c r="BM68" s="36" t="s">
        <v>18</v>
      </c>
      <c r="BN68" s="4">
        <v>1988</v>
      </c>
      <c r="BO68" s="4">
        <v>4</v>
      </c>
      <c r="BP68" s="108"/>
    </row>
    <row r="69" spans="1:72">
      <c r="A69" s="4">
        <v>1988</v>
      </c>
      <c r="B69" s="4">
        <v>5</v>
      </c>
      <c r="C69" s="5">
        <v>114759</v>
      </c>
      <c r="D69" s="5">
        <v>7603</v>
      </c>
      <c r="E69" s="73">
        <f t="shared" si="6"/>
        <v>15094</v>
      </c>
      <c r="F69" s="540">
        <f t="shared" si="7"/>
        <v>7603</v>
      </c>
      <c r="H69" s="13" t="s">
        <v>18</v>
      </c>
      <c r="I69" s="76">
        <f>'[7]Gov 65 &amp; 70'!$S154</f>
        <v>132.9</v>
      </c>
      <c r="J69" s="76">
        <f t="shared" si="29"/>
        <v>157.69999999999999</v>
      </c>
      <c r="K69" s="362">
        <f t="shared" si="60"/>
        <v>24.799999999999983</v>
      </c>
      <c r="L69" s="200" t="s">
        <v>18</v>
      </c>
      <c r="M69" s="76">
        <f>'[7]Gov 65 &amp; 70'!$J154</f>
        <v>29.6</v>
      </c>
      <c r="N69" s="76">
        <f t="shared" si="30"/>
        <v>18.600000000000001</v>
      </c>
      <c r="O69" s="363">
        <f t="shared" si="61"/>
        <v>-11</v>
      </c>
      <c r="P69" s="13" t="s">
        <v>18</v>
      </c>
      <c r="Q69" s="77">
        <f t="shared" si="11"/>
        <v>5683.6639999999961</v>
      </c>
      <c r="R69" s="78">
        <f t="shared" si="12"/>
        <v>-446.38</v>
      </c>
      <c r="S69" s="479">
        <f t="shared" si="13"/>
        <v>5237</v>
      </c>
      <c r="T69" s="13" t="s">
        <v>18</v>
      </c>
      <c r="U69" s="4">
        <v>1988</v>
      </c>
      <c r="V69" s="4">
        <v>5</v>
      </c>
      <c r="W69" s="153">
        <f t="shared" si="14"/>
        <v>15782.717348415099</v>
      </c>
      <c r="X69" s="153">
        <f t="shared" si="28"/>
        <v>-344.22602628180539</v>
      </c>
      <c r="Y69" s="80"/>
      <c r="Z69" s="98">
        <f t="shared" si="15"/>
        <v>119996</v>
      </c>
      <c r="AA69" s="119">
        <f t="shared" si="10"/>
        <v>5237</v>
      </c>
      <c r="AB69" s="98">
        <f t="shared" si="16"/>
        <v>119996</v>
      </c>
      <c r="AC69" s="4">
        <v>1988</v>
      </c>
      <c r="AD69" s="4">
        <v>5</v>
      </c>
      <c r="AE69" s="107">
        <f>RESID!AC69</f>
        <v>29.55</v>
      </c>
      <c r="AF69" s="40">
        <f t="shared" si="17"/>
        <v>16247.40234118111</v>
      </c>
      <c r="AG69" s="4">
        <f t="shared" si="18"/>
        <v>123529</v>
      </c>
      <c r="AI69" s="80"/>
      <c r="AY69" s="4">
        <v>1988</v>
      </c>
      <c r="AZ69" s="4">
        <v>5</v>
      </c>
      <c r="BA69" s="4">
        <f>'[8]Gov 65 &amp; 70'!$S154</f>
        <v>190.2</v>
      </c>
      <c r="BB69" s="4">
        <f t="shared" si="38"/>
        <v>253</v>
      </c>
      <c r="BC69" s="82">
        <f t="shared" si="19"/>
        <v>62.800000000000011</v>
      </c>
      <c r="BD69" s="36" t="s">
        <v>18</v>
      </c>
      <c r="BE69" s="4">
        <f>'[8]Gov 65 &amp; 70'!$J154</f>
        <v>12.4</v>
      </c>
      <c r="BF69" s="4">
        <f t="shared" si="39"/>
        <v>4.3</v>
      </c>
      <c r="BG69" s="83">
        <f t="shared" si="20"/>
        <v>-8.1000000000000014</v>
      </c>
      <c r="BH69" s="36" t="s">
        <v>18</v>
      </c>
      <c r="BI69" s="273">
        <f t="shared" si="21"/>
        <v>14392.504000000003</v>
      </c>
      <c r="BJ69" s="270">
        <f t="shared" si="22"/>
        <v>-328.69800000000004</v>
      </c>
      <c r="BK69" s="482">
        <f t="shared" si="23"/>
        <v>14064</v>
      </c>
      <c r="BL69" s="276"/>
      <c r="BM69" s="36" t="s">
        <v>18</v>
      </c>
      <c r="BN69" s="4">
        <v>1988</v>
      </c>
      <c r="BO69" s="4">
        <v>5</v>
      </c>
      <c r="BP69" s="108"/>
    </row>
    <row r="70" spans="1:72">
      <c r="A70" s="4">
        <v>1988</v>
      </c>
      <c r="B70" s="4">
        <v>6</v>
      </c>
      <c r="C70" s="5">
        <v>124059</v>
      </c>
      <c r="D70" s="5">
        <v>7616</v>
      </c>
      <c r="E70" s="73">
        <f t="shared" si="6"/>
        <v>16289</v>
      </c>
      <c r="F70" s="540">
        <f t="shared" si="7"/>
        <v>7616</v>
      </c>
      <c r="H70" s="13" t="s">
        <v>18</v>
      </c>
      <c r="I70" s="76">
        <f>'[7]Gov 65 &amp; 70'!$S155</f>
        <v>241.3</v>
      </c>
      <c r="J70" s="76">
        <f t="shared" si="29"/>
        <v>295.39999999999998</v>
      </c>
      <c r="K70" s="362">
        <f t="shared" si="60"/>
        <v>54.099999999999966</v>
      </c>
      <c r="L70" s="200" t="s">
        <v>18</v>
      </c>
      <c r="M70" s="76">
        <f>'[7]Gov 65 &amp; 70'!$J155</f>
        <v>5.8</v>
      </c>
      <c r="N70" s="76">
        <f t="shared" si="30"/>
        <v>2.2000000000000002</v>
      </c>
      <c r="O70" s="363">
        <f t="shared" si="61"/>
        <v>-3.5999999999999996</v>
      </c>
      <c r="P70" s="13" t="s">
        <v>18</v>
      </c>
      <c r="Q70" s="77">
        <f t="shared" si="11"/>
        <v>12398.637999999992</v>
      </c>
      <c r="R70" s="78">
        <f t="shared" si="12"/>
        <v>-146.08799999999997</v>
      </c>
      <c r="S70" s="479">
        <f t="shared" si="13"/>
        <v>12253</v>
      </c>
      <c r="T70" s="13" t="s">
        <v>18</v>
      </c>
      <c r="U70" s="4">
        <v>1988</v>
      </c>
      <c r="V70" s="4">
        <v>6</v>
      </c>
      <c r="W70" s="153">
        <f t="shared" si="14"/>
        <v>17898.10924369748</v>
      </c>
      <c r="X70" s="153">
        <f t="shared" si="28"/>
        <v>453.30358998723386</v>
      </c>
      <c r="Y70" s="80"/>
      <c r="Z70" s="98">
        <f t="shared" si="15"/>
        <v>136312</v>
      </c>
      <c r="AA70" s="119">
        <f t="shared" si="10"/>
        <v>12253</v>
      </c>
      <c r="AB70" s="98">
        <f t="shared" si="16"/>
        <v>136312</v>
      </c>
      <c r="AC70" s="4">
        <v>1988</v>
      </c>
      <c r="AD70" s="4">
        <v>6</v>
      </c>
      <c r="AE70" s="107">
        <f>RESID!AC70</f>
        <v>30.65</v>
      </c>
      <c r="AF70" s="40">
        <f t="shared" si="17"/>
        <v>17763.786764705885</v>
      </c>
      <c r="AG70" s="4">
        <f t="shared" si="18"/>
        <v>135289</v>
      </c>
      <c r="AI70" s="80"/>
      <c r="AY70" s="4">
        <v>1988</v>
      </c>
      <c r="AZ70" s="4">
        <v>6</v>
      </c>
      <c r="BA70" s="4">
        <f>'[8]Gov 65 &amp; 70'!$S155</f>
        <v>317.2</v>
      </c>
      <c r="BB70" s="4">
        <f t="shared" si="38"/>
        <v>336.1</v>
      </c>
      <c r="BC70" s="82">
        <f t="shared" si="19"/>
        <v>18.900000000000034</v>
      </c>
      <c r="BD70" s="36" t="s">
        <v>18</v>
      </c>
      <c r="BE70" s="4">
        <f>'[8]Gov 65 &amp; 70'!$J155</f>
        <v>0.6</v>
      </c>
      <c r="BF70" s="4">
        <f t="shared" si="39"/>
        <v>0</v>
      </c>
      <c r="BG70" s="83">
        <f t="shared" si="20"/>
        <v>-0.6</v>
      </c>
      <c r="BH70" s="36" t="s">
        <v>18</v>
      </c>
      <c r="BI70" s="273">
        <f t="shared" si="21"/>
        <v>4331.5020000000077</v>
      </c>
      <c r="BJ70" s="270">
        <f t="shared" si="22"/>
        <v>-24.347999999999999</v>
      </c>
      <c r="BK70" s="482">
        <f t="shared" si="23"/>
        <v>4307</v>
      </c>
      <c r="BL70" s="276"/>
      <c r="BM70" s="36" t="s">
        <v>18</v>
      </c>
      <c r="BN70" s="4">
        <v>1988</v>
      </c>
      <c r="BO70" s="4">
        <v>6</v>
      </c>
      <c r="BP70" s="108"/>
    </row>
    <row r="71" spans="1:72">
      <c r="A71" s="4">
        <v>1988</v>
      </c>
      <c r="B71" s="4">
        <v>7</v>
      </c>
      <c r="C71" s="5">
        <v>124275</v>
      </c>
      <c r="D71" s="5">
        <v>7627</v>
      </c>
      <c r="E71" s="73">
        <f t="shared" si="6"/>
        <v>16294</v>
      </c>
      <c r="F71" s="540">
        <f t="shared" si="7"/>
        <v>7627</v>
      </c>
      <c r="H71" s="13" t="s">
        <v>18</v>
      </c>
      <c r="I71" s="76">
        <f>'[7]Gov 65 &amp; 70'!$S156</f>
        <v>347.3</v>
      </c>
      <c r="J71" s="76">
        <f t="shared" si="29"/>
        <v>363.4</v>
      </c>
      <c r="K71" s="362">
        <f t="shared" si="60"/>
        <v>16.099999999999966</v>
      </c>
      <c r="L71" s="200" t="s">
        <v>18</v>
      </c>
      <c r="M71" s="76">
        <f>'[7]Gov 65 &amp; 70'!$J156</f>
        <v>0.3</v>
      </c>
      <c r="N71" s="76">
        <f t="shared" si="30"/>
        <v>0</v>
      </c>
      <c r="O71" s="363">
        <f t="shared" si="61"/>
        <v>-0.3</v>
      </c>
      <c r="P71" s="13" t="s">
        <v>18</v>
      </c>
      <c r="Q71" s="77">
        <f t="shared" si="11"/>
        <v>3689.7979999999925</v>
      </c>
      <c r="R71" s="78">
        <f t="shared" si="12"/>
        <v>-12.173999999999999</v>
      </c>
      <c r="S71" s="479">
        <f t="shared" si="13"/>
        <v>3678</v>
      </c>
      <c r="T71" s="13" t="s">
        <v>18</v>
      </c>
      <c r="U71" s="4">
        <v>1988</v>
      </c>
      <c r="V71" s="4">
        <v>7</v>
      </c>
      <c r="W71" s="153">
        <f t="shared" si="14"/>
        <v>16776.320964992789</v>
      </c>
      <c r="X71" s="153">
        <f t="shared" si="28"/>
        <v>1132.7189356804993</v>
      </c>
      <c r="Y71" s="80"/>
      <c r="Z71" s="98">
        <f t="shared" si="15"/>
        <v>127953</v>
      </c>
      <c r="AA71" s="119">
        <f t="shared" si="10"/>
        <v>3678</v>
      </c>
      <c r="AB71" s="98">
        <f t="shared" si="16"/>
        <v>127953</v>
      </c>
      <c r="AC71" s="4">
        <v>1988</v>
      </c>
      <c r="AD71" s="4">
        <v>7</v>
      </c>
      <c r="AE71" s="107">
        <f>RESID!AC71</f>
        <v>30.65</v>
      </c>
      <c r="AF71" s="40">
        <f t="shared" si="17"/>
        <v>16650.452340369739</v>
      </c>
      <c r="AG71" s="4">
        <f t="shared" si="18"/>
        <v>126993</v>
      </c>
      <c r="AI71" s="80"/>
      <c r="AY71" s="4">
        <v>1988</v>
      </c>
      <c r="AZ71" s="4">
        <v>7</v>
      </c>
      <c r="BA71" s="4">
        <f>'[8]Gov 65 &amp; 70'!$S156</f>
        <v>364</v>
      </c>
      <c r="BB71" s="4">
        <f t="shared" si="38"/>
        <v>391.2</v>
      </c>
      <c r="BC71" s="82">
        <f t="shared" si="19"/>
        <v>27.199999999999989</v>
      </c>
      <c r="BD71" s="36" t="s">
        <v>18</v>
      </c>
      <c r="BE71" s="4">
        <f>'[8]Gov 65 &amp; 70'!$J156</f>
        <v>0</v>
      </c>
      <c r="BF71" s="4">
        <f t="shared" si="39"/>
        <v>0</v>
      </c>
      <c r="BG71" s="83">
        <f t="shared" si="20"/>
        <v>0</v>
      </c>
      <c r="BH71" s="36" t="s">
        <v>18</v>
      </c>
      <c r="BI71" s="273">
        <f t="shared" si="21"/>
        <v>6233.6959999999972</v>
      </c>
      <c r="BJ71" s="270">
        <f t="shared" si="22"/>
        <v>0</v>
      </c>
      <c r="BK71" s="482">
        <f t="shared" si="23"/>
        <v>6234</v>
      </c>
      <c r="BL71" s="276"/>
      <c r="BM71" s="36" t="s">
        <v>18</v>
      </c>
      <c r="BN71" s="4">
        <v>1988</v>
      </c>
      <c r="BO71" s="4">
        <v>7</v>
      </c>
      <c r="BP71" s="108"/>
    </row>
    <row r="72" spans="1:72">
      <c r="A72" s="4">
        <v>1988</v>
      </c>
      <c r="B72" s="4">
        <v>8</v>
      </c>
      <c r="C72" s="5">
        <v>120119</v>
      </c>
      <c r="D72" s="5">
        <v>7664</v>
      </c>
      <c r="E72" s="73">
        <f t="shared" si="6"/>
        <v>15673</v>
      </c>
      <c r="F72" s="540">
        <f t="shared" si="7"/>
        <v>7664</v>
      </c>
      <c r="H72" s="13" t="s">
        <v>18</v>
      </c>
      <c r="I72" s="76">
        <f>'[7]Gov 65 &amp; 70'!$S157</f>
        <v>362</v>
      </c>
      <c r="J72" s="76">
        <f t="shared" si="29"/>
        <v>390.1</v>
      </c>
      <c r="K72" s="362">
        <f t="shared" si="60"/>
        <v>28.100000000000023</v>
      </c>
      <c r="L72" s="200" t="s">
        <v>18</v>
      </c>
      <c r="M72" s="76">
        <f>'[7]Gov 65 &amp; 70'!$J157</f>
        <v>0</v>
      </c>
      <c r="N72" s="76">
        <f t="shared" si="30"/>
        <v>0</v>
      </c>
      <c r="O72" s="363">
        <f t="shared" si="61"/>
        <v>0</v>
      </c>
      <c r="P72" s="13" t="s">
        <v>18</v>
      </c>
      <c r="Q72" s="77">
        <f t="shared" si="11"/>
        <v>6439.9580000000051</v>
      </c>
      <c r="R72" s="78">
        <f t="shared" si="12"/>
        <v>0</v>
      </c>
      <c r="S72" s="479">
        <f t="shared" si="13"/>
        <v>6440</v>
      </c>
      <c r="T72" s="13" t="s">
        <v>18</v>
      </c>
      <c r="U72" s="4">
        <v>1988</v>
      </c>
      <c r="V72" s="4">
        <v>8</v>
      </c>
      <c r="W72" s="153">
        <f t="shared" si="14"/>
        <v>16513.439457202505</v>
      </c>
      <c r="X72" s="153">
        <f t="shared" si="28"/>
        <v>748.26463202767991</v>
      </c>
      <c r="Y72" s="80"/>
      <c r="Z72" s="98">
        <f t="shared" si="15"/>
        <v>126559</v>
      </c>
      <c r="AA72" s="119">
        <f t="shared" si="10"/>
        <v>6440</v>
      </c>
      <c r="AB72" s="98">
        <f t="shared" si="16"/>
        <v>126559</v>
      </c>
      <c r="AC72" s="4">
        <v>1988</v>
      </c>
      <c r="AD72" s="4">
        <v>8</v>
      </c>
      <c r="AE72" s="107">
        <f>RESID!AC72</f>
        <v>29.7</v>
      </c>
      <c r="AF72" s="40">
        <f t="shared" si="17"/>
        <v>16913.75260960334</v>
      </c>
      <c r="AG72" s="4">
        <f t="shared" si="18"/>
        <v>129627</v>
      </c>
      <c r="AI72" s="80"/>
      <c r="AY72" s="4">
        <v>1988</v>
      </c>
      <c r="AZ72" s="4">
        <v>8</v>
      </c>
      <c r="BA72" s="4">
        <f>'[8]Gov 65 &amp; 70'!$S157</f>
        <v>399</v>
      </c>
      <c r="BB72" s="4">
        <f t="shared" si="38"/>
        <v>394.4</v>
      </c>
      <c r="BC72" s="82">
        <f t="shared" si="19"/>
        <v>-4.6000000000000227</v>
      </c>
      <c r="BD72" s="36" t="s">
        <v>18</v>
      </c>
      <c r="BE72" s="4">
        <f>'[8]Gov 65 &amp; 70'!$J157</f>
        <v>0</v>
      </c>
      <c r="BF72" s="4">
        <f t="shared" si="39"/>
        <v>0</v>
      </c>
      <c r="BG72" s="83">
        <f t="shared" si="20"/>
        <v>0</v>
      </c>
      <c r="BH72" s="36" t="s">
        <v>18</v>
      </c>
      <c r="BI72" s="273">
        <f t="shared" si="21"/>
        <v>-1054.2280000000053</v>
      </c>
      <c r="BJ72" s="270">
        <f t="shared" si="22"/>
        <v>0</v>
      </c>
      <c r="BK72" s="482">
        <f t="shared" si="23"/>
        <v>-1054</v>
      </c>
      <c r="BL72" s="276"/>
      <c r="BM72" s="36" t="s">
        <v>18</v>
      </c>
      <c r="BN72" s="4">
        <v>1988</v>
      </c>
      <c r="BO72" s="4">
        <v>8</v>
      </c>
      <c r="BP72" s="108"/>
    </row>
    <row r="73" spans="1:72">
      <c r="A73" s="4">
        <v>1988</v>
      </c>
      <c r="B73" s="4">
        <v>9</v>
      </c>
      <c r="C73" s="5">
        <v>146623</v>
      </c>
      <c r="D73" s="5">
        <v>7725</v>
      </c>
      <c r="E73" s="73">
        <f t="shared" si="6"/>
        <v>18980</v>
      </c>
      <c r="F73" s="540">
        <f t="shared" si="7"/>
        <v>7725</v>
      </c>
      <c r="H73" s="13" t="s">
        <v>18</v>
      </c>
      <c r="I73" s="76">
        <f>'[7]Gov 65 &amp; 70'!$S158</f>
        <v>403.2</v>
      </c>
      <c r="J73" s="76">
        <f t="shared" si="29"/>
        <v>381.2</v>
      </c>
      <c r="K73" s="362">
        <f t="shared" si="60"/>
        <v>-22</v>
      </c>
      <c r="L73" s="200" t="s">
        <v>18</v>
      </c>
      <c r="M73" s="76">
        <f>'[7]Gov 65 &amp; 70'!$J158</f>
        <v>0</v>
      </c>
      <c r="N73" s="76">
        <f t="shared" si="30"/>
        <v>0</v>
      </c>
      <c r="O73" s="363">
        <f t="shared" si="61"/>
        <v>0</v>
      </c>
      <c r="P73" s="13" t="s">
        <v>18</v>
      </c>
      <c r="Q73" s="77">
        <f t="shared" si="11"/>
        <v>-5041.96</v>
      </c>
      <c r="R73" s="78">
        <f t="shared" si="12"/>
        <v>0</v>
      </c>
      <c r="S73" s="479">
        <f t="shared" si="13"/>
        <v>-5042</v>
      </c>
      <c r="T73" s="13" t="s">
        <v>18</v>
      </c>
      <c r="U73" s="4">
        <v>1988</v>
      </c>
      <c r="V73" s="4">
        <v>9</v>
      </c>
      <c r="W73" s="153">
        <f t="shared" si="14"/>
        <v>18327.637540453074</v>
      </c>
      <c r="X73" s="153">
        <f t="shared" si="28"/>
        <v>994.99663199164206</v>
      </c>
      <c r="Y73" s="80"/>
      <c r="Z73" s="98">
        <f t="shared" si="15"/>
        <v>141581</v>
      </c>
      <c r="AA73" s="119">
        <f t="shared" si="10"/>
        <v>-5042</v>
      </c>
      <c r="AB73" s="98">
        <f t="shared" si="16"/>
        <v>141581</v>
      </c>
      <c r="AC73" s="4">
        <v>1988</v>
      </c>
      <c r="AD73" s="4">
        <v>9</v>
      </c>
      <c r="AE73" s="107">
        <f>RESID!AC73</f>
        <v>31.85</v>
      </c>
      <c r="AF73" s="40">
        <f t="shared" si="17"/>
        <v>17504.724919093849</v>
      </c>
      <c r="AG73" s="4">
        <f t="shared" si="18"/>
        <v>135224</v>
      </c>
      <c r="AI73" s="80"/>
      <c r="AY73" s="4">
        <v>1988</v>
      </c>
      <c r="AZ73" s="4">
        <v>9</v>
      </c>
      <c r="BA73" s="4">
        <f>'[8]Gov 65 &amp; 70'!$S158</f>
        <v>359.7</v>
      </c>
      <c r="BB73" s="4">
        <f t="shared" si="38"/>
        <v>339.3</v>
      </c>
      <c r="BC73" s="82">
        <f t="shared" si="19"/>
        <v>-20.399999999999977</v>
      </c>
      <c r="BD73" s="36" t="s">
        <v>18</v>
      </c>
      <c r="BE73" s="4">
        <f>'[8]Gov 65 &amp; 70'!$J158</f>
        <v>0.1</v>
      </c>
      <c r="BF73" s="4">
        <f t="shared" si="39"/>
        <v>0</v>
      </c>
      <c r="BG73" s="83">
        <f t="shared" si="20"/>
        <v>-0.1</v>
      </c>
      <c r="BH73" s="36" t="s">
        <v>18</v>
      </c>
      <c r="BI73" s="273">
        <f t="shared" si="21"/>
        <v>-4675.2719999999945</v>
      </c>
      <c r="BJ73" s="270">
        <f t="shared" si="22"/>
        <v>-4.0579999999999998</v>
      </c>
      <c r="BK73" s="482">
        <f t="shared" si="23"/>
        <v>-4679</v>
      </c>
      <c r="BL73" s="276"/>
      <c r="BM73" s="36" t="s">
        <v>18</v>
      </c>
      <c r="BN73" s="4">
        <v>1988</v>
      </c>
      <c r="BO73" s="4">
        <v>9</v>
      </c>
      <c r="BP73" s="108"/>
    </row>
    <row r="74" spans="1:72">
      <c r="A74" s="4">
        <v>1988</v>
      </c>
      <c r="B74" s="4">
        <v>10</v>
      </c>
      <c r="C74" s="5">
        <v>143026</v>
      </c>
      <c r="D74" s="5">
        <v>7777</v>
      </c>
      <c r="E74" s="73">
        <f t="shared" si="6"/>
        <v>18391</v>
      </c>
      <c r="F74" s="540">
        <f t="shared" si="7"/>
        <v>7777</v>
      </c>
      <c r="H74" s="13" t="s">
        <v>18</v>
      </c>
      <c r="I74" s="76">
        <f>'[7]Gov 65 &amp; 70'!$S159</f>
        <v>283</v>
      </c>
      <c r="J74" s="76">
        <f t="shared" si="29"/>
        <v>287.8</v>
      </c>
      <c r="K74" s="362">
        <f t="shared" si="60"/>
        <v>4.8000000000000114</v>
      </c>
      <c r="L74" s="200" t="s">
        <v>18</v>
      </c>
      <c r="M74" s="76">
        <f>'[7]Gov 65 &amp; 70'!$J159</f>
        <v>7.3</v>
      </c>
      <c r="N74" s="76">
        <f t="shared" si="30"/>
        <v>2.5</v>
      </c>
      <c r="O74" s="363">
        <f t="shared" si="61"/>
        <v>-4.8</v>
      </c>
      <c r="P74" s="13" t="s">
        <v>18</v>
      </c>
      <c r="Q74" s="77">
        <f t="shared" si="11"/>
        <v>1100.0640000000026</v>
      </c>
      <c r="R74" s="78">
        <f t="shared" si="12"/>
        <v>-194.78399999999999</v>
      </c>
      <c r="S74" s="479">
        <f t="shared" si="13"/>
        <v>905</v>
      </c>
      <c r="T74" s="13" t="s">
        <v>18</v>
      </c>
      <c r="U74" s="4">
        <v>1988</v>
      </c>
      <c r="V74" s="4">
        <v>10</v>
      </c>
      <c r="W74" s="153">
        <f t="shared" si="14"/>
        <v>18507.26501221551</v>
      </c>
      <c r="X74" s="153">
        <f t="shared" si="28"/>
        <v>282.12689066854728</v>
      </c>
      <c r="Y74" s="80"/>
      <c r="Z74" s="98">
        <f t="shared" si="15"/>
        <v>143931</v>
      </c>
      <c r="AA74" s="119">
        <f t="shared" si="10"/>
        <v>905</v>
      </c>
      <c r="AB74" s="98">
        <f t="shared" si="16"/>
        <v>143931</v>
      </c>
      <c r="AC74" s="4">
        <v>1988</v>
      </c>
      <c r="AD74" s="4">
        <v>10</v>
      </c>
      <c r="AE74" s="107">
        <f>RESID!AC74</f>
        <v>29.75</v>
      </c>
      <c r="AF74" s="40">
        <f t="shared" si="17"/>
        <v>18924.006686382923</v>
      </c>
      <c r="AG74" s="4">
        <f t="shared" si="18"/>
        <v>147172</v>
      </c>
      <c r="AI74" s="80"/>
      <c r="AY74" s="4">
        <v>1988</v>
      </c>
      <c r="AZ74" s="4">
        <v>10</v>
      </c>
      <c r="BA74" s="4">
        <f>'[8]Gov 65 &amp; 70'!$S159</f>
        <v>147.9</v>
      </c>
      <c r="BB74" s="4">
        <f t="shared" si="38"/>
        <v>200.4</v>
      </c>
      <c r="BC74" s="82">
        <f t="shared" si="19"/>
        <v>52.5</v>
      </c>
      <c r="BD74" s="36" t="s">
        <v>18</v>
      </c>
      <c r="BE74" s="4">
        <f>'[8]Gov 65 &amp; 70'!$J159</f>
        <v>23.8</v>
      </c>
      <c r="BF74" s="4">
        <f t="shared" si="39"/>
        <v>15</v>
      </c>
      <c r="BG74" s="83">
        <f t="shared" si="20"/>
        <v>-8.8000000000000007</v>
      </c>
      <c r="BH74" s="36" t="s">
        <v>18</v>
      </c>
      <c r="BI74" s="273">
        <f t="shared" si="21"/>
        <v>12031.95</v>
      </c>
      <c r="BJ74" s="270">
        <f t="shared" si="22"/>
        <v>-357.10400000000004</v>
      </c>
      <c r="BK74" s="482">
        <f t="shared" si="23"/>
        <v>11675</v>
      </c>
      <c r="BL74" s="276"/>
      <c r="BM74" s="36" t="s">
        <v>18</v>
      </c>
      <c r="BN74" s="4">
        <v>1988</v>
      </c>
      <c r="BO74" s="4">
        <v>10</v>
      </c>
      <c r="BP74" s="108"/>
    </row>
    <row r="75" spans="1:72">
      <c r="A75" s="4">
        <v>1988</v>
      </c>
      <c r="B75" s="4">
        <v>11</v>
      </c>
      <c r="C75" s="5">
        <v>119598</v>
      </c>
      <c r="D75" s="5">
        <v>7831</v>
      </c>
      <c r="E75" s="73">
        <f t="shared" si="6"/>
        <v>15272</v>
      </c>
      <c r="F75" s="540">
        <f t="shared" si="7"/>
        <v>7831</v>
      </c>
      <c r="H75" s="13" t="s">
        <v>18</v>
      </c>
      <c r="I75" s="76">
        <f>'[7]Gov 65 &amp; 70'!$S160</f>
        <v>117.6</v>
      </c>
      <c r="J75" s="76">
        <f t="shared" si="29"/>
        <v>140.19999999999999</v>
      </c>
      <c r="K75" s="362">
        <f t="shared" si="60"/>
        <v>22.599999999999994</v>
      </c>
      <c r="L75" s="200" t="s">
        <v>18</v>
      </c>
      <c r="M75" s="76">
        <f>'[7]Gov 65 &amp; 70'!$J160</f>
        <v>31.9</v>
      </c>
      <c r="N75" s="76">
        <f t="shared" si="30"/>
        <v>38.6</v>
      </c>
      <c r="O75" s="363">
        <f t="shared" si="61"/>
        <v>6.7000000000000028</v>
      </c>
      <c r="P75" s="13" t="s">
        <v>18</v>
      </c>
      <c r="Q75" s="77">
        <f t="shared" si="11"/>
        <v>5179.4679999999989</v>
      </c>
      <c r="R75" s="78">
        <f t="shared" si="12"/>
        <v>271.88600000000008</v>
      </c>
      <c r="S75" s="479">
        <f t="shared" si="13"/>
        <v>5451</v>
      </c>
      <c r="T75" s="13" t="s">
        <v>18</v>
      </c>
      <c r="U75" s="4">
        <v>1988</v>
      </c>
      <c r="V75" s="4">
        <v>11</v>
      </c>
      <c r="W75" s="153">
        <f t="shared" si="14"/>
        <v>15968.458689822499</v>
      </c>
      <c r="X75" s="153">
        <f t="shared" si="28"/>
        <v>-773.49439255611651</v>
      </c>
      <c r="Y75" s="80"/>
      <c r="Z75" s="98">
        <f t="shared" si="15"/>
        <v>125049</v>
      </c>
      <c r="AA75" s="119">
        <f t="shared" si="10"/>
        <v>5451</v>
      </c>
      <c r="AB75" s="98">
        <f t="shared" si="16"/>
        <v>125049</v>
      </c>
      <c r="AC75" s="4">
        <v>1988</v>
      </c>
      <c r="AD75" s="4">
        <v>11</v>
      </c>
      <c r="AE75" s="107">
        <f>RESID!AC75</f>
        <v>30.1</v>
      </c>
      <c r="AF75" s="40">
        <f t="shared" si="17"/>
        <v>16138.168816243138</v>
      </c>
      <c r="AG75" s="4">
        <f t="shared" si="18"/>
        <v>126378</v>
      </c>
      <c r="AI75" s="80"/>
      <c r="AY75" s="4">
        <v>1988</v>
      </c>
      <c r="AZ75" s="4">
        <v>11</v>
      </c>
      <c r="BA75" s="4">
        <f>'[8]Gov 65 &amp; 70'!$S160</f>
        <v>97.6</v>
      </c>
      <c r="BB75" s="4">
        <f t="shared" si="38"/>
        <v>66.3</v>
      </c>
      <c r="BC75" s="82">
        <f t="shared" si="19"/>
        <v>-31.299999999999997</v>
      </c>
      <c r="BD75" s="36" t="s">
        <v>18</v>
      </c>
      <c r="BE75" s="4">
        <f>'[8]Gov 65 &amp; 70'!$J160</f>
        <v>44.2</v>
      </c>
      <c r="BF75" s="4">
        <f t="shared" si="39"/>
        <v>69.900000000000006</v>
      </c>
      <c r="BG75" s="83">
        <f t="shared" si="20"/>
        <v>25.700000000000003</v>
      </c>
      <c r="BH75" s="36" t="s">
        <v>18</v>
      </c>
      <c r="BI75" s="273">
        <f t="shared" si="21"/>
        <v>-7173.3339999999998</v>
      </c>
      <c r="BJ75" s="270">
        <f t="shared" si="22"/>
        <v>1042.9060000000002</v>
      </c>
      <c r="BK75" s="482">
        <f t="shared" si="23"/>
        <v>-6130</v>
      </c>
      <c r="BL75" s="276"/>
      <c r="BM75" s="36" t="s">
        <v>18</v>
      </c>
      <c r="BN75" s="4">
        <v>1988</v>
      </c>
      <c r="BO75" s="4">
        <v>11</v>
      </c>
      <c r="BP75" s="108"/>
    </row>
    <row r="76" spans="1:72" s="89" customFormat="1">
      <c r="A76" s="89">
        <v>1988</v>
      </c>
      <c r="B76" s="89">
        <v>12</v>
      </c>
      <c r="C76" s="103">
        <v>122058</v>
      </c>
      <c r="D76" s="103">
        <v>7831</v>
      </c>
      <c r="E76" s="104">
        <f t="shared" si="6"/>
        <v>15587</v>
      </c>
      <c r="F76" s="586">
        <f t="shared" si="7"/>
        <v>7831</v>
      </c>
      <c r="H76" s="90" t="s">
        <v>18</v>
      </c>
      <c r="I76" s="92">
        <f>'[7]Gov 65 &amp; 70'!$S161</f>
        <v>71.3</v>
      </c>
      <c r="J76" s="92">
        <f t="shared" si="29"/>
        <v>50.8</v>
      </c>
      <c r="K76" s="364">
        <f t="shared" si="60"/>
        <v>-20.5</v>
      </c>
      <c r="L76" s="210" t="s">
        <v>18</v>
      </c>
      <c r="M76" s="92">
        <f>'[7]Gov 65 &amp; 70'!$J161</f>
        <v>113.4</v>
      </c>
      <c r="N76" s="92">
        <f t="shared" si="30"/>
        <v>121.8</v>
      </c>
      <c r="O76" s="365">
        <f t="shared" si="61"/>
        <v>8.3999999999999915</v>
      </c>
      <c r="P76" s="90" t="s">
        <v>18</v>
      </c>
      <c r="Q76" s="114">
        <f t="shared" si="11"/>
        <v>-4698.1900000000005</v>
      </c>
      <c r="R76" s="95">
        <f t="shared" si="12"/>
        <v>340.87199999999962</v>
      </c>
      <c r="S76" s="480">
        <f t="shared" si="13"/>
        <v>-4357</v>
      </c>
      <c r="T76" s="90" t="s">
        <v>18</v>
      </c>
      <c r="U76" s="89">
        <v>1988</v>
      </c>
      <c r="V76" s="89">
        <v>12</v>
      </c>
      <c r="W76" s="154">
        <f t="shared" si="14"/>
        <v>15030.136636444899</v>
      </c>
      <c r="X76" s="154">
        <f t="shared" si="28"/>
        <v>240.88990419857146</v>
      </c>
      <c r="Y76" s="134"/>
      <c r="Z76" s="155">
        <f t="shared" si="15"/>
        <v>117701</v>
      </c>
      <c r="AA76" s="156">
        <f t="shared" si="10"/>
        <v>-4357</v>
      </c>
      <c r="AB76" s="155">
        <f t="shared" si="16"/>
        <v>117701</v>
      </c>
      <c r="AC76" s="89">
        <v>1988</v>
      </c>
      <c r="AD76" s="89">
        <v>12</v>
      </c>
      <c r="AE76" s="110">
        <f>RESID!AC76</f>
        <v>31.55</v>
      </c>
      <c r="AF76" s="116">
        <f t="shared" si="17"/>
        <v>14491.763504022474</v>
      </c>
      <c r="AG76" s="89">
        <f t="shared" si="18"/>
        <v>113485</v>
      </c>
      <c r="AI76" s="134"/>
      <c r="AY76" s="89">
        <v>1988</v>
      </c>
      <c r="AZ76" s="89">
        <v>12</v>
      </c>
      <c r="BA76" s="89">
        <f>'[8]Gov 65 &amp; 70'!$S161</f>
        <v>31</v>
      </c>
      <c r="BB76" s="89">
        <f t="shared" si="38"/>
        <v>28.2</v>
      </c>
      <c r="BC76" s="111">
        <f t="shared" si="19"/>
        <v>-2.8000000000000007</v>
      </c>
      <c r="BD76" s="113" t="s">
        <v>18</v>
      </c>
      <c r="BE76" s="89">
        <f>'[8]Gov 65 &amp; 70'!$J161</f>
        <v>177.3</v>
      </c>
      <c r="BF76" s="89">
        <f t="shared" si="39"/>
        <v>170</v>
      </c>
      <c r="BG76" s="112">
        <f t="shared" si="20"/>
        <v>-7.3000000000000114</v>
      </c>
      <c r="BH76" s="113" t="s">
        <v>18</v>
      </c>
      <c r="BI76" s="274">
        <f t="shared" si="21"/>
        <v>-641.70400000000018</v>
      </c>
      <c r="BJ76" s="275">
        <f t="shared" si="22"/>
        <v>-296.23400000000044</v>
      </c>
      <c r="BK76" s="483">
        <f t="shared" si="23"/>
        <v>-938</v>
      </c>
      <c r="BL76" s="277"/>
      <c r="BM76" s="113" t="s">
        <v>18</v>
      </c>
      <c r="BN76" s="89">
        <v>1988</v>
      </c>
      <c r="BO76" s="89">
        <v>12</v>
      </c>
      <c r="BP76" s="117"/>
      <c r="BT76" s="96"/>
    </row>
    <row r="77" spans="1:72">
      <c r="A77" s="4">
        <v>1989</v>
      </c>
      <c r="B77" s="4">
        <v>1</v>
      </c>
      <c r="C77" s="5">
        <v>107100</v>
      </c>
      <c r="D77" s="5">
        <v>7876</v>
      </c>
      <c r="E77" s="73">
        <f t="shared" si="6"/>
        <v>13598</v>
      </c>
      <c r="F77" s="540">
        <f t="shared" si="7"/>
        <v>7876</v>
      </c>
      <c r="H77" s="13" t="s">
        <v>18</v>
      </c>
      <c r="I77" s="76">
        <f>'[7]Gov 65 &amp; 70'!$S162</f>
        <v>51.1</v>
      </c>
      <c r="J77" s="76">
        <f t="shared" si="29"/>
        <v>28.7</v>
      </c>
      <c r="K77" s="362">
        <f t="shared" si="60"/>
        <v>-22.400000000000002</v>
      </c>
      <c r="L77" s="200" t="s">
        <v>18</v>
      </c>
      <c r="M77" s="76">
        <f>'[7]Gov 65 &amp; 70'!$J162</f>
        <v>118.9</v>
      </c>
      <c r="N77" s="76">
        <f t="shared" si="30"/>
        <v>192.9</v>
      </c>
      <c r="O77" s="363">
        <f t="shared" si="61"/>
        <v>74</v>
      </c>
      <c r="P77" s="13" t="s">
        <v>18</v>
      </c>
      <c r="Q77" s="77">
        <f t="shared" si="11"/>
        <v>-5133.6320000000005</v>
      </c>
      <c r="R77" s="78">
        <f t="shared" si="12"/>
        <v>3002.92</v>
      </c>
      <c r="S77" s="479">
        <f t="shared" si="13"/>
        <v>-2131</v>
      </c>
      <c r="T77" s="13" t="s">
        <v>18</v>
      </c>
      <c r="U77" s="4">
        <v>1989</v>
      </c>
      <c r="V77" s="4">
        <v>1</v>
      </c>
      <c r="W77" s="153">
        <f t="shared" si="14"/>
        <v>13327.704418486543</v>
      </c>
      <c r="X77" s="153">
        <f t="shared" si="28"/>
        <v>-955.73249045698503</v>
      </c>
      <c r="Y77" s="80"/>
      <c r="Z77" s="98">
        <f t="shared" si="15"/>
        <v>104969</v>
      </c>
      <c r="AA77" s="119">
        <f t="shared" si="10"/>
        <v>-2131</v>
      </c>
      <c r="AB77" s="98">
        <f t="shared" si="16"/>
        <v>104969</v>
      </c>
      <c r="AC77" s="4">
        <v>1989</v>
      </c>
      <c r="AD77" s="4">
        <v>1</v>
      </c>
      <c r="AE77" s="107">
        <f>RESID!AC77</f>
        <v>30.5</v>
      </c>
      <c r="AF77" s="40">
        <f t="shared" si="17"/>
        <v>13292.788217369223</v>
      </c>
      <c r="AG77" s="4">
        <f t="shared" si="18"/>
        <v>104694</v>
      </c>
      <c r="AI77" s="80"/>
      <c r="AY77" s="4">
        <v>1989</v>
      </c>
      <c r="AZ77" s="4">
        <v>1</v>
      </c>
      <c r="BA77" s="4">
        <f>'[8]Gov 65 &amp; 70'!$S162</f>
        <v>59.5</v>
      </c>
      <c r="BB77" s="4">
        <f t="shared" si="38"/>
        <v>23.9</v>
      </c>
      <c r="BC77" s="82">
        <f t="shared" si="19"/>
        <v>-35.6</v>
      </c>
      <c r="BD77" s="36" t="s">
        <v>18</v>
      </c>
      <c r="BE77" s="4">
        <f>'[8]Gov 65 &amp; 70'!$J162</f>
        <v>78.5</v>
      </c>
      <c r="BF77" s="4">
        <f t="shared" si="39"/>
        <v>176.9</v>
      </c>
      <c r="BG77" s="83">
        <f t="shared" si="20"/>
        <v>98.4</v>
      </c>
      <c r="BH77" s="36" t="s">
        <v>18</v>
      </c>
      <c r="BI77" s="273">
        <f t="shared" si="21"/>
        <v>-8158.8080000000009</v>
      </c>
      <c r="BJ77" s="270">
        <f t="shared" si="22"/>
        <v>3993.0720000000001</v>
      </c>
      <c r="BK77" s="482">
        <f t="shared" si="23"/>
        <v>-4166</v>
      </c>
      <c r="BL77" s="276"/>
      <c r="BM77" s="36" t="s">
        <v>18</v>
      </c>
      <c r="BN77" s="4">
        <v>1989</v>
      </c>
      <c r="BO77" s="4">
        <v>1</v>
      </c>
      <c r="BP77" s="108"/>
    </row>
    <row r="78" spans="1:72">
      <c r="A78" s="4">
        <v>1989</v>
      </c>
      <c r="B78" s="4">
        <v>2</v>
      </c>
      <c r="C78" s="5">
        <v>114956</v>
      </c>
      <c r="D78" s="5">
        <v>7907</v>
      </c>
      <c r="E78" s="73">
        <f t="shared" si="6"/>
        <v>14539</v>
      </c>
      <c r="F78" s="540">
        <f t="shared" si="7"/>
        <v>7907</v>
      </c>
      <c r="H78" s="13" t="s">
        <v>18</v>
      </c>
      <c r="I78" s="76">
        <f>'[7]Gov 65 &amp; 70'!$S163</f>
        <v>60.1</v>
      </c>
      <c r="J78" s="76">
        <f t="shared" si="29"/>
        <v>22.6</v>
      </c>
      <c r="K78" s="362">
        <f t="shared" si="60"/>
        <v>-37.5</v>
      </c>
      <c r="L78" s="200" t="s">
        <v>18</v>
      </c>
      <c r="M78" s="76">
        <f>'[7]Gov 65 &amp; 70'!$J163</f>
        <v>82.4</v>
      </c>
      <c r="N78" s="76">
        <f t="shared" si="30"/>
        <v>177.2</v>
      </c>
      <c r="O78" s="363">
        <f t="shared" si="61"/>
        <v>94.799999999999983</v>
      </c>
      <c r="P78" s="13" t="s">
        <v>18</v>
      </c>
      <c r="Q78" s="77">
        <f t="shared" si="11"/>
        <v>-8594.25</v>
      </c>
      <c r="R78" s="78">
        <f t="shared" si="12"/>
        <v>3846.983999999999</v>
      </c>
      <c r="S78" s="479">
        <f t="shared" si="13"/>
        <v>-4747</v>
      </c>
      <c r="T78" s="13" t="s">
        <v>18</v>
      </c>
      <c r="U78" s="4">
        <v>1989</v>
      </c>
      <c r="V78" s="4">
        <v>2</v>
      </c>
      <c r="W78" s="153">
        <f t="shared" si="14"/>
        <v>13938.15606424687</v>
      </c>
      <c r="X78" s="153">
        <f t="shared" si="28"/>
        <v>-78.697868337399996</v>
      </c>
      <c r="Y78" s="80"/>
      <c r="Z78" s="98">
        <f t="shared" si="15"/>
        <v>110209</v>
      </c>
      <c r="AA78" s="119">
        <f t="shared" si="10"/>
        <v>-4747</v>
      </c>
      <c r="AB78" s="98">
        <f t="shared" si="16"/>
        <v>110209</v>
      </c>
      <c r="AC78" s="4">
        <v>1989</v>
      </c>
      <c r="AD78" s="4">
        <v>2</v>
      </c>
      <c r="AE78" s="107">
        <f>RESID!AC78</f>
        <v>29.65</v>
      </c>
      <c r="AF78" s="40">
        <f t="shared" si="17"/>
        <v>14300.113823194637</v>
      </c>
      <c r="AG78" s="4">
        <f t="shared" si="18"/>
        <v>113071</v>
      </c>
      <c r="AI78" s="80"/>
      <c r="AY78" s="4">
        <v>1989</v>
      </c>
      <c r="AZ78" s="4">
        <v>2</v>
      </c>
      <c r="BA78" s="4">
        <f>'[8]Gov 65 &amp; 70'!$S163</f>
        <v>57.7</v>
      </c>
      <c r="BB78" s="4">
        <f t="shared" si="38"/>
        <v>32.799999999999997</v>
      </c>
      <c r="BC78" s="82">
        <f t="shared" si="19"/>
        <v>-24.900000000000006</v>
      </c>
      <c r="BD78" s="36" t="s">
        <v>18</v>
      </c>
      <c r="BE78" s="4">
        <f>'[8]Gov 65 &amp; 70'!$J163</f>
        <v>150.9</v>
      </c>
      <c r="BF78" s="4">
        <f t="shared" si="39"/>
        <v>139.1</v>
      </c>
      <c r="BG78" s="83">
        <f t="shared" si="20"/>
        <v>-11.800000000000011</v>
      </c>
      <c r="BH78" s="36" t="s">
        <v>18</v>
      </c>
      <c r="BI78" s="273">
        <f t="shared" si="21"/>
        <v>-5706.5820000000012</v>
      </c>
      <c r="BJ78" s="270">
        <f t="shared" si="22"/>
        <v>-478.84400000000045</v>
      </c>
      <c r="BK78" s="482">
        <f t="shared" si="23"/>
        <v>-6185</v>
      </c>
      <c r="BL78" s="276"/>
      <c r="BM78" s="36" t="s">
        <v>18</v>
      </c>
      <c r="BN78" s="4">
        <v>1989</v>
      </c>
      <c r="BO78" s="4">
        <v>2</v>
      </c>
      <c r="BP78" s="108"/>
    </row>
    <row r="79" spans="1:72">
      <c r="A79" s="4">
        <v>1989</v>
      </c>
      <c r="B79" s="4">
        <v>3</v>
      </c>
      <c r="C79" s="5">
        <v>117429</v>
      </c>
      <c r="D79" s="5">
        <v>7967</v>
      </c>
      <c r="E79" s="73">
        <f t="shared" si="6"/>
        <v>14739</v>
      </c>
      <c r="F79" s="540">
        <f t="shared" si="7"/>
        <v>7967</v>
      </c>
      <c r="H79" s="13" t="s">
        <v>18</v>
      </c>
      <c r="I79" s="76">
        <f>'[7]Gov 65 &amp; 70'!$S164</f>
        <v>62.5</v>
      </c>
      <c r="J79" s="76">
        <f t="shared" si="29"/>
        <v>44.5</v>
      </c>
      <c r="K79" s="362">
        <f t="shared" si="60"/>
        <v>-18</v>
      </c>
      <c r="L79" s="200" t="s">
        <v>18</v>
      </c>
      <c r="M79" s="76">
        <f>'[7]Gov 65 &amp; 70'!$J164</f>
        <v>162.6</v>
      </c>
      <c r="N79" s="76">
        <f t="shared" si="30"/>
        <v>119.5</v>
      </c>
      <c r="O79" s="363">
        <f t="shared" si="61"/>
        <v>-43.099999999999994</v>
      </c>
      <c r="P79" s="13" t="s">
        <v>18</v>
      </c>
      <c r="Q79" s="77">
        <f t="shared" si="11"/>
        <v>-4125.24</v>
      </c>
      <c r="R79" s="78">
        <f t="shared" si="12"/>
        <v>-1748.9979999999996</v>
      </c>
      <c r="S79" s="479">
        <f t="shared" si="13"/>
        <v>-5874</v>
      </c>
      <c r="T79" s="13" t="s">
        <v>18</v>
      </c>
      <c r="U79" s="4">
        <v>1989</v>
      </c>
      <c r="V79" s="4">
        <v>3</v>
      </c>
      <c r="W79" s="153">
        <f t="shared" si="14"/>
        <v>14002.133801932974</v>
      </c>
      <c r="X79" s="153">
        <f t="shared" si="28"/>
        <v>-307.94474952488781</v>
      </c>
      <c r="Y79" s="80"/>
      <c r="Z79" s="98">
        <f t="shared" si="15"/>
        <v>111555</v>
      </c>
      <c r="AA79" s="119">
        <f t="shared" si="10"/>
        <v>-5874</v>
      </c>
      <c r="AB79" s="98">
        <f t="shared" si="16"/>
        <v>111555</v>
      </c>
      <c r="AC79" s="4">
        <v>1989</v>
      </c>
      <c r="AD79" s="4">
        <v>3</v>
      </c>
      <c r="AE79" s="107">
        <f>RESID!AC79</f>
        <v>29.55</v>
      </c>
      <c r="AF79" s="40">
        <f t="shared" si="17"/>
        <v>14414.334128279152</v>
      </c>
      <c r="AG79" s="4">
        <f t="shared" si="18"/>
        <v>114839</v>
      </c>
      <c r="AI79" s="80"/>
      <c r="AY79" s="4">
        <v>1989</v>
      </c>
      <c r="AZ79" s="4">
        <v>3</v>
      </c>
      <c r="BA79" s="4">
        <f>'[8]Gov 65 &amp; 70'!$S164</f>
        <v>109.3</v>
      </c>
      <c r="BB79" s="4">
        <f t="shared" si="38"/>
        <v>64.099999999999994</v>
      </c>
      <c r="BC79" s="82">
        <f t="shared" si="19"/>
        <v>-45.2</v>
      </c>
      <c r="BD79" s="36" t="s">
        <v>18</v>
      </c>
      <c r="BE79" s="4">
        <f>'[8]Gov 65 &amp; 70'!$J164</f>
        <v>75.400000000000006</v>
      </c>
      <c r="BF79" s="4">
        <f t="shared" si="39"/>
        <v>85.4</v>
      </c>
      <c r="BG79" s="83">
        <f t="shared" si="20"/>
        <v>10</v>
      </c>
      <c r="BH79" s="36" t="s">
        <v>18</v>
      </c>
      <c r="BI79" s="273">
        <f t="shared" si="21"/>
        <v>-10358.936000000002</v>
      </c>
      <c r="BJ79" s="270">
        <f t="shared" si="22"/>
        <v>405.79999999999995</v>
      </c>
      <c r="BK79" s="482">
        <f t="shared" si="23"/>
        <v>-9953</v>
      </c>
      <c r="BL79" s="276"/>
      <c r="BM79" s="36" t="s">
        <v>18</v>
      </c>
      <c r="BN79" s="4">
        <v>1989</v>
      </c>
      <c r="BO79" s="4">
        <v>3</v>
      </c>
      <c r="BP79" s="108"/>
    </row>
    <row r="80" spans="1:72">
      <c r="A80" s="4">
        <v>1989</v>
      </c>
      <c r="B80" s="4">
        <v>4</v>
      </c>
      <c r="C80" s="5">
        <v>129390</v>
      </c>
      <c r="D80" s="5">
        <v>7994</v>
      </c>
      <c r="E80" s="73">
        <f t="shared" si="6"/>
        <v>16186</v>
      </c>
      <c r="F80" s="540">
        <f t="shared" si="7"/>
        <v>7994</v>
      </c>
      <c r="H80" s="13" t="s">
        <v>18</v>
      </c>
      <c r="I80" s="76">
        <f>'[7]Gov 65 &amp; 70'!$S165</f>
        <v>121.4</v>
      </c>
      <c r="J80" s="76">
        <f t="shared" si="29"/>
        <v>87.7</v>
      </c>
      <c r="K80" s="362">
        <f t="shared" si="60"/>
        <v>-33.700000000000003</v>
      </c>
      <c r="L80" s="200" t="s">
        <v>18</v>
      </c>
      <c r="M80" s="76">
        <f>'[7]Gov 65 &amp; 70'!$J165</f>
        <v>55.6</v>
      </c>
      <c r="N80" s="76">
        <f t="shared" si="30"/>
        <v>60.3</v>
      </c>
      <c r="O80" s="363">
        <f t="shared" si="61"/>
        <v>4.6999999999999957</v>
      </c>
      <c r="P80" s="13" t="s">
        <v>18</v>
      </c>
      <c r="Q80" s="77">
        <f t="shared" si="11"/>
        <v>-7723.3660000000009</v>
      </c>
      <c r="R80" s="78">
        <f t="shared" si="12"/>
        <v>190.72599999999983</v>
      </c>
      <c r="S80" s="479">
        <f t="shared" si="13"/>
        <v>-7533</v>
      </c>
      <c r="T80" s="13" t="s">
        <v>18</v>
      </c>
      <c r="U80" s="4">
        <v>1989</v>
      </c>
      <c r="V80" s="4">
        <v>4</v>
      </c>
      <c r="W80" s="153">
        <f t="shared" si="14"/>
        <v>15243.557668251189</v>
      </c>
      <c r="X80" s="153">
        <f t="shared" si="28"/>
        <v>20.982992068265958</v>
      </c>
      <c r="Y80" s="80"/>
      <c r="Z80" s="98">
        <f t="shared" si="15"/>
        <v>121857</v>
      </c>
      <c r="AA80" s="119">
        <f t="shared" si="10"/>
        <v>-7533</v>
      </c>
      <c r="AB80" s="98">
        <f t="shared" si="16"/>
        <v>121857</v>
      </c>
      <c r="AC80" s="4">
        <v>1989</v>
      </c>
      <c r="AD80" s="4">
        <v>4</v>
      </c>
      <c r="AE80" s="107">
        <f>RESID!AC80</f>
        <v>32.049999999999997</v>
      </c>
      <c r="AF80" s="40">
        <f t="shared" si="17"/>
        <v>14468.351263447586</v>
      </c>
      <c r="AG80" s="4">
        <f t="shared" si="18"/>
        <v>115660</v>
      </c>
      <c r="AI80" s="80"/>
      <c r="AY80" s="4">
        <v>1989</v>
      </c>
      <c r="AZ80" s="4">
        <v>4</v>
      </c>
      <c r="BA80" s="4">
        <f>'[8]Gov 65 &amp; 70'!$S165</f>
        <v>134.6</v>
      </c>
      <c r="BB80" s="4">
        <f t="shared" si="38"/>
        <v>122</v>
      </c>
      <c r="BC80" s="82">
        <f t="shared" si="19"/>
        <v>-12.599999999999994</v>
      </c>
      <c r="BD80" s="36" t="s">
        <v>18</v>
      </c>
      <c r="BE80" s="4">
        <f>'[8]Gov 65 &amp; 70'!$J165</f>
        <v>34.299999999999997</v>
      </c>
      <c r="BF80" s="4">
        <f t="shared" si="39"/>
        <v>34.700000000000003</v>
      </c>
      <c r="BG80" s="83">
        <f t="shared" si="20"/>
        <v>0.40000000000000568</v>
      </c>
      <c r="BH80" s="36" t="s">
        <v>18</v>
      </c>
      <c r="BI80" s="273">
        <f t="shared" si="21"/>
        <v>-2887.6679999999988</v>
      </c>
      <c r="BJ80" s="270">
        <f t="shared" si="22"/>
        <v>16.23200000000023</v>
      </c>
      <c r="BK80" s="482">
        <f t="shared" si="23"/>
        <v>-2871</v>
      </c>
      <c r="BL80" s="276"/>
      <c r="BM80" s="36" t="s">
        <v>18</v>
      </c>
      <c r="BN80" s="4">
        <v>1989</v>
      </c>
      <c r="BO80" s="4">
        <v>4</v>
      </c>
      <c r="BP80" s="108"/>
    </row>
    <row r="81" spans="1:72">
      <c r="A81" s="4">
        <v>1989</v>
      </c>
      <c r="B81" s="4">
        <v>5</v>
      </c>
      <c r="C81" s="5">
        <v>125446</v>
      </c>
      <c r="D81" s="5">
        <v>8040</v>
      </c>
      <c r="E81" s="73">
        <f t="shared" ref="E81:E144" si="62">ROUND(C81/D81*1000,0)</f>
        <v>15603</v>
      </c>
      <c r="F81" s="540">
        <f t="shared" si="7"/>
        <v>8040</v>
      </c>
      <c r="H81" s="13" t="s">
        <v>18</v>
      </c>
      <c r="I81" s="76">
        <f>'[7]Gov 65 &amp; 70'!$S166</f>
        <v>171.3</v>
      </c>
      <c r="J81" s="76">
        <f t="shared" si="29"/>
        <v>157.69999999999999</v>
      </c>
      <c r="K81" s="362">
        <f t="shared" ref="K81:K112" si="63">(J81-I81)</f>
        <v>-13.600000000000023</v>
      </c>
      <c r="L81" s="200" t="s">
        <v>18</v>
      </c>
      <c r="M81" s="76">
        <f>'[7]Gov 65 &amp; 70'!$J166</f>
        <v>17.600000000000001</v>
      </c>
      <c r="N81" s="76">
        <f t="shared" si="30"/>
        <v>18.600000000000001</v>
      </c>
      <c r="O81" s="363">
        <f t="shared" ref="O81:O112" si="64">(N81-M81)</f>
        <v>1</v>
      </c>
      <c r="P81" s="13" t="s">
        <v>18</v>
      </c>
      <c r="Q81" s="77">
        <f t="shared" si="11"/>
        <v>-3116.8480000000054</v>
      </c>
      <c r="R81" s="78">
        <f t="shared" si="12"/>
        <v>40.58</v>
      </c>
      <c r="S81" s="479">
        <f t="shared" si="13"/>
        <v>-3076</v>
      </c>
      <c r="T81" s="13" t="s">
        <v>18</v>
      </c>
      <c r="U81" s="4">
        <v>1989</v>
      </c>
      <c r="V81" s="4">
        <v>5</v>
      </c>
      <c r="W81" s="153">
        <f t="shared" si="14"/>
        <v>15220.149253731342</v>
      </c>
      <c r="X81" s="153">
        <f t="shared" si="28"/>
        <v>-562.5680946837565</v>
      </c>
      <c r="Y81" s="80"/>
      <c r="Z81" s="98">
        <f t="shared" si="15"/>
        <v>122370</v>
      </c>
      <c r="AA81" s="119">
        <f t="shared" ref="AA81:AA144" si="65">Z81-C81</f>
        <v>-3076</v>
      </c>
      <c r="AB81" s="98">
        <f t="shared" si="16"/>
        <v>122370</v>
      </c>
      <c r="AC81" s="4">
        <v>1989</v>
      </c>
      <c r="AD81" s="4">
        <v>5</v>
      </c>
      <c r="AE81" s="107">
        <f>RESID!AC81</f>
        <v>29.4</v>
      </c>
      <c r="AF81" s="40">
        <f t="shared" si="17"/>
        <v>15748.134328358208</v>
      </c>
      <c r="AG81" s="4">
        <f t="shared" si="18"/>
        <v>126615</v>
      </c>
      <c r="AI81" s="80"/>
      <c r="AY81" s="4">
        <v>1989</v>
      </c>
      <c r="AZ81" s="4">
        <v>5</v>
      </c>
      <c r="BA81" s="4">
        <f>'[8]Gov 65 &amp; 70'!$S166</f>
        <v>264.7</v>
      </c>
      <c r="BB81" s="4">
        <f t="shared" si="38"/>
        <v>253</v>
      </c>
      <c r="BC81" s="82">
        <f t="shared" si="19"/>
        <v>-11.699999999999989</v>
      </c>
      <c r="BD81" s="36" t="s">
        <v>18</v>
      </c>
      <c r="BE81" s="4">
        <f>'[8]Gov 65 &amp; 70'!$J166</f>
        <v>8.5</v>
      </c>
      <c r="BF81" s="4">
        <f t="shared" si="39"/>
        <v>4.3</v>
      </c>
      <c r="BG81" s="83">
        <f t="shared" si="20"/>
        <v>-4.2</v>
      </c>
      <c r="BH81" s="36" t="s">
        <v>18</v>
      </c>
      <c r="BI81" s="273">
        <f t="shared" si="21"/>
        <v>-2681.4059999999977</v>
      </c>
      <c r="BJ81" s="270">
        <f t="shared" si="22"/>
        <v>-170.43600000000001</v>
      </c>
      <c r="BK81" s="482">
        <f t="shared" si="23"/>
        <v>-2852</v>
      </c>
      <c r="BL81" s="276"/>
      <c r="BM81" s="36" t="s">
        <v>18</v>
      </c>
      <c r="BN81" s="4">
        <v>1989</v>
      </c>
      <c r="BO81" s="4">
        <v>5</v>
      </c>
      <c r="BP81" s="108"/>
    </row>
    <row r="82" spans="1:72">
      <c r="A82" s="4">
        <v>1989</v>
      </c>
      <c r="B82" s="4">
        <v>6</v>
      </c>
      <c r="C82" s="5">
        <v>140433</v>
      </c>
      <c r="D82" s="5">
        <v>8048</v>
      </c>
      <c r="E82" s="73">
        <f t="shared" si="62"/>
        <v>17449</v>
      </c>
      <c r="F82" s="540">
        <f t="shared" ref="F82:F145" si="66">D82</f>
        <v>8048</v>
      </c>
      <c r="H82" s="13" t="s">
        <v>18</v>
      </c>
      <c r="I82" s="76">
        <f>'[7]Gov 65 &amp; 70'!$S167</f>
        <v>328.9</v>
      </c>
      <c r="J82" s="76">
        <f t="shared" si="29"/>
        <v>295.39999999999998</v>
      </c>
      <c r="K82" s="362">
        <f t="shared" si="63"/>
        <v>-33.5</v>
      </c>
      <c r="L82" s="200" t="s">
        <v>18</v>
      </c>
      <c r="M82" s="76">
        <f>'[7]Gov 65 &amp; 70'!$J167</f>
        <v>3.4</v>
      </c>
      <c r="N82" s="76">
        <f t="shared" si="30"/>
        <v>2.2000000000000002</v>
      </c>
      <c r="O82" s="363">
        <f t="shared" si="64"/>
        <v>-1.1999999999999997</v>
      </c>
      <c r="P82" s="13" t="s">
        <v>18</v>
      </c>
      <c r="Q82" s="77">
        <f t="shared" ref="Q82:Q145" si="67">K82*$C$10</f>
        <v>-7677.5300000000007</v>
      </c>
      <c r="R82" s="78">
        <f t="shared" ref="R82:R145" si="68">O82*$C$9</f>
        <v>-48.695999999999984</v>
      </c>
      <c r="S82" s="479">
        <f t="shared" ref="S82:S145" si="69">ROUND((R82+Q82),0)</f>
        <v>-7726</v>
      </c>
      <c r="T82" s="13" t="s">
        <v>18</v>
      </c>
      <c r="U82" s="4">
        <v>1989</v>
      </c>
      <c r="V82" s="4">
        <v>6</v>
      </c>
      <c r="W82" s="153">
        <f t="shared" ref="W82:W145" si="70">Z82/D82*1000</f>
        <v>16489.43836978131</v>
      </c>
      <c r="X82" s="153">
        <f t="shared" si="28"/>
        <v>-1408.6708739161695</v>
      </c>
      <c r="Y82" s="80"/>
      <c r="Z82" s="98">
        <f t="shared" ref="Z82:Z145" si="71">S82+C82</f>
        <v>132707</v>
      </c>
      <c r="AA82" s="119">
        <f t="shared" si="65"/>
        <v>-7726</v>
      </c>
      <c r="AB82" s="98">
        <f t="shared" ref="AB82:AB145" si="72">Z82</f>
        <v>132707</v>
      </c>
      <c r="AC82" s="4">
        <v>1989</v>
      </c>
      <c r="AD82" s="4">
        <v>6</v>
      </c>
      <c r="AE82" s="107">
        <f>RESID!AC82</f>
        <v>30.8</v>
      </c>
      <c r="AF82" s="40">
        <f t="shared" ref="AF82:AF145" si="73">AG82/D82*1000</f>
        <v>16286.0337972167</v>
      </c>
      <c r="AG82" s="4">
        <f t="shared" ref="AG82:AG145" si="74">ROUND(Z82/(AE82/30.42),0)</f>
        <v>131070</v>
      </c>
      <c r="AI82" s="80"/>
      <c r="AY82" s="4">
        <v>1989</v>
      </c>
      <c r="AZ82" s="4">
        <v>6</v>
      </c>
      <c r="BA82" s="4">
        <f>'[8]Gov 65 &amp; 70'!$S167</f>
        <v>354.4</v>
      </c>
      <c r="BB82" s="4">
        <f t="shared" si="38"/>
        <v>336.1</v>
      </c>
      <c r="BC82" s="82">
        <f t="shared" ref="BC82:BC145" si="75">BB82-BA82</f>
        <v>-18.299999999999955</v>
      </c>
      <c r="BD82" s="36" t="s">
        <v>18</v>
      </c>
      <c r="BE82" s="4">
        <f>'[8]Gov 65 &amp; 70'!$J167</f>
        <v>0</v>
      </c>
      <c r="BF82" s="4">
        <f t="shared" si="39"/>
        <v>0</v>
      </c>
      <c r="BG82" s="83">
        <f t="shared" ref="BG82:BG145" si="76">BF82-BE82</f>
        <v>0</v>
      </c>
      <c r="BH82" s="36" t="s">
        <v>18</v>
      </c>
      <c r="BI82" s="273">
        <f t="shared" ref="BI82:BI145" si="77">$C$10*BC82</f>
        <v>-4193.9939999999897</v>
      </c>
      <c r="BJ82" s="270">
        <f t="shared" ref="BJ82:BJ145" si="78">$C$9*BG82</f>
        <v>0</v>
      </c>
      <c r="BK82" s="482">
        <f t="shared" ref="BK82:BK145" si="79">ROUND(BJ82+BI82,0)</f>
        <v>-4194</v>
      </c>
      <c r="BL82" s="276"/>
      <c r="BM82" s="36" t="s">
        <v>18</v>
      </c>
      <c r="BN82" s="4">
        <v>1989</v>
      </c>
      <c r="BO82" s="4">
        <v>6</v>
      </c>
      <c r="BP82" s="108"/>
    </row>
    <row r="83" spans="1:72">
      <c r="A83" s="4">
        <v>1989</v>
      </c>
      <c r="B83" s="4">
        <v>7</v>
      </c>
      <c r="C83" s="5">
        <v>134488</v>
      </c>
      <c r="D83" s="5">
        <v>8083</v>
      </c>
      <c r="E83" s="73">
        <f t="shared" si="62"/>
        <v>16638</v>
      </c>
      <c r="F83" s="540">
        <f t="shared" si="66"/>
        <v>8083</v>
      </c>
      <c r="H83" s="13" t="s">
        <v>18</v>
      </c>
      <c r="I83" s="76">
        <f>'[7]Gov 65 &amp; 70'!$S168</f>
        <v>376.3</v>
      </c>
      <c r="J83" s="76">
        <f t="shared" si="29"/>
        <v>363.4</v>
      </c>
      <c r="K83" s="362">
        <f t="shared" si="63"/>
        <v>-12.900000000000034</v>
      </c>
      <c r="L83" s="200" t="s">
        <v>18</v>
      </c>
      <c r="M83" s="76">
        <f>'[7]Gov 65 &amp; 70'!$J168</f>
        <v>0</v>
      </c>
      <c r="N83" s="76">
        <f t="shared" si="30"/>
        <v>0</v>
      </c>
      <c r="O83" s="363">
        <f t="shared" si="64"/>
        <v>0</v>
      </c>
      <c r="P83" s="13" t="s">
        <v>18</v>
      </c>
      <c r="Q83" s="77">
        <f t="shared" si="67"/>
        <v>-2956.4220000000078</v>
      </c>
      <c r="R83" s="78">
        <f t="shared" si="68"/>
        <v>0</v>
      </c>
      <c r="S83" s="479">
        <f t="shared" si="69"/>
        <v>-2956</v>
      </c>
      <c r="T83" s="13" t="s">
        <v>18</v>
      </c>
      <c r="U83" s="4">
        <v>1989</v>
      </c>
      <c r="V83" s="4">
        <v>7</v>
      </c>
      <c r="W83" s="153">
        <f t="shared" si="70"/>
        <v>16272.671037980948</v>
      </c>
      <c r="X83" s="153">
        <f t="shared" si="28"/>
        <v>-503.64992701184019</v>
      </c>
      <c r="Y83" s="80"/>
      <c r="Z83" s="98">
        <f t="shared" si="71"/>
        <v>131532</v>
      </c>
      <c r="AA83" s="119">
        <f t="shared" si="65"/>
        <v>-2956</v>
      </c>
      <c r="AB83" s="98">
        <f t="shared" si="72"/>
        <v>131532</v>
      </c>
      <c r="AC83" s="4">
        <v>1989</v>
      </c>
      <c r="AD83" s="4">
        <v>7</v>
      </c>
      <c r="AE83" s="107">
        <f>RESID!AC83</f>
        <v>30.5</v>
      </c>
      <c r="AF83" s="40">
        <f t="shared" si="73"/>
        <v>16229.988865520227</v>
      </c>
      <c r="AG83" s="4">
        <f t="shared" si="74"/>
        <v>131187</v>
      </c>
      <c r="AI83" s="80"/>
      <c r="AY83" s="4">
        <v>1989</v>
      </c>
      <c r="AZ83" s="4">
        <v>7</v>
      </c>
      <c r="BA83" s="4">
        <f>'[8]Gov 65 &amp; 70'!$S168</f>
        <v>412.8</v>
      </c>
      <c r="BB83" s="4">
        <f t="shared" si="38"/>
        <v>391.2</v>
      </c>
      <c r="BC83" s="82">
        <f t="shared" si="75"/>
        <v>-21.600000000000023</v>
      </c>
      <c r="BD83" s="36" t="s">
        <v>18</v>
      </c>
      <c r="BE83" s="4">
        <f>'[8]Gov 65 &amp; 70'!$J168</f>
        <v>0</v>
      </c>
      <c r="BF83" s="4">
        <f t="shared" si="39"/>
        <v>0</v>
      </c>
      <c r="BG83" s="83">
        <f t="shared" si="76"/>
        <v>0</v>
      </c>
      <c r="BH83" s="36" t="s">
        <v>18</v>
      </c>
      <c r="BI83" s="273">
        <f t="shared" si="77"/>
        <v>-4950.288000000005</v>
      </c>
      <c r="BJ83" s="270">
        <f t="shared" si="78"/>
        <v>0</v>
      </c>
      <c r="BK83" s="482">
        <f t="shared" si="79"/>
        <v>-4950</v>
      </c>
      <c r="BL83" s="276"/>
      <c r="BM83" s="36" t="s">
        <v>18</v>
      </c>
      <c r="BN83" s="4">
        <v>1989</v>
      </c>
      <c r="BO83" s="4">
        <v>7</v>
      </c>
      <c r="BP83" s="108"/>
    </row>
    <row r="84" spans="1:72">
      <c r="A84" s="4">
        <v>1989</v>
      </c>
      <c r="B84" s="4">
        <v>8</v>
      </c>
      <c r="C84" s="5">
        <v>131012</v>
      </c>
      <c r="D84" s="5">
        <v>8143</v>
      </c>
      <c r="E84" s="73">
        <f t="shared" si="62"/>
        <v>16089</v>
      </c>
      <c r="F84" s="540">
        <f t="shared" si="66"/>
        <v>8143</v>
      </c>
      <c r="H84" s="13" t="s">
        <v>18</v>
      </c>
      <c r="I84" s="76">
        <f>'[7]Gov 65 &amp; 70'!$S169</f>
        <v>392.3</v>
      </c>
      <c r="J84" s="76">
        <f t="shared" si="29"/>
        <v>390.1</v>
      </c>
      <c r="K84" s="362">
        <f t="shared" si="63"/>
        <v>-2.1999999999999886</v>
      </c>
      <c r="L84" s="200" t="s">
        <v>18</v>
      </c>
      <c r="M84" s="76">
        <f>'[7]Gov 65 &amp; 70'!$J169</f>
        <v>0</v>
      </c>
      <c r="N84" s="76">
        <f t="shared" si="30"/>
        <v>0</v>
      </c>
      <c r="O84" s="363">
        <f t="shared" si="64"/>
        <v>0</v>
      </c>
      <c r="P84" s="13" t="s">
        <v>18</v>
      </c>
      <c r="Q84" s="77">
        <f t="shared" si="67"/>
        <v>-504.19599999999741</v>
      </c>
      <c r="R84" s="78">
        <f t="shared" si="68"/>
        <v>0</v>
      </c>
      <c r="S84" s="479">
        <f t="shared" si="69"/>
        <v>-504</v>
      </c>
      <c r="T84" s="13" t="s">
        <v>18</v>
      </c>
      <c r="U84" s="4">
        <v>1989</v>
      </c>
      <c r="V84" s="4">
        <v>8</v>
      </c>
      <c r="W84" s="153">
        <f t="shared" si="70"/>
        <v>16027.017069875967</v>
      </c>
      <c r="X84" s="153">
        <f t="shared" si="28"/>
        <v>-486.42238732653823</v>
      </c>
      <c r="Y84" s="80"/>
      <c r="Z84" s="98">
        <f t="shared" si="71"/>
        <v>130508</v>
      </c>
      <c r="AA84" s="119">
        <f t="shared" si="65"/>
        <v>-504</v>
      </c>
      <c r="AB84" s="98">
        <f t="shared" si="72"/>
        <v>130508</v>
      </c>
      <c r="AC84" s="4">
        <v>1989</v>
      </c>
      <c r="AD84" s="4">
        <v>8</v>
      </c>
      <c r="AE84" s="107">
        <f>RESID!AC84</f>
        <v>29.7</v>
      </c>
      <c r="AF84" s="40">
        <f t="shared" si="73"/>
        <v>16415.571656637603</v>
      </c>
      <c r="AG84" s="4">
        <f t="shared" si="74"/>
        <v>133672</v>
      </c>
      <c r="AI84" s="80"/>
      <c r="AY84" s="4">
        <v>1989</v>
      </c>
      <c r="AZ84" s="4">
        <v>8</v>
      </c>
      <c r="BA84" s="4">
        <f>'[8]Gov 65 &amp; 70'!$S169</f>
        <v>411.8</v>
      </c>
      <c r="BB84" s="4">
        <f t="shared" si="38"/>
        <v>394.4</v>
      </c>
      <c r="BC84" s="82">
        <f t="shared" si="75"/>
        <v>-17.400000000000034</v>
      </c>
      <c r="BD84" s="36" t="s">
        <v>18</v>
      </c>
      <c r="BE84" s="4">
        <f>'[8]Gov 65 &amp; 70'!$J169</f>
        <v>0</v>
      </c>
      <c r="BF84" s="4">
        <f t="shared" si="39"/>
        <v>0</v>
      </c>
      <c r="BG84" s="83">
        <f t="shared" si="76"/>
        <v>0</v>
      </c>
      <c r="BH84" s="36" t="s">
        <v>18</v>
      </c>
      <c r="BI84" s="273">
        <f t="shared" si="77"/>
        <v>-3987.7320000000082</v>
      </c>
      <c r="BJ84" s="270">
        <f t="shared" si="78"/>
        <v>0</v>
      </c>
      <c r="BK84" s="482">
        <f t="shared" si="79"/>
        <v>-3988</v>
      </c>
      <c r="BL84" s="276"/>
      <c r="BM84" s="36" t="s">
        <v>18</v>
      </c>
      <c r="BN84" s="4">
        <v>1989</v>
      </c>
      <c r="BO84" s="4">
        <v>8</v>
      </c>
      <c r="BP84" s="108"/>
    </row>
    <row r="85" spans="1:72">
      <c r="A85" s="4">
        <v>1989</v>
      </c>
      <c r="B85" s="4">
        <v>9</v>
      </c>
      <c r="C85" s="5">
        <v>157681</v>
      </c>
      <c r="D85" s="5">
        <v>8265</v>
      </c>
      <c r="E85" s="73">
        <f t="shared" si="62"/>
        <v>19078</v>
      </c>
      <c r="F85" s="540">
        <f t="shared" si="66"/>
        <v>8265</v>
      </c>
      <c r="H85" s="13" t="s">
        <v>18</v>
      </c>
      <c r="I85" s="76">
        <f>'[7]Gov 65 &amp; 70'!$S170</f>
        <v>416.3</v>
      </c>
      <c r="J85" s="76">
        <f t="shared" si="29"/>
        <v>381.2</v>
      </c>
      <c r="K85" s="362">
        <f t="shared" si="63"/>
        <v>-35.100000000000023</v>
      </c>
      <c r="L85" s="200" t="s">
        <v>18</v>
      </c>
      <c r="M85" s="76">
        <f>'[7]Gov 65 &amp; 70'!$J170</f>
        <v>0</v>
      </c>
      <c r="N85" s="76">
        <f t="shared" si="30"/>
        <v>0</v>
      </c>
      <c r="O85" s="363">
        <f t="shared" si="64"/>
        <v>0</v>
      </c>
      <c r="P85" s="13" t="s">
        <v>18</v>
      </c>
      <c r="Q85" s="77">
        <f t="shared" si="67"/>
        <v>-8044.2180000000053</v>
      </c>
      <c r="R85" s="78">
        <f t="shared" si="68"/>
        <v>0</v>
      </c>
      <c r="S85" s="479">
        <f t="shared" si="69"/>
        <v>-8044</v>
      </c>
      <c r="T85" s="13" t="s">
        <v>18</v>
      </c>
      <c r="U85" s="4">
        <v>1989</v>
      </c>
      <c r="V85" s="4">
        <v>9</v>
      </c>
      <c r="W85" s="153">
        <f t="shared" si="70"/>
        <v>18104.900181488203</v>
      </c>
      <c r="X85" s="153">
        <f t="shared" si="28"/>
        <v>-222.73735896487051</v>
      </c>
      <c r="Y85" s="80"/>
      <c r="Z85" s="98">
        <f t="shared" si="71"/>
        <v>149637</v>
      </c>
      <c r="AA85" s="119">
        <f t="shared" si="65"/>
        <v>-8044</v>
      </c>
      <c r="AB85" s="98">
        <f t="shared" si="72"/>
        <v>149637</v>
      </c>
      <c r="AC85" s="4">
        <v>1989</v>
      </c>
      <c r="AD85" s="4">
        <v>9</v>
      </c>
      <c r="AE85" s="107">
        <f>RESID!AC85</f>
        <v>31.9</v>
      </c>
      <c r="AF85" s="40">
        <f t="shared" si="73"/>
        <v>17264.972776769511</v>
      </c>
      <c r="AG85" s="4">
        <f t="shared" si="74"/>
        <v>142695</v>
      </c>
      <c r="AI85" s="80"/>
      <c r="AY85" s="4">
        <v>1989</v>
      </c>
      <c r="AZ85" s="4">
        <v>9</v>
      </c>
      <c r="BA85" s="4">
        <f>'[8]Gov 65 &amp; 70'!$S170</f>
        <v>357.9</v>
      </c>
      <c r="BB85" s="4">
        <f t="shared" si="38"/>
        <v>339.3</v>
      </c>
      <c r="BC85" s="82">
        <f t="shared" si="75"/>
        <v>-18.599999999999966</v>
      </c>
      <c r="BD85" s="36" t="s">
        <v>18</v>
      </c>
      <c r="BE85" s="4">
        <f>'[8]Gov 65 &amp; 70'!$J170</f>
        <v>0.2</v>
      </c>
      <c r="BF85" s="4">
        <f t="shared" si="39"/>
        <v>0</v>
      </c>
      <c r="BG85" s="83">
        <f t="shared" si="76"/>
        <v>-0.2</v>
      </c>
      <c r="BH85" s="36" t="s">
        <v>18</v>
      </c>
      <c r="BI85" s="273">
        <f t="shared" si="77"/>
        <v>-4262.7479999999923</v>
      </c>
      <c r="BJ85" s="270">
        <f t="shared" si="78"/>
        <v>-8.1159999999999997</v>
      </c>
      <c r="BK85" s="482">
        <f t="shared" si="79"/>
        <v>-4271</v>
      </c>
      <c r="BL85" s="276"/>
      <c r="BM85" s="36" t="s">
        <v>18</v>
      </c>
      <c r="BN85" s="4">
        <v>1989</v>
      </c>
      <c r="BO85" s="4">
        <v>9</v>
      </c>
      <c r="BP85" s="108"/>
    </row>
    <row r="86" spans="1:72">
      <c r="A86" s="4">
        <v>1989</v>
      </c>
      <c r="B86" s="4">
        <v>10</v>
      </c>
      <c r="C86" s="5">
        <v>147313</v>
      </c>
      <c r="D86" s="5">
        <v>8274</v>
      </c>
      <c r="E86" s="73">
        <f t="shared" si="62"/>
        <v>17804</v>
      </c>
      <c r="F86" s="540">
        <f t="shared" si="66"/>
        <v>8274</v>
      </c>
      <c r="H86" s="13" t="s">
        <v>18</v>
      </c>
      <c r="I86" s="76">
        <f>'[7]Gov 65 &amp; 70'!$S171</f>
        <v>311.10000000000002</v>
      </c>
      <c r="J86" s="76">
        <f t="shared" si="29"/>
        <v>287.8</v>
      </c>
      <c r="K86" s="362">
        <f t="shared" si="63"/>
        <v>-23.300000000000011</v>
      </c>
      <c r="L86" s="200" t="s">
        <v>18</v>
      </c>
      <c r="M86" s="76">
        <f>'[7]Gov 65 &amp; 70'!$J171</f>
        <v>5.9</v>
      </c>
      <c r="N86" s="76">
        <f t="shared" si="30"/>
        <v>2.5</v>
      </c>
      <c r="O86" s="363">
        <f t="shared" si="64"/>
        <v>-3.4000000000000004</v>
      </c>
      <c r="P86" s="13" t="s">
        <v>18</v>
      </c>
      <c r="Q86" s="77">
        <f t="shared" si="67"/>
        <v>-5339.894000000003</v>
      </c>
      <c r="R86" s="78">
        <f t="shared" si="68"/>
        <v>-137.97200000000001</v>
      </c>
      <c r="S86" s="479">
        <f t="shared" si="69"/>
        <v>-5478</v>
      </c>
      <c r="T86" s="13" t="s">
        <v>18</v>
      </c>
      <c r="U86" s="4">
        <v>1989</v>
      </c>
      <c r="V86" s="4">
        <v>10</v>
      </c>
      <c r="W86" s="153">
        <f t="shared" si="70"/>
        <v>17142.252840222383</v>
      </c>
      <c r="X86" s="153">
        <f t="shared" si="28"/>
        <v>-1365.0121719931267</v>
      </c>
      <c r="Y86" s="80"/>
      <c r="Z86" s="98">
        <f t="shared" si="71"/>
        <v>141835</v>
      </c>
      <c r="AA86" s="119">
        <f t="shared" si="65"/>
        <v>-5478</v>
      </c>
      <c r="AB86" s="98">
        <f t="shared" si="72"/>
        <v>141835</v>
      </c>
      <c r="AC86" s="4">
        <v>1989</v>
      </c>
      <c r="AD86" s="4">
        <v>10</v>
      </c>
      <c r="AE86" s="107">
        <f>RESID!AC86</f>
        <v>29.7</v>
      </c>
      <c r="AF86" s="40">
        <f t="shared" si="73"/>
        <v>17557.771331883006</v>
      </c>
      <c r="AG86" s="4">
        <f t="shared" si="74"/>
        <v>145273</v>
      </c>
      <c r="AI86" s="80"/>
      <c r="AY86" s="4">
        <v>1989</v>
      </c>
      <c r="AZ86" s="4">
        <v>10</v>
      </c>
      <c r="BA86" s="4">
        <f>'[8]Gov 65 &amp; 70'!$S171</f>
        <v>203.4</v>
      </c>
      <c r="BB86" s="4">
        <f t="shared" si="38"/>
        <v>200.4</v>
      </c>
      <c r="BC86" s="82">
        <f t="shared" si="75"/>
        <v>-3</v>
      </c>
      <c r="BD86" s="36" t="s">
        <v>18</v>
      </c>
      <c r="BE86" s="4">
        <f>'[8]Gov 65 &amp; 70'!$J171</f>
        <v>34</v>
      </c>
      <c r="BF86" s="4">
        <f t="shared" si="39"/>
        <v>15</v>
      </c>
      <c r="BG86" s="83">
        <f t="shared" si="76"/>
        <v>-19</v>
      </c>
      <c r="BH86" s="36" t="s">
        <v>18</v>
      </c>
      <c r="BI86" s="273">
        <f t="shared" si="77"/>
        <v>-687.54</v>
      </c>
      <c r="BJ86" s="270">
        <f t="shared" si="78"/>
        <v>-771.02</v>
      </c>
      <c r="BK86" s="482">
        <f t="shared" si="79"/>
        <v>-1459</v>
      </c>
      <c r="BL86" s="276"/>
      <c r="BM86" s="36" t="s">
        <v>18</v>
      </c>
      <c r="BN86" s="4">
        <v>1989</v>
      </c>
      <c r="BO86" s="4">
        <v>10</v>
      </c>
      <c r="BP86" s="108"/>
    </row>
    <row r="87" spans="1:72">
      <c r="A87" s="4">
        <v>1989</v>
      </c>
      <c r="B87" s="4">
        <v>11</v>
      </c>
      <c r="C87" s="5">
        <v>131381</v>
      </c>
      <c r="D87" s="5">
        <v>8309</v>
      </c>
      <c r="E87" s="73">
        <f t="shared" si="62"/>
        <v>15812</v>
      </c>
      <c r="F87" s="540">
        <f t="shared" si="66"/>
        <v>8309</v>
      </c>
      <c r="H87" s="13" t="s">
        <v>18</v>
      </c>
      <c r="I87" s="76">
        <f>'[7]Gov 65 &amp; 70'!$S172</f>
        <v>135.69999999999999</v>
      </c>
      <c r="J87" s="76">
        <f t="shared" si="29"/>
        <v>140.19999999999999</v>
      </c>
      <c r="K87" s="362">
        <f t="shared" si="63"/>
        <v>4.5</v>
      </c>
      <c r="L87" s="200" t="s">
        <v>18</v>
      </c>
      <c r="M87" s="76">
        <f>'[7]Gov 65 &amp; 70'!$J172</f>
        <v>43.7</v>
      </c>
      <c r="N87" s="76">
        <f t="shared" si="30"/>
        <v>38.6</v>
      </c>
      <c r="O87" s="363">
        <f t="shared" si="64"/>
        <v>-5.1000000000000014</v>
      </c>
      <c r="P87" s="13" t="s">
        <v>18</v>
      </c>
      <c r="Q87" s="77">
        <f t="shared" si="67"/>
        <v>1031.31</v>
      </c>
      <c r="R87" s="78">
        <f t="shared" si="68"/>
        <v>-206.95800000000006</v>
      </c>
      <c r="S87" s="479">
        <f t="shared" si="69"/>
        <v>824</v>
      </c>
      <c r="T87" s="13" t="s">
        <v>18</v>
      </c>
      <c r="U87" s="4">
        <v>1989</v>
      </c>
      <c r="V87" s="4">
        <v>11</v>
      </c>
      <c r="W87" s="153">
        <f t="shared" si="70"/>
        <v>15911.060296064508</v>
      </c>
      <c r="X87" s="153">
        <f t="shared" si="28"/>
        <v>-57.398393757990561</v>
      </c>
      <c r="Y87" s="80"/>
      <c r="Z87" s="98">
        <f t="shared" si="71"/>
        <v>132205</v>
      </c>
      <c r="AA87" s="119">
        <f t="shared" si="65"/>
        <v>824</v>
      </c>
      <c r="AB87" s="98">
        <f t="shared" si="72"/>
        <v>132205</v>
      </c>
      <c r="AC87" s="4">
        <v>1989</v>
      </c>
      <c r="AD87" s="4">
        <v>11</v>
      </c>
      <c r="AE87" s="107">
        <f>RESID!AC87</f>
        <v>29.45</v>
      </c>
      <c r="AF87" s="40">
        <f t="shared" si="73"/>
        <v>16435.070405584305</v>
      </c>
      <c r="AG87" s="4">
        <f t="shared" si="74"/>
        <v>136559</v>
      </c>
      <c r="AI87" s="80"/>
      <c r="AY87" s="4">
        <v>1989</v>
      </c>
      <c r="AZ87" s="4">
        <v>11</v>
      </c>
      <c r="BA87" s="4">
        <f>'[8]Gov 65 &amp; 70'!$S172</f>
        <v>77.900000000000006</v>
      </c>
      <c r="BB87" s="4">
        <f t="shared" si="38"/>
        <v>66.3</v>
      </c>
      <c r="BC87" s="82">
        <f t="shared" si="75"/>
        <v>-11.600000000000009</v>
      </c>
      <c r="BD87" s="36" t="s">
        <v>18</v>
      </c>
      <c r="BE87" s="4">
        <f>'[8]Gov 65 &amp; 70'!$J172</f>
        <v>70.8</v>
      </c>
      <c r="BF87" s="4">
        <f t="shared" si="39"/>
        <v>69.900000000000006</v>
      </c>
      <c r="BG87" s="83">
        <f t="shared" si="76"/>
        <v>-0.89999999999999147</v>
      </c>
      <c r="BH87" s="36" t="s">
        <v>18</v>
      </c>
      <c r="BI87" s="273">
        <f t="shared" si="77"/>
        <v>-2658.4880000000021</v>
      </c>
      <c r="BJ87" s="270">
        <f t="shared" si="78"/>
        <v>-36.52199999999965</v>
      </c>
      <c r="BK87" s="482">
        <f t="shared" si="79"/>
        <v>-2695</v>
      </c>
      <c r="BL87" s="276"/>
      <c r="BM87" s="36" t="s">
        <v>18</v>
      </c>
      <c r="BN87" s="4">
        <v>1989</v>
      </c>
      <c r="BO87" s="4">
        <v>11</v>
      </c>
      <c r="BP87" s="108"/>
    </row>
    <row r="88" spans="1:72" s="89" customFormat="1">
      <c r="A88" s="89">
        <v>1989</v>
      </c>
      <c r="B88" s="89">
        <v>12</v>
      </c>
      <c r="C88" s="103">
        <v>124189</v>
      </c>
      <c r="D88" s="103">
        <v>8390</v>
      </c>
      <c r="E88" s="104">
        <f t="shared" si="62"/>
        <v>14802</v>
      </c>
      <c r="F88" s="586">
        <f t="shared" si="66"/>
        <v>8390</v>
      </c>
      <c r="H88" s="90" t="s">
        <v>18</v>
      </c>
      <c r="I88" s="92">
        <f>'[7]Gov 65 &amp; 70'!$S173</f>
        <v>46.3</v>
      </c>
      <c r="J88" s="92">
        <f t="shared" si="29"/>
        <v>50.8</v>
      </c>
      <c r="K88" s="364">
        <f t="shared" si="63"/>
        <v>4.5</v>
      </c>
      <c r="L88" s="210" t="s">
        <v>18</v>
      </c>
      <c r="M88" s="92">
        <f>'[7]Gov 65 &amp; 70'!$J173</f>
        <v>156.69999999999999</v>
      </c>
      <c r="N88" s="92">
        <f t="shared" si="30"/>
        <v>121.8</v>
      </c>
      <c r="O88" s="365">
        <f t="shared" si="64"/>
        <v>-34.899999999999991</v>
      </c>
      <c r="P88" s="90" t="s">
        <v>18</v>
      </c>
      <c r="Q88" s="114">
        <f t="shared" si="67"/>
        <v>1031.31</v>
      </c>
      <c r="R88" s="95">
        <f t="shared" si="68"/>
        <v>-1416.2419999999995</v>
      </c>
      <c r="S88" s="480">
        <f t="shared" si="69"/>
        <v>-385</v>
      </c>
      <c r="T88" s="90" t="s">
        <v>18</v>
      </c>
      <c r="U88" s="89">
        <v>1989</v>
      </c>
      <c r="V88" s="89">
        <v>12</v>
      </c>
      <c r="W88" s="154">
        <f t="shared" si="70"/>
        <v>14756.138259833135</v>
      </c>
      <c r="X88" s="154">
        <f t="shared" si="28"/>
        <v>-273.99837661176389</v>
      </c>
      <c r="Y88" s="134"/>
      <c r="Z88" s="155">
        <f t="shared" si="71"/>
        <v>123804</v>
      </c>
      <c r="AA88" s="156">
        <f t="shared" si="65"/>
        <v>-385</v>
      </c>
      <c r="AB88" s="155">
        <f t="shared" si="72"/>
        <v>123804</v>
      </c>
      <c r="AC88" s="89">
        <v>1989</v>
      </c>
      <c r="AD88" s="89">
        <v>12</v>
      </c>
      <c r="AE88" s="110">
        <f>RESID!AC88</f>
        <v>30.8</v>
      </c>
      <c r="AF88" s="116">
        <f t="shared" si="73"/>
        <v>14574.135876042908</v>
      </c>
      <c r="AG88" s="89">
        <f t="shared" si="74"/>
        <v>122277</v>
      </c>
      <c r="AI88" s="134"/>
      <c r="AY88" s="89">
        <v>1989</v>
      </c>
      <c r="AZ88" s="89">
        <v>12</v>
      </c>
      <c r="BA88" s="89">
        <f>'[8]Gov 65 &amp; 70'!$S173</f>
        <v>10.4</v>
      </c>
      <c r="BB88" s="89">
        <f t="shared" si="38"/>
        <v>28.2</v>
      </c>
      <c r="BC88" s="111">
        <f t="shared" si="75"/>
        <v>17.799999999999997</v>
      </c>
      <c r="BD88" s="113" t="s">
        <v>18</v>
      </c>
      <c r="BE88" s="89">
        <f>'[8]Gov 65 &amp; 70'!$J173</f>
        <v>347</v>
      </c>
      <c r="BF88" s="89">
        <f t="shared" si="39"/>
        <v>170</v>
      </c>
      <c r="BG88" s="112">
        <f t="shared" si="76"/>
        <v>-177</v>
      </c>
      <c r="BH88" s="113" t="s">
        <v>18</v>
      </c>
      <c r="BI88" s="274">
        <f t="shared" si="77"/>
        <v>4079.4039999999995</v>
      </c>
      <c r="BJ88" s="275">
        <f t="shared" si="78"/>
        <v>-7182.66</v>
      </c>
      <c r="BK88" s="483">
        <f t="shared" si="79"/>
        <v>-3103</v>
      </c>
      <c r="BL88" s="277"/>
      <c r="BM88" s="113" t="s">
        <v>18</v>
      </c>
      <c r="BN88" s="89">
        <v>1989</v>
      </c>
      <c r="BO88" s="89">
        <v>12</v>
      </c>
      <c r="BP88" s="117"/>
      <c r="BT88" s="96"/>
    </row>
    <row r="89" spans="1:72">
      <c r="A89" s="4">
        <v>1990</v>
      </c>
      <c r="B89" s="4">
        <v>1</v>
      </c>
      <c r="C89" s="5">
        <v>116204</v>
      </c>
      <c r="D89" s="5">
        <v>8447</v>
      </c>
      <c r="E89" s="73">
        <f t="shared" si="62"/>
        <v>13757</v>
      </c>
      <c r="F89" s="540">
        <f t="shared" si="66"/>
        <v>8447</v>
      </c>
      <c r="H89" s="13" t="s">
        <v>18</v>
      </c>
      <c r="I89" s="76">
        <f>'[7]Gov 65 &amp; 70'!$S174</f>
        <v>18.5</v>
      </c>
      <c r="J89" s="76">
        <f t="shared" si="29"/>
        <v>28.7</v>
      </c>
      <c r="K89" s="362">
        <f t="shared" si="63"/>
        <v>10.199999999999999</v>
      </c>
      <c r="L89" s="200" t="s">
        <v>18</v>
      </c>
      <c r="M89" s="76">
        <f>'[7]Gov 65 &amp; 70'!$J174</f>
        <v>291.2</v>
      </c>
      <c r="N89" s="76">
        <f t="shared" si="30"/>
        <v>192.9</v>
      </c>
      <c r="O89" s="363">
        <f t="shared" si="64"/>
        <v>-98.299999999999983</v>
      </c>
      <c r="P89" s="13" t="s">
        <v>18</v>
      </c>
      <c r="Q89" s="77">
        <f t="shared" si="67"/>
        <v>2337.636</v>
      </c>
      <c r="R89" s="78">
        <f t="shared" si="68"/>
        <v>-3989.0139999999992</v>
      </c>
      <c r="S89" s="479">
        <f t="shared" si="69"/>
        <v>-1651</v>
      </c>
      <c r="T89" s="13" t="s">
        <v>18</v>
      </c>
      <c r="U89" s="4">
        <v>1990</v>
      </c>
      <c r="V89" s="4">
        <v>1</v>
      </c>
      <c r="W89" s="153">
        <f t="shared" si="70"/>
        <v>13561.382739434119</v>
      </c>
      <c r="X89" s="153">
        <f t="shared" si="28"/>
        <v>233.67832094757614</v>
      </c>
      <c r="Y89" s="80"/>
      <c r="Z89" s="98">
        <f t="shared" si="71"/>
        <v>114553</v>
      </c>
      <c r="AA89" s="119">
        <f t="shared" si="65"/>
        <v>-1651</v>
      </c>
      <c r="AB89" s="98">
        <f t="shared" si="72"/>
        <v>114553</v>
      </c>
      <c r="AC89" s="4">
        <v>1990</v>
      </c>
      <c r="AD89" s="4">
        <v>1</v>
      </c>
      <c r="AE89" s="107">
        <f>RESID!AC89</f>
        <v>30.5</v>
      </c>
      <c r="AF89" s="40">
        <f t="shared" si="73"/>
        <v>13525.867171776963</v>
      </c>
      <c r="AG89" s="4">
        <f t="shared" si="74"/>
        <v>114253</v>
      </c>
      <c r="AI89" s="80"/>
      <c r="AY89" s="4">
        <v>1990</v>
      </c>
      <c r="AZ89" s="4">
        <v>1</v>
      </c>
      <c r="BA89" s="4">
        <f>'[8]Gov 65 &amp; 70'!$S174</f>
        <v>47.7</v>
      </c>
      <c r="BB89" s="4">
        <f t="shared" si="38"/>
        <v>23.9</v>
      </c>
      <c r="BC89" s="82">
        <f t="shared" si="75"/>
        <v>-23.800000000000004</v>
      </c>
      <c r="BD89" s="36" t="s">
        <v>18</v>
      </c>
      <c r="BE89" s="4">
        <f>'[8]Gov 65 &amp; 70'!$J174</f>
        <v>121.8</v>
      </c>
      <c r="BF89" s="4">
        <f t="shared" si="39"/>
        <v>176.9</v>
      </c>
      <c r="BG89" s="83">
        <f t="shared" si="76"/>
        <v>55.100000000000009</v>
      </c>
      <c r="BH89" s="36" t="s">
        <v>18</v>
      </c>
      <c r="BI89" s="273">
        <f t="shared" si="77"/>
        <v>-5454.4840000000013</v>
      </c>
      <c r="BJ89" s="270">
        <f t="shared" si="78"/>
        <v>2235.9580000000001</v>
      </c>
      <c r="BK89" s="482">
        <f t="shared" si="79"/>
        <v>-3219</v>
      </c>
      <c r="BL89" s="276"/>
      <c r="BM89" s="36" t="s">
        <v>18</v>
      </c>
      <c r="BN89" s="4">
        <v>1990</v>
      </c>
      <c r="BO89" s="4">
        <v>1</v>
      </c>
      <c r="BP89" s="108"/>
    </row>
    <row r="90" spans="1:72">
      <c r="A90" s="4">
        <v>1990</v>
      </c>
      <c r="B90" s="4">
        <v>2</v>
      </c>
      <c r="C90" s="5">
        <v>124069</v>
      </c>
      <c r="D90" s="5">
        <v>8509</v>
      </c>
      <c r="E90" s="73">
        <f t="shared" si="62"/>
        <v>14581</v>
      </c>
      <c r="F90" s="540">
        <f t="shared" si="66"/>
        <v>8509</v>
      </c>
      <c r="H90" s="13" t="s">
        <v>18</v>
      </c>
      <c r="I90" s="76">
        <f>'[7]Gov 65 &amp; 70'!$S175</f>
        <v>67.8</v>
      </c>
      <c r="J90" s="76">
        <f t="shared" si="29"/>
        <v>22.6</v>
      </c>
      <c r="K90" s="362">
        <f t="shared" si="63"/>
        <v>-45.199999999999996</v>
      </c>
      <c r="L90" s="200" t="s">
        <v>18</v>
      </c>
      <c r="M90" s="76">
        <f>'[7]Gov 65 &amp; 70'!$J175</f>
        <v>92.9</v>
      </c>
      <c r="N90" s="76">
        <f t="shared" si="30"/>
        <v>177.2</v>
      </c>
      <c r="O90" s="363">
        <f t="shared" si="64"/>
        <v>84.299999999999983</v>
      </c>
      <c r="P90" s="13" t="s">
        <v>18</v>
      </c>
      <c r="Q90" s="77">
        <f t="shared" si="67"/>
        <v>-10358.936</v>
      </c>
      <c r="R90" s="78">
        <f t="shared" si="68"/>
        <v>3420.8939999999993</v>
      </c>
      <c r="S90" s="479">
        <f t="shared" si="69"/>
        <v>-6938</v>
      </c>
      <c r="T90" s="13" t="s">
        <v>18</v>
      </c>
      <c r="U90" s="4">
        <v>1990</v>
      </c>
      <c r="V90" s="4">
        <v>2</v>
      </c>
      <c r="W90" s="153">
        <f t="shared" si="70"/>
        <v>13765.542366905629</v>
      </c>
      <c r="X90" s="153">
        <f t="shared" si="28"/>
        <v>-172.61369734124128</v>
      </c>
      <c r="Y90" s="80"/>
      <c r="Z90" s="98">
        <f t="shared" si="71"/>
        <v>117131</v>
      </c>
      <c r="AA90" s="119">
        <f t="shared" si="65"/>
        <v>-6938</v>
      </c>
      <c r="AB90" s="98">
        <f t="shared" si="72"/>
        <v>117131</v>
      </c>
      <c r="AC90" s="4">
        <v>1990</v>
      </c>
      <c r="AD90" s="4">
        <v>2</v>
      </c>
      <c r="AE90" s="107">
        <f>RESID!AC90</f>
        <v>31.05</v>
      </c>
      <c r="AF90" s="40">
        <f t="shared" si="73"/>
        <v>13486.191091785169</v>
      </c>
      <c r="AG90" s="4">
        <f t="shared" si="74"/>
        <v>114754</v>
      </c>
      <c r="AI90" s="80"/>
      <c r="AY90" s="4">
        <v>1990</v>
      </c>
      <c r="AZ90" s="4">
        <v>2</v>
      </c>
      <c r="BA90" s="4">
        <f>'[8]Gov 65 &amp; 70'!$S175</f>
        <v>71.400000000000006</v>
      </c>
      <c r="BB90" s="4">
        <f t="shared" si="38"/>
        <v>32.799999999999997</v>
      </c>
      <c r="BC90" s="82">
        <f t="shared" si="75"/>
        <v>-38.600000000000009</v>
      </c>
      <c r="BD90" s="36" t="s">
        <v>18</v>
      </c>
      <c r="BE90" s="4">
        <f>'[8]Gov 65 &amp; 70'!$J175</f>
        <v>61.1</v>
      </c>
      <c r="BF90" s="4">
        <f t="shared" si="39"/>
        <v>139.1</v>
      </c>
      <c r="BG90" s="83">
        <f t="shared" si="76"/>
        <v>78</v>
      </c>
      <c r="BH90" s="36" t="s">
        <v>18</v>
      </c>
      <c r="BI90" s="273">
        <f t="shared" si="77"/>
        <v>-8846.3480000000018</v>
      </c>
      <c r="BJ90" s="270">
        <f t="shared" si="78"/>
        <v>3165.24</v>
      </c>
      <c r="BK90" s="482">
        <f t="shared" si="79"/>
        <v>-5681</v>
      </c>
      <c r="BL90" s="276"/>
      <c r="BM90" s="36" t="s">
        <v>18</v>
      </c>
      <c r="BN90" s="4">
        <v>1990</v>
      </c>
      <c r="BO90" s="4">
        <v>2</v>
      </c>
      <c r="BP90" s="108"/>
    </row>
    <row r="91" spans="1:72">
      <c r="A91" s="4">
        <v>1990</v>
      </c>
      <c r="B91" s="4">
        <v>3</v>
      </c>
      <c r="C91" s="5">
        <v>121119</v>
      </c>
      <c r="D91" s="5">
        <v>8567</v>
      </c>
      <c r="E91" s="73">
        <f t="shared" si="62"/>
        <v>14138</v>
      </c>
      <c r="F91" s="540">
        <f t="shared" si="66"/>
        <v>8567</v>
      </c>
      <c r="H91" s="13" t="s">
        <v>18</v>
      </c>
      <c r="I91" s="76">
        <f>'[7]Gov 65 &amp; 70'!$S176</f>
        <v>64.400000000000006</v>
      </c>
      <c r="J91" s="76">
        <f t="shared" si="29"/>
        <v>44.5</v>
      </c>
      <c r="K91" s="362">
        <f t="shared" si="63"/>
        <v>-19.900000000000006</v>
      </c>
      <c r="L91" s="200" t="s">
        <v>18</v>
      </c>
      <c r="M91" s="76">
        <f>'[7]Gov 65 &amp; 70'!$J176</f>
        <v>65.599999999999994</v>
      </c>
      <c r="N91" s="76">
        <f t="shared" si="30"/>
        <v>119.5</v>
      </c>
      <c r="O91" s="363">
        <f t="shared" si="64"/>
        <v>53.900000000000006</v>
      </c>
      <c r="P91" s="13" t="s">
        <v>18</v>
      </c>
      <c r="Q91" s="77">
        <f t="shared" si="67"/>
        <v>-4560.6820000000016</v>
      </c>
      <c r="R91" s="78">
        <f t="shared" si="68"/>
        <v>2187.2620000000002</v>
      </c>
      <c r="S91" s="479">
        <f t="shared" si="69"/>
        <v>-2373</v>
      </c>
      <c r="T91" s="13" t="s">
        <v>18</v>
      </c>
      <c r="U91" s="4">
        <v>1990</v>
      </c>
      <c r="V91" s="4">
        <v>3</v>
      </c>
      <c r="W91" s="153">
        <f t="shared" si="70"/>
        <v>13860.861445079958</v>
      </c>
      <c r="X91" s="153">
        <f t="shared" si="28"/>
        <v>-141.27235685301639</v>
      </c>
      <c r="Y91" s="80"/>
      <c r="Z91" s="98">
        <f t="shared" si="71"/>
        <v>118746</v>
      </c>
      <c r="AA91" s="119">
        <f t="shared" si="65"/>
        <v>-2373</v>
      </c>
      <c r="AB91" s="98">
        <f t="shared" si="72"/>
        <v>118746</v>
      </c>
      <c r="AC91" s="4">
        <v>1990</v>
      </c>
      <c r="AD91" s="4">
        <v>3</v>
      </c>
      <c r="AE91" s="107">
        <f>RESID!AC91</f>
        <v>29.4</v>
      </c>
      <c r="AF91" s="40">
        <f t="shared" si="73"/>
        <v>14341.776584568694</v>
      </c>
      <c r="AG91" s="4">
        <f t="shared" si="74"/>
        <v>122866</v>
      </c>
      <c r="AI91" s="80"/>
      <c r="AY91" s="4">
        <v>1990</v>
      </c>
      <c r="AZ91" s="4">
        <v>3</v>
      </c>
      <c r="BA91" s="4">
        <f>'[8]Gov 65 &amp; 70'!$S176</f>
        <v>82</v>
      </c>
      <c r="BB91" s="4">
        <f t="shared" si="38"/>
        <v>64.099999999999994</v>
      </c>
      <c r="BC91" s="82">
        <f t="shared" si="75"/>
        <v>-17.900000000000006</v>
      </c>
      <c r="BD91" s="36" t="s">
        <v>18</v>
      </c>
      <c r="BE91" s="4">
        <f>'[8]Gov 65 &amp; 70'!$J176</f>
        <v>52.7</v>
      </c>
      <c r="BF91" s="4">
        <f t="shared" si="39"/>
        <v>85.4</v>
      </c>
      <c r="BG91" s="83">
        <f t="shared" si="76"/>
        <v>32.700000000000003</v>
      </c>
      <c r="BH91" s="36" t="s">
        <v>18</v>
      </c>
      <c r="BI91" s="273">
        <f t="shared" si="77"/>
        <v>-4102.322000000001</v>
      </c>
      <c r="BJ91" s="270">
        <f t="shared" si="78"/>
        <v>1326.9660000000001</v>
      </c>
      <c r="BK91" s="482">
        <f t="shared" si="79"/>
        <v>-2775</v>
      </c>
      <c r="BL91" s="276"/>
      <c r="BM91" s="36" t="s">
        <v>18</v>
      </c>
      <c r="BN91" s="4">
        <v>1990</v>
      </c>
      <c r="BO91" s="4">
        <v>3</v>
      </c>
      <c r="BP91" s="108"/>
    </row>
    <row r="92" spans="1:72">
      <c r="A92" s="4">
        <v>1990</v>
      </c>
      <c r="B92" s="4">
        <v>4</v>
      </c>
      <c r="C92" s="5">
        <v>125387</v>
      </c>
      <c r="D92" s="5">
        <v>8608</v>
      </c>
      <c r="E92" s="73">
        <f t="shared" si="62"/>
        <v>14566</v>
      </c>
      <c r="F92" s="540">
        <f t="shared" si="66"/>
        <v>8608</v>
      </c>
      <c r="H92" s="13" t="s">
        <v>18</v>
      </c>
      <c r="I92" s="76">
        <f>'[7]Gov 65 &amp; 70'!$S177</f>
        <v>87.4</v>
      </c>
      <c r="J92" s="76">
        <f t="shared" si="29"/>
        <v>87.7</v>
      </c>
      <c r="K92" s="362">
        <f t="shared" si="63"/>
        <v>0.29999999999999716</v>
      </c>
      <c r="L92" s="200" t="s">
        <v>18</v>
      </c>
      <c r="M92" s="76">
        <f>'[7]Gov 65 &amp; 70'!$J177</f>
        <v>47.9</v>
      </c>
      <c r="N92" s="76">
        <f t="shared" si="30"/>
        <v>60.3</v>
      </c>
      <c r="O92" s="363">
        <f t="shared" si="64"/>
        <v>12.399999999999999</v>
      </c>
      <c r="P92" s="13" t="s">
        <v>18</v>
      </c>
      <c r="Q92" s="77">
        <f t="shared" si="67"/>
        <v>68.753999999999351</v>
      </c>
      <c r="R92" s="78">
        <f t="shared" si="68"/>
        <v>503.19199999999989</v>
      </c>
      <c r="S92" s="479">
        <f t="shared" si="69"/>
        <v>572</v>
      </c>
      <c r="T92" s="13" t="s">
        <v>18</v>
      </c>
      <c r="U92" s="4">
        <v>1990</v>
      </c>
      <c r="V92" s="4">
        <v>4</v>
      </c>
      <c r="W92" s="153">
        <f t="shared" si="70"/>
        <v>14632.78345724907</v>
      </c>
      <c r="X92" s="153">
        <f t="shared" si="28"/>
        <v>-610.77421100211905</v>
      </c>
      <c r="Y92" s="80"/>
      <c r="Z92" s="98">
        <f t="shared" si="71"/>
        <v>125959</v>
      </c>
      <c r="AA92" s="119">
        <f t="shared" si="65"/>
        <v>572</v>
      </c>
      <c r="AB92" s="98">
        <f t="shared" si="72"/>
        <v>125959</v>
      </c>
      <c r="AC92" s="4">
        <v>1990</v>
      </c>
      <c r="AD92" s="4">
        <v>4</v>
      </c>
      <c r="AE92" s="107">
        <f>RESID!AC92</f>
        <v>30</v>
      </c>
      <c r="AF92" s="40">
        <f t="shared" si="73"/>
        <v>14837.592936802974</v>
      </c>
      <c r="AG92" s="4">
        <f t="shared" si="74"/>
        <v>127722</v>
      </c>
      <c r="AI92" s="80"/>
      <c r="AY92" s="4">
        <v>1990</v>
      </c>
      <c r="AZ92" s="4">
        <v>4</v>
      </c>
      <c r="BA92" s="4">
        <f>'[8]Gov 65 &amp; 70'!$S177</f>
        <v>114.6</v>
      </c>
      <c r="BB92" s="4">
        <f t="shared" si="38"/>
        <v>122</v>
      </c>
      <c r="BC92" s="82">
        <f t="shared" si="75"/>
        <v>7.4000000000000057</v>
      </c>
      <c r="BD92" s="36" t="s">
        <v>18</v>
      </c>
      <c r="BE92" s="4">
        <f>'[8]Gov 65 &amp; 70'!$J177</f>
        <v>30.5</v>
      </c>
      <c r="BF92" s="4">
        <f t="shared" si="39"/>
        <v>34.700000000000003</v>
      </c>
      <c r="BG92" s="83">
        <f t="shared" si="76"/>
        <v>4.2000000000000028</v>
      </c>
      <c r="BH92" s="36" t="s">
        <v>18</v>
      </c>
      <c r="BI92" s="273">
        <f t="shared" si="77"/>
        <v>1695.9320000000014</v>
      </c>
      <c r="BJ92" s="270">
        <f t="shared" si="78"/>
        <v>170.43600000000012</v>
      </c>
      <c r="BK92" s="482">
        <f t="shared" si="79"/>
        <v>1866</v>
      </c>
      <c r="BL92" s="276"/>
      <c r="BM92" s="36" t="s">
        <v>18</v>
      </c>
      <c r="BN92" s="4">
        <v>1990</v>
      </c>
      <c r="BO92" s="4">
        <v>4</v>
      </c>
      <c r="BP92" s="108"/>
    </row>
    <row r="93" spans="1:72">
      <c r="A93" s="4">
        <v>1990</v>
      </c>
      <c r="B93" s="4">
        <v>5</v>
      </c>
      <c r="C93" s="5">
        <v>136843</v>
      </c>
      <c r="D93" s="5">
        <v>8667</v>
      </c>
      <c r="E93" s="73">
        <f t="shared" si="62"/>
        <v>15789</v>
      </c>
      <c r="F93" s="540">
        <f t="shared" si="66"/>
        <v>8667</v>
      </c>
      <c r="H93" s="13" t="s">
        <v>18</v>
      </c>
      <c r="I93" s="76">
        <f>'[7]Gov 65 &amp; 70'!$S178</f>
        <v>182.8</v>
      </c>
      <c r="J93" s="76">
        <f t="shared" si="29"/>
        <v>157.69999999999999</v>
      </c>
      <c r="K93" s="362">
        <f t="shared" si="63"/>
        <v>-25.100000000000023</v>
      </c>
      <c r="L93" s="200" t="s">
        <v>18</v>
      </c>
      <c r="M93" s="76">
        <f>'[7]Gov 65 &amp; 70'!$J178</f>
        <v>15.4</v>
      </c>
      <c r="N93" s="76">
        <f t="shared" si="30"/>
        <v>18.600000000000001</v>
      </c>
      <c r="O93" s="363">
        <f t="shared" si="64"/>
        <v>3.2000000000000011</v>
      </c>
      <c r="P93" s="13" t="s">
        <v>18</v>
      </c>
      <c r="Q93" s="77">
        <f t="shared" si="67"/>
        <v>-5752.4180000000051</v>
      </c>
      <c r="R93" s="78">
        <f t="shared" si="68"/>
        <v>129.85600000000005</v>
      </c>
      <c r="S93" s="479">
        <f t="shared" si="69"/>
        <v>-5623</v>
      </c>
      <c r="T93" s="13" t="s">
        <v>18</v>
      </c>
      <c r="U93" s="4">
        <v>1990</v>
      </c>
      <c r="V93" s="4">
        <v>5</v>
      </c>
      <c r="W93" s="153">
        <f t="shared" si="70"/>
        <v>15140.186915887851</v>
      </c>
      <c r="X93" s="153">
        <f t="shared" ref="X93:X156" si="80">W93-W81</f>
        <v>-79.962337843491696</v>
      </c>
      <c r="Y93" s="80"/>
      <c r="Z93" s="98">
        <f t="shared" si="71"/>
        <v>131220</v>
      </c>
      <c r="AA93" s="119">
        <f t="shared" si="65"/>
        <v>-5623</v>
      </c>
      <c r="AB93" s="98">
        <f t="shared" si="72"/>
        <v>131220</v>
      </c>
      <c r="AC93" s="4">
        <v>1990</v>
      </c>
      <c r="AD93" s="4">
        <v>5</v>
      </c>
      <c r="AE93" s="107">
        <f>RESID!AC93</f>
        <v>30.2</v>
      </c>
      <c r="AF93" s="40">
        <f t="shared" si="73"/>
        <v>15250.490365755164</v>
      </c>
      <c r="AG93" s="4">
        <f t="shared" si="74"/>
        <v>132176</v>
      </c>
      <c r="AI93" s="80"/>
      <c r="AY93" s="4">
        <v>1990</v>
      </c>
      <c r="AZ93" s="4">
        <v>5</v>
      </c>
      <c r="BA93" s="4">
        <f>'[8]Gov 65 &amp; 70'!$S178</f>
        <v>290.5</v>
      </c>
      <c r="BB93" s="4">
        <f t="shared" si="38"/>
        <v>253</v>
      </c>
      <c r="BC93" s="82">
        <f t="shared" si="75"/>
        <v>-37.5</v>
      </c>
      <c r="BD93" s="36" t="s">
        <v>18</v>
      </c>
      <c r="BE93" s="4">
        <f>'[8]Gov 65 &amp; 70'!$J178</f>
        <v>2.2999999999999998</v>
      </c>
      <c r="BF93" s="4">
        <f t="shared" si="39"/>
        <v>4.3</v>
      </c>
      <c r="BG93" s="83">
        <f t="shared" si="76"/>
        <v>2</v>
      </c>
      <c r="BH93" s="36" t="s">
        <v>18</v>
      </c>
      <c r="BI93" s="273">
        <f t="shared" si="77"/>
        <v>-8594.25</v>
      </c>
      <c r="BJ93" s="270">
        <f t="shared" si="78"/>
        <v>81.16</v>
      </c>
      <c r="BK93" s="482">
        <f t="shared" si="79"/>
        <v>-8513</v>
      </c>
      <c r="BL93" s="276"/>
      <c r="BM93" s="36" t="s">
        <v>18</v>
      </c>
      <c r="BN93" s="4">
        <v>1990</v>
      </c>
      <c r="BO93" s="4">
        <v>5</v>
      </c>
      <c r="BP93" s="108"/>
    </row>
    <row r="94" spans="1:72">
      <c r="A94" s="4">
        <v>1990</v>
      </c>
      <c r="B94" s="4">
        <v>6</v>
      </c>
      <c r="C94" s="5">
        <v>150870</v>
      </c>
      <c r="D94" s="5">
        <v>8686</v>
      </c>
      <c r="E94" s="73">
        <f t="shared" si="62"/>
        <v>17369</v>
      </c>
      <c r="F94" s="540">
        <f t="shared" si="66"/>
        <v>8686</v>
      </c>
      <c r="H94" s="13" t="s">
        <v>18</v>
      </c>
      <c r="I94" s="76">
        <f>'[7]Gov 65 &amp; 70'!$S179</f>
        <v>321.10000000000002</v>
      </c>
      <c r="J94" s="76">
        <f t="shared" ref="J94:J157" si="81">J82</f>
        <v>295.39999999999998</v>
      </c>
      <c r="K94" s="362">
        <f t="shared" si="63"/>
        <v>-25.700000000000045</v>
      </c>
      <c r="L94" s="200" t="s">
        <v>18</v>
      </c>
      <c r="M94" s="76">
        <f>'[7]Gov 65 &amp; 70'!$J179</f>
        <v>1.2</v>
      </c>
      <c r="N94" s="76">
        <f t="shared" ref="N94:N157" si="82">N82</f>
        <v>2.2000000000000002</v>
      </c>
      <c r="O94" s="363">
        <f t="shared" si="64"/>
        <v>1.0000000000000002</v>
      </c>
      <c r="P94" s="13" t="s">
        <v>18</v>
      </c>
      <c r="Q94" s="77">
        <f t="shared" si="67"/>
        <v>-5889.9260000000104</v>
      </c>
      <c r="R94" s="78">
        <f t="shared" si="68"/>
        <v>40.580000000000005</v>
      </c>
      <c r="S94" s="479">
        <f t="shared" si="69"/>
        <v>-5849</v>
      </c>
      <c r="T94" s="13" t="s">
        <v>18</v>
      </c>
      <c r="U94" s="4">
        <v>1990</v>
      </c>
      <c r="V94" s="4">
        <v>6</v>
      </c>
      <c r="W94" s="153">
        <f t="shared" si="70"/>
        <v>16695.947501726918</v>
      </c>
      <c r="X94" s="153">
        <f t="shared" si="80"/>
        <v>206.50913194560781</v>
      </c>
      <c r="Y94" s="80"/>
      <c r="Z94" s="98">
        <f t="shared" si="71"/>
        <v>145021</v>
      </c>
      <c r="AA94" s="119">
        <f t="shared" si="65"/>
        <v>-5849</v>
      </c>
      <c r="AB94" s="98">
        <f t="shared" si="72"/>
        <v>145021</v>
      </c>
      <c r="AC94" s="4">
        <v>1990</v>
      </c>
      <c r="AD94" s="4">
        <v>6</v>
      </c>
      <c r="AE94" s="107">
        <f>RESID!AC94</f>
        <v>30.8</v>
      </c>
      <c r="AF94" s="40">
        <f t="shared" si="73"/>
        <v>16489.98388210914</v>
      </c>
      <c r="AG94" s="4">
        <f t="shared" si="74"/>
        <v>143232</v>
      </c>
      <c r="AI94" s="80"/>
      <c r="AY94" s="4">
        <v>1990</v>
      </c>
      <c r="AZ94" s="4">
        <v>6</v>
      </c>
      <c r="BA94" s="4">
        <f>'[8]Gov 65 &amp; 70'!$S179</f>
        <v>353.4</v>
      </c>
      <c r="BB94" s="4">
        <f t="shared" ref="BB94:BB157" si="83">BB82</f>
        <v>336.1</v>
      </c>
      <c r="BC94" s="82">
        <f t="shared" si="75"/>
        <v>-17.299999999999955</v>
      </c>
      <c r="BD94" s="36" t="s">
        <v>18</v>
      </c>
      <c r="BE94" s="4">
        <f>'[8]Gov 65 &amp; 70'!$J179</f>
        <v>0.2</v>
      </c>
      <c r="BF94" s="4">
        <f t="shared" ref="BF94:BF157" si="84">BF82</f>
        <v>0</v>
      </c>
      <c r="BG94" s="83">
        <f t="shared" si="76"/>
        <v>-0.2</v>
      </c>
      <c r="BH94" s="36" t="s">
        <v>18</v>
      </c>
      <c r="BI94" s="273">
        <f t="shared" si="77"/>
        <v>-3964.8139999999898</v>
      </c>
      <c r="BJ94" s="270">
        <f t="shared" si="78"/>
        <v>-8.1159999999999997</v>
      </c>
      <c r="BK94" s="482">
        <f t="shared" si="79"/>
        <v>-3973</v>
      </c>
      <c r="BL94" s="276"/>
      <c r="BM94" s="36" t="s">
        <v>18</v>
      </c>
      <c r="BN94" s="4">
        <v>1990</v>
      </c>
      <c r="BO94" s="4">
        <v>6</v>
      </c>
      <c r="BP94" s="108"/>
    </row>
    <row r="95" spans="1:72">
      <c r="A95" s="4">
        <v>1990</v>
      </c>
      <c r="B95" s="4">
        <v>7</v>
      </c>
      <c r="C95" s="5">
        <v>140729</v>
      </c>
      <c r="D95" s="5">
        <v>8662</v>
      </c>
      <c r="E95" s="73">
        <f t="shared" si="62"/>
        <v>16247</v>
      </c>
      <c r="F95" s="540">
        <f t="shared" si="66"/>
        <v>8662</v>
      </c>
      <c r="H95" s="13" t="s">
        <v>18</v>
      </c>
      <c r="I95" s="76">
        <f>'[7]Gov 65 &amp; 70'!$S180</f>
        <v>361.5</v>
      </c>
      <c r="J95" s="76">
        <f t="shared" si="81"/>
        <v>363.4</v>
      </c>
      <c r="K95" s="362">
        <f t="shared" si="63"/>
        <v>1.8999999999999773</v>
      </c>
      <c r="L95" s="200" t="s">
        <v>18</v>
      </c>
      <c r="M95" s="76">
        <f>'[7]Gov 65 &amp; 70'!$J180</f>
        <v>0.1</v>
      </c>
      <c r="N95" s="76">
        <f t="shared" si="82"/>
        <v>0</v>
      </c>
      <c r="O95" s="363">
        <f t="shared" si="64"/>
        <v>-0.1</v>
      </c>
      <c r="P95" s="13" t="s">
        <v>18</v>
      </c>
      <c r="Q95" s="77">
        <f t="shared" si="67"/>
        <v>435.44199999999478</v>
      </c>
      <c r="R95" s="78">
        <f t="shared" si="68"/>
        <v>-4.0579999999999998</v>
      </c>
      <c r="S95" s="479">
        <f t="shared" si="69"/>
        <v>431</v>
      </c>
      <c r="T95" s="13" t="s">
        <v>18</v>
      </c>
      <c r="U95" s="4">
        <v>1990</v>
      </c>
      <c r="V95" s="4">
        <v>7</v>
      </c>
      <c r="W95" s="153">
        <f t="shared" si="70"/>
        <v>16296.467328561534</v>
      </c>
      <c r="X95" s="153">
        <f t="shared" si="80"/>
        <v>23.796290580585264</v>
      </c>
      <c r="Y95" s="80"/>
      <c r="Z95" s="98">
        <f t="shared" si="71"/>
        <v>141160</v>
      </c>
      <c r="AA95" s="119">
        <f t="shared" si="65"/>
        <v>431</v>
      </c>
      <c r="AB95" s="98">
        <f t="shared" si="72"/>
        <v>141160</v>
      </c>
      <c r="AC95" s="4">
        <v>1990</v>
      </c>
      <c r="AD95" s="4">
        <v>7</v>
      </c>
      <c r="AE95" s="107">
        <f>RESID!AC95</f>
        <v>30.45</v>
      </c>
      <c r="AF95" s="40">
        <f t="shared" si="73"/>
        <v>16280.420226275688</v>
      </c>
      <c r="AG95" s="4">
        <f t="shared" si="74"/>
        <v>141021</v>
      </c>
      <c r="AI95" s="80"/>
      <c r="AY95" s="4">
        <v>1990</v>
      </c>
      <c r="AZ95" s="4">
        <v>7</v>
      </c>
      <c r="BA95" s="4">
        <f>'[8]Gov 65 &amp; 70'!$S180</f>
        <v>384.9</v>
      </c>
      <c r="BB95" s="4">
        <f t="shared" si="83"/>
        <v>391.2</v>
      </c>
      <c r="BC95" s="82">
        <f t="shared" si="75"/>
        <v>6.3000000000000114</v>
      </c>
      <c r="BD95" s="36" t="s">
        <v>18</v>
      </c>
      <c r="BE95" s="4">
        <f>'[8]Gov 65 &amp; 70'!$J180</f>
        <v>0</v>
      </c>
      <c r="BF95" s="4">
        <f t="shared" si="84"/>
        <v>0</v>
      </c>
      <c r="BG95" s="83">
        <f t="shared" si="76"/>
        <v>0</v>
      </c>
      <c r="BH95" s="36" t="s">
        <v>18</v>
      </c>
      <c r="BI95" s="273">
        <f t="shared" si="77"/>
        <v>1443.8340000000026</v>
      </c>
      <c r="BJ95" s="270">
        <f t="shared" si="78"/>
        <v>0</v>
      </c>
      <c r="BK95" s="482">
        <f t="shared" si="79"/>
        <v>1444</v>
      </c>
      <c r="BL95" s="276"/>
      <c r="BM95" s="36" t="s">
        <v>18</v>
      </c>
      <c r="BN95" s="4">
        <v>1990</v>
      </c>
      <c r="BO95" s="4">
        <v>7</v>
      </c>
      <c r="BP95" s="108"/>
    </row>
    <row r="96" spans="1:72">
      <c r="A96" s="4">
        <v>1990</v>
      </c>
      <c r="B96" s="4">
        <v>8</v>
      </c>
      <c r="C96" s="5">
        <v>144013</v>
      </c>
      <c r="D96" s="5">
        <v>8755</v>
      </c>
      <c r="E96" s="73">
        <f t="shared" si="62"/>
        <v>16449</v>
      </c>
      <c r="F96" s="540">
        <f t="shared" si="66"/>
        <v>8755</v>
      </c>
      <c r="H96" s="13" t="s">
        <v>18</v>
      </c>
      <c r="I96" s="76">
        <f>'[7]Gov 65 &amp; 70'!$S181</f>
        <v>400.1</v>
      </c>
      <c r="J96" s="76">
        <f t="shared" si="81"/>
        <v>390.1</v>
      </c>
      <c r="K96" s="362">
        <f t="shared" si="63"/>
        <v>-10</v>
      </c>
      <c r="L96" s="200" t="s">
        <v>18</v>
      </c>
      <c r="M96" s="76">
        <f>'[7]Gov 65 &amp; 70'!$J181</f>
        <v>0</v>
      </c>
      <c r="N96" s="76">
        <f t="shared" si="82"/>
        <v>0</v>
      </c>
      <c r="O96" s="363">
        <f t="shared" si="64"/>
        <v>0</v>
      </c>
      <c r="P96" s="13" t="s">
        <v>18</v>
      </c>
      <c r="Q96" s="77">
        <f t="shared" si="67"/>
        <v>-2291.8000000000002</v>
      </c>
      <c r="R96" s="78">
        <f t="shared" si="68"/>
        <v>0</v>
      </c>
      <c r="S96" s="479">
        <f t="shared" si="69"/>
        <v>-2292</v>
      </c>
      <c r="T96" s="13" t="s">
        <v>18</v>
      </c>
      <c r="U96" s="4">
        <v>1990</v>
      </c>
      <c r="V96" s="4">
        <v>8</v>
      </c>
      <c r="W96" s="153">
        <f t="shared" si="70"/>
        <v>16187.43575099943</v>
      </c>
      <c r="X96" s="153">
        <f t="shared" si="80"/>
        <v>160.4186811234631</v>
      </c>
      <c r="Y96" s="80"/>
      <c r="Z96" s="98">
        <f t="shared" si="71"/>
        <v>141721</v>
      </c>
      <c r="AA96" s="119">
        <f t="shared" si="65"/>
        <v>-2292</v>
      </c>
      <c r="AB96" s="98">
        <f t="shared" si="72"/>
        <v>141721</v>
      </c>
      <c r="AC96" s="4">
        <v>1990</v>
      </c>
      <c r="AD96" s="4">
        <v>8</v>
      </c>
      <c r="AE96" s="107">
        <f>RESID!AC96</f>
        <v>31.15</v>
      </c>
      <c r="AF96" s="40">
        <f t="shared" si="73"/>
        <v>15808.109651627641</v>
      </c>
      <c r="AG96" s="4">
        <f t="shared" si="74"/>
        <v>138400</v>
      </c>
      <c r="AI96" s="80"/>
      <c r="AY96" s="4">
        <v>1990</v>
      </c>
      <c r="AZ96" s="4">
        <v>8</v>
      </c>
      <c r="BA96" s="4">
        <f>'[8]Gov 65 &amp; 70'!$S181</f>
        <v>397.8</v>
      </c>
      <c r="BB96" s="4">
        <f t="shared" si="83"/>
        <v>394.4</v>
      </c>
      <c r="BC96" s="82">
        <f t="shared" si="75"/>
        <v>-3.4000000000000341</v>
      </c>
      <c r="BD96" s="36" t="s">
        <v>18</v>
      </c>
      <c r="BE96" s="4">
        <f>'[8]Gov 65 &amp; 70'!$J181</f>
        <v>0</v>
      </c>
      <c r="BF96" s="4">
        <f t="shared" si="84"/>
        <v>0</v>
      </c>
      <c r="BG96" s="83">
        <f t="shared" si="76"/>
        <v>0</v>
      </c>
      <c r="BH96" s="36" t="s">
        <v>18</v>
      </c>
      <c r="BI96" s="273">
        <f t="shared" si="77"/>
        <v>-779.21200000000783</v>
      </c>
      <c r="BJ96" s="270">
        <f t="shared" si="78"/>
        <v>0</v>
      </c>
      <c r="BK96" s="482">
        <f t="shared" si="79"/>
        <v>-779</v>
      </c>
      <c r="BL96" s="276"/>
      <c r="BM96" s="36" t="s">
        <v>18</v>
      </c>
      <c r="BN96" s="4">
        <v>1990</v>
      </c>
      <c r="BO96" s="4">
        <v>8</v>
      </c>
      <c r="BP96" s="108"/>
    </row>
    <row r="97" spans="1:72">
      <c r="A97" s="4">
        <v>1990</v>
      </c>
      <c r="B97" s="4">
        <v>9</v>
      </c>
      <c r="C97" s="5">
        <v>162393</v>
      </c>
      <c r="D97" s="5">
        <v>8838</v>
      </c>
      <c r="E97" s="73">
        <f t="shared" si="62"/>
        <v>18374</v>
      </c>
      <c r="F97" s="540">
        <f t="shared" si="66"/>
        <v>8838</v>
      </c>
      <c r="H97" s="13" t="s">
        <v>18</v>
      </c>
      <c r="I97" s="76">
        <f>'[7]Gov 65 &amp; 70'!$S182</f>
        <v>384.8</v>
      </c>
      <c r="J97" s="76">
        <f t="shared" si="81"/>
        <v>381.2</v>
      </c>
      <c r="K97" s="362">
        <f t="shared" si="63"/>
        <v>-3.6000000000000227</v>
      </c>
      <c r="L97" s="200" t="s">
        <v>18</v>
      </c>
      <c r="M97" s="76">
        <f>'[7]Gov 65 &amp; 70'!$J182</f>
        <v>0.1</v>
      </c>
      <c r="N97" s="76">
        <f t="shared" si="82"/>
        <v>0</v>
      </c>
      <c r="O97" s="363">
        <f t="shared" si="64"/>
        <v>-0.1</v>
      </c>
      <c r="P97" s="13" t="s">
        <v>18</v>
      </c>
      <c r="Q97" s="77">
        <f t="shared" si="67"/>
        <v>-825.04800000000523</v>
      </c>
      <c r="R97" s="78">
        <f t="shared" si="68"/>
        <v>-4.0579999999999998</v>
      </c>
      <c r="S97" s="479">
        <f t="shared" si="69"/>
        <v>-829</v>
      </c>
      <c r="T97" s="13" t="s">
        <v>18</v>
      </c>
      <c r="U97" s="4">
        <v>1990</v>
      </c>
      <c r="V97" s="4">
        <v>9</v>
      </c>
      <c r="W97" s="153">
        <f t="shared" si="70"/>
        <v>18280.606472052499</v>
      </c>
      <c r="X97" s="153">
        <f t="shared" si="80"/>
        <v>175.70629056429607</v>
      </c>
      <c r="Y97" s="80"/>
      <c r="Z97" s="98">
        <f t="shared" si="71"/>
        <v>161564</v>
      </c>
      <c r="AA97" s="119">
        <f t="shared" si="65"/>
        <v>-829</v>
      </c>
      <c r="AB97" s="98">
        <f t="shared" si="72"/>
        <v>161564</v>
      </c>
      <c r="AC97" s="4">
        <v>1990</v>
      </c>
      <c r="AD97" s="4">
        <v>9</v>
      </c>
      <c r="AE97" s="107">
        <f>RESID!AC97</f>
        <v>30.5</v>
      </c>
      <c r="AF97" s="40">
        <f t="shared" si="73"/>
        <v>18232.6318171532</v>
      </c>
      <c r="AG97" s="4">
        <f t="shared" si="74"/>
        <v>161140</v>
      </c>
      <c r="AI97" s="80"/>
      <c r="AY97" s="4">
        <v>1990</v>
      </c>
      <c r="AZ97" s="4">
        <v>9</v>
      </c>
      <c r="BA97" s="4">
        <f>'[8]Gov 65 &amp; 70'!$S182</f>
        <v>346.9</v>
      </c>
      <c r="BB97" s="4">
        <f t="shared" si="83"/>
        <v>339.3</v>
      </c>
      <c r="BC97" s="82">
        <f t="shared" si="75"/>
        <v>-7.5999999999999659</v>
      </c>
      <c r="BD97" s="36" t="s">
        <v>18</v>
      </c>
      <c r="BE97" s="4">
        <f>'[8]Gov 65 &amp; 70'!$J182</f>
        <v>1</v>
      </c>
      <c r="BF97" s="4">
        <f t="shared" si="84"/>
        <v>0</v>
      </c>
      <c r="BG97" s="83">
        <f t="shared" si="76"/>
        <v>-1</v>
      </c>
      <c r="BH97" s="36" t="s">
        <v>18</v>
      </c>
      <c r="BI97" s="273">
        <f t="shared" si="77"/>
        <v>-1741.7679999999923</v>
      </c>
      <c r="BJ97" s="270">
        <f t="shared" si="78"/>
        <v>-40.58</v>
      </c>
      <c r="BK97" s="482">
        <f t="shared" si="79"/>
        <v>-1782</v>
      </c>
      <c r="BL97" s="276"/>
      <c r="BM97" s="36" t="s">
        <v>18</v>
      </c>
      <c r="BN97" s="4">
        <v>1990</v>
      </c>
      <c r="BO97" s="4">
        <v>9</v>
      </c>
      <c r="BP97" s="108"/>
    </row>
    <row r="98" spans="1:72">
      <c r="A98" s="4">
        <v>1990</v>
      </c>
      <c r="B98" s="4">
        <v>10</v>
      </c>
      <c r="C98" s="5">
        <v>157653</v>
      </c>
      <c r="D98" s="5">
        <v>8891</v>
      </c>
      <c r="E98" s="73">
        <f t="shared" si="62"/>
        <v>17732</v>
      </c>
      <c r="F98" s="540">
        <f t="shared" si="66"/>
        <v>8891</v>
      </c>
      <c r="H98" s="13" t="s">
        <v>18</v>
      </c>
      <c r="I98" s="76">
        <f>'[7]Gov 65 &amp; 70'!$S183</f>
        <v>316.3</v>
      </c>
      <c r="J98" s="76">
        <f t="shared" si="81"/>
        <v>287.8</v>
      </c>
      <c r="K98" s="362">
        <f t="shared" si="63"/>
        <v>-28.5</v>
      </c>
      <c r="L98" s="200" t="s">
        <v>18</v>
      </c>
      <c r="M98" s="76">
        <f>'[7]Gov 65 &amp; 70'!$J183</f>
        <v>1.2</v>
      </c>
      <c r="N98" s="76">
        <f t="shared" si="82"/>
        <v>2.5</v>
      </c>
      <c r="O98" s="363">
        <f t="shared" si="64"/>
        <v>1.3</v>
      </c>
      <c r="P98" s="13" t="s">
        <v>18</v>
      </c>
      <c r="Q98" s="77">
        <f t="shared" si="67"/>
        <v>-6531.63</v>
      </c>
      <c r="R98" s="78">
        <f t="shared" si="68"/>
        <v>52.753999999999998</v>
      </c>
      <c r="S98" s="479">
        <f t="shared" si="69"/>
        <v>-6479</v>
      </c>
      <c r="T98" s="13" t="s">
        <v>18</v>
      </c>
      <c r="U98" s="4">
        <v>1990</v>
      </c>
      <c r="V98" s="4">
        <v>10</v>
      </c>
      <c r="W98" s="153">
        <f t="shared" si="70"/>
        <v>17003.036778765043</v>
      </c>
      <c r="X98" s="153">
        <f t="shared" si="80"/>
        <v>-139.2160614573404</v>
      </c>
      <c r="Y98" s="80"/>
      <c r="Z98" s="98">
        <f t="shared" si="71"/>
        <v>151174</v>
      </c>
      <c r="AA98" s="119">
        <f t="shared" si="65"/>
        <v>-6479</v>
      </c>
      <c r="AB98" s="98">
        <f t="shared" si="72"/>
        <v>151174</v>
      </c>
      <c r="AC98" s="4">
        <v>1990</v>
      </c>
      <c r="AD98" s="4">
        <v>10</v>
      </c>
      <c r="AE98" s="107">
        <f>RESID!AC98</f>
        <v>29.7</v>
      </c>
      <c r="AF98" s="40">
        <f t="shared" si="73"/>
        <v>17415.251377797773</v>
      </c>
      <c r="AG98" s="4">
        <f t="shared" si="74"/>
        <v>154839</v>
      </c>
      <c r="AI98" s="80"/>
      <c r="AY98" s="4">
        <v>1990</v>
      </c>
      <c r="AZ98" s="4">
        <v>10</v>
      </c>
      <c r="BA98" s="4">
        <f>'[8]Gov 65 &amp; 70'!$S183</f>
        <v>238.1</v>
      </c>
      <c r="BB98" s="4">
        <f t="shared" si="83"/>
        <v>200.4</v>
      </c>
      <c r="BC98" s="82">
        <f t="shared" si="75"/>
        <v>-37.699999999999989</v>
      </c>
      <c r="BD98" s="36" t="s">
        <v>18</v>
      </c>
      <c r="BE98" s="4">
        <f>'[8]Gov 65 &amp; 70'!$J183</f>
        <v>20.8</v>
      </c>
      <c r="BF98" s="4">
        <f t="shared" si="84"/>
        <v>15</v>
      </c>
      <c r="BG98" s="83">
        <f t="shared" si="76"/>
        <v>-5.8000000000000007</v>
      </c>
      <c r="BH98" s="36" t="s">
        <v>18</v>
      </c>
      <c r="BI98" s="273">
        <f t="shared" si="77"/>
        <v>-8640.0859999999975</v>
      </c>
      <c r="BJ98" s="270">
        <f t="shared" si="78"/>
        <v>-235.36400000000003</v>
      </c>
      <c r="BK98" s="482">
        <f t="shared" si="79"/>
        <v>-8875</v>
      </c>
      <c r="BL98" s="276"/>
      <c r="BM98" s="36" t="s">
        <v>18</v>
      </c>
      <c r="BN98" s="4">
        <v>1990</v>
      </c>
      <c r="BO98" s="4">
        <v>10</v>
      </c>
      <c r="BP98" s="108"/>
    </row>
    <row r="99" spans="1:72">
      <c r="A99" s="4">
        <v>1990</v>
      </c>
      <c r="B99" s="4">
        <v>11</v>
      </c>
      <c r="C99" s="5">
        <v>145018</v>
      </c>
      <c r="D99" s="5">
        <v>8928</v>
      </c>
      <c r="E99" s="73">
        <f t="shared" si="62"/>
        <v>16243</v>
      </c>
      <c r="F99" s="540">
        <f t="shared" si="66"/>
        <v>8928</v>
      </c>
      <c r="H99" s="13" t="s">
        <v>18</v>
      </c>
      <c r="I99" s="76">
        <f>'[7]Gov 65 &amp; 70'!$S184</f>
        <v>156.1</v>
      </c>
      <c r="J99" s="76">
        <f t="shared" si="81"/>
        <v>140.19999999999999</v>
      </c>
      <c r="K99" s="362">
        <f t="shared" si="63"/>
        <v>-15.900000000000006</v>
      </c>
      <c r="L99" s="200" t="s">
        <v>18</v>
      </c>
      <c r="M99" s="76">
        <f>'[7]Gov 65 &amp; 70'!$J184</f>
        <v>35.4</v>
      </c>
      <c r="N99" s="76">
        <f t="shared" si="82"/>
        <v>38.6</v>
      </c>
      <c r="O99" s="363">
        <f t="shared" si="64"/>
        <v>3.2000000000000028</v>
      </c>
      <c r="P99" s="13" t="s">
        <v>18</v>
      </c>
      <c r="Q99" s="77">
        <f t="shared" si="67"/>
        <v>-3643.9620000000014</v>
      </c>
      <c r="R99" s="78">
        <f t="shared" si="68"/>
        <v>129.85600000000011</v>
      </c>
      <c r="S99" s="479">
        <f t="shared" si="69"/>
        <v>-3514</v>
      </c>
      <c r="T99" s="13" t="s">
        <v>18</v>
      </c>
      <c r="U99" s="4">
        <v>1990</v>
      </c>
      <c r="V99" s="4">
        <v>11</v>
      </c>
      <c r="W99" s="153">
        <f t="shared" si="70"/>
        <v>15849.462365591398</v>
      </c>
      <c r="X99" s="153">
        <f t="shared" si="80"/>
        <v>-61.597930473109955</v>
      </c>
      <c r="Y99" s="80"/>
      <c r="Z99" s="98">
        <f t="shared" si="71"/>
        <v>141504</v>
      </c>
      <c r="AA99" s="119">
        <f t="shared" si="65"/>
        <v>-3514</v>
      </c>
      <c r="AB99" s="98">
        <f t="shared" si="72"/>
        <v>141504</v>
      </c>
      <c r="AC99" s="4">
        <v>1990</v>
      </c>
      <c r="AD99" s="4">
        <v>11</v>
      </c>
      <c r="AE99" s="107">
        <f>RESID!AC99</f>
        <v>30.15</v>
      </c>
      <c r="AF99" s="40">
        <f t="shared" si="73"/>
        <v>15991.375448028673</v>
      </c>
      <c r="AG99" s="4">
        <f t="shared" si="74"/>
        <v>142771</v>
      </c>
      <c r="AI99" s="80"/>
      <c r="AY99" s="4">
        <v>1990</v>
      </c>
      <c r="AZ99" s="4">
        <v>11</v>
      </c>
      <c r="BA99" s="4">
        <f>'[8]Gov 65 &amp; 70'!$S184</f>
        <v>71.2</v>
      </c>
      <c r="BB99" s="4">
        <f t="shared" si="83"/>
        <v>66.3</v>
      </c>
      <c r="BC99" s="82">
        <f t="shared" si="75"/>
        <v>-4.9000000000000057</v>
      </c>
      <c r="BD99" s="36" t="s">
        <v>18</v>
      </c>
      <c r="BE99" s="4">
        <f>'[8]Gov 65 &amp; 70'!$J184</f>
        <v>56</v>
      </c>
      <c r="BF99" s="4">
        <f t="shared" si="84"/>
        <v>69.900000000000006</v>
      </c>
      <c r="BG99" s="83">
        <f t="shared" si="76"/>
        <v>13.900000000000006</v>
      </c>
      <c r="BH99" s="36" t="s">
        <v>18</v>
      </c>
      <c r="BI99" s="273">
        <f t="shared" si="77"/>
        <v>-1122.9820000000013</v>
      </c>
      <c r="BJ99" s="270">
        <f t="shared" si="78"/>
        <v>564.06200000000024</v>
      </c>
      <c r="BK99" s="482">
        <f t="shared" si="79"/>
        <v>-559</v>
      </c>
      <c r="BL99" s="276"/>
      <c r="BM99" s="36" t="s">
        <v>18</v>
      </c>
      <c r="BN99" s="4">
        <v>1990</v>
      </c>
      <c r="BO99" s="4">
        <v>11</v>
      </c>
      <c r="BP99" s="108"/>
    </row>
    <row r="100" spans="1:72" s="89" customFormat="1">
      <c r="A100" s="89">
        <v>1990</v>
      </c>
      <c r="B100" s="89">
        <v>12</v>
      </c>
      <c r="C100" s="103">
        <v>133278</v>
      </c>
      <c r="D100" s="103">
        <v>8972</v>
      </c>
      <c r="E100" s="104">
        <f t="shared" si="62"/>
        <v>14855</v>
      </c>
      <c r="F100" s="586">
        <f t="shared" si="66"/>
        <v>8972</v>
      </c>
      <c r="H100" s="90" t="s">
        <v>18</v>
      </c>
      <c r="I100" s="92">
        <f>'[7]Gov 65 &amp; 70'!$S185</f>
        <v>57.3</v>
      </c>
      <c r="J100" s="92">
        <f t="shared" si="81"/>
        <v>50.8</v>
      </c>
      <c r="K100" s="364">
        <f t="shared" si="63"/>
        <v>-6.5</v>
      </c>
      <c r="L100" s="210" t="s">
        <v>18</v>
      </c>
      <c r="M100" s="92">
        <f>'[7]Gov 65 &amp; 70'!$J185</f>
        <v>96.7</v>
      </c>
      <c r="N100" s="92">
        <f t="shared" si="82"/>
        <v>121.8</v>
      </c>
      <c r="O100" s="365">
        <f t="shared" si="64"/>
        <v>25.099999999999994</v>
      </c>
      <c r="P100" s="90" t="s">
        <v>18</v>
      </c>
      <c r="Q100" s="114">
        <f t="shared" si="67"/>
        <v>-1489.67</v>
      </c>
      <c r="R100" s="95">
        <f t="shared" si="68"/>
        <v>1018.5579999999998</v>
      </c>
      <c r="S100" s="480">
        <f t="shared" si="69"/>
        <v>-471</v>
      </c>
      <c r="T100" s="90" t="s">
        <v>18</v>
      </c>
      <c r="U100" s="89">
        <v>1990</v>
      </c>
      <c r="V100" s="89">
        <v>12</v>
      </c>
      <c r="W100" s="154">
        <f t="shared" si="70"/>
        <v>14802.385198395006</v>
      </c>
      <c r="X100" s="154">
        <f t="shared" si="80"/>
        <v>46.246938561871502</v>
      </c>
      <c r="Y100" s="134"/>
      <c r="Z100" s="155">
        <f t="shared" si="71"/>
        <v>132807</v>
      </c>
      <c r="AA100" s="156">
        <f t="shared" si="65"/>
        <v>-471</v>
      </c>
      <c r="AB100" s="155">
        <f t="shared" si="72"/>
        <v>132807</v>
      </c>
      <c r="AC100" s="89">
        <v>1990</v>
      </c>
      <c r="AD100" s="89">
        <v>12</v>
      </c>
      <c r="AE100" s="110">
        <f>RESID!AC100</f>
        <v>31.65</v>
      </c>
      <c r="AF100" s="116">
        <f t="shared" si="73"/>
        <v>14227.151136870263</v>
      </c>
      <c r="AG100" s="89">
        <f t="shared" si="74"/>
        <v>127646</v>
      </c>
      <c r="AI100" s="134"/>
      <c r="AY100" s="89">
        <v>1990</v>
      </c>
      <c r="AZ100" s="89">
        <v>12</v>
      </c>
      <c r="BA100" s="89">
        <f>'[8]Gov 65 &amp; 70'!$S185</f>
        <v>59.2</v>
      </c>
      <c r="BB100" s="89">
        <f t="shared" si="83"/>
        <v>28.2</v>
      </c>
      <c r="BC100" s="111">
        <f t="shared" si="75"/>
        <v>-31.000000000000004</v>
      </c>
      <c r="BD100" s="113" t="s">
        <v>18</v>
      </c>
      <c r="BE100" s="89">
        <f>'[8]Gov 65 &amp; 70'!$J185</f>
        <v>111.7</v>
      </c>
      <c r="BF100" s="89">
        <f t="shared" si="84"/>
        <v>170</v>
      </c>
      <c r="BG100" s="112">
        <f t="shared" si="76"/>
        <v>58.3</v>
      </c>
      <c r="BH100" s="113" t="s">
        <v>18</v>
      </c>
      <c r="BI100" s="274">
        <f t="shared" si="77"/>
        <v>-7104.5800000000008</v>
      </c>
      <c r="BJ100" s="275">
        <f t="shared" si="78"/>
        <v>2365.8139999999999</v>
      </c>
      <c r="BK100" s="483">
        <f t="shared" si="79"/>
        <v>-4739</v>
      </c>
      <c r="BL100" s="277"/>
      <c r="BM100" s="113" t="s">
        <v>18</v>
      </c>
      <c r="BN100" s="89">
        <v>1990</v>
      </c>
      <c r="BO100" s="89">
        <v>12</v>
      </c>
      <c r="BP100" s="117"/>
      <c r="BT100" s="96"/>
    </row>
    <row r="101" spans="1:72">
      <c r="A101" s="4">
        <v>1991</v>
      </c>
      <c r="B101" s="4">
        <v>1</v>
      </c>
      <c r="C101" s="5">
        <v>128280</v>
      </c>
      <c r="D101" s="5">
        <v>9000</v>
      </c>
      <c r="E101" s="73">
        <f t="shared" si="62"/>
        <v>14253</v>
      </c>
      <c r="F101" s="540">
        <f t="shared" si="66"/>
        <v>9000</v>
      </c>
      <c r="H101" s="13" t="s">
        <v>18</v>
      </c>
      <c r="I101" s="76">
        <f>'[7]Gov 65 &amp; 70'!$S186</f>
        <v>71.400000000000006</v>
      </c>
      <c r="J101" s="76">
        <f t="shared" si="81"/>
        <v>28.7</v>
      </c>
      <c r="K101" s="362">
        <f t="shared" si="63"/>
        <v>-42.7</v>
      </c>
      <c r="L101" s="200" t="s">
        <v>18</v>
      </c>
      <c r="M101" s="76">
        <f>'[7]Gov 65 &amp; 70'!$J186</f>
        <v>89.9</v>
      </c>
      <c r="N101" s="76">
        <f t="shared" si="82"/>
        <v>192.9</v>
      </c>
      <c r="O101" s="363">
        <f t="shared" si="64"/>
        <v>103</v>
      </c>
      <c r="P101" s="13" t="s">
        <v>18</v>
      </c>
      <c r="Q101" s="77">
        <f t="shared" si="67"/>
        <v>-9785.9860000000008</v>
      </c>
      <c r="R101" s="78">
        <f t="shared" si="68"/>
        <v>4179.74</v>
      </c>
      <c r="S101" s="479">
        <f t="shared" si="69"/>
        <v>-5606</v>
      </c>
      <c r="T101" s="13" t="s">
        <v>18</v>
      </c>
      <c r="U101" s="4">
        <v>1991</v>
      </c>
      <c r="V101" s="4">
        <v>1</v>
      </c>
      <c r="W101" s="153">
        <f t="shared" si="70"/>
        <v>13630.444444444445</v>
      </c>
      <c r="X101" s="153">
        <f t="shared" si="80"/>
        <v>69.061705010326477</v>
      </c>
      <c r="Y101" s="80"/>
      <c r="Z101" s="98">
        <f t="shared" si="71"/>
        <v>122674</v>
      </c>
      <c r="AA101" s="119">
        <f t="shared" si="65"/>
        <v>-5606</v>
      </c>
      <c r="AB101" s="98">
        <f t="shared" si="72"/>
        <v>122674</v>
      </c>
      <c r="AC101" s="4">
        <v>1991</v>
      </c>
      <c r="AD101" s="4">
        <v>1</v>
      </c>
      <c r="AE101" s="107">
        <f>RESID!AC101</f>
        <v>31.8</v>
      </c>
      <c r="AF101" s="40">
        <f t="shared" si="73"/>
        <v>13038.888888888891</v>
      </c>
      <c r="AG101" s="4">
        <f t="shared" si="74"/>
        <v>117350</v>
      </c>
      <c r="AI101" s="80"/>
      <c r="AY101" s="4">
        <v>1991</v>
      </c>
      <c r="AZ101" s="4">
        <v>1</v>
      </c>
      <c r="BA101" s="4">
        <f>'[8]Gov 65 &amp; 70'!$S186</f>
        <v>52.4</v>
      </c>
      <c r="BB101" s="4">
        <f t="shared" si="83"/>
        <v>23.9</v>
      </c>
      <c r="BC101" s="82">
        <f t="shared" si="75"/>
        <v>-28.5</v>
      </c>
      <c r="BD101" s="36" t="s">
        <v>18</v>
      </c>
      <c r="BE101" s="4">
        <f>'[8]Gov 65 &amp; 70'!$J186</f>
        <v>113.4</v>
      </c>
      <c r="BF101" s="4">
        <f t="shared" si="84"/>
        <v>176.9</v>
      </c>
      <c r="BG101" s="83">
        <f t="shared" si="76"/>
        <v>63.5</v>
      </c>
      <c r="BH101" s="36" t="s">
        <v>18</v>
      </c>
      <c r="BI101" s="273">
        <f t="shared" si="77"/>
        <v>-6531.63</v>
      </c>
      <c r="BJ101" s="270">
        <f t="shared" si="78"/>
        <v>2576.83</v>
      </c>
      <c r="BK101" s="482">
        <f t="shared" si="79"/>
        <v>-3955</v>
      </c>
      <c r="BL101" s="276"/>
      <c r="BM101" s="36" t="s">
        <v>18</v>
      </c>
      <c r="BN101" s="4">
        <v>1991</v>
      </c>
      <c r="BO101" s="4">
        <v>1</v>
      </c>
      <c r="BP101" s="108"/>
    </row>
    <row r="102" spans="1:72">
      <c r="A102" s="4">
        <v>1991</v>
      </c>
      <c r="B102" s="4">
        <v>2</v>
      </c>
      <c r="C102" s="5">
        <v>126387</v>
      </c>
      <c r="D102" s="5">
        <v>9031</v>
      </c>
      <c r="E102" s="73">
        <f t="shared" si="62"/>
        <v>13995</v>
      </c>
      <c r="F102" s="540">
        <f t="shared" si="66"/>
        <v>9031</v>
      </c>
      <c r="H102" s="13" t="s">
        <v>18</v>
      </c>
      <c r="I102" s="76">
        <f>'[7]Gov 65 &amp; 70'!$S187</f>
        <v>37.4</v>
      </c>
      <c r="J102" s="76">
        <f t="shared" si="81"/>
        <v>22.6</v>
      </c>
      <c r="K102" s="362">
        <f t="shared" si="63"/>
        <v>-14.799999999999997</v>
      </c>
      <c r="L102" s="200" t="s">
        <v>18</v>
      </c>
      <c r="M102" s="76">
        <f>'[7]Gov 65 &amp; 70'!$J187</f>
        <v>123.4</v>
      </c>
      <c r="N102" s="76">
        <f t="shared" si="82"/>
        <v>177.2</v>
      </c>
      <c r="O102" s="363">
        <f t="shared" si="64"/>
        <v>53.799999999999983</v>
      </c>
      <c r="P102" s="13" t="s">
        <v>18</v>
      </c>
      <c r="Q102" s="77">
        <f t="shared" si="67"/>
        <v>-3391.8639999999996</v>
      </c>
      <c r="R102" s="78">
        <f t="shared" si="68"/>
        <v>2183.2039999999993</v>
      </c>
      <c r="S102" s="479">
        <f t="shared" si="69"/>
        <v>-1209</v>
      </c>
      <c r="T102" s="13" t="s">
        <v>18</v>
      </c>
      <c r="U102" s="4">
        <v>1991</v>
      </c>
      <c r="V102" s="4">
        <v>2</v>
      </c>
      <c r="W102" s="153">
        <f t="shared" si="70"/>
        <v>13860.923485771233</v>
      </c>
      <c r="X102" s="153">
        <f t="shared" si="80"/>
        <v>95.381118865603639</v>
      </c>
      <c r="Y102" s="80"/>
      <c r="Z102" s="98">
        <f t="shared" si="71"/>
        <v>125178</v>
      </c>
      <c r="AA102" s="119">
        <f t="shared" si="65"/>
        <v>-1209</v>
      </c>
      <c r="AB102" s="98">
        <f t="shared" si="72"/>
        <v>125178</v>
      </c>
      <c r="AC102" s="4">
        <v>1991</v>
      </c>
      <c r="AD102" s="4">
        <v>2</v>
      </c>
      <c r="AE102" s="107">
        <f>RESID!AC102</f>
        <v>29.6</v>
      </c>
      <c r="AF102" s="40">
        <f t="shared" si="73"/>
        <v>14244.934115823275</v>
      </c>
      <c r="AG102" s="4">
        <f t="shared" si="74"/>
        <v>128646</v>
      </c>
      <c r="AI102" s="80"/>
      <c r="AY102" s="4">
        <v>1991</v>
      </c>
      <c r="AZ102" s="4">
        <v>2</v>
      </c>
      <c r="BA102" s="4">
        <f>'[8]Gov 65 &amp; 70'!$S187</f>
        <v>32.5</v>
      </c>
      <c r="BB102" s="4">
        <f t="shared" si="83"/>
        <v>32.799999999999997</v>
      </c>
      <c r="BC102" s="82">
        <f t="shared" si="75"/>
        <v>0.29999999999999716</v>
      </c>
      <c r="BD102" s="36" t="s">
        <v>18</v>
      </c>
      <c r="BE102" s="4">
        <f>'[8]Gov 65 &amp; 70'!$J187</f>
        <v>119.2</v>
      </c>
      <c r="BF102" s="4">
        <f t="shared" si="84"/>
        <v>139.1</v>
      </c>
      <c r="BG102" s="83">
        <f t="shared" si="76"/>
        <v>19.899999999999991</v>
      </c>
      <c r="BH102" s="36" t="s">
        <v>18</v>
      </c>
      <c r="BI102" s="273">
        <f t="shared" si="77"/>
        <v>68.753999999999351</v>
      </c>
      <c r="BJ102" s="270">
        <f t="shared" si="78"/>
        <v>807.54199999999958</v>
      </c>
      <c r="BK102" s="482">
        <f t="shared" si="79"/>
        <v>876</v>
      </c>
      <c r="BL102" s="276"/>
      <c r="BM102" s="36" t="s">
        <v>18</v>
      </c>
      <c r="BN102" s="4">
        <v>1991</v>
      </c>
      <c r="BO102" s="4">
        <v>2</v>
      </c>
      <c r="BP102" s="108"/>
    </row>
    <row r="103" spans="1:72">
      <c r="A103" s="4">
        <v>1991</v>
      </c>
      <c r="B103" s="4">
        <v>3</v>
      </c>
      <c r="C103" s="5">
        <v>128198</v>
      </c>
      <c r="D103" s="5">
        <v>9071</v>
      </c>
      <c r="E103" s="73">
        <f t="shared" si="62"/>
        <v>14133</v>
      </c>
      <c r="F103" s="540">
        <f t="shared" si="66"/>
        <v>9071</v>
      </c>
      <c r="H103" s="13" t="s">
        <v>18</v>
      </c>
      <c r="I103" s="76">
        <f>'[7]Gov 65 &amp; 70'!$S188</f>
        <v>43.1</v>
      </c>
      <c r="J103" s="76">
        <f t="shared" si="81"/>
        <v>44.5</v>
      </c>
      <c r="K103" s="362">
        <f t="shared" si="63"/>
        <v>1.3999999999999986</v>
      </c>
      <c r="L103" s="200" t="s">
        <v>18</v>
      </c>
      <c r="M103" s="76">
        <f>'[7]Gov 65 &amp; 70'!$J188</f>
        <v>116.5</v>
      </c>
      <c r="N103" s="76">
        <f t="shared" si="82"/>
        <v>119.5</v>
      </c>
      <c r="O103" s="363">
        <f t="shared" si="64"/>
        <v>3</v>
      </c>
      <c r="P103" s="13" t="s">
        <v>18</v>
      </c>
      <c r="Q103" s="77">
        <f t="shared" si="67"/>
        <v>320.85199999999969</v>
      </c>
      <c r="R103" s="78">
        <f t="shared" si="68"/>
        <v>121.74</v>
      </c>
      <c r="S103" s="479">
        <f t="shared" si="69"/>
        <v>443</v>
      </c>
      <c r="T103" s="13" t="s">
        <v>18</v>
      </c>
      <c r="U103" s="4">
        <v>1991</v>
      </c>
      <c r="V103" s="4">
        <v>3</v>
      </c>
      <c r="W103" s="153">
        <f t="shared" si="70"/>
        <v>14181.567633116525</v>
      </c>
      <c r="X103" s="153">
        <f t="shared" si="80"/>
        <v>320.70618803656726</v>
      </c>
      <c r="Y103" s="80"/>
      <c r="Z103" s="98">
        <f t="shared" si="71"/>
        <v>128641</v>
      </c>
      <c r="AA103" s="119">
        <f t="shared" si="65"/>
        <v>443</v>
      </c>
      <c r="AB103" s="98">
        <f t="shared" si="72"/>
        <v>128641</v>
      </c>
      <c r="AC103" s="4">
        <v>1991</v>
      </c>
      <c r="AD103" s="4">
        <v>3</v>
      </c>
      <c r="AE103" s="107">
        <f>RESID!AC103</f>
        <v>29.4</v>
      </c>
      <c r="AF103" s="40">
        <f t="shared" si="73"/>
        <v>14673.57512953368</v>
      </c>
      <c r="AG103" s="4">
        <f t="shared" si="74"/>
        <v>133104</v>
      </c>
      <c r="AI103" s="80"/>
      <c r="AY103" s="4">
        <v>1991</v>
      </c>
      <c r="AZ103" s="4">
        <v>3</v>
      </c>
      <c r="BA103" s="4">
        <f>'[8]Gov 65 &amp; 70'!$S188</f>
        <v>75.400000000000006</v>
      </c>
      <c r="BB103" s="4">
        <f t="shared" si="83"/>
        <v>64.099999999999994</v>
      </c>
      <c r="BC103" s="82">
        <f t="shared" si="75"/>
        <v>-11.300000000000011</v>
      </c>
      <c r="BD103" s="36" t="s">
        <v>18</v>
      </c>
      <c r="BE103" s="4">
        <f>'[8]Gov 65 &amp; 70'!$J188</f>
        <v>75.400000000000006</v>
      </c>
      <c r="BF103" s="4">
        <f t="shared" si="84"/>
        <v>85.4</v>
      </c>
      <c r="BG103" s="83">
        <f t="shared" si="76"/>
        <v>10</v>
      </c>
      <c r="BH103" s="36" t="s">
        <v>18</v>
      </c>
      <c r="BI103" s="273">
        <f t="shared" si="77"/>
        <v>-2589.7340000000027</v>
      </c>
      <c r="BJ103" s="270">
        <f t="shared" si="78"/>
        <v>405.79999999999995</v>
      </c>
      <c r="BK103" s="482">
        <f t="shared" si="79"/>
        <v>-2184</v>
      </c>
      <c r="BL103" s="276"/>
      <c r="BM103" s="36" t="s">
        <v>18</v>
      </c>
      <c r="BN103" s="4">
        <v>1991</v>
      </c>
      <c r="BO103" s="4">
        <v>3</v>
      </c>
      <c r="BP103" s="108"/>
    </row>
    <row r="104" spans="1:72">
      <c r="A104" s="4">
        <v>1991</v>
      </c>
      <c r="B104" s="4">
        <v>4</v>
      </c>
      <c r="C104" s="5">
        <v>132732</v>
      </c>
      <c r="D104" s="5">
        <v>9099</v>
      </c>
      <c r="E104" s="73">
        <f t="shared" si="62"/>
        <v>14588</v>
      </c>
      <c r="F104" s="540">
        <f t="shared" si="66"/>
        <v>9099</v>
      </c>
      <c r="H104" s="13" t="s">
        <v>18</v>
      </c>
      <c r="I104" s="76">
        <f>'[7]Gov 65 &amp; 70'!$S189</f>
        <v>115.5</v>
      </c>
      <c r="J104" s="76">
        <f t="shared" si="81"/>
        <v>87.7</v>
      </c>
      <c r="K104" s="362">
        <f t="shared" si="63"/>
        <v>-27.799999999999997</v>
      </c>
      <c r="L104" s="200" t="s">
        <v>18</v>
      </c>
      <c r="M104" s="76">
        <f>'[7]Gov 65 &amp; 70'!$J189</f>
        <v>42</v>
      </c>
      <c r="N104" s="76">
        <f t="shared" si="82"/>
        <v>60.3</v>
      </c>
      <c r="O104" s="363">
        <f t="shared" si="64"/>
        <v>18.299999999999997</v>
      </c>
      <c r="P104" s="13" t="s">
        <v>18</v>
      </c>
      <c r="Q104" s="77">
        <f t="shared" si="67"/>
        <v>-6371.2039999999997</v>
      </c>
      <c r="R104" s="78">
        <f t="shared" si="68"/>
        <v>742.61399999999981</v>
      </c>
      <c r="S104" s="479">
        <f t="shared" si="69"/>
        <v>-5629</v>
      </c>
      <c r="T104" s="13" t="s">
        <v>18</v>
      </c>
      <c r="U104" s="4">
        <v>1991</v>
      </c>
      <c r="V104" s="4">
        <v>4</v>
      </c>
      <c r="W104" s="153">
        <f t="shared" si="70"/>
        <v>13968.897681063852</v>
      </c>
      <c r="X104" s="153">
        <f t="shared" si="80"/>
        <v>-663.88577618521776</v>
      </c>
      <c r="Y104" s="80"/>
      <c r="Z104" s="98">
        <f t="shared" si="71"/>
        <v>127103</v>
      </c>
      <c r="AA104" s="119">
        <f t="shared" si="65"/>
        <v>-5629</v>
      </c>
      <c r="AB104" s="98">
        <f t="shared" si="72"/>
        <v>127103</v>
      </c>
      <c r="AC104" s="4">
        <v>1991</v>
      </c>
      <c r="AD104" s="4">
        <v>4</v>
      </c>
      <c r="AE104" s="107">
        <f>RESID!AC104</f>
        <v>30.75</v>
      </c>
      <c r="AF104" s="40">
        <f t="shared" si="73"/>
        <v>13818.99109792285</v>
      </c>
      <c r="AG104" s="4">
        <f t="shared" si="74"/>
        <v>125739</v>
      </c>
      <c r="AI104" s="80"/>
      <c r="AY104" s="4">
        <v>1991</v>
      </c>
      <c r="AZ104" s="4">
        <v>4</v>
      </c>
      <c r="BA104" s="4">
        <f>'[8]Gov 65 &amp; 70'!$S189</f>
        <v>194.3</v>
      </c>
      <c r="BB104" s="4">
        <f t="shared" si="83"/>
        <v>122</v>
      </c>
      <c r="BC104" s="82">
        <f t="shared" si="75"/>
        <v>-72.300000000000011</v>
      </c>
      <c r="BD104" s="36" t="s">
        <v>18</v>
      </c>
      <c r="BE104" s="4">
        <f>'[8]Gov 65 &amp; 70'!$J189</f>
        <v>10.4</v>
      </c>
      <c r="BF104" s="4">
        <f t="shared" si="84"/>
        <v>34.700000000000003</v>
      </c>
      <c r="BG104" s="83">
        <f t="shared" si="76"/>
        <v>24.300000000000004</v>
      </c>
      <c r="BH104" s="36" t="s">
        <v>18</v>
      </c>
      <c r="BI104" s="273">
        <f t="shared" si="77"/>
        <v>-16569.714000000004</v>
      </c>
      <c r="BJ104" s="270">
        <f t="shared" si="78"/>
        <v>986.09400000000016</v>
      </c>
      <c r="BK104" s="482">
        <f t="shared" si="79"/>
        <v>-15584</v>
      </c>
      <c r="BL104" s="276"/>
      <c r="BM104" s="36" t="s">
        <v>18</v>
      </c>
      <c r="BN104" s="4">
        <v>1991</v>
      </c>
      <c r="BO104" s="4">
        <v>4</v>
      </c>
      <c r="BP104" s="108"/>
    </row>
    <row r="105" spans="1:72">
      <c r="A105" s="4">
        <v>1991</v>
      </c>
      <c r="B105" s="4">
        <v>5</v>
      </c>
      <c r="C105" s="5">
        <v>149688</v>
      </c>
      <c r="D105" s="5">
        <v>9132</v>
      </c>
      <c r="E105" s="73">
        <f t="shared" si="62"/>
        <v>16392</v>
      </c>
      <c r="F105" s="540">
        <f t="shared" si="66"/>
        <v>9132</v>
      </c>
      <c r="H105" s="13" t="s">
        <v>18</v>
      </c>
      <c r="I105" s="76">
        <f>'[7]Gov 65 &amp; 70'!$S190</f>
        <v>244.9</v>
      </c>
      <c r="J105" s="76">
        <f t="shared" si="81"/>
        <v>157.69999999999999</v>
      </c>
      <c r="K105" s="362">
        <f t="shared" si="63"/>
        <v>-87.200000000000017</v>
      </c>
      <c r="L105" s="200" t="s">
        <v>18</v>
      </c>
      <c r="M105" s="76">
        <f>'[7]Gov 65 &amp; 70'!$J190</f>
        <v>2.9</v>
      </c>
      <c r="N105" s="76">
        <f t="shared" si="82"/>
        <v>18.600000000000001</v>
      </c>
      <c r="O105" s="363">
        <f t="shared" si="64"/>
        <v>15.700000000000001</v>
      </c>
      <c r="P105" s="13" t="s">
        <v>18</v>
      </c>
      <c r="Q105" s="77">
        <f t="shared" si="67"/>
        <v>-19984.496000000003</v>
      </c>
      <c r="R105" s="78">
        <f t="shared" si="68"/>
        <v>637.10599999999999</v>
      </c>
      <c r="S105" s="479">
        <f t="shared" si="69"/>
        <v>-19347</v>
      </c>
      <c r="T105" s="13" t="s">
        <v>18</v>
      </c>
      <c r="U105" s="4">
        <v>1991</v>
      </c>
      <c r="V105" s="4">
        <v>5</v>
      </c>
      <c r="W105" s="153">
        <f t="shared" si="70"/>
        <v>14272.996057818658</v>
      </c>
      <c r="X105" s="153">
        <f t="shared" si="80"/>
        <v>-867.19085806919247</v>
      </c>
      <c r="Y105" s="80"/>
      <c r="Z105" s="98">
        <f t="shared" si="71"/>
        <v>130341</v>
      </c>
      <c r="AA105" s="119">
        <f t="shared" si="65"/>
        <v>-19347</v>
      </c>
      <c r="AB105" s="98">
        <f t="shared" si="72"/>
        <v>130341</v>
      </c>
      <c r="AC105" s="4">
        <v>1991</v>
      </c>
      <c r="AD105" s="4">
        <v>5</v>
      </c>
      <c r="AE105" s="107">
        <f>RESID!AC105</f>
        <v>29.45</v>
      </c>
      <c r="AF105" s="40">
        <f t="shared" si="73"/>
        <v>14743.101182654404</v>
      </c>
      <c r="AG105" s="4">
        <f t="shared" si="74"/>
        <v>134634</v>
      </c>
      <c r="AI105" s="80"/>
      <c r="AY105" s="4">
        <v>1991</v>
      </c>
      <c r="AZ105" s="4">
        <v>5</v>
      </c>
      <c r="BA105" s="4">
        <f>'[8]Gov 65 &amp; 70'!$S190</f>
        <v>308</v>
      </c>
      <c r="BB105" s="4">
        <f t="shared" si="83"/>
        <v>253</v>
      </c>
      <c r="BC105" s="82">
        <f t="shared" si="75"/>
        <v>-55</v>
      </c>
      <c r="BD105" s="36" t="s">
        <v>18</v>
      </c>
      <c r="BE105" s="4">
        <f>'[8]Gov 65 &amp; 70'!$J190</f>
        <v>0.1</v>
      </c>
      <c r="BF105" s="4">
        <f t="shared" si="84"/>
        <v>4.3</v>
      </c>
      <c r="BG105" s="83">
        <f t="shared" si="76"/>
        <v>4.2</v>
      </c>
      <c r="BH105" s="36" t="s">
        <v>18</v>
      </c>
      <c r="BI105" s="273">
        <f t="shared" si="77"/>
        <v>-12604.9</v>
      </c>
      <c r="BJ105" s="270">
        <f t="shared" si="78"/>
        <v>170.43600000000001</v>
      </c>
      <c r="BK105" s="482">
        <f t="shared" si="79"/>
        <v>-12434</v>
      </c>
      <c r="BL105" s="276"/>
      <c r="BM105" s="36" t="s">
        <v>18</v>
      </c>
      <c r="BN105" s="4">
        <v>1991</v>
      </c>
      <c r="BO105" s="4">
        <v>5</v>
      </c>
      <c r="BP105" s="108"/>
    </row>
    <row r="106" spans="1:72">
      <c r="A106" s="4">
        <v>1991</v>
      </c>
      <c r="B106" s="4">
        <v>6</v>
      </c>
      <c r="C106" s="5">
        <v>157045</v>
      </c>
      <c r="D106" s="5">
        <v>9137</v>
      </c>
      <c r="E106" s="73">
        <f t="shared" si="62"/>
        <v>17188</v>
      </c>
      <c r="F106" s="540">
        <f t="shared" si="66"/>
        <v>9137</v>
      </c>
      <c r="H106" s="13" t="s">
        <v>18</v>
      </c>
      <c r="I106" s="76">
        <f>'[7]Gov 65 &amp; 70'!$S191</f>
        <v>310.5</v>
      </c>
      <c r="J106" s="76">
        <f t="shared" si="81"/>
        <v>295.39999999999998</v>
      </c>
      <c r="K106" s="362">
        <f t="shared" si="63"/>
        <v>-15.100000000000023</v>
      </c>
      <c r="L106" s="200" t="s">
        <v>18</v>
      </c>
      <c r="M106" s="76">
        <f>'[7]Gov 65 &amp; 70'!$J191</f>
        <v>0.2</v>
      </c>
      <c r="N106" s="76">
        <f t="shared" si="82"/>
        <v>2.2000000000000002</v>
      </c>
      <c r="O106" s="363">
        <f t="shared" si="64"/>
        <v>2</v>
      </c>
      <c r="P106" s="13" t="s">
        <v>18</v>
      </c>
      <c r="Q106" s="77">
        <f t="shared" si="67"/>
        <v>-3460.6180000000054</v>
      </c>
      <c r="R106" s="78">
        <f t="shared" si="68"/>
        <v>81.16</v>
      </c>
      <c r="S106" s="479">
        <f t="shared" si="69"/>
        <v>-3379</v>
      </c>
      <c r="T106" s="13" t="s">
        <v>18</v>
      </c>
      <c r="U106" s="4">
        <v>1991</v>
      </c>
      <c r="V106" s="4">
        <v>6</v>
      </c>
      <c r="W106" s="153">
        <f t="shared" si="70"/>
        <v>16817.992776622526</v>
      </c>
      <c r="X106" s="153">
        <f t="shared" si="80"/>
        <v>122.0452748956086</v>
      </c>
      <c r="Y106" s="80"/>
      <c r="Z106" s="98">
        <f t="shared" si="71"/>
        <v>153666</v>
      </c>
      <c r="AA106" s="119">
        <f t="shared" si="65"/>
        <v>-3379</v>
      </c>
      <c r="AB106" s="98">
        <f t="shared" si="72"/>
        <v>153666</v>
      </c>
      <c r="AC106" s="4">
        <v>1991</v>
      </c>
      <c r="AD106" s="4">
        <v>6</v>
      </c>
      <c r="AE106" s="107">
        <f>RESID!AC106</f>
        <v>30.8</v>
      </c>
      <c r="AF106" s="40">
        <f t="shared" si="73"/>
        <v>16610.484841851812</v>
      </c>
      <c r="AG106" s="4">
        <f t="shared" si="74"/>
        <v>151770</v>
      </c>
      <c r="AI106" s="80"/>
      <c r="AY106" s="4">
        <v>1991</v>
      </c>
      <c r="AZ106" s="4">
        <v>6</v>
      </c>
      <c r="BA106" s="4">
        <f>'[8]Gov 65 &amp; 70'!$S191</f>
        <v>340.9</v>
      </c>
      <c r="BB106" s="4">
        <f t="shared" si="83"/>
        <v>336.1</v>
      </c>
      <c r="BC106" s="82">
        <f t="shared" si="75"/>
        <v>-4.7999999999999545</v>
      </c>
      <c r="BD106" s="36" t="s">
        <v>18</v>
      </c>
      <c r="BE106" s="4">
        <f>'[8]Gov 65 &amp; 70'!$J191</f>
        <v>0.2</v>
      </c>
      <c r="BF106" s="4">
        <f t="shared" si="84"/>
        <v>0</v>
      </c>
      <c r="BG106" s="83">
        <f t="shared" si="76"/>
        <v>-0.2</v>
      </c>
      <c r="BH106" s="36" t="s">
        <v>18</v>
      </c>
      <c r="BI106" s="273">
        <f t="shared" si="77"/>
        <v>-1100.0639999999896</v>
      </c>
      <c r="BJ106" s="270">
        <f t="shared" si="78"/>
        <v>-8.1159999999999997</v>
      </c>
      <c r="BK106" s="482">
        <f t="shared" si="79"/>
        <v>-1108</v>
      </c>
      <c r="BL106" s="276"/>
      <c r="BM106" s="36" t="s">
        <v>18</v>
      </c>
      <c r="BN106" s="4">
        <v>1991</v>
      </c>
      <c r="BO106" s="4">
        <v>6</v>
      </c>
      <c r="BP106" s="108"/>
    </row>
    <row r="107" spans="1:72">
      <c r="A107" s="4">
        <v>1991</v>
      </c>
      <c r="B107" s="4">
        <v>7</v>
      </c>
      <c r="C107" s="5">
        <v>148837</v>
      </c>
      <c r="D107" s="5">
        <v>9155</v>
      </c>
      <c r="E107" s="73">
        <f t="shared" si="62"/>
        <v>16257</v>
      </c>
      <c r="F107" s="540">
        <f t="shared" si="66"/>
        <v>9155</v>
      </c>
      <c r="H107" s="13" t="s">
        <v>18</v>
      </c>
      <c r="I107" s="76">
        <f>'[7]Gov 65 &amp; 70'!$S192</f>
        <v>377.8</v>
      </c>
      <c r="J107" s="76">
        <f t="shared" si="81"/>
        <v>363.4</v>
      </c>
      <c r="K107" s="362">
        <f t="shared" si="63"/>
        <v>-14.400000000000034</v>
      </c>
      <c r="L107" s="200" t="s">
        <v>18</v>
      </c>
      <c r="M107" s="76">
        <f>'[7]Gov 65 &amp; 70'!$J192</f>
        <v>0.1</v>
      </c>
      <c r="N107" s="76">
        <f t="shared" si="82"/>
        <v>0</v>
      </c>
      <c r="O107" s="363">
        <f t="shared" si="64"/>
        <v>-0.1</v>
      </c>
      <c r="P107" s="13" t="s">
        <v>18</v>
      </c>
      <c r="Q107" s="77">
        <f t="shared" si="67"/>
        <v>-3300.1920000000077</v>
      </c>
      <c r="R107" s="78">
        <f t="shared" si="68"/>
        <v>-4.0579999999999998</v>
      </c>
      <c r="S107" s="479">
        <f t="shared" si="69"/>
        <v>-3304</v>
      </c>
      <c r="T107" s="13" t="s">
        <v>18</v>
      </c>
      <c r="U107" s="4">
        <v>1991</v>
      </c>
      <c r="V107" s="4">
        <v>7</v>
      </c>
      <c r="W107" s="153">
        <f t="shared" si="70"/>
        <v>15896.559257236482</v>
      </c>
      <c r="X107" s="153">
        <f t="shared" si="80"/>
        <v>-399.90807132505142</v>
      </c>
      <c r="Y107" s="80"/>
      <c r="Z107" s="98">
        <f t="shared" si="71"/>
        <v>145533</v>
      </c>
      <c r="AA107" s="119">
        <f t="shared" si="65"/>
        <v>-3304</v>
      </c>
      <c r="AB107" s="98">
        <f t="shared" si="72"/>
        <v>145533</v>
      </c>
      <c r="AC107" s="4">
        <v>1991</v>
      </c>
      <c r="AD107" s="4">
        <v>7</v>
      </c>
      <c r="AE107" s="107">
        <f>RESID!AC107</f>
        <v>30.45</v>
      </c>
      <c r="AF107" s="40">
        <f t="shared" si="73"/>
        <v>15880.939377389404</v>
      </c>
      <c r="AG107" s="4">
        <f t="shared" si="74"/>
        <v>145390</v>
      </c>
      <c r="AI107" s="80"/>
      <c r="AY107" s="4">
        <v>1991</v>
      </c>
      <c r="AZ107" s="4">
        <v>7</v>
      </c>
      <c r="BA107" s="4">
        <f>'[8]Gov 65 &amp; 70'!$S192</f>
        <v>393.5</v>
      </c>
      <c r="BB107" s="4">
        <f t="shared" si="83"/>
        <v>391.2</v>
      </c>
      <c r="BC107" s="82">
        <f t="shared" si="75"/>
        <v>-2.3000000000000114</v>
      </c>
      <c r="BD107" s="36" t="s">
        <v>18</v>
      </c>
      <c r="BE107" s="4">
        <f>'[8]Gov 65 &amp; 70'!$J192</f>
        <v>0</v>
      </c>
      <c r="BF107" s="4">
        <f t="shared" si="84"/>
        <v>0</v>
      </c>
      <c r="BG107" s="83">
        <f t="shared" si="76"/>
        <v>0</v>
      </c>
      <c r="BH107" s="36" t="s">
        <v>18</v>
      </c>
      <c r="BI107" s="273">
        <f t="shared" si="77"/>
        <v>-527.11400000000265</v>
      </c>
      <c r="BJ107" s="270">
        <f t="shared" si="78"/>
        <v>0</v>
      </c>
      <c r="BK107" s="482">
        <f t="shared" si="79"/>
        <v>-527</v>
      </c>
      <c r="BL107" s="276"/>
      <c r="BM107" s="36" t="s">
        <v>18</v>
      </c>
      <c r="BN107" s="4">
        <v>1991</v>
      </c>
      <c r="BO107" s="4">
        <v>7</v>
      </c>
      <c r="BP107" s="108"/>
    </row>
    <row r="108" spans="1:72">
      <c r="A108" s="4">
        <v>1991</v>
      </c>
      <c r="B108" s="4">
        <v>8</v>
      </c>
      <c r="C108" s="5">
        <v>155756</v>
      </c>
      <c r="D108" s="5">
        <v>9205</v>
      </c>
      <c r="E108" s="73">
        <f t="shared" si="62"/>
        <v>16921</v>
      </c>
      <c r="F108" s="540">
        <f t="shared" si="66"/>
        <v>9205</v>
      </c>
      <c r="H108" s="13" t="s">
        <v>18</v>
      </c>
      <c r="I108" s="76">
        <f>'[7]Gov 65 &amp; 70'!$S193</f>
        <v>405.4</v>
      </c>
      <c r="J108" s="76">
        <f t="shared" si="81"/>
        <v>390.1</v>
      </c>
      <c r="K108" s="362">
        <f t="shared" si="63"/>
        <v>-15.299999999999955</v>
      </c>
      <c r="L108" s="200" t="s">
        <v>18</v>
      </c>
      <c r="M108" s="76">
        <f>'[7]Gov 65 &amp; 70'!$J193</f>
        <v>0</v>
      </c>
      <c r="N108" s="76">
        <f t="shared" si="82"/>
        <v>0</v>
      </c>
      <c r="O108" s="363">
        <f t="shared" si="64"/>
        <v>0</v>
      </c>
      <c r="P108" s="13" t="s">
        <v>18</v>
      </c>
      <c r="Q108" s="77">
        <f t="shared" si="67"/>
        <v>-3506.4539999999897</v>
      </c>
      <c r="R108" s="78">
        <f t="shared" si="68"/>
        <v>0</v>
      </c>
      <c r="S108" s="479">
        <f t="shared" si="69"/>
        <v>-3506</v>
      </c>
      <c r="T108" s="13" t="s">
        <v>18</v>
      </c>
      <c r="U108" s="4">
        <v>1991</v>
      </c>
      <c r="V108" s="4">
        <v>8</v>
      </c>
      <c r="W108" s="153">
        <f t="shared" si="70"/>
        <v>16539.923954372625</v>
      </c>
      <c r="X108" s="153">
        <f t="shared" si="80"/>
        <v>352.48820337319557</v>
      </c>
      <c r="Y108" s="80"/>
      <c r="Z108" s="98">
        <f t="shared" si="71"/>
        <v>152250</v>
      </c>
      <c r="AA108" s="119">
        <f t="shared" si="65"/>
        <v>-3506</v>
      </c>
      <c r="AB108" s="98">
        <f t="shared" si="72"/>
        <v>152250</v>
      </c>
      <c r="AC108" s="4">
        <v>1991</v>
      </c>
      <c r="AD108" s="4">
        <v>8</v>
      </c>
      <c r="AE108" s="107">
        <f>RESID!AC108</f>
        <v>31.15</v>
      </c>
      <c r="AF108" s="40">
        <f t="shared" si="73"/>
        <v>16152.308527973926</v>
      </c>
      <c r="AG108" s="4">
        <f t="shared" si="74"/>
        <v>148682</v>
      </c>
      <c r="AI108" s="80"/>
      <c r="AY108" s="4">
        <v>1991</v>
      </c>
      <c r="AZ108" s="4">
        <v>8</v>
      </c>
      <c r="BA108" s="4">
        <f>'[8]Gov 65 &amp; 70'!$S193</f>
        <v>407.1</v>
      </c>
      <c r="BB108" s="4">
        <f t="shared" si="83"/>
        <v>394.4</v>
      </c>
      <c r="BC108" s="82">
        <f t="shared" si="75"/>
        <v>-12.700000000000045</v>
      </c>
      <c r="BD108" s="36" t="s">
        <v>18</v>
      </c>
      <c r="BE108" s="4">
        <f>'[8]Gov 65 &amp; 70'!$J193</f>
        <v>0</v>
      </c>
      <c r="BF108" s="4">
        <f t="shared" si="84"/>
        <v>0</v>
      </c>
      <c r="BG108" s="83">
        <f t="shared" si="76"/>
        <v>0</v>
      </c>
      <c r="BH108" s="36" t="s">
        <v>18</v>
      </c>
      <c r="BI108" s="273">
        <f t="shared" si="77"/>
        <v>-2910.5860000000107</v>
      </c>
      <c r="BJ108" s="270">
        <f t="shared" si="78"/>
        <v>0</v>
      </c>
      <c r="BK108" s="482">
        <f t="shared" si="79"/>
        <v>-2911</v>
      </c>
      <c r="BL108" s="276"/>
      <c r="BM108" s="36" t="s">
        <v>18</v>
      </c>
      <c r="BN108" s="4">
        <v>1991</v>
      </c>
      <c r="BO108" s="4">
        <v>8</v>
      </c>
      <c r="BP108" s="108"/>
    </row>
    <row r="109" spans="1:72">
      <c r="A109" s="4">
        <v>1991</v>
      </c>
      <c r="B109" s="4">
        <v>9</v>
      </c>
      <c r="C109" s="5">
        <v>167163</v>
      </c>
      <c r="D109" s="5">
        <v>9276</v>
      </c>
      <c r="E109" s="73">
        <f t="shared" si="62"/>
        <v>18021</v>
      </c>
      <c r="F109" s="540">
        <f t="shared" si="66"/>
        <v>9276</v>
      </c>
      <c r="H109" s="13" t="s">
        <v>18</v>
      </c>
      <c r="I109" s="76">
        <f>'[7]Gov 65 &amp; 70'!$S194</f>
        <v>390.9</v>
      </c>
      <c r="J109" s="76">
        <f t="shared" si="81"/>
        <v>381.2</v>
      </c>
      <c r="K109" s="362">
        <f t="shared" si="63"/>
        <v>-9.6999999999999886</v>
      </c>
      <c r="L109" s="200" t="s">
        <v>18</v>
      </c>
      <c r="M109" s="76">
        <f>'[7]Gov 65 &amp; 70'!$J194</f>
        <v>0</v>
      </c>
      <c r="N109" s="76">
        <f t="shared" si="82"/>
        <v>0</v>
      </c>
      <c r="O109" s="363">
        <f t="shared" si="64"/>
        <v>0</v>
      </c>
      <c r="P109" s="13" t="s">
        <v>18</v>
      </c>
      <c r="Q109" s="77">
        <f t="shared" si="67"/>
        <v>-2223.0459999999975</v>
      </c>
      <c r="R109" s="78">
        <f t="shared" si="68"/>
        <v>0</v>
      </c>
      <c r="S109" s="479">
        <f t="shared" si="69"/>
        <v>-2223</v>
      </c>
      <c r="T109" s="13" t="s">
        <v>18</v>
      </c>
      <c r="U109" s="4">
        <v>1991</v>
      </c>
      <c r="V109" s="4">
        <v>9</v>
      </c>
      <c r="W109" s="153">
        <f t="shared" si="70"/>
        <v>17781.371280724448</v>
      </c>
      <c r="X109" s="153">
        <f t="shared" si="80"/>
        <v>-499.23519132805086</v>
      </c>
      <c r="Y109" s="80"/>
      <c r="Z109" s="98">
        <f t="shared" si="71"/>
        <v>164940</v>
      </c>
      <c r="AA109" s="119">
        <f t="shared" si="65"/>
        <v>-2223</v>
      </c>
      <c r="AB109" s="98">
        <f t="shared" si="72"/>
        <v>164940</v>
      </c>
      <c r="AC109" s="4">
        <v>1991</v>
      </c>
      <c r="AD109" s="4">
        <v>9</v>
      </c>
      <c r="AE109" s="107">
        <f>RESID!AC109</f>
        <v>30.55</v>
      </c>
      <c r="AF109" s="40">
        <f t="shared" si="73"/>
        <v>17705.692108667528</v>
      </c>
      <c r="AG109" s="4">
        <f t="shared" si="74"/>
        <v>164238</v>
      </c>
      <c r="AI109" s="80"/>
      <c r="AY109" s="4">
        <v>1991</v>
      </c>
      <c r="AZ109" s="4">
        <v>9</v>
      </c>
      <c r="BA109" s="4">
        <f>'[8]Gov 65 &amp; 70'!$S194</f>
        <v>353.5</v>
      </c>
      <c r="BB109" s="4">
        <f t="shared" si="83"/>
        <v>339.3</v>
      </c>
      <c r="BC109" s="82">
        <f t="shared" si="75"/>
        <v>-14.199999999999989</v>
      </c>
      <c r="BD109" s="36" t="s">
        <v>18</v>
      </c>
      <c r="BE109" s="4">
        <f>'[8]Gov 65 &amp; 70'!$J194</f>
        <v>0.6</v>
      </c>
      <c r="BF109" s="4">
        <f t="shared" si="84"/>
        <v>0</v>
      </c>
      <c r="BG109" s="83">
        <f t="shared" si="76"/>
        <v>-0.6</v>
      </c>
      <c r="BH109" s="36" t="s">
        <v>18</v>
      </c>
      <c r="BI109" s="273">
        <f t="shared" si="77"/>
        <v>-3254.3559999999975</v>
      </c>
      <c r="BJ109" s="270">
        <f t="shared" si="78"/>
        <v>-24.347999999999999</v>
      </c>
      <c r="BK109" s="482">
        <f t="shared" si="79"/>
        <v>-3279</v>
      </c>
      <c r="BL109" s="276"/>
      <c r="BM109" s="36" t="s">
        <v>18</v>
      </c>
      <c r="BN109" s="4">
        <v>1991</v>
      </c>
      <c r="BO109" s="4">
        <v>9</v>
      </c>
      <c r="BP109" s="108"/>
    </row>
    <row r="110" spans="1:72">
      <c r="A110" s="4">
        <v>1991</v>
      </c>
      <c r="B110" s="4">
        <v>10</v>
      </c>
      <c r="C110" s="5">
        <v>161784</v>
      </c>
      <c r="D110" s="5">
        <v>9321</v>
      </c>
      <c r="E110" s="73">
        <f t="shared" si="62"/>
        <v>17357</v>
      </c>
      <c r="F110" s="540">
        <f t="shared" si="66"/>
        <v>9321</v>
      </c>
      <c r="H110" s="13" t="s">
        <v>18</v>
      </c>
      <c r="I110" s="76">
        <f>'[7]Gov 65 &amp; 70'!$S195</f>
        <v>278.39999999999998</v>
      </c>
      <c r="J110" s="76">
        <f t="shared" si="81"/>
        <v>287.8</v>
      </c>
      <c r="K110" s="362">
        <f t="shared" si="63"/>
        <v>9.4000000000000341</v>
      </c>
      <c r="L110" s="200" t="s">
        <v>18</v>
      </c>
      <c r="M110" s="76">
        <f>'[7]Gov 65 &amp; 70'!$J195</f>
        <v>4.5</v>
      </c>
      <c r="N110" s="76">
        <f t="shared" si="82"/>
        <v>2.5</v>
      </c>
      <c r="O110" s="363">
        <f t="shared" si="64"/>
        <v>-2</v>
      </c>
      <c r="P110" s="13" t="s">
        <v>18</v>
      </c>
      <c r="Q110" s="77">
        <f t="shared" si="67"/>
        <v>2154.2920000000081</v>
      </c>
      <c r="R110" s="78">
        <f t="shared" si="68"/>
        <v>-81.16</v>
      </c>
      <c r="S110" s="479">
        <f t="shared" si="69"/>
        <v>2073</v>
      </c>
      <c r="T110" s="13" t="s">
        <v>18</v>
      </c>
      <c r="U110" s="4">
        <v>1991</v>
      </c>
      <c r="V110" s="4">
        <v>10</v>
      </c>
      <c r="W110" s="153">
        <f t="shared" si="70"/>
        <v>17579.33698101062</v>
      </c>
      <c r="X110" s="153">
        <f t="shared" si="80"/>
        <v>576.30020224557666</v>
      </c>
      <c r="Y110" s="80"/>
      <c r="Z110" s="98">
        <f t="shared" si="71"/>
        <v>163857</v>
      </c>
      <c r="AA110" s="119">
        <f t="shared" si="65"/>
        <v>2073</v>
      </c>
      <c r="AB110" s="98">
        <f t="shared" si="72"/>
        <v>163857</v>
      </c>
      <c r="AC110" s="4">
        <v>1991</v>
      </c>
      <c r="AD110" s="4">
        <v>10</v>
      </c>
      <c r="AE110" s="107">
        <f>RESID!AC110</f>
        <v>29.65</v>
      </c>
      <c r="AF110" s="40">
        <f t="shared" si="73"/>
        <v>18035.833065121769</v>
      </c>
      <c r="AG110" s="4">
        <f t="shared" si="74"/>
        <v>168112</v>
      </c>
      <c r="AI110" s="80"/>
      <c r="AY110" s="4">
        <v>1991</v>
      </c>
      <c r="AZ110" s="4">
        <v>10</v>
      </c>
      <c r="BA110" s="4">
        <f>'[8]Gov 65 &amp; 70'!$S195</f>
        <v>185.9</v>
      </c>
      <c r="BB110" s="4">
        <f t="shared" si="83"/>
        <v>200.4</v>
      </c>
      <c r="BC110" s="82">
        <f t="shared" si="75"/>
        <v>14.5</v>
      </c>
      <c r="BD110" s="36" t="s">
        <v>18</v>
      </c>
      <c r="BE110" s="4">
        <f>'[8]Gov 65 &amp; 70'!$J195</f>
        <v>13.3</v>
      </c>
      <c r="BF110" s="4">
        <f t="shared" si="84"/>
        <v>15</v>
      </c>
      <c r="BG110" s="83">
        <f t="shared" si="76"/>
        <v>1.6999999999999993</v>
      </c>
      <c r="BH110" s="36" t="s">
        <v>18</v>
      </c>
      <c r="BI110" s="273">
        <f t="shared" si="77"/>
        <v>3323.11</v>
      </c>
      <c r="BJ110" s="270">
        <f t="shared" si="78"/>
        <v>68.985999999999962</v>
      </c>
      <c r="BK110" s="482">
        <f t="shared" si="79"/>
        <v>3392</v>
      </c>
      <c r="BL110" s="276"/>
      <c r="BM110" s="36" t="s">
        <v>18</v>
      </c>
      <c r="BN110" s="4">
        <v>1991</v>
      </c>
      <c r="BO110" s="4">
        <v>10</v>
      </c>
      <c r="BP110" s="108"/>
    </row>
    <row r="111" spans="1:72">
      <c r="A111" s="4">
        <v>1991</v>
      </c>
      <c r="B111" s="4">
        <v>11</v>
      </c>
      <c r="C111" s="5">
        <v>143228</v>
      </c>
      <c r="D111" s="5">
        <v>9431</v>
      </c>
      <c r="E111" s="73">
        <f t="shared" si="62"/>
        <v>15187</v>
      </c>
      <c r="F111" s="540">
        <f t="shared" si="66"/>
        <v>9431</v>
      </c>
      <c r="H111" s="13" t="s">
        <v>18</v>
      </c>
      <c r="I111" s="76">
        <f>'[7]Gov 65 &amp; 70'!$S196</f>
        <v>128.1</v>
      </c>
      <c r="J111" s="76">
        <f t="shared" si="81"/>
        <v>140.19999999999999</v>
      </c>
      <c r="K111" s="362">
        <f t="shared" si="63"/>
        <v>12.099999999999994</v>
      </c>
      <c r="L111" s="200" t="s">
        <v>18</v>
      </c>
      <c r="M111" s="76">
        <f>'[7]Gov 65 &amp; 70'!$J196</f>
        <v>55.4</v>
      </c>
      <c r="N111" s="76">
        <f t="shared" si="82"/>
        <v>38.6</v>
      </c>
      <c r="O111" s="363">
        <f t="shared" si="64"/>
        <v>-16.799999999999997</v>
      </c>
      <c r="P111" s="13" t="s">
        <v>18</v>
      </c>
      <c r="Q111" s="77">
        <f t="shared" si="67"/>
        <v>2773.0779999999986</v>
      </c>
      <c r="R111" s="78">
        <f t="shared" si="68"/>
        <v>-681.7439999999998</v>
      </c>
      <c r="S111" s="479">
        <f t="shared" si="69"/>
        <v>2091</v>
      </c>
      <c r="T111" s="13" t="s">
        <v>18</v>
      </c>
      <c r="U111" s="4">
        <v>1991</v>
      </c>
      <c r="V111" s="4">
        <v>11</v>
      </c>
      <c r="W111" s="153">
        <f t="shared" si="70"/>
        <v>15408.652316827483</v>
      </c>
      <c r="X111" s="153">
        <f t="shared" si="80"/>
        <v>-440.81004876391489</v>
      </c>
      <c r="Y111" s="80"/>
      <c r="Z111" s="98">
        <f t="shared" si="71"/>
        <v>145319</v>
      </c>
      <c r="AA111" s="119">
        <f t="shared" si="65"/>
        <v>2091</v>
      </c>
      <c r="AB111" s="98">
        <f t="shared" si="72"/>
        <v>145319</v>
      </c>
      <c r="AC111" s="4">
        <v>1991</v>
      </c>
      <c r="AD111" s="4">
        <v>11</v>
      </c>
      <c r="AE111" s="107">
        <f>RESID!AC111</f>
        <v>30.1</v>
      </c>
      <c r="AF111" s="40">
        <f t="shared" si="73"/>
        <v>15572.473756759622</v>
      </c>
      <c r="AG111" s="4">
        <f t="shared" si="74"/>
        <v>146864</v>
      </c>
      <c r="AI111" s="80"/>
      <c r="AY111" s="4">
        <v>1991</v>
      </c>
      <c r="AZ111" s="4">
        <v>11</v>
      </c>
      <c r="BA111" s="4">
        <f>'[8]Gov 65 &amp; 70'!$S196</f>
        <v>54.5</v>
      </c>
      <c r="BB111" s="4">
        <f t="shared" si="83"/>
        <v>66.3</v>
      </c>
      <c r="BC111" s="82">
        <f t="shared" si="75"/>
        <v>11.799999999999997</v>
      </c>
      <c r="BD111" s="36" t="s">
        <v>18</v>
      </c>
      <c r="BE111" s="4">
        <f>'[8]Gov 65 &amp; 70'!$J196</f>
        <v>122.6</v>
      </c>
      <c r="BF111" s="4">
        <f t="shared" si="84"/>
        <v>69.900000000000006</v>
      </c>
      <c r="BG111" s="83">
        <f t="shared" si="76"/>
        <v>-52.699999999999989</v>
      </c>
      <c r="BH111" s="36" t="s">
        <v>18</v>
      </c>
      <c r="BI111" s="273">
        <f t="shared" si="77"/>
        <v>2704.3239999999996</v>
      </c>
      <c r="BJ111" s="270">
        <f t="shared" si="78"/>
        <v>-2138.5659999999993</v>
      </c>
      <c r="BK111" s="482">
        <f t="shared" si="79"/>
        <v>566</v>
      </c>
      <c r="BL111" s="276"/>
      <c r="BM111" s="36" t="s">
        <v>18</v>
      </c>
      <c r="BN111" s="4">
        <v>1991</v>
      </c>
      <c r="BO111" s="4">
        <v>11</v>
      </c>
      <c r="BP111" s="108"/>
    </row>
    <row r="112" spans="1:72" s="89" customFormat="1">
      <c r="A112" s="89">
        <v>1991</v>
      </c>
      <c r="B112" s="89">
        <v>12</v>
      </c>
      <c r="C112" s="103">
        <v>140898</v>
      </c>
      <c r="D112" s="103">
        <v>9470</v>
      </c>
      <c r="E112" s="104">
        <f t="shared" si="62"/>
        <v>14878</v>
      </c>
      <c r="F112" s="586">
        <f t="shared" si="66"/>
        <v>9470</v>
      </c>
      <c r="H112" s="90" t="s">
        <v>18</v>
      </c>
      <c r="I112" s="92">
        <f>'[7]Gov 65 &amp; 70'!$S197</f>
        <v>69.2</v>
      </c>
      <c r="J112" s="92">
        <f t="shared" si="81"/>
        <v>50.8</v>
      </c>
      <c r="K112" s="364">
        <f t="shared" si="63"/>
        <v>-18.400000000000006</v>
      </c>
      <c r="L112" s="210" t="s">
        <v>18</v>
      </c>
      <c r="M112" s="92">
        <f>'[7]Gov 65 &amp; 70'!$J197</f>
        <v>118.8</v>
      </c>
      <c r="N112" s="92">
        <f t="shared" si="82"/>
        <v>121.8</v>
      </c>
      <c r="O112" s="365">
        <f t="shared" si="64"/>
        <v>3</v>
      </c>
      <c r="P112" s="90" t="s">
        <v>18</v>
      </c>
      <c r="Q112" s="114">
        <f t="shared" si="67"/>
        <v>-4216.9120000000012</v>
      </c>
      <c r="R112" s="95">
        <f t="shared" si="68"/>
        <v>121.74</v>
      </c>
      <c r="S112" s="480">
        <f t="shared" si="69"/>
        <v>-4095</v>
      </c>
      <c r="T112" s="90" t="s">
        <v>18</v>
      </c>
      <c r="U112" s="89">
        <v>1991</v>
      </c>
      <c r="V112" s="89">
        <v>12</v>
      </c>
      <c r="W112" s="154">
        <f t="shared" si="70"/>
        <v>14445.934530095037</v>
      </c>
      <c r="X112" s="154">
        <f t="shared" si="80"/>
        <v>-356.45066829996904</v>
      </c>
      <c r="Y112" s="134"/>
      <c r="Z112" s="155">
        <f t="shared" si="71"/>
        <v>136803</v>
      </c>
      <c r="AA112" s="156">
        <f t="shared" si="65"/>
        <v>-4095</v>
      </c>
      <c r="AB112" s="155">
        <f t="shared" si="72"/>
        <v>136803</v>
      </c>
      <c r="AC112" s="89">
        <v>1991</v>
      </c>
      <c r="AD112" s="89">
        <v>12</v>
      </c>
      <c r="AE112" s="110">
        <f>RESID!AC112</f>
        <v>31.65</v>
      </c>
      <c r="AF112" s="116">
        <f t="shared" si="73"/>
        <v>13884.477296726505</v>
      </c>
      <c r="AG112" s="89">
        <f t="shared" si="74"/>
        <v>131486</v>
      </c>
      <c r="AI112" s="134"/>
      <c r="AY112" s="89">
        <v>1991</v>
      </c>
      <c r="AZ112" s="89">
        <v>12</v>
      </c>
      <c r="BA112" s="89">
        <f>'[8]Gov 65 &amp; 70'!$S197</f>
        <v>48.7</v>
      </c>
      <c r="BB112" s="89">
        <f t="shared" si="83"/>
        <v>28.2</v>
      </c>
      <c r="BC112" s="111">
        <f t="shared" si="75"/>
        <v>-20.500000000000004</v>
      </c>
      <c r="BD112" s="113" t="s">
        <v>18</v>
      </c>
      <c r="BE112" s="89">
        <f>'[8]Gov 65 &amp; 70'!$J197</f>
        <v>123.7</v>
      </c>
      <c r="BF112" s="89">
        <f t="shared" si="84"/>
        <v>170</v>
      </c>
      <c r="BG112" s="112">
        <f t="shared" si="76"/>
        <v>46.3</v>
      </c>
      <c r="BH112" s="113" t="s">
        <v>18</v>
      </c>
      <c r="BI112" s="274">
        <f t="shared" si="77"/>
        <v>-4698.1900000000005</v>
      </c>
      <c r="BJ112" s="275">
        <f t="shared" si="78"/>
        <v>1878.8539999999998</v>
      </c>
      <c r="BK112" s="483">
        <f t="shared" si="79"/>
        <v>-2819</v>
      </c>
      <c r="BL112" s="277"/>
      <c r="BM112" s="113" t="s">
        <v>18</v>
      </c>
      <c r="BN112" s="89">
        <v>1991</v>
      </c>
      <c r="BO112" s="89">
        <v>12</v>
      </c>
      <c r="BP112" s="117"/>
      <c r="BT112" s="96"/>
    </row>
    <row r="113" spans="1:72">
      <c r="A113" s="4">
        <v>1992</v>
      </c>
      <c r="B113" s="4">
        <v>1</v>
      </c>
      <c r="C113" s="5">
        <v>131894</v>
      </c>
      <c r="D113" s="5">
        <v>9518</v>
      </c>
      <c r="E113" s="73">
        <f t="shared" si="62"/>
        <v>13857</v>
      </c>
      <c r="F113" s="540">
        <f t="shared" si="66"/>
        <v>9518</v>
      </c>
      <c r="H113" s="13" t="s">
        <v>18</v>
      </c>
      <c r="I113" s="76">
        <f>'[7]Gov 65 &amp; 70'!$S198</f>
        <v>24.4</v>
      </c>
      <c r="J113" s="76">
        <f t="shared" si="81"/>
        <v>28.7</v>
      </c>
      <c r="K113" s="362">
        <f t="shared" ref="K113:K144" si="85">(J113-I113)</f>
        <v>4.3000000000000007</v>
      </c>
      <c r="L113" s="200" t="s">
        <v>18</v>
      </c>
      <c r="M113" s="76">
        <f>'[7]Gov 65 &amp; 70'!$J198</f>
        <v>171.9</v>
      </c>
      <c r="N113" s="76">
        <f t="shared" si="82"/>
        <v>192.9</v>
      </c>
      <c r="O113" s="363">
        <f t="shared" ref="O113:O144" si="86">(N113-M113)</f>
        <v>21</v>
      </c>
      <c r="P113" s="13" t="s">
        <v>18</v>
      </c>
      <c r="Q113" s="77">
        <f t="shared" si="67"/>
        <v>985.47400000000016</v>
      </c>
      <c r="R113" s="78">
        <f t="shared" si="68"/>
        <v>852.18</v>
      </c>
      <c r="S113" s="479">
        <f t="shared" si="69"/>
        <v>1838</v>
      </c>
      <c r="T113" s="13" t="s">
        <v>18</v>
      </c>
      <c r="U113" s="4">
        <v>1992</v>
      </c>
      <c r="V113" s="4">
        <v>1</v>
      </c>
      <c r="W113" s="153">
        <f t="shared" si="70"/>
        <v>14050.430762765285</v>
      </c>
      <c r="X113" s="153">
        <f t="shared" si="80"/>
        <v>419.98631832083993</v>
      </c>
      <c r="Y113" s="80"/>
      <c r="Z113" s="98">
        <f t="shared" si="71"/>
        <v>133732</v>
      </c>
      <c r="AA113" s="119">
        <f t="shared" si="65"/>
        <v>1838</v>
      </c>
      <c r="AB113" s="98">
        <f t="shared" si="72"/>
        <v>133732</v>
      </c>
      <c r="AC113" s="4">
        <v>1992</v>
      </c>
      <c r="AD113" s="4">
        <v>1</v>
      </c>
      <c r="AE113" s="107">
        <f>RESID!AC113</f>
        <v>31.95</v>
      </c>
      <c r="AF113" s="40">
        <f t="shared" si="73"/>
        <v>13377.600336205085</v>
      </c>
      <c r="AG113" s="4">
        <f t="shared" si="74"/>
        <v>127328</v>
      </c>
      <c r="AI113" s="80"/>
      <c r="AY113" s="4">
        <v>1992</v>
      </c>
      <c r="AZ113" s="4">
        <v>1</v>
      </c>
      <c r="BA113" s="4">
        <f>'[8]Gov 65 &amp; 70'!$S198</f>
        <v>9.9</v>
      </c>
      <c r="BB113" s="4">
        <f t="shared" si="83"/>
        <v>23.9</v>
      </c>
      <c r="BC113" s="82">
        <f t="shared" si="75"/>
        <v>13.999999999999998</v>
      </c>
      <c r="BD113" s="36" t="s">
        <v>18</v>
      </c>
      <c r="BE113" s="4">
        <f>'[8]Gov 65 &amp; 70'!$J198</f>
        <v>227.6</v>
      </c>
      <c r="BF113" s="4">
        <f t="shared" si="84"/>
        <v>176.9</v>
      </c>
      <c r="BG113" s="83">
        <f t="shared" si="76"/>
        <v>-50.699999999999989</v>
      </c>
      <c r="BH113" s="36" t="s">
        <v>18</v>
      </c>
      <c r="BI113" s="273">
        <f t="shared" si="77"/>
        <v>3208.5199999999995</v>
      </c>
      <c r="BJ113" s="270">
        <f t="shared" si="78"/>
        <v>-2057.4059999999995</v>
      </c>
      <c r="BK113" s="482">
        <f t="shared" si="79"/>
        <v>1151</v>
      </c>
      <c r="BL113" s="276"/>
      <c r="BM113" s="36" t="s">
        <v>18</v>
      </c>
      <c r="BN113" s="4">
        <v>1992</v>
      </c>
      <c r="BO113" s="4">
        <v>1</v>
      </c>
      <c r="BP113" s="108"/>
    </row>
    <row r="114" spans="1:72">
      <c r="A114" s="4">
        <v>1992</v>
      </c>
      <c r="B114" s="4">
        <v>2</v>
      </c>
      <c r="C114" s="5">
        <v>129036</v>
      </c>
      <c r="D114" s="5">
        <v>9546</v>
      </c>
      <c r="E114" s="73">
        <f t="shared" si="62"/>
        <v>13517</v>
      </c>
      <c r="F114" s="540">
        <f t="shared" si="66"/>
        <v>9546</v>
      </c>
      <c r="H114" s="13" t="s">
        <v>18</v>
      </c>
      <c r="I114" s="76">
        <f>'[7]Gov 65 &amp; 70'!$S199</f>
        <v>12.6</v>
      </c>
      <c r="J114" s="76">
        <f t="shared" si="81"/>
        <v>22.6</v>
      </c>
      <c r="K114" s="362">
        <f t="shared" si="85"/>
        <v>10.000000000000002</v>
      </c>
      <c r="L114" s="200" t="s">
        <v>18</v>
      </c>
      <c r="M114" s="76">
        <f>'[7]Gov 65 &amp; 70'!$J199</f>
        <v>204.1</v>
      </c>
      <c r="N114" s="76">
        <f t="shared" si="82"/>
        <v>177.2</v>
      </c>
      <c r="O114" s="363">
        <f t="shared" si="86"/>
        <v>-26.900000000000006</v>
      </c>
      <c r="P114" s="13" t="s">
        <v>18</v>
      </c>
      <c r="Q114" s="77">
        <f t="shared" si="67"/>
        <v>2291.8000000000006</v>
      </c>
      <c r="R114" s="78">
        <f t="shared" si="68"/>
        <v>-1091.6020000000001</v>
      </c>
      <c r="S114" s="479">
        <f t="shared" si="69"/>
        <v>1200</v>
      </c>
      <c r="T114" s="13" t="s">
        <v>18</v>
      </c>
      <c r="U114" s="4">
        <v>1992</v>
      </c>
      <c r="V114" s="4">
        <v>2</v>
      </c>
      <c r="W114" s="153">
        <f t="shared" si="70"/>
        <v>13642.991829038341</v>
      </c>
      <c r="X114" s="153">
        <f t="shared" si="80"/>
        <v>-217.9316567328915</v>
      </c>
      <c r="Y114" s="80"/>
      <c r="Z114" s="98">
        <f t="shared" si="71"/>
        <v>130236</v>
      </c>
      <c r="AA114" s="119">
        <f t="shared" si="65"/>
        <v>1200</v>
      </c>
      <c r="AB114" s="98">
        <f t="shared" si="72"/>
        <v>130236</v>
      </c>
      <c r="AC114" s="4">
        <v>1992</v>
      </c>
      <c r="AD114" s="4">
        <v>2</v>
      </c>
      <c r="AE114" s="107">
        <f>RESID!AC114</f>
        <v>29.5</v>
      </c>
      <c r="AF114" s="40">
        <f t="shared" si="73"/>
        <v>14068.510370835953</v>
      </c>
      <c r="AG114" s="4">
        <f t="shared" si="74"/>
        <v>134298</v>
      </c>
      <c r="AI114" s="80"/>
      <c r="AY114" s="4">
        <v>1992</v>
      </c>
      <c r="AZ114" s="4">
        <v>2</v>
      </c>
      <c r="BA114" s="4">
        <f>'[8]Gov 65 &amp; 70'!$S199</f>
        <v>28.4</v>
      </c>
      <c r="BB114" s="4">
        <f t="shared" si="83"/>
        <v>32.799999999999997</v>
      </c>
      <c r="BC114" s="82">
        <f t="shared" si="75"/>
        <v>4.3999999999999986</v>
      </c>
      <c r="BD114" s="36" t="s">
        <v>18</v>
      </c>
      <c r="BE114" s="4">
        <f>'[8]Gov 65 &amp; 70'!$J199</f>
        <v>124.5</v>
      </c>
      <c r="BF114" s="4">
        <f t="shared" si="84"/>
        <v>139.1</v>
      </c>
      <c r="BG114" s="83">
        <f t="shared" si="76"/>
        <v>14.599999999999994</v>
      </c>
      <c r="BH114" s="36" t="s">
        <v>18</v>
      </c>
      <c r="BI114" s="273">
        <f t="shared" si="77"/>
        <v>1008.3919999999997</v>
      </c>
      <c r="BJ114" s="270">
        <f t="shared" si="78"/>
        <v>592.46799999999973</v>
      </c>
      <c r="BK114" s="482">
        <f t="shared" si="79"/>
        <v>1601</v>
      </c>
      <c r="BL114" s="276"/>
      <c r="BM114" s="36" t="s">
        <v>18</v>
      </c>
      <c r="BN114" s="4">
        <v>1992</v>
      </c>
      <c r="BO114" s="4">
        <v>2</v>
      </c>
      <c r="BP114" s="108"/>
    </row>
    <row r="115" spans="1:72">
      <c r="A115" s="4">
        <v>1992</v>
      </c>
      <c r="B115" s="4">
        <v>3</v>
      </c>
      <c r="C115" s="5">
        <v>131243</v>
      </c>
      <c r="D115" s="5">
        <v>9577</v>
      </c>
      <c r="E115" s="73">
        <f t="shared" si="62"/>
        <v>13704</v>
      </c>
      <c r="F115" s="540">
        <f t="shared" si="66"/>
        <v>9577</v>
      </c>
      <c r="H115" s="13" t="s">
        <v>18</v>
      </c>
      <c r="I115" s="76">
        <f>'[7]Gov 65 &amp; 70'!$S200</f>
        <v>44.8</v>
      </c>
      <c r="J115" s="76">
        <f t="shared" si="81"/>
        <v>44.5</v>
      </c>
      <c r="K115" s="362">
        <f t="shared" si="85"/>
        <v>-0.29999999999999716</v>
      </c>
      <c r="L115" s="200" t="s">
        <v>18</v>
      </c>
      <c r="M115" s="76">
        <f>'[7]Gov 65 &amp; 70'!$J200</f>
        <v>95.3</v>
      </c>
      <c r="N115" s="76">
        <f t="shared" si="82"/>
        <v>119.5</v>
      </c>
      <c r="O115" s="363">
        <f t="shared" si="86"/>
        <v>24.200000000000003</v>
      </c>
      <c r="P115" s="13" t="s">
        <v>18</v>
      </c>
      <c r="Q115" s="77">
        <f t="shared" si="67"/>
        <v>-68.753999999999351</v>
      </c>
      <c r="R115" s="78">
        <f t="shared" si="68"/>
        <v>982.03600000000006</v>
      </c>
      <c r="S115" s="479">
        <f t="shared" si="69"/>
        <v>913</v>
      </c>
      <c r="T115" s="13" t="s">
        <v>18</v>
      </c>
      <c r="U115" s="4">
        <v>1992</v>
      </c>
      <c r="V115" s="4">
        <v>3</v>
      </c>
      <c r="W115" s="153">
        <f t="shared" si="70"/>
        <v>13799.310848908844</v>
      </c>
      <c r="X115" s="153">
        <f t="shared" si="80"/>
        <v>-382.25678420768054</v>
      </c>
      <c r="Y115" s="80"/>
      <c r="Z115" s="98">
        <f t="shared" si="71"/>
        <v>132156</v>
      </c>
      <c r="AA115" s="119">
        <f t="shared" si="65"/>
        <v>913</v>
      </c>
      <c r="AB115" s="98">
        <f t="shared" si="72"/>
        <v>132156</v>
      </c>
      <c r="AC115" s="4">
        <v>1992</v>
      </c>
      <c r="AD115" s="4">
        <v>3</v>
      </c>
      <c r="AE115" s="107">
        <f>RESID!AC115</f>
        <v>29.4</v>
      </c>
      <c r="AF115" s="40">
        <f t="shared" si="73"/>
        <v>14278.062023598204</v>
      </c>
      <c r="AG115" s="4">
        <f t="shared" si="74"/>
        <v>136741</v>
      </c>
      <c r="AI115" s="80"/>
      <c r="AY115" s="4">
        <v>1992</v>
      </c>
      <c r="AZ115" s="4">
        <v>3</v>
      </c>
      <c r="BA115" s="4">
        <f>'[8]Gov 65 &amp; 70'!$S200</f>
        <v>47.6</v>
      </c>
      <c r="BB115" s="4">
        <f t="shared" si="83"/>
        <v>64.099999999999994</v>
      </c>
      <c r="BC115" s="82">
        <f t="shared" si="75"/>
        <v>16.499999999999993</v>
      </c>
      <c r="BD115" s="36" t="s">
        <v>18</v>
      </c>
      <c r="BE115" s="4">
        <f>'[8]Gov 65 &amp; 70'!$J200</f>
        <v>104.4</v>
      </c>
      <c r="BF115" s="4">
        <f t="shared" si="84"/>
        <v>85.4</v>
      </c>
      <c r="BG115" s="83">
        <f t="shared" si="76"/>
        <v>-19</v>
      </c>
      <c r="BH115" s="36" t="s">
        <v>18</v>
      </c>
      <c r="BI115" s="273">
        <f t="shared" si="77"/>
        <v>3781.4699999999984</v>
      </c>
      <c r="BJ115" s="270">
        <f t="shared" si="78"/>
        <v>-771.02</v>
      </c>
      <c r="BK115" s="482">
        <f t="shared" si="79"/>
        <v>3010</v>
      </c>
      <c r="BL115" s="276"/>
      <c r="BM115" s="36" t="s">
        <v>18</v>
      </c>
      <c r="BN115" s="4">
        <v>1992</v>
      </c>
      <c r="BO115" s="4">
        <v>3</v>
      </c>
      <c r="BP115" s="108"/>
    </row>
    <row r="116" spans="1:72">
      <c r="A116" s="4">
        <v>1992</v>
      </c>
      <c r="B116" s="4">
        <v>4</v>
      </c>
      <c r="C116" s="5">
        <v>131054</v>
      </c>
      <c r="D116" s="5">
        <v>9618</v>
      </c>
      <c r="E116" s="73">
        <f t="shared" si="62"/>
        <v>13626</v>
      </c>
      <c r="F116" s="540">
        <f t="shared" si="66"/>
        <v>9618</v>
      </c>
      <c r="H116" s="13" t="s">
        <v>18</v>
      </c>
      <c r="I116" s="76">
        <f>'[7]Gov 65 &amp; 70'!$S201</f>
        <v>48.9</v>
      </c>
      <c r="J116" s="76">
        <f t="shared" si="81"/>
        <v>87.7</v>
      </c>
      <c r="K116" s="362">
        <f t="shared" si="85"/>
        <v>38.800000000000004</v>
      </c>
      <c r="L116" s="200" t="s">
        <v>18</v>
      </c>
      <c r="M116" s="76">
        <f>'[7]Gov 65 &amp; 70'!$J201</f>
        <v>88.2</v>
      </c>
      <c r="N116" s="76">
        <f t="shared" si="82"/>
        <v>60.3</v>
      </c>
      <c r="O116" s="363">
        <f t="shared" si="86"/>
        <v>-27.900000000000006</v>
      </c>
      <c r="P116" s="13" t="s">
        <v>18</v>
      </c>
      <c r="Q116" s="77">
        <f t="shared" si="67"/>
        <v>8892.1840000000011</v>
      </c>
      <c r="R116" s="78">
        <f t="shared" si="68"/>
        <v>-1132.1820000000002</v>
      </c>
      <c r="S116" s="479">
        <f t="shared" si="69"/>
        <v>7760</v>
      </c>
      <c r="T116" s="13" t="s">
        <v>18</v>
      </c>
      <c r="U116" s="4">
        <v>1992</v>
      </c>
      <c r="V116" s="4">
        <v>4</v>
      </c>
      <c r="W116" s="153">
        <f t="shared" si="70"/>
        <v>14432.730297359118</v>
      </c>
      <c r="X116" s="153">
        <f t="shared" si="80"/>
        <v>463.83261629526532</v>
      </c>
      <c r="Y116" s="80"/>
      <c r="Z116" s="98">
        <f t="shared" si="71"/>
        <v>138814</v>
      </c>
      <c r="AA116" s="119">
        <f t="shared" si="65"/>
        <v>7760</v>
      </c>
      <c r="AB116" s="98">
        <f t="shared" si="72"/>
        <v>138814</v>
      </c>
      <c r="AC116" s="4">
        <v>1992</v>
      </c>
      <c r="AD116" s="4">
        <v>4</v>
      </c>
      <c r="AE116" s="107">
        <f>RESID!AC116</f>
        <v>29.75</v>
      </c>
      <c r="AF116" s="40">
        <f t="shared" si="73"/>
        <v>14757.745893117071</v>
      </c>
      <c r="AG116" s="4">
        <f t="shared" si="74"/>
        <v>141940</v>
      </c>
      <c r="AI116" s="80"/>
      <c r="AY116" s="4">
        <v>1992</v>
      </c>
      <c r="AZ116" s="4">
        <v>4</v>
      </c>
      <c r="BA116" s="4">
        <f>'[8]Gov 65 &amp; 70'!$S201</f>
        <v>86.9</v>
      </c>
      <c r="BB116" s="4">
        <f t="shared" si="83"/>
        <v>122</v>
      </c>
      <c r="BC116" s="82">
        <f t="shared" si="75"/>
        <v>35.099999999999994</v>
      </c>
      <c r="BD116" s="36" t="s">
        <v>18</v>
      </c>
      <c r="BE116" s="4">
        <f>'[8]Gov 65 &amp; 70'!$J201</f>
        <v>50.9</v>
      </c>
      <c r="BF116" s="4">
        <f t="shared" si="84"/>
        <v>34.700000000000003</v>
      </c>
      <c r="BG116" s="83">
        <f t="shared" si="76"/>
        <v>-16.199999999999996</v>
      </c>
      <c r="BH116" s="36" t="s">
        <v>18</v>
      </c>
      <c r="BI116" s="273">
        <f t="shared" si="77"/>
        <v>8044.2179999999989</v>
      </c>
      <c r="BJ116" s="270">
        <f t="shared" si="78"/>
        <v>-657.39599999999984</v>
      </c>
      <c r="BK116" s="482">
        <f t="shared" si="79"/>
        <v>7387</v>
      </c>
      <c r="BL116" s="276"/>
      <c r="BM116" s="36" t="s">
        <v>18</v>
      </c>
      <c r="BN116" s="4">
        <v>1992</v>
      </c>
      <c r="BO116" s="4">
        <v>4</v>
      </c>
      <c r="BP116" s="108"/>
    </row>
    <row r="117" spans="1:72">
      <c r="A117" s="4">
        <v>1992</v>
      </c>
      <c r="B117" s="4">
        <v>5</v>
      </c>
      <c r="C117" s="5">
        <v>141346</v>
      </c>
      <c r="D117" s="5">
        <v>9644</v>
      </c>
      <c r="E117" s="73">
        <f t="shared" si="62"/>
        <v>14656</v>
      </c>
      <c r="F117" s="540">
        <f t="shared" si="66"/>
        <v>9644</v>
      </c>
      <c r="H117" s="13" t="s">
        <v>18</v>
      </c>
      <c r="I117" s="76">
        <f>'[7]Gov 65 &amp; 70'!$S202</f>
        <v>111.6</v>
      </c>
      <c r="J117" s="76">
        <f t="shared" si="81"/>
        <v>157.69999999999999</v>
      </c>
      <c r="K117" s="362">
        <f t="shared" si="85"/>
        <v>46.099999999999994</v>
      </c>
      <c r="L117" s="200" t="s">
        <v>18</v>
      </c>
      <c r="M117" s="76">
        <f>'[7]Gov 65 &amp; 70'!$J202</f>
        <v>40.1</v>
      </c>
      <c r="N117" s="76">
        <f t="shared" si="82"/>
        <v>18.600000000000001</v>
      </c>
      <c r="O117" s="363">
        <f t="shared" si="86"/>
        <v>-21.5</v>
      </c>
      <c r="P117" s="13" t="s">
        <v>18</v>
      </c>
      <c r="Q117" s="77">
        <f t="shared" si="67"/>
        <v>10565.197999999999</v>
      </c>
      <c r="R117" s="78">
        <f t="shared" si="68"/>
        <v>-872.46999999999991</v>
      </c>
      <c r="S117" s="479">
        <f t="shared" si="69"/>
        <v>9693</v>
      </c>
      <c r="T117" s="13" t="s">
        <v>18</v>
      </c>
      <c r="U117" s="4">
        <v>1992</v>
      </c>
      <c r="V117" s="4">
        <v>5</v>
      </c>
      <c r="W117" s="153">
        <f t="shared" si="70"/>
        <v>15661.447532144339</v>
      </c>
      <c r="X117" s="153">
        <f t="shared" si="80"/>
        <v>1388.4514743256805</v>
      </c>
      <c r="Y117" s="80"/>
      <c r="Z117" s="98">
        <f t="shared" si="71"/>
        <v>151039</v>
      </c>
      <c r="AA117" s="119">
        <f t="shared" si="65"/>
        <v>9693</v>
      </c>
      <c r="AB117" s="98">
        <f t="shared" si="72"/>
        <v>151039</v>
      </c>
      <c r="AC117" s="4">
        <v>1992</v>
      </c>
      <c r="AD117" s="4">
        <v>5</v>
      </c>
      <c r="AE117" s="107">
        <f>RESID!AC117</f>
        <v>30.5</v>
      </c>
      <c r="AF117" s="40">
        <f t="shared" si="73"/>
        <v>15620.385732061384</v>
      </c>
      <c r="AG117" s="4">
        <f t="shared" si="74"/>
        <v>150643</v>
      </c>
      <c r="AI117" s="80"/>
      <c r="AY117" s="4">
        <v>1992</v>
      </c>
      <c r="AZ117" s="4">
        <v>5</v>
      </c>
      <c r="BA117" s="4">
        <f>'[8]Gov 65 &amp; 70'!$S202</f>
        <v>182.8</v>
      </c>
      <c r="BB117" s="4">
        <f t="shared" si="83"/>
        <v>253</v>
      </c>
      <c r="BC117" s="82">
        <f t="shared" si="75"/>
        <v>70.199999999999989</v>
      </c>
      <c r="BD117" s="36" t="s">
        <v>18</v>
      </c>
      <c r="BE117" s="4">
        <f>'[8]Gov 65 &amp; 70'!$J202</f>
        <v>18.5</v>
      </c>
      <c r="BF117" s="4">
        <f t="shared" si="84"/>
        <v>4.3</v>
      </c>
      <c r="BG117" s="83">
        <f t="shared" si="76"/>
        <v>-14.2</v>
      </c>
      <c r="BH117" s="36" t="s">
        <v>18</v>
      </c>
      <c r="BI117" s="273">
        <f t="shared" si="77"/>
        <v>16088.435999999998</v>
      </c>
      <c r="BJ117" s="270">
        <f t="shared" si="78"/>
        <v>-576.23599999999999</v>
      </c>
      <c r="BK117" s="482">
        <f t="shared" si="79"/>
        <v>15512</v>
      </c>
      <c r="BL117" s="276"/>
      <c r="BM117" s="36" t="s">
        <v>18</v>
      </c>
      <c r="BN117" s="4">
        <v>1992</v>
      </c>
      <c r="BO117" s="4">
        <v>5</v>
      </c>
      <c r="BP117" s="108"/>
    </row>
    <row r="118" spans="1:72">
      <c r="A118" s="4">
        <v>1992</v>
      </c>
      <c r="B118" s="4">
        <v>6</v>
      </c>
      <c r="C118" s="5">
        <v>151535</v>
      </c>
      <c r="D118" s="5">
        <v>9652</v>
      </c>
      <c r="E118" s="73">
        <f t="shared" si="62"/>
        <v>15700</v>
      </c>
      <c r="F118" s="540">
        <f t="shared" si="66"/>
        <v>9652</v>
      </c>
      <c r="H118" s="13" t="s">
        <v>18</v>
      </c>
      <c r="I118" s="76">
        <f>'[7]Gov 65 &amp; 70'!$S203</f>
        <v>253.4</v>
      </c>
      <c r="J118" s="76">
        <f t="shared" si="81"/>
        <v>295.39999999999998</v>
      </c>
      <c r="K118" s="362">
        <f t="shared" si="85"/>
        <v>41.999999999999972</v>
      </c>
      <c r="L118" s="200" t="s">
        <v>18</v>
      </c>
      <c r="M118" s="76">
        <f>'[7]Gov 65 &amp; 70'!$J203</f>
        <v>7.7</v>
      </c>
      <c r="N118" s="76">
        <f t="shared" si="82"/>
        <v>2.2000000000000002</v>
      </c>
      <c r="O118" s="363">
        <f t="shared" si="86"/>
        <v>-5.5</v>
      </c>
      <c r="P118" s="13" t="s">
        <v>18</v>
      </c>
      <c r="Q118" s="77">
        <f t="shared" si="67"/>
        <v>9625.559999999994</v>
      </c>
      <c r="R118" s="78">
        <f t="shared" si="68"/>
        <v>-223.19</v>
      </c>
      <c r="S118" s="479">
        <f t="shared" si="69"/>
        <v>9402</v>
      </c>
      <c r="T118" s="13" t="s">
        <v>18</v>
      </c>
      <c r="U118" s="4">
        <v>1992</v>
      </c>
      <c r="V118" s="4">
        <v>6</v>
      </c>
      <c r="W118" s="153">
        <f t="shared" si="70"/>
        <v>16673.953584749273</v>
      </c>
      <c r="X118" s="153">
        <f t="shared" si="80"/>
        <v>-144.039191873253</v>
      </c>
      <c r="Y118" s="80"/>
      <c r="Z118" s="98">
        <f t="shared" si="71"/>
        <v>160937</v>
      </c>
      <c r="AA118" s="119">
        <f t="shared" si="65"/>
        <v>9402</v>
      </c>
      <c r="AB118" s="98">
        <f t="shared" si="72"/>
        <v>160937</v>
      </c>
      <c r="AC118" s="4">
        <v>1992</v>
      </c>
      <c r="AD118" s="4">
        <v>6</v>
      </c>
      <c r="AE118" s="107">
        <f>RESID!AC118</f>
        <v>30.75</v>
      </c>
      <c r="AF118" s="40">
        <f t="shared" si="73"/>
        <v>16495.026937422295</v>
      </c>
      <c r="AG118" s="4">
        <f t="shared" si="74"/>
        <v>159210</v>
      </c>
      <c r="AI118" s="80"/>
      <c r="AY118" s="4">
        <v>1992</v>
      </c>
      <c r="AZ118" s="4">
        <v>6</v>
      </c>
      <c r="BA118" s="4">
        <f>'[8]Gov 65 &amp; 70'!$S203</f>
        <v>329.8</v>
      </c>
      <c r="BB118" s="4">
        <f t="shared" si="83"/>
        <v>336.1</v>
      </c>
      <c r="BC118" s="82">
        <f t="shared" si="75"/>
        <v>6.3000000000000114</v>
      </c>
      <c r="BD118" s="36" t="s">
        <v>18</v>
      </c>
      <c r="BE118" s="4">
        <f>'[8]Gov 65 &amp; 70'!$J203</f>
        <v>0.1</v>
      </c>
      <c r="BF118" s="4">
        <f t="shared" si="84"/>
        <v>0</v>
      </c>
      <c r="BG118" s="83">
        <f t="shared" si="76"/>
        <v>-0.1</v>
      </c>
      <c r="BH118" s="36" t="s">
        <v>18</v>
      </c>
      <c r="BI118" s="273">
        <f t="shared" si="77"/>
        <v>1443.8340000000026</v>
      </c>
      <c r="BJ118" s="270">
        <f t="shared" si="78"/>
        <v>-4.0579999999999998</v>
      </c>
      <c r="BK118" s="482">
        <f t="shared" si="79"/>
        <v>1440</v>
      </c>
      <c r="BL118" s="276"/>
      <c r="BM118" s="36" t="s">
        <v>18</v>
      </c>
      <c r="BN118" s="4">
        <v>1992</v>
      </c>
      <c r="BO118" s="4">
        <v>6</v>
      </c>
      <c r="BP118" s="108"/>
    </row>
    <row r="119" spans="1:72">
      <c r="A119" s="4">
        <v>1992</v>
      </c>
      <c r="B119" s="4">
        <v>7</v>
      </c>
      <c r="C119" s="5">
        <v>157949</v>
      </c>
      <c r="D119" s="5">
        <v>9657</v>
      </c>
      <c r="E119" s="73">
        <f t="shared" si="62"/>
        <v>16356</v>
      </c>
      <c r="F119" s="540">
        <f t="shared" si="66"/>
        <v>9657</v>
      </c>
      <c r="H119" s="13" t="s">
        <v>18</v>
      </c>
      <c r="I119" s="76">
        <f>'[7]Gov 65 &amp; 70'!$S204</f>
        <v>376.9</v>
      </c>
      <c r="J119" s="76">
        <f t="shared" si="81"/>
        <v>363.4</v>
      </c>
      <c r="K119" s="362">
        <f t="shared" si="85"/>
        <v>-13.5</v>
      </c>
      <c r="L119" s="200" t="s">
        <v>18</v>
      </c>
      <c r="M119" s="76">
        <f>'[7]Gov 65 &amp; 70'!$J204</f>
        <v>0</v>
      </c>
      <c r="N119" s="76">
        <f t="shared" si="82"/>
        <v>0</v>
      </c>
      <c r="O119" s="363">
        <f t="shared" si="86"/>
        <v>0</v>
      </c>
      <c r="P119" s="13" t="s">
        <v>18</v>
      </c>
      <c r="Q119" s="77">
        <f t="shared" si="67"/>
        <v>-3093.9300000000003</v>
      </c>
      <c r="R119" s="78">
        <f t="shared" si="68"/>
        <v>0</v>
      </c>
      <c r="S119" s="479">
        <f t="shared" si="69"/>
        <v>-3094</v>
      </c>
      <c r="T119" s="13" t="s">
        <v>18</v>
      </c>
      <c r="U119" s="4">
        <v>1992</v>
      </c>
      <c r="V119" s="4">
        <v>7</v>
      </c>
      <c r="W119" s="153">
        <f t="shared" si="70"/>
        <v>16035.518276897586</v>
      </c>
      <c r="X119" s="153">
        <f t="shared" si="80"/>
        <v>138.95901966110432</v>
      </c>
      <c r="Y119" s="80"/>
      <c r="Z119" s="98">
        <f t="shared" si="71"/>
        <v>154855</v>
      </c>
      <c r="AA119" s="119">
        <f t="shared" si="65"/>
        <v>-3094</v>
      </c>
      <c r="AB119" s="98">
        <f t="shared" si="72"/>
        <v>154855</v>
      </c>
      <c r="AC119" s="4">
        <v>1992</v>
      </c>
      <c r="AD119" s="4">
        <v>7</v>
      </c>
      <c r="AE119" s="107">
        <f>RESID!AC119</f>
        <v>30.8</v>
      </c>
      <c r="AF119" s="40">
        <f t="shared" si="73"/>
        <v>15837.630734182458</v>
      </c>
      <c r="AG119" s="4">
        <f t="shared" si="74"/>
        <v>152944</v>
      </c>
      <c r="AI119" s="80"/>
      <c r="AY119" s="4">
        <v>1992</v>
      </c>
      <c r="AZ119" s="4">
        <v>7</v>
      </c>
      <c r="BA119" s="4">
        <f>'[8]Gov 65 &amp; 70'!$S204</f>
        <v>433.5</v>
      </c>
      <c r="BB119" s="4">
        <f t="shared" si="83"/>
        <v>391.2</v>
      </c>
      <c r="BC119" s="82">
        <f t="shared" si="75"/>
        <v>-42.300000000000011</v>
      </c>
      <c r="BD119" s="36" t="s">
        <v>18</v>
      </c>
      <c r="BE119" s="4">
        <f>'[8]Gov 65 &amp; 70'!$J204</f>
        <v>0</v>
      </c>
      <c r="BF119" s="4">
        <f t="shared" si="84"/>
        <v>0</v>
      </c>
      <c r="BG119" s="83">
        <f t="shared" si="76"/>
        <v>0</v>
      </c>
      <c r="BH119" s="36" t="s">
        <v>18</v>
      </c>
      <c r="BI119" s="273">
        <f t="shared" si="77"/>
        <v>-9694.3140000000021</v>
      </c>
      <c r="BJ119" s="270">
        <f t="shared" si="78"/>
        <v>0</v>
      </c>
      <c r="BK119" s="482">
        <f t="shared" si="79"/>
        <v>-9694</v>
      </c>
      <c r="BL119" s="276"/>
      <c r="BM119" s="36" t="s">
        <v>18</v>
      </c>
      <c r="BN119" s="4">
        <v>1992</v>
      </c>
      <c r="BO119" s="4">
        <v>7</v>
      </c>
      <c r="BP119" s="108"/>
    </row>
    <row r="120" spans="1:72">
      <c r="A120" s="4">
        <v>1992</v>
      </c>
      <c r="B120" s="4">
        <v>8</v>
      </c>
      <c r="C120" s="5">
        <v>160834</v>
      </c>
      <c r="D120" s="5">
        <v>9678</v>
      </c>
      <c r="E120" s="73">
        <f t="shared" si="62"/>
        <v>16619</v>
      </c>
      <c r="F120" s="540">
        <f t="shared" si="66"/>
        <v>9678</v>
      </c>
      <c r="H120" s="13" t="s">
        <v>18</v>
      </c>
      <c r="I120" s="76">
        <f>'[7]Gov 65 &amp; 70'!$S205</f>
        <v>403</v>
      </c>
      <c r="J120" s="76">
        <f t="shared" si="81"/>
        <v>390.1</v>
      </c>
      <c r="K120" s="362">
        <f t="shared" si="85"/>
        <v>-12.899999999999977</v>
      </c>
      <c r="L120" s="200" t="s">
        <v>18</v>
      </c>
      <c r="M120" s="76">
        <f>'[7]Gov 65 &amp; 70'!$J205</f>
        <v>0</v>
      </c>
      <c r="N120" s="76">
        <f t="shared" si="82"/>
        <v>0</v>
      </c>
      <c r="O120" s="363">
        <f t="shared" si="86"/>
        <v>0</v>
      </c>
      <c r="P120" s="13" t="s">
        <v>18</v>
      </c>
      <c r="Q120" s="77">
        <f t="shared" si="67"/>
        <v>-2956.421999999995</v>
      </c>
      <c r="R120" s="78">
        <f t="shared" si="68"/>
        <v>0</v>
      </c>
      <c r="S120" s="479">
        <f t="shared" si="69"/>
        <v>-2956</v>
      </c>
      <c r="T120" s="13" t="s">
        <v>18</v>
      </c>
      <c r="U120" s="4">
        <v>1992</v>
      </c>
      <c r="V120" s="4">
        <v>8</v>
      </c>
      <c r="W120" s="153">
        <f t="shared" si="70"/>
        <v>16313.081215127091</v>
      </c>
      <c r="X120" s="153">
        <f t="shared" si="80"/>
        <v>-226.84273924553418</v>
      </c>
      <c r="Y120" s="80"/>
      <c r="Z120" s="98">
        <f t="shared" si="71"/>
        <v>157878</v>
      </c>
      <c r="AA120" s="119">
        <f t="shared" si="65"/>
        <v>-2956</v>
      </c>
      <c r="AB120" s="98">
        <f t="shared" si="72"/>
        <v>157878</v>
      </c>
      <c r="AC120" s="4">
        <v>1992</v>
      </c>
      <c r="AD120" s="4">
        <v>8</v>
      </c>
      <c r="AE120" s="107">
        <f>RESID!AC120</f>
        <v>30.8</v>
      </c>
      <c r="AF120" s="40">
        <f t="shared" si="73"/>
        <v>16111.799958669146</v>
      </c>
      <c r="AG120" s="4">
        <f t="shared" si="74"/>
        <v>155930</v>
      </c>
      <c r="AI120" s="80"/>
      <c r="AY120" s="4">
        <v>1992</v>
      </c>
      <c r="AZ120" s="4">
        <v>8</v>
      </c>
      <c r="BA120" s="4">
        <f>'[8]Gov 65 &amp; 70'!$S205</f>
        <v>370.6</v>
      </c>
      <c r="BB120" s="4">
        <f t="shared" si="83"/>
        <v>394.4</v>
      </c>
      <c r="BC120" s="82">
        <f t="shared" si="75"/>
        <v>23.799999999999955</v>
      </c>
      <c r="BD120" s="36" t="s">
        <v>18</v>
      </c>
      <c r="BE120" s="4">
        <f>'[8]Gov 65 &amp; 70'!$J205</f>
        <v>0.1</v>
      </c>
      <c r="BF120" s="4">
        <f t="shared" si="84"/>
        <v>0</v>
      </c>
      <c r="BG120" s="83">
        <f t="shared" si="76"/>
        <v>-0.1</v>
      </c>
      <c r="BH120" s="36" t="s">
        <v>18</v>
      </c>
      <c r="BI120" s="273">
        <f t="shared" si="77"/>
        <v>5454.4839999999895</v>
      </c>
      <c r="BJ120" s="270">
        <f t="shared" si="78"/>
        <v>-4.0579999999999998</v>
      </c>
      <c r="BK120" s="482">
        <f t="shared" si="79"/>
        <v>5450</v>
      </c>
      <c r="BL120" s="276"/>
      <c r="BM120" s="36" t="s">
        <v>18</v>
      </c>
      <c r="BN120" s="4">
        <v>1992</v>
      </c>
      <c r="BO120" s="4">
        <v>8</v>
      </c>
      <c r="BP120" s="108"/>
    </row>
    <row r="121" spans="1:72">
      <c r="A121" s="4">
        <v>1992</v>
      </c>
      <c r="B121" s="4">
        <v>9</v>
      </c>
      <c r="C121" s="5">
        <v>164593</v>
      </c>
      <c r="D121" s="5">
        <v>9752</v>
      </c>
      <c r="E121" s="73">
        <f t="shared" si="62"/>
        <v>16878</v>
      </c>
      <c r="F121" s="540">
        <f t="shared" si="66"/>
        <v>9752</v>
      </c>
      <c r="H121" s="13" t="s">
        <v>18</v>
      </c>
      <c r="I121" s="76">
        <f>'[7]Gov 65 &amp; 70'!$S206</f>
        <v>358.3</v>
      </c>
      <c r="J121" s="76">
        <f t="shared" si="81"/>
        <v>381.2</v>
      </c>
      <c r="K121" s="362">
        <f t="shared" si="85"/>
        <v>22.899999999999977</v>
      </c>
      <c r="L121" s="200" t="s">
        <v>18</v>
      </c>
      <c r="M121" s="76">
        <f>'[7]Gov 65 &amp; 70'!$J206</f>
        <v>0.1</v>
      </c>
      <c r="N121" s="76">
        <f t="shared" si="82"/>
        <v>0</v>
      </c>
      <c r="O121" s="363">
        <f t="shared" si="86"/>
        <v>-0.1</v>
      </c>
      <c r="P121" s="13" t="s">
        <v>18</v>
      </c>
      <c r="Q121" s="77">
        <f t="shared" si="67"/>
        <v>5248.2219999999952</v>
      </c>
      <c r="R121" s="78">
        <f t="shared" si="68"/>
        <v>-4.0579999999999998</v>
      </c>
      <c r="S121" s="479">
        <f t="shared" si="69"/>
        <v>5244</v>
      </c>
      <c r="T121" s="13" t="s">
        <v>18</v>
      </c>
      <c r="U121" s="4">
        <v>1992</v>
      </c>
      <c r="V121" s="4">
        <v>9</v>
      </c>
      <c r="W121" s="153">
        <f t="shared" si="70"/>
        <v>17415.607054963086</v>
      </c>
      <c r="X121" s="153">
        <f t="shared" si="80"/>
        <v>-365.76422576136247</v>
      </c>
      <c r="Y121" s="80"/>
      <c r="Z121" s="98">
        <f t="shared" si="71"/>
        <v>169837</v>
      </c>
      <c r="AA121" s="119">
        <f t="shared" si="65"/>
        <v>5244</v>
      </c>
      <c r="AB121" s="98">
        <f t="shared" si="72"/>
        <v>169837</v>
      </c>
      <c r="AC121" s="4">
        <v>1992</v>
      </c>
      <c r="AD121" s="4">
        <v>9</v>
      </c>
      <c r="AE121" s="107">
        <f>RESID!AC121</f>
        <v>30.25</v>
      </c>
      <c r="AF121" s="40">
        <f t="shared" si="73"/>
        <v>17513.433141919606</v>
      </c>
      <c r="AG121" s="4">
        <f t="shared" si="74"/>
        <v>170791</v>
      </c>
      <c r="AI121" s="80"/>
      <c r="AY121" s="4">
        <v>1992</v>
      </c>
      <c r="AZ121" s="4">
        <v>9</v>
      </c>
      <c r="BA121" s="4">
        <f>'[8]Gov 65 &amp; 70'!$S206</f>
        <v>340.2</v>
      </c>
      <c r="BB121" s="4">
        <f t="shared" si="83"/>
        <v>339.3</v>
      </c>
      <c r="BC121" s="82">
        <f t="shared" si="75"/>
        <v>-0.89999999999997726</v>
      </c>
      <c r="BD121" s="36" t="s">
        <v>18</v>
      </c>
      <c r="BE121" s="4">
        <f>'[8]Gov 65 &amp; 70'!$J206</f>
        <v>0</v>
      </c>
      <c r="BF121" s="4">
        <f t="shared" si="84"/>
        <v>0</v>
      </c>
      <c r="BG121" s="83">
        <f t="shared" si="76"/>
        <v>0</v>
      </c>
      <c r="BH121" s="36" t="s">
        <v>18</v>
      </c>
      <c r="BI121" s="273">
        <f t="shared" si="77"/>
        <v>-206.2619999999948</v>
      </c>
      <c r="BJ121" s="270">
        <f t="shared" si="78"/>
        <v>0</v>
      </c>
      <c r="BK121" s="482">
        <f t="shared" si="79"/>
        <v>-206</v>
      </c>
      <c r="BL121" s="276"/>
      <c r="BM121" s="36" t="s">
        <v>18</v>
      </c>
      <c r="BN121" s="4">
        <v>1992</v>
      </c>
      <c r="BO121" s="4">
        <v>9</v>
      </c>
      <c r="BP121" s="108"/>
    </row>
    <row r="122" spans="1:72">
      <c r="A122" s="4">
        <v>1992</v>
      </c>
      <c r="B122" s="4">
        <v>10</v>
      </c>
      <c r="C122" s="5">
        <v>167065</v>
      </c>
      <c r="D122" s="5">
        <v>9813</v>
      </c>
      <c r="E122" s="73">
        <f t="shared" si="62"/>
        <v>17025</v>
      </c>
      <c r="F122" s="540">
        <f t="shared" si="66"/>
        <v>9813</v>
      </c>
      <c r="H122" s="13" t="s">
        <v>18</v>
      </c>
      <c r="I122" s="76">
        <f>'[7]Gov 65 &amp; 70'!$S207</f>
        <v>263.3</v>
      </c>
      <c r="J122" s="76">
        <f t="shared" si="81"/>
        <v>287.8</v>
      </c>
      <c r="K122" s="362">
        <f t="shared" si="85"/>
        <v>24.5</v>
      </c>
      <c r="L122" s="200" t="s">
        <v>18</v>
      </c>
      <c r="M122" s="76">
        <f>'[7]Gov 65 &amp; 70'!$J207</f>
        <v>4.2</v>
      </c>
      <c r="N122" s="76">
        <f t="shared" si="82"/>
        <v>2.5</v>
      </c>
      <c r="O122" s="363">
        <f t="shared" si="86"/>
        <v>-1.7000000000000002</v>
      </c>
      <c r="P122" s="13" t="s">
        <v>18</v>
      </c>
      <c r="Q122" s="77">
        <f t="shared" si="67"/>
        <v>5614.91</v>
      </c>
      <c r="R122" s="78">
        <f t="shared" si="68"/>
        <v>-68.986000000000004</v>
      </c>
      <c r="S122" s="479">
        <f t="shared" si="69"/>
        <v>5546</v>
      </c>
      <c r="T122" s="13" t="s">
        <v>18</v>
      </c>
      <c r="U122" s="4">
        <v>1992</v>
      </c>
      <c r="V122" s="4">
        <v>10</v>
      </c>
      <c r="W122" s="153">
        <f t="shared" si="70"/>
        <v>17590.033628859677</v>
      </c>
      <c r="X122" s="153">
        <f t="shared" si="80"/>
        <v>10.696647849057626</v>
      </c>
      <c r="Y122" s="80"/>
      <c r="Z122" s="98">
        <f t="shared" si="71"/>
        <v>172611</v>
      </c>
      <c r="AA122" s="119">
        <f t="shared" si="65"/>
        <v>5546</v>
      </c>
      <c r="AB122" s="98">
        <f t="shared" si="72"/>
        <v>172611</v>
      </c>
      <c r="AC122" s="4">
        <v>1992</v>
      </c>
      <c r="AD122" s="4">
        <v>10</v>
      </c>
      <c r="AE122" s="107">
        <f>RESID!AC122</f>
        <v>29.95</v>
      </c>
      <c r="AF122" s="40">
        <f t="shared" si="73"/>
        <v>17866.095995108531</v>
      </c>
      <c r="AG122" s="4">
        <f t="shared" si="74"/>
        <v>175320</v>
      </c>
      <c r="AI122" s="80"/>
      <c r="AY122" s="4">
        <v>1992</v>
      </c>
      <c r="AZ122" s="4">
        <v>10</v>
      </c>
      <c r="BA122" s="4">
        <f>'[8]Gov 65 &amp; 70'!$S207</f>
        <v>128.80000000000001</v>
      </c>
      <c r="BB122" s="4">
        <f t="shared" si="83"/>
        <v>200.4</v>
      </c>
      <c r="BC122" s="82">
        <f t="shared" si="75"/>
        <v>71.599999999999994</v>
      </c>
      <c r="BD122" s="36" t="s">
        <v>18</v>
      </c>
      <c r="BE122" s="4">
        <f>'[8]Gov 65 &amp; 70'!$J207</f>
        <v>16.100000000000001</v>
      </c>
      <c r="BF122" s="4">
        <f t="shared" si="84"/>
        <v>15</v>
      </c>
      <c r="BG122" s="83">
        <f t="shared" si="76"/>
        <v>-1.1000000000000014</v>
      </c>
      <c r="BH122" s="36" t="s">
        <v>18</v>
      </c>
      <c r="BI122" s="273">
        <f t="shared" si="77"/>
        <v>16409.288</v>
      </c>
      <c r="BJ122" s="270">
        <f t="shared" si="78"/>
        <v>-44.638000000000055</v>
      </c>
      <c r="BK122" s="482">
        <f t="shared" si="79"/>
        <v>16365</v>
      </c>
      <c r="BL122" s="276"/>
      <c r="BM122" s="36" t="s">
        <v>18</v>
      </c>
      <c r="BN122" s="4">
        <v>1992</v>
      </c>
      <c r="BO122" s="4">
        <v>10</v>
      </c>
      <c r="BP122" s="108"/>
    </row>
    <row r="123" spans="1:72">
      <c r="A123" s="4">
        <v>1992</v>
      </c>
      <c r="B123" s="4">
        <v>11</v>
      </c>
      <c r="C123" s="5">
        <v>150829</v>
      </c>
      <c r="D123" s="5">
        <v>10416</v>
      </c>
      <c r="E123" s="73">
        <f t="shared" si="62"/>
        <v>14481</v>
      </c>
      <c r="F123" s="540">
        <f t="shared" si="66"/>
        <v>10416</v>
      </c>
      <c r="H123" s="13" t="s">
        <v>18</v>
      </c>
      <c r="I123" s="76">
        <f>'[7]Gov 65 &amp; 70'!$S208</f>
        <v>118.9</v>
      </c>
      <c r="J123" s="76">
        <f t="shared" si="81"/>
        <v>140.19999999999999</v>
      </c>
      <c r="K123" s="362">
        <f t="shared" si="85"/>
        <v>21.299999999999983</v>
      </c>
      <c r="L123" s="200" t="s">
        <v>18</v>
      </c>
      <c r="M123" s="76">
        <f>'[7]Gov 65 &amp; 70'!$J208</f>
        <v>27.1</v>
      </c>
      <c r="N123" s="76">
        <f t="shared" si="82"/>
        <v>38.6</v>
      </c>
      <c r="O123" s="363">
        <f t="shared" si="86"/>
        <v>11.5</v>
      </c>
      <c r="P123" s="13" t="s">
        <v>18</v>
      </c>
      <c r="Q123" s="77">
        <f t="shared" si="67"/>
        <v>4881.533999999996</v>
      </c>
      <c r="R123" s="78">
        <f t="shared" si="68"/>
        <v>466.66999999999996</v>
      </c>
      <c r="S123" s="479">
        <f t="shared" si="69"/>
        <v>5348</v>
      </c>
      <c r="T123" s="13" t="s">
        <v>18</v>
      </c>
      <c r="U123" s="4">
        <v>1992</v>
      </c>
      <c r="V123" s="4">
        <v>11</v>
      </c>
      <c r="W123" s="153">
        <f t="shared" si="70"/>
        <v>14993.951612903225</v>
      </c>
      <c r="X123" s="153">
        <f t="shared" si="80"/>
        <v>-414.70070392425805</v>
      </c>
      <c r="Y123" s="80"/>
      <c r="Z123" s="98">
        <f t="shared" si="71"/>
        <v>156177</v>
      </c>
      <c r="AA123" s="119">
        <f t="shared" si="65"/>
        <v>5348</v>
      </c>
      <c r="AB123" s="98">
        <f t="shared" si="72"/>
        <v>156177</v>
      </c>
      <c r="AC123" s="4">
        <v>1992</v>
      </c>
      <c r="AD123" s="4">
        <v>11</v>
      </c>
      <c r="AE123" s="107">
        <f>RESID!AC123</f>
        <v>30</v>
      </c>
      <c r="AF123" s="40">
        <f t="shared" si="73"/>
        <v>15203.82104454685</v>
      </c>
      <c r="AG123" s="4">
        <f t="shared" si="74"/>
        <v>158363</v>
      </c>
      <c r="AI123" s="80"/>
      <c r="AY123" s="4">
        <v>1992</v>
      </c>
      <c r="AZ123" s="4">
        <v>11</v>
      </c>
      <c r="BA123" s="4">
        <f>'[8]Gov 65 &amp; 70'!$S208</f>
        <v>107</v>
      </c>
      <c r="BB123" s="4">
        <f t="shared" si="83"/>
        <v>66.3</v>
      </c>
      <c r="BC123" s="82">
        <f t="shared" si="75"/>
        <v>-40.700000000000003</v>
      </c>
      <c r="BD123" s="36" t="s">
        <v>18</v>
      </c>
      <c r="BE123" s="4">
        <f>'[8]Gov 65 &amp; 70'!$J208</f>
        <v>73.900000000000006</v>
      </c>
      <c r="BF123" s="4">
        <f t="shared" si="84"/>
        <v>69.900000000000006</v>
      </c>
      <c r="BG123" s="83">
        <f t="shared" si="76"/>
        <v>-4</v>
      </c>
      <c r="BH123" s="36" t="s">
        <v>18</v>
      </c>
      <c r="BI123" s="273">
        <f t="shared" si="77"/>
        <v>-9327.6260000000002</v>
      </c>
      <c r="BJ123" s="270">
        <f t="shared" si="78"/>
        <v>-162.32</v>
      </c>
      <c r="BK123" s="482">
        <f t="shared" si="79"/>
        <v>-9490</v>
      </c>
      <c r="BL123" s="276"/>
      <c r="BM123" s="36" t="s">
        <v>18</v>
      </c>
      <c r="BN123" s="4">
        <v>1992</v>
      </c>
      <c r="BO123" s="4">
        <v>11</v>
      </c>
      <c r="BP123" s="108"/>
    </row>
    <row r="124" spans="1:72" s="89" customFormat="1">
      <c r="A124" s="89">
        <v>1992</v>
      </c>
      <c r="B124" s="89">
        <v>12</v>
      </c>
      <c r="C124" s="103">
        <v>148053</v>
      </c>
      <c r="D124" s="103">
        <v>11151</v>
      </c>
      <c r="E124" s="104">
        <f t="shared" si="62"/>
        <v>13277</v>
      </c>
      <c r="F124" s="586">
        <f t="shared" si="66"/>
        <v>11151</v>
      </c>
      <c r="H124" s="90" t="s">
        <v>18</v>
      </c>
      <c r="I124" s="92">
        <f>'[7]Gov 65 &amp; 70'!$S209</f>
        <v>76.2</v>
      </c>
      <c r="J124" s="92">
        <f t="shared" si="81"/>
        <v>50.8</v>
      </c>
      <c r="K124" s="364">
        <f t="shared" si="85"/>
        <v>-25.400000000000006</v>
      </c>
      <c r="L124" s="210" t="s">
        <v>18</v>
      </c>
      <c r="M124" s="92">
        <f>'[7]Gov 65 &amp; 70'!$J209</f>
        <v>127.1</v>
      </c>
      <c r="N124" s="92">
        <f t="shared" si="82"/>
        <v>121.8</v>
      </c>
      <c r="O124" s="365">
        <f t="shared" si="86"/>
        <v>-5.2999999999999972</v>
      </c>
      <c r="P124" s="90" t="s">
        <v>18</v>
      </c>
      <c r="Q124" s="114">
        <f t="shared" si="67"/>
        <v>-5821.1720000000014</v>
      </c>
      <c r="R124" s="95">
        <f t="shared" si="68"/>
        <v>-215.07399999999987</v>
      </c>
      <c r="S124" s="480">
        <f t="shared" si="69"/>
        <v>-6036</v>
      </c>
      <c r="T124" s="90" t="s">
        <v>18</v>
      </c>
      <c r="U124" s="89">
        <v>1992</v>
      </c>
      <c r="V124" s="89">
        <v>12</v>
      </c>
      <c r="W124" s="154">
        <f t="shared" si="70"/>
        <v>12735.808447672855</v>
      </c>
      <c r="X124" s="154">
        <f t="shared" si="80"/>
        <v>-1710.1260824221827</v>
      </c>
      <c r="Y124" s="134"/>
      <c r="Z124" s="155">
        <f t="shared" si="71"/>
        <v>142017</v>
      </c>
      <c r="AA124" s="156">
        <f t="shared" si="65"/>
        <v>-6036</v>
      </c>
      <c r="AB124" s="155">
        <f t="shared" si="72"/>
        <v>142017</v>
      </c>
      <c r="AC124" s="89">
        <v>1992</v>
      </c>
      <c r="AD124" s="89">
        <v>12</v>
      </c>
      <c r="AE124" s="110">
        <f>RESID!AC124</f>
        <v>31.8</v>
      </c>
      <c r="AF124" s="116">
        <f t="shared" si="73"/>
        <v>12183.12258990225</v>
      </c>
      <c r="AG124" s="89">
        <f t="shared" si="74"/>
        <v>135854</v>
      </c>
      <c r="AI124" s="134"/>
      <c r="AY124" s="89">
        <v>1992</v>
      </c>
      <c r="AZ124" s="89">
        <v>12</v>
      </c>
      <c r="BA124" s="89">
        <f>'[8]Gov 65 &amp; 70'!$S209</f>
        <v>28.9</v>
      </c>
      <c r="BB124" s="89">
        <f t="shared" si="83"/>
        <v>28.2</v>
      </c>
      <c r="BC124" s="111">
        <f t="shared" si="75"/>
        <v>-0.69999999999999929</v>
      </c>
      <c r="BD124" s="113" t="s">
        <v>18</v>
      </c>
      <c r="BE124" s="89">
        <f>'[8]Gov 65 &amp; 70'!$J209</f>
        <v>138.69999999999999</v>
      </c>
      <c r="BF124" s="89">
        <f t="shared" si="84"/>
        <v>170</v>
      </c>
      <c r="BG124" s="112">
        <f t="shared" si="76"/>
        <v>31.300000000000011</v>
      </c>
      <c r="BH124" s="113" t="s">
        <v>18</v>
      </c>
      <c r="BI124" s="274">
        <f t="shared" si="77"/>
        <v>-160.42599999999985</v>
      </c>
      <c r="BJ124" s="275">
        <f t="shared" si="78"/>
        <v>1270.1540000000005</v>
      </c>
      <c r="BK124" s="483">
        <f t="shared" si="79"/>
        <v>1110</v>
      </c>
      <c r="BL124" s="277"/>
      <c r="BM124" s="113" t="s">
        <v>18</v>
      </c>
      <c r="BN124" s="89">
        <v>1992</v>
      </c>
      <c r="BO124" s="89">
        <v>12</v>
      </c>
      <c r="BP124" s="117"/>
      <c r="BT124" s="96"/>
    </row>
    <row r="125" spans="1:72">
      <c r="A125" s="4">
        <v>1993</v>
      </c>
      <c r="B125" s="4">
        <v>1</v>
      </c>
      <c r="C125" s="5">
        <v>135308</v>
      </c>
      <c r="D125" s="5">
        <v>11354</v>
      </c>
      <c r="E125" s="73">
        <f t="shared" si="62"/>
        <v>11917</v>
      </c>
      <c r="F125" s="540">
        <f t="shared" si="66"/>
        <v>11354</v>
      </c>
      <c r="H125" s="13" t="s">
        <v>18</v>
      </c>
      <c r="I125" s="76">
        <f>'[7]Gov 65 &amp; 70'!$S210</f>
        <v>48.9</v>
      </c>
      <c r="J125" s="76">
        <f t="shared" si="81"/>
        <v>28.7</v>
      </c>
      <c r="K125" s="362">
        <f t="shared" si="85"/>
        <v>-20.2</v>
      </c>
      <c r="L125" s="200" t="s">
        <v>18</v>
      </c>
      <c r="M125" s="76">
        <f>'[7]Gov 65 &amp; 70'!$J210</f>
        <v>87.3</v>
      </c>
      <c r="N125" s="76">
        <f t="shared" si="82"/>
        <v>192.9</v>
      </c>
      <c r="O125" s="363">
        <f t="shared" si="86"/>
        <v>105.60000000000001</v>
      </c>
      <c r="P125" s="13" t="s">
        <v>18</v>
      </c>
      <c r="Q125" s="77">
        <f t="shared" si="67"/>
        <v>-4629.4359999999997</v>
      </c>
      <c r="R125" s="78">
        <f t="shared" si="68"/>
        <v>4285.2480000000005</v>
      </c>
      <c r="S125" s="479">
        <f t="shared" si="69"/>
        <v>-344</v>
      </c>
      <c r="T125" s="13" t="s">
        <v>18</v>
      </c>
      <c r="U125" s="4">
        <v>1993</v>
      </c>
      <c r="V125" s="4">
        <v>1</v>
      </c>
      <c r="W125" s="153">
        <f t="shared" si="70"/>
        <v>11886.91210146204</v>
      </c>
      <c r="X125" s="153">
        <f t="shared" si="80"/>
        <v>-2163.5186613032456</v>
      </c>
      <c r="Y125" s="80"/>
      <c r="Z125" s="98">
        <f t="shared" si="71"/>
        <v>134964</v>
      </c>
      <c r="AA125" s="119">
        <f t="shared" si="65"/>
        <v>-344</v>
      </c>
      <c r="AB125" s="98">
        <f t="shared" si="72"/>
        <v>134964</v>
      </c>
      <c r="AC125" s="4">
        <v>1993</v>
      </c>
      <c r="AD125" s="4">
        <v>1</v>
      </c>
      <c r="AE125" s="107">
        <f>RESID!AC125</f>
        <v>31.85</v>
      </c>
      <c r="AF125" s="40">
        <f t="shared" si="73"/>
        <v>11353.17949621279</v>
      </c>
      <c r="AG125" s="4">
        <f t="shared" si="74"/>
        <v>128904</v>
      </c>
      <c r="AI125" s="80"/>
      <c r="AY125" s="4">
        <v>1993</v>
      </c>
      <c r="AZ125" s="4">
        <v>1</v>
      </c>
      <c r="BA125" s="4">
        <f>'[8]Gov 65 &amp; 70'!$S210</f>
        <v>47</v>
      </c>
      <c r="BB125" s="4">
        <f t="shared" si="83"/>
        <v>23.9</v>
      </c>
      <c r="BC125" s="82">
        <f t="shared" si="75"/>
        <v>-23.1</v>
      </c>
      <c r="BD125" s="36" t="s">
        <v>18</v>
      </c>
      <c r="BE125" s="4">
        <f>'[8]Gov 65 &amp; 70'!$J210</f>
        <v>94.5</v>
      </c>
      <c r="BF125" s="4">
        <f t="shared" si="84"/>
        <v>176.9</v>
      </c>
      <c r="BG125" s="83">
        <f t="shared" si="76"/>
        <v>82.4</v>
      </c>
      <c r="BH125" s="36" t="s">
        <v>18</v>
      </c>
      <c r="BI125" s="273">
        <f t="shared" si="77"/>
        <v>-5294.0580000000009</v>
      </c>
      <c r="BJ125" s="270">
        <f t="shared" si="78"/>
        <v>3343.7919999999999</v>
      </c>
      <c r="BK125" s="482">
        <f t="shared" si="79"/>
        <v>-1950</v>
      </c>
      <c r="BL125" s="276"/>
      <c r="BM125" s="36" t="s">
        <v>18</v>
      </c>
      <c r="BN125" s="4">
        <v>1993</v>
      </c>
      <c r="BO125" s="4">
        <v>1</v>
      </c>
      <c r="BP125" s="108"/>
    </row>
    <row r="126" spans="1:72">
      <c r="A126" s="4">
        <v>1993</v>
      </c>
      <c r="B126" s="4">
        <v>2</v>
      </c>
      <c r="C126" s="5">
        <v>133836</v>
      </c>
      <c r="D126" s="5">
        <v>11489</v>
      </c>
      <c r="E126" s="73">
        <f t="shared" si="62"/>
        <v>11649</v>
      </c>
      <c r="F126" s="540">
        <f t="shared" si="66"/>
        <v>11489</v>
      </c>
      <c r="H126" s="13" t="s">
        <v>18</v>
      </c>
      <c r="I126" s="76">
        <f>'[7]Gov 65 &amp; 70'!$S211</f>
        <v>23.2</v>
      </c>
      <c r="J126" s="76">
        <f t="shared" si="81"/>
        <v>22.6</v>
      </c>
      <c r="K126" s="362">
        <f t="shared" si="85"/>
        <v>-0.59999999999999787</v>
      </c>
      <c r="L126" s="200" t="s">
        <v>18</v>
      </c>
      <c r="M126" s="76">
        <f>'[7]Gov 65 &amp; 70'!$J211</f>
        <v>139.9</v>
      </c>
      <c r="N126" s="76">
        <f t="shared" si="82"/>
        <v>177.2</v>
      </c>
      <c r="O126" s="363">
        <f t="shared" si="86"/>
        <v>37.299999999999983</v>
      </c>
      <c r="P126" s="13" t="s">
        <v>18</v>
      </c>
      <c r="Q126" s="77">
        <f t="shared" si="67"/>
        <v>-137.50799999999953</v>
      </c>
      <c r="R126" s="78">
        <f t="shared" si="68"/>
        <v>1513.6339999999993</v>
      </c>
      <c r="S126" s="479">
        <f t="shared" si="69"/>
        <v>1376</v>
      </c>
      <c r="T126" s="13" t="s">
        <v>18</v>
      </c>
      <c r="U126" s="4">
        <v>1993</v>
      </c>
      <c r="V126" s="4">
        <v>2</v>
      </c>
      <c r="W126" s="153">
        <f t="shared" si="70"/>
        <v>11768.822351814781</v>
      </c>
      <c r="X126" s="153">
        <f t="shared" si="80"/>
        <v>-1874.1694772235605</v>
      </c>
      <c r="Y126" s="80"/>
      <c r="Z126" s="98">
        <f t="shared" si="71"/>
        <v>135212</v>
      </c>
      <c r="AA126" s="119">
        <f t="shared" si="65"/>
        <v>1376</v>
      </c>
      <c r="AB126" s="98">
        <f t="shared" si="72"/>
        <v>135212</v>
      </c>
      <c r="AC126" s="4">
        <v>1993</v>
      </c>
      <c r="AD126" s="4">
        <v>2</v>
      </c>
      <c r="AE126" s="107">
        <f>RESID!AC126</f>
        <v>29.55</v>
      </c>
      <c r="AF126" s="40">
        <f t="shared" si="73"/>
        <v>12115.327704761075</v>
      </c>
      <c r="AG126" s="4">
        <f t="shared" si="74"/>
        <v>139193</v>
      </c>
      <c r="AI126" s="80"/>
      <c r="AY126" s="4">
        <v>1993</v>
      </c>
      <c r="AZ126" s="4">
        <v>2</v>
      </c>
      <c r="BA126" s="4">
        <f>'[8]Gov 65 &amp; 70'!$S211</f>
        <v>6.4</v>
      </c>
      <c r="BB126" s="4">
        <f t="shared" si="83"/>
        <v>32.799999999999997</v>
      </c>
      <c r="BC126" s="82">
        <f t="shared" si="75"/>
        <v>26.4</v>
      </c>
      <c r="BD126" s="36" t="s">
        <v>18</v>
      </c>
      <c r="BE126" s="4">
        <f>'[8]Gov 65 &amp; 70'!$J211</f>
        <v>175.5</v>
      </c>
      <c r="BF126" s="4">
        <f t="shared" si="84"/>
        <v>139.1</v>
      </c>
      <c r="BG126" s="83">
        <f t="shared" si="76"/>
        <v>-36.400000000000006</v>
      </c>
      <c r="BH126" s="36" t="s">
        <v>18</v>
      </c>
      <c r="BI126" s="273">
        <f t="shared" si="77"/>
        <v>6050.3519999999999</v>
      </c>
      <c r="BJ126" s="270">
        <f t="shared" si="78"/>
        <v>-1477.1120000000001</v>
      </c>
      <c r="BK126" s="482">
        <f t="shared" si="79"/>
        <v>4573</v>
      </c>
      <c r="BL126" s="276"/>
      <c r="BM126" s="36" t="s">
        <v>18</v>
      </c>
      <c r="BN126" s="4">
        <v>1993</v>
      </c>
      <c r="BO126" s="4">
        <v>2</v>
      </c>
      <c r="BP126" s="108"/>
    </row>
    <row r="127" spans="1:72">
      <c r="A127" s="4">
        <v>1993</v>
      </c>
      <c r="B127" s="4">
        <v>3</v>
      </c>
      <c r="C127" s="5">
        <v>132431</v>
      </c>
      <c r="D127" s="5">
        <v>11511</v>
      </c>
      <c r="E127" s="73">
        <f t="shared" si="62"/>
        <v>11505</v>
      </c>
      <c r="F127" s="540">
        <f t="shared" si="66"/>
        <v>11511</v>
      </c>
      <c r="H127" s="13" t="s">
        <v>18</v>
      </c>
      <c r="I127" s="76">
        <f>'[7]Gov 65 &amp; 70'!$S212</f>
        <v>12.6</v>
      </c>
      <c r="J127" s="76">
        <f t="shared" si="81"/>
        <v>44.5</v>
      </c>
      <c r="K127" s="362">
        <f t="shared" si="85"/>
        <v>31.9</v>
      </c>
      <c r="L127" s="200" t="s">
        <v>18</v>
      </c>
      <c r="M127" s="76">
        <f>'[7]Gov 65 &amp; 70'!$J212</f>
        <v>176.5</v>
      </c>
      <c r="N127" s="76">
        <f t="shared" si="82"/>
        <v>119.5</v>
      </c>
      <c r="O127" s="363">
        <f t="shared" si="86"/>
        <v>-57</v>
      </c>
      <c r="P127" s="13" t="s">
        <v>18</v>
      </c>
      <c r="Q127" s="77">
        <f t="shared" si="67"/>
        <v>7310.8419999999996</v>
      </c>
      <c r="R127" s="78">
        <f t="shared" si="68"/>
        <v>-2313.06</v>
      </c>
      <c r="S127" s="479">
        <f t="shared" si="69"/>
        <v>4998</v>
      </c>
      <c r="T127" s="13" t="s">
        <v>18</v>
      </c>
      <c r="U127" s="4">
        <v>1993</v>
      </c>
      <c r="V127" s="4">
        <v>3</v>
      </c>
      <c r="W127" s="153">
        <f t="shared" si="70"/>
        <v>11938.927981930326</v>
      </c>
      <c r="X127" s="153">
        <f t="shared" si="80"/>
        <v>-1860.382866978518</v>
      </c>
      <c r="Y127" s="80"/>
      <c r="Z127" s="98">
        <f t="shared" si="71"/>
        <v>137429</v>
      </c>
      <c r="AA127" s="119">
        <f t="shared" si="65"/>
        <v>4998</v>
      </c>
      <c r="AB127" s="98">
        <f t="shared" si="72"/>
        <v>137429</v>
      </c>
      <c r="AC127" s="4">
        <v>1993</v>
      </c>
      <c r="AD127" s="4">
        <v>3</v>
      </c>
      <c r="AE127" s="107">
        <f>RESID!AC127</f>
        <v>29.4</v>
      </c>
      <c r="AF127" s="40">
        <f t="shared" si="73"/>
        <v>12353.140474328902</v>
      </c>
      <c r="AG127" s="4">
        <f t="shared" si="74"/>
        <v>142197</v>
      </c>
      <c r="AI127" s="80"/>
      <c r="AY127" s="4">
        <v>1993</v>
      </c>
      <c r="AZ127" s="4">
        <v>3</v>
      </c>
      <c r="BA127" s="4">
        <f>'[8]Gov 65 &amp; 70'!$S212</f>
        <v>36</v>
      </c>
      <c r="BB127" s="4">
        <f t="shared" si="83"/>
        <v>64.099999999999994</v>
      </c>
      <c r="BC127" s="82">
        <f t="shared" si="75"/>
        <v>28.099999999999994</v>
      </c>
      <c r="BD127" s="36" t="s">
        <v>18</v>
      </c>
      <c r="BE127" s="4">
        <f>'[8]Gov 65 &amp; 70'!$J212</f>
        <v>127.2</v>
      </c>
      <c r="BF127" s="4">
        <f t="shared" si="84"/>
        <v>85.4</v>
      </c>
      <c r="BG127" s="83">
        <f t="shared" si="76"/>
        <v>-41.8</v>
      </c>
      <c r="BH127" s="36" t="s">
        <v>18</v>
      </c>
      <c r="BI127" s="273">
        <f t="shared" si="77"/>
        <v>6439.9579999999987</v>
      </c>
      <c r="BJ127" s="270">
        <f t="shared" si="78"/>
        <v>-1696.2439999999999</v>
      </c>
      <c r="BK127" s="482">
        <f t="shared" si="79"/>
        <v>4744</v>
      </c>
      <c r="BL127" s="276"/>
      <c r="BM127" s="36" t="s">
        <v>18</v>
      </c>
      <c r="BN127" s="4">
        <v>1993</v>
      </c>
      <c r="BO127" s="4">
        <v>3</v>
      </c>
      <c r="BP127" s="108"/>
    </row>
    <row r="128" spans="1:72">
      <c r="A128" s="4">
        <v>1993</v>
      </c>
      <c r="B128" s="4">
        <v>4</v>
      </c>
      <c r="C128" s="5">
        <v>138088</v>
      </c>
      <c r="D128" s="5">
        <v>11696</v>
      </c>
      <c r="E128" s="73">
        <f t="shared" si="62"/>
        <v>11806</v>
      </c>
      <c r="F128" s="540">
        <f t="shared" si="66"/>
        <v>11696</v>
      </c>
      <c r="H128" s="13" t="s">
        <v>18</v>
      </c>
      <c r="I128" s="76">
        <f>'[7]Gov 65 &amp; 70'!$S213</f>
        <v>48.6</v>
      </c>
      <c r="J128" s="76">
        <f t="shared" si="81"/>
        <v>87.7</v>
      </c>
      <c r="K128" s="362">
        <f t="shared" si="85"/>
        <v>39.1</v>
      </c>
      <c r="L128" s="200" t="s">
        <v>18</v>
      </c>
      <c r="M128" s="76">
        <f>'[7]Gov 65 &amp; 70'!$J213</f>
        <v>87.4</v>
      </c>
      <c r="N128" s="76">
        <f t="shared" si="82"/>
        <v>60.3</v>
      </c>
      <c r="O128" s="363">
        <f t="shared" si="86"/>
        <v>-27.100000000000009</v>
      </c>
      <c r="P128" s="13" t="s">
        <v>18</v>
      </c>
      <c r="Q128" s="77">
        <f t="shared" si="67"/>
        <v>8960.9380000000001</v>
      </c>
      <c r="R128" s="78">
        <f t="shared" si="68"/>
        <v>-1099.7180000000003</v>
      </c>
      <c r="S128" s="479">
        <f t="shared" si="69"/>
        <v>7861</v>
      </c>
      <c r="T128" s="13" t="s">
        <v>18</v>
      </c>
      <c r="U128" s="4">
        <v>1993</v>
      </c>
      <c r="V128" s="4">
        <v>4</v>
      </c>
      <c r="W128" s="153">
        <f t="shared" si="70"/>
        <v>12478.539671682627</v>
      </c>
      <c r="X128" s="153">
        <f t="shared" si="80"/>
        <v>-1954.1906256764905</v>
      </c>
      <c r="Y128" s="80"/>
      <c r="Z128" s="98">
        <f t="shared" si="71"/>
        <v>145949</v>
      </c>
      <c r="AA128" s="119">
        <f t="shared" si="65"/>
        <v>7861</v>
      </c>
      <c r="AB128" s="98">
        <f t="shared" si="72"/>
        <v>145949</v>
      </c>
      <c r="AC128" s="4">
        <v>1993</v>
      </c>
      <c r="AD128" s="4">
        <v>4</v>
      </c>
      <c r="AE128" s="107">
        <f>RESID!AC128</f>
        <v>30.25</v>
      </c>
      <c r="AF128" s="40">
        <f t="shared" si="73"/>
        <v>12548.649110807113</v>
      </c>
      <c r="AG128" s="4">
        <f t="shared" si="74"/>
        <v>146769</v>
      </c>
      <c r="AI128" s="80"/>
      <c r="AY128" s="4">
        <v>1993</v>
      </c>
      <c r="AZ128" s="4">
        <v>4</v>
      </c>
      <c r="BA128" s="4">
        <f>'[8]Gov 65 &amp; 70'!$S213</f>
        <v>60.7</v>
      </c>
      <c r="BB128" s="4">
        <f t="shared" si="83"/>
        <v>122</v>
      </c>
      <c r="BC128" s="82">
        <f t="shared" si="75"/>
        <v>61.3</v>
      </c>
      <c r="BD128" s="36" t="s">
        <v>18</v>
      </c>
      <c r="BE128" s="4">
        <f>'[8]Gov 65 &amp; 70'!$J213</f>
        <v>60.9</v>
      </c>
      <c r="BF128" s="4">
        <f t="shared" si="84"/>
        <v>34.700000000000003</v>
      </c>
      <c r="BG128" s="83">
        <f t="shared" si="76"/>
        <v>-26.199999999999996</v>
      </c>
      <c r="BH128" s="36" t="s">
        <v>18</v>
      </c>
      <c r="BI128" s="273">
        <f t="shared" si="77"/>
        <v>14048.734</v>
      </c>
      <c r="BJ128" s="270">
        <f t="shared" si="78"/>
        <v>-1063.1959999999997</v>
      </c>
      <c r="BK128" s="482">
        <f t="shared" si="79"/>
        <v>12986</v>
      </c>
      <c r="BL128" s="276"/>
      <c r="BM128" s="36" t="s">
        <v>18</v>
      </c>
      <c r="BN128" s="4">
        <v>1993</v>
      </c>
      <c r="BO128" s="4">
        <v>4</v>
      </c>
      <c r="BP128" s="108"/>
    </row>
    <row r="129" spans="1:72">
      <c r="A129" s="4">
        <v>1993</v>
      </c>
      <c r="B129" s="4">
        <v>5</v>
      </c>
      <c r="C129" s="5">
        <v>147133</v>
      </c>
      <c r="D129" s="5">
        <v>11639</v>
      </c>
      <c r="E129" s="73">
        <f t="shared" si="62"/>
        <v>12641</v>
      </c>
      <c r="F129" s="540">
        <f t="shared" si="66"/>
        <v>11639</v>
      </c>
      <c r="H129" s="13" t="s">
        <v>18</v>
      </c>
      <c r="I129" s="76">
        <f>'[7]Gov 65 &amp; 70'!$S214</f>
        <v>104.9</v>
      </c>
      <c r="J129" s="76">
        <f t="shared" si="81"/>
        <v>157.69999999999999</v>
      </c>
      <c r="K129" s="362">
        <f t="shared" si="85"/>
        <v>52.799999999999983</v>
      </c>
      <c r="L129" s="200" t="s">
        <v>18</v>
      </c>
      <c r="M129" s="76">
        <f>'[7]Gov 65 &amp; 70'!$J214</f>
        <v>39.299999999999997</v>
      </c>
      <c r="N129" s="76">
        <f t="shared" si="82"/>
        <v>18.600000000000001</v>
      </c>
      <c r="O129" s="363">
        <f t="shared" si="86"/>
        <v>-20.699999999999996</v>
      </c>
      <c r="P129" s="13" t="s">
        <v>18</v>
      </c>
      <c r="Q129" s="77">
        <f t="shared" si="67"/>
        <v>12100.703999999996</v>
      </c>
      <c r="R129" s="78">
        <f t="shared" si="68"/>
        <v>-840.00599999999974</v>
      </c>
      <c r="S129" s="479">
        <f t="shared" si="69"/>
        <v>11261</v>
      </c>
      <c r="T129" s="13" t="s">
        <v>18</v>
      </c>
      <c r="U129" s="4">
        <v>1993</v>
      </c>
      <c r="V129" s="4">
        <v>5</v>
      </c>
      <c r="W129" s="153">
        <f t="shared" si="70"/>
        <v>13608.901108342641</v>
      </c>
      <c r="X129" s="153">
        <f t="shared" si="80"/>
        <v>-2052.5464238016975</v>
      </c>
      <c r="Y129" s="80"/>
      <c r="Z129" s="98">
        <f t="shared" si="71"/>
        <v>158394</v>
      </c>
      <c r="AA129" s="119">
        <f t="shared" si="65"/>
        <v>11261</v>
      </c>
      <c r="AB129" s="98">
        <f t="shared" si="72"/>
        <v>158394</v>
      </c>
      <c r="AC129" s="4">
        <v>1993</v>
      </c>
      <c r="AD129" s="4">
        <v>5</v>
      </c>
      <c r="AE129" s="107">
        <f>RESID!AC129</f>
        <v>29.95</v>
      </c>
      <c r="AF129" s="40">
        <f t="shared" si="73"/>
        <v>13822.49334135235</v>
      </c>
      <c r="AG129" s="4">
        <f t="shared" si="74"/>
        <v>160880</v>
      </c>
      <c r="AI129" s="80"/>
      <c r="AY129" s="4">
        <v>1993</v>
      </c>
      <c r="AZ129" s="4">
        <v>5</v>
      </c>
      <c r="BA129" s="4">
        <f>'[8]Gov 65 &amp; 70'!$S214</f>
        <v>189.4</v>
      </c>
      <c r="BB129" s="4">
        <f t="shared" si="83"/>
        <v>253</v>
      </c>
      <c r="BC129" s="82">
        <f t="shared" si="75"/>
        <v>63.599999999999994</v>
      </c>
      <c r="BD129" s="36" t="s">
        <v>18</v>
      </c>
      <c r="BE129" s="4">
        <f>'[8]Gov 65 &amp; 70'!$J214</f>
        <v>5.7</v>
      </c>
      <c r="BF129" s="4">
        <f t="shared" si="84"/>
        <v>4.3</v>
      </c>
      <c r="BG129" s="83">
        <f t="shared" si="76"/>
        <v>-1.4000000000000004</v>
      </c>
      <c r="BH129" s="36" t="s">
        <v>18</v>
      </c>
      <c r="BI129" s="273">
        <f t="shared" si="77"/>
        <v>14575.848</v>
      </c>
      <c r="BJ129" s="270">
        <f t="shared" si="78"/>
        <v>-56.812000000000012</v>
      </c>
      <c r="BK129" s="482">
        <f t="shared" si="79"/>
        <v>14519</v>
      </c>
      <c r="BL129" s="276"/>
      <c r="BM129" s="36" t="s">
        <v>18</v>
      </c>
      <c r="BN129" s="4">
        <v>1993</v>
      </c>
      <c r="BO129" s="4">
        <v>5</v>
      </c>
      <c r="BP129" s="108"/>
    </row>
    <row r="130" spans="1:72">
      <c r="A130" s="4">
        <v>1993</v>
      </c>
      <c r="B130" s="4">
        <v>6</v>
      </c>
      <c r="C130" s="5">
        <v>165295</v>
      </c>
      <c r="D130" s="5">
        <v>12017</v>
      </c>
      <c r="E130" s="73">
        <f t="shared" si="62"/>
        <v>13755</v>
      </c>
      <c r="F130" s="540">
        <f t="shared" si="66"/>
        <v>12017</v>
      </c>
      <c r="H130" s="13" t="s">
        <v>18</v>
      </c>
      <c r="I130" s="76">
        <f>'[7]Gov 65 &amp; 70'!$S215</f>
        <v>254.6</v>
      </c>
      <c r="J130" s="76">
        <f t="shared" si="81"/>
        <v>295.39999999999998</v>
      </c>
      <c r="K130" s="362">
        <f t="shared" si="85"/>
        <v>40.799999999999983</v>
      </c>
      <c r="L130" s="200" t="s">
        <v>18</v>
      </c>
      <c r="M130" s="76">
        <f>'[7]Gov 65 &amp; 70'!$J215</f>
        <v>3.8</v>
      </c>
      <c r="N130" s="76">
        <f t="shared" si="82"/>
        <v>2.2000000000000002</v>
      </c>
      <c r="O130" s="363">
        <f t="shared" si="86"/>
        <v>-1.5999999999999996</v>
      </c>
      <c r="P130" s="13" t="s">
        <v>18</v>
      </c>
      <c r="Q130" s="77">
        <f t="shared" si="67"/>
        <v>9350.5439999999962</v>
      </c>
      <c r="R130" s="78">
        <f t="shared" si="68"/>
        <v>-64.927999999999983</v>
      </c>
      <c r="S130" s="479">
        <f t="shared" si="69"/>
        <v>9286</v>
      </c>
      <c r="T130" s="13" t="s">
        <v>18</v>
      </c>
      <c r="U130" s="4">
        <v>1993</v>
      </c>
      <c r="V130" s="4">
        <v>6</v>
      </c>
      <c r="W130" s="153">
        <f t="shared" si="70"/>
        <v>14527.835566281101</v>
      </c>
      <c r="X130" s="153">
        <f t="shared" si="80"/>
        <v>-2146.1180184681725</v>
      </c>
      <c r="Y130" s="80"/>
      <c r="Z130" s="98">
        <f t="shared" si="71"/>
        <v>174581</v>
      </c>
      <c r="AA130" s="119">
        <f t="shared" si="65"/>
        <v>9286</v>
      </c>
      <c r="AB130" s="98">
        <f t="shared" si="72"/>
        <v>174581</v>
      </c>
      <c r="AC130" s="4">
        <v>1993</v>
      </c>
      <c r="AD130" s="4">
        <v>6</v>
      </c>
      <c r="AE130" s="107">
        <f>RESID!AC130</f>
        <v>30.6</v>
      </c>
      <c r="AF130" s="40">
        <f t="shared" si="73"/>
        <v>14442.373304485312</v>
      </c>
      <c r="AG130" s="4">
        <f t="shared" si="74"/>
        <v>173554</v>
      </c>
      <c r="AI130" s="80"/>
      <c r="AY130" s="4">
        <v>1993</v>
      </c>
      <c r="AZ130" s="4">
        <v>6</v>
      </c>
      <c r="BA130" s="4">
        <f>'[8]Gov 65 &amp; 70'!$S215</f>
        <v>348.9</v>
      </c>
      <c r="BB130" s="4">
        <f t="shared" si="83"/>
        <v>336.1</v>
      </c>
      <c r="BC130" s="82">
        <f t="shared" si="75"/>
        <v>-12.799999999999955</v>
      </c>
      <c r="BD130" s="36" t="s">
        <v>18</v>
      </c>
      <c r="BE130" s="4">
        <f>'[8]Gov 65 &amp; 70'!$J215</f>
        <v>0.1</v>
      </c>
      <c r="BF130" s="4">
        <f t="shared" si="84"/>
        <v>0</v>
      </c>
      <c r="BG130" s="83">
        <f t="shared" si="76"/>
        <v>-0.1</v>
      </c>
      <c r="BH130" s="36" t="s">
        <v>18</v>
      </c>
      <c r="BI130" s="273">
        <f t="shared" si="77"/>
        <v>-2933.5039999999894</v>
      </c>
      <c r="BJ130" s="270">
        <f t="shared" si="78"/>
        <v>-4.0579999999999998</v>
      </c>
      <c r="BK130" s="482">
        <f t="shared" si="79"/>
        <v>-2938</v>
      </c>
      <c r="BL130" s="276"/>
      <c r="BM130" s="36" t="s">
        <v>18</v>
      </c>
      <c r="BN130" s="4">
        <v>1993</v>
      </c>
      <c r="BO130" s="4">
        <v>6</v>
      </c>
      <c r="BP130" s="108"/>
    </row>
    <row r="131" spans="1:72">
      <c r="A131" s="4">
        <v>1993</v>
      </c>
      <c r="B131" s="4">
        <v>7</v>
      </c>
      <c r="C131" s="5">
        <v>162113</v>
      </c>
      <c r="D131" s="5">
        <v>12225</v>
      </c>
      <c r="E131" s="73">
        <f t="shared" si="62"/>
        <v>13261</v>
      </c>
      <c r="F131" s="540">
        <f t="shared" si="66"/>
        <v>12225</v>
      </c>
      <c r="H131" s="13" t="s">
        <v>18</v>
      </c>
      <c r="I131" s="76">
        <f>'[7]Gov 65 &amp; 70'!$S216</f>
        <v>367</v>
      </c>
      <c r="J131" s="76">
        <f t="shared" si="81"/>
        <v>363.4</v>
      </c>
      <c r="K131" s="362">
        <f t="shared" si="85"/>
        <v>-3.6000000000000227</v>
      </c>
      <c r="L131" s="200" t="s">
        <v>18</v>
      </c>
      <c r="M131" s="76">
        <f>'[7]Gov 65 &amp; 70'!$J216</f>
        <v>0</v>
      </c>
      <c r="N131" s="76">
        <f t="shared" si="82"/>
        <v>0</v>
      </c>
      <c r="O131" s="363">
        <f t="shared" si="86"/>
        <v>0</v>
      </c>
      <c r="P131" s="13" t="s">
        <v>18</v>
      </c>
      <c r="Q131" s="77">
        <f t="shared" si="67"/>
        <v>-825.04800000000523</v>
      </c>
      <c r="R131" s="78">
        <f t="shared" si="68"/>
        <v>0</v>
      </c>
      <c r="S131" s="479">
        <f t="shared" si="69"/>
        <v>-825</v>
      </c>
      <c r="T131" s="13" t="s">
        <v>18</v>
      </c>
      <c r="U131" s="4">
        <v>1993</v>
      </c>
      <c r="V131" s="4">
        <v>7</v>
      </c>
      <c r="W131" s="153">
        <f t="shared" si="70"/>
        <v>13193.292433537832</v>
      </c>
      <c r="X131" s="153">
        <f t="shared" si="80"/>
        <v>-2842.2258433597544</v>
      </c>
      <c r="Y131" s="80"/>
      <c r="Z131" s="98">
        <f t="shared" si="71"/>
        <v>161288</v>
      </c>
      <c r="AA131" s="119">
        <f t="shared" si="65"/>
        <v>-825</v>
      </c>
      <c r="AB131" s="98">
        <f t="shared" si="72"/>
        <v>161288</v>
      </c>
      <c r="AC131" s="4">
        <v>1993</v>
      </c>
      <c r="AD131" s="4">
        <v>7</v>
      </c>
      <c r="AE131" s="107">
        <f>RESID!AC131</f>
        <v>30.65</v>
      </c>
      <c r="AF131" s="40">
        <f t="shared" si="73"/>
        <v>13094.314928425358</v>
      </c>
      <c r="AG131" s="4">
        <f t="shared" si="74"/>
        <v>160078</v>
      </c>
      <c r="AI131" s="80"/>
      <c r="AY131" s="4">
        <v>1993</v>
      </c>
      <c r="AZ131" s="4">
        <v>7</v>
      </c>
      <c r="BA131" s="4">
        <f>'[8]Gov 65 &amp; 70'!$S216</f>
        <v>420.8</v>
      </c>
      <c r="BB131" s="4">
        <f t="shared" si="83"/>
        <v>391.2</v>
      </c>
      <c r="BC131" s="82">
        <f t="shared" si="75"/>
        <v>-29.600000000000023</v>
      </c>
      <c r="BD131" s="36" t="s">
        <v>18</v>
      </c>
      <c r="BE131" s="4">
        <f>'[8]Gov 65 &amp; 70'!$J216</f>
        <v>0</v>
      </c>
      <c r="BF131" s="4">
        <f t="shared" si="84"/>
        <v>0</v>
      </c>
      <c r="BG131" s="83">
        <f t="shared" si="76"/>
        <v>0</v>
      </c>
      <c r="BH131" s="36" t="s">
        <v>18</v>
      </c>
      <c r="BI131" s="273">
        <f t="shared" si="77"/>
        <v>-6783.7280000000055</v>
      </c>
      <c r="BJ131" s="270">
        <f t="shared" si="78"/>
        <v>0</v>
      </c>
      <c r="BK131" s="482">
        <f t="shared" si="79"/>
        <v>-6784</v>
      </c>
      <c r="BL131" s="276"/>
      <c r="BM131" s="36" t="s">
        <v>18</v>
      </c>
      <c r="BN131" s="4">
        <v>1993</v>
      </c>
      <c r="BO131" s="4">
        <v>7</v>
      </c>
      <c r="BP131" s="108"/>
    </row>
    <row r="132" spans="1:72">
      <c r="A132" s="4">
        <v>1993</v>
      </c>
      <c r="B132" s="4">
        <v>8</v>
      </c>
      <c r="C132" s="5">
        <v>176127</v>
      </c>
      <c r="D132" s="5">
        <v>12804</v>
      </c>
      <c r="E132" s="73">
        <f t="shared" si="62"/>
        <v>13756</v>
      </c>
      <c r="F132" s="540">
        <f t="shared" si="66"/>
        <v>12804</v>
      </c>
      <c r="H132" s="13" t="s">
        <v>18</v>
      </c>
      <c r="I132" s="76">
        <f>'[7]Gov 65 &amp; 70'!$S217</f>
        <v>437.1</v>
      </c>
      <c r="J132" s="76">
        <f t="shared" si="81"/>
        <v>390.1</v>
      </c>
      <c r="K132" s="362">
        <f t="shared" si="85"/>
        <v>-47</v>
      </c>
      <c r="L132" s="200" t="s">
        <v>18</v>
      </c>
      <c r="M132" s="76">
        <f>'[7]Gov 65 &amp; 70'!$J217</f>
        <v>0</v>
      </c>
      <c r="N132" s="76">
        <f t="shared" si="82"/>
        <v>0</v>
      </c>
      <c r="O132" s="363">
        <f t="shared" si="86"/>
        <v>0</v>
      </c>
      <c r="P132" s="13" t="s">
        <v>18</v>
      </c>
      <c r="Q132" s="77">
        <f t="shared" si="67"/>
        <v>-10771.460000000001</v>
      </c>
      <c r="R132" s="78">
        <f t="shared" si="68"/>
        <v>0</v>
      </c>
      <c r="S132" s="479">
        <f t="shared" si="69"/>
        <v>-10771</v>
      </c>
      <c r="T132" s="13" t="s">
        <v>18</v>
      </c>
      <c r="U132" s="4">
        <v>1993</v>
      </c>
      <c r="V132" s="4">
        <v>8</v>
      </c>
      <c r="W132" s="153">
        <f t="shared" si="70"/>
        <v>12914.401749453296</v>
      </c>
      <c r="X132" s="153">
        <f t="shared" si="80"/>
        <v>-3398.6794656737948</v>
      </c>
      <c r="Y132" s="80"/>
      <c r="Z132" s="98">
        <f t="shared" si="71"/>
        <v>165356</v>
      </c>
      <c r="AA132" s="119">
        <f t="shared" si="65"/>
        <v>-10771</v>
      </c>
      <c r="AB132" s="98">
        <f t="shared" si="72"/>
        <v>165356</v>
      </c>
      <c r="AC132" s="4">
        <v>1993</v>
      </c>
      <c r="AD132" s="4">
        <v>8</v>
      </c>
      <c r="AE132" s="107">
        <f>RESID!AC132</f>
        <v>31.15</v>
      </c>
      <c r="AF132" s="40">
        <f t="shared" si="73"/>
        <v>12611.761949390817</v>
      </c>
      <c r="AG132" s="4">
        <f t="shared" si="74"/>
        <v>161481</v>
      </c>
      <c r="AI132" s="80"/>
      <c r="AY132" s="4">
        <v>1993</v>
      </c>
      <c r="AZ132" s="4">
        <v>8</v>
      </c>
      <c r="BA132" s="4">
        <f>'[8]Gov 65 &amp; 70'!$S217</f>
        <v>409.3</v>
      </c>
      <c r="BB132" s="4">
        <f t="shared" si="83"/>
        <v>394.4</v>
      </c>
      <c r="BC132" s="82">
        <f t="shared" si="75"/>
        <v>-14.900000000000034</v>
      </c>
      <c r="BD132" s="36" t="s">
        <v>18</v>
      </c>
      <c r="BE132" s="4">
        <f>'[8]Gov 65 &amp; 70'!$J217</f>
        <v>0</v>
      </c>
      <c r="BF132" s="4">
        <f t="shared" si="84"/>
        <v>0</v>
      </c>
      <c r="BG132" s="83">
        <f t="shared" si="76"/>
        <v>0</v>
      </c>
      <c r="BH132" s="36" t="s">
        <v>18</v>
      </c>
      <c r="BI132" s="273">
        <f t="shared" si="77"/>
        <v>-3414.7820000000079</v>
      </c>
      <c r="BJ132" s="270">
        <f t="shared" si="78"/>
        <v>0</v>
      </c>
      <c r="BK132" s="482">
        <f t="shared" si="79"/>
        <v>-3415</v>
      </c>
      <c r="BL132" s="276"/>
      <c r="BM132" s="36" t="s">
        <v>18</v>
      </c>
      <c r="BN132" s="4">
        <v>1993</v>
      </c>
      <c r="BO132" s="4">
        <v>8</v>
      </c>
      <c r="BP132" s="108"/>
    </row>
    <row r="133" spans="1:72">
      <c r="A133" s="4">
        <v>1993</v>
      </c>
      <c r="B133" s="4">
        <v>9</v>
      </c>
      <c r="C133" s="5">
        <v>181659</v>
      </c>
      <c r="D133" s="5">
        <v>14023</v>
      </c>
      <c r="E133" s="73">
        <f t="shared" si="62"/>
        <v>12954</v>
      </c>
      <c r="F133" s="540">
        <f t="shared" si="66"/>
        <v>14023</v>
      </c>
      <c r="H133" s="13" t="s">
        <v>18</v>
      </c>
      <c r="I133" s="76">
        <f>'[7]Gov 65 &amp; 70'!$S218</f>
        <v>375.2</v>
      </c>
      <c r="J133" s="76">
        <f t="shared" si="81"/>
        <v>381.2</v>
      </c>
      <c r="K133" s="362">
        <f t="shared" si="85"/>
        <v>6</v>
      </c>
      <c r="L133" s="200" t="s">
        <v>18</v>
      </c>
      <c r="M133" s="76">
        <f>'[7]Gov 65 &amp; 70'!$J218</f>
        <v>0</v>
      </c>
      <c r="N133" s="76">
        <f t="shared" si="82"/>
        <v>0</v>
      </c>
      <c r="O133" s="363">
        <f t="shared" si="86"/>
        <v>0</v>
      </c>
      <c r="P133" s="13" t="s">
        <v>18</v>
      </c>
      <c r="Q133" s="77">
        <f t="shared" si="67"/>
        <v>1375.08</v>
      </c>
      <c r="R133" s="78">
        <f t="shared" si="68"/>
        <v>0</v>
      </c>
      <c r="S133" s="479">
        <f t="shared" si="69"/>
        <v>1375</v>
      </c>
      <c r="T133" s="13" t="s">
        <v>18</v>
      </c>
      <c r="U133" s="4">
        <v>1993</v>
      </c>
      <c r="V133" s="4">
        <v>9</v>
      </c>
      <c r="W133" s="153">
        <f t="shared" si="70"/>
        <v>13052.413891464024</v>
      </c>
      <c r="X133" s="153">
        <f t="shared" si="80"/>
        <v>-4363.1931634990615</v>
      </c>
      <c r="Y133" s="80"/>
      <c r="Z133" s="98">
        <f t="shared" si="71"/>
        <v>183034</v>
      </c>
      <c r="AA133" s="119">
        <f t="shared" si="65"/>
        <v>1375</v>
      </c>
      <c r="AB133" s="98">
        <f t="shared" si="72"/>
        <v>183034</v>
      </c>
      <c r="AC133" s="4">
        <v>1993</v>
      </c>
      <c r="AD133" s="4">
        <v>9</v>
      </c>
      <c r="AE133" s="107">
        <f>RESID!AC133</f>
        <v>30.3</v>
      </c>
      <c r="AF133" s="40">
        <f t="shared" si="73"/>
        <v>13104.114668758468</v>
      </c>
      <c r="AG133" s="4">
        <f t="shared" si="74"/>
        <v>183759</v>
      </c>
      <c r="AI133" s="80"/>
      <c r="AY133" s="4">
        <v>1993</v>
      </c>
      <c r="AZ133" s="4">
        <v>9</v>
      </c>
      <c r="BA133" s="4">
        <f>'[8]Gov 65 &amp; 70'!$S218</f>
        <v>342.1</v>
      </c>
      <c r="BB133" s="4">
        <f t="shared" si="83"/>
        <v>339.3</v>
      </c>
      <c r="BC133" s="82">
        <f t="shared" si="75"/>
        <v>-2.8000000000000114</v>
      </c>
      <c r="BD133" s="36" t="s">
        <v>18</v>
      </c>
      <c r="BE133" s="4">
        <f>'[8]Gov 65 &amp; 70'!$J218</f>
        <v>1.2</v>
      </c>
      <c r="BF133" s="4">
        <f t="shared" si="84"/>
        <v>0</v>
      </c>
      <c r="BG133" s="83">
        <f t="shared" si="76"/>
        <v>-1.2</v>
      </c>
      <c r="BH133" s="36" t="s">
        <v>18</v>
      </c>
      <c r="BI133" s="273">
        <f t="shared" si="77"/>
        <v>-641.70400000000268</v>
      </c>
      <c r="BJ133" s="270">
        <f t="shared" si="78"/>
        <v>-48.695999999999998</v>
      </c>
      <c r="BK133" s="482">
        <f t="shared" si="79"/>
        <v>-690</v>
      </c>
      <c r="BL133" s="276"/>
      <c r="BM133" s="36" t="s">
        <v>18</v>
      </c>
      <c r="BN133" s="4">
        <v>1993</v>
      </c>
      <c r="BO133" s="4">
        <v>9</v>
      </c>
      <c r="BP133" s="108"/>
    </row>
    <row r="134" spans="1:72">
      <c r="A134" s="4">
        <v>1993</v>
      </c>
      <c r="B134" s="4">
        <v>10</v>
      </c>
      <c r="C134" s="5">
        <v>179213</v>
      </c>
      <c r="D134" s="5">
        <v>14408</v>
      </c>
      <c r="E134" s="73">
        <f t="shared" si="62"/>
        <v>12438</v>
      </c>
      <c r="F134" s="540">
        <f t="shared" si="66"/>
        <v>14408</v>
      </c>
      <c r="H134" s="13" t="s">
        <v>18</v>
      </c>
      <c r="I134" s="76">
        <f>'[7]Gov 65 &amp; 70'!$S219</f>
        <v>283.8</v>
      </c>
      <c r="J134" s="76">
        <f t="shared" si="81"/>
        <v>287.8</v>
      </c>
      <c r="K134" s="362">
        <f t="shared" si="85"/>
        <v>4</v>
      </c>
      <c r="L134" s="200" t="s">
        <v>18</v>
      </c>
      <c r="M134" s="76">
        <f>'[7]Gov 65 &amp; 70'!$J219</f>
        <v>3.1</v>
      </c>
      <c r="N134" s="76">
        <f t="shared" si="82"/>
        <v>2.5</v>
      </c>
      <c r="O134" s="363">
        <f t="shared" si="86"/>
        <v>-0.60000000000000009</v>
      </c>
      <c r="P134" s="13" t="s">
        <v>18</v>
      </c>
      <c r="Q134" s="77">
        <f t="shared" si="67"/>
        <v>916.72</v>
      </c>
      <c r="R134" s="78">
        <f t="shared" si="68"/>
        <v>-24.348000000000003</v>
      </c>
      <c r="S134" s="479">
        <f t="shared" si="69"/>
        <v>892</v>
      </c>
      <c r="T134" s="13" t="s">
        <v>18</v>
      </c>
      <c r="U134" s="4">
        <v>1993</v>
      </c>
      <c r="V134" s="4">
        <v>10</v>
      </c>
      <c r="W134" s="153">
        <f t="shared" si="70"/>
        <v>12500.347029428096</v>
      </c>
      <c r="X134" s="153">
        <f t="shared" si="80"/>
        <v>-5089.6865994315813</v>
      </c>
      <c r="Y134" s="80"/>
      <c r="Z134" s="98">
        <f t="shared" si="71"/>
        <v>180105</v>
      </c>
      <c r="AA134" s="119">
        <f t="shared" si="65"/>
        <v>892</v>
      </c>
      <c r="AB134" s="98">
        <f t="shared" si="72"/>
        <v>180105</v>
      </c>
      <c r="AC134" s="4">
        <v>1993</v>
      </c>
      <c r="AD134" s="4">
        <v>10</v>
      </c>
      <c r="AE134" s="107">
        <f>RESID!AC134</f>
        <v>29.9</v>
      </c>
      <c r="AF134" s="40">
        <f t="shared" si="73"/>
        <v>12717.72626318712</v>
      </c>
      <c r="AG134" s="4">
        <f t="shared" si="74"/>
        <v>183237</v>
      </c>
      <c r="AI134" s="80"/>
      <c r="AY134" s="4">
        <v>1993</v>
      </c>
      <c r="AZ134" s="4">
        <v>10</v>
      </c>
      <c r="BA134" s="4">
        <f>'[8]Gov 65 &amp; 70'!$S219</f>
        <v>188.1</v>
      </c>
      <c r="BB134" s="4">
        <f t="shared" si="83"/>
        <v>200.4</v>
      </c>
      <c r="BC134" s="82">
        <f t="shared" si="75"/>
        <v>12.300000000000011</v>
      </c>
      <c r="BD134" s="36" t="s">
        <v>18</v>
      </c>
      <c r="BE134" s="4">
        <f>'[8]Gov 65 &amp; 70'!$J219</f>
        <v>13.8</v>
      </c>
      <c r="BF134" s="4">
        <f t="shared" si="84"/>
        <v>15</v>
      </c>
      <c r="BG134" s="83">
        <f t="shared" si="76"/>
        <v>1.1999999999999993</v>
      </c>
      <c r="BH134" s="36" t="s">
        <v>18</v>
      </c>
      <c r="BI134" s="273">
        <f t="shared" si="77"/>
        <v>2818.9140000000025</v>
      </c>
      <c r="BJ134" s="270">
        <f t="shared" si="78"/>
        <v>48.69599999999997</v>
      </c>
      <c r="BK134" s="482">
        <f t="shared" si="79"/>
        <v>2868</v>
      </c>
      <c r="BL134" s="276"/>
      <c r="BM134" s="36" t="s">
        <v>18</v>
      </c>
      <c r="BN134" s="4">
        <v>1993</v>
      </c>
      <c r="BO134" s="4">
        <v>10</v>
      </c>
      <c r="BP134" s="108"/>
    </row>
    <row r="135" spans="1:72">
      <c r="A135" s="4">
        <v>1993</v>
      </c>
      <c r="B135" s="4">
        <v>11</v>
      </c>
      <c r="C135" s="5">
        <v>159531</v>
      </c>
      <c r="D135" s="5">
        <v>14374</v>
      </c>
      <c r="E135" s="73">
        <f t="shared" si="62"/>
        <v>11099</v>
      </c>
      <c r="F135" s="540">
        <f t="shared" si="66"/>
        <v>14374</v>
      </c>
      <c r="H135" s="13" t="s">
        <v>18</v>
      </c>
      <c r="I135" s="76">
        <f>'[7]Gov 65 &amp; 70'!$S220</f>
        <v>140.9</v>
      </c>
      <c r="J135" s="76">
        <f t="shared" si="81"/>
        <v>140.19999999999999</v>
      </c>
      <c r="K135" s="362">
        <f t="shared" si="85"/>
        <v>-0.70000000000001705</v>
      </c>
      <c r="L135" s="200" t="s">
        <v>18</v>
      </c>
      <c r="M135" s="76">
        <f>'[7]Gov 65 &amp; 70'!$J220</f>
        <v>43.7</v>
      </c>
      <c r="N135" s="76">
        <f t="shared" si="82"/>
        <v>38.6</v>
      </c>
      <c r="O135" s="363">
        <f t="shared" si="86"/>
        <v>-5.1000000000000014</v>
      </c>
      <c r="P135" s="13" t="s">
        <v>18</v>
      </c>
      <c r="Q135" s="77">
        <f t="shared" si="67"/>
        <v>-160.42600000000391</v>
      </c>
      <c r="R135" s="78">
        <f t="shared" si="68"/>
        <v>-206.95800000000006</v>
      </c>
      <c r="S135" s="479">
        <f t="shared" si="69"/>
        <v>-367</v>
      </c>
      <c r="T135" s="13" t="s">
        <v>18</v>
      </c>
      <c r="U135" s="4">
        <v>1993</v>
      </c>
      <c r="V135" s="4">
        <v>11</v>
      </c>
      <c r="W135" s="153">
        <f t="shared" si="70"/>
        <v>11073.048559899818</v>
      </c>
      <c r="X135" s="153">
        <f t="shared" si="80"/>
        <v>-3920.903053003407</v>
      </c>
      <c r="Y135" s="80"/>
      <c r="Z135" s="98">
        <f t="shared" si="71"/>
        <v>159164</v>
      </c>
      <c r="AA135" s="119">
        <f t="shared" si="65"/>
        <v>-367</v>
      </c>
      <c r="AB135" s="98">
        <f t="shared" si="72"/>
        <v>159164</v>
      </c>
      <c r="AC135" s="4">
        <v>1993</v>
      </c>
      <c r="AD135" s="4">
        <v>11</v>
      </c>
      <c r="AE135" s="107">
        <f>RESID!AC135</f>
        <v>30.05</v>
      </c>
      <c r="AF135" s="40">
        <f t="shared" si="73"/>
        <v>11209.405871712814</v>
      </c>
      <c r="AG135" s="4">
        <f t="shared" si="74"/>
        <v>161124</v>
      </c>
      <c r="AI135" s="80"/>
      <c r="AY135" s="4">
        <v>1993</v>
      </c>
      <c r="AZ135" s="4">
        <v>11</v>
      </c>
      <c r="BA135" s="4">
        <f>'[8]Gov 65 &amp; 70'!$S220</f>
        <v>72.3</v>
      </c>
      <c r="BB135" s="4">
        <f t="shared" si="83"/>
        <v>66.3</v>
      </c>
      <c r="BC135" s="82">
        <f t="shared" si="75"/>
        <v>-6</v>
      </c>
      <c r="BD135" s="36" t="s">
        <v>18</v>
      </c>
      <c r="BE135" s="4">
        <f>'[8]Gov 65 &amp; 70'!$J220</f>
        <v>74.599999999999994</v>
      </c>
      <c r="BF135" s="4">
        <f t="shared" si="84"/>
        <v>69.900000000000006</v>
      </c>
      <c r="BG135" s="83">
        <f t="shared" si="76"/>
        <v>-4.6999999999999886</v>
      </c>
      <c r="BH135" s="36" t="s">
        <v>18</v>
      </c>
      <c r="BI135" s="273">
        <f t="shared" si="77"/>
        <v>-1375.08</v>
      </c>
      <c r="BJ135" s="270">
        <f t="shared" si="78"/>
        <v>-190.72599999999954</v>
      </c>
      <c r="BK135" s="482">
        <f t="shared" si="79"/>
        <v>-1566</v>
      </c>
      <c r="BL135" s="276"/>
      <c r="BM135" s="36" t="s">
        <v>18</v>
      </c>
      <c r="BN135" s="4">
        <v>1993</v>
      </c>
      <c r="BO135" s="4">
        <v>11</v>
      </c>
      <c r="BP135" s="108"/>
    </row>
    <row r="136" spans="1:72" s="89" customFormat="1">
      <c r="A136" s="89">
        <v>1993</v>
      </c>
      <c r="B136" s="89">
        <v>12</v>
      </c>
      <c r="C136" s="103">
        <v>154099</v>
      </c>
      <c r="D136" s="103">
        <v>14464</v>
      </c>
      <c r="E136" s="104">
        <f t="shared" si="62"/>
        <v>10654</v>
      </c>
      <c r="F136" s="586">
        <f t="shared" si="66"/>
        <v>14464</v>
      </c>
      <c r="H136" s="90" t="s">
        <v>18</v>
      </c>
      <c r="I136" s="92">
        <f>'[7]Gov 65 &amp; 70'!$S221</f>
        <v>53.9</v>
      </c>
      <c r="J136" s="92">
        <f t="shared" si="81"/>
        <v>50.8</v>
      </c>
      <c r="K136" s="364">
        <f t="shared" si="85"/>
        <v>-3.1000000000000014</v>
      </c>
      <c r="L136" s="210" t="s">
        <v>18</v>
      </c>
      <c r="M136" s="92">
        <f>'[7]Gov 65 &amp; 70'!$J221</f>
        <v>106.6</v>
      </c>
      <c r="N136" s="92">
        <f t="shared" si="82"/>
        <v>121.8</v>
      </c>
      <c r="O136" s="365">
        <f t="shared" si="86"/>
        <v>15.200000000000003</v>
      </c>
      <c r="P136" s="90" t="s">
        <v>18</v>
      </c>
      <c r="Q136" s="114">
        <f t="shared" si="67"/>
        <v>-710.45800000000031</v>
      </c>
      <c r="R136" s="95">
        <f t="shared" si="68"/>
        <v>616.81600000000014</v>
      </c>
      <c r="S136" s="480">
        <f t="shared" si="69"/>
        <v>-94</v>
      </c>
      <c r="T136" s="90" t="s">
        <v>18</v>
      </c>
      <c r="U136" s="89">
        <v>1993</v>
      </c>
      <c r="V136" s="89">
        <v>12</v>
      </c>
      <c r="W136" s="154">
        <f t="shared" si="70"/>
        <v>10647.469579646018</v>
      </c>
      <c r="X136" s="154">
        <f t="shared" si="80"/>
        <v>-2088.3388680268363</v>
      </c>
      <c r="Y136" s="134"/>
      <c r="Z136" s="155">
        <f t="shared" si="71"/>
        <v>154005</v>
      </c>
      <c r="AA136" s="156">
        <f t="shared" si="65"/>
        <v>-94</v>
      </c>
      <c r="AB136" s="155">
        <f t="shared" si="72"/>
        <v>154005</v>
      </c>
      <c r="AC136" s="89">
        <v>1993</v>
      </c>
      <c r="AD136" s="89">
        <v>12</v>
      </c>
      <c r="AE136" s="110">
        <f>RESID!AC136</f>
        <v>31.7</v>
      </c>
      <c r="AF136" s="116">
        <f t="shared" si="73"/>
        <v>10217.574668141593</v>
      </c>
      <c r="AG136" s="89">
        <f t="shared" si="74"/>
        <v>147787</v>
      </c>
      <c r="AI136" s="134"/>
      <c r="AY136" s="89">
        <v>1993</v>
      </c>
      <c r="AZ136" s="89">
        <v>12</v>
      </c>
      <c r="BA136" s="89">
        <f>'[8]Gov 65 &amp; 70'!$S221</f>
        <v>11.1</v>
      </c>
      <c r="BB136" s="89">
        <f t="shared" si="83"/>
        <v>28.2</v>
      </c>
      <c r="BC136" s="111">
        <f t="shared" si="75"/>
        <v>17.100000000000001</v>
      </c>
      <c r="BD136" s="113" t="s">
        <v>18</v>
      </c>
      <c r="BE136" s="89">
        <f>'[8]Gov 65 &amp; 70'!$J221</f>
        <v>243.5</v>
      </c>
      <c r="BF136" s="89">
        <f t="shared" si="84"/>
        <v>170</v>
      </c>
      <c r="BG136" s="112">
        <f t="shared" si="76"/>
        <v>-73.5</v>
      </c>
      <c r="BH136" s="113" t="s">
        <v>18</v>
      </c>
      <c r="BI136" s="274">
        <f t="shared" si="77"/>
        <v>3918.9780000000005</v>
      </c>
      <c r="BJ136" s="275">
        <f t="shared" si="78"/>
        <v>-2982.6299999999997</v>
      </c>
      <c r="BK136" s="483">
        <f t="shared" si="79"/>
        <v>936</v>
      </c>
      <c r="BL136" s="277"/>
      <c r="BM136" s="113" t="s">
        <v>18</v>
      </c>
      <c r="BN136" s="89">
        <v>1993</v>
      </c>
      <c r="BO136" s="89">
        <v>12</v>
      </c>
      <c r="BP136" s="117"/>
      <c r="BT136" s="96"/>
    </row>
    <row r="137" spans="1:72">
      <c r="A137" s="4">
        <v>1994</v>
      </c>
      <c r="B137" s="4">
        <v>1</v>
      </c>
      <c r="C137" s="5">
        <v>136917</v>
      </c>
      <c r="D137" s="5">
        <v>14515</v>
      </c>
      <c r="E137" s="73">
        <f t="shared" si="62"/>
        <v>9433</v>
      </c>
      <c r="F137" s="540">
        <f t="shared" si="66"/>
        <v>14515</v>
      </c>
      <c r="H137" s="13" t="s">
        <v>18</v>
      </c>
      <c r="I137" s="76">
        <f>'[7]Gov 65 &amp; 70'!$S222</f>
        <v>6.5</v>
      </c>
      <c r="J137" s="76">
        <f t="shared" si="81"/>
        <v>28.7</v>
      </c>
      <c r="K137" s="362">
        <f t="shared" si="85"/>
        <v>22.2</v>
      </c>
      <c r="L137" s="200" t="s">
        <v>18</v>
      </c>
      <c r="M137" s="76">
        <f>'[7]Gov 65 &amp; 70'!$J222</f>
        <v>264.7</v>
      </c>
      <c r="N137" s="76">
        <f t="shared" si="82"/>
        <v>192.9</v>
      </c>
      <c r="O137" s="363">
        <f t="shared" si="86"/>
        <v>-71.799999999999983</v>
      </c>
      <c r="P137" s="13" t="s">
        <v>18</v>
      </c>
      <c r="Q137" s="77">
        <f t="shared" si="67"/>
        <v>5087.7960000000003</v>
      </c>
      <c r="R137" s="78">
        <f t="shared" si="68"/>
        <v>-2913.6439999999993</v>
      </c>
      <c r="S137" s="479">
        <f t="shared" si="69"/>
        <v>2174</v>
      </c>
      <c r="T137" s="13" t="s">
        <v>18</v>
      </c>
      <c r="U137" s="4">
        <v>1994</v>
      </c>
      <c r="V137" s="4">
        <v>1</v>
      </c>
      <c r="W137" s="153">
        <f t="shared" si="70"/>
        <v>9582.569755425422</v>
      </c>
      <c r="X137" s="153">
        <f t="shared" si="80"/>
        <v>-2304.3423460366175</v>
      </c>
      <c r="Y137" s="80"/>
      <c r="Z137" s="98">
        <f t="shared" si="71"/>
        <v>139091</v>
      </c>
      <c r="AA137" s="119">
        <f t="shared" si="65"/>
        <v>2174</v>
      </c>
      <c r="AB137" s="98">
        <f t="shared" si="72"/>
        <v>139091</v>
      </c>
      <c r="AC137" s="4">
        <v>1994</v>
      </c>
      <c r="AD137" s="4">
        <v>1</v>
      </c>
      <c r="AE137" s="107">
        <f>RESID!AC137</f>
        <v>30.65</v>
      </c>
      <c r="AF137" s="40">
        <f t="shared" si="73"/>
        <v>9510.64416121254</v>
      </c>
      <c r="AG137" s="4">
        <f t="shared" si="74"/>
        <v>138047</v>
      </c>
      <c r="AI137" s="80"/>
      <c r="AY137" s="4">
        <v>1994</v>
      </c>
      <c r="AZ137" s="4">
        <v>1</v>
      </c>
      <c r="BA137" s="4">
        <f>'[8]Gov 65 &amp; 70'!$S222</f>
        <v>13.8</v>
      </c>
      <c r="BB137" s="4">
        <f t="shared" si="83"/>
        <v>23.9</v>
      </c>
      <c r="BC137" s="82">
        <f t="shared" si="75"/>
        <v>10.099999999999998</v>
      </c>
      <c r="BD137" s="36" t="s">
        <v>18</v>
      </c>
      <c r="BE137" s="4">
        <f>'[8]Gov 65 &amp; 70'!$J222</f>
        <v>215.9</v>
      </c>
      <c r="BF137" s="4">
        <f t="shared" si="84"/>
        <v>176.9</v>
      </c>
      <c r="BG137" s="83">
        <f t="shared" si="76"/>
        <v>-39</v>
      </c>
      <c r="BH137" s="36" t="s">
        <v>18</v>
      </c>
      <c r="BI137" s="273">
        <f t="shared" si="77"/>
        <v>2314.7179999999994</v>
      </c>
      <c r="BJ137" s="270">
        <f t="shared" si="78"/>
        <v>-1582.62</v>
      </c>
      <c r="BK137" s="482">
        <f t="shared" si="79"/>
        <v>732</v>
      </c>
      <c r="BL137" s="276"/>
      <c r="BM137" s="36" t="s">
        <v>18</v>
      </c>
      <c r="BN137" s="4">
        <v>1994</v>
      </c>
      <c r="BO137" s="4">
        <v>1</v>
      </c>
      <c r="BP137" s="108"/>
    </row>
    <row r="138" spans="1:72">
      <c r="A138" s="4">
        <v>1994</v>
      </c>
      <c r="B138" s="4">
        <v>2</v>
      </c>
      <c r="C138" s="5">
        <v>139502</v>
      </c>
      <c r="D138" s="5">
        <v>14546</v>
      </c>
      <c r="E138" s="73">
        <f t="shared" si="62"/>
        <v>9590</v>
      </c>
      <c r="F138" s="540">
        <f t="shared" si="66"/>
        <v>14546</v>
      </c>
      <c r="H138" s="13" t="s">
        <v>18</v>
      </c>
      <c r="I138" s="76">
        <f>'[7]Gov 65 &amp; 70'!$S223</f>
        <v>26.8</v>
      </c>
      <c r="J138" s="76">
        <f t="shared" si="81"/>
        <v>22.6</v>
      </c>
      <c r="K138" s="362">
        <f t="shared" si="85"/>
        <v>-4.1999999999999993</v>
      </c>
      <c r="L138" s="200" t="s">
        <v>18</v>
      </c>
      <c r="M138" s="76">
        <f>'[7]Gov 65 &amp; 70'!$J223</f>
        <v>182.8</v>
      </c>
      <c r="N138" s="76">
        <f t="shared" si="82"/>
        <v>177.2</v>
      </c>
      <c r="O138" s="363">
        <f t="shared" si="86"/>
        <v>-5.6000000000000227</v>
      </c>
      <c r="P138" s="13" t="s">
        <v>18</v>
      </c>
      <c r="Q138" s="77">
        <f t="shared" si="67"/>
        <v>-962.55599999999981</v>
      </c>
      <c r="R138" s="78">
        <f t="shared" si="68"/>
        <v>-227.2480000000009</v>
      </c>
      <c r="S138" s="479">
        <f t="shared" si="69"/>
        <v>-1190</v>
      </c>
      <c r="T138" s="13" t="s">
        <v>18</v>
      </c>
      <c r="U138" s="4">
        <v>1994</v>
      </c>
      <c r="V138" s="4">
        <v>2</v>
      </c>
      <c r="W138" s="153">
        <f t="shared" si="70"/>
        <v>9508.5934277464603</v>
      </c>
      <c r="X138" s="153">
        <f t="shared" si="80"/>
        <v>-2260.2289240683203</v>
      </c>
      <c r="Y138" s="80"/>
      <c r="Z138" s="98">
        <f t="shared" si="71"/>
        <v>138312</v>
      </c>
      <c r="AA138" s="119">
        <f t="shared" si="65"/>
        <v>-1190</v>
      </c>
      <c r="AB138" s="98">
        <f t="shared" si="72"/>
        <v>138312</v>
      </c>
      <c r="AC138" s="4">
        <v>1994</v>
      </c>
      <c r="AD138" s="4">
        <v>2</v>
      </c>
      <c r="AE138" s="107">
        <f>RESID!AC138</f>
        <v>29.4</v>
      </c>
      <c r="AF138" s="40">
        <f t="shared" si="73"/>
        <v>9838.5123057885339</v>
      </c>
      <c r="AG138" s="4">
        <f t="shared" si="74"/>
        <v>143111</v>
      </c>
      <c r="AI138" s="80"/>
      <c r="AY138" s="4">
        <v>1994</v>
      </c>
      <c r="AZ138" s="4">
        <v>2</v>
      </c>
      <c r="BA138" s="4">
        <f>'[8]Gov 65 &amp; 70'!$S223</f>
        <v>47.6</v>
      </c>
      <c r="BB138" s="4">
        <f t="shared" si="83"/>
        <v>32.799999999999997</v>
      </c>
      <c r="BC138" s="82">
        <f t="shared" si="75"/>
        <v>-14.800000000000004</v>
      </c>
      <c r="BD138" s="36" t="s">
        <v>18</v>
      </c>
      <c r="BE138" s="4">
        <f>'[8]Gov 65 &amp; 70'!$J223</f>
        <v>98.4</v>
      </c>
      <c r="BF138" s="4">
        <f t="shared" si="84"/>
        <v>139.1</v>
      </c>
      <c r="BG138" s="83">
        <f t="shared" si="76"/>
        <v>40.699999999999989</v>
      </c>
      <c r="BH138" s="36" t="s">
        <v>18</v>
      </c>
      <c r="BI138" s="273">
        <f t="shared" si="77"/>
        <v>-3391.8640000000009</v>
      </c>
      <c r="BJ138" s="270">
        <f t="shared" si="78"/>
        <v>1651.6059999999995</v>
      </c>
      <c r="BK138" s="482">
        <f t="shared" si="79"/>
        <v>-1740</v>
      </c>
      <c r="BL138" s="276"/>
      <c r="BM138" s="36" t="s">
        <v>18</v>
      </c>
      <c r="BN138" s="4">
        <v>1994</v>
      </c>
      <c r="BO138" s="4">
        <v>2</v>
      </c>
      <c r="BP138" s="108"/>
    </row>
    <row r="139" spans="1:72">
      <c r="A139" s="4">
        <v>1994</v>
      </c>
      <c r="B139" s="4">
        <v>3</v>
      </c>
      <c r="C139" s="5">
        <v>143395</v>
      </c>
      <c r="D139" s="5">
        <v>14552</v>
      </c>
      <c r="E139" s="73">
        <f t="shared" si="62"/>
        <v>9854</v>
      </c>
      <c r="F139" s="540">
        <f t="shared" si="66"/>
        <v>14552</v>
      </c>
      <c r="H139" s="13" t="s">
        <v>18</v>
      </c>
      <c r="I139" s="76">
        <f>'[7]Gov 65 &amp; 70'!$S224</f>
        <v>47.1</v>
      </c>
      <c r="J139" s="76">
        <f t="shared" si="81"/>
        <v>44.5</v>
      </c>
      <c r="K139" s="362">
        <f t="shared" si="85"/>
        <v>-2.6000000000000014</v>
      </c>
      <c r="L139" s="200" t="s">
        <v>18</v>
      </c>
      <c r="M139" s="76">
        <f>'[7]Gov 65 &amp; 70'!$J224</f>
        <v>86.3</v>
      </c>
      <c r="N139" s="76">
        <f t="shared" si="82"/>
        <v>119.5</v>
      </c>
      <c r="O139" s="363">
        <f t="shared" si="86"/>
        <v>33.200000000000003</v>
      </c>
      <c r="P139" s="13" t="s">
        <v>18</v>
      </c>
      <c r="Q139" s="77">
        <f t="shared" si="67"/>
        <v>-595.86800000000039</v>
      </c>
      <c r="R139" s="78">
        <f t="shared" si="68"/>
        <v>1347.2560000000001</v>
      </c>
      <c r="S139" s="479">
        <f t="shared" si="69"/>
        <v>751</v>
      </c>
      <c r="T139" s="13" t="s">
        <v>18</v>
      </c>
      <c r="U139" s="4">
        <v>1994</v>
      </c>
      <c r="V139" s="4">
        <v>3</v>
      </c>
      <c r="W139" s="153">
        <f t="shared" si="70"/>
        <v>9905.5799890049493</v>
      </c>
      <c r="X139" s="153">
        <f t="shared" si="80"/>
        <v>-2033.3479929253772</v>
      </c>
      <c r="Y139" s="80"/>
      <c r="Z139" s="98">
        <f t="shared" si="71"/>
        <v>144146</v>
      </c>
      <c r="AA139" s="119">
        <f t="shared" si="65"/>
        <v>751</v>
      </c>
      <c r="AB139" s="98">
        <f t="shared" si="72"/>
        <v>144146</v>
      </c>
      <c r="AC139" s="4">
        <v>1994</v>
      </c>
      <c r="AD139" s="4">
        <v>3</v>
      </c>
      <c r="AE139" s="107">
        <f>RESID!AC139</f>
        <v>29.4</v>
      </c>
      <c r="AF139" s="40">
        <f t="shared" si="73"/>
        <v>10249.244090159427</v>
      </c>
      <c r="AG139" s="4">
        <f t="shared" si="74"/>
        <v>149147</v>
      </c>
      <c r="AI139" s="80"/>
      <c r="AY139" s="4">
        <v>1994</v>
      </c>
      <c r="AZ139" s="4">
        <v>3</v>
      </c>
      <c r="BA139" s="4">
        <f>'[8]Gov 65 &amp; 70'!$S224</f>
        <v>78.099999999999994</v>
      </c>
      <c r="BB139" s="4">
        <f t="shared" si="83"/>
        <v>64.099999999999994</v>
      </c>
      <c r="BC139" s="82">
        <f t="shared" si="75"/>
        <v>-14</v>
      </c>
      <c r="BD139" s="36" t="s">
        <v>18</v>
      </c>
      <c r="BE139" s="4">
        <f>'[8]Gov 65 &amp; 70'!$J224</f>
        <v>84.9</v>
      </c>
      <c r="BF139" s="4">
        <f t="shared" si="84"/>
        <v>85.4</v>
      </c>
      <c r="BG139" s="83">
        <f t="shared" si="76"/>
        <v>0.5</v>
      </c>
      <c r="BH139" s="36" t="s">
        <v>18</v>
      </c>
      <c r="BI139" s="273">
        <f t="shared" si="77"/>
        <v>-3208.52</v>
      </c>
      <c r="BJ139" s="270">
        <f t="shared" si="78"/>
        <v>20.29</v>
      </c>
      <c r="BK139" s="482">
        <f t="shared" si="79"/>
        <v>-3188</v>
      </c>
      <c r="BL139" s="276"/>
      <c r="BM139" s="36" t="s">
        <v>18</v>
      </c>
      <c r="BN139" s="4">
        <v>1994</v>
      </c>
      <c r="BO139" s="4">
        <v>3</v>
      </c>
      <c r="BP139" s="108"/>
    </row>
    <row r="140" spans="1:72">
      <c r="A140" s="4">
        <v>1994</v>
      </c>
      <c r="B140" s="4">
        <v>4</v>
      </c>
      <c r="C140" s="5">
        <v>160309</v>
      </c>
      <c r="D140" s="5">
        <v>14598</v>
      </c>
      <c r="E140" s="73">
        <f t="shared" si="62"/>
        <v>10982</v>
      </c>
      <c r="F140" s="540">
        <f t="shared" si="66"/>
        <v>14598</v>
      </c>
      <c r="H140" s="13" t="s">
        <v>18</v>
      </c>
      <c r="I140" s="76">
        <f>'[7]Gov 65 &amp; 70'!$S225</f>
        <v>118.3</v>
      </c>
      <c r="J140" s="76">
        <f t="shared" si="81"/>
        <v>87.7</v>
      </c>
      <c r="K140" s="362">
        <f t="shared" si="85"/>
        <v>-30.599999999999994</v>
      </c>
      <c r="L140" s="200" t="s">
        <v>18</v>
      </c>
      <c r="M140" s="76">
        <f>'[7]Gov 65 &amp; 70'!$J225</f>
        <v>58</v>
      </c>
      <c r="N140" s="76">
        <f t="shared" si="82"/>
        <v>60.3</v>
      </c>
      <c r="O140" s="363">
        <f t="shared" si="86"/>
        <v>2.2999999999999972</v>
      </c>
      <c r="P140" s="13" t="s">
        <v>18</v>
      </c>
      <c r="Q140" s="77">
        <f t="shared" si="67"/>
        <v>-7012.9079999999985</v>
      </c>
      <c r="R140" s="78">
        <f t="shared" si="68"/>
        <v>93.333999999999875</v>
      </c>
      <c r="S140" s="479">
        <f t="shared" si="69"/>
        <v>-6920</v>
      </c>
      <c r="T140" s="13" t="s">
        <v>18</v>
      </c>
      <c r="U140" s="4">
        <v>1994</v>
      </c>
      <c r="V140" s="4">
        <v>4</v>
      </c>
      <c r="W140" s="153">
        <f t="shared" si="70"/>
        <v>10507.535278805315</v>
      </c>
      <c r="X140" s="153">
        <f t="shared" si="80"/>
        <v>-1971.0043928773121</v>
      </c>
      <c r="Y140" s="80"/>
      <c r="Z140" s="98">
        <f t="shared" si="71"/>
        <v>153389</v>
      </c>
      <c r="AA140" s="119">
        <f t="shared" si="65"/>
        <v>-6920</v>
      </c>
      <c r="AB140" s="98">
        <f t="shared" si="72"/>
        <v>153389</v>
      </c>
      <c r="AC140" s="4">
        <v>1994</v>
      </c>
      <c r="AD140" s="4">
        <v>4</v>
      </c>
      <c r="AE140" s="107">
        <f>RESID!AC140</f>
        <v>32.049999999999997</v>
      </c>
      <c r="AF140" s="40">
        <f t="shared" si="73"/>
        <v>9973.1470064392379</v>
      </c>
      <c r="AG140" s="4">
        <f t="shared" si="74"/>
        <v>145588</v>
      </c>
      <c r="AI140" s="80"/>
      <c r="AY140" s="4">
        <v>1994</v>
      </c>
      <c r="AZ140" s="4">
        <v>4</v>
      </c>
      <c r="BA140" s="4">
        <f>'[8]Gov 65 &amp; 70'!$S225</f>
        <v>166.1</v>
      </c>
      <c r="BB140" s="4">
        <f t="shared" si="83"/>
        <v>122</v>
      </c>
      <c r="BC140" s="82">
        <f t="shared" si="75"/>
        <v>-44.099999999999994</v>
      </c>
      <c r="BD140" s="36" t="s">
        <v>18</v>
      </c>
      <c r="BE140" s="4">
        <f>'[8]Gov 65 &amp; 70'!$J225</f>
        <v>17.600000000000001</v>
      </c>
      <c r="BF140" s="4">
        <f t="shared" si="84"/>
        <v>34.700000000000003</v>
      </c>
      <c r="BG140" s="83">
        <f t="shared" si="76"/>
        <v>17.100000000000001</v>
      </c>
      <c r="BH140" s="36" t="s">
        <v>18</v>
      </c>
      <c r="BI140" s="273">
        <f t="shared" si="77"/>
        <v>-10106.838</v>
      </c>
      <c r="BJ140" s="270">
        <f t="shared" si="78"/>
        <v>693.91800000000001</v>
      </c>
      <c r="BK140" s="482">
        <f t="shared" si="79"/>
        <v>-9413</v>
      </c>
      <c r="BL140" s="276"/>
      <c r="BM140" s="36" t="s">
        <v>18</v>
      </c>
      <c r="BN140" s="4">
        <v>1994</v>
      </c>
      <c r="BO140" s="4">
        <v>4</v>
      </c>
      <c r="BP140" s="108"/>
    </row>
    <row r="141" spans="1:72">
      <c r="A141" s="4">
        <v>1994</v>
      </c>
      <c r="B141" s="4">
        <v>5</v>
      </c>
      <c r="C141" s="5">
        <v>167391</v>
      </c>
      <c r="D141" s="5">
        <v>14663</v>
      </c>
      <c r="E141" s="73">
        <f t="shared" si="62"/>
        <v>11416</v>
      </c>
      <c r="F141" s="540">
        <f t="shared" si="66"/>
        <v>14663</v>
      </c>
      <c r="H141" s="13" t="s">
        <v>18</v>
      </c>
      <c r="I141" s="76">
        <f>'[7]Gov 65 &amp; 70'!$S226</f>
        <v>206.1</v>
      </c>
      <c r="J141" s="76">
        <f t="shared" si="81"/>
        <v>157.69999999999999</v>
      </c>
      <c r="K141" s="362">
        <f t="shared" si="85"/>
        <v>-48.400000000000006</v>
      </c>
      <c r="L141" s="200" t="s">
        <v>18</v>
      </c>
      <c r="M141" s="76">
        <f>'[7]Gov 65 &amp; 70'!$J226</f>
        <v>6.1</v>
      </c>
      <c r="N141" s="76">
        <f t="shared" si="82"/>
        <v>18.600000000000001</v>
      </c>
      <c r="O141" s="363">
        <f t="shared" si="86"/>
        <v>12.500000000000002</v>
      </c>
      <c r="P141" s="13" t="s">
        <v>18</v>
      </c>
      <c r="Q141" s="77">
        <f t="shared" si="67"/>
        <v>-11092.312000000002</v>
      </c>
      <c r="R141" s="78">
        <f t="shared" si="68"/>
        <v>507.25000000000006</v>
      </c>
      <c r="S141" s="479">
        <f t="shared" si="69"/>
        <v>-10585</v>
      </c>
      <c r="T141" s="13" t="s">
        <v>18</v>
      </c>
      <c r="U141" s="4">
        <v>1994</v>
      </c>
      <c r="V141" s="4">
        <v>5</v>
      </c>
      <c r="W141" s="153">
        <f t="shared" si="70"/>
        <v>10693.991679738117</v>
      </c>
      <c r="X141" s="153">
        <f t="shared" si="80"/>
        <v>-2914.9094286045238</v>
      </c>
      <c r="Y141" s="80"/>
      <c r="Z141" s="98">
        <f t="shared" si="71"/>
        <v>156806</v>
      </c>
      <c r="AA141" s="119">
        <f t="shared" si="65"/>
        <v>-10585</v>
      </c>
      <c r="AB141" s="98">
        <f t="shared" si="72"/>
        <v>156806</v>
      </c>
      <c r="AC141" s="4">
        <v>1994</v>
      </c>
      <c r="AD141" s="4">
        <v>5</v>
      </c>
      <c r="AE141" s="107">
        <f>RESID!AC141</f>
        <v>29.55</v>
      </c>
      <c r="AF141" s="40">
        <f t="shared" si="73"/>
        <v>11008.865852826844</v>
      </c>
      <c r="AG141" s="4">
        <f t="shared" si="74"/>
        <v>161423</v>
      </c>
      <c r="AI141" s="80"/>
      <c r="AY141" s="4">
        <v>1994</v>
      </c>
      <c r="AZ141" s="4">
        <v>5</v>
      </c>
      <c r="BA141" s="4">
        <f>'[8]Gov 65 &amp; 70'!$S226</f>
        <v>247.2</v>
      </c>
      <c r="BB141" s="4">
        <f t="shared" si="83"/>
        <v>253</v>
      </c>
      <c r="BC141" s="82">
        <f t="shared" si="75"/>
        <v>5.8000000000000114</v>
      </c>
      <c r="BD141" s="36" t="s">
        <v>18</v>
      </c>
      <c r="BE141" s="4">
        <f>'[8]Gov 65 &amp; 70'!$J226</f>
        <v>5.2</v>
      </c>
      <c r="BF141" s="4">
        <f t="shared" si="84"/>
        <v>4.3</v>
      </c>
      <c r="BG141" s="83">
        <f t="shared" si="76"/>
        <v>-0.90000000000000036</v>
      </c>
      <c r="BH141" s="36" t="s">
        <v>18</v>
      </c>
      <c r="BI141" s="273">
        <f t="shared" si="77"/>
        <v>1329.2440000000026</v>
      </c>
      <c r="BJ141" s="270">
        <f t="shared" si="78"/>
        <v>-36.522000000000013</v>
      </c>
      <c r="BK141" s="482">
        <f t="shared" si="79"/>
        <v>1293</v>
      </c>
      <c r="BL141" s="276"/>
      <c r="BM141" s="36" t="s">
        <v>18</v>
      </c>
      <c r="BN141" s="4">
        <v>1994</v>
      </c>
      <c r="BO141" s="4">
        <v>5</v>
      </c>
      <c r="BP141" s="108"/>
    </row>
    <row r="142" spans="1:72">
      <c r="A142" s="4">
        <v>1994</v>
      </c>
      <c r="B142" s="4">
        <v>6</v>
      </c>
      <c r="C142" s="5">
        <v>170603</v>
      </c>
      <c r="D142" s="5">
        <v>14743</v>
      </c>
      <c r="E142" s="73">
        <f t="shared" si="62"/>
        <v>11572</v>
      </c>
      <c r="F142" s="540">
        <f t="shared" si="66"/>
        <v>14743</v>
      </c>
      <c r="H142" s="13" t="s">
        <v>18</v>
      </c>
      <c r="I142" s="76">
        <f>'[7]Gov 65 &amp; 70'!$S227</f>
        <v>275.5</v>
      </c>
      <c r="J142" s="76">
        <f t="shared" si="81"/>
        <v>295.39999999999998</v>
      </c>
      <c r="K142" s="362">
        <f t="shared" si="85"/>
        <v>19.899999999999977</v>
      </c>
      <c r="L142" s="200" t="s">
        <v>18</v>
      </c>
      <c r="M142" s="76">
        <f>'[7]Gov 65 &amp; 70'!$J227</f>
        <v>3.8</v>
      </c>
      <c r="N142" s="76">
        <f t="shared" si="82"/>
        <v>2.2000000000000002</v>
      </c>
      <c r="O142" s="363">
        <f t="shared" si="86"/>
        <v>-1.5999999999999996</v>
      </c>
      <c r="P142" s="13" t="s">
        <v>18</v>
      </c>
      <c r="Q142" s="77">
        <f t="shared" si="67"/>
        <v>4560.6819999999952</v>
      </c>
      <c r="R142" s="78">
        <f t="shared" si="68"/>
        <v>-64.927999999999983</v>
      </c>
      <c r="S142" s="479">
        <f t="shared" si="69"/>
        <v>4496</v>
      </c>
      <c r="T142" s="13" t="s">
        <v>18</v>
      </c>
      <c r="U142" s="4">
        <v>1994</v>
      </c>
      <c r="V142" s="4">
        <v>6</v>
      </c>
      <c r="W142" s="153">
        <f t="shared" si="70"/>
        <v>11876.755070202807</v>
      </c>
      <c r="X142" s="153">
        <f t="shared" si="80"/>
        <v>-2651.0804960782934</v>
      </c>
      <c r="Y142" s="80"/>
      <c r="Z142" s="98">
        <f t="shared" si="71"/>
        <v>175099</v>
      </c>
      <c r="AA142" s="119">
        <f t="shared" si="65"/>
        <v>4496</v>
      </c>
      <c r="AB142" s="98">
        <f t="shared" si="72"/>
        <v>175099</v>
      </c>
      <c r="AC142" s="4">
        <v>1994</v>
      </c>
      <c r="AD142" s="4">
        <v>6</v>
      </c>
      <c r="AE142" s="107">
        <f>RESID!AC142</f>
        <v>30.65</v>
      </c>
      <c r="AF142" s="40">
        <f t="shared" si="73"/>
        <v>11787.628026860204</v>
      </c>
      <c r="AG142" s="4">
        <f t="shared" si="74"/>
        <v>173785</v>
      </c>
      <c r="AI142" s="80"/>
      <c r="AY142" s="4">
        <v>1994</v>
      </c>
      <c r="AZ142" s="4">
        <v>6</v>
      </c>
      <c r="BA142" s="4">
        <f>'[8]Gov 65 &amp; 70'!$S227</f>
        <v>356.5</v>
      </c>
      <c r="BB142" s="4">
        <f t="shared" si="83"/>
        <v>336.1</v>
      </c>
      <c r="BC142" s="82">
        <f t="shared" si="75"/>
        <v>-20.399999999999977</v>
      </c>
      <c r="BD142" s="36" t="s">
        <v>18</v>
      </c>
      <c r="BE142" s="4">
        <f>'[8]Gov 65 &amp; 70'!$J227</f>
        <v>0</v>
      </c>
      <c r="BF142" s="4">
        <f t="shared" si="84"/>
        <v>0</v>
      </c>
      <c r="BG142" s="83">
        <f t="shared" si="76"/>
        <v>0</v>
      </c>
      <c r="BH142" s="36" t="s">
        <v>18</v>
      </c>
      <c r="BI142" s="273">
        <f t="shared" si="77"/>
        <v>-4675.2719999999945</v>
      </c>
      <c r="BJ142" s="270">
        <f t="shared" si="78"/>
        <v>0</v>
      </c>
      <c r="BK142" s="482">
        <f t="shared" si="79"/>
        <v>-4675</v>
      </c>
      <c r="BL142" s="276"/>
      <c r="BM142" s="36" t="s">
        <v>18</v>
      </c>
      <c r="BN142" s="4">
        <v>1994</v>
      </c>
      <c r="BO142" s="4">
        <v>6</v>
      </c>
      <c r="BP142" s="108"/>
    </row>
    <row r="143" spans="1:72">
      <c r="A143" s="4">
        <v>1994</v>
      </c>
      <c r="B143" s="4">
        <v>7</v>
      </c>
      <c r="C143" s="5">
        <v>171955</v>
      </c>
      <c r="D143" s="5">
        <v>14749</v>
      </c>
      <c r="E143" s="73">
        <f t="shared" si="62"/>
        <v>11659</v>
      </c>
      <c r="F143" s="540">
        <f t="shared" si="66"/>
        <v>14749</v>
      </c>
      <c r="H143" s="13" t="s">
        <v>18</v>
      </c>
      <c r="I143" s="76">
        <f>'[7]Gov 65 &amp; 70'!$S228</f>
        <v>378.3</v>
      </c>
      <c r="J143" s="76">
        <f t="shared" si="81"/>
        <v>363.4</v>
      </c>
      <c r="K143" s="362">
        <f t="shared" si="85"/>
        <v>-14.900000000000034</v>
      </c>
      <c r="L143" s="200" t="s">
        <v>18</v>
      </c>
      <c r="M143" s="76">
        <f>'[7]Gov 65 &amp; 70'!$J228</f>
        <v>0</v>
      </c>
      <c r="N143" s="76">
        <f t="shared" si="82"/>
        <v>0</v>
      </c>
      <c r="O143" s="363">
        <f t="shared" si="86"/>
        <v>0</v>
      </c>
      <c r="P143" s="13" t="s">
        <v>18</v>
      </c>
      <c r="Q143" s="77">
        <f t="shared" si="67"/>
        <v>-3414.7820000000079</v>
      </c>
      <c r="R143" s="78">
        <f t="shared" si="68"/>
        <v>0</v>
      </c>
      <c r="S143" s="479">
        <f t="shared" si="69"/>
        <v>-3415</v>
      </c>
      <c r="T143" s="13" t="s">
        <v>18</v>
      </c>
      <c r="U143" s="4">
        <v>1994</v>
      </c>
      <c r="V143" s="4">
        <v>7</v>
      </c>
      <c r="W143" s="153">
        <f t="shared" si="70"/>
        <v>11427.215404434199</v>
      </c>
      <c r="X143" s="153">
        <f t="shared" si="80"/>
        <v>-1766.0770291036333</v>
      </c>
      <c r="Y143" s="80"/>
      <c r="Z143" s="98">
        <f t="shared" si="71"/>
        <v>168540</v>
      </c>
      <c r="AA143" s="119">
        <f t="shared" si="65"/>
        <v>-3415</v>
      </c>
      <c r="AB143" s="98">
        <f t="shared" si="72"/>
        <v>168540</v>
      </c>
      <c r="AC143" s="4">
        <v>1994</v>
      </c>
      <c r="AD143" s="4">
        <v>7</v>
      </c>
      <c r="AE143" s="107">
        <f>RESID!AC143</f>
        <v>30.65</v>
      </c>
      <c r="AF143" s="40">
        <f t="shared" si="73"/>
        <v>11341.446877754423</v>
      </c>
      <c r="AG143" s="4">
        <f t="shared" si="74"/>
        <v>167275</v>
      </c>
      <c r="AI143" s="80"/>
      <c r="AY143" s="4">
        <v>1994</v>
      </c>
      <c r="AZ143" s="4">
        <v>7</v>
      </c>
      <c r="BA143" s="4">
        <f>'[8]Gov 65 &amp; 70'!$S228</f>
        <v>365.6</v>
      </c>
      <c r="BB143" s="4">
        <f t="shared" si="83"/>
        <v>391.2</v>
      </c>
      <c r="BC143" s="82">
        <f t="shared" si="75"/>
        <v>25.599999999999966</v>
      </c>
      <c r="BD143" s="36" t="s">
        <v>18</v>
      </c>
      <c r="BE143" s="4">
        <f>'[8]Gov 65 &amp; 70'!$J228</f>
        <v>0</v>
      </c>
      <c r="BF143" s="4">
        <f t="shared" si="84"/>
        <v>0</v>
      </c>
      <c r="BG143" s="83">
        <f t="shared" si="76"/>
        <v>0</v>
      </c>
      <c r="BH143" s="36" t="s">
        <v>18</v>
      </c>
      <c r="BI143" s="273">
        <f t="shared" si="77"/>
        <v>5867.0079999999925</v>
      </c>
      <c r="BJ143" s="270">
        <f t="shared" si="78"/>
        <v>0</v>
      </c>
      <c r="BK143" s="482">
        <f t="shared" si="79"/>
        <v>5867</v>
      </c>
      <c r="BL143" s="276"/>
      <c r="BM143" s="36" t="s">
        <v>18</v>
      </c>
      <c r="BN143" s="4">
        <v>1994</v>
      </c>
      <c r="BO143" s="4">
        <v>7</v>
      </c>
      <c r="BP143" s="108"/>
    </row>
    <row r="144" spans="1:72">
      <c r="A144" s="4">
        <v>1994</v>
      </c>
      <c r="B144" s="4">
        <v>8</v>
      </c>
      <c r="C144" s="5">
        <v>165199</v>
      </c>
      <c r="D144" s="5">
        <v>14782</v>
      </c>
      <c r="E144" s="73">
        <f t="shared" si="62"/>
        <v>11176</v>
      </c>
      <c r="F144" s="540">
        <f t="shared" si="66"/>
        <v>14782</v>
      </c>
      <c r="H144" s="13" t="s">
        <v>18</v>
      </c>
      <c r="I144" s="76">
        <f>'[7]Gov 65 &amp; 70'!$S229</f>
        <v>341.8</v>
      </c>
      <c r="J144" s="76">
        <f t="shared" si="81"/>
        <v>390.1</v>
      </c>
      <c r="K144" s="362">
        <f t="shared" si="85"/>
        <v>48.300000000000011</v>
      </c>
      <c r="L144" s="200" t="s">
        <v>18</v>
      </c>
      <c r="M144" s="76">
        <f>'[7]Gov 65 &amp; 70'!$J229</f>
        <v>0</v>
      </c>
      <c r="N144" s="76">
        <f t="shared" si="82"/>
        <v>0</v>
      </c>
      <c r="O144" s="363">
        <f t="shared" si="86"/>
        <v>0</v>
      </c>
      <c r="P144" s="13" t="s">
        <v>18</v>
      </c>
      <c r="Q144" s="77">
        <f t="shared" si="67"/>
        <v>11069.394000000002</v>
      </c>
      <c r="R144" s="78">
        <f t="shared" si="68"/>
        <v>0</v>
      </c>
      <c r="S144" s="479">
        <f t="shared" si="69"/>
        <v>11069</v>
      </c>
      <c r="T144" s="13" t="s">
        <v>18</v>
      </c>
      <c r="U144" s="4">
        <v>1994</v>
      </c>
      <c r="V144" s="4">
        <v>8</v>
      </c>
      <c r="W144" s="153">
        <f t="shared" si="70"/>
        <v>11924.50277364362</v>
      </c>
      <c r="X144" s="153">
        <f t="shared" si="80"/>
        <v>-989.8989758096759</v>
      </c>
      <c r="Y144" s="80"/>
      <c r="Z144" s="98">
        <f t="shared" si="71"/>
        <v>176268</v>
      </c>
      <c r="AA144" s="119">
        <f t="shared" si="65"/>
        <v>11069</v>
      </c>
      <c r="AB144" s="98">
        <f t="shared" si="72"/>
        <v>176268</v>
      </c>
      <c r="AC144" s="4">
        <v>1994</v>
      </c>
      <c r="AD144" s="4">
        <v>8</v>
      </c>
      <c r="AE144" s="107">
        <f>RESID!AC144</f>
        <v>29.7</v>
      </c>
      <c r="AF144" s="40">
        <f t="shared" si="73"/>
        <v>12213.570558787715</v>
      </c>
      <c r="AG144" s="4">
        <f t="shared" si="74"/>
        <v>180541</v>
      </c>
      <c r="AI144" s="80"/>
      <c r="AY144" s="4">
        <v>1994</v>
      </c>
      <c r="AZ144" s="4">
        <v>8</v>
      </c>
      <c r="BA144" s="4">
        <f>'[8]Gov 65 &amp; 70'!$S229</f>
        <v>342</v>
      </c>
      <c r="BB144" s="4">
        <f t="shared" si="83"/>
        <v>394.4</v>
      </c>
      <c r="BC144" s="82">
        <f t="shared" si="75"/>
        <v>52.399999999999977</v>
      </c>
      <c r="BD144" s="36" t="s">
        <v>18</v>
      </c>
      <c r="BE144" s="4">
        <f>'[8]Gov 65 &amp; 70'!$J229</f>
        <v>0</v>
      </c>
      <c r="BF144" s="4">
        <f t="shared" si="84"/>
        <v>0</v>
      </c>
      <c r="BG144" s="83">
        <f t="shared" si="76"/>
        <v>0</v>
      </c>
      <c r="BH144" s="36" t="s">
        <v>18</v>
      </c>
      <c r="BI144" s="273">
        <f t="shared" si="77"/>
        <v>12009.031999999996</v>
      </c>
      <c r="BJ144" s="270">
        <f t="shared" si="78"/>
        <v>0</v>
      </c>
      <c r="BK144" s="482">
        <f t="shared" si="79"/>
        <v>12009</v>
      </c>
      <c r="BL144" s="276"/>
      <c r="BM144" s="36" t="s">
        <v>18</v>
      </c>
      <c r="BN144" s="4">
        <v>1994</v>
      </c>
      <c r="BO144" s="4">
        <v>8</v>
      </c>
      <c r="BP144" s="108"/>
    </row>
    <row r="145" spans="1:72">
      <c r="A145" s="4">
        <v>1994</v>
      </c>
      <c r="B145" s="4">
        <v>9</v>
      </c>
      <c r="C145" s="5">
        <v>193583</v>
      </c>
      <c r="D145" s="5">
        <v>14869</v>
      </c>
      <c r="E145" s="73">
        <f t="shared" ref="E145:E208" si="87">ROUND(C145/D145*1000,0)</f>
        <v>13019</v>
      </c>
      <c r="F145" s="540">
        <f t="shared" si="66"/>
        <v>14869</v>
      </c>
      <c r="H145" s="13" t="s">
        <v>18</v>
      </c>
      <c r="I145" s="76">
        <f>'[7]Gov 65 &amp; 70'!$S230</f>
        <v>339.4</v>
      </c>
      <c r="J145" s="76">
        <f t="shared" si="81"/>
        <v>381.2</v>
      </c>
      <c r="K145" s="362">
        <f t="shared" ref="K145:K178" si="88">(J145-I145)</f>
        <v>41.800000000000011</v>
      </c>
      <c r="L145" s="200" t="s">
        <v>18</v>
      </c>
      <c r="M145" s="76">
        <f>'[7]Gov 65 &amp; 70'!$J230</f>
        <v>0.1</v>
      </c>
      <c r="N145" s="76">
        <f t="shared" si="82"/>
        <v>0</v>
      </c>
      <c r="O145" s="363">
        <f t="shared" ref="O145:O178" si="89">(N145-M145)</f>
        <v>-0.1</v>
      </c>
      <c r="P145" s="13" t="s">
        <v>18</v>
      </c>
      <c r="Q145" s="77">
        <f t="shared" si="67"/>
        <v>9579.7240000000038</v>
      </c>
      <c r="R145" s="78">
        <f t="shared" si="68"/>
        <v>-4.0579999999999998</v>
      </c>
      <c r="S145" s="479">
        <f t="shared" si="69"/>
        <v>9576</v>
      </c>
      <c r="T145" s="13" t="s">
        <v>18</v>
      </c>
      <c r="U145" s="4">
        <v>1994</v>
      </c>
      <c r="V145" s="4">
        <v>9</v>
      </c>
      <c r="W145" s="153">
        <f t="shared" si="70"/>
        <v>13663.259129733002</v>
      </c>
      <c r="X145" s="153">
        <f t="shared" si="80"/>
        <v>610.84523826897748</v>
      </c>
      <c r="Y145" s="80"/>
      <c r="Z145" s="98">
        <f t="shared" si="71"/>
        <v>203159</v>
      </c>
      <c r="AA145" s="119">
        <f t="shared" ref="AA145:AA208" si="90">Z145-C145</f>
        <v>9576</v>
      </c>
      <c r="AB145" s="98">
        <f t="shared" si="72"/>
        <v>203159</v>
      </c>
      <c r="AC145" s="4">
        <v>1994</v>
      </c>
      <c r="AD145" s="4">
        <v>9</v>
      </c>
      <c r="AE145" s="107">
        <f>RESID!AC145</f>
        <v>31.85</v>
      </c>
      <c r="AF145" s="40">
        <f t="shared" si="73"/>
        <v>13049.835227654854</v>
      </c>
      <c r="AG145" s="4">
        <f t="shared" si="74"/>
        <v>194038</v>
      </c>
      <c r="AI145" s="80"/>
      <c r="AY145" s="4">
        <v>1994</v>
      </c>
      <c r="AZ145" s="4">
        <v>9</v>
      </c>
      <c r="BA145" s="4">
        <f>'[8]Gov 65 &amp; 70'!$S230</f>
        <v>277.2</v>
      </c>
      <c r="BB145" s="4">
        <f t="shared" si="83"/>
        <v>339.3</v>
      </c>
      <c r="BC145" s="82">
        <f t="shared" si="75"/>
        <v>62.100000000000023</v>
      </c>
      <c r="BD145" s="36" t="s">
        <v>18</v>
      </c>
      <c r="BE145" s="4">
        <f>'[8]Gov 65 &amp; 70'!$J230</f>
        <v>0.3</v>
      </c>
      <c r="BF145" s="4">
        <f t="shared" si="84"/>
        <v>0</v>
      </c>
      <c r="BG145" s="83">
        <f t="shared" si="76"/>
        <v>-0.3</v>
      </c>
      <c r="BH145" s="36" t="s">
        <v>18</v>
      </c>
      <c r="BI145" s="273">
        <f t="shared" si="77"/>
        <v>14232.078000000005</v>
      </c>
      <c r="BJ145" s="270">
        <f t="shared" si="78"/>
        <v>-12.173999999999999</v>
      </c>
      <c r="BK145" s="482">
        <f t="shared" si="79"/>
        <v>14220</v>
      </c>
      <c r="BL145" s="276"/>
      <c r="BM145" s="36" t="s">
        <v>18</v>
      </c>
      <c r="BN145" s="4">
        <v>1994</v>
      </c>
      <c r="BO145" s="4">
        <v>9</v>
      </c>
      <c r="BP145" s="108"/>
    </row>
    <row r="146" spans="1:72">
      <c r="A146" s="4">
        <v>1994</v>
      </c>
      <c r="B146" s="4">
        <v>10</v>
      </c>
      <c r="C146" s="5">
        <v>176997</v>
      </c>
      <c r="D146" s="5">
        <v>14923</v>
      </c>
      <c r="E146" s="73">
        <f t="shared" si="87"/>
        <v>11861</v>
      </c>
      <c r="F146" s="540">
        <f t="shared" ref="F146:F209" si="91">D146</f>
        <v>14923</v>
      </c>
      <c r="H146" s="13" t="s">
        <v>18</v>
      </c>
      <c r="I146" s="76">
        <f>'[7]Gov 65 &amp; 70'!$S231</f>
        <v>239.3</v>
      </c>
      <c r="J146" s="76">
        <f t="shared" si="81"/>
        <v>287.8</v>
      </c>
      <c r="K146" s="362">
        <f t="shared" si="88"/>
        <v>48.5</v>
      </c>
      <c r="L146" s="200" t="s">
        <v>18</v>
      </c>
      <c r="M146" s="76">
        <f>'[7]Gov 65 &amp; 70'!$J231</f>
        <v>1.2</v>
      </c>
      <c r="N146" s="76">
        <f t="shared" si="82"/>
        <v>2.5</v>
      </c>
      <c r="O146" s="363">
        <f t="shared" si="89"/>
        <v>1.3</v>
      </c>
      <c r="P146" s="13" t="s">
        <v>18</v>
      </c>
      <c r="Q146" s="77">
        <f t="shared" ref="Q146:Q209" si="92">K146*$C$10</f>
        <v>11115.23</v>
      </c>
      <c r="R146" s="78">
        <f t="shared" ref="R146:R209" si="93">O146*$C$9</f>
        <v>52.753999999999998</v>
      </c>
      <c r="S146" s="479">
        <f t="shared" ref="S146:S209" si="94">ROUND((R146+Q146),0)</f>
        <v>11168</v>
      </c>
      <c r="T146" s="13" t="s">
        <v>18</v>
      </c>
      <c r="U146" s="4">
        <v>1994</v>
      </c>
      <c r="V146" s="4">
        <v>10</v>
      </c>
      <c r="W146" s="153">
        <f t="shared" ref="W146:W209" si="95">Z146/D146*1000</f>
        <v>12609.059840514641</v>
      </c>
      <c r="X146" s="153">
        <f t="shared" si="80"/>
        <v>108.71281108654512</v>
      </c>
      <c r="Y146" s="80"/>
      <c r="Z146" s="98">
        <f t="shared" ref="Z146:Z209" si="96">S146+C146</f>
        <v>188165</v>
      </c>
      <c r="AA146" s="119">
        <f t="shared" si="90"/>
        <v>11168</v>
      </c>
      <c r="AB146" s="98">
        <f t="shared" ref="AB146:AB208" si="97">Z146</f>
        <v>188165</v>
      </c>
      <c r="AC146" s="4">
        <v>1994</v>
      </c>
      <c r="AD146" s="4">
        <v>10</v>
      </c>
      <c r="AE146" s="107">
        <f>RESID!AC146</f>
        <v>29.75</v>
      </c>
      <c r="AF146" s="40">
        <f t="shared" ref="AF146:AF209" si="98">AG146/D146*1000</f>
        <v>12893.050995108222</v>
      </c>
      <c r="AG146" s="4">
        <f t="shared" ref="AG146:AG209" si="99">ROUND(Z146/(AE146/30.42),0)</f>
        <v>192403</v>
      </c>
      <c r="AI146" s="80"/>
      <c r="AY146" s="4">
        <v>1994</v>
      </c>
      <c r="AZ146" s="4">
        <v>10</v>
      </c>
      <c r="BA146" s="4">
        <f>'[8]Gov 65 &amp; 70'!$S231</f>
        <v>191.2</v>
      </c>
      <c r="BB146" s="4">
        <f t="shared" si="83"/>
        <v>200.4</v>
      </c>
      <c r="BC146" s="82">
        <f t="shared" ref="BC146:BC193" si="100">BB146-BA146</f>
        <v>9.2000000000000171</v>
      </c>
      <c r="BD146" s="36" t="s">
        <v>18</v>
      </c>
      <c r="BE146" s="4">
        <f>'[8]Gov 65 &amp; 70'!$J231</f>
        <v>4.3</v>
      </c>
      <c r="BF146" s="4">
        <f t="shared" si="84"/>
        <v>15</v>
      </c>
      <c r="BG146" s="83">
        <f t="shared" ref="BG146:BG193" si="101">BF146-BE146</f>
        <v>10.7</v>
      </c>
      <c r="BH146" s="36" t="s">
        <v>18</v>
      </c>
      <c r="BI146" s="273">
        <f t="shared" ref="BI146:BI209" si="102">$C$10*BC146</f>
        <v>2108.4560000000038</v>
      </c>
      <c r="BJ146" s="270">
        <f t="shared" ref="BJ146:BJ209" si="103">$C$9*BG146</f>
        <v>434.20599999999996</v>
      </c>
      <c r="BK146" s="482">
        <f t="shared" ref="BK146:BK209" si="104">ROUND(BJ146+BI146,0)</f>
        <v>2543</v>
      </c>
      <c r="BL146" s="276"/>
      <c r="BM146" s="36" t="s">
        <v>18</v>
      </c>
      <c r="BN146" s="4">
        <v>1994</v>
      </c>
      <c r="BO146" s="4">
        <v>10</v>
      </c>
      <c r="BP146" s="108"/>
    </row>
    <row r="147" spans="1:72">
      <c r="A147" s="4">
        <v>1994</v>
      </c>
      <c r="B147" s="4">
        <v>11</v>
      </c>
      <c r="C147" s="5">
        <v>166702</v>
      </c>
      <c r="D147" s="5">
        <v>14970</v>
      </c>
      <c r="E147" s="73">
        <f t="shared" si="87"/>
        <v>11136</v>
      </c>
      <c r="F147" s="540">
        <f t="shared" si="91"/>
        <v>14970</v>
      </c>
      <c r="H147" s="13" t="s">
        <v>18</v>
      </c>
      <c r="I147" s="76">
        <f>'[7]Gov 65 &amp; 70'!$S232</f>
        <v>152.5</v>
      </c>
      <c r="J147" s="76">
        <f t="shared" si="81"/>
        <v>140.19999999999999</v>
      </c>
      <c r="K147" s="362">
        <f t="shared" si="88"/>
        <v>-12.300000000000011</v>
      </c>
      <c r="L147" s="200" t="s">
        <v>18</v>
      </c>
      <c r="M147" s="76">
        <f>'[7]Gov 65 &amp; 70'!$J232</f>
        <v>10.199999999999999</v>
      </c>
      <c r="N147" s="76">
        <f t="shared" si="82"/>
        <v>38.6</v>
      </c>
      <c r="O147" s="363">
        <f t="shared" si="89"/>
        <v>28.400000000000002</v>
      </c>
      <c r="P147" s="13" t="s">
        <v>18</v>
      </c>
      <c r="Q147" s="77">
        <f t="shared" si="92"/>
        <v>-2818.9140000000025</v>
      </c>
      <c r="R147" s="78">
        <f t="shared" si="93"/>
        <v>1152.472</v>
      </c>
      <c r="S147" s="479">
        <f t="shared" si="94"/>
        <v>-1666</v>
      </c>
      <c r="T147" s="13" t="s">
        <v>18</v>
      </c>
      <c r="U147" s="4">
        <v>1994</v>
      </c>
      <c r="V147" s="4">
        <v>11</v>
      </c>
      <c r="W147" s="153">
        <f t="shared" si="95"/>
        <v>11024.44889779559</v>
      </c>
      <c r="X147" s="153">
        <f t="shared" si="80"/>
        <v>-48.599662104228628</v>
      </c>
      <c r="Y147" s="80"/>
      <c r="Z147" s="98">
        <f t="shared" si="96"/>
        <v>165036</v>
      </c>
      <c r="AA147" s="119">
        <f t="shared" si="90"/>
        <v>-1666</v>
      </c>
      <c r="AB147" s="98">
        <f t="shared" si="97"/>
        <v>165036</v>
      </c>
      <c r="AC147" s="4">
        <v>1994</v>
      </c>
      <c r="AD147" s="4">
        <v>11</v>
      </c>
      <c r="AE147" s="107">
        <f>RESID!AC147</f>
        <v>30.1</v>
      </c>
      <c r="AF147" s="40">
        <f t="shared" si="98"/>
        <v>11141.683366733467</v>
      </c>
      <c r="AG147" s="4">
        <f t="shared" si="99"/>
        <v>166791</v>
      </c>
      <c r="AI147" s="80"/>
      <c r="AY147" s="4">
        <v>1994</v>
      </c>
      <c r="AZ147" s="4">
        <v>11</v>
      </c>
      <c r="BA147" s="4">
        <f>'[8]Gov 65 &amp; 70'!$S232</f>
        <v>110.1</v>
      </c>
      <c r="BB147" s="4">
        <f t="shared" si="83"/>
        <v>66.3</v>
      </c>
      <c r="BC147" s="82">
        <f t="shared" si="100"/>
        <v>-43.8</v>
      </c>
      <c r="BD147" s="36" t="s">
        <v>18</v>
      </c>
      <c r="BE147" s="4">
        <f>'[8]Gov 65 &amp; 70'!$J232</f>
        <v>26.9</v>
      </c>
      <c r="BF147" s="4">
        <f t="shared" si="84"/>
        <v>69.900000000000006</v>
      </c>
      <c r="BG147" s="83">
        <f t="shared" si="101"/>
        <v>43.000000000000007</v>
      </c>
      <c r="BH147" s="36" t="s">
        <v>18</v>
      </c>
      <c r="BI147" s="273">
        <f t="shared" si="102"/>
        <v>-10038.083999999999</v>
      </c>
      <c r="BJ147" s="270">
        <f t="shared" si="103"/>
        <v>1744.9400000000003</v>
      </c>
      <c r="BK147" s="482">
        <f t="shared" si="104"/>
        <v>-8293</v>
      </c>
      <c r="BL147" s="276"/>
      <c r="BM147" s="36" t="s">
        <v>18</v>
      </c>
      <c r="BN147" s="4">
        <v>1994</v>
      </c>
      <c r="BO147" s="4">
        <v>11</v>
      </c>
      <c r="BP147" s="108"/>
    </row>
    <row r="148" spans="1:72" s="89" customFormat="1">
      <c r="A148" s="89">
        <v>1994</v>
      </c>
      <c r="B148" s="89">
        <v>12</v>
      </c>
      <c r="C148" s="103">
        <v>161284</v>
      </c>
      <c r="D148" s="103">
        <v>15021</v>
      </c>
      <c r="E148" s="104">
        <f t="shared" si="87"/>
        <v>10737</v>
      </c>
      <c r="F148" s="586">
        <f t="shared" si="91"/>
        <v>15021</v>
      </c>
      <c r="H148" s="90" t="s">
        <v>18</v>
      </c>
      <c r="I148" s="92">
        <f>'[7]Gov 65 &amp; 70'!$S233</f>
        <v>90.5</v>
      </c>
      <c r="J148" s="92">
        <f t="shared" si="81"/>
        <v>50.8</v>
      </c>
      <c r="K148" s="364">
        <f t="shared" si="88"/>
        <v>-39.700000000000003</v>
      </c>
      <c r="L148" s="210" t="s">
        <v>18</v>
      </c>
      <c r="M148" s="92">
        <f>'[7]Gov 65 &amp; 70'!$J233</f>
        <v>50.1</v>
      </c>
      <c r="N148" s="92">
        <f t="shared" si="82"/>
        <v>121.8</v>
      </c>
      <c r="O148" s="365">
        <f t="shared" si="89"/>
        <v>71.699999999999989</v>
      </c>
      <c r="P148" s="90" t="s">
        <v>18</v>
      </c>
      <c r="Q148" s="114">
        <f t="shared" si="92"/>
        <v>-9098.4460000000017</v>
      </c>
      <c r="R148" s="95">
        <f t="shared" si="93"/>
        <v>2909.5859999999993</v>
      </c>
      <c r="S148" s="480">
        <f t="shared" si="94"/>
        <v>-6189</v>
      </c>
      <c r="T148" s="90" t="s">
        <v>18</v>
      </c>
      <c r="U148" s="89">
        <v>1994</v>
      </c>
      <c r="V148" s="89">
        <v>12</v>
      </c>
      <c r="W148" s="154">
        <f t="shared" si="95"/>
        <v>10325.21137074762</v>
      </c>
      <c r="X148" s="154">
        <f t="shared" si="80"/>
        <v>-322.25820889839815</v>
      </c>
      <c r="Y148" s="134"/>
      <c r="Z148" s="155">
        <f t="shared" si="96"/>
        <v>155095</v>
      </c>
      <c r="AA148" s="156">
        <f t="shared" si="90"/>
        <v>-6189</v>
      </c>
      <c r="AB148" s="155">
        <f t="shared" si="97"/>
        <v>155095</v>
      </c>
      <c r="AC148" s="89">
        <v>1994</v>
      </c>
      <c r="AD148" s="89">
        <v>12</v>
      </c>
      <c r="AE148" s="110">
        <f>RESID!AC148</f>
        <v>31.55</v>
      </c>
      <c r="AF148" s="116">
        <f t="shared" si="98"/>
        <v>9955.3957792423935</v>
      </c>
      <c r="AG148" s="89">
        <f t="shared" si="99"/>
        <v>149540</v>
      </c>
      <c r="AI148" s="134"/>
      <c r="AY148" s="89">
        <v>1994</v>
      </c>
      <c r="AZ148" s="89">
        <v>12</v>
      </c>
      <c r="BA148" s="89">
        <f>'[8]Gov 65 &amp; 70'!$S233</f>
        <v>36.299999999999997</v>
      </c>
      <c r="BB148" s="89">
        <f t="shared" si="83"/>
        <v>28.2</v>
      </c>
      <c r="BC148" s="111">
        <f t="shared" si="100"/>
        <v>-8.0999999999999979</v>
      </c>
      <c r="BD148" s="113" t="s">
        <v>18</v>
      </c>
      <c r="BE148" s="89">
        <f>'[8]Gov 65 &amp; 70'!$J233</f>
        <v>122.9</v>
      </c>
      <c r="BF148" s="89">
        <f t="shared" si="84"/>
        <v>170</v>
      </c>
      <c r="BG148" s="112">
        <f t="shared" si="101"/>
        <v>47.099999999999994</v>
      </c>
      <c r="BH148" s="113" t="s">
        <v>18</v>
      </c>
      <c r="BI148" s="274">
        <f t="shared" si="102"/>
        <v>-1856.3579999999995</v>
      </c>
      <c r="BJ148" s="275">
        <f t="shared" si="103"/>
        <v>1911.3179999999998</v>
      </c>
      <c r="BK148" s="483">
        <f t="shared" si="104"/>
        <v>55</v>
      </c>
      <c r="BL148" s="277"/>
      <c r="BM148" s="113" t="s">
        <v>18</v>
      </c>
      <c r="BN148" s="89">
        <v>1994</v>
      </c>
      <c r="BO148" s="89">
        <v>12</v>
      </c>
      <c r="BP148" s="117"/>
      <c r="BT148" s="96"/>
    </row>
    <row r="149" spans="1:72">
      <c r="A149" s="4">
        <v>1995</v>
      </c>
      <c r="B149" s="4">
        <v>1</v>
      </c>
      <c r="C149" s="5">
        <v>141846</v>
      </c>
      <c r="D149" s="5">
        <v>15082</v>
      </c>
      <c r="E149" s="73">
        <f t="shared" si="87"/>
        <v>9405</v>
      </c>
      <c r="F149" s="540">
        <f t="shared" si="91"/>
        <v>15082</v>
      </c>
      <c r="H149" s="13" t="s">
        <v>18</v>
      </c>
      <c r="I149" s="76">
        <f>'[7]Gov 65 &amp; 70'!$S234</f>
        <v>16.3</v>
      </c>
      <c r="J149" s="76">
        <f t="shared" si="81"/>
        <v>28.7</v>
      </c>
      <c r="K149" s="362">
        <f t="shared" si="88"/>
        <v>12.399999999999999</v>
      </c>
      <c r="L149" s="200" t="s">
        <v>18</v>
      </c>
      <c r="M149" s="76">
        <f>'[7]Gov 65 &amp; 70'!$J234</f>
        <v>171.9</v>
      </c>
      <c r="N149" s="76">
        <f t="shared" si="82"/>
        <v>192.9</v>
      </c>
      <c r="O149" s="363">
        <f t="shared" si="89"/>
        <v>21</v>
      </c>
      <c r="P149" s="13" t="s">
        <v>18</v>
      </c>
      <c r="Q149" s="77">
        <f t="shared" si="92"/>
        <v>2841.8319999999999</v>
      </c>
      <c r="R149" s="78">
        <f t="shared" si="93"/>
        <v>852.18</v>
      </c>
      <c r="S149" s="479">
        <f t="shared" si="94"/>
        <v>3694</v>
      </c>
      <c r="T149" s="13" t="s">
        <v>18</v>
      </c>
      <c r="U149" s="4">
        <v>1995</v>
      </c>
      <c r="V149" s="4">
        <v>1</v>
      </c>
      <c r="W149" s="153">
        <f t="shared" si="95"/>
        <v>9649.9138045352083</v>
      </c>
      <c r="X149" s="153">
        <f t="shared" si="80"/>
        <v>67.344049109786283</v>
      </c>
      <c r="Y149" s="80"/>
      <c r="Z149" s="98">
        <f t="shared" si="96"/>
        <v>145540</v>
      </c>
      <c r="AA149" s="119">
        <f t="shared" si="90"/>
        <v>3694</v>
      </c>
      <c r="AB149" s="98">
        <f t="shared" si="97"/>
        <v>145540</v>
      </c>
      <c r="AC149" s="4">
        <v>1995</v>
      </c>
      <c r="AD149" s="4">
        <v>1</v>
      </c>
      <c r="AE149" s="107">
        <f>RESID!AC149</f>
        <v>30.5</v>
      </c>
      <c r="AF149" s="40">
        <f t="shared" si="98"/>
        <v>9624.5855987269588</v>
      </c>
      <c r="AG149" s="4">
        <f t="shared" si="99"/>
        <v>145158</v>
      </c>
      <c r="AI149" s="80"/>
      <c r="AY149" s="4">
        <v>1995</v>
      </c>
      <c r="AZ149" s="4">
        <v>1</v>
      </c>
      <c r="BA149" s="4">
        <f>'[8]Gov 65 &amp; 70'!$S234</f>
        <v>6.8</v>
      </c>
      <c r="BB149" s="4">
        <f t="shared" si="83"/>
        <v>23.9</v>
      </c>
      <c r="BC149" s="82">
        <f t="shared" si="100"/>
        <v>17.099999999999998</v>
      </c>
      <c r="BD149" s="36" t="s">
        <v>18</v>
      </c>
      <c r="BE149" s="4">
        <f>'[8]Gov 65 &amp; 70'!$J234</f>
        <v>240.2</v>
      </c>
      <c r="BF149" s="4">
        <f t="shared" si="84"/>
        <v>176.9</v>
      </c>
      <c r="BG149" s="83">
        <f t="shared" si="101"/>
        <v>-63.299999999999983</v>
      </c>
      <c r="BH149" s="36" t="s">
        <v>18</v>
      </c>
      <c r="BI149" s="273">
        <f t="shared" si="102"/>
        <v>3918.9779999999996</v>
      </c>
      <c r="BJ149" s="270">
        <f t="shared" si="103"/>
        <v>-2568.713999999999</v>
      </c>
      <c r="BK149" s="482">
        <f t="shared" si="104"/>
        <v>1350</v>
      </c>
      <c r="BL149" s="276"/>
      <c r="BM149" s="36" t="s">
        <v>18</v>
      </c>
      <c r="BN149" s="4">
        <v>1995</v>
      </c>
      <c r="BO149" s="4">
        <v>1</v>
      </c>
      <c r="BP149" s="108"/>
    </row>
    <row r="150" spans="1:72">
      <c r="A150" s="4">
        <v>1995</v>
      </c>
      <c r="B150" s="4">
        <v>2</v>
      </c>
      <c r="C150" s="5">
        <v>145636</v>
      </c>
      <c r="D150" s="5">
        <v>15138</v>
      </c>
      <c r="E150" s="73">
        <f t="shared" si="87"/>
        <v>9621</v>
      </c>
      <c r="F150" s="540">
        <f t="shared" si="91"/>
        <v>15138</v>
      </c>
      <c r="H150" s="13" t="s">
        <v>18</v>
      </c>
      <c r="I150" s="76">
        <f>'[7]Gov 65 &amp; 70'!$S235</f>
        <v>9.6</v>
      </c>
      <c r="J150" s="76">
        <f t="shared" si="81"/>
        <v>22.6</v>
      </c>
      <c r="K150" s="362">
        <f t="shared" si="88"/>
        <v>13.000000000000002</v>
      </c>
      <c r="L150" s="200" t="s">
        <v>18</v>
      </c>
      <c r="M150" s="76">
        <f>'[7]Gov 65 &amp; 70'!$J235</f>
        <v>254.7</v>
      </c>
      <c r="N150" s="76">
        <f t="shared" si="82"/>
        <v>177.2</v>
      </c>
      <c r="O150" s="363">
        <f t="shared" si="89"/>
        <v>-77.5</v>
      </c>
      <c r="P150" s="13" t="s">
        <v>18</v>
      </c>
      <c r="Q150" s="77">
        <f t="shared" si="92"/>
        <v>2979.3400000000006</v>
      </c>
      <c r="R150" s="78">
        <f t="shared" si="93"/>
        <v>-3144.95</v>
      </c>
      <c r="S150" s="479">
        <f t="shared" si="94"/>
        <v>-166</v>
      </c>
      <c r="T150" s="13" t="s">
        <v>18</v>
      </c>
      <c r="U150" s="4">
        <v>1995</v>
      </c>
      <c r="V150" s="4">
        <v>2</v>
      </c>
      <c r="W150" s="153">
        <f t="shared" si="95"/>
        <v>9609.5917558462133</v>
      </c>
      <c r="X150" s="153">
        <f t="shared" si="80"/>
        <v>100.99832809975305</v>
      </c>
      <c r="Y150" s="80"/>
      <c r="Z150" s="98">
        <f t="shared" si="96"/>
        <v>145470</v>
      </c>
      <c r="AA150" s="119">
        <f t="shared" si="90"/>
        <v>-166</v>
      </c>
      <c r="AB150" s="98">
        <f t="shared" si="97"/>
        <v>145470</v>
      </c>
      <c r="AC150" s="4">
        <v>1995</v>
      </c>
      <c r="AD150" s="4">
        <v>2</v>
      </c>
      <c r="AE150" s="107">
        <f>RESID!AC150</f>
        <v>29.65</v>
      </c>
      <c r="AF150" s="40">
        <f t="shared" si="98"/>
        <v>9859.1623728365703</v>
      </c>
      <c r="AG150" s="4">
        <f t="shared" si="99"/>
        <v>149248</v>
      </c>
      <c r="AI150" s="80"/>
      <c r="AY150" s="4">
        <v>1995</v>
      </c>
      <c r="AZ150" s="4">
        <v>2</v>
      </c>
      <c r="BA150" s="4">
        <f>'[8]Gov 65 &amp; 70'!$S235</f>
        <v>25.2</v>
      </c>
      <c r="BB150" s="4">
        <f t="shared" si="83"/>
        <v>32.799999999999997</v>
      </c>
      <c r="BC150" s="82">
        <f t="shared" si="100"/>
        <v>7.5999999999999979</v>
      </c>
      <c r="BD150" s="36" t="s">
        <v>18</v>
      </c>
      <c r="BE150" s="4">
        <f>'[8]Gov 65 &amp; 70'!$J235</f>
        <v>184</v>
      </c>
      <c r="BF150" s="4">
        <f t="shared" si="84"/>
        <v>139.1</v>
      </c>
      <c r="BG150" s="83">
        <f t="shared" si="101"/>
        <v>-44.900000000000006</v>
      </c>
      <c r="BH150" s="36" t="s">
        <v>18</v>
      </c>
      <c r="BI150" s="273">
        <f t="shared" si="102"/>
        <v>1741.7679999999996</v>
      </c>
      <c r="BJ150" s="270">
        <f t="shared" si="103"/>
        <v>-1822.0420000000001</v>
      </c>
      <c r="BK150" s="482">
        <f t="shared" si="104"/>
        <v>-80</v>
      </c>
      <c r="BL150" s="276"/>
      <c r="BM150" s="36" t="s">
        <v>18</v>
      </c>
      <c r="BN150" s="4">
        <v>1995</v>
      </c>
      <c r="BO150" s="4">
        <v>2</v>
      </c>
      <c r="BP150" s="108"/>
    </row>
    <row r="151" spans="1:72">
      <c r="A151" s="4">
        <v>1995</v>
      </c>
      <c r="B151" s="4">
        <v>3</v>
      </c>
      <c r="C151" s="5">
        <v>149011</v>
      </c>
      <c r="D151" s="5">
        <v>14858</v>
      </c>
      <c r="E151" s="73">
        <f t="shared" si="87"/>
        <v>10029</v>
      </c>
      <c r="F151" s="540">
        <f t="shared" si="91"/>
        <v>14858</v>
      </c>
      <c r="H151" s="13" t="s">
        <v>18</v>
      </c>
      <c r="I151" s="76">
        <f>'[7]Gov 65 &amp; 70'!$S236</f>
        <v>36.6</v>
      </c>
      <c r="J151" s="76">
        <f t="shared" si="81"/>
        <v>44.5</v>
      </c>
      <c r="K151" s="362">
        <f t="shared" si="88"/>
        <v>7.8999999999999986</v>
      </c>
      <c r="L151" s="200" t="s">
        <v>18</v>
      </c>
      <c r="M151" s="76">
        <f>'[7]Gov 65 &amp; 70'!$J236</f>
        <v>120</v>
      </c>
      <c r="N151" s="76">
        <f t="shared" si="82"/>
        <v>119.5</v>
      </c>
      <c r="O151" s="363">
        <f t="shared" si="89"/>
        <v>-0.5</v>
      </c>
      <c r="P151" s="13" t="s">
        <v>18</v>
      </c>
      <c r="Q151" s="77">
        <f t="shared" si="92"/>
        <v>1810.5219999999997</v>
      </c>
      <c r="R151" s="78">
        <f t="shared" si="93"/>
        <v>-20.29</v>
      </c>
      <c r="S151" s="479">
        <f t="shared" si="94"/>
        <v>1790</v>
      </c>
      <c r="T151" s="13" t="s">
        <v>18</v>
      </c>
      <c r="U151" s="4">
        <v>1995</v>
      </c>
      <c r="V151" s="4">
        <v>3</v>
      </c>
      <c r="W151" s="153">
        <f t="shared" si="95"/>
        <v>10149.481760667653</v>
      </c>
      <c r="X151" s="153">
        <f t="shared" si="80"/>
        <v>243.90177166270405</v>
      </c>
      <c r="Y151" s="80"/>
      <c r="Z151" s="98">
        <f t="shared" si="96"/>
        <v>150801</v>
      </c>
      <c r="AA151" s="119">
        <f t="shared" si="90"/>
        <v>1790</v>
      </c>
      <c r="AB151" s="98">
        <f t="shared" si="97"/>
        <v>150801</v>
      </c>
      <c r="AC151" s="4">
        <v>1995</v>
      </c>
      <c r="AD151" s="4">
        <v>3</v>
      </c>
      <c r="AE151" s="107">
        <f>RESID!AC151</f>
        <v>29.4</v>
      </c>
      <c r="AF151" s="40">
        <f t="shared" si="98"/>
        <v>10501.615291425494</v>
      </c>
      <c r="AG151" s="4">
        <f t="shared" si="99"/>
        <v>156033</v>
      </c>
      <c r="AI151" s="80"/>
      <c r="AY151" s="4">
        <v>1995</v>
      </c>
      <c r="AZ151" s="4">
        <v>3</v>
      </c>
      <c r="BA151" s="4">
        <f>'[8]Gov 65 &amp; 70'!$S236</f>
        <v>63.6</v>
      </c>
      <c r="BB151" s="4">
        <f t="shared" si="83"/>
        <v>64.099999999999994</v>
      </c>
      <c r="BC151" s="82">
        <f t="shared" si="100"/>
        <v>0.49999999999999289</v>
      </c>
      <c r="BD151" s="36" t="s">
        <v>18</v>
      </c>
      <c r="BE151" s="4">
        <f>'[8]Gov 65 &amp; 70'!$J236</f>
        <v>57.6</v>
      </c>
      <c r="BF151" s="4">
        <f t="shared" si="84"/>
        <v>85.4</v>
      </c>
      <c r="BG151" s="83">
        <f t="shared" si="101"/>
        <v>27.800000000000004</v>
      </c>
      <c r="BH151" s="36" t="s">
        <v>18</v>
      </c>
      <c r="BI151" s="273">
        <f t="shared" si="102"/>
        <v>114.58999999999837</v>
      </c>
      <c r="BJ151" s="270">
        <f t="shared" si="103"/>
        <v>1128.124</v>
      </c>
      <c r="BK151" s="482">
        <f t="shared" si="104"/>
        <v>1243</v>
      </c>
      <c r="BL151" s="276"/>
      <c r="BM151" s="36" t="s">
        <v>18</v>
      </c>
      <c r="BN151" s="4">
        <v>1995</v>
      </c>
      <c r="BO151" s="4">
        <v>3</v>
      </c>
      <c r="BP151" s="108"/>
    </row>
    <row r="152" spans="1:72">
      <c r="A152" s="4">
        <v>1995</v>
      </c>
      <c r="B152" s="4">
        <v>4</v>
      </c>
      <c r="C152" s="5">
        <v>166404</v>
      </c>
      <c r="D152" s="5">
        <v>15853</v>
      </c>
      <c r="E152" s="73">
        <f t="shared" si="87"/>
        <v>10497</v>
      </c>
      <c r="F152" s="540">
        <f t="shared" si="91"/>
        <v>15853</v>
      </c>
      <c r="H152" s="13" t="s">
        <v>18</v>
      </c>
      <c r="I152" s="76">
        <f>'[7]Gov 65 &amp; 70'!$S237</f>
        <v>86.1</v>
      </c>
      <c r="J152" s="76">
        <f t="shared" si="81"/>
        <v>87.7</v>
      </c>
      <c r="K152" s="362">
        <f t="shared" si="88"/>
        <v>1.6000000000000085</v>
      </c>
      <c r="L152" s="200" t="s">
        <v>18</v>
      </c>
      <c r="M152" s="76">
        <f>'[7]Gov 65 &amp; 70'!$J237</f>
        <v>40.6</v>
      </c>
      <c r="N152" s="76">
        <f t="shared" si="82"/>
        <v>60.3</v>
      </c>
      <c r="O152" s="363">
        <f t="shared" si="89"/>
        <v>19.699999999999996</v>
      </c>
      <c r="P152" s="13" t="s">
        <v>18</v>
      </c>
      <c r="Q152" s="77">
        <f t="shared" si="92"/>
        <v>366.68800000000198</v>
      </c>
      <c r="R152" s="78">
        <f t="shared" si="93"/>
        <v>799.42599999999982</v>
      </c>
      <c r="S152" s="479">
        <f t="shared" si="94"/>
        <v>1166</v>
      </c>
      <c r="T152" s="13" t="s">
        <v>18</v>
      </c>
      <c r="U152" s="4">
        <v>1995</v>
      </c>
      <c r="V152" s="4">
        <v>4</v>
      </c>
      <c r="W152" s="153">
        <f t="shared" si="95"/>
        <v>10570.239071469123</v>
      </c>
      <c r="X152" s="153">
        <f t="shared" si="80"/>
        <v>62.70379266380769</v>
      </c>
      <c r="Y152" s="80"/>
      <c r="Z152" s="98">
        <f t="shared" si="96"/>
        <v>167570</v>
      </c>
      <c r="AA152" s="119">
        <f t="shared" si="90"/>
        <v>1166</v>
      </c>
      <c r="AB152" s="98">
        <f t="shared" si="97"/>
        <v>167570</v>
      </c>
      <c r="AC152" s="4">
        <v>1995</v>
      </c>
      <c r="AD152" s="4">
        <v>4</v>
      </c>
      <c r="AE152" s="107">
        <f>RESID!AC152</f>
        <v>31.4</v>
      </c>
      <c r="AF152" s="40">
        <f t="shared" si="98"/>
        <v>10240.333059988645</v>
      </c>
      <c r="AG152" s="4">
        <f t="shared" si="99"/>
        <v>162340</v>
      </c>
      <c r="AI152" s="80"/>
      <c r="AY152" s="4">
        <v>1995</v>
      </c>
      <c r="AZ152" s="4">
        <v>4</v>
      </c>
      <c r="BA152" s="4">
        <f>'[8]Gov 65 &amp; 70'!$S237</f>
        <v>130.30000000000001</v>
      </c>
      <c r="BB152" s="4">
        <f t="shared" si="83"/>
        <v>122</v>
      </c>
      <c r="BC152" s="82">
        <f t="shared" si="100"/>
        <v>-8.3000000000000114</v>
      </c>
      <c r="BD152" s="36" t="s">
        <v>18</v>
      </c>
      <c r="BE152" s="4">
        <f>'[8]Gov 65 &amp; 70'!$J237</f>
        <v>21.4</v>
      </c>
      <c r="BF152" s="4">
        <f t="shared" si="84"/>
        <v>34.700000000000003</v>
      </c>
      <c r="BG152" s="83">
        <f t="shared" si="101"/>
        <v>13.300000000000004</v>
      </c>
      <c r="BH152" s="36" t="s">
        <v>18</v>
      </c>
      <c r="BI152" s="273">
        <f t="shared" si="102"/>
        <v>-1902.1940000000027</v>
      </c>
      <c r="BJ152" s="270">
        <f t="shared" si="103"/>
        <v>539.71400000000017</v>
      </c>
      <c r="BK152" s="482">
        <f t="shared" si="104"/>
        <v>-1362</v>
      </c>
      <c r="BL152" s="276"/>
      <c r="BM152" s="36" t="s">
        <v>18</v>
      </c>
      <c r="BN152" s="4">
        <v>1995</v>
      </c>
      <c r="BO152" s="4">
        <v>4</v>
      </c>
      <c r="BP152" s="108"/>
    </row>
    <row r="153" spans="1:72">
      <c r="A153" s="4">
        <v>1995</v>
      </c>
      <c r="B153" s="4">
        <v>5</v>
      </c>
      <c r="C153" s="5">
        <v>174219</v>
      </c>
      <c r="D153" s="5">
        <v>15231</v>
      </c>
      <c r="E153" s="73">
        <f t="shared" si="87"/>
        <v>11438</v>
      </c>
      <c r="F153" s="540">
        <f t="shared" si="91"/>
        <v>15231</v>
      </c>
      <c r="H153" s="13" t="s">
        <v>18</v>
      </c>
      <c r="I153" s="76">
        <f>'[7]Gov 65 &amp; 70'!$S238</f>
        <v>212.3</v>
      </c>
      <c r="J153" s="76">
        <f t="shared" si="81"/>
        <v>157.69999999999999</v>
      </c>
      <c r="K153" s="362">
        <f t="shared" si="88"/>
        <v>-54.600000000000023</v>
      </c>
      <c r="L153" s="200" t="s">
        <v>18</v>
      </c>
      <c r="M153" s="76">
        <f>'[7]Gov 65 &amp; 70'!$J238</f>
        <v>9.8000000000000007</v>
      </c>
      <c r="N153" s="76">
        <f t="shared" si="82"/>
        <v>18.600000000000001</v>
      </c>
      <c r="O153" s="363">
        <f t="shared" si="89"/>
        <v>8.8000000000000007</v>
      </c>
      <c r="P153" s="13" t="s">
        <v>18</v>
      </c>
      <c r="Q153" s="77">
        <f t="shared" si="92"/>
        <v>-12513.228000000006</v>
      </c>
      <c r="R153" s="78">
        <f t="shared" si="93"/>
        <v>357.10400000000004</v>
      </c>
      <c r="S153" s="479">
        <f t="shared" si="94"/>
        <v>-12156</v>
      </c>
      <c r="T153" s="13" t="s">
        <v>18</v>
      </c>
      <c r="U153" s="4">
        <v>1995</v>
      </c>
      <c r="V153" s="4">
        <v>5</v>
      </c>
      <c r="W153" s="153">
        <f t="shared" si="95"/>
        <v>10640.338782745715</v>
      </c>
      <c r="X153" s="153">
        <f t="shared" si="80"/>
        <v>-53.65289699240202</v>
      </c>
      <c r="Y153" s="80"/>
      <c r="Z153" s="98">
        <f t="shared" si="96"/>
        <v>162063</v>
      </c>
      <c r="AA153" s="119">
        <f t="shared" si="90"/>
        <v>-12156</v>
      </c>
      <c r="AB153" s="98">
        <f t="shared" si="97"/>
        <v>162063</v>
      </c>
      <c r="AC153" s="4">
        <v>1995</v>
      </c>
      <c r="AD153" s="4">
        <v>5</v>
      </c>
      <c r="AE153" s="107">
        <f>RESID!AC153</f>
        <v>30.2</v>
      </c>
      <c r="AF153" s="40">
        <f t="shared" si="98"/>
        <v>10717.878011949313</v>
      </c>
      <c r="AG153" s="4">
        <f t="shared" si="99"/>
        <v>163244</v>
      </c>
      <c r="AI153" s="80"/>
      <c r="AY153" s="4">
        <v>1995</v>
      </c>
      <c r="AZ153" s="4">
        <v>5</v>
      </c>
      <c r="BA153" s="4">
        <f>'[8]Gov 65 &amp; 70'!$S238</f>
        <v>325.60000000000002</v>
      </c>
      <c r="BB153" s="4">
        <f t="shared" si="83"/>
        <v>253</v>
      </c>
      <c r="BC153" s="82">
        <f t="shared" si="100"/>
        <v>-72.600000000000023</v>
      </c>
      <c r="BD153" s="36" t="s">
        <v>18</v>
      </c>
      <c r="BE153" s="4">
        <f>'[8]Gov 65 &amp; 70'!$J238</f>
        <v>1.2</v>
      </c>
      <c r="BF153" s="4">
        <f t="shared" si="84"/>
        <v>4.3</v>
      </c>
      <c r="BG153" s="83">
        <f t="shared" si="101"/>
        <v>3.0999999999999996</v>
      </c>
      <c r="BH153" s="36" t="s">
        <v>18</v>
      </c>
      <c r="BI153" s="273">
        <f t="shared" si="102"/>
        <v>-16638.468000000004</v>
      </c>
      <c r="BJ153" s="270">
        <f t="shared" si="103"/>
        <v>125.79799999999997</v>
      </c>
      <c r="BK153" s="482">
        <f t="shared" si="104"/>
        <v>-16513</v>
      </c>
      <c r="BL153" s="276"/>
      <c r="BM153" s="36" t="s">
        <v>18</v>
      </c>
      <c r="BN153" s="4">
        <v>1995</v>
      </c>
      <c r="BO153" s="4">
        <v>5</v>
      </c>
      <c r="BP153" s="108"/>
    </row>
    <row r="154" spans="1:72">
      <c r="A154" s="4">
        <v>1995</v>
      </c>
      <c r="B154" s="4">
        <v>6</v>
      </c>
      <c r="C154" s="5">
        <v>192033</v>
      </c>
      <c r="D154" s="5">
        <v>15378</v>
      </c>
      <c r="E154" s="73">
        <f t="shared" si="87"/>
        <v>12488</v>
      </c>
      <c r="F154" s="540">
        <f t="shared" si="91"/>
        <v>15378</v>
      </c>
      <c r="H154" s="13" t="s">
        <v>18</v>
      </c>
      <c r="I154" s="76">
        <f>'[7]Gov 65 &amp; 70'!$S239</f>
        <v>327</v>
      </c>
      <c r="J154" s="76">
        <f t="shared" si="81"/>
        <v>295.39999999999998</v>
      </c>
      <c r="K154" s="362">
        <f t="shared" si="88"/>
        <v>-31.600000000000023</v>
      </c>
      <c r="L154" s="200" t="s">
        <v>18</v>
      </c>
      <c r="M154" s="76">
        <f>'[7]Gov 65 &amp; 70'!$J239</f>
        <v>0.6</v>
      </c>
      <c r="N154" s="76">
        <f t="shared" si="82"/>
        <v>2.2000000000000002</v>
      </c>
      <c r="O154" s="363">
        <f t="shared" si="89"/>
        <v>1.6</v>
      </c>
      <c r="P154" s="13" t="s">
        <v>18</v>
      </c>
      <c r="Q154" s="77">
        <f t="shared" si="92"/>
        <v>-7242.0880000000052</v>
      </c>
      <c r="R154" s="78">
        <f t="shared" si="93"/>
        <v>64.927999999999997</v>
      </c>
      <c r="S154" s="479">
        <f t="shared" si="94"/>
        <v>-7177</v>
      </c>
      <c r="T154" s="13" t="s">
        <v>18</v>
      </c>
      <c r="U154" s="4">
        <v>1995</v>
      </c>
      <c r="V154" s="4">
        <v>6</v>
      </c>
      <c r="W154" s="153">
        <f t="shared" si="95"/>
        <v>12020.808947847576</v>
      </c>
      <c r="X154" s="153">
        <f t="shared" si="80"/>
        <v>144.05387764476836</v>
      </c>
      <c r="Y154" s="80"/>
      <c r="Z154" s="98">
        <f t="shared" si="96"/>
        <v>184856</v>
      </c>
      <c r="AA154" s="119">
        <f t="shared" si="90"/>
        <v>-7177</v>
      </c>
      <c r="AB154" s="98">
        <f t="shared" si="97"/>
        <v>184856</v>
      </c>
      <c r="AC154" s="4">
        <v>1995</v>
      </c>
      <c r="AD154" s="4">
        <v>6</v>
      </c>
      <c r="AE154" s="107">
        <f>RESID!AC154</f>
        <v>30.8</v>
      </c>
      <c r="AF154" s="40">
        <f t="shared" si="98"/>
        <v>11872.480166471583</v>
      </c>
      <c r="AG154" s="4">
        <f t="shared" si="99"/>
        <v>182575</v>
      </c>
      <c r="AI154" s="80"/>
      <c r="AY154" s="4">
        <v>1995</v>
      </c>
      <c r="AZ154" s="4">
        <v>6</v>
      </c>
      <c r="BA154" s="4">
        <f>'[8]Gov 65 &amp; 70'!$S239</f>
        <v>299.7</v>
      </c>
      <c r="BB154" s="4">
        <f t="shared" si="83"/>
        <v>336.1</v>
      </c>
      <c r="BC154" s="82">
        <f t="shared" si="100"/>
        <v>36.400000000000034</v>
      </c>
      <c r="BD154" s="36" t="s">
        <v>18</v>
      </c>
      <c r="BE154" s="4">
        <f>'[8]Gov 65 &amp; 70'!$J239</f>
        <v>0.3</v>
      </c>
      <c r="BF154" s="4">
        <f t="shared" si="84"/>
        <v>0</v>
      </c>
      <c r="BG154" s="83">
        <f t="shared" si="101"/>
        <v>-0.3</v>
      </c>
      <c r="BH154" s="36" t="s">
        <v>18</v>
      </c>
      <c r="BI154" s="273">
        <f t="shared" si="102"/>
        <v>8342.1520000000073</v>
      </c>
      <c r="BJ154" s="270">
        <f t="shared" si="103"/>
        <v>-12.173999999999999</v>
      </c>
      <c r="BK154" s="482">
        <f t="shared" si="104"/>
        <v>8330</v>
      </c>
      <c r="BL154" s="276"/>
      <c r="BM154" s="36" t="s">
        <v>18</v>
      </c>
      <c r="BN154" s="4">
        <v>1995</v>
      </c>
      <c r="BO154" s="4">
        <v>6</v>
      </c>
      <c r="BP154" s="108"/>
    </row>
    <row r="155" spans="1:72">
      <c r="A155" s="4">
        <v>1995</v>
      </c>
      <c r="B155" s="4">
        <v>7</v>
      </c>
      <c r="C155" s="5">
        <v>171157</v>
      </c>
      <c r="D155" s="5">
        <v>15301</v>
      </c>
      <c r="E155" s="73">
        <f t="shared" si="87"/>
        <v>11186</v>
      </c>
      <c r="F155" s="540">
        <f t="shared" si="91"/>
        <v>15301</v>
      </c>
      <c r="H155" s="13" t="s">
        <v>18</v>
      </c>
      <c r="I155" s="76">
        <f>'[7]Gov 65 &amp; 70'!$S240</f>
        <v>337.8</v>
      </c>
      <c r="J155" s="76">
        <f t="shared" si="81"/>
        <v>363.4</v>
      </c>
      <c r="K155" s="362">
        <f t="shared" si="88"/>
        <v>25.599999999999966</v>
      </c>
      <c r="L155" s="200" t="s">
        <v>18</v>
      </c>
      <c r="M155" s="76">
        <f>'[7]Gov 65 &amp; 70'!$J240</f>
        <v>0.2</v>
      </c>
      <c r="N155" s="76">
        <f t="shared" si="82"/>
        <v>0</v>
      </c>
      <c r="O155" s="363">
        <f t="shared" si="89"/>
        <v>-0.2</v>
      </c>
      <c r="P155" s="13" t="s">
        <v>18</v>
      </c>
      <c r="Q155" s="77">
        <f t="shared" si="92"/>
        <v>5867.0079999999925</v>
      </c>
      <c r="R155" s="78">
        <f t="shared" si="93"/>
        <v>-8.1159999999999997</v>
      </c>
      <c r="S155" s="479">
        <f t="shared" si="94"/>
        <v>5859</v>
      </c>
      <c r="T155" s="13" t="s">
        <v>18</v>
      </c>
      <c r="U155" s="4">
        <v>1995</v>
      </c>
      <c r="V155" s="4">
        <v>7</v>
      </c>
      <c r="W155" s="153">
        <f t="shared" si="95"/>
        <v>11568.917064244166</v>
      </c>
      <c r="X155" s="153">
        <f t="shared" si="80"/>
        <v>141.70165980996717</v>
      </c>
      <c r="Y155" s="80"/>
      <c r="Z155" s="98">
        <f t="shared" si="96"/>
        <v>177016</v>
      </c>
      <c r="AA155" s="119">
        <f t="shared" si="90"/>
        <v>5859</v>
      </c>
      <c r="AB155" s="98">
        <f t="shared" si="97"/>
        <v>177016</v>
      </c>
      <c r="AC155" s="4">
        <v>1995</v>
      </c>
      <c r="AD155" s="4">
        <v>7</v>
      </c>
      <c r="AE155" s="107">
        <f>RESID!AC155</f>
        <v>30.5</v>
      </c>
      <c r="AF155" s="40">
        <f t="shared" si="98"/>
        <v>11538.592248872623</v>
      </c>
      <c r="AG155" s="4">
        <f t="shared" si="99"/>
        <v>176552</v>
      </c>
      <c r="AI155" s="80"/>
      <c r="AY155" s="4">
        <v>1995</v>
      </c>
      <c r="AZ155" s="4">
        <v>7</v>
      </c>
      <c r="BA155" s="4">
        <f>'[8]Gov 65 &amp; 70'!$S240</f>
        <v>385.4</v>
      </c>
      <c r="BB155" s="4">
        <f t="shared" si="83"/>
        <v>391.2</v>
      </c>
      <c r="BC155" s="82">
        <f t="shared" si="100"/>
        <v>5.8000000000000114</v>
      </c>
      <c r="BD155" s="36" t="s">
        <v>18</v>
      </c>
      <c r="BE155" s="4">
        <f>'[8]Gov 65 &amp; 70'!$J240</f>
        <v>0</v>
      </c>
      <c r="BF155" s="4">
        <f t="shared" si="84"/>
        <v>0</v>
      </c>
      <c r="BG155" s="83">
        <f t="shared" si="101"/>
        <v>0</v>
      </c>
      <c r="BH155" s="36" t="s">
        <v>18</v>
      </c>
      <c r="BI155" s="273">
        <f t="shared" si="102"/>
        <v>1329.2440000000026</v>
      </c>
      <c r="BJ155" s="270">
        <f t="shared" si="103"/>
        <v>0</v>
      </c>
      <c r="BK155" s="482">
        <f t="shared" si="104"/>
        <v>1329</v>
      </c>
      <c r="BL155" s="276"/>
      <c r="BM155" s="36" t="s">
        <v>18</v>
      </c>
      <c r="BN155" s="4">
        <v>1995</v>
      </c>
      <c r="BO155" s="4">
        <v>7</v>
      </c>
      <c r="BP155" s="108"/>
    </row>
    <row r="156" spans="1:72">
      <c r="A156" s="4">
        <v>1995</v>
      </c>
      <c r="B156" s="4">
        <v>8</v>
      </c>
      <c r="C156" s="5">
        <v>175857</v>
      </c>
      <c r="D156" s="5">
        <v>15092</v>
      </c>
      <c r="E156" s="73">
        <f t="shared" si="87"/>
        <v>11652</v>
      </c>
      <c r="F156" s="540">
        <f t="shared" si="91"/>
        <v>15092</v>
      </c>
      <c r="H156" s="13" t="s">
        <v>18</v>
      </c>
      <c r="I156" s="76">
        <f>'[7]Gov 65 &amp; 70'!$S241</f>
        <v>361.8</v>
      </c>
      <c r="J156" s="76">
        <f t="shared" si="81"/>
        <v>390.1</v>
      </c>
      <c r="K156" s="362">
        <f t="shared" si="88"/>
        <v>28.300000000000011</v>
      </c>
      <c r="L156" s="200" t="s">
        <v>18</v>
      </c>
      <c r="M156" s="76">
        <f>'[7]Gov 65 &amp; 70'!$J241</f>
        <v>0</v>
      </c>
      <c r="N156" s="76">
        <f t="shared" si="82"/>
        <v>0</v>
      </c>
      <c r="O156" s="363">
        <f t="shared" si="89"/>
        <v>0</v>
      </c>
      <c r="P156" s="13" t="s">
        <v>18</v>
      </c>
      <c r="Q156" s="77">
        <f t="shared" si="92"/>
        <v>6485.7940000000026</v>
      </c>
      <c r="R156" s="78">
        <f t="shared" si="93"/>
        <v>0</v>
      </c>
      <c r="S156" s="479">
        <f t="shared" si="94"/>
        <v>6486</v>
      </c>
      <c r="T156" s="13" t="s">
        <v>18</v>
      </c>
      <c r="U156" s="4">
        <v>1995</v>
      </c>
      <c r="V156" s="4">
        <v>8</v>
      </c>
      <c r="W156" s="153">
        <f t="shared" si="95"/>
        <v>12082.096474953618</v>
      </c>
      <c r="X156" s="153">
        <f t="shared" si="80"/>
        <v>157.59370130999741</v>
      </c>
      <c r="Y156" s="80"/>
      <c r="Z156" s="98">
        <f t="shared" si="96"/>
        <v>182343</v>
      </c>
      <c r="AA156" s="119">
        <f t="shared" si="90"/>
        <v>6486</v>
      </c>
      <c r="AB156" s="98">
        <f t="shared" si="97"/>
        <v>182343</v>
      </c>
      <c r="AC156" s="4">
        <v>1995</v>
      </c>
      <c r="AD156" s="4">
        <v>8</v>
      </c>
      <c r="AE156" s="107">
        <f>RESID!AC156</f>
        <v>29.7</v>
      </c>
      <c r="AF156" s="40">
        <f t="shared" si="98"/>
        <v>12374.966869864829</v>
      </c>
      <c r="AG156" s="4">
        <f t="shared" si="99"/>
        <v>186763</v>
      </c>
      <c r="AI156" s="80"/>
      <c r="AY156" s="4">
        <v>1995</v>
      </c>
      <c r="AZ156" s="4">
        <v>8</v>
      </c>
      <c r="BA156" s="4">
        <f>'[8]Gov 65 &amp; 70'!$S241</f>
        <v>391.5</v>
      </c>
      <c r="BB156" s="4">
        <f t="shared" si="83"/>
        <v>394.4</v>
      </c>
      <c r="BC156" s="82">
        <f t="shared" si="100"/>
        <v>2.8999999999999773</v>
      </c>
      <c r="BD156" s="36" t="s">
        <v>18</v>
      </c>
      <c r="BE156" s="4">
        <f>'[8]Gov 65 &amp; 70'!$J241</f>
        <v>0</v>
      </c>
      <c r="BF156" s="4">
        <f t="shared" si="84"/>
        <v>0</v>
      </c>
      <c r="BG156" s="83">
        <f t="shared" si="101"/>
        <v>0</v>
      </c>
      <c r="BH156" s="36" t="s">
        <v>18</v>
      </c>
      <c r="BI156" s="273">
        <f t="shared" si="102"/>
        <v>664.62199999999484</v>
      </c>
      <c r="BJ156" s="270">
        <f t="shared" si="103"/>
        <v>0</v>
      </c>
      <c r="BK156" s="482">
        <f t="shared" si="104"/>
        <v>665</v>
      </c>
      <c r="BL156" s="276"/>
      <c r="BM156" s="36" t="s">
        <v>18</v>
      </c>
      <c r="BN156" s="4">
        <v>1995</v>
      </c>
      <c r="BO156" s="4">
        <v>8</v>
      </c>
      <c r="BP156" s="108"/>
    </row>
    <row r="157" spans="1:72">
      <c r="A157" s="4">
        <v>1995</v>
      </c>
      <c r="B157" s="4">
        <v>9</v>
      </c>
      <c r="C157" s="5">
        <v>213129</v>
      </c>
      <c r="D157" s="5">
        <v>15572</v>
      </c>
      <c r="E157" s="73">
        <f t="shared" si="87"/>
        <v>13687</v>
      </c>
      <c r="F157" s="540">
        <f t="shared" si="91"/>
        <v>15572</v>
      </c>
      <c r="H157" s="13" t="s">
        <v>18</v>
      </c>
      <c r="I157" s="76">
        <f>'[7]Gov 65 &amp; 70'!$S242</f>
        <v>383.8</v>
      </c>
      <c r="J157" s="76">
        <f t="shared" si="81"/>
        <v>381.2</v>
      </c>
      <c r="K157" s="362">
        <f t="shared" si="88"/>
        <v>-2.6000000000000227</v>
      </c>
      <c r="L157" s="200" t="s">
        <v>18</v>
      </c>
      <c r="M157" s="76">
        <f>'[7]Gov 65 &amp; 70'!$J242</f>
        <v>0</v>
      </c>
      <c r="N157" s="76">
        <f t="shared" si="82"/>
        <v>0</v>
      </c>
      <c r="O157" s="363">
        <f t="shared" si="89"/>
        <v>0</v>
      </c>
      <c r="P157" s="13" t="s">
        <v>18</v>
      </c>
      <c r="Q157" s="77">
        <f t="shared" si="92"/>
        <v>-595.86800000000528</v>
      </c>
      <c r="R157" s="78">
        <f t="shared" si="93"/>
        <v>0</v>
      </c>
      <c r="S157" s="479">
        <f t="shared" si="94"/>
        <v>-596</v>
      </c>
      <c r="T157" s="13" t="s">
        <v>18</v>
      </c>
      <c r="U157" s="4">
        <v>1995</v>
      </c>
      <c r="V157" s="4">
        <v>9</v>
      </c>
      <c r="W157" s="153">
        <f t="shared" si="95"/>
        <v>13648.407397893654</v>
      </c>
      <c r="X157" s="153">
        <f t="shared" ref="X157:X219" si="105">W157-W145</f>
        <v>-14.851731839347849</v>
      </c>
      <c r="Y157" s="80"/>
      <c r="Z157" s="98">
        <f t="shared" si="96"/>
        <v>212533</v>
      </c>
      <c r="AA157" s="119">
        <f t="shared" si="90"/>
        <v>-596</v>
      </c>
      <c r="AB157" s="98">
        <f t="shared" si="97"/>
        <v>212533</v>
      </c>
      <c r="AC157" s="4">
        <v>1995</v>
      </c>
      <c r="AD157" s="4">
        <v>9</v>
      </c>
      <c r="AE157" s="107">
        <f>RESID!AC157</f>
        <v>31.9</v>
      </c>
      <c r="AF157" s="40">
        <f t="shared" si="98"/>
        <v>13015.219624967891</v>
      </c>
      <c r="AG157" s="4">
        <f t="shared" si="99"/>
        <v>202673</v>
      </c>
      <c r="AI157" s="80"/>
      <c r="AY157" s="4">
        <v>1995</v>
      </c>
      <c r="AZ157" s="4">
        <v>9</v>
      </c>
      <c r="BA157" s="4">
        <f>'[8]Gov 65 &amp; 70'!$S242</f>
        <v>336.9</v>
      </c>
      <c r="BB157" s="4">
        <f t="shared" si="83"/>
        <v>339.3</v>
      </c>
      <c r="BC157" s="82">
        <f t="shared" si="100"/>
        <v>2.4000000000000341</v>
      </c>
      <c r="BD157" s="36" t="s">
        <v>18</v>
      </c>
      <c r="BE157" s="4">
        <f>'[8]Gov 65 &amp; 70'!$J242</f>
        <v>0</v>
      </c>
      <c r="BF157" s="4">
        <f t="shared" si="84"/>
        <v>0</v>
      </c>
      <c r="BG157" s="83">
        <f t="shared" si="101"/>
        <v>0</v>
      </c>
      <c r="BH157" s="36" t="s">
        <v>18</v>
      </c>
      <c r="BI157" s="273">
        <f t="shared" si="102"/>
        <v>550.03200000000788</v>
      </c>
      <c r="BJ157" s="270">
        <f t="shared" si="103"/>
        <v>0</v>
      </c>
      <c r="BK157" s="482">
        <f t="shared" si="104"/>
        <v>550</v>
      </c>
      <c r="BL157" s="276"/>
      <c r="BM157" s="36" t="s">
        <v>18</v>
      </c>
      <c r="BN157" s="4">
        <v>1995</v>
      </c>
      <c r="BO157" s="4">
        <v>9</v>
      </c>
      <c r="BP157" s="108"/>
    </row>
    <row r="158" spans="1:72">
      <c r="A158" s="4">
        <v>1995</v>
      </c>
      <c r="B158" s="4">
        <v>10</v>
      </c>
      <c r="C158" s="5">
        <v>191256</v>
      </c>
      <c r="D158" s="5">
        <v>15449</v>
      </c>
      <c r="E158" s="73">
        <f t="shared" si="87"/>
        <v>12380</v>
      </c>
      <c r="F158" s="540">
        <f t="shared" si="91"/>
        <v>15449</v>
      </c>
      <c r="H158" s="13" t="s">
        <v>18</v>
      </c>
      <c r="I158" s="76">
        <f>'[7]Gov 65 &amp; 70'!$S243</f>
        <v>317.60000000000002</v>
      </c>
      <c r="J158" s="76">
        <f t="shared" ref="J158:J221" si="106">J146</f>
        <v>287.8</v>
      </c>
      <c r="K158" s="362">
        <f t="shared" si="88"/>
        <v>-29.800000000000011</v>
      </c>
      <c r="L158" s="200" t="s">
        <v>18</v>
      </c>
      <c r="M158" s="76">
        <f>'[7]Gov 65 &amp; 70'!$J243</f>
        <v>1.3</v>
      </c>
      <c r="N158" s="76">
        <f t="shared" ref="N158:N221" si="107">N146</f>
        <v>2.5</v>
      </c>
      <c r="O158" s="363">
        <f t="shared" si="89"/>
        <v>1.2</v>
      </c>
      <c r="P158" s="13" t="s">
        <v>18</v>
      </c>
      <c r="Q158" s="77">
        <f t="shared" si="92"/>
        <v>-6829.564000000003</v>
      </c>
      <c r="R158" s="78">
        <f t="shared" si="93"/>
        <v>48.695999999999998</v>
      </c>
      <c r="S158" s="479">
        <f t="shared" si="94"/>
        <v>-6781</v>
      </c>
      <c r="T158" s="13" t="s">
        <v>18</v>
      </c>
      <c r="U158" s="4">
        <v>1995</v>
      </c>
      <c r="V158" s="4">
        <v>10</v>
      </c>
      <c r="W158" s="153">
        <f t="shared" si="95"/>
        <v>11940.902323775001</v>
      </c>
      <c r="X158" s="153">
        <f t="shared" si="105"/>
        <v>-668.15751673964041</v>
      </c>
      <c r="Y158" s="80"/>
      <c r="Z158" s="98">
        <f t="shared" si="96"/>
        <v>184475</v>
      </c>
      <c r="AA158" s="119">
        <f t="shared" si="90"/>
        <v>-6781</v>
      </c>
      <c r="AB158" s="98">
        <f t="shared" si="97"/>
        <v>184475</v>
      </c>
      <c r="AC158" s="4">
        <v>1995</v>
      </c>
      <c r="AD158" s="4">
        <v>10</v>
      </c>
      <c r="AE158" s="107">
        <f>RESID!AC158</f>
        <v>29.7</v>
      </c>
      <c r="AF158" s="40">
        <f t="shared" si="98"/>
        <v>12230.370897792736</v>
      </c>
      <c r="AG158" s="4">
        <f t="shared" si="99"/>
        <v>188947</v>
      </c>
      <c r="AI158" s="80"/>
      <c r="AY158" s="4">
        <v>1995</v>
      </c>
      <c r="AZ158" s="4">
        <v>10</v>
      </c>
      <c r="BA158" s="4">
        <f>'[8]Gov 65 &amp; 70'!$S243</f>
        <v>229.6</v>
      </c>
      <c r="BB158" s="4">
        <f t="shared" ref="BB158:BB221" si="108">BB146</f>
        <v>200.4</v>
      </c>
      <c r="BC158" s="82">
        <f t="shared" si="100"/>
        <v>-29.199999999999989</v>
      </c>
      <c r="BD158" s="36" t="s">
        <v>18</v>
      </c>
      <c r="BE158" s="4">
        <f>'[8]Gov 65 &amp; 70'!$J243</f>
        <v>9.6999999999999993</v>
      </c>
      <c r="BF158" s="4">
        <f t="shared" ref="BF158:BF221" si="109">BF146</f>
        <v>15</v>
      </c>
      <c r="BG158" s="83">
        <f t="shared" si="101"/>
        <v>5.3000000000000007</v>
      </c>
      <c r="BH158" s="36" t="s">
        <v>18</v>
      </c>
      <c r="BI158" s="273">
        <f t="shared" si="102"/>
        <v>-6692.0559999999978</v>
      </c>
      <c r="BJ158" s="270">
        <f t="shared" si="103"/>
        <v>215.07400000000001</v>
      </c>
      <c r="BK158" s="482">
        <f t="shared" si="104"/>
        <v>-6477</v>
      </c>
      <c r="BL158" s="276"/>
      <c r="BM158" s="36" t="s">
        <v>18</v>
      </c>
      <c r="BN158" s="4">
        <v>1995</v>
      </c>
      <c r="BO158" s="4">
        <v>10</v>
      </c>
      <c r="BP158" s="108"/>
    </row>
    <row r="159" spans="1:72">
      <c r="A159" s="4">
        <v>1995</v>
      </c>
      <c r="B159" s="4">
        <v>11</v>
      </c>
      <c r="C159" s="5">
        <v>182770</v>
      </c>
      <c r="D159" s="5">
        <v>15667</v>
      </c>
      <c r="E159" s="73">
        <f t="shared" si="87"/>
        <v>11666</v>
      </c>
      <c r="F159" s="540">
        <f t="shared" si="91"/>
        <v>15667</v>
      </c>
      <c r="H159" s="13" t="s">
        <v>18</v>
      </c>
      <c r="I159" s="76">
        <f>'[7]Gov 65 &amp; 70'!$S244</f>
        <v>148.4</v>
      </c>
      <c r="J159" s="76">
        <f t="shared" si="106"/>
        <v>140.19999999999999</v>
      </c>
      <c r="K159" s="362">
        <f t="shared" si="88"/>
        <v>-8.2000000000000171</v>
      </c>
      <c r="L159" s="200" t="s">
        <v>18</v>
      </c>
      <c r="M159" s="76">
        <f>'[7]Gov 65 &amp; 70'!$J244</f>
        <v>43.9</v>
      </c>
      <c r="N159" s="76">
        <f t="shared" si="107"/>
        <v>38.6</v>
      </c>
      <c r="O159" s="363">
        <f t="shared" si="89"/>
        <v>-5.2999999999999972</v>
      </c>
      <c r="P159" s="13" t="s">
        <v>18</v>
      </c>
      <c r="Q159" s="77">
        <f t="shared" si="92"/>
        <v>-1879.2760000000039</v>
      </c>
      <c r="R159" s="78">
        <f t="shared" si="93"/>
        <v>-215.07399999999987</v>
      </c>
      <c r="S159" s="479">
        <f t="shared" si="94"/>
        <v>-2094</v>
      </c>
      <c r="T159" s="13" t="s">
        <v>18</v>
      </c>
      <c r="U159" s="4">
        <v>1995</v>
      </c>
      <c r="V159" s="4">
        <v>11</v>
      </c>
      <c r="W159" s="153">
        <f t="shared" si="95"/>
        <v>11532.265270951681</v>
      </c>
      <c r="X159" s="153">
        <f t="shared" si="105"/>
        <v>507.81637315609078</v>
      </c>
      <c r="Y159" s="80"/>
      <c r="Z159" s="98">
        <f t="shared" si="96"/>
        <v>180676</v>
      </c>
      <c r="AA159" s="119">
        <f t="shared" si="90"/>
        <v>-2094</v>
      </c>
      <c r="AB159" s="98">
        <f t="shared" si="97"/>
        <v>180676</v>
      </c>
      <c r="AC159" s="4">
        <v>1995</v>
      </c>
      <c r="AD159" s="4">
        <v>11</v>
      </c>
      <c r="AE159" s="107">
        <f>RESID!AC159</f>
        <v>29.6</v>
      </c>
      <c r="AF159" s="40">
        <f t="shared" si="98"/>
        <v>11851.726559009383</v>
      </c>
      <c r="AG159" s="4">
        <f t="shared" si="99"/>
        <v>185681</v>
      </c>
      <c r="AI159" s="80"/>
      <c r="AY159" s="4">
        <v>1995</v>
      </c>
      <c r="AZ159" s="4">
        <v>11</v>
      </c>
      <c r="BA159" s="4">
        <f>'[8]Gov 65 &amp; 70'!$S244</f>
        <v>50.6</v>
      </c>
      <c r="BB159" s="4">
        <f t="shared" si="108"/>
        <v>66.3</v>
      </c>
      <c r="BC159" s="82">
        <f t="shared" si="100"/>
        <v>15.699999999999996</v>
      </c>
      <c r="BD159" s="36" t="s">
        <v>18</v>
      </c>
      <c r="BE159" s="4">
        <f>'[8]Gov 65 &amp; 70'!$J244</f>
        <v>129.69999999999999</v>
      </c>
      <c r="BF159" s="4">
        <f t="shared" si="109"/>
        <v>69.900000000000006</v>
      </c>
      <c r="BG159" s="83">
        <f t="shared" si="101"/>
        <v>-59.799999999999983</v>
      </c>
      <c r="BH159" s="36" t="s">
        <v>18</v>
      </c>
      <c r="BI159" s="273">
        <f t="shared" si="102"/>
        <v>3598.1259999999993</v>
      </c>
      <c r="BJ159" s="270">
        <f t="shared" si="103"/>
        <v>-2426.6839999999993</v>
      </c>
      <c r="BK159" s="482">
        <f t="shared" si="104"/>
        <v>1171</v>
      </c>
      <c r="BL159" s="276"/>
      <c r="BM159" s="36" t="s">
        <v>18</v>
      </c>
      <c r="BN159" s="4">
        <v>1995</v>
      </c>
      <c r="BO159" s="4">
        <v>11</v>
      </c>
      <c r="BP159" s="108"/>
    </row>
    <row r="160" spans="1:72" s="89" customFormat="1">
      <c r="A160" s="89">
        <v>1995</v>
      </c>
      <c r="B160" s="89">
        <v>12</v>
      </c>
      <c r="C160" s="103">
        <v>154407</v>
      </c>
      <c r="D160" s="103">
        <v>15288</v>
      </c>
      <c r="E160" s="104">
        <f t="shared" si="87"/>
        <v>10100</v>
      </c>
      <c r="F160" s="586">
        <f t="shared" si="91"/>
        <v>15288</v>
      </c>
      <c r="H160" s="90" t="s">
        <v>18</v>
      </c>
      <c r="I160" s="92">
        <f>'[7]Gov 65 &amp; 70'!$S245</f>
        <v>33</v>
      </c>
      <c r="J160" s="92">
        <f t="shared" si="106"/>
        <v>50.8</v>
      </c>
      <c r="K160" s="364">
        <f t="shared" si="88"/>
        <v>17.799999999999997</v>
      </c>
      <c r="L160" s="210" t="s">
        <v>18</v>
      </c>
      <c r="M160" s="92">
        <f>'[7]Gov 65 &amp; 70'!$J245</f>
        <v>140.1</v>
      </c>
      <c r="N160" s="92">
        <f t="shared" si="107"/>
        <v>121.8</v>
      </c>
      <c r="O160" s="365">
        <f t="shared" si="89"/>
        <v>-18.299999999999997</v>
      </c>
      <c r="P160" s="90" t="s">
        <v>18</v>
      </c>
      <c r="Q160" s="114">
        <f t="shared" si="92"/>
        <v>4079.4039999999995</v>
      </c>
      <c r="R160" s="95">
        <f t="shared" si="93"/>
        <v>-742.61399999999981</v>
      </c>
      <c r="S160" s="480">
        <f t="shared" si="94"/>
        <v>3337</v>
      </c>
      <c r="T160" s="90" t="s">
        <v>18</v>
      </c>
      <c r="U160" s="89">
        <v>1995</v>
      </c>
      <c r="V160" s="89">
        <v>12</v>
      </c>
      <c r="W160" s="154">
        <f t="shared" si="95"/>
        <v>10318.158032443745</v>
      </c>
      <c r="X160" s="154">
        <f t="shared" si="105"/>
        <v>-7.0533383038746251</v>
      </c>
      <c r="Y160" s="134"/>
      <c r="Z160" s="155">
        <f t="shared" si="96"/>
        <v>157744</v>
      </c>
      <c r="AA160" s="156">
        <f t="shared" si="90"/>
        <v>3337</v>
      </c>
      <c r="AB160" s="155">
        <f t="shared" si="97"/>
        <v>157744</v>
      </c>
      <c r="AC160" s="89">
        <v>1995</v>
      </c>
      <c r="AD160" s="89">
        <v>12</v>
      </c>
      <c r="AE160" s="110">
        <f>RESID!AC160</f>
        <v>30.65</v>
      </c>
      <c r="AF160" s="116">
        <f t="shared" si="98"/>
        <v>10240.711669283097</v>
      </c>
      <c r="AG160" s="89">
        <f t="shared" si="99"/>
        <v>156560</v>
      </c>
      <c r="AI160" s="134"/>
      <c r="AY160" s="89">
        <v>1995</v>
      </c>
      <c r="AZ160" s="89">
        <v>12</v>
      </c>
      <c r="BA160" s="89">
        <f>'[8]Gov 65 &amp; 70'!$S245</f>
        <v>24</v>
      </c>
      <c r="BB160" s="89">
        <f t="shared" si="108"/>
        <v>28.2</v>
      </c>
      <c r="BC160" s="111">
        <f t="shared" si="100"/>
        <v>4.1999999999999993</v>
      </c>
      <c r="BD160" s="113" t="s">
        <v>18</v>
      </c>
      <c r="BE160" s="89">
        <f>'[8]Gov 65 &amp; 70'!$J245</f>
        <v>236.1</v>
      </c>
      <c r="BF160" s="89">
        <f t="shared" si="109"/>
        <v>170</v>
      </c>
      <c r="BG160" s="112">
        <f t="shared" si="101"/>
        <v>-66.099999999999994</v>
      </c>
      <c r="BH160" s="113" t="s">
        <v>18</v>
      </c>
      <c r="BI160" s="274">
        <f t="shared" si="102"/>
        <v>962.55599999999981</v>
      </c>
      <c r="BJ160" s="275">
        <f t="shared" si="103"/>
        <v>-2682.3379999999997</v>
      </c>
      <c r="BK160" s="483">
        <f t="shared" si="104"/>
        <v>-1720</v>
      </c>
      <c r="BL160" s="277"/>
      <c r="BM160" s="113" t="s">
        <v>18</v>
      </c>
      <c r="BN160" s="89">
        <v>1995</v>
      </c>
      <c r="BO160" s="89">
        <v>12</v>
      </c>
      <c r="BP160" s="117"/>
      <c r="BT160" s="96"/>
    </row>
    <row r="161" spans="1:74">
      <c r="A161" s="4">
        <v>1996</v>
      </c>
      <c r="B161" s="4">
        <v>1</v>
      </c>
      <c r="C161" s="5">
        <v>147889</v>
      </c>
      <c r="D161" s="5">
        <v>15344</v>
      </c>
      <c r="E161" s="73">
        <f t="shared" si="87"/>
        <v>9638</v>
      </c>
      <c r="F161" s="540">
        <f t="shared" si="91"/>
        <v>15344</v>
      </c>
      <c r="H161" s="13" t="s">
        <v>18</v>
      </c>
      <c r="I161" s="76">
        <f>'[7]Gov 65 &amp; 70'!$S246</f>
        <v>15.9</v>
      </c>
      <c r="J161" s="76">
        <f t="shared" si="106"/>
        <v>28.7</v>
      </c>
      <c r="K161" s="362">
        <f t="shared" si="88"/>
        <v>12.799999999999999</v>
      </c>
      <c r="L161" s="200" t="s">
        <v>18</v>
      </c>
      <c r="M161" s="76">
        <f>'[7]Gov 65 &amp; 70'!$J246</f>
        <v>298.2</v>
      </c>
      <c r="N161" s="76">
        <f t="shared" si="107"/>
        <v>192.9</v>
      </c>
      <c r="O161" s="363">
        <f t="shared" si="89"/>
        <v>-105.29999999999998</v>
      </c>
      <c r="P161" s="13" t="s">
        <v>18</v>
      </c>
      <c r="Q161" s="77">
        <f t="shared" si="92"/>
        <v>2933.5039999999999</v>
      </c>
      <c r="R161" s="78">
        <f t="shared" si="93"/>
        <v>-4273.0739999999987</v>
      </c>
      <c r="S161" s="479">
        <f t="shared" si="94"/>
        <v>-1340</v>
      </c>
      <c r="T161" s="13" t="s">
        <v>18</v>
      </c>
      <c r="U161" s="4">
        <v>1996</v>
      </c>
      <c r="V161" s="4">
        <v>1</v>
      </c>
      <c r="W161" s="153">
        <f t="shared" si="95"/>
        <v>9550.8993743482806</v>
      </c>
      <c r="X161" s="153">
        <f t="shared" si="105"/>
        <v>-99.014430186927711</v>
      </c>
      <c r="Y161" s="80"/>
      <c r="Z161" s="98">
        <f t="shared" si="96"/>
        <v>146549</v>
      </c>
      <c r="AA161" s="119">
        <f t="shared" si="90"/>
        <v>-1340</v>
      </c>
      <c r="AB161" s="98">
        <f t="shared" si="97"/>
        <v>146549</v>
      </c>
      <c r="AC161" s="4">
        <v>1996</v>
      </c>
      <c r="AD161" s="4">
        <v>1</v>
      </c>
      <c r="AE161" s="107">
        <f>RESID!AC161</f>
        <v>30.5</v>
      </c>
      <c r="AF161" s="40">
        <f t="shared" si="98"/>
        <v>9525.8733055265893</v>
      </c>
      <c r="AG161" s="4">
        <f t="shared" si="99"/>
        <v>146165</v>
      </c>
      <c r="AI161" s="80"/>
      <c r="AY161" s="4">
        <v>1996</v>
      </c>
      <c r="AZ161" s="4">
        <v>1</v>
      </c>
      <c r="BA161" s="4">
        <f>'[8]Gov 65 &amp; 70'!$S246</f>
        <v>15.5</v>
      </c>
      <c r="BB161" s="4">
        <f t="shared" si="108"/>
        <v>23.9</v>
      </c>
      <c r="BC161" s="82">
        <f t="shared" si="100"/>
        <v>8.3999999999999986</v>
      </c>
      <c r="BD161" s="36" t="s">
        <v>18</v>
      </c>
      <c r="BE161" s="4">
        <f>'[8]Gov 65 &amp; 70'!$J246</f>
        <v>256</v>
      </c>
      <c r="BF161" s="4">
        <f t="shared" si="109"/>
        <v>176.9</v>
      </c>
      <c r="BG161" s="83">
        <f t="shared" si="101"/>
        <v>-79.099999999999994</v>
      </c>
      <c r="BH161" s="36" t="s">
        <v>18</v>
      </c>
      <c r="BI161" s="273">
        <f t="shared" si="102"/>
        <v>1925.1119999999996</v>
      </c>
      <c r="BJ161" s="270">
        <f t="shared" si="103"/>
        <v>-3209.8779999999997</v>
      </c>
      <c r="BK161" s="482">
        <f t="shared" si="104"/>
        <v>-1285</v>
      </c>
      <c r="BL161" s="276"/>
      <c r="BM161" s="36" t="s">
        <v>18</v>
      </c>
      <c r="BN161" s="4">
        <v>1996</v>
      </c>
      <c r="BO161" s="4">
        <v>1</v>
      </c>
      <c r="BP161" s="108"/>
    </row>
    <row r="162" spans="1:74">
      <c r="A162" s="4">
        <v>1996</v>
      </c>
      <c r="B162" s="4">
        <v>2</v>
      </c>
      <c r="C162" s="5">
        <v>164429</v>
      </c>
      <c r="D162" s="5">
        <v>15529</v>
      </c>
      <c r="E162" s="73">
        <f t="shared" si="87"/>
        <v>10589</v>
      </c>
      <c r="F162" s="540">
        <f t="shared" si="91"/>
        <v>15529</v>
      </c>
      <c r="H162" s="13" t="s">
        <v>18</v>
      </c>
      <c r="I162" s="76">
        <f>'[7]Gov 65 &amp; 70'!$S247</f>
        <v>17.8</v>
      </c>
      <c r="J162" s="76">
        <f t="shared" si="106"/>
        <v>22.6</v>
      </c>
      <c r="K162" s="362">
        <f t="shared" si="88"/>
        <v>4.8000000000000007</v>
      </c>
      <c r="L162" s="200" t="s">
        <v>18</v>
      </c>
      <c r="M162" s="76">
        <f>'[7]Gov 65 &amp; 70'!$J247</f>
        <v>253.9</v>
      </c>
      <c r="N162" s="76">
        <f t="shared" si="107"/>
        <v>177.2</v>
      </c>
      <c r="O162" s="363">
        <f t="shared" si="89"/>
        <v>-76.700000000000017</v>
      </c>
      <c r="P162" s="13" t="s">
        <v>18</v>
      </c>
      <c r="Q162" s="77">
        <f t="shared" si="92"/>
        <v>1100.0640000000003</v>
      </c>
      <c r="R162" s="78">
        <f t="shared" si="93"/>
        <v>-3112.4860000000008</v>
      </c>
      <c r="S162" s="479">
        <f t="shared" si="94"/>
        <v>-2012</v>
      </c>
      <c r="T162" s="13" t="s">
        <v>18</v>
      </c>
      <c r="U162" s="4">
        <v>1996</v>
      </c>
      <c r="V162" s="4">
        <v>2</v>
      </c>
      <c r="W162" s="153">
        <f t="shared" si="95"/>
        <v>10458.9477751304</v>
      </c>
      <c r="X162" s="153">
        <f t="shared" si="105"/>
        <v>849.35601928418691</v>
      </c>
      <c r="Y162" s="80"/>
      <c r="Z162" s="98">
        <f t="shared" si="96"/>
        <v>162417</v>
      </c>
      <c r="AA162" s="119">
        <f t="shared" si="90"/>
        <v>-2012</v>
      </c>
      <c r="AB162" s="98">
        <f t="shared" si="97"/>
        <v>162417</v>
      </c>
      <c r="AC162" s="4">
        <v>1996</v>
      </c>
      <c r="AD162" s="4">
        <v>2</v>
      </c>
      <c r="AE162" s="107">
        <f>RESID!AC162</f>
        <v>31.05</v>
      </c>
      <c r="AF162" s="40">
        <f t="shared" si="98"/>
        <v>10246.764118745572</v>
      </c>
      <c r="AG162" s="4">
        <f t="shared" si="99"/>
        <v>159122</v>
      </c>
      <c r="AI162" s="80"/>
      <c r="AY162" s="4">
        <v>1996</v>
      </c>
      <c r="AZ162" s="4">
        <v>2</v>
      </c>
      <c r="BA162" s="4">
        <f>'[8]Gov 65 &amp; 70'!$S247</f>
        <v>30.1</v>
      </c>
      <c r="BB162" s="4">
        <f t="shared" si="108"/>
        <v>32.799999999999997</v>
      </c>
      <c r="BC162" s="82">
        <f t="shared" si="100"/>
        <v>2.6999999999999957</v>
      </c>
      <c r="BD162" s="36" t="s">
        <v>18</v>
      </c>
      <c r="BE162" s="4">
        <f>'[8]Gov 65 &amp; 70'!$J247</f>
        <v>212.7</v>
      </c>
      <c r="BF162" s="4">
        <f t="shared" si="109"/>
        <v>139.1</v>
      </c>
      <c r="BG162" s="83">
        <f t="shared" si="101"/>
        <v>-73.599999999999994</v>
      </c>
      <c r="BH162" s="36" t="s">
        <v>18</v>
      </c>
      <c r="BI162" s="273">
        <f t="shared" si="102"/>
        <v>618.78599999999904</v>
      </c>
      <c r="BJ162" s="270">
        <f t="shared" si="103"/>
        <v>-2986.6879999999996</v>
      </c>
      <c r="BK162" s="482">
        <f t="shared" si="104"/>
        <v>-2368</v>
      </c>
      <c r="BL162" s="276"/>
      <c r="BM162" s="36" t="s">
        <v>18</v>
      </c>
      <c r="BN162" s="4">
        <v>1996</v>
      </c>
      <c r="BO162" s="4">
        <v>2</v>
      </c>
      <c r="BP162" s="108"/>
    </row>
    <row r="163" spans="1:74">
      <c r="A163" s="4">
        <v>1996</v>
      </c>
      <c r="B163" s="4">
        <v>3</v>
      </c>
      <c r="C163" s="5">
        <v>161796</v>
      </c>
      <c r="D163" s="5">
        <v>15539</v>
      </c>
      <c r="E163" s="73">
        <f t="shared" si="87"/>
        <v>10412</v>
      </c>
      <c r="F163" s="540">
        <f t="shared" si="91"/>
        <v>15539</v>
      </c>
      <c r="H163" s="13" t="s">
        <v>18</v>
      </c>
      <c r="I163" s="76">
        <f>'[7]Gov 65 &amp; 70'!$S248</f>
        <v>33.4</v>
      </c>
      <c r="J163" s="76">
        <f t="shared" si="106"/>
        <v>44.5</v>
      </c>
      <c r="K163" s="362">
        <f t="shared" si="88"/>
        <v>11.100000000000001</v>
      </c>
      <c r="L163" s="200" t="s">
        <v>18</v>
      </c>
      <c r="M163" s="76">
        <f>'[7]Gov 65 &amp; 70'!$J248</f>
        <v>192.5</v>
      </c>
      <c r="N163" s="76">
        <f t="shared" si="107"/>
        <v>119.5</v>
      </c>
      <c r="O163" s="363">
        <f t="shared" si="89"/>
        <v>-73</v>
      </c>
      <c r="P163" s="13" t="s">
        <v>18</v>
      </c>
      <c r="Q163" s="77">
        <f t="shared" si="92"/>
        <v>2543.8980000000006</v>
      </c>
      <c r="R163" s="78">
        <f t="shared" si="93"/>
        <v>-2962.3399999999997</v>
      </c>
      <c r="S163" s="479">
        <f t="shared" si="94"/>
        <v>-418</v>
      </c>
      <c r="T163" s="13" t="s">
        <v>18</v>
      </c>
      <c r="U163" s="4">
        <v>1996</v>
      </c>
      <c r="V163" s="4">
        <v>3</v>
      </c>
      <c r="W163" s="153">
        <f t="shared" si="95"/>
        <v>10385.352982817427</v>
      </c>
      <c r="X163" s="153">
        <f t="shared" si="105"/>
        <v>235.87122214977353</v>
      </c>
      <c r="Y163" s="80"/>
      <c r="Z163" s="98">
        <f t="shared" si="96"/>
        <v>161378</v>
      </c>
      <c r="AA163" s="119">
        <f t="shared" si="90"/>
        <v>-418</v>
      </c>
      <c r="AB163" s="98">
        <f t="shared" si="97"/>
        <v>161378</v>
      </c>
      <c r="AC163" s="4">
        <v>1996</v>
      </c>
      <c r="AD163" s="4">
        <v>3</v>
      </c>
      <c r="AE163" s="107">
        <f>RESID!AC163</f>
        <v>29.4</v>
      </c>
      <c r="AF163" s="40">
        <f t="shared" si="98"/>
        <v>10745.672179676943</v>
      </c>
      <c r="AG163" s="4">
        <f t="shared" si="99"/>
        <v>166977</v>
      </c>
      <c r="AI163" s="80"/>
      <c r="AY163" s="4">
        <v>1996</v>
      </c>
      <c r="AZ163" s="4">
        <v>3</v>
      </c>
      <c r="BA163" s="4">
        <f>'[8]Gov 65 &amp; 70'!$S248</f>
        <v>39.6</v>
      </c>
      <c r="BB163" s="4">
        <f t="shared" si="108"/>
        <v>64.099999999999994</v>
      </c>
      <c r="BC163" s="82">
        <f t="shared" si="100"/>
        <v>24.499999999999993</v>
      </c>
      <c r="BD163" s="36" t="s">
        <v>18</v>
      </c>
      <c r="BE163" s="4">
        <f>'[8]Gov 65 &amp; 70'!$J248</f>
        <v>190.6</v>
      </c>
      <c r="BF163" s="4">
        <f t="shared" si="109"/>
        <v>85.4</v>
      </c>
      <c r="BG163" s="83">
        <f t="shared" si="101"/>
        <v>-105.19999999999999</v>
      </c>
      <c r="BH163" s="36" t="s">
        <v>18</v>
      </c>
      <c r="BI163" s="273">
        <f t="shared" si="102"/>
        <v>5614.9099999999989</v>
      </c>
      <c r="BJ163" s="270">
        <f t="shared" si="103"/>
        <v>-4269.0159999999996</v>
      </c>
      <c r="BK163" s="482">
        <f t="shared" si="104"/>
        <v>1346</v>
      </c>
      <c r="BL163" s="276"/>
      <c r="BM163" s="36" t="s">
        <v>18</v>
      </c>
      <c r="BN163" s="4">
        <v>1996</v>
      </c>
      <c r="BO163" s="4">
        <v>3</v>
      </c>
      <c r="BP163" s="108"/>
    </row>
    <row r="164" spans="1:74">
      <c r="A164" s="4">
        <v>1996</v>
      </c>
      <c r="B164" s="4">
        <v>4</v>
      </c>
      <c r="C164" s="5">
        <v>168038</v>
      </c>
      <c r="D164" s="5">
        <v>15613</v>
      </c>
      <c r="E164" s="73">
        <f t="shared" si="87"/>
        <v>10763</v>
      </c>
      <c r="F164" s="540">
        <f t="shared" si="91"/>
        <v>15613</v>
      </c>
      <c r="H164" s="13" t="s">
        <v>18</v>
      </c>
      <c r="I164" s="76">
        <f>'[7]Gov 65 &amp; 70'!$S249</f>
        <v>49.3</v>
      </c>
      <c r="J164" s="76">
        <f t="shared" si="106"/>
        <v>87.7</v>
      </c>
      <c r="K164" s="362">
        <f t="shared" si="88"/>
        <v>38.400000000000006</v>
      </c>
      <c r="L164" s="200" t="s">
        <v>18</v>
      </c>
      <c r="M164" s="76">
        <f>'[7]Gov 65 &amp; 70'!$J249</f>
        <v>131.19999999999999</v>
      </c>
      <c r="N164" s="76">
        <f t="shared" si="107"/>
        <v>60.3</v>
      </c>
      <c r="O164" s="363">
        <f t="shared" si="89"/>
        <v>-70.899999999999991</v>
      </c>
      <c r="P164" s="13" t="s">
        <v>18</v>
      </c>
      <c r="Q164" s="77">
        <f t="shared" si="92"/>
        <v>8800.5120000000024</v>
      </c>
      <c r="R164" s="78">
        <f t="shared" si="93"/>
        <v>-2877.1219999999994</v>
      </c>
      <c r="S164" s="479">
        <f t="shared" si="94"/>
        <v>5923</v>
      </c>
      <c r="T164" s="13" t="s">
        <v>18</v>
      </c>
      <c r="U164" s="4">
        <v>1996</v>
      </c>
      <c r="V164" s="4">
        <v>4</v>
      </c>
      <c r="W164" s="153">
        <f t="shared" si="95"/>
        <v>11142.061102927048</v>
      </c>
      <c r="X164" s="153">
        <f t="shared" si="105"/>
        <v>571.82203145792482</v>
      </c>
      <c r="Y164" s="80"/>
      <c r="Z164" s="98">
        <f t="shared" si="96"/>
        <v>173961</v>
      </c>
      <c r="AA164" s="119">
        <f t="shared" si="90"/>
        <v>5923</v>
      </c>
      <c r="AB164" s="98">
        <f t="shared" si="97"/>
        <v>173961</v>
      </c>
      <c r="AC164" s="4">
        <v>1996</v>
      </c>
      <c r="AD164" s="4">
        <v>4</v>
      </c>
      <c r="AE164" s="107">
        <f>RESID!AC164</f>
        <v>30.35</v>
      </c>
      <c r="AF164" s="40">
        <f t="shared" si="98"/>
        <v>11167.744828027926</v>
      </c>
      <c r="AG164" s="4">
        <f t="shared" si="99"/>
        <v>174362</v>
      </c>
      <c r="AI164" s="80"/>
      <c r="AY164" s="4">
        <v>1996</v>
      </c>
      <c r="AZ164" s="4">
        <v>4</v>
      </c>
      <c r="BA164" s="4">
        <f>'[8]Gov 65 &amp; 70'!$S249</f>
        <v>107</v>
      </c>
      <c r="BB164" s="4">
        <f t="shared" si="108"/>
        <v>122</v>
      </c>
      <c r="BC164" s="82">
        <f t="shared" si="100"/>
        <v>15</v>
      </c>
      <c r="BD164" s="36" t="s">
        <v>18</v>
      </c>
      <c r="BE164" s="4">
        <f>'[8]Gov 65 &amp; 70'!$J249</f>
        <v>49.4</v>
      </c>
      <c r="BF164" s="4">
        <f t="shared" si="109"/>
        <v>34.700000000000003</v>
      </c>
      <c r="BG164" s="83">
        <f t="shared" si="101"/>
        <v>-14.699999999999996</v>
      </c>
      <c r="BH164" s="36" t="s">
        <v>18</v>
      </c>
      <c r="BI164" s="273">
        <f t="shared" si="102"/>
        <v>3437.7000000000003</v>
      </c>
      <c r="BJ164" s="270">
        <f t="shared" si="103"/>
        <v>-596.52599999999984</v>
      </c>
      <c r="BK164" s="482">
        <f t="shared" si="104"/>
        <v>2841</v>
      </c>
      <c r="BL164" s="276"/>
      <c r="BM164" s="36" t="s">
        <v>18</v>
      </c>
      <c r="BN164" s="4">
        <v>1996</v>
      </c>
      <c r="BO164" s="4">
        <v>4</v>
      </c>
      <c r="BP164" s="108"/>
    </row>
    <row r="165" spans="1:74">
      <c r="A165" s="4">
        <v>1996</v>
      </c>
      <c r="B165" s="4">
        <v>5</v>
      </c>
      <c r="C165" s="5">
        <v>180093</v>
      </c>
      <c r="D165" s="5">
        <v>15222</v>
      </c>
      <c r="E165" s="73">
        <f t="shared" si="87"/>
        <v>11831</v>
      </c>
      <c r="F165" s="540">
        <f t="shared" si="91"/>
        <v>15222</v>
      </c>
      <c r="H165" s="13" t="s">
        <v>18</v>
      </c>
      <c r="I165" s="76">
        <f>'[7]Gov 65 &amp; 70'!$S250</f>
        <v>170.5</v>
      </c>
      <c r="J165" s="76">
        <f t="shared" si="106"/>
        <v>157.69999999999999</v>
      </c>
      <c r="K165" s="362">
        <f t="shared" si="88"/>
        <v>-12.800000000000011</v>
      </c>
      <c r="L165" s="200" t="s">
        <v>18</v>
      </c>
      <c r="M165" s="76">
        <f>'[7]Gov 65 &amp; 70'!$J250</f>
        <v>24.8</v>
      </c>
      <c r="N165" s="76">
        <f t="shared" si="107"/>
        <v>18.600000000000001</v>
      </c>
      <c r="O165" s="363">
        <f t="shared" si="89"/>
        <v>-6.1999999999999993</v>
      </c>
      <c r="P165" s="13" t="s">
        <v>18</v>
      </c>
      <c r="Q165" s="77">
        <f t="shared" si="92"/>
        <v>-2933.5040000000026</v>
      </c>
      <c r="R165" s="78">
        <f t="shared" si="93"/>
        <v>-251.59599999999995</v>
      </c>
      <c r="S165" s="479">
        <f t="shared" si="94"/>
        <v>-3185</v>
      </c>
      <c r="T165" s="13" t="s">
        <v>18</v>
      </c>
      <c r="U165" s="4">
        <v>1996</v>
      </c>
      <c r="V165" s="4">
        <v>5</v>
      </c>
      <c r="W165" s="153">
        <f t="shared" si="95"/>
        <v>11621.863092891868</v>
      </c>
      <c r="X165" s="153">
        <f t="shared" si="105"/>
        <v>981.52431014615286</v>
      </c>
      <c r="Y165" s="80"/>
      <c r="Z165" s="98">
        <f t="shared" si="96"/>
        <v>176908</v>
      </c>
      <c r="AA165" s="119">
        <f t="shared" si="90"/>
        <v>-3185</v>
      </c>
      <c r="AB165" s="98">
        <f t="shared" si="97"/>
        <v>176908</v>
      </c>
      <c r="AC165" s="4">
        <v>1996</v>
      </c>
      <c r="AD165" s="4">
        <v>5</v>
      </c>
      <c r="AE165" s="107">
        <f>RESID!AC165</f>
        <v>29.85</v>
      </c>
      <c r="AF165" s="40">
        <f t="shared" si="98"/>
        <v>11843.778741295493</v>
      </c>
      <c r="AG165" s="4">
        <f t="shared" si="99"/>
        <v>180286</v>
      </c>
      <c r="AI165" s="80"/>
      <c r="AY165" s="4">
        <v>1996</v>
      </c>
      <c r="AZ165" s="4">
        <v>5</v>
      </c>
      <c r="BA165" s="4">
        <f>'[8]Gov 65 &amp; 70'!$S250</f>
        <v>283.89999999999998</v>
      </c>
      <c r="BB165" s="4">
        <f t="shared" si="108"/>
        <v>253</v>
      </c>
      <c r="BC165" s="82">
        <f t="shared" si="100"/>
        <v>-30.899999999999977</v>
      </c>
      <c r="BD165" s="36" t="s">
        <v>18</v>
      </c>
      <c r="BE165" s="4">
        <f>'[8]Gov 65 &amp; 70'!$J250</f>
        <v>2.4</v>
      </c>
      <c r="BF165" s="4">
        <f t="shared" si="109"/>
        <v>4.3</v>
      </c>
      <c r="BG165" s="83">
        <f t="shared" si="101"/>
        <v>1.9</v>
      </c>
      <c r="BH165" s="36" t="s">
        <v>18</v>
      </c>
      <c r="BI165" s="273">
        <f t="shared" si="102"/>
        <v>-7081.6619999999948</v>
      </c>
      <c r="BJ165" s="270">
        <f t="shared" si="103"/>
        <v>77.10199999999999</v>
      </c>
      <c r="BK165" s="482">
        <f t="shared" si="104"/>
        <v>-7005</v>
      </c>
      <c r="BL165" s="276"/>
      <c r="BM165" s="36" t="s">
        <v>18</v>
      </c>
      <c r="BN165" s="4">
        <v>1996</v>
      </c>
      <c r="BO165" s="4">
        <v>5</v>
      </c>
      <c r="BP165" s="108"/>
    </row>
    <row r="166" spans="1:74">
      <c r="A166" s="4">
        <v>1996</v>
      </c>
      <c r="B166" s="4">
        <v>6</v>
      </c>
      <c r="C166" s="5">
        <v>203289</v>
      </c>
      <c r="D166" s="5">
        <v>15943</v>
      </c>
      <c r="E166" s="73">
        <f t="shared" si="87"/>
        <v>12751</v>
      </c>
      <c r="F166" s="540">
        <f t="shared" si="91"/>
        <v>15943</v>
      </c>
      <c r="H166" s="13" t="s">
        <v>18</v>
      </c>
      <c r="I166" s="76">
        <f>'[7]Gov 65 &amp; 70'!$S251</f>
        <v>310</v>
      </c>
      <c r="J166" s="76">
        <f t="shared" si="106"/>
        <v>295.39999999999998</v>
      </c>
      <c r="K166" s="362">
        <f t="shared" si="88"/>
        <v>-14.600000000000023</v>
      </c>
      <c r="L166" s="200" t="s">
        <v>18</v>
      </c>
      <c r="M166" s="76">
        <f>'[7]Gov 65 &amp; 70'!$J251</f>
        <v>1.1000000000000001</v>
      </c>
      <c r="N166" s="76">
        <f t="shared" si="107"/>
        <v>2.2000000000000002</v>
      </c>
      <c r="O166" s="363">
        <f t="shared" si="89"/>
        <v>1.1000000000000001</v>
      </c>
      <c r="P166" s="13" t="s">
        <v>18</v>
      </c>
      <c r="Q166" s="77">
        <f t="shared" si="92"/>
        <v>-3346.0280000000052</v>
      </c>
      <c r="R166" s="78">
        <f t="shared" si="93"/>
        <v>44.638000000000005</v>
      </c>
      <c r="S166" s="479">
        <f t="shared" si="94"/>
        <v>-3301</v>
      </c>
      <c r="T166" s="13" t="s">
        <v>18</v>
      </c>
      <c r="U166" s="4">
        <v>1996</v>
      </c>
      <c r="V166" s="4">
        <v>6</v>
      </c>
      <c r="W166" s="153">
        <f t="shared" si="95"/>
        <v>12543.937778335319</v>
      </c>
      <c r="X166" s="153">
        <f t="shared" si="105"/>
        <v>523.12883048774347</v>
      </c>
      <c r="Y166" s="80"/>
      <c r="Z166" s="98">
        <f t="shared" si="96"/>
        <v>199988</v>
      </c>
      <c r="AA166" s="119">
        <f t="shared" si="90"/>
        <v>-3301</v>
      </c>
      <c r="AB166" s="98">
        <f t="shared" si="97"/>
        <v>199988</v>
      </c>
      <c r="AC166" s="4">
        <v>1996</v>
      </c>
      <c r="AD166" s="4">
        <v>6</v>
      </c>
      <c r="AE166" s="107">
        <f>RESID!AC166</f>
        <v>32.200000000000003</v>
      </c>
      <c r="AF166" s="40">
        <f t="shared" si="98"/>
        <v>11850.530013171925</v>
      </c>
      <c r="AG166" s="4">
        <f t="shared" si="99"/>
        <v>188933</v>
      </c>
      <c r="AI166" s="80"/>
      <c r="AY166" s="4">
        <v>1996</v>
      </c>
      <c r="AZ166" s="4">
        <v>6</v>
      </c>
      <c r="BA166" s="4">
        <f>'[8]Gov 65 &amp; 70'!$S251</f>
        <v>318</v>
      </c>
      <c r="BB166" s="4">
        <f t="shared" si="108"/>
        <v>336.1</v>
      </c>
      <c r="BC166" s="82">
        <f t="shared" si="100"/>
        <v>18.100000000000023</v>
      </c>
      <c r="BD166" s="36" t="s">
        <v>18</v>
      </c>
      <c r="BE166" s="4">
        <f>'[8]Gov 65 &amp; 70'!$J251</f>
        <v>0.3</v>
      </c>
      <c r="BF166" s="4">
        <f t="shared" si="109"/>
        <v>0</v>
      </c>
      <c r="BG166" s="83">
        <f t="shared" si="101"/>
        <v>-0.3</v>
      </c>
      <c r="BH166" s="36" t="s">
        <v>18</v>
      </c>
      <c r="BI166" s="273">
        <f t="shared" si="102"/>
        <v>4148.1580000000049</v>
      </c>
      <c r="BJ166" s="270">
        <f t="shared" si="103"/>
        <v>-12.173999999999999</v>
      </c>
      <c r="BK166" s="482">
        <f t="shared" si="104"/>
        <v>4136</v>
      </c>
      <c r="BL166" s="276"/>
      <c r="BM166" s="36" t="s">
        <v>18</v>
      </c>
      <c r="BN166" s="4">
        <v>1996</v>
      </c>
      <c r="BO166" s="4">
        <v>6</v>
      </c>
      <c r="BP166" s="108"/>
    </row>
    <row r="167" spans="1:74">
      <c r="A167" s="4">
        <v>1996</v>
      </c>
      <c r="B167" s="4">
        <v>7</v>
      </c>
      <c r="C167" s="5">
        <v>187980</v>
      </c>
      <c r="D167" s="5">
        <v>15231</v>
      </c>
      <c r="E167" s="73">
        <f t="shared" si="87"/>
        <v>12342</v>
      </c>
      <c r="F167" s="540">
        <f t="shared" si="91"/>
        <v>15231</v>
      </c>
      <c r="H167" s="13" t="s">
        <v>18</v>
      </c>
      <c r="I167" s="76">
        <f>'[7]Gov 65 &amp; 70'!$S252</f>
        <v>352.3</v>
      </c>
      <c r="J167" s="76">
        <f t="shared" si="106"/>
        <v>363.4</v>
      </c>
      <c r="K167" s="362">
        <f t="shared" si="88"/>
        <v>11.099999999999966</v>
      </c>
      <c r="L167" s="200" t="s">
        <v>18</v>
      </c>
      <c r="M167" s="76">
        <f>'[7]Gov 65 &amp; 70'!$J252</f>
        <v>0</v>
      </c>
      <c r="N167" s="76">
        <f t="shared" si="107"/>
        <v>0</v>
      </c>
      <c r="O167" s="363">
        <f t="shared" si="89"/>
        <v>0</v>
      </c>
      <c r="P167" s="13" t="s">
        <v>18</v>
      </c>
      <c r="Q167" s="77">
        <f t="shared" si="92"/>
        <v>2543.8979999999924</v>
      </c>
      <c r="R167" s="78">
        <f t="shared" si="93"/>
        <v>0</v>
      </c>
      <c r="S167" s="479">
        <f t="shared" si="94"/>
        <v>2544</v>
      </c>
      <c r="T167" s="13" t="s">
        <v>18</v>
      </c>
      <c r="U167" s="4">
        <v>1996</v>
      </c>
      <c r="V167" s="4">
        <v>7</v>
      </c>
      <c r="W167" s="153">
        <f t="shared" si="95"/>
        <v>12508.961985424463</v>
      </c>
      <c r="X167" s="153">
        <f t="shared" si="105"/>
        <v>940.04492118029702</v>
      </c>
      <c r="Y167" s="80"/>
      <c r="Z167" s="98">
        <f t="shared" si="96"/>
        <v>190524</v>
      </c>
      <c r="AA167" s="119">
        <f t="shared" si="90"/>
        <v>2544</v>
      </c>
      <c r="AB167" s="98">
        <f t="shared" si="97"/>
        <v>190524</v>
      </c>
      <c r="AC167" s="4">
        <v>1996</v>
      </c>
      <c r="AD167" s="4">
        <v>7</v>
      </c>
      <c r="AE167" s="107">
        <f>RESID!AC167</f>
        <v>30.45</v>
      </c>
      <c r="AF167" s="40">
        <f t="shared" si="98"/>
        <v>12496.618738099927</v>
      </c>
      <c r="AG167" s="4">
        <f t="shared" si="99"/>
        <v>190336</v>
      </c>
      <c r="AI167" s="80"/>
      <c r="AY167" s="4">
        <v>1996</v>
      </c>
      <c r="AZ167" s="4">
        <v>7</v>
      </c>
      <c r="BA167" s="4">
        <f>'[8]Gov 65 &amp; 70'!$S252</f>
        <v>401.2</v>
      </c>
      <c r="BB167" s="4">
        <f t="shared" si="108"/>
        <v>391.2</v>
      </c>
      <c r="BC167" s="82">
        <f t="shared" si="100"/>
        <v>-10</v>
      </c>
      <c r="BD167" s="36" t="s">
        <v>18</v>
      </c>
      <c r="BE167" s="4">
        <f>'[8]Gov 65 &amp; 70'!$J252</f>
        <v>0</v>
      </c>
      <c r="BF167" s="4">
        <f t="shared" si="109"/>
        <v>0</v>
      </c>
      <c r="BG167" s="83">
        <f t="shared" si="101"/>
        <v>0</v>
      </c>
      <c r="BH167" s="36" t="s">
        <v>18</v>
      </c>
      <c r="BI167" s="273">
        <f t="shared" si="102"/>
        <v>-2291.8000000000002</v>
      </c>
      <c r="BJ167" s="270">
        <f t="shared" si="103"/>
        <v>0</v>
      </c>
      <c r="BK167" s="482">
        <f t="shared" si="104"/>
        <v>-2292</v>
      </c>
      <c r="BL167" s="276"/>
      <c r="BM167" s="36" t="s">
        <v>18</v>
      </c>
      <c r="BN167" s="4">
        <v>1996</v>
      </c>
      <c r="BO167" s="4">
        <v>7</v>
      </c>
      <c r="BP167" s="108"/>
    </row>
    <row r="168" spans="1:74">
      <c r="A168" s="4">
        <v>1996</v>
      </c>
      <c r="B168" s="4">
        <v>8</v>
      </c>
      <c r="C168" s="5">
        <v>203094</v>
      </c>
      <c r="D168" s="5">
        <v>16027</v>
      </c>
      <c r="E168" s="73">
        <f t="shared" si="87"/>
        <v>12672</v>
      </c>
      <c r="F168" s="540">
        <f t="shared" si="91"/>
        <v>16027</v>
      </c>
      <c r="H168" s="13" t="s">
        <v>18</v>
      </c>
      <c r="I168" s="76">
        <f>'[7]Gov 65 &amp; 70'!$S253</f>
        <v>402.3</v>
      </c>
      <c r="J168" s="76">
        <f t="shared" si="106"/>
        <v>390.1</v>
      </c>
      <c r="K168" s="362">
        <f t="shared" si="88"/>
        <v>-12.199999999999989</v>
      </c>
      <c r="L168" s="200" t="s">
        <v>18</v>
      </c>
      <c r="M168" s="76">
        <f>'[7]Gov 65 &amp; 70'!$J253</f>
        <v>0</v>
      </c>
      <c r="N168" s="76">
        <f t="shared" si="107"/>
        <v>0</v>
      </c>
      <c r="O168" s="363">
        <f t="shared" si="89"/>
        <v>0</v>
      </c>
      <c r="P168" s="13" t="s">
        <v>18</v>
      </c>
      <c r="Q168" s="77">
        <f t="shared" si="92"/>
        <v>-2795.9959999999974</v>
      </c>
      <c r="R168" s="78">
        <f t="shared" si="93"/>
        <v>0</v>
      </c>
      <c r="S168" s="479">
        <f t="shared" si="94"/>
        <v>-2796</v>
      </c>
      <c r="T168" s="13" t="s">
        <v>18</v>
      </c>
      <c r="U168" s="4">
        <v>1996</v>
      </c>
      <c r="V168" s="4">
        <v>8</v>
      </c>
      <c r="W168" s="153">
        <f t="shared" si="95"/>
        <v>12497.535408997317</v>
      </c>
      <c r="X168" s="153">
        <f t="shared" si="105"/>
        <v>415.43893404369919</v>
      </c>
      <c r="Y168" s="80"/>
      <c r="Z168" s="98">
        <f t="shared" si="96"/>
        <v>200298</v>
      </c>
      <c r="AA168" s="119">
        <f t="shared" si="90"/>
        <v>-2796</v>
      </c>
      <c r="AB168" s="98">
        <f t="shared" si="97"/>
        <v>200298</v>
      </c>
      <c r="AC168" s="4">
        <v>1996</v>
      </c>
      <c r="AD168" s="4">
        <v>8</v>
      </c>
      <c r="AE168" s="107">
        <f>RESID!AC168</f>
        <v>31.15</v>
      </c>
      <c r="AF168" s="40">
        <f t="shared" si="98"/>
        <v>12204.65464528608</v>
      </c>
      <c r="AG168" s="4">
        <f t="shared" si="99"/>
        <v>195604</v>
      </c>
      <c r="AI168" s="80"/>
      <c r="AY168" s="4">
        <v>1996</v>
      </c>
      <c r="AZ168" s="4">
        <v>8</v>
      </c>
      <c r="BA168" s="4">
        <f>'[8]Gov 65 &amp; 70'!$S253</f>
        <v>367.9</v>
      </c>
      <c r="BB168" s="4">
        <f t="shared" si="108"/>
        <v>394.4</v>
      </c>
      <c r="BC168" s="82">
        <f t="shared" si="100"/>
        <v>26.5</v>
      </c>
      <c r="BD168" s="36" t="s">
        <v>18</v>
      </c>
      <c r="BE168" s="4">
        <f>'[8]Gov 65 &amp; 70'!$J253</f>
        <v>0</v>
      </c>
      <c r="BF168" s="4">
        <f t="shared" si="109"/>
        <v>0</v>
      </c>
      <c r="BG168" s="83">
        <f t="shared" si="101"/>
        <v>0</v>
      </c>
      <c r="BH168" s="36" t="s">
        <v>18</v>
      </c>
      <c r="BI168" s="273">
        <f t="shared" si="102"/>
        <v>6073.27</v>
      </c>
      <c r="BJ168" s="270">
        <f t="shared" si="103"/>
        <v>0</v>
      </c>
      <c r="BK168" s="482">
        <f t="shared" si="104"/>
        <v>6073</v>
      </c>
      <c r="BL168" s="276"/>
      <c r="BM168" s="36" t="s">
        <v>18</v>
      </c>
      <c r="BN168" s="4">
        <v>1996</v>
      </c>
      <c r="BO168" s="4">
        <v>8</v>
      </c>
      <c r="BP168" s="108"/>
    </row>
    <row r="169" spans="1:74">
      <c r="A169" s="4">
        <v>1996</v>
      </c>
      <c r="B169" s="4">
        <v>9</v>
      </c>
      <c r="C169" s="5">
        <v>205115</v>
      </c>
      <c r="D169" s="5">
        <v>15886</v>
      </c>
      <c r="E169" s="73">
        <f t="shared" si="87"/>
        <v>12912</v>
      </c>
      <c r="F169" s="540">
        <f t="shared" si="91"/>
        <v>15886</v>
      </c>
      <c r="H169" s="13" t="s">
        <v>18</v>
      </c>
      <c r="I169" s="76">
        <f>'[7]Gov 65 &amp; 70'!$S254</f>
        <v>360.6</v>
      </c>
      <c r="J169" s="76">
        <f t="shared" si="106"/>
        <v>381.2</v>
      </c>
      <c r="K169" s="362">
        <f t="shared" si="88"/>
        <v>20.599999999999966</v>
      </c>
      <c r="L169" s="200" t="s">
        <v>18</v>
      </c>
      <c r="M169" s="76">
        <f>'[7]Gov 65 &amp; 70'!$J254</f>
        <v>0.1</v>
      </c>
      <c r="N169" s="76">
        <f t="shared" si="107"/>
        <v>0</v>
      </c>
      <c r="O169" s="363">
        <f t="shared" si="89"/>
        <v>-0.1</v>
      </c>
      <c r="P169" s="13" t="s">
        <v>18</v>
      </c>
      <c r="Q169" s="77">
        <f t="shared" si="92"/>
        <v>4721.107999999992</v>
      </c>
      <c r="R169" s="78">
        <f t="shared" si="93"/>
        <v>-4.0579999999999998</v>
      </c>
      <c r="S169" s="479">
        <f t="shared" si="94"/>
        <v>4717</v>
      </c>
      <c r="T169" s="13" t="s">
        <v>18</v>
      </c>
      <c r="U169" s="4">
        <v>1996</v>
      </c>
      <c r="V169" s="4">
        <v>9</v>
      </c>
      <c r="W169" s="153">
        <f t="shared" si="95"/>
        <v>13208.611355910865</v>
      </c>
      <c r="X169" s="153">
        <f t="shared" si="105"/>
        <v>-439.79604198278867</v>
      </c>
      <c r="Y169" s="80"/>
      <c r="Z169" s="98">
        <f t="shared" si="96"/>
        <v>209832</v>
      </c>
      <c r="AA169" s="119">
        <f t="shared" si="90"/>
        <v>4717</v>
      </c>
      <c r="AB169" s="98">
        <f t="shared" si="97"/>
        <v>209832</v>
      </c>
      <c r="AC169" s="4">
        <v>1996</v>
      </c>
      <c r="AD169" s="4">
        <v>9</v>
      </c>
      <c r="AE169" s="107">
        <f>RESID!AC169</f>
        <v>30.55</v>
      </c>
      <c r="AF169" s="40">
        <f t="shared" si="98"/>
        <v>13152.398338159384</v>
      </c>
      <c r="AG169" s="4">
        <f t="shared" si="99"/>
        <v>208939</v>
      </c>
      <c r="AI169" s="80"/>
      <c r="AY169" s="4">
        <v>1996</v>
      </c>
      <c r="AZ169" s="4">
        <v>9</v>
      </c>
      <c r="BA169" s="4">
        <f>'[8]Gov 65 &amp; 70'!$S254</f>
        <v>327.2</v>
      </c>
      <c r="BB169" s="4">
        <f t="shared" si="108"/>
        <v>339.3</v>
      </c>
      <c r="BC169" s="82">
        <f t="shared" si="100"/>
        <v>12.100000000000023</v>
      </c>
      <c r="BD169" s="36" t="s">
        <v>18</v>
      </c>
      <c r="BE169" s="4">
        <f>'[8]Gov 65 &amp; 70'!$J254</f>
        <v>0.6</v>
      </c>
      <c r="BF169" s="4">
        <f t="shared" si="109"/>
        <v>0</v>
      </c>
      <c r="BG169" s="83">
        <f t="shared" si="101"/>
        <v>-0.6</v>
      </c>
      <c r="BH169" s="36" t="s">
        <v>18</v>
      </c>
      <c r="BI169" s="273">
        <f t="shared" si="102"/>
        <v>2773.0780000000054</v>
      </c>
      <c r="BJ169" s="270">
        <f t="shared" si="103"/>
        <v>-24.347999999999999</v>
      </c>
      <c r="BK169" s="482">
        <f t="shared" si="104"/>
        <v>2749</v>
      </c>
      <c r="BL169" s="276"/>
      <c r="BM169" s="36" t="s">
        <v>18</v>
      </c>
      <c r="BN169" s="4">
        <v>1996</v>
      </c>
      <c r="BO169" s="4">
        <v>9</v>
      </c>
      <c r="BP169" s="108"/>
    </row>
    <row r="170" spans="1:74">
      <c r="A170" s="4">
        <v>1996</v>
      </c>
      <c r="B170" s="4">
        <v>10</v>
      </c>
      <c r="C170" s="5">
        <v>209707</v>
      </c>
      <c r="D170" s="5">
        <v>15717</v>
      </c>
      <c r="E170" s="73">
        <f t="shared" si="87"/>
        <v>13343</v>
      </c>
      <c r="F170" s="540">
        <f t="shared" si="91"/>
        <v>15717</v>
      </c>
      <c r="H170" s="13" t="s">
        <v>18</v>
      </c>
      <c r="I170" s="76">
        <f>'[7]Gov 65 &amp; 70'!$S255</f>
        <v>255.1</v>
      </c>
      <c r="J170" s="76">
        <f t="shared" si="106"/>
        <v>287.8</v>
      </c>
      <c r="K170" s="362">
        <f t="shared" si="88"/>
        <v>32.700000000000017</v>
      </c>
      <c r="L170" s="200" t="s">
        <v>18</v>
      </c>
      <c r="M170" s="76">
        <f>'[7]Gov 65 &amp; 70'!$J255</f>
        <v>4.7</v>
      </c>
      <c r="N170" s="76">
        <f t="shared" si="107"/>
        <v>2.5</v>
      </c>
      <c r="O170" s="363">
        <f t="shared" si="89"/>
        <v>-2.2000000000000002</v>
      </c>
      <c r="P170" s="13" t="s">
        <v>18</v>
      </c>
      <c r="Q170" s="77">
        <f t="shared" si="92"/>
        <v>7494.1860000000042</v>
      </c>
      <c r="R170" s="78">
        <f t="shared" si="93"/>
        <v>-89.27600000000001</v>
      </c>
      <c r="S170" s="479">
        <f t="shared" si="94"/>
        <v>7405</v>
      </c>
      <c r="T170" s="13" t="s">
        <v>18</v>
      </c>
      <c r="U170" s="4">
        <v>1996</v>
      </c>
      <c r="V170" s="4">
        <v>10</v>
      </c>
      <c r="W170" s="153">
        <f t="shared" si="95"/>
        <v>13813.832156263919</v>
      </c>
      <c r="X170" s="153">
        <f t="shared" si="105"/>
        <v>1872.9298324889187</v>
      </c>
      <c r="Y170" s="80"/>
      <c r="Z170" s="98">
        <f t="shared" si="96"/>
        <v>217112</v>
      </c>
      <c r="AA170" s="119">
        <f t="shared" si="90"/>
        <v>7405</v>
      </c>
      <c r="AB170" s="98">
        <f t="shared" si="97"/>
        <v>217112</v>
      </c>
      <c r="AC170" s="4">
        <v>1996</v>
      </c>
      <c r="AD170" s="4">
        <v>10</v>
      </c>
      <c r="AE170" s="107">
        <f>RESID!AC170</f>
        <v>29.65</v>
      </c>
      <c r="AF170" s="40">
        <f t="shared" si="98"/>
        <v>14172.552013743081</v>
      </c>
      <c r="AG170" s="4">
        <f t="shared" si="99"/>
        <v>222750</v>
      </c>
      <c r="AI170" s="80"/>
      <c r="AY170" s="4">
        <v>1996</v>
      </c>
      <c r="AZ170" s="4">
        <v>10</v>
      </c>
      <c r="BA170" s="4">
        <f>'[8]Gov 65 &amp; 70'!$S255</f>
        <v>172.8</v>
      </c>
      <c r="BB170" s="4">
        <f t="shared" si="108"/>
        <v>200.4</v>
      </c>
      <c r="BC170" s="82">
        <f t="shared" si="100"/>
        <v>27.599999999999994</v>
      </c>
      <c r="BD170" s="36" t="s">
        <v>18</v>
      </c>
      <c r="BE170" s="4">
        <f>'[8]Gov 65 &amp; 70'!$J255</f>
        <v>17.5</v>
      </c>
      <c r="BF170" s="4">
        <f t="shared" si="109"/>
        <v>15</v>
      </c>
      <c r="BG170" s="83">
        <f t="shared" si="101"/>
        <v>-2.5</v>
      </c>
      <c r="BH170" s="36" t="s">
        <v>18</v>
      </c>
      <c r="BI170" s="273">
        <f t="shared" si="102"/>
        <v>6325.3679999999986</v>
      </c>
      <c r="BJ170" s="270">
        <f t="shared" si="103"/>
        <v>-101.44999999999999</v>
      </c>
      <c r="BK170" s="482">
        <f t="shared" si="104"/>
        <v>6224</v>
      </c>
      <c r="BL170" s="276"/>
      <c r="BM170" s="36" t="s">
        <v>18</v>
      </c>
      <c r="BN170" s="4">
        <v>1996</v>
      </c>
      <c r="BO170" s="4">
        <v>10</v>
      </c>
      <c r="BP170" s="108"/>
    </row>
    <row r="171" spans="1:74">
      <c r="A171" s="4">
        <v>1996</v>
      </c>
      <c r="B171" s="4">
        <v>11</v>
      </c>
      <c r="C171" s="5">
        <v>194052</v>
      </c>
      <c r="D171" s="5">
        <v>16261</v>
      </c>
      <c r="E171" s="73">
        <f t="shared" si="87"/>
        <v>11934</v>
      </c>
      <c r="F171" s="540">
        <f t="shared" si="91"/>
        <v>16261</v>
      </c>
      <c r="H171" s="13" t="s">
        <v>18</v>
      </c>
      <c r="I171" s="76">
        <f>'[7]Gov 65 &amp; 70'!$S256</f>
        <v>136.9</v>
      </c>
      <c r="J171" s="76">
        <f t="shared" si="106"/>
        <v>140.19999999999999</v>
      </c>
      <c r="K171" s="362">
        <f t="shared" si="88"/>
        <v>3.2999999999999829</v>
      </c>
      <c r="L171" s="200" t="s">
        <v>18</v>
      </c>
      <c r="M171" s="76">
        <f>'[7]Gov 65 &amp; 70'!$J256</f>
        <v>40.200000000000003</v>
      </c>
      <c r="N171" s="76">
        <f t="shared" si="107"/>
        <v>38.6</v>
      </c>
      <c r="O171" s="363">
        <f t="shared" si="89"/>
        <v>-1.6000000000000014</v>
      </c>
      <c r="P171" s="13" t="s">
        <v>18</v>
      </c>
      <c r="Q171" s="77">
        <f t="shared" si="92"/>
        <v>756.29399999999612</v>
      </c>
      <c r="R171" s="78">
        <f t="shared" si="93"/>
        <v>-64.928000000000054</v>
      </c>
      <c r="S171" s="479">
        <f t="shared" si="94"/>
        <v>691</v>
      </c>
      <c r="T171" s="13" t="s">
        <v>18</v>
      </c>
      <c r="U171" s="4">
        <v>1996</v>
      </c>
      <c r="V171" s="4">
        <v>11</v>
      </c>
      <c r="W171" s="153">
        <f t="shared" si="95"/>
        <v>11976.077731996802</v>
      </c>
      <c r="X171" s="153">
        <f t="shared" si="105"/>
        <v>443.81246104512138</v>
      </c>
      <c r="Y171" s="80"/>
      <c r="Z171" s="98">
        <f t="shared" si="96"/>
        <v>194743</v>
      </c>
      <c r="AA171" s="119">
        <f t="shared" si="90"/>
        <v>691</v>
      </c>
      <c r="AB171" s="98">
        <f t="shared" si="97"/>
        <v>194743</v>
      </c>
      <c r="AC171" s="4">
        <v>1996</v>
      </c>
      <c r="AD171" s="4">
        <v>11</v>
      </c>
      <c r="AE171" s="107">
        <f>RESID!AC171</f>
        <v>30.1</v>
      </c>
      <c r="AF171" s="40">
        <f t="shared" si="98"/>
        <v>12103.376176126929</v>
      </c>
      <c r="AG171" s="4">
        <f t="shared" si="99"/>
        <v>196813</v>
      </c>
      <c r="AI171" s="80"/>
      <c r="AY171" s="4">
        <v>1996</v>
      </c>
      <c r="AZ171" s="4">
        <v>11</v>
      </c>
      <c r="BA171" s="4">
        <f>'[8]Gov 65 &amp; 70'!$S256</f>
        <v>61.5</v>
      </c>
      <c r="BB171" s="4">
        <f t="shared" si="108"/>
        <v>66.3</v>
      </c>
      <c r="BC171" s="82">
        <f t="shared" si="100"/>
        <v>4.7999999999999972</v>
      </c>
      <c r="BD171" s="36" t="s">
        <v>18</v>
      </c>
      <c r="BE171" s="4">
        <f>'[8]Gov 65 &amp; 70'!$J256</f>
        <v>79.8</v>
      </c>
      <c r="BF171" s="4">
        <f t="shared" si="109"/>
        <v>69.900000000000006</v>
      </c>
      <c r="BG171" s="83">
        <f t="shared" si="101"/>
        <v>-9.8999999999999915</v>
      </c>
      <c r="BH171" s="36" t="s">
        <v>18</v>
      </c>
      <c r="BI171" s="273">
        <f t="shared" si="102"/>
        <v>1100.0639999999994</v>
      </c>
      <c r="BJ171" s="270">
        <f t="shared" si="103"/>
        <v>-401.74199999999962</v>
      </c>
      <c r="BK171" s="482">
        <f t="shared" si="104"/>
        <v>698</v>
      </c>
      <c r="BL171" s="276"/>
      <c r="BM171" s="36" t="s">
        <v>18</v>
      </c>
      <c r="BN171" s="4">
        <v>1996</v>
      </c>
      <c r="BO171" s="4">
        <v>11</v>
      </c>
      <c r="BP171" s="108"/>
    </row>
    <row r="172" spans="1:74" s="89" customFormat="1">
      <c r="A172" s="89">
        <v>1996</v>
      </c>
      <c r="B172" s="89">
        <v>12</v>
      </c>
      <c r="C172" s="103">
        <v>179943</v>
      </c>
      <c r="D172" s="103">
        <v>16059</v>
      </c>
      <c r="E172" s="104">
        <f t="shared" si="87"/>
        <v>11205</v>
      </c>
      <c r="F172" s="586">
        <f t="shared" si="91"/>
        <v>16059</v>
      </c>
      <c r="H172" s="90" t="s">
        <v>18</v>
      </c>
      <c r="I172" s="92">
        <f>'[7]Gov 65 &amp; 70'!$S257</f>
        <v>40</v>
      </c>
      <c r="J172" s="92">
        <f t="shared" si="106"/>
        <v>50.8</v>
      </c>
      <c r="K172" s="364">
        <f t="shared" si="88"/>
        <v>10.799999999999997</v>
      </c>
      <c r="L172" s="210" t="s">
        <v>18</v>
      </c>
      <c r="M172" s="92">
        <f>'[7]Gov 65 &amp; 70'!$J257</f>
        <v>114.7</v>
      </c>
      <c r="N172" s="92">
        <f t="shared" si="107"/>
        <v>121.8</v>
      </c>
      <c r="O172" s="365">
        <f t="shared" si="89"/>
        <v>7.0999999999999943</v>
      </c>
      <c r="P172" s="90" t="s">
        <v>18</v>
      </c>
      <c r="Q172" s="114">
        <f t="shared" si="92"/>
        <v>2475.1439999999993</v>
      </c>
      <c r="R172" s="95">
        <f t="shared" si="93"/>
        <v>288.11799999999977</v>
      </c>
      <c r="S172" s="480">
        <f t="shared" si="94"/>
        <v>2763</v>
      </c>
      <c r="T172" s="90" t="s">
        <v>18</v>
      </c>
      <c r="U172" s="89">
        <v>1996</v>
      </c>
      <c r="V172" s="89">
        <v>12</v>
      </c>
      <c r="W172" s="154">
        <f t="shared" si="95"/>
        <v>11377.171679432093</v>
      </c>
      <c r="X172" s="154">
        <f t="shared" si="105"/>
        <v>1059.0136469883473</v>
      </c>
      <c r="Y172" s="134"/>
      <c r="Z172" s="155">
        <f t="shared" si="96"/>
        <v>182706</v>
      </c>
      <c r="AA172" s="156">
        <f t="shared" si="90"/>
        <v>2763</v>
      </c>
      <c r="AB172" s="155">
        <f t="shared" si="97"/>
        <v>182706</v>
      </c>
      <c r="AC172" s="89">
        <v>1996</v>
      </c>
      <c r="AD172" s="89">
        <v>12</v>
      </c>
      <c r="AE172" s="110">
        <f>RESID!AC172</f>
        <v>31.5</v>
      </c>
      <c r="AF172" s="116">
        <f t="shared" si="98"/>
        <v>10987.110031757893</v>
      </c>
      <c r="AG172" s="89">
        <f t="shared" si="99"/>
        <v>176442</v>
      </c>
      <c r="AI172" s="134"/>
      <c r="AY172" s="89">
        <v>1996</v>
      </c>
      <c r="AZ172" s="89">
        <v>12</v>
      </c>
      <c r="BA172" s="89">
        <f>'[8]Gov 65 &amp; 70'!$S257</f>
        <v>23.7</v>
      </c>
      <c r="BB172" s="89">
        <f t="shared" si="108"/>
        <v>28.2</v>
      </c>
      <c r="BC172" s="111">
        <f t="shared" si="100"/>
        <v>4.5</v>
      </c>
      <c r="BD172" s="113" t="s">
        <v>18</v>
      </c>
      <c r="BE172" s="89">
        <f>'[8]Gov 65 &amp; 70'!$J257</f>
        <v>166</v>
      </c>
      <c r="BF172" s="89">
        <f t="shared" si="109"/>
        <v>170</v>
      </c>
      <c r="BG172" s="112">
        <f t="shared" si="101"/>
        <v>4</v>
      </c>
      <c r="BH172" s="113" t="s">
        <v>18</v>
      </c>
      <c r="BI172" s="274">
        <f t="shared" si="102"/>
        <v>1031.31</v>
      </c>
      <c r="BJ172" s="275">
        <f t="shared" si="103"/>
        <v>162.32</v>
      </c>
      <c r="BK172" s="483">
        <f t="shared" si="104"/>
        <v>1194</v>
      </c>
      <c r="BL172" s="277"/>
      <c r="BM172" s="113" t="s">
        <v>18</v>
      </c>
      <c r="BN172" s="89">
        <v>1996</v>
      </c>
      <c r="BO172" s="89">
        <v>12</v>
      </c>
      <c r="BP172" s="117"/>
      <c r="BT172" s="96"/>
    </row>
    <row r="173" spans="1:74">
      <c r="A173" s="23">
        <v>1997</v>
      </c>
      <c r="B173" s="4">
        <v>1</v>
      </c>
      <c r="C173" s="5">
        <v>166803</v>
      </c>
      <c r="D173" s="5">
        <v>15921</v>
      </c>
      <c r="E173" s="73">
        <f t="shared" si="87"/>
        <v>10477</v>
      </c>
      <c r="F173" s="540">
        <f t="shared" si="91"/>
        <v>15921</v>
      </c>
      <c r="H173" s="13" t="s">
        <v>18</v>
      </c>
      <c r="I173" s="76">
        <f>'[7]Gov 65 &amp; 70'!$S258</f>
        <v>31.7</v>
      </c>
      <c r="J173" s="76">
        <f t="shared" si="106"/>
        <v>28.7</v>
      </c>
      <c r="K173" s="362">
        <f t="shared" si="88"/>
        <v>-3</v>
      </c>
      <c r="L173" s="200" t="s">
        <v>18</v>
      </c>
      <c r="M173" s="76">
        <f>'[7]Gov 65 &amp; 70'!$J258</f>
        <v>169.4</v>
      </c>
      <c r="N173" s="76">
        <f t="shared" si="107"/>
        <v>192.9</v>
      </c>
      <c r="O173" s="363">
        <f t="shared" si="89"/>
        <v>23.5</v>
      </c>
      <c r="P173" s="13" t="s">
        <v>18</v>
      </c>
      <c r="Q173" s="77">
        <f t="shared" si="92"/>
        <v>-687.54</v>
      </c>
      <c r="R173" s="78">
        <f t="shared" si="93"/>
        <v>953.63</v>
      </c>
      <c r="S173" s="479">
        <f t="shared" si="94"/>
        <v>266</v>
      </c>
      <c r="T173" s="13" t="s">
        <v>18</v>
      </c>
      <c r="U173" s="23">
        <v>1997</v>
      </c>
      <c r="V173" s="4">
        <v>1</v>
      </c>
      <c r="W173" s="153">
        <f t="shared" si="95"/>
        <v>10493.624772313296</v>
      </c>
      <c r="X173" s="153">
        <f t="shared" si="105"/>
        <v>942.72539796501587</v>
      </c>
      <c r="Y173" s="80"/>
      <c r="Z173" s="98">
        <f t="shared" si="96"/>
        <v>167069</v>
      </c>
      <c r="AA173" s="119">
        <f t="shared" si="90"/>
        <v>266</v>
      </c>
      <c r="AB173" s="98">
        <f t="shared" si="97"/>
        <v>167069</v>
      </c>
      <c r="AC173" s="23">
        <v>1997</v>
      </c>
      <c r="AD173" s="4">
        <v>1</v>
      </c>
      <c r="AE173" s="107">
        <f>RESID!AC173</f>
        <v>32.1</v>
      </c>
      <c r="AF173" s="40">
        <f t="shared" si="98"/>
        <v>9944.4130393819487</v>
      </c>
      <c r="AG173" s="4">
        <f t="shared" si="99"/>
        <v>158325</v>
      </c>
      <c r="AY173" s="23">
        <v>1997</v>
      </c>
      <c r="AZ173" s="4">
        <v>1</v>
      </c>
      <c r="BA173" s="4">
        <f>'[8]Gov 65 &amp; 70'!$S258</f>
        <v>27.6</v>
      </c>
      <c r="BB173" s="4">
        <f t="shared" si="108"/>
        <v>23.9</v>
      </c>
      <c r="BC173" s="82">
        <f t="shared" si="100"/>
        <v>-3.7000000000000028</v>
      </c>
      <c r="BD173" s="36" t="s">
        <v>18</v>
      </c>
      <c r="BE173" s="4">
        <f>'[8]Gov 65 &amp; 70'!$J258</f>
        <v>192.3</v>
      </c>
      <c r="BF173" s="4">
        <f t="shared" si="109"/>
        <v>176.9</v>
      </c>
      <c r="BG173" s="83">
        <f t="shared" si="101"/>
        <v>-15.400000000000006</v>
      </c>
      <c r="BH173" s="36" t="s">
        <v>18</v>
      </c>
      <c r="BI173" s="273">
        <f t="shared" si="102"/>
        <v>-847.96600000000069</v>
      </c>
      <c r="BJ173" s="270">
        <f t="shared" si="103"/>
        <v>-624.93200000000024</v>
      </c>
      <c r="BK173" s="482">
        <f t="shared" si="104"/>
        <v>-1473</v>
      </c>
      <c r="BL173" s="276"/>
      <c r="BM173" s="36" t="s">
        <v>18</v>
      </c>
      <c r="BN173" s="23">
        <v>1997</v>
      </c>
      <c r="BO173" s="4">
        <v>1</v>
      </c>
      <c r="BP173" s="108">
        <f>(C173+[4]MWh!$AN7)</f>
        <v>146726.7816812837</v>
      </c>
      <c r="BQ173" s="108">
        <f>BP173/D173*1000</f>
        <v>9215.9274970971474</v>
      </c>
      <c r="BR173" s="108">
        <f>BT173/D173*1000</f>
        <v>9123.4081829837123</v>
      </c>
      <c r="BS173" s="108"/>
      <c r="BT173" s="175">
        <f>BK173+BP173</f>
        <v>145253.7816812837</v>
      </c>
      <c r="BV173" s="137">
        <f t="shared" ref="BV173:BV204" si="110">BT173-BP173</f>
        <v>-1473</v>
      </c>
    </row>
    <row r="174" spans="1:74">
      <c r="A174" s="23">
        <v>1997</v>
      </c>
      <c r="B174" s="4">
        <v>2</v>
      </c>
      <c r="C174" s="5">
        <v>168794</v>
      </c>
      <c r="D174" s="5">
        <v>16019</v>
      </c>
      <c r="E174" s="73">
        <f t="shared" si="87"/>
        <v>10537</v>
      </c>
      <c r="F174" s="540">
        <f t="shared" si="91"/>
        <v>16019</v>
      </c>
      <c r="H174" s="13" t="s">
        <v>18</v>
      </c>
      <c r="I174" s="76">
        <f>'[7]Gov 65 &amp; 70'!$S259</f>
        <v>29.5</v>
      </c>
      <c r="J174" s="76">
        <f t="shared" si="106"/>
        <v>22.6</v>
      </c>
      <c r="K174" s="362">
        <f t="shared" si="88"/>
        <v>-6.8999999999999986</v>
      </c>
      <c r="L174" s="200" t="s">
        <v>18</v>
      </c>
      <c r="M174" s="76">
        <f>'[7]Gov 65 &amp; 70'!$J259</f>
        <v>169.2</v>
      </c>
      <c r="N174" s="76">
        <f t="shared" si="107"/>
        <v>177.2</v>
      </c>
      <c r="O174" s="363">
        <f t="shared" si="89"/>
        <v>8</v>
      </c>
      <c r="P174" s="13" t="s">
        <v>18</v>
      </c>
      <c r="Q174" s="77">
        <f t="shared" si="92"/>
        <v>-1581.3419999999996</v>
      </c>
      <c r="R174" s="78">
        <f t="shared" si="93"/>
        <v>324.64</v>
      </c>
      <c r="S174" s="479">
        <f t="shared" si="94"/>
        <v>-1257</v>
      </c>
      <c r="T174" s="13" t="s">
        <v>18</v>
      </c>
      <c r="U174" s="23">
        <v>1997</v>
      </c>
      <c r="V174" s="4">
        <v>2</v>
      </c>
      <c r="W174" s="153">
        <f t="shared" si="95"/>
        <v>10458.642861601847</v>
      </c>
      <c r="X174" s="153">
        <f t="shared" si="105"/>
        <v>-0.30491352855278819</v>
      </c>
      <c r="Y174" s="80"/>
      <c r="Z174" s="98">
        <f t="shared" si="96"/>
        <v>167537</v>
      </c>
      <c r="AA174" s="119">
        <f t="shared" si="90"/>
        <v>-1257</v>
      </c>
      <c r="AB174" s="98">
        <f t="shared" si="97"/>
        <v>167537</v>
      </c>
      <c r="AC174" s="23">
        <v>1997</v>
      </c>
      <c r="AD174" s="4">
        <v>2</v>
      </c>
      <c r="AE174" s="107">
        <f>RESID!AC174</f>
        <v>29.5</v>
      </c>
      <c r="AF174" s="40">
        <f t="shared" si="98"/>
        <v>10784.818028591048</v>
      </c>
      <c r="AG174" s="4">
        <f t="shared" si="99"/>
        <v>172762</v>
      </c>
      <c r="AY174" s="23">
        <v>1997</v>
      </c>
      <c r="AZ174" s="4">
        <v>2</v>
      </c>
      <c r="BA174" s="4">
        <f>'[8]Gov 65 &amp; 70'!$S259</f>
        <v>59.9</v>
      </c>
      <c r="BB174" s="4">
        <f t="shared" si="108"/>
        <v>32.799999999999997</v>
      </c>
      <c r="BC174" s="82">
        <f t="shared" si="100"/>
        <v>-27.1</v>
      </c>
      <c r="BD174" s="36" t="s">
        <v>18</v>
      </c>
      <c r="BE174" s="4">
        <f>'[8]Gov 65 &amp; 70'!$J259</f>
        <v>79.900000000000006</v>
      </c>
      <c r="BF174" s="4">
        <f t="shared" si="109"/>
        <v>139.1</v>
      </c>
      <c r="BG174" s="83">
        <f t="shared" si="101"/>
        <v>59.199999999999989</v>
      </c>
      <c r="BH174" s="36" t="s">
        <v>18</v>
      </c>
      <c r="BI174" s="273">
        <f t="shared" si="102"/>
        <v>-6210.7780000000002</v>
      </c>
      <c r="BJ174" s="270">
        <f t="shared" si="103"/>
        <v>2402.3359999999993</v>
      </c>
      <c r="BK174" s="482">
        <f t="shared" si="104"/>
        <v>-3808</v>
      </c>
      <c r="BL174" s="276"/>
      <c r="BM174" s="36" t="s">
        <v>18</v>
      </c>
      <c r="BN174" s="23">
        <v>1997</v>
      </c>
      <c r="BO174" s="4">
        <v>2</v>
      </c>
      <c r="BP174" s="108">
        <f>(C174+[4]MWh!$AN8)</f>
        <v>162442.97040024318</v>
      </c>
      <c r="BQ174" s="108">
        <f t="shared" ref="BQ174:BQ237" si="111">BP174/D174*1000</f>
        <v>10140.643635697808</v>
      </c>
      <c r="BR174" s="108">
        <f t="shared" ref="BR174:BR237" si="112">BT174/D174*1000</f>
        <v>9902.9259254786921</v>
      </c>
      <c r="BS174" s="108"/>
      <c r="BT174" s="175">
        <f t="shared" ref="BT174:BT237" si="113">BK174+BP174</f>
        <v>158634.97040024318</v>
      </c>
      <c r="BV174" s="137">
        <f t="shared" si="110"/>
        <v>-3808</v>
      </c>
    </row>
    <row r="175" spans="1:74">
      <c r="A175" s="23">
        <v>1997</v>
      </c>
      <c r="B175" s="4">
        <v>3</v>
      </c>
      <c r="C175" s="5">
        <v>175081</v>
      </c>
      <c r="D175" s="5">
        <v>16202</v>
      </c>
      <c r="E175" s="73">
        <f t="shared" si="87"/>
        <v>10806</v>
      </c>
      <c r="F175" s="540">
        <f t="shared" si="91"/>
        <v>16202</v>
      </c>
      <c r="H175" s="13" t="s">
        <v>18</v>
      </c>
      <c r="I175" s="76">
        <f>'[7]Gov 65 &amp; 70'!$S260</f>
        <v>96.2</v>
      </c>
      <c r="J175" s="76">
        <f t="shared" si="106"/>
        <v>44.5</v>
      </c>
      <c r="K175" s="362">
        <f t="shared" si="88"/>
        <v>-51.7</v>
      </c>
      <c r="L175" s="200" t="s">
        <v>18</v>
      </c>
      <c r="M175" s="76">
        <f>'[7]Gov 65 &amp; 70'!$J260</f>
        <v>46.8</v>
      </c>
      <c r="N175" s="76">
        <f t="shared" si="107"/>
        <v>119.5</v>
      </c>
      <c r="O175" s="363">
        <f t="shared" si="89"/>
        <v>72.7</v>
      </c>
      <c r="P175" s="13" t="s">
        <v>18</v>
      </c>
      <c r="Q175" s="77">
        <f t="shared" si="92"/>
        <v>-11848.606000000002</v>
      </c>
      <c r="R175" s="78">
        <f t="shared" si="93"/>
        <v>2950.1660000000002</v>
      </c>
      <c r="S175" s="479">
        <f t="shared" si="94"/>
        <v>-8898</v>
      </c>
      <c r="T175" s="13" t="s">
        <v>18</v>
      </c>
      <c r="U175" s="23">
        <v>1997</v>
      </c>
      <c r="V175" s="4">
        <v>3</v>
      </c>
      <c r="W175" s="153">
        <f t="shared" si="95"/>
        <v>10256.943587211455</v>
      </c>
      <c r="X175" s="153">
        <f t="shared" si="105"/>
        <v>-128.40939560597144</v>
      </c>
      <c r="Y175" s="80"/>
      <c r="Z175" s="98">
        <f t="shared" si="96"/>
        <v>166183</v>
      </c>
      <c r="AA175" s="119">
        <f t="shared" si="90"/>
        <v>-8898</v>
      </c>
      <c r="AB175" s="98">
        <f t="shared" si="97"/>
        <v>166183</v>
      </c>
      <c r="AC175" s="23">
        <v>1997</v>
      </c>
      <c r="AD175" s="4">
        <v>3</v>
      </c>
      <c r="AE175" s="107">
        <f>RESID!AC175</f>
        <v>29.4</v>
      </c>
      <c r="AF175" s="40">
        <f t="shared" si="98"/>
        <v>10612.825577089248</v>
      </c>
      <c r="AG175" s="4">
        <f t="shared" si="99"/>
        <v>171949</v>
      </c>
      <c r="AY175" s="23">
        <v>1997</v>
      </c>
      <c r="AZ175" s="4">
        <v>3</v>
      </c>
      <c r="BA175" s="4">
        <f>'[8]Gov 65 &amp; 70'!$S260</f>
        <v>121.9</v>
      </c>
      <c r="BB175" s="4">
        <f t="shared" si="108"/>
        <v>64.099999999999994</v>
      </c>
      <c r="BC175" s="82">
        <f t="shared" si="100"/>
        <v>-57.800000000000011</v>
      </c>
      <c r="BD175" s="36" t="s">
        <v>18</v>
      </c>
      <c r="BE175" s="4">
        <f>'[8]Gov 65 &amp; 70'!$J260</f>
        <v>19.3</v>
      </c>
      <c r="BF175" s="4">
        <f t="shared" si="109"/>
        <v>85.4</v>
      </c>
      <c r="BG175" s="83">
        <f t="shared" si="101"/>
        <v>66.100000000000009</v>
      </c>
      <c r="BH175" s="36" t="s">
        <v>18</v>
      </c>
      <c r="BI175" s="273">
        <f t="shared" si="102"/>
        <v>-13246.604000000003</v>
      </c>
      <c r="BJ175" s="270">
        <f t="shared" si="103"/>
        <v>2682.3380000000002</v>
      </c>
      <c r="BK175" s="482">
        <f t="shared" si="104"/>
        <v>-10564</v>
      </c>
      <c r="BL175" s="276"/>
      <c r="BM175" s="36" t="s">
        <v>18</v>
      </c>
      <c r="BN175" s="23">
        <v>1997</v>
      </c>
      <c r="BO175" s="4">
        <v>3</v>
      </c>
      <c r="BP175" s="108">
        <f>(C175+[4]MWh!$AN9)</f>
        <v>194278.47162269818</v>
      </c>
      <c r="BQ175" s="108">
        <f t="shared" si="111"/>
        <v>11991.017875737452</v>
      </c>
      <c r="BR175" s="108">
        <f t="shared" si="112"/>
        <v>11338.999606387988</v>
      </c>
      <c r="BS175" s="108"/>
      <c r="BT175" s="175">
        <f t="shared" si="113"/>
        <v>183714.47162269818</v>
      </c>
      <c r="BV175" s="137">
        <f t="shared" si="110"/>
        <v>-10564</v>
      </c>
    </row>
    <row r="176" spans="1:74">
      <c r="A176" s="23">
        <v>1997</v>
      </c>
      <c r="B176" s="4">
        <v>4</v>
      </c>
      <c r="C176" s="5">
        <v>182337</v>
      </c>
      <c r="D176" s="5">
        <v>16140</v>
      </c>
      <c r="E176" s="73">
        <f t="shared" si="87"/>
        <v>11297</v>
      </c>
      <c r="F176" s="540">
        <f t="shared" si="91"/>
        <v>16140</v>
      </c>
      <c r="H176" s="13" t="s">
        <v>18</v>
      </c>
      <c r="I176" s="76">
        <f>'[7]Gov 65 &amp; 70'!$S261</f>
        <v>102.1</v>
      </c>
      <c r="J176" s="76">
        <f t="shared" si="106"/>
        <v>87.7</v>
      </c>
      <c r="K176" s="362">
        <f t="shared" si="88"/>
        <v>-14.399999999999991</v>
      </c>
      <c r="L176" s="200" t="s">
        <v>18</v>
      </c>
      <c r="M176" s="76">
        <f>'[7]Gov 65 &amp; 70'!$J261</f>
        <v>28.5</v>
      </c>
      <c r="N176" s="76">
        <f t="shared" si="107"/>
        <v>60.3</v>
      </c>
      <c r="O176" s="363">
        <f t="shared" si="89"/>
        <v>31.799999999999997</v>
      </c>
      <c r="P176" s="13" t="s">
        <v>18</v>
      </c>
      <c r="Q176" s="77">
        <f t="shared" si="92"/>
        <v>-3300.1919999999982</v>
      </c>
      <c r="R176" s="78">
        <f t="shared" si="93"/>
        <v>1290.4439999999997</v>
      </c>
      <c r="S176" s="479">
        <f t="shared" si="94"/>
        <v>-2010</v>
      </c>
      <c r="T176" s="13" t="s">
        <v>18</v>
      </c>
      <c r="U176" s="23">
        <v>1997</v>
      </c>
      <c r="V176" s="4">
        <v>4</v>
      </c>
      <c r="W176" s="153">
        <f t="shared" si="95"/>
        <v>11172.67657992565</v>
      </c>
      <c r="X176" s="153">
        <f t="shared" si="105"/>
        <v>30.615476998602389</v>
      </c>
      <c r="Y176" s="80"/>
      <c r="Z176" s="98">
        <f t="shared" si="96"/>
        <v>180327</v>
      </c>
      <c r="AA176" s="119">
        <f t="shared" si="90"/>
        <v>-2010</v>
      </c>
      <c r="AB176" s="98">
        <f t="shared" si="97"/>
        <v>180327</v>
      </c>
      <c r="AC176" s="23">
        <v>1997</v>
      </c>
      <c r="AD176" s="4">
        <v>4</v>
      </c>
      <c r="AE176" s="107">
        <f>RESID!AC176</f>
        <v>30.8</v>
      </c>
      <c r="AF176" s="40">
        <f t="shared" si="98"/>
        <v>11034.820322180916</v>
      </c>
      <c r="AG176" s="4">
        <f t="shared" si="99"/>
        <v>178102</v>
      </c>
      <c r="AY176" s="23">
        <v>1997</v>
      </c>
      <c r="AZ176" s="4">
        <v>4</v>
      </c>
      <c r="BA176" s="4">
        <f>'[8]Gov 65 &amp; 70'!$S261</f>
        <v>86.8</v>
      </c>
      <c r="BB176" s="4">
        <f t="shared" si="108"/>
        <v>122</v>
      </c>
      <c r="BC176" s="82">
        <f t="shared" si="100"/>
        <v>35.200000000000003</v>
      </c>
      <c r="BD176" s="36" t="s">
        <v>18</v>
      </c>
      <c r="BE176" s="4">
        <f>'[8]Gov 65 &amp; 70'!$J261</f>
        <v>38.1</v>
      </c>
      <c r="BF176" s="4">
        <f t="shared" si="109"/>
        <v>34.700000000000003</v>
      </c>
      <c r="BG176" s="83">
        <f t="shared" si="101"/>
        <v>-3.3999999999999986</v>
      </c>
      <c r="BH176" s="36" t="s">
        <v>18</v>
      </c>
      <c r="BI176" s="273">
        <f t="shared" si="102"/>
        <v>8067.1360000000013</v>
      </c>
      <c r="BJ176" s="270">
        <f t="shared" si="103"/>
        <v>-137.97199999999992</v>
      </c>
      <c r="BK176" s="482">
        <f t="shared" si="104"/>
        <v>7929</v>
      </c>
      <c r="BL176" s="276"/>
      <c r="BM176" s="36" t="s">
        <v>18</v>
      </c>
      <c r="BN176" s="23">
        <v>1997</v>
      </c>
      <c r="BO176" s="4">
        <v>4</v>
      </c>
      <c r="BP176" s="108">
        <f>(C176+[4]MWh!$AN10)</f>
        <v>175225.86989136261</v>
      </c>
      <c r="BQ176" s="108">
        <f t="shared" si="111"/>
        <v>10856.621430691612</v>
      </c>
      <c r="BR176" s="108">
        <f t="shared" si="112"/>
        <v>11347.885371212058</v>
      </c>
      <c r="BS176" s="108"/>
      <c r="BT176" s="175">
        <f t="shared" si="113"/>
        <v>183154.86989136261</v>
      </c>
      <c r="BV176" s="137">
        <f t="shared" si="110"/>
        <v>7929</v>
      </c>
    </row>
    <row r="177" spans="1:99">
      <c r="A177" s="23">
        <v>1997</v>
      </c>
      <c r="B177" s="4">
        <v>5</v>
      </c>
      <c r="C177" s="5">
        <v>181365</v>
      </c>
      <c r="D177" s="5">
        <v>16425</v>
      </c>
      <c r="E177" s="73">
        <f t="shared" si="87"/>
        <v>11042</v>
      </c>
      <c r="F177" s="540">
        <f t="shared" si="91"/>
        <v>16425</v>
      </c>
      <c r="H177" s="13" t="s">
        <v>18</v>
      </c>
      <c r="I177" s="76">
        <f>'[7]Gov 65 &amp; 70'!$S262</f>
        <v>122.4</v>
      </c>
      <c r="J177" s="76">
        <f t="shared" si="106"/>
        <v>157.69999999999999</v>
      </c>
      <c r="K177" s="362">
        <f t="shared" si="88"/>
        <v>35.299999999999983</v>
      </c>
      <c r="L177" s="200" t="s">
        <v>18</v>
      </c>
      <c r="M177" s="76">
        <f>'[7]Gov 65 &amp; 70'!$J262</f>
        <v>24.8</v>
      </c>
      <c r="N177" s="76">
        <f t="shared" si="107"/>
        <v>18.600000000000001</v>
      </c>
      <c r="O177" s="363">
        <f t="shared" si="89"/>
        <v>-6.1999999999999993</v>
      </c>
      <c r="P177" s="13" t="s">
        <v>18</v>
      </c>
      <c r="Q177" s="77">
        <f t="shared" si="92"/>
        <v>8090.0539999999964</v>
      </c>
      <c r="R177" s="78">
        <f t="shared" si="93"/>
        <v>-251.59599999999995</v>
      </c>
      <c r="S177" s="479">
        <f t="shared" si="94"/>
        <v>7838</v>
      </c>
      <c r="T177" s="13" t="s">
        <v>18</v>
      </c>
      <c r="U177" s="23">
        <v>1997</v>
      </c>
      <c r="V177" s="4">
        <v>5</v>
      </c>
      <c r="W177" s="153">
        <f t="shared" si="95"/>
        <v>11519.208523592086</v>
      </c>
      <c r="X177" s="153">
        <f t="shared" si="105"/>
        <v>-102.65456929978245</v>
      </c>
      <c r="Y177" s="80"/>
      <c r="Z177" s="98">
        <f t="shared" si="96"/>
        <v>189203</v>
      </c>
      <c r="AA177" s="119">
        <f t="shared" si="90"/>
        <v>7838</v>
      </c>
      <c r="AB177" s="98">
        <f t="shared" si="97"/>
        <v>189203</v>
      </c>
      <c r="AC177" s="23">
        <v>1997</v>
      </c>
      <c r="AD177" s="4">
        <v>5</v>
      </c>
      <c r="AE177" s="107">
        <f>RESID!AC177</f>
        <v>29.45</v>
      </c>
      <c r="AF177" s="40">
        <f t="shared" si="98"/>
        <v>11898.630136986301</v>
      </c>
      <c r="AG177" s="4">
        <f t="shared" si="99"/>
        <v>195435</v>
      </c>
      <c r="AY177" s="23">
        <v>1997</v>
      </c>
      <c r="AZ177" s="4">
        <v>5</v>
      </c>
      <c r="BA177" s="4">
        <f>'[8]Gov 65 &amp; 70'!$S262</f>
        <v>218</v>
      </c>
      <c r="BB177" s="4">
        <f t="shared" si="108"/>
        <v>253</v>
      </c>
      <c r="BC177" s="82">
        <f t="shared" si="100"/>
        <v>35</v>
      </c>
      <c r="BD177" s="36" t="s">
        <v>18</v>
      </c>
      <c r="BE177" s="4">
        <f>'[8]Gov 65 &amp; 70'!$J262</f>
        <v>7.3</v>
      </c>
      <c r="BF177" s="4">
        <f t="shared" si="109"/>
        <v>4.3</v>
      </c>
      <c r="BG177" s="83">
        <f t="shared" si="101"/>
        <v>-3</v>
      </c>
      <c r="BH177" s="36" t="s">
        <v>18</v>
      </c>
      <c r="BI177" s="273">
        <f t="shared" si="102"/>
        <v>8021.3</v>
      </c>
      <c r="BJ177" s="270">
        <f t="shared" si="103"/>
        <v>-121.74</v>
      </c>
      <c r="BK177" s="482">
        <f t="shared" si="104"/>
        <v>7900</v>
      </c>
      <c r="BL177" s="276"/>
      <c r="BM177" s="36" t="s">
        <v>18</v>
      </c>
      <c r="BN177" s="23">
        <v>1997</v>
      </c>
      <c r="BO177" s="4">
        <v>5</v>
      </c>
      <c r="BP177" s="108">
        <f>(C177+[4]MWh!$AN11)</f>
        <v>213319.51261220808</v>
      </c>
      <c r="BQ177" s="108">
        <f t="shared" si="111"/>
        <v>12987.489352341436</v>
      </c>
      <c r="BR177" s="108">
        <f t="shared" si="112"/>
        <v>13468.463477151177</v>
      </c>
      <c r="BS177" s="108"/>
      <c r="BT177" s="175">
        <f t="shared" si="113"/>
        <v>221219.51261220808</v>
      </c>
      <c r="BV177" s="137">
        <f t="shared" si="110"/>
        <v>7900</v>
      </c>
    </row>
    <row r="178" spans="1:99">
      <c r="A178" s="23">
        <v>1997</v>
      </c>
      <c r="B178" s="4">
        <v>6</v>
      </c>
      <c r="C178" s="5">
        <v>199486</v>
      </c>
      <c r="D178" s="5">
        <v>16311</v>
      </c>
      <c r="E178" s="73">
        <f t="shared" si="87"/>
        <v>12230</v>
      </c>
      <c r="F178" s="540">
        <f t="shared" si="91"/>
        <v>16311</v>
      </c>
      <c r="H178" s="13" t="s">
        <v>18</v>
      </c>
      <c r="I178" s="76">
        <f>'[7]Gov 65 &amp; 70'!$S263</f>
        <v>251.6</v>
      </c>
      <c r="J178" s="76">
        <f t="shared" si="106"/>
        <v>295.39999999999998</v>
      </c>
      <c r="K178" s="362">
        <f t="shared" si="88"/>
        <v>43.799999999999983</v>
      </c>
      <c r="L178" s="200" t="s">
        <v>18</v>
      </c>
      <c r="M178" s="76">
        <f>'[7]Gov 65 &amp; 70'!$J263</f>
        <v>2.6</v>
      </c>
      <c r="N178" s="76">
        <f t="shared" si="107"/>
        <v>2.2000000000000002</v>
      </c>
      <c r="O178" s="363">
        <f t="shared" si="89"/>
        <v>-0.39999999999999991</v>
      </c>
      <c r="P178" s="13" t="s">
        <v>18</v>
      </c>
      <c r="Q178" s="77">
        <f t="shared" si="92"/>
        <v>10038.083999999997</v>
      </c>
      <c r="R178" s="78">
        <f t="shared" si="93"/>
        <v>-16.231999999999996</v>
      </c>
      <c r="S178" s="479">
        <f t="shared" si="94"/>
        <v>10022</v>
      </c>
      <c r="T178" s="13" t="s">
        <v>18</v>
      </c>
      <c r="U178" s="23">
        <v>1997</v>
      </c>
      <c r="V178" s="4">
        <v>6</v>
      </c>
      <c r="W178" s="153">
        <f t="shared" si="95"/>
        <v>12844.583409968733</v>
      </c>
      <c r="X178" s="153">
        <f t="shared" si="105"/>
        <v>300.64563163341336</v>
      </c>
      <c r="Y178" s="80"/>
      <c r="Z178" s="98">
        <f t="shared" si="96"/>
        <v>209508</v>
      </c>
      <c r="AA178" s="119">
        <f t="shared" si="90"/>
        <v>10022</v>
      </c>
      <c r="AB178" s="98">
        <f t="shared" si="97"/>
        <v>209508</v>
      </c>
      <c r="AC178" s="23">
        <v>1997</v>
      </c>
      <c r="AD178" s="4">
        <v>6</v>
      </c>
      <c r="AE178" s="107">
        <f>RESID!AC178</f>
        <v>30.75</v>
      </c>
      <c r="AF178" s="40">
        <f t="shared" si="98"/>
        <v>12706.762307645147</v>
      </c>
      <c r="AG178" s="4">
        <f t="shared" si="99"/>
        <v>207260</v>
      </c>
      <c r="AY178" s="23">
        <v>1997</v>
      </c>
      <c r="AZ178" s="4">
        <v>6</v>
      </c>
      <c r="BA178" s="4">
        <f>'[8]Gov 65 &amp; 70'!$S263</f>
        <v>310.7</v>
      </c>
      <c r="BB178" s="4">
        <f t="shared" si="108"/>
        <v>336.1</v>
      </c>
      <c r="BC178" s="82">
        <f t="shared" si="100"/>
        <v>25.400000000000034</v>
      </c>
      <c r="BD178" s="36" t="s">
        <v>18</v>
      </c>
      <c r="BE178" s="4">
        <f>'[8]Gov 65 &amp; 70'!$J263</f>
        <v>0.4</v>
      </c>
      <c r="BF178" s="4">
        <f t="shared" si="109"/>
        <v>0</v>
      </c>
      <c r="BG178" s="83">
        <f t="shared" si="101"/>
        <v>-0.4</v>
      </c>
      <c r="BH178" s="36" t="s">
        <v>18</v>
      </c>
      <c r="BI178" s="273">
        <f t="shared" si="102"/>
        <v>5821.1720000000078</v>
      </c>
      <c r="BJ178" s="270">
        <f t="shared" si="103"/>
        <v>-16.231999999999999</v>
      </c>
      <c r="BK178" s="482">
        <f t="shared" si="104"/>
        <v>5805</v>
      </c>
      <c r="BL178" s="276"/>
      <c r="BM178" s="36" t="s">
        <v>18</v>
      </c>
      <c r="BN178" s="23">
        <v>1997</v>
      </c>
      <c r="BO178" s="4">
        <v>6</v>
      </c>
      <c r="BP178" s="108">
        <f>(C178+[4]MWh!$AN12)</f>
        <v>198540.58581748643</v>
      </c>
      <c r="BQ178" s="108">
        <f t="shared" si="111"/>
        <v>12172.189676751053</v>
      </c>
      <c r="BR178" s="108">
        <f t="shared" si="112"/>
        <v>12528.084471674723</v>
      </c>
      <c r="BS178" s="108"/>
      <c r="BT178" s="175">
        <f t="shared" si="113"/>
        <v>204345.58581748643</v>
      </c>
      <c r="BV178" s="137">
        <f t="shared" si="110"/>
        <v>5805</v>
      </c>
    </row>
    <row r="179" spans="1:99">
      <c r="A179" s="23">
        <v>1997</v>
      </c>
      <c r="B179" s="4">
        <v>7</v>
      </c>
      <c r="C179" s="5">
        <v>198030</v>
      </c>
      <c r="D179" s="5">
        <v>16176</v>
      </c>
      <c r="E179" s="73">
        <f t="shared" si="87"/>
        <v>12242</v>
      </c>
      <c r="F179" s="540">
        <f t="shared" si="91"/>
        <v>16176</v>
      </c>
      <c r="H179" s="13" t="s">
        <v>18</v>
      </c>
      <c r="I179" s="76">
        <f>'[7]Gov 65 &amp; 70'!$S264</f>
        <v>360.6</v>
      </c>
      <c r="J179" s="76">
        <f t="shared" si="106"/>
        <v>363.4</v>
      </c>
      <c r="K179" s="362">
        <f t="shared" ref="K179:K190" si="114">(J179-I179)</f>
        <v>2.7999999999999545</v>
      </c>
      <c r="L179" s="200" t="s">
        <v>18</v>
      </c>
      <c r="M179" s="76">
        <f>'[7]Gov 65 &amp; 70'!$J264</f>
        <v>0.1</v>
      </c>
      <c r="N179" s="76">
        <f t="shared" si="107"/>
        <v>0</v>
      </c>
      <c r="O179" s="363">
        <f t="shared" ref="O179:O190" si="115">(N179-M179)</f>
        <v>-0.1</v>
      </c>
      <c r="P179" s="13" t="s">
        <v>18</v>
      </c>
      <c r="Q179" s="77">
        <f t="shared" si="92"/>
        <v>641.70399999998961</v>
      </c>
      <c r="R179" s="78">
        <f t="shared" si="93"/>
        <v>-4.0579999999999998</v>
      </c>
      <c r="S179" s="479">
        <f t="shared" si="94"/>
        <v>638</v>
      </c>
      <c r="T179" s="13" t="s">
        <v>18</v>
      </c>
      <c r="U179" s="23">
        <v>1997</v>
      </c>
      <c r="V179" s="4">
        <v>7</v>
      </c>
      <c r="W179" s="153">
        <f t="shared" si="95"/>
        <v>12281.651829871415</v>
      </c>
      <c r="X179" s="153">
        <f t="shared" si="105"/>
        <v>-227.31015555304839</v>
      </c>
      <c r="Y179" s="80"/>
      <c r="Z179" s="98">
        <f t="shared" si="96"/>
        <v>198668</v>
      </c>
      <c r="AA179" s="119">
        <f t="shared" si="90"/>
        <v>638</v>
      </c>
      <c r="AB179" s="98">
        <f t="shared" si="97"/>
        <v>198668</v>
      </c>
      <c r="AC179" s="23">
        <v>1997</v>
      </c>
      <c r="AD179" s="4">
        <v>7</v>
      </c>
      <c r="AE179" s="107">
        <f>RESID!AC179</f>
        <v>30.45</v>
      </c>
      <c r="AF179" s="40">
        <f t="shared" si="98"/>
        <v>12269.535113748765</v>
      </c>
      <c r="AG179" s="4">
        <f t="shared" si="99"/>
        <v>198472</v>
      </c>
      <c r="AY179" s="23">
        <v>1997</v>
      </c>
      <c r="AZ179" s="4">
        <v>7</v>
      </c>
      <c r="BA179" s="4">
        <f>'[8]Gov 65 &amp; 70'!$S264</f>
        <v>388.7</v>
      </c>
      <c r="BB179" s="4">
        <f t="shared" si="108"/>
        <v>391.2</v>
      </c>
      <c r="BC179" s="82">
        <f t="shared" si="100"/>
        <v>2.5</v>
      </c>
      <c r="BD179" s="36" t="s">
        <v>18</v>
      </c>
      <c r="BE179" s="4">
        <f>'[8]Gov 65 &amp; 70'!$J264</f>
        <v>0</v>
      </c>
      <c r="BF179" s="4">
        <f t="shared" si="109"/>
        <v>0</v>
      </c>
      <c r="BG179" s="83">
        <f t="shared" si="101"/>
        <v>0</v>
      </c>
      <c r="BH179" s="36" t="s">
        <v>18</v>
      </c>
      <c r="BI179" s="273">
        <f t="shared" si="102"/>
        <v>572.95000000000005</v>
      </c>
      <c r="BJ179" s="270">
        <f t="shared" si="103"/>
        <v>0</v>
      </c>
      <c r="BK179" s="482">
        <f t="shared" si="104"/>
        <v>573</v>
      </c>
      <c r="BL179" s="276"/>
      <c r="BM179" s="36" t="s">
        <v>18</v>
      </c>
      <c r="BN179" s="23">
        <v>1997</v>
      </c>
      <c r="BO179" s="4">
        <v>7</v>
      </c>
      <c r="BP179" s="108">
        <f>(C179+[4]MWh!$AN13)</f>
        <v>187421.45395239745</v>
      </c>
      <c r="BQ179" s="108">
        <f t="shared" si="111"/>
        <v>11586.390575692227</v>
      </c>
      <c r="BR179" s="108">
        <f t="shared" si="112"/>
        <v>11621.813424356915</v>
      </c>
      <c r="BS179" s="108"/>
      <c r="BT179" s="175">
        <f t="shared" si="113"/>
        <v>187994.45395239745</v>
      </c>
      <c r="BV179" s="137">
        <f t="shared" si="110"/>
        <v>573</v>
      </c>
    </row>
    <row r="180" spans="1:99">
      <c r="A180" s="23">
        <v>1997</v>
      </c>
      <c r="B180" s="4">
        <v>8</v>
      </c>
      <c r="C180" s="5">
        <v>203793</v>
      </c>
      <c r="D180" s="5">
        <v>16551</v>
      </c>
      <c r="E180" s="73">
        <f t="shared" si="87"/>
        <v>12313</v>
      </c>
      <c r="F180" s="540">
        <f t="shared" si="91"/>
        <v>16551</v>
      </c>
      <c r="H180" s="13" t="s">
        <v>18</v>
      </c>
      <c r="I180" s="76">
        <f>'[7]Gov 65 &amp; 70'!$S265</f>
        <v>373.2</v>
      </c>
      <c r="J180" s="76">
        <f t="shared" si="106"/>
        <v>390.1</v>
      </c>
      <c r="K180" s="362">
        <f t="shared" si="114"/>
        <v>16.900000000000034</v>
      </c>
      <c r="L180" s="200" t="s">
        <v>18</v>
      </c>
      <c r="M180" s="76">
        <f>'[7]Gov 65 &amp; 70'!$J265</f>
        <v>0</v>
      </c>
      <c r="N180" s="76">
        <f t="shared" si="107"/>
        <v>0</v>
      </c>
      <c r="O180" s="363">
        <f t="shared" si="115"/>
        <v>0</v>
      </c>
      <c r="P180" s="13" t="s">
        <v>18</v>
      </c>
      <c r="Q180" s="77">
        <f t="shared" si="92"/>
        <v>3873.142000000008</v>
      </c>
      <c r="R180" s="78">
        <f t="shared" si="93"/>
        <v>0</v>
      </c>
      <c r="S180" s="479">
        <f t="shared" si="94"/>
        <v>3873</v>
      </c>
      <c r="T180" s="13" t="s">
        <v>18</v>
      </c>
      <c r="U180" s="23">
        <v>1997</v>
      </c>
      <c r="V180" s="4">
        <v>8</v>
      </c>
      <c r="W180" s="153">
        <f t="shared" si="95"/>
        <v>12547.036432843937</v>
      </c>
      <c r="X180" s="153">
        <f t="shared" si="105"/>
        <v>49.501023846620228</v>
      </c>
      <c r="Y180" s="80"/>
      <c r="Z180" s="98">
        <f t="shared" si="96"/>
        <v>207666</v>
      </c>
      <c r="AA180" s="119">
        <f t="shared" si="90"/>
        <v>3873</v>
      </c>
      <c r="AB180" s="98">
        <f t="shared" si="97"/>
        <v>207666</v>
      </c>
      <c r="AC180" s="23">
        <v>1997</v>
      </c>
      <c r="AD180" s="4">
        <v>8</v>
      </c>
      <c r="AE180" s="107">
        <f>RESID!AC180</f>
        <v>29.75</v>
      </c>
      <c r="AF180" s="40">
        <f t="shared" si="98"/>
        <v>12829.617545767627</v>
      </c>
      <c r="AG180" s="4">
        <f t="shared" si="99"/>
        <v>212343</v>
      </c>
      <c r="AY180" s="23">
        <v>1997</v>
      </c>
      <c r="AZ180" s="4">
        <v>8</v>
      </c>
      <c r="BA180" s="4">
        <f>'[8]Gov 65 &amp; 70'!$S265</f>
        <v>397.1</v>
      </c>
      <c r="BB180" s="4">
        <f t="shared" si="108"/>
        <v>394.4</v>
      </c>
      <c r="BC180" s="82">
        <f t="shared" si="100"/>
        <v>-2.7000000000000455</v>
      </c>
      <c r="BD180" s="36" t="s">
        <v>18</v>
      </c>
      <c r="BE180" s="4">
        <f>'[8]Gov 65 &amp; 70'!$J265</f>
        <v>0</v>
      </c>
      <c r="BF180" s="4">
        <f t="shared" si="109"/>
        <v>0</v>
      </c>
      <c r="BG180" s="83">
        <f t="shared" si="101"/>
        <v>0</v>
      </c>
      <c r="BH180" s="36" t="s">
        <v>18</v>
      </c>
      <c r="BI180" s="273">
        <f t="shared" si="102"/>
        <v>-618.7860000000104</v>
      </c>
      <c r="BJ180" s="270">
        <f t="shared" si="103"/>
        <v>0</v>
      </c>
      <c r="BK180" s="482">
        <f t="shared" si="104"/>
        <v>-619</v>
      </c>
      <c r="BL180" s="276"/>
      <c r="BM180" s="36" t="s">
        <v>18</v>
      </c>
      <c r="BN180" s="23">
        <v>1997</v>
      </c>
      <c r="BO180" s="4">
        <v>8</v>
      </c>
      <c r="BP180" s="108">
        <f>(C180+[4]MWh!$AN14)</f>
        <v>219442.96090053918</v>
      </c>
      <c r="BQ180" s="108">
        <f t="shared" si="111"/>
        <v>13258.592284486689</v>
      </c>
      <c r="BR180" s="108">
        <f t="shared" si="112"/>
        <v>13221.192731589583</v>
      </c>
      <c r="BS180" s="108"/>
      <c r="BT180" s="175">
        <f t="shared" si="113"/>
        <v>218823.96090053918</v>
      </c>
      <c r="BV180" s="137">
        <f t="shared" si="110"/>
        <v>-619</v>
      </c>
    </row>
    <row r="181" spans="1:99">
      <c r="A181" s="23">
        <v>1997</v>
      </c>
      <c r="B181" s="4">
        <v>9</v>
      </c>
      <c r="C181" s="5">
        <v>221235</v>
      </c>
      <c r="D181" s="5">
        <v>16328</v>
      </c>
      <c r="E181" s="73">
        <f t="shared" si="87"/>
        <v>13549</v>
      </c>
      <c r="F181" s="540">
        <f t="shared" si="91"/>
        <v>16328</v>
      </c>
      <c r="H181" s="13" t="s">
        <v>18</v>
      </c>
      <c r="I181" s="76">
        <f>'[7]Gov 65 &amp; 70'!$S266</f>
        <v>377.4</v>
      </c>
      <c r="J181" s="76">
        <f t="shared" si="106"/>
        <v>381.2</v>
      </c>
      <c r="K181" s="362">
        <f t="shared" si="114"/>
        <v>3.8000000000000114</v>
      </c>
      <c r="L181" s="200" t="s">
        <v>18</v>
      </c>
      <c r="M181" s="76">
        <f>'[7]Gov 65 &amp; 70'!$J266</f>
        <v>0.1</v>
      </c>
      <c r="N181" s="76">
        <f t="shared" si="107"/>
        <v>0</v>
      </c>
      <c r="O181" s="363">
        <f t="shared" si="115"/>
        <v>-0.1</v>
      </c>
      <c r="P181" s="13" t="s">
        <v>18</v>
      </c>
      <c r="Q181" s="77">
        <f t="shared" si="92"/>
        <v>870.88400000000263</v>
      </c>
      <c r="R181" s="78">
        <f t="shared" si="93"/>
        <v>-4.0579999999999998</v>
      </c>
      <c r="S181" s="479">
        <f t="shared" si="94"/>
        <v>867</v>
      </c>
      <c r="T181" s="13" t="s">
        <v>18</v>
      </c>
      <c r="U181" s="23">
        <v>1997</v>
      </c>
      <c r="V181" s="4">
        <v>9</v>
      </c>
      <c r="W181" s="153">
        <f t="shared" si="95"/>
        <v>13602.523272905439</v>
      </c>
      <c r="X181" s="153">
        <f t="shared" si="105"/>
        <v>393.9119169945734</v>
      </c>
      <c r="Y181" s="80"/>
      <c r="Z181" s="98">
        <f t="shared" si="96"/>
        <v>222102</v>
      </c>
      <c r="AA181" s="119">
        <f t="shared" si="90"/>
        <v>867</v>
      </c>
      <c r="AB181" s="98">
        <f t="shared" si="97"/>
        <v>222102</v>
      </c>
      <c r="AC181" s="23">
        <v>1997</v>
      </c>
      <c r="AD181" s="4">
        <v>9</v>
      </c>
      <c r="AE181" s="107">
        <f>RESID!AC181</f>
        <v>30.55</v>
      </c>
      <c r="AF181" s="40">
        <f t="shared" si="98"/>
        <v>13544.647231749143</v>
      </c>
      <c r="AG181" s="4">
        <f t="shared" si="99"/>
        <v>221157</v>
      </c>
      <c r="AY181" s="23">
        <v>1997</v>
      </c>
      <c r="AZ181" s="4">
        <v>9</v>
      </c>
      <c r="BA181" s="4">
        <f>'[8]Gov 65 &amp; 70'!$S266</f>
        <v>334.3</v>
      </c>
      <c r="BB181" s="4">
        <f t="shared" si="108"/>
        <v>339.3</v>
      </c>
      <c r="BC181" s="82">
        <f t="shared" si="100"/>
        <v>5</v>
      </c>
      <c r="BD181" s="36" t="s">
        <v>18</v>
      </c>
      <c r="BE181" s="4">
        <f>'[8]Gov 65 &amp; 70'!$J266</f>
        <v>0.1</v>
      </c>
      <c r="BF181" s="4">
        <f t="shared" si="109"/>
        <v>0</v>
      </c>
      <c r="BG181" s="83">
        <f t="shared" si="101"/>
        <v>-0.1</v>
      </c>
      <c r="BH181" s="36" t="s">
        <v>18</v>
      </c>
      <c r="BI181" s="273">
        <f t="shared" si="102"/>
        <v>1145.9000000000001</v>
      </c>
      <c r="BJ181" s="270">
        <f t="shared" si="103"/>
        <v>-4.0579999999999998</v>
      </c>
      <c r="BK181" s="482">
        <f t="shared" si="104"/>
        <v>1142</v>
      </c>
      <c r="BL181" s="276"/>
      <c r="BM181" s="36" t="s">
        <v>18</v>
      </c>
      <c r="BN181" s="23">
        <v>1997</v>
      </c>
      <c r="BO181" s="4">
        <v>9</v>
      </c>
      <c r="BP181" s="108">
        <f>(C181+[4]MWh!$AN15)</f>
        <v>219755.6618599288</v>
      </c>
      <c r="BQ181" s="108">
        <f t="shared" si="111"/>
        <v>13458.822994851102</v>
      </c>
      <c r="BR181" s="108">
        <f t="shared" si="112"/>
        <v>13528.764200142627</v>
      </c>
      <c r="BS181" s="108"/>
      <c r="BT181" s="175">
        <f t="shared" si="113"/>
        <v>220897.6618599288</v>
      </c>
      <c r="BV181" s="137">
        <f t="shared" si="110"/>
        <v>1142</v>
      </c>
    </row>
    <row r="182" spans="1:99">
      <c r="A182" s="23">
        <v>1997</v>
      </c>
      <c r="B182" s="4">
        <v>10</v>
      </c>
      <c r="C182" s="5">
        <v>222313</v>
      </c>
      <c r="D182" s="5">
        <v>16420</v>
      </c>
      <c r="E182" s="73">
        <f t="shared" si="87"/>
        <v>13539</v>
      </c>
      <c r="F182" s="540">
        <f t="shared" si="91"/>
        <v>16420</v>
      </c>
      <c r="H182" s="13" t="s">
        <v>18</v>
      </c>
      <c r="I182" s="76">
        <f>'[7]Gov 65 &amp; 70'!$S267</f>
        <v>306</v>
      </c>
      <c r="J182" s="76">
        <f t="shared" si="106"/>
        <v>287.8</v>
      </c>
      <c r="K182" s="362">
        <f t="shared" si="114"/>
        <v>-18.199999999999989</v>
      </c>
      <c r="L182" s="200" t="s">
        <v>18</v>
      </c>
      <c r="M182" s="76">
        <f>'[7]Gov 65 &amp; 70'!$J267</f>
        <v>2.2999999999999998</v>
      </c>
      <c r="N182" s="76">
        <f t="shared" si="107"/>
        <v>2.5</v>
      </c>
      <c r="O182" s="363">
        <f t="shared" si="115"/>
        <v>0.20000000000000018</v>
      </c>
      <c r="P182" s="13" t="s">
        <v>18</v>
      </c>
      <c r="Q182" s="77">
        <f t="shared" si="92"/>
        <v>-4171.0759999999973</v>
      </c>
      <c r="R182" s="78">
        <f t="shared" si="93"/>
        <v>8.1160000000000068</v>
      </c>
      <c r="S182" s="479">
        <f t="shared" si="94"/>
        <v>-4163</v>
      </c>
      <c r="T182" s="13" t="s">
        <v>18</v>
      </c>
      <c r="U182" s="23">
        <v>1997</v>
      </c>
      <c r="V182" s="4">
        <v>10</v>
      </c>
      <c r="W182" s="153">
        <f t="shared" si="95"/>
        <v>13285.627283800244</v>
      </c>
      <c r="X182" s="153">
        <f t="shared" si="105"/>
        <v>-528.2048724636752</v>
      </c>
      <c r="Y182" s="80"/>
      <c r="Z182" s="98">
        <f t="shared" si="96"/>
        <v>218150</v>
      </c>
      <c r="AA182" s="119">
        <f t="shared" si="90"/>
        <v>-4163</v>
      </c>
      <c r="AB182" s="98">
        <f t="shared" si="97"/>
        <v>218150</v>
      </c>
      <c r="AC182" s="23">
        <v>1997</v>
      </c>
      <c r="AD182" s="4">
        <v>10</v>
      </c>
      <c r="AE182" s="107">
        <f>RESID!AC182</f>
        <v>31.05</v>
      </c>
      <c r="AF182" s="40">
        <f t="shared" si="98"/>
        <v>13016.077953714981</v>
      </c>
      <c r="AG182" s="4">
        <f t="shared" si="99"/>
        <v>213724</v>
      </c>
      <c r="AY182" s="23">
        <v>1997</v>
      </c>
      <c r="AZ182" s="4">
        <v>10</v>
      </c>
      <c r="BA182" s="4">
        <f>'[8]Gov 65 &amp; 70'!$S267</f>
        <v>175.8</v>
      </c>
      <c r="BB182" s="4">
        <f t="shared" si="108"/>
        <v>200.4</v>
      </c>
      <c r="BC182" s="82">
        <f t="shared" si="100"/>
        <v>24.599999999999994</v>
      </c>
      <c r="BD182" s="36" t="s">
        <v>18</v>
      </c>
      <c r="BE182" s="4">
        <f>'[8]Gov 65 &amp; 70'!$J267</f>
        <v>21.2</v>
      </c>
      <c r="BF182" s="4">
        <f t="shared" si="109"/>
        <v>15</v>
      </c>
      <c r="BG182" s="83">
        <f t="shared" si="101"/>
        <v>-6.1999999999999993</v>
      </c>
      <c r="BH182" s="36" t="s">
        <v>18</v>
      </c>
      <c r="BI182" s="273">
        <f t="shared" si="102"/>
        <v>5637.8279999999986</v>
      </c>
      <c r="BJ182" s="270">
        <f t="shared" si="103"/>
        <v>-251.59599999999995</v>
      </c>
      <c r="BK182" s="482">
        <f t="shared" si="104"/>
        <v>5386</v>
      </c>
      <c r="BL182" s="276"/>
      <c r="BM182" s="36" t="s">
        <v>18</v>
      </c>
      <c r="BN182" s="23">
        <v>1997</v>
      </c>
      <c r="BO182" s="4">
        <v>10</v>
      </c>
      <c r="BP182" s="108">
        <f>(C182+[4]MWh!$AN16)</f>
        <v>202300.34421081108</v>
      </c>
      <c r="BQ182" s="108">
        <f t="shared" si="111"/>
        <v>12320.362010402623</v>
      </c>
      <c r="BR182" s="108">
        <f t="shared" si="112"/>
        <v>12648.376626724183</v>
      </c>
      <c r="BS182" s="108"/>
      <c r="BT182" s="175">
        <f t="shared" si="113"/>
        <v>207686.34421081108</v>
      </c>
      <c r="BV182" s="137">
        <f t="shared" si="110"/>
        <v>5386</v>
      </c>
    </row>
    <row r="183" spans="1:99">
      <c r="A183" s="23">
        <v>1997</v>
      </c>
      <c r="B183" s="4">
        <v>11</v>
      </c>
      <c r="C183" s="5">
        <v>196571</v>
      </c>
      <c r="D183" s="5">
        <v>16948</v>
      </c>
      <c r="E183" s="73">
        <f t="shared" si="87"/>
        <v>11598</v>
      </c>
      <c r="F183" s="540">
        <f t="shared" si="91"/>
        <v>16948</v>
      </c>
      <c r="H183" s="13" t="s">
        <v>18</v>
      </c>
      <c r="I183" s="76">
        <f>'[7]Gov 65 &amp; 70'!$S268</f>
        <v>102.7</v>
      </c>
      <c r="J183" s="76">
        <f t="shared" si="106"/>
        <v>140.19999999999999</v>
      </c>
      <c r="K183" s="362">
        <f t="shared" si="114"/>
        <v>37.499999999999986</v>
      </c>
      <c r="L183" s="200" t="s">
        <v>18</v>
      </c>
      <c r="M183" s="76">
        <f>'[7]Gov 65 &amp; 70'!$J268</f>
        <v>52.3</v>
      </c>
      <c r="N183" s="76">
        <f t="shared" si="107"/>
        <v>38.6</v>
      </c>
      <c r="O183" s="363">
        <f t="shared" si="115"/>
        <v>-13.699999999999996</v>
      </c>
      <c r="P183" s="13" t="s">
        <v>18</v>
      </c>
      <c r="Q183" s="77">
        <f t="shared" si="92"/>
        <v>8594.2499999999964</v>
      </c>
      <c r="R183" s="78">
        <f t="shared" si="93"/>
        <v>-555.9459999999998</v>
      </c>
      <c r="S183" s="479">
        <f t="shared" si="94"/>
        <v>8038</v>
      </c>
      <c r="T183" s="13" t="s">
        <v>18</v>
      </c>
      <c r="U183" s="23">
        <v>1997</v>
      </c>
      <c r="V183" s="4">
        <v>11</v>
      </c>
      <c r="W183" s="153">
        <f t="shared" si="95"/>
        <v>12072.751947132405</v>
      </c>
      <c r="X183" s="153">
        <f t="shared" si="105"/>
        <v>96.674215135602935</v>
      </c>
      <c r="Y183" s="80"/>
      <c r="Z183" s="98">
        <f t="shared" si="96"/>
        <v>204609</v>
      </c>
      <c r="AA183" s="119">
        <f t="shared" si="90"/>
        <v>8038</v>
      </c>
      <c r="AB183" s="98">
        <f t="shared" si="97"/>
        <v>204609</v>
      </c>
      <c r="AC183" s="23">
        <v>1997</v>
      </c>
      <c r="AD183" s="4">
        <v>11</v>
      </c>
      <c r="AE183" s="107">
        <f>RESID!AC183</f>
        <v>30.1</v>
      </c>
      <c r="AF183" s="40">
        <f t="shared" si="98"/>
        <v>12201.085673825821</v>
      </c>
      <c r="AG183" s="4">
        <f t="shared" si="99"/>
        <v>206784</v>
      </c>
      <c r="AY183" s="23">
        <v>1997</v>
      </c>
      <c r="AZ183" s="4">
        <v>11</v>
      </c>
      <c r="BA183" s="4">
        <f>'[8]Gov 65 &amp; 70'!$S268</f>
        <v>41.1</v>
      </c>
      <c r="BB183" s="4">
        <f t="shared" si="108"/>
        <v>66.3</v>
      </c>
      <c r="BC183" s="82">
        <f t="shared" si="100"/>
        <v>25.199999999999996</v>
      </c>
      <c r="BD183" s="36" t="s">
        <v>18</v>
      </c>
      <c r="BE183" s="4">
        <f>'[8]Gov 65 &amp; 70'!$J268</f>
        <v>86.5</v>
      </c>
      <c r="BF183" s="4">
        <f t="shared" si="109"/>
        <v>69.900000000000006</v>
      </c>
      <c r="BG183" s="83">
        <f t="shared" si="101"/>
        <v>-16.599999999999994</v>
      </c>
      <c r="BH183" s="36" t="s">
        <v>18</v>
      </c>
      <c r="BI183" s="273">
        <f t="shared" si="102"/>
        <v>5775.3359999999993</v>
      </c>
      <c r="BJ183" s="270">
        <f t="shared" si="103"/>
        <v>-673.6279999999997</v>
      </c>
      <c r="BK183" s="482">
        <f t="shared" si="104"/>
        <v>5102</v>
      </c>
      <c r="BL183" s="276"/>
      <c r="BM183" s="36" t="s">
        <v>18</v>
      </c>
      <c r="BN183" s="23">
        <v>1997</v>
      </c>
      <c r="BO183" s="4">
        <v>11</v>
      </c>
      <c r="BP183" s="108">
        <f>(C183+[4]MWh!$AN17)</f>
        <v>191953.58557348471</v>
      </c>
      <c r="BQ183" s="108">
        <f t="shared" si="111"/>
        <v>11326.03171899249</v>
      </c>
      <c r="BR183" s="108">
        <f t="shared" si="112"/>
        <v>11627.070189608492</v>
      </c>
      <c r="BS183" s="108"/>
      <c r="BT183" s="175">
        <f t="shared" si="113"/>
        <v>197055.58557348471</v>
      </c>
      <c r="BV183" s="137">
        <f t="shared" si="110"/>
        <v>5102</v>
      </c>
    </row>
    <row r="184" spans="1:99" s="89" customFormat="1">
      <c r="A184" s="89">
        <v>1997</v>
      </c>
      <c r="B184" s="89">
        <v>12</v>
      </c>
      <c r="C184" s="103">
        <v>182698</v>
      </c>
      <c r="D184" s="103">
        <v>16536</v>
      </c>
      <c r="E184" s="104">
        <f t="shared" si="87"/>
        <v>11049</v>
      </c>
      <c r="F184" s="514">
        <f t="shared" si="91"/>
        <v>16536</v>
      </c>
      <c r="H184" s="90" t="s">
        <v>18</v>
      </c>
      <c r="I184" s="92">
        <f>'[7]Gov 65 &amp; 70'!$S269</f>
        <v>33.700000000000003</v>
      </c>
      <c r="J184" s="92">
        <f t="shared" si="106"/>
        <v>50.8</v>
      </c>
      <c r="K184" s="364">
        <f t="shared" si="114"/>
        <v>17.099999999999994</v>
      </c>
      <c r="L184" s="210" t="s">
        <v>18</v>
      </c>
      <c r="M184" s="92">
        <f>'[7]Gov 65 &amp; 70'!$J269</f>
        <v>128.5</v>
      </c>
      <c r="N184" s="92">
        <f t="shared" si="107"/>
        <v>121.8</v>
      </c>
      <c r="O184" s="365">
        <f t="shared" si="115"/>
        <v>-6.7000000000000028</v>
      </c>
      <c r="P184" s="90" t="s">
        <v>18</v>
      </c>
      <c r="Q184" s="114">
        <f t="shared" si="92"/>
        <v>3918.9779999999987</v>
      </c>
      <c r="R184" s="95">
        <f t="shared" si="93"/>
        <v>-271.88600000000008</v>
      </c>
      <c r="S184" s="480">
        <f t="shared" si="94"/>
        <v>3647</v>
      </c>
      <c r="T184" s="90" t="s">
        <v>18</v>
      </c>
      <c r="U184" s="89">
        <v>1997</v>
      </c>
      <c r="V184" s="89">
        <v>12</v>
      </c>
      <c r="W184" s="154">
        <f t="shared" si="95"/>
        <v>11269.049346879536</v>
      </c>
      <c r="X184" s="154">
        <f t="shared" si="105"/>
        <v>-108.12233255255705</v>
      </c>
      <c r="Y184" s="134"/>
      <c r="Z184" s="155">
        <f t="shared" si="96"/>
        <v>186345</v>
      </c>
      <c r="AA184" s="156">
        <f t="shared" si="90"/>
        <v>3647</v>
      </c>
      <c r="AB184" s="155">
        <f t="shared" si="97"/>
        <v>186345</v>
      </c>
      <c r="AC184" s="89">
        <v>1997</v>
      </c>
      <c r="AD184" s="89">
        <v>12</v>
      </c>
      <c r="AE184" s="110">
        <f>RESID!AC184</f>
        <v>31.7</v>
      </c>
      <c r="AF184" s="116">
        <f t="shared" si="98"/>
        <v>10814.042089985487</v>
      </c>
      <c r="AG184" s="89">
        <f t="shared" si="99"/>
        <v>178821</v>
      </c>
      <c r="AY184" s="89">
        <v>1997</v>
      </c>
      <c r="AZ184" s="89">
        <v>12</v>
      </c>
      <c r="BA184" s="89">
        <f>'[8]Gov 65 &amp; 70'!$S269</f>
        <v>21.3</v>
      </c>
      <c r="BB184" s="89">
        <f t="shared" si="108"/>
        <v>28.2</v>
      </c>
      <c r="BC184" s="111">
        <f t="shared" si="100"/>
        <v>6.8999999999999986</v>
      </c>
      <c r="BD184" s="113" t="s">
        <v>18</v>
      </c>
      <c r="BE184" s="89">
        <f>'[8]Gov 65 &amp; 70'!$J269</f>
        <v>197.6</v>
      </c>
      <c r="BF184" s="89">
        <f t="shared" si="109"/>
        <v>170</v>
      </c>
      <c r="BG184" s="112">
        <f t="shared" si="101"/>
        <v>-27.599999999999994</v>
      </c>
      <c r="BH184" s="113" t="s">
        <v>18</v>
      </c>
      <c r="BI184" s="274">
        <f t="shared" si="102"/>
        <v>1581.3419999999996</v>
      </c>
      <c r="BJ184" s="275">
        <f t="shared" si="103"/>
        <v>-1120.0079999999998</v>
      </c>
      <c r="BK184" s="483">
        <f t="shared" si="104"/>
        <v>461</v>
      </c>
      <c r="BL184" s="277"/>
      <c r="BM184" s="113" t="s">
        <v>18</v>
      </c>
      <c r="BN184" s="89">
        <v>1997</v>
      </c>
      <c r="BO184" s="89">
        <v>12</v>
      </c>
      <c r="BP184" s="117">
        <f>(C184+[4]MWh!$AN18)</f>
        <v>187079.40278141413</v>
      </c>
      <c r="BQ184" s="117">
        <f t="shared" si="111"/>
        <v>11313.461706665103</v>
      </c>
      <c r="BR184" s="117">
        <f t="shared" si="112"/>
        <v>11341.340274638009</v>
      </c>
      <c r="BS184" s="117"/>
      <c r="BT184" s="176">
        <f t="shared" si="113"/>
        <v>187540.40278141413</v>
      </c>
      <c r="BV184" s="139">
        <f t="shared" si="110"/>
        <v>461</v>
      </c>
    </row>
    <row r="185" spans="1:99" s="89" customFormat="1">
      <c r="A185" s="4">
        <v>1998</v>
      </c>
      <c r="B185" s="4">
        <v>1</v>
      </c>
      <c r="C185" s="5">
        <v>174911</v>
      </c>
      <c r="D185" s="5">
        <v>16470</v>
      </c>
      <c r="E185" s="73">
        <f t="shared" si="87"/>
        <v>10620</v>
      </c>
      <c r="F185" s="540">
        <f t="shared" si="91"/>
        <v>16470</v>
      </c>
      <c r="G185" s="4"/>
      <c r="H185" s="13" t="s">
        <v>18</v>
      </c>
      <c r="I185" s="76">
        <f>'[7]Gov 65 &amp; 70'!$S270</f>
        <v>28.2</v>
      </c>
      <c r="J185" s="76">
        <f t="shared" si="106"/>
        <v>28.7</v>
      </c>
      <c r="K185" s="362">
        <f t="shared" si="114"/>
        <v>0.5</v>
      </c>
      <c r="L185" s="200" t="s">
        <v>18</v>
      </c>
      <c r="M185" s="76">
        <f>'[7]Gov 65 &amp; 70'!$J270</f>
        <v>177.4</v>
      </c>
      <c r="N185" s="76">
        <f t="shared" si="107"/>
        <v>192.9</v>
      </c>
      <c r="O185" s="363">
        <f t="shared" si="115"/>
        <v>15.5</v>
      </c>
      <c r="P185" s="13" t="s">
        <v>18</v>
      </c>
      <c r="Q185" s="77">
        <f t="shared" si="92"/>
        <v>114.59</v>
      </c>
      <c r="R185" s="78">
        <f t="shared" si="93"/>
        <v>628.99</v>
      </c>
      <c r="S185" s="479">
        <f t="shared" si="94"/>
        <v>744</v>
      </c>
      <c r="T185" s="13" t="s">
        <v>18</v>
      </c>
      <c r="U185" s="4">
        <v>1998</v>
      </c>
      <c r="V185" s="4">
        <v>1</v>
      </c>
      <c r="W185" s="153">
        <f t="shared" si="95"/>
        <v>10665.14875531269</v>
      </c>
      <c r="X185" s="153">
        <f t="shared" si="105"/>
        <v>171.52398299939341</v>
      </c>
      <c r="Y185" s="80"/>
      <c r="Z185" s="98">
        <f t="shared" si="96"/>
        <v>175655</v>
      </c>
      <c r="AA185" s="119">
        <f t="shared" si="90"/>
        <v>744</v>
      </c>
      <c r="AB185" s="98">
        <f t="shared" si="97"/>
        <v>175655</v>
      </c>
      <c r="AC185" s="4">
        <v>1998</v>
      </c>
      <c r="AD185" s="4">
        <v>1</v>
      </c>
      <c r="AE185" s="107">
        <f>RESID!AC185</f>
        <v>31.9</v>
      </c>
      <c r="AF185" s="40">
        <f t="shared" si="98"/>
        <v>10170.309653916211</v>
      </c>
      <c r="AG185" s="4">
        <f t="shared" si="99"/>
        <v>167505</v>
      </c>
      <c r="AH185" s="4">
        <f t="shared" ref="AH185:AH220" si="116">Z185-Z173</f>
        <v>8586</v>
      </c>
      <c r="AI185" s="4"/>
      <c r="AJ185" s="4"/>
      <c r="AK185" s="4"/>
      <c r="AY185" s="4">
        <v>1998</v>
      </c>
      <c r="AZ185" s="4">
        <v>1</v>
      </c>
      <c r="BA185" s="4">
        <f>'[8]Gov 65 &amp; 70'!$S270</f>
        <v>21.5</v>
      </c>
      <c r="BB185" s="4">
        <f t="shared" si="108"/>
        <v>23.9</v>
      </c>
      <c r="BC185" s="82">
        <f t="shared" si="100"/>
        <v>2.3999999999999986</v>
      </c>
      <c r="BD185" s="36" t="s">
        <v>18</v>
      </c>
      <c r="BE185" s="4">
        <f>'[8]Gov 65 &amp; 70'!$J270</f>
        <v>158.6</v>
      </c>
      <c r="BF185" s="4">
        <f t="shared" si="109"/>
        <v>176.9</v>
      </c>
      <c r="BG185" s="83">
        <f t="shared" si="101"/>
        <v>18.300000000000011</v>
      </c>
      <c r="BH185" s="36" t="s">
        <v>18</v>
      </c>
      <c r="BI185" s="273">
        <f t="shared" si="102"/>
        <v>550.0319999999997</v>
      </c>
      <c r="BJ185" s="270">
        <f t="shared" si="103"/>
        <v>742.61400000000037</v>
      </c>
      <c r="BK185" s="482">
        <f t="shared" si="104"/>
        <v>1293</v>
      </c>
      <c r="BL185" s="276"/>
      <c r="BM185" s="36" t="s">
        <v>18</v>
      </c>
      <c r="BN185" s="4">
        <v>1998</v>
      </c>
      <c r="BO185" s="4">
        <v>1</v>
      </c>
      <c r="BP185" s="108">
        <f>(C185+[4]MWh!$AN19)</f>
        <v>152661.06389310354</v>
      </c>
      <c r="BQ185" s="108">
        <f t="shared" si="111"/>
        <v>9269.0384877415636</v>
      </c>
      <c r="BR185" s="108">
        <f t="shared" si="112"/>
        <v>9347.5448629692492</v>
      </c>
      <c r="BS185" s="108">
        <f>BR185-BR173</f>
        <v>224.13667998553683</v>
      </c>
      <c r="BT185" s="175">
        <f t="shared" si="113"/>
        <v>153954.06389310354</v>
      </c>
      <c r="BU185" s="108">
        <f t="shared" ref="BU185:BU195" si="117">BT185-BT173</f>
        <v>8700.2822118198383</v>
      </c>
      <c r="BV185" s="137">
        <f t="shared" si="110"/>
        <v>1293</v>
      </c>
      <c r="BW185" s="4"/>
      <c r="BX185" s="4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</row>
    <row r="186" spans="1:99" s="23" customFormat="1">
      <c r="A186" s="4">
        <v>1998</v>
      </c>
      <c r="B186" s="4">
        <v>2</v>
      </c>
      <c r="C186" s="5">
        <v>168728</v>
      </c>
      <c r="D186" s="5">
        <v>16680</v>
      </c>
      <c r="E186" s="73">
        <f t="shared" si="87"/>
        <v>10116</v>
      </c>
      <c r="F186" s="540">
        <f t="shared" si="91"/>
        <v>16680</v>
      </c>
      <c r="G186" s="4"/>
      <c r="H186" s="13" t="s">
        <v>18</v>
      </c>
      <c r="I186" s="76">
        <f>'[7]Gov 65 &amp; 70'!$S271</f>
        <v>10</v>
      </c>
      <c r="J186" s="76">
        <f t="shared" si="106"/>
        <v>22.6</v>
      </c>
      <c r="K186" s="362">
        <f t="shared" si="114"/>
        <v>12.600000000000001</v>
      </c>
      <c r="L186" s="200" t="s">
        <v>18</v>
      </c>
      <c r="M186" s="76">
        <f>'[7]Gov 65 &amp; 70'!$J271</f>
        <v>183.4</v>
      </c>
      <c r="N186" s="76">
        <f t="shared" si="107"/>
        <v>177.2</v>
      </c>
      <c r="O186" s="363">
        <f t="shared" si="115"/>
        <v>-6.2000000000000171</v>
      </c>
      <c r="P186" s="13" t="s">
        <v>18</v>
      </c>
      <c r="Q186" s="77">
        <f t="shared" si="92"/>
        <v>2887.6680000000006</v>
      </c>
      <c r="R186" s="78">
        <f t="shared" si="93"/>
        <v>-251.59600000000069</v>
      </c>
      <c r="S186" s="479">
        <f t="shared" si="94"/>
        <v>2636</v>
      </c>
      <c r="T186" s="13" t="s">
        <v>18</v>
      </c>
      <c r="U186" s="4">
        <v>1998</v>
      </c>
      <c r="V186" s="4">
        <v>2</v>
      </c>
      <c r="W186" s="153">
        <f t="shared" si="95"/>
        <v>10273.621103117506</v>
      </c>
      <c r="X186" s="153">
        <f t="shared" si="105"/>
        <v>-185.02175848434126</v>
      </c>
      <c r="Y186" s="80"/>
      <c r="Z186" s="98">
        <f t="shared" si="96"/>
        <v>171364</v>
      </c>
      <c r="AA186" s="119">
        <f t="shared" si="90"/>
        <v>2636</v>
      </c>
      <c r="AB186" s="98">
        <f t="shared" si="97"/>
        <v>171364</v>
      </c>
      <c r="AC186" s="4">
        <v>1998</v>
      </c>
      <c r="AD186" s="4">
        <v>2</v>
      </c>
      <c r="AE186" s="107">
        <f>RESID!AC186</f>
        <v>29.5</v>
      </c>
      <c r="AF186" s="40">
        <f t="shared" si="98"/>
        <v>10594.00479616307</v>
      </c>
      <c r="AG186" s="4">
        <f t="shared" si="99"/>
        <v>176708</v>
      </c>
      <c r="AH186" s="4">
        <f t="shared" si="116"/>
        <v>3827</v>
      </c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>
        <v>1998</v>
      </c>
      <c r="AZ186" s="4">
        <v>2</v>
      </c>
      <c r="BA186" s="4">
        <f>'[8]Gov 65 &amp; 70'!$S271</f>
        <v>16.100000000000001</v>
      </c>
      <c r="BB186" s="4">
        <f t="shared" si="108"/>
        <v>32.799999999999997</v>
      </c>
      <c r="BC186" s="82">
        <f t="shared" si="100"/>
        <v>16.699999999999996</v>
      </c>
      <c r="BD186" s="36" t="s">
        <v>18</v>
      </c>
      <c r="BE186" s="4">
        <f>'[8]Gov 65 &amp; 70'!$J271</f>
        <v>153.80000000000001</v>
      </c>
      <c r="BF186" s="4">
        <f t="shared" si="109"/>
        <v>139.1</v>
      </c>
      <c r="BG186" s="83">
        <f t="shared" si="101"/>
        <v>-14.700000000000017</v>
      </c>
      <c r="BH186" s="36" t="s">
        <v>18</v>
      </c>
      <c r="BI186" s="273">
        <f t="shared" si="102"/>
        <v>3827.3059999999991</v>
      </c>
      <c r="BJ186" s="270">
        <f t="shared" si="103"/>
        <v>-596.52600000000064</v>
      </c>
      <c r="BK186" s="482">
        <f t="shared" si="104"/>
        <v>3231</v>
      </c>
      <c r="BL186" s="276"/>
      <c r="BM186" s="36" t="s">
        <v>18</v>
      </c>
      <c r="BN186" s="4">
        <v>1998</v>
      </c>
      <c r="BO186" s="4">
        <v>2</v>
      </c>
      <c r="BP186" s="108">
        <f>(C186+[4]MWh!$AN20)</f>
        <v>168624.98932950487</v>
      </c>
      <c r="BQ186" s="108">
        <f t="shared" si="111"/>
        <v>10109.411830306048</v>
      </c>
      <c r="BR186" s="108">
        <f t="shared" si="112"/>
        <v>10303.116866277269</v>
      </c>
      <c r="BS186" s="108">
        <f t="shared" ref="BS186:BS249" si="118">BR186-BR174</f>
        <v>400.19094079857678</v>
      </c>
      <c r="BT186" s="175">
        <f t="shared" si="113"/>
        <v>171855.98932950487</v>
      </c>
      <c r="BU186" s="108">
        <f t="shared" si="117"/>
        <v>13221.018929261685</v>
      </c>
      <c r="BV186" s="137">
        <f t="shared" si="110"/>
        <v>3231</v>
      </c>
      <c r="BW186" s="4"/>
      <c r="BX186" s="4"/>
    </row>
    <row r="187" spans="1:99">
      <c r="A187" s="4">
        <v>1998</v>
      </c>
      <c r="B187" s="4">
        <v>3</v>
      </c>
      <c r="C187" s="5">
        <v>179554</v>
      </c>
      <c r="D187" s="5">
        <v>16537</v>
      </c>
      <c r="E187" s="73">
        <f t="shared" si="87"/>
        <v>10858</v>
      </c>
      <c r="F187" s="540">
        <f t="shared" si="91"/>
        <v>16537</v>
      </c>
      <c r="H187" s="13" t="s">
        <v>18</v>
      </c>
      <c r="I187" s="76">
        <f>'[7]Gov 65 &amp; 70'!$S272</f>
        <v>24.9</v>
      </c>
      <c r="J187" s="76">
        <f t="shared" si="106"/>
        <v>44.5</v>
      </c>
      <c r="K187" s="362">
        <f t="shared" si="114"/>
        <v>19.600000000000001</v>
      </c>
      <c r="L187" s="200" t="s">
        <v>18</v>
      </c>
      <c r="M187" s="76">
        <f>'[7]Gov 65 &amp; 70'!$J272</f>
        <v>155</v>
      </c>
      <c r="N187" s="76">
        <f t="shared" si="107"/>
        <v>119.5</v>
      </c>
      <c r="O187" s="363">
        <f t="shared" si="115"/>
        <v>-35.5</v>
      </c>
      <c r="P187" s="13" t="s">
        <v>18</v>
      </c>
      <c r="Q187" s="77">
        <f t="shared" si="92"/>
        <v>4491.9280000000008</v>
      </c>
      <c r="R187" s="78">
        <f t="shared" si="93"/>
        <v>-1440.59</v>
      </c>
      <c r="S187" s="479">
        <f t="shared" si="94"/>
        <v>3051</v>
      </c>
      <c r="T187" s="13" t="s">
        <v>18</v>
      </c>
      <c r="U187" s="4">
        <v>1998</v>
      </c>
      <c r="V187" s="4">
        <v>3</v>
      </c>
      <c r="W187" s="153">
        <f t="shared" si="95"/>
        <v>11042.208381205781</v>
      </c>
      <c r="X187" s="153">
        <f t="shared" si="105"/>
        <v>785.26479399432537</v>
      </c>
      <c r="Y187" s="80"/>
      <c r="Z187" s="98">
        <f t="shared" si="96"/>
        <v>182605</v>
      </c>
      <c r="AA187" s="119">
        <f t="shared" si="90"/>
        <v>3051</v>
      </c>
      <c r="AB187" s="98">
        <f t="shared" si="97"/>
        <v>182605</v>
      </c>
      <c r="AC187" s="4">
        <v>1998</v>
      </c>
      <c r="AD187" s="4">
        <v>3</v>
      </c>
      <c r="AE187" s="107">
        <f>RESID!AC187</f>
        <v>29.35</v>
      </c>
      <c r="AF187" s="40">
        <f t="shared" si="98"/>
        <v>11444.760234625386</v>
      </c>
      <c r="AG187" s="4">
        <f t="shared" si="99"/>
        <v>189262</v>
      </c>
      <c r="AH187" s="4">
        <f t="shared" si="116"/>
        <v>16422</v>
      </c>
      <c r="AY187" s="4">
        <v>1998</v>
      </c>
      <c r="AZ187" s="4">
        <v>3</v>
      </c>
      <c r="BA187" s="4">
        <f>'[8]Gov 65 &amp; 70'!$S272</f>
        <v>47.6</v>
      </c>
      <c r="BB187" s="4">
        <f t="shared" si="108"/>
        <v>64.099999999999994</v>
      </c>
      <c r="BC187" s="82">
        <f t="shared" si="100"/>
        <v>16.499999999999993</v>
      </c>
      <c r="BD187" s="36" t="s">
        <v>18</v>
      </c>
      <c r="BE187" s="4">
        <f>'[8]Gov 65 &amp; 70'!$J272</f>
        <v>152.9</v>
      </c>
      <c r="BF187" s="4">
        <f t="shared" si="109"/>
        <v>85.4</v>
      </c>
      <c r="BG187" s="83">
        <f t="shared" si="101"/>
        <v>-67.5</v>
      </c>
      <c r="BH187" s="36" t="s">
        <v>18</v>
      </c>
      <c r="BI187" s="273">
        <f t="shared" si="102"/>
        <v>3781.4699999999984</v>
      </c>
      <c r="BJ187" s="270">
        <f t="shared" si="103"/>
        <v>-2739.15</v>
      </c>
      <c r="BK187" s="482">
        <f t="shared" si="104"/>
        <v>1042</v>
      </c>
      <c r="BL187" s="276"/>
      <c r="BM187" s="36" t="s">
        <v>18</v>
      </c>
      <c r="BN187" s="4">
        <v>1998</v>
      </c>
      <c r="BO187" s="4">
        <v>3</v>
      </c>
      <c r="BP187" s="108">
        <f>(C187+[4]MWh!$AN21)</f>
        <v>198995.37960006314</v>
      </c>
      <c r="BQ187" s="108">
        <f t="shared" si="111"/>
        <v>12033.342178149795</v>
      </c>
      <c r="BR187" s="108">
        <f t="shared" si="112"/>
        <v>12096.352397657565</v>
      </c>
      <c r="BS187" s="108">
        <f t="shared" si="118"/>
        <v>757.35279126957721</v>
      </c>
      <c r="BT187" s="175">
        <f t="shared" si="113"/>
        <v>200037.37960006314</v>
      </c>
      <c r="BU187" s="108">
        <f t="shared" si="117"/>
        <v>16322.907977364957</v>
      </c>
      <c r="BV187" s="137">
        <f t="shared" si="110"/>
        <v>1042</v>
      </c>
    </row>
    <row r="188" spans="1:99">
      <c r="A188" s="4">
        <v>1998</v>
      </c>
      <c r="B188" s="4">
        <v>4</v>
      </c>
      <c r="C188" s="5">
        <v>186495</v>
      </c>
      <c r="D188" s="5">
        <v>16979</v>
      </c>
      <c r="E188" s="73">
        <f t="shared" si="87"/>
        <v>10984</v>
      </c>
      <c r="F188" s="540">
        <f t="shared" si="91"/>
        <v>16979</v>
      </c>
      <c r="H188" s="13" t="s">
        <v>18</v>
      </c>
      <c r="I188" s="76">
        <f>'[7]Gov 65 &amp; 70'!$S273</f>
        <v>83.1</v>
      </c>
      <c r="J188" s="76">
        <f t="shared" si="106"/>
        <v>87.7</v>
      </c>
      <c r="K188" s="362">
        <f t="shared" si="114"/>
        <v>4.6000000000000085</v>
      </c>
      <c r="L188" s="200" t="s">
        <v>18</v>
      </c>
      <c r="M188" s="76">
        <f>'[7]Gov 65 &amp; 70'!$J273</f>
        <v>85.2</v>
      </c>
      <c r="N188" s="76">
        <f t="shared" si="107"/>
        <v>60.3</v>
      </c>
      <c r="O188" s="363">
        <f t="shared" si="115"/>
        <v>-24.900000000000006</v>
      </c>
      <c r="P188" s="13" t="s">
        <v>18</v>
      </c>
      <c r="Q188" s="77">
        <f t="shared" si="92"/>
        <v>1054.2280000000019</v>
      </c>
      <c r="R188" s="78">
        <f t="shared" si="93"/>
        <v>-1010.4420000000002</v>
      </c>
      <c r="S188" s="479">
        <f t="shared" si="94"/>
        <v>44</v>
      </c>
      <c r="T188" s="13" t="s">
        <v>18</v>
      </c>
      <c r="U188" s="4">
        <v>1998</v>
      </c>
      <c r="V188" s="4">
        <v>4</v>
      </c>
      <c r="W188" s="153">
        <f t="shared" si="95"/>
        <v>10986.453854761765</v>
      </c>
      <c r="X188" s="153">
        <f t="shared" si="105"/>
        <v>-186.22272516388512</v>
      </c>
      <c r="Y188" s="80"/>
      <c r="Z188" s="98">
        <f t="shared" si="96"/>
        <v>186539</v>
      </c>
      <c r="AA188" s="119">
        <f t="shared" si="90"/>
        <v>44</v>
      </c>
      <c r="AB188" s="98">
        <f t="shared" si="97"/>
        <v>186539</v>
      </c>
      <c r="AC188" s="4">
        <v>1998</v>
      </c>
      <c r="AD188" s="4">
        <v>4</v>
      </c>
      <c r="AE188" s="107">
        <f>RESID!AC188</f>
        <v>30.3</v>
      </c>
      <c r="AF188" s="40">
        <f t="shared" si="98"/>
        <v>11029.978208375052</v>
      </c>
      <c r="AG188" s="4">
        <f t="shared" si="99"/>
        <v>187278</v>
      </c>
      <c r="AH188" s="4">
        <f t="shared" si="116"/>
        <v>6212</v>
      </c>
      <c r="AY188" s="4">
        <v>1998</v>
      </c>
      <c r="AZ188" s="4">
        <v>4</v>
      </c>
      <c r="BA188" s="4">
        <f>'[8]Gov 65 &amp; 70'!$S273</f>
        <v>113.2</v>
      </c>
      <c r="BB188" s="4">
        <f t="shared" si="108"/>
        <v>122</v>
      </c>
      <c r="BC188" s="82">
        <f t="shared" si="100"/>
        <v>8.7999999999999972</v>
      </c>
      <c r="BD188" s="36" t="s">
        <v>18</v>
      </c>
      <c r="BE188" s="4">
        <f>'[8]Gov 65 &amp; 70'!$J273</f>
        <v>32.299999999999997</v>
      </c>
      <c r="BF188" s="4">
        <f t="shared" si="109"/>
        <v>34.700000000000003</v>
      </c>
      <c r="BG188" s="83">
        <f t="shared" si="101"/>
        <v>2.4000000000000057</v>
      </c>
      <c r="BH188" s="36" t="s">
        <v>18</v>
      </c>
      <c r="BI188" s="273">
        <f t="shared" si="102"/>
        <v>2016.7839999999994</v>
      </c>
      <c r="BJ188" s="270">
        <f t="shared" si="103"/>
        <v>97.392000000000223</v>
      </c>
      <c r="BK188" s="482">
        <f t="shared" si="104"/>
        <v>2114</v>
      </c>
      <c r="BL188" s="276"/>
      <c r="BM188" s="36" t="s">
        <v>18</v>
      </c>
      <c r="BN188" s="4">
        <v>1998</v>
      </c>
      <c r="BO188" s="4">
        <v>4</v>
      </c>
      <c r="BP188" s="108">
        <f>(C188+[4]MWh!$AN22)</f>
        <v>179483.19321568584</v>
      </c>
      <c r="BQ188" s="108">
        <f t="shared" si="111"/>
        <v>10570.893057051997</v>
      </c>
      <c r="BR188" s="108">
        <f t="shared" si="112"/>
        <v>10695.399800676472</v>
      </c>
      <c r="BS188" s="108">
        <f t="shared" si="118"/>
        <v>-652.48557053558579</v>
      </c>
      <c r="BT188" s="175">
        <f t="shared" si="113"/>
        <v>181597.19321568584</v>
      </c>
      <c r="BU188" s="108">
        <f t="shared" si="117"/>
        <v>-1557.6766756767756</v>
      </c>
      <c r="BV188" s="137">
        <f t="shared" si="110"/>
        <v>2114</v>
      </c>
    </row>
    <row r="189" spans="1:99">
      <c r="A189" s="4">
        <v>1998</v>
      </c>
      <c r="B189" s="4">
        <v>5</v>
      </c>
      <c r="C189" s="5">
        <v>192902</v>
      </c>
      <c r="D189" s="5">
        <v>16651</v>
      </c>
      <c r="E189" s="73">
        <f t="shared" si="87"/>
        <v>11585</v>
      </c>
      <c r="F189" s="540">
        <f t="shared" si="91"/>
        <v>16651</v>
      </c>
      <c r="H189" s="13" t="s">
        <v>18</v>
      </c>
      <c r="I189" s="76">
        <f>'[7]Gov 65 &amp; 70'!$S274</f>
        <v>158.69999999999999</v>
      </c>
      <c r="J189" s="76">
        <f t="shared" si="106"/>
        <v>157.69999999999999</v>
      </c>
      <c r="K189" s="362">
        <f t="shared" si="114"/>
        <v>-1</v>
      </c>
      <c r="L189" s="200" t="s">
        <v>18</v>
      </c>
      <c r="M189" s="76">
        <f>'[7]Gov 65 &amp; 70'!$J274</f>
        <v>21.4</v>
      </c>
      <c r="N189" s="76">
        <f t="shared" si="107"/>
        <v>18.600000000000001</v>
      </c>
      <c r="O189" s="363">
        <f t="shared" si="115"/>
        <v>-2.7999999999999972</v>
      </c>
      <c r="P189" s="13" t="s">
        <v>18</v>
      </c>
      <c r="Q189" s="77">
        <f t="shared" si="92"/>
        <v>-229.18</v>
      </c>
      <c r="R189" s="78">
        <f t="shared" si="93"/>
        <v>-113.62399999999988</v>
      </c>
      <c r="S189" s="479">
        <f t="shared" si="94"/>
        <v>-343</v>
      </c>
      <c r="T189" s="13" t="s">
        <v>18</v>
      </c>
      <c r="U189" s="4">
        <v>1998</v>
      </c>
      <c r="V189" s="4">
        <v>5</v>
      </c>
      <c r="W189" s="153">
        <f t="shared" si="95"/>
        <v>11564.410545913159</v>
      </c>
      <c r="X189" s="153">
        <f t="shared" si="105"/>
        <v>45.202022321072945</v>
      </c>
      <c r="Y189" s="80"/>
      <c r="Z189" s="98">
        <f t="shared" si="96"/>
        <v>192559</v>
      </c>
      <c r="AA189" s="119">
        <f t="shared" si="90"/>
        <v>-343</v>
      </c>
      <c r="AB189" s="98">
        <f t="shared" si="97"/>
        <v>192559</v>
      </c>
      <c r="AC189" s="4">
        <v>1998</v>
      </c>
      <c r="AD189" s="4">
        <v>5</v>
      </c>
      <c r="AE189" s="107">
        <f>RESID!AC189</f>
        <v>30.05</v>
      </c>
      <c r="AF189" s="40">
        <f t="shared" si="98"/>
        <v>11706.804396132364</v>
      </c>
      <c r="AG189" s="4">
        <f t="shared" si="99"/>
        <v>194930</v>
      </c>
      <c r="AH189" s="4">
        <f t="shared" si="116"/>
        <v>3356</v>
      </c>
      <c r="AY189" s="4">
        <v>1998</v>
      </c>
      <c r="AZ189" s="4">
        <v>5</v>
      </c>
      <c r="BA189" s="4">
        <f>'[8]Gov 65 &amp; 70'!$S274</f>
        <v>272.3</v>
      </c>
      <c r="BB189" s="4">
        <f t="shared" si="108"/>
        <v>253</v>
      </c>
      <c r="BC189" s="82">
        <f t="shared" si="100"/>
        <v>-19.300000000000011</v>
      </c>
      <c r="BD189" s="36" t="s">
        <v>18</v>
      </c>
      <c r="BE189" s="4">
        <f>'[8]Gov 65 &amp; 70'!$J274</f>
        <v>3.7</v>
      </c>
      <c r="BF189" s="4">
        <f t="shared" si="109"/>
        <v>4.3</v>
      </c>
      <c r="BG189" s="83">
        <f t="shared" si="101"/>
        <v>0.59999999999999964</v>
      </c>
      <c r="BH189" s="36" t="s">
        <v>18</v>
      </c>
      <c r="BI189" s="273">
        <f t="shared" si="102"/>
        <v>-4423.1740000000027</v>
      </c>
      <c r="BJ189" s="270">
        <f t="shared" si="103"/>
        <v>24.347999999999985</v>
      </c>
      <c r="BK189" s="482">
        <f t="shared" si="104"/>
        <v>-4399</v>
      </c>
      <c r="BL189" s="276"/>
      <c r="BM189" s="36" t="s">
        <v>18</v>
      </c>
      <c r="BN189" s="4">
        <v>1998</v>
      </c>
      <c r="BO189" s="4">
        <v>5</v>
      </c>
      <c r="BP189" s="108">
        <f>(C189+[4]MWh!$AN23)</f>
        <v>226496.62003139214</v>
      </c>
      <c r="BQ189" s="108">
        <f t="shared" si="111"/>
        <v>13602.583630496194</v>
      </c>
      <c r="BR189" s="108">
        <f t="shared" si="112"/>
        <v>13338.39529345938</v>
      </c>
      <c r="BS189" s="108">
        <f t="shared" si="118"/>
        <v>-130.06818369179746</v>
      </c>
      <c r="BT189" s="175">
        <f t="shared" si="113"/>
        <v>222097.62003139214</v>
      </c>
      <c r="BU189" s="108">
        <f t="shared" si="117"/>
        <v>878.10741918405984</v>
      </c>
      <c r="BV189" s="137">
        <f t="shared" si="110"/>
        <v>-4399</v>
      </c>
    </row>
    <row r="190" spans="1:99">
      <c r="A190" s="4">
        <v>1998</v>
      </c>
      <c r="B190" s="4">
        <v>6</v>
      </c>
      <c r="C190" s="5">
        <v>221670</v>
      </c>
      <c r="D190" s="5">
        <v>16690</v>
      </c>
      <c r="E190" s="73">
        <f t="shared" si="87"/>
        <v>13282</v>
      </c>
      <c r="F190" s="540">
        <f t="shared" si="91"/>
        <v>16690</v>
      </c>
      <c r="H190" s="13" t="s">
        <v>18</v>
      </c>
      <c r="I190" s="76">
        <f>'[7]Gov 65 &amp; 70'!$S275</f>
        <v>358.6</v>
      </c>
      <c r="J190" s="76">
        <f t="shared" si="106"/>
        <v>295.39999999999998</v>
      </c>
      <c r="K190" s="362">
        <f t="shared" si="114"/>
        <v>-63.200000000000045</v>
      </c>
      <c r="L190" s="200" t="s">
        <v>18</v>
      </c>
      <c r="M190" s="76">
        <f>'[7]Gov 65 &amp; 70'!$J275</f>
        <v>1.2</v>
      </c>
      <c r="N190" s="76">
        <f t="shared" si="107"/>
        <v>2.2000000000000002</v>
      </c>
      <c r="O190" s="363">
        <f t="shared" si="115"/>
        <v>1.0000000000000002</v>
      </c>
      <c r="P190" s="13" t="s">
        <v>18</v>
      </c>
      <c r="Q190" s="77">
        <f t="shared" si="92"/>
        <v>-14484.17600000001</v>
      </c>
      <c r="R190" s="78">
        <f t="shared" si="93"/>
        <v>40.580000000000005</v>
      </c>
      <c r="S190" s="479">
        <f t="shared" si="94"/>
        <v>-14444</v>
      </c>
      <c r="T190" s="13" t="s">
        <v>18</v>
      </c>
      <c r="U190" s="4">
        <v>1998</v>
      </c>
      <c r="V190" s="4">
        <v>6</v>
      </c>
      <c r="W190" s="153">
        <f t="shared" si="95"/>
        <v>12416.177351707611</v>
      </c>
      <c r="X190" s="153">
        <f t="shared" si="105"/>
        <v>-428.40605826112187</v>
      </c>
      <c r="Y190" s="80"/>
      <c r="Z190" s="98">
        <f t="shared" si="96"/>
        <v>207226</v>
      </c>
      <c r="AA190" s="119">
        <f t="shared" si="90"/>
        <v>-14444</v>
      </c>
      <c r="AB190" s="98">
        <f t="shared" si="97"/>
        <v>207226</v>
      </c>
      <c r="AC190" s="4">
        <v>1998</v>
      </c>
      <c r="AD190" s="4">
        <v>6</v>
      </c>
      <c r="AE190" s="107">
        <f>RESID!AC190</f>
        <v>30.7</v>
      </c>
      <c r="AF190" s="40">
        <f t="shared" si="98"/>
        <v>12302.935889754344</v>
      </c>
      <c r="AG190" s="4">
        <f t="shared" si="99"/>
        <v>205336</v>
      </c>
      <c r="AH190" s="4">
        <f t="shared" si="116"/>
        <v>-2282</v>
      </c>
      <c r="AY190" s="4">
        <v>1998</v>
      </c>
      <c r="AZ190" s="4">
        <v>6</v>
      </c>
      <c r="BA190" s="4">
        <f>'[8]Gov 65 &amp; 70'!$S275</f>
        <v>449.1</v>
      </c>
      <c r="BB190" s="4">
        <f t="shared" si="108"/>
        <v>336.1</v>
      </c>
      <c r="BC190" s="82">
        <f t="shared" si="100"/>
        <v>-113</v>
      </c>
      <c r="BD190" s="36" t="s">
        <v>18</v>
      </c>
      <c r="BE190" s="4">
        <f>'[8]Gov 65 &amp; 70'!$J275</f>
        <v>0</v>
      </c>
      <c r="BF190" s="4">
        <f t="shared" si="109"/>
        <v>0</v>
      </c>
      <c r="BG190" s="83">
        <f t="shared" si="101"/>
        <v>0</v>
      </c>
      <c r="BH190" s="36" t="s">
        <v>18</v>
      </c>
      <c r="BI190" s="273">
        <f t="shared" si="102"/>
        <v>-25897.34</v>
      </c>
      <c r="BJ190" s="270">
        <f t="shared" si="103"/>
        <v>0</v>
      </c>
      <c r="BK190" s="482">
        <f t="shared" si="104"/>
        <v>-25897</v>
      </c>
      <c r="BL190" s="276"/>
      <c r="BM190" s="36" t="s">
        <v>18</v>
      </c>
      <c r="BN190" s="4">
        <v>1998</v>
      </c>
      <c r="BO190" s="4">
        <v>6</v>
      </c>
      <c r="BP190" s="108">
        <f>(C190+[4]MWh!$AN24)</f>
        <v>230289.70671254481</v>
      </c>
      <c r="BQ190" s="108">
        <f t="shared" si="111"/>
        <v>13798.065111596454</v>
      </c>
      <c r="BR190" s="108">
        <f t="shared" si="112"/>
        <v>12246.417418366975</v>
      </c>
      <c r="BS190" s="108">
        <f t="shared" si="118"/>
        <v>-281.66705330774857</v>
      </c>
      <c r="BT190" s="175">
        <f t="shared" si="113"/>
        <v>204392.70671254481</v>
      </c>
      <c r="BU190" s="108">
        <f t="shared" si="117"/>
        <v>47.120895058382303</v>
      </c>
      <c r="BV190" s="137">
        <f t="shared" si="110"/>
        <v>-25897</v>
      </c>
    </row>
    <row r="191" spans="1:99">
      <c r="A191" s="4">
        <v>1998</v>
      </c>
      <c r="B191" s="4">
        <v>7</v>
      </c>
      <c r="C191" s="5">
        <v>216112</v>
      </c>
      <c r="D191" s="5">
        <v>16741</v>
      </c>
      <c r="E191" s="73">
        <f t="shared" si="87"/>
        <v>12909</v>
      </c>
      <c r="F191" s="540">
        <f t="shared" si="91"/>
        <v>16741</v>
      </c>
      <c r="H191" s="13" t="s">
        <v>18</v>
      </c>
      <c r="I191" s="76">
        <f>'[7]Gov 65 &amp; 70'!$S276</f>
        <v>433.2</v>
      </c>
      <c r="J191" s="76">
        <f t="shared" si="106"/>
        <v>363.4</v>
      </c>
      <c r="K191" s="362">
        <f t="shared" ref="K191:K196" si="119">(J191-I191)</f>
        <v>-69.800000000000011</v>
      </c>
      <c r="L191" s="200" t="s">
        <v>18</v>
      </c>
      <c r="M191" s="76">
        <f>'[7]Gov 65 &amp; 70'!$J276</f>
        <v>0</v>
      </c>
      <c r="N191" s="76">
        <f t="shared" si="107"/>
        <v>0</v>
      </c>
      <c r="O191" s="363">
        <f t="shared" ref="O191:O196" si="120">(N191-M191)</f>
        <v>0</v>
      </c>
      <c r="P191" s="13" t="s">
        <v>18</v>
      </c>
      <c r="Q191" s="77">
        <f t="shared" si="92"/>
        <v>-15996.764000000003</v>
      </c>
      <c r="R191" s="78">
        <f t="shared" si="93"/>
        <v>0</v>
      </c>
      <c r="S191" s="479">
        <f t="shared" si="94"/>
        <v>-15997</v>
      </c>
      <c r="T191" s="13" t="s">
        <v>18</v>
      </c>
      <c r="U191" s="4">
        <v>1998</v>
      </c>
      <c r="V191" s="4">
        <v>7</v>
      </c>
      <c r="W191" s="153">
        <f t="shared" si="95"/>
        <v>11953.587001971207</v>
      </c>
      <c r="X191" s="153">
        <f t="shared" si="105"/>
        <v>-328.06482790020709</v>
      </c>
      <c r="Y191" s="80"/>
      <c r="Z191" s="98">
        <f t="shared" si="96"/>
        <v>200115</v>
      </c>
      <c r="AA191" s="119">
        <f t="shared" si="90"/>
        <v>-15997</v>
      </c>
      <c r="AB191" s="98">
        <f t="shared" si="97"/>
        <v>200115</v>
      </c>
      <c r="AC191" s="4">
        <v>1998</v>
      </c>
      <c r="AD191" s="4">
        <v>7</v>
      </c>
      <c r="AE191" s="107">
        <f>RESID!AC191</f>
        <v>29.4</v>
      </c>
      <c r="AF191" s="40">
        <f t="shared" si="98"/>
        <v>12368.317304820501</v>
      </c>
      <c r="AG191" s="4">
        <f t="shared" si="99"/>
        <v>207058</v>
      </c>
      <c r="AH191" s="4">
        <f t="shared" si="116"/>
        <v>1447</v>
      </c>
      <c r="AY191" s="4">
        <v>1998</v>
      </c>
      <c r="AZ191" s="4">
        <v>7</v>
      </c>
      <c r="BA191" s="4">
        <f>'[8]Gov 65 &amp; 70'!$S276</f>
        <v>433.4</v>
      </c>
      <c r="BB191" s="4">
        <f t="shared" si="108"/>
        <v>391.2</v>
      </c>
      <c r="BC191" s="82">
        <f t="shared" si="100"/>
        <v>-42.199999999999989</v>
      </c>
      <c r="BD191" s="36" t="s">
        <v>18</v>
      </c>
      <c r="BE191" s="4">
        <f>'[8]Gov 65 &amp; 70'!$J276</f>
        <v>0</v>
      </c>
      <c r="BF191" s="4">
        <f t="shared" si="109"/>
        <v>0</v>
      </c>
      <c r="BG191" s="83">
        <f t="shared" si="101"/>
        <v>0</v>
      </c>
      <c r="BH191" s="36" t="s">
        <v>18</v>
      </c>
      <c r="BI191" s="273">
        <f t="shared" si="102"/>
        <v>-9671.395999999997</v>
      </c>
      <c r="BJ191" s="270">
        <f t="shared" si="103"/>
        <v>0</v>
      </c>
      <c r="BK191" s="482">
        <f t="shared" si="104"/>
        <v>-9671</v>
      </c>
      <c r="BL191" s="276"/>
      <c r="BM191" s="36" t="s">
        <v>18</v>
      </c>
      <c r="BN191" s="4">
        <v>1998</v>
      </c>
      <c r="BO191" s="4">
        <v>7</v>
      </c>
      <c r="BP191" s="108">
        <f>(C191+[4]MWh!$AN25)</f>
        <v>198612.81424680952</v>
      </c>
      <c r="BQ191" s="108">
        <f t="shared" si="111"/>
        <v>11863.856056795265</v>
      </c>
      <c r="BR191" s="108">
        <f t="shared" si="112"/>
        <v>11286.17252534553</v>
      </c>
      <c r="BS191" s="108">
        <f t="shared" si="118"/>
        <v>-335.64089901138505</v>
      </c>
      <c r="BT191" s="175">
        <f t="shared" si="113"/>
        <v>188941.81424680952</v>
      </c>
      <c r="BU191" s="108">
        <f t="shared" si="117"/>
        <v>947.36029441206483</v>
      </c>
      <c r="BV191" s="137">
        <f t="shared" si="110"/>
        <v>-9671</v>
      </c>
    </row>
    <row r="192" spans="1:99">
      <c r="A192" s="4">
        <v>1998</v>
      </c>
      <c r="B192" s="4">
        <v>8</v>
      </c>
      <c r="C192" s="5">
        <v>229199</v>
      </c>
      <c r="D192" s="5">
        <v>17367</v>
      </c>
      <c r="E192" s="73">
        <f t="shared" si="87"/>
        <v>13197</v>
      </c>
      <c r="F192" s="540">
        <f t="shared" si="91"/>
        <v>17367</v>
      </c>
      <c r="H192" s="13" t="s">
        <v>18</v>
      </c>
      <c r="I192" s="76">
        <f>'[7]Gov 65 &amp; 70'!$S277</f>
        <v>418.4</v>
      </c>
      <c r="J192" s="76">
        <f t="shared" si="106"/>
        <v>390.1</v>
      </c>
      <c r="K192" s="362">
        <f t="shared" si="119"/>
        <v>-28.299999999999955</v>
      </c>
      <c r="L192" s="200" t="s">
        <v>18</v>
      </c>
      <c r="M192" s="76">
        <f>'[7]Gov 65 &amp; 70'!$J277</f>
        <v>0</v>
      </c>
      <c r="N192" s="76">
        <f t="shared" si="107"/>
        <v>0</v>
      </c>
      <c r="O192" s="363">
        <f t="shared" si="120"/>
        <v>0</v>
      </c>
      <c r="P192" s="13" t="s">
        <v>18</v>
      </c>
      <c r="Q192" s="77">
        <f t="shared" si="92"/>
        <v>-6485.7939999999899</v>
      </c>
      <c r="R192" s="78">
        <f t="shared" si="93"/>
        <v>0</v>
      </c>
      <c r="S192" s="479">
        <f t="shared" si="94"/>
        <v>-6486</v>
      </c>
      <c r="T192" s="13" t="s">
        <v>18</v>
      </c>
      <c r="U192" s="4">
        <v>1998</v>
      </c>
      <c r="V192" s="4">
        <v>8</v>
      </c>
      <c r="W192" s="153">
        <f t="shared" si="95"/>
        <v>12823.918926700064</v>
      </c>
      <c r="X192" s="153">
        <f t="shared" si="105"/>
        <v>276.88249385612653</v>
      </c>
      <c r="Y192" s="80"/>
      <c r="Z192" s="98">
        <f t="shared" si="96"/>
        <v>222713</v>
      </c>
      <c r="AA192" s="119">
        <f t="shared" si="90"/>
        <v>-6486</v>
      </c>
      <c r="AB192" s="98">
        <f t="shared" si="97"/>
        <v>222713</v>
      </c>
      <c r="AC192" s="4">
        <v>1998</v>
      </c>
      <c r="AD192" s="4">
        <v>8</v>
      </c>
      <c r="AE192" s="107">
        <f>RESID!AC192</f>
        <v>30.8</v>
      </c>
      <c r="AF192" s="40">
        <f t="shared" si="98"/>
        <v>12665.68779869868</v>
      </c>
      <c r="AG192" s="4">
        <f t="shared" si="99"/>
        <v>219965</v>
      </c>
      <c r="AH192" s="4">
        <f t="shared" si="116"/>
        <v>15047</v>
      </c>
      <c r="AY192" s="4">
        <v>1998</v>
      </c>
      <c r="AZ192" s="4">
        <v>8</v>
      </c>
      <c r="BA192" s="4">
        <f>'[8]Gov 65 &amp; 70'!$S277</f>
        <v>424.9</v>
      </c>
      <c r="BB192" s="4">
        <f t="shared" si="108"/>
        <v>394.4</v>
      </c>
      <c r="BC192" s="82">
        <f t="shared" si="100"/>
        <v>-30.5</v>
      </c>
      <c r="BD192" s="36" t="s">
        <v>18</v>
      </c>
      <c r="BE192" s="4">
        <f>'[8]Gov 65 &amp; 70'!$J277</f>
        <v>0</v>
      </c>
      <c r="BF192" s="4">
        <f t="shared" si="109"/>
        <v>0</v>
      </c>
      <c r="BG192" s="83">
        <f t="shared" si="101"/>
        <v>0</v>
      </c>
      <c r="BH192" s="36" t="s">
        <v>18</v>
      </c>
      <c r="BI192" s="273">
        <f t="shared" si="102"/>
        <v>-6989.99</v>
      </c>
      <c r="BJ192" s="270">
        <f t="shared" si="103"/>
        <v>0</v>
      </c>
      <c r="BK192" s="482">
        <f t="shared" si="104"/>
        <v>-6990</v>
      </c>
      <c r="BL192" s="276"/>
      <c r="BM192" s="36" t="s">
        <v>18</v>
      </c>
      <c r="BN192" s="4">
        <v>1998</v>
      </c>
      <c r="BO192" s="4">
        <v>8</v>
      </c>
      <c r="BP192" s="108">
        <f>(C192+[4]MWh!$AN26)</f>
        <v>244069.00309917767</v>
      </c>
      <c r="BQ192" s="108">
        <f t="shared" si="111"/>
        <v>14053.607594816473</v>
      </c>
      <c r="BR192" s="108">
        <f t="shared" si="112"/>
        <v>13651.120118568417</v>
      </c>
      <c r="BS192" s="108">
        <f t="shared" si="118"/>
        <v>429.92738697883397</v>
      </c>
      <c r="BT192" s="175">
        <f t="shared" si="113"/>
        <v>237079.00309917767</v>
      </c>
      <c r="BU192" s="108">
        <f t="shared" si="117"/>
        <v>18255.04219863849</v>
      </c>
      <c r="BV192" s="137">
        <f t="shared" si="110"/>
        <v>-6990</v>
      </c>
    </row>
    <row r="193" spans="1:99">
      <c r="A193" s="4">
        <v>1998</v>
      </c>
      <c r="B193" s="4">
        <v>9</v>
      </c>
      <c r="C193" s="5">
        <v>230649</v>
      </c>
      <c r="D193" s="5">
        <v>16515</v>
      </c>
      <c r="E193" s="73">
        <f t="shared" si="87"/>
        <v>13966</v>
      </c>
      <c r="F193" s="540">
        <f t="shared" si="91"/>
        <v>16515</v>
      </c>
      <c r="H193" s="13" t="s">
        <v>18</v>
      </c>
      <c r="I193" s="76">
        <f>'[7]Gov 65 &amp; 70'!$S278</f>
        <v>393.2</v>
      </c>
      <c r="J193" s="76">
        <f t="shared" si="106"/>
        <v>381.2</v>
      </c>
      <c r="K193" s="362">
        <f t="shared" si="119"/>
        <v>-12</v>
      </c>
      <c r="L193" s="200" t="s">
        <v>18</v>
      </c>
      <c r="M193" s="76">
        <f>'[7]Gov 65 &amp; 70'!$J278</f>
        <v>0</v>
      </c>
      <c r="N193" s="76">
        <f t="shared" si="107"/>
        <v>0</v>
      </c>
      <c r="O193" s="363">
        <f t="shared" si="120"/>
        <v>0</v>
      </c>
      <c r="P193" s="13" t="s">
        <v>18</v>
      </c>
      <c r="Q193" s="77">
        <f t="shared" si="92"/>
        <v>-2750.16</v>
      </c>
      <c r="R193" s="78">
        <f t="shared" si="93"/>
        <v>0</v>
      </c>
      <c r="S193" s="479">
        <f t="shared" si="94"/>
        <v>-2750</v>
      </c>
      <c r="T193" s="13" t="s">
        <v>18</v>
      </c>
      <c r="U193" s="4">
        <v>1998</v>
      </c>
      <c r="V193" s="4">
        <v>9</v>
      </c>
      <c r="W193" s="153">
        <f t="shared" si="95"/>
        <v>13799.515591886164</v>
      </c>
      <c r="X193" s="153">
        <f t="shared" si="105"/>
        <v>196.99231898072503</v>
      </c>
      <c r="Y193" s="80"/>
      <c r="Z193" s="98">
        <f t="shared" si="96"/>
        <v>227899</v>
      </c>
      <c r="AA193" s="119">
        <f t="shared" si="90"/>
        <v>-2750</v>
      </c>
      <c r="AB193" s="98">
        <f t="shared" si="97"/>
        <v>227899</v>
      </c>
      <c r="AC193" s="4">
        <v>1998</v>
      </c>
      <c r="AD193" s="4">
        <v>9</v>
      </c>
      <c r="AE193" s="107">
        <f>RESID!AC193</f>
        <v>30.25</v>
      </c>
      <c r="AF193" s="40">
        <f t="shared" si="98"/>
        <v>13877.08144111414</v>
      </c>
      <c r="AG193" s="4">
        <f t="shared" si="99"/>
        <v>229180</v>
      </c>
      <c r="AH193" s="4">
        <f t="shared" si="116"/>
        <v>5797</v>
      </c>
      <c r="AY193" s="4">
        <v>1998</v>
      </c>
      <c r="AZ193" s="4">
        <v>9</v>
      </c>
      <c r="BA193" s="4">
        <f>'[8]Gov 65 &amp; 70'!$S278</f>
        <v>334.1</v>
      </c>
      <c r="BB193" s="4">
        <f t="shared" si="108"/>
        <v>339.3</v>
      </c>
      <c r="BC193" s="82">
        <f t="shared" si="100"/>
        <v>5.1999999999999886</v>
      </c>
      <c r="BD193" s="36" t="s">
        <v>18</v>
      </c>
      <c r="BE193" s="4">
        <f>'[8]Gov 65 &amp; 70'!$J278</f>
        <v>0</v>
      </c>
      <c r="BF193" s="4">
        <f t="shared" si="109"/>
        <v>0</v>
      </c>
      <c r="BG193" s="83">
        <f t="shared" si="101"/>
        <v>0</v>
      </c>
      <c r="BH193" s="36" t="s">
        <v>18</v>
      </c>
      <c r="BI193" s="273">
        <f t="shared" si="102"/>
        <v>1191.7359999999974</v>
      </c>
      <c r="BJ193" s="270">
        <f t="shared" si="103"/>
        <v>0</v>
      </c>
      <c r="BK193" s="482">
        <f t="shared" si="104"/>
        <v>1192</v>
      </c>
      <c r="BL193" s="276"/>
      <c r="BM193" s="36" t="s">
        <v>18</v>
      </c>
      <c r="BN193" s="4">
        <v>1998</v>
      </c>
      <c r="BO193" s="4">
        <v>9</v>
      </c>
      <c r="BP193" s="108">
        <f>(C193+[4]MWh!$AN27)</f>
        <v>232284.72313418923</v>
      </c>
      <c r="BQ193" s="108">
        <f t="shared" si="111"/>
        <v>14065.075575791052</v>
      </c>
      <c r="BR193" s="108">
        <f t="shared" si="112"/>
        <v>14137.252384752603</v>
      </c>
      <c r="BS193" s="108">
        <f t="shared" si="118"/>
        <v>608.48818460997609</v>
      </c>
      <c r="BT193" s="175">
        <f t="shared" si="113"/>
        <v>233476.72313418923</v>
      </c>
      <c r="BU193" s="108">
        <f t="shared" si="117"/>
        <v>12579.061274260428</v>
      </c>
      <c r="BV193" s="137">
        <f t="shared" si="110"/>
        <v>1192</v>
      </c>
    </row>
    <row r="194" spans="1:99">
      <c r="A194" s="4">
        <v>1998</v>
      </c>
      <c r="B194" s="4">
        <v>10</v>
      </c>
      <c r="C194" s="5">
        <v>236973</v>
      </c>
      <c r="D194" s="5">
        <v>17618</v>
      </c>
      <c r="E194" s="73">
        <f t="shared" si="87"/>
        <v>13451</v>
      </c>
      <c r="F194" s="540">
        <f t="shared" si="91"/>
        <v>17618</v>
      </c>
      <c r="H194" s="13" t="s">
        <v>18</v>
      </c>
      <c r="I194" s="76">
        <f>'[7]Gov 65 &amp; 70'!$S279</f>
        <v>326</v>
      </c>
      <c r="J194" s="76">
        <f t="shared" si="106"/>
        <v>287.8</v>
      </c>
      <c r="K194" s="362">
        <f t="shared" si="119"/>
        <v>-38.199999999999989</v>
      </c>
      <c r="L194" s="200" t="s">
        <v>18</v>
      </c>
      <c r="M194" s="76">
        <f>'[7]Gov 65 &amp; 70'!$J279</f>
        <v>0.5</v>
      </c>
      <c r="N194" s="76">
        <f t="shared" si="107"/>
        <v>2.5</v>
      </c>
      <c r="O194" s="363">
        <f t="shared" si="120"/>
        <v>2</v>
      </c>
      <c r="P194" s="13" t="s">
        <v>18</v>
      </c>
      <c r="Q194" s="77">
        <f t="shared" si="92"/>
        <v>-8754.6759999999977</v>
      </c>
      <c r="R194" s="78">
        <f t="shared" si="93"/>
        <v>81.16</v>
      </c>
      <c r="S194" s="479">
        <f t="shared" si="94"/>
        <v>-8674</v>
      </c>
      <c r="T194" s="13" t="s">
        <v>18</v>
      </c>
      <c r="U194" s="4">
        <v>1998</v>
      </c>
      <c r="V194" s="4">
        <v>10</v>
      </c>
      <c r="W194" s="153">
        <f t="shared" si="95"/>
        <v>12958.281303212625</v>
      </c>
      <c r="X194" s="153">
        <f t="shared" si="105"/>
        <v>-327.34598058761912</v>
      </c>
      <c r="Y194" s="80"/>
      <c r="Z194" s="98">
        <f t="shared" si="96"/>
        <v>228299</v>
      </c>
      <c r="AA194" s="119">
        <f t="shared" si="90"/>
        <v>-8674</v>
      </c>
      <c r="AB194" s="98">
        <f t="shared" si="97"/>
        <v>228299</v>
      </c>
      <c r="AC194" s="4">
        <v>1998</v>
      </c>
      <c r="AD194" s="4">
        <v>10</v>
      </c>
      <c r="AE194" s="107">
        <f>RESID!AC194</f>
        <v>29.95</v>
      </c>
      <c r="AF194" s="40">
        <f t="shared" si="98"/>
        <v>13161.652855034625</v>
      </c>
      <c r="AG194" s="4">
        <f t="shared" si="99"/>
        <v>231882</v>
      </c>
      <c r="AH194" s="4">
        <f t="shared" si="116"/>
        <v>10149</v>
      </c>
      <c r="AY194" s="4">
        <v>1998</v>
      </c>
      <c r="AZ194" s="4">
        <v>10</v>
      </c>
      <c r="BA194" s="4">
        <f>'[8]Gov 65 &amp; 70'!$S279</f>
        <v>246.4</v>
      </c>
      <c r="BB194" s="4">
        <f t="shared" si="108"/>
        <v>200.4</v>
      </c>
      <c r="BC194" s="82">
        <f t="shared" ref="BC194:BC199" si="121">BB194-BA194</f>
        <v>-46</v>
      </c>
      <c r="BD194" s="36" t="s">
        <v>18</v>
      </c>
      <c r="BE194" s="4">
        <f>'[8]Gov 65 &amp; 70'!$J279</f>
        <v>7.3</v>
      </c>
      <c r="BF194" s="4">
        <f t="shared" si="109"/>
        <v>15</v>
      </c>
      <c r="BG194" s="83">
        <f t="shared" ref="BG194:BG199" si="122">BF194-BE194</f>
        <v>7.7</v>
      </c>
      <c r="BH194" s="36" t="s">
        <v>18</v>
      </c>
      <c r="BI194" s="273">
        <f t="shared" si="102"/>
        <v>-10542.28</v>
      </c>
      <c r="BJ194" s="270">
        <f t="shared" si="103"/>
        <v>312.46600000000001</v>
      </c>
      <c r="BK194" s="482">
        <f t="shared" si="104"/>
        <v>-10230</v>
      </c>
      <c r="BL194" s="276"/>
      <c r="BM194" s="36" t="s">
        <v>18</v>
      </c>
      <c r="BN194" s="4">
        <v>1998</v>
      </c>
      <c r="BO194" s="4">
        <v>10</v>
      </c>
      <c r="BP194" s="108">
        <f>(C194+[4]MWh!$AN28)</f>
        <v>229836.17285149326</v>
      </c>
      <c r="BQ194" s="108">
        <f t="shared" si="111"/>
        <v>13045.53143668369</v>
      </c>
      <c r="BR194" s="108">
        <f t="shared" si="112"/>
        <v>12464.875289561431</v>
      </c>
      <c r="BS194" s="108">
        <f t="shared" si="118"/>
        <v>-183.50133716275195</v>
      </c>
      <c r="BT194" s="175">
        <f t="shared" si="113"/>
        <v>219606.17285149326</v>
      </c>
      <c r="BU194" s="108">
        <f t="shared" si="117"/>
        <v>11919.828640682186</v>
      </c>
      <c r="BV194" s="137">
        <f t="shared" si="110"/>
        <v>-10230</v>
      </c>
    </row>
    <row r="195" spans="1:99">
      <c r="A195" s="4">
        <v>1998</v>
      </c>
      <c r="B195" s="4">
        <v>11</v>
      </c>
      <c r="C195" s="5">
        <v>212817</v>
      </c>
      <c r="D195" s="5">
        <v>17227</v>
      </c>
      <c r="E195" s="73">
        <f t="shared" si="87"/>
        <v>12354</v>
      </c>
      <c r="F195" s="540">
        <f t="shared" si="91"/>
        <v>17227</v>
      </c>
      <c r="H195" s="13" t="s">
        <v>18</v>
      </c>
      <c r="I195" s="76">
        <f>'[7]Gov 65 &amp; 70'!$S280</f>
        <v>170.5</v>
      </c>
      <c r="J195" s="76">
        <f t="shared" si="106"/>
        <v>140.19999999999999</v>
      </c>
      <c r="K195" s="362">
        <f t="shared" si="119"/>
        <v>-30.300000000000011</v>
      </c>
      <c r="L195" s="200" t="s">
        <v>18</v>
      </c>
      <c r="M195" s="76">
        <f>'[7]Gov 65 &amp; 70'!$J280</f>
        <v>16.3</v>
      </c>
      <c r="N195" s="76">
        <f t="shared" si="107"/>
        <v>38.6</v>
      </c>
      <c r="O195" s="363">
        <f t="shared" si="120"/>
        <v>22.3</v>
      </c>
      <c r="P195" s="13" t="s">
        <v>18</v>
      </c>
      <c r="Q195" s="77">
        <f t="shared" si="92"/>
        <v>-6944.1540000000032</v>
      </c>
      <c r="R195" s="78">
        <f t="shared" si="93"/>
        <v>904.93399999999997</v>
      </c>
      <c r="S195" s="479">
        <f t="shared" si="94"/>
        <v>-6039</v>
      </c>
      <c r="T195" s="13" t="s">
        <v>18</v>
      </c>
      <c r="U195" s="4">
        <v>1998</v>
      </c>
      <c r="V195" s="4">
        <v>11</v>
      </c>
      <c r="W195" s="153">
        <f t="shared" si="95"/>
        <v>12003.1346142683</v>
      </c>
      <c r="X195" s="153">
        <f t="shared" si="105"/>
        <v>-69.617332864105265</v>
      </c>
      <c r="Y195" s="80"/>
      <c r="Z195" s="98">
        <f t="shared" si="96"/>
        <v>206778</v>
      </c>
      <c r="AA195" s="119">
        <f t="shared" si="90"/>
        <v>-6039</v>
      </c>
      <c r="AB195" s="98">
        <f t="shared" si="97"/>
        <v>206778</v>
      </c>
      <c r="AC195" s="4">
        <v>1998</v>
      </c>
      <c r="AD195" s="4">
        <v>11</v>
      </c>
      <c r="AE195" s="107">
        <f>RESID!AC195</f>
        <v>30.05</v>
      </c>
      <c r="AF195" s="40">
        <f t="shared" si="98"/>
        <v>12150.925872177397</v>
      </c>
      <c r="AG195" s="4">
        <f t="shared" si="99"/>
        <v>209324</v>
      </c>
      <c r="AH195" s="4">
        <f t="shared" si="116"/>
        <v>2169</v>
      </c>
      <c r="AY195" s="4">
        <v>1998</v>
      </c>
      <c r="AZ195" s="4">
        <v>11</v>
      </c>
      <c r="BA195" s="4">
        <f>'[8]Gov 65 &amp; 70'!$S280</f>
        <v>114.3</v>
      </c>
      <c r="BB195" s="4">
        <f t="shared" si="108"/>
        <v>66.3</v>
      </c>
      <c r="BC195" s="82">
        <f t="shared" si="121"/>
        <v>-48</v>
      </c>
      <c r="BD195" s="36" t="s">
        <v>18</v>
      </c>
      <c r="BE195" s="4">
        <f>'[8]Gov 65 &amp; 70'!$J280</f>
        <v>26.3</v>
      </c>
      <c r="BF195" s="4">
        <f t="shared" si="109"/>
        <v>69.900000000000006</v>
      </c>
      <c r="BG195" s="83">
        <f t="shared" si="122"/>
        <v>43.600000000000009</v>
      </c>
      <c r="BH195" s="36" t="s">
        <v>18</v>
      </c>
      <c r="BI195" s="273">
        <f t="shared" si="102"/>
        <v>-11000.64</v>
      </c>
      <c r="BJ195" s="270">
        <f t="shared" si="103"/>
        <v>1769.2880000000002</v>
      </c>
      <c r="BK195" s="482">
        <f t="shared" si="104"/>
        <v>-9231</v>
      </c>
      <c r="BL195" s="276"/>
      <c r="BM195" s="36" t="s">
        <v>18</v>
      </c>
      <c r="BN195" s="4">
        <v>1998</v>
      </c>
      <c r="BO195" s="4">
        <v>11</v>
      </c>
      <c r="BP195" s="108">
        <f>(C195+[4]MWh!$AN29)</f>
        <v>205525.90374400062</v>
      </c>
      <c r="BQ195" s="108">
        <f t="shared" si="111"/>
        <v>11930.452414465701</v>
      </c>
      <c r="BR195" s="108">
        <f t="shared" si="112"/>
        <v>11394.60751982357</v>
      </c>
      <c r="BS195" s="108">
        <f t="shared" si="118"/>
        <v>-232.46266978492167</v>
      </c>
      <c r="BT195" s="175">
        <f t="shared" si="113"/>
        <v>196294.90374400062</v>
      </c>
      <c r="BU195" s="108">
        <f t="shared" si="117"/>
        <v>-760.6818294840923</v>
      </c>
      <c r="BV195" s="137">
        <f t="shared" si="110"/>
        <v>-9231</v>
      </c>
    </row>
    <row r="196" spans="1:99">
      <c r="A196" s="89">
        <v>1998</v>
      </c>
      <c r="B196" s="89">
        <v>12</v>
      </c>
      <c r="C196" s="103">
        <v>208719</v>
      </c>
      <c r="D196" s="103">
        <v>16970</v>
      </c>
      <c r="E196" s="104">
        <f t="shared" si="87"/>
        <v>12299</v>
      </c>
      <c r="F196" s="514">
        <f t="shared" si="91"/>
        <v>16970</v>
      </c>
      <c r="G196" s="89"/>
      <c r="H196" s="90" t="s">
        <v>18</v>
      </c>
      <c r="I196" s="92">
        <f>'[7]Gov 65 &amp; 70'!$S281</f>
        <v>115.7</v>
      </c>
      <c r="J196" s="92">
        <f t="shared" si="106"/>
        <v>50.8</v>
      </c>
      <c r="K196" s="364">
        <f t="shared" si="119"/>
        <v>-64.900000000000006</v>
      </c>
      <c r="L196" s="210" t="s">
        <v>18</v>
      </c>
      <c r="M196" s="92">
        <f>'[7]Gov 65 &amp; 70'!$J281</f>
        <v>35.9</v>
      </c>
      <c r="N196" s="92">
        <f t="shared" si="107"/>
        <v>121.8</v>
      </c>
      <c r="O196" s="365">
        <f t="shared" si="120"/>
        <v>85.9</v>
      </c>
      <c r="P196" s="90" t="s">
        <v>18</v>
      </c>
      <c r="Q196" s="114">
        <f t="shared" si="92"/>
        <v>-14873.782000000001</v>
      </c>
      <c r="R196" s="95">
        <f t="shared" si="93"/>
        <v>3485.8220000000001</v>
      </c>
      <c r="S196" s="480">
        <f t="shared" si="94"/>
        <v>-11388</v>
      </c>
      <c r="T196" s="90" t="s">
        <v>18</v>
      </c>
      <c r="U196" s="89">
        <v>1998</v>
      </c>
      <c r="V196" s="89">
        <v>12</v>
      </c>
      <c r="W196" s="154">
        <f t="shared" si="95"/>
        <v>11628.226281673542</v>
      </c>
      <c r="X196" s="154">
        <f t="shared" si="105"/>
        <v>359.17693479400623</v>
      </c>
      <c r="Y196" s="134"/>
      <c r="Z196" s="155">
        <f t="shared" si="96"/>
        <v>197331</v>
      </c>
      <c r="AA196" s="156">
        <f t="shared" si="90"/>
        <v>-11388</v>
      </c>
      <c r="AB196" s="155">
        <f t="shared" si="97"/>
        <v>197331</v>
      </c>
      <c r="AC196" s="89">
        <v>1998</v>
      </c>
      <c r="AD196" s="89">
        <v>12</v>
      </c>
      <c r="AE196" s="110">
        <f>RESID!AC196</f>
        <v>31.65</v>
      </c>
      <c r="AF196" s="116">
        <f t="shared" si="98"/>
        <v>11176.31113730112</v>
      </c>
      <c r="AG196" s="89">
        <f t="shared" si="99"/>
        <v>189662</v>
      </c>
      <c r="AH196" s="89">
        <f t="shared" si="116"/>
        <v>10986</v>
      </c>
      <c r="AI196" s="89"/>
      <c r="AJ196" s="89"/>
      <c r="AK196" s="89"/>
      <c r="AY196" s="89">
        <v>1998</v>
      </c>
      <c r="AZ196" s="89">
        <v>12</v>
      </c>
      <c r="BA196" s="4">
        <f>'[8]Gov 65 &amp; 70'!$S281</f>
        <v>70.099999999999994</v>
      </c>
      <c r="BB196" s="4">
        <f t="shared" si="108"/>
        <v>28.2</v>
      </c>
      <c r="BC196" s="111">
        <f t="shared" si="121"/>
        <v>-41.899999999999991</v>
      </c>
      <c r="BD196" s="113" t="s">
        <v>18</v>
      </c>
      <c r="BE196" s="89">
        <f>'[8]Gov 65 &amp; 70'!$J281</f>
        <v>87.7</v>
      </c>
      <c r="BF196" s="89">
        <f t="shared" si="109"/>
        <v>170</v>
      </c>
      <c r="BG196" s="112">
        <f t="shared" si="122"/>
        <v>82.3</v>
      </c>
      <c r="BH196" s="113" t="s">
        <v>18</v>
      </c>
      <c r="BI196" s="274">
        <f t="shared" si="102"/>
        <v>-9602.641999999998</v>
      </c>
      <c r="BJ196" s="275">
        <f t="shared" si="103"/>
        <v>3339.7339999999999</v>
      </c>
      <c r="BK196" s="483">
        <f t="shared" si="104"/>
        <v>-6263</v>
      </c>
      <c r="BL196" s="277"/>
      <c r="BM196" s="113" t="s">
        <v>18</v>
      </c>
      <c r="BN196" s="89">
        <v>1998</v>
      </c>
      <c r="BO196" s="89">
        <v>12</v>
      </c>
      <c r="BP196" s="117">
        <f>(C196+[4]MWh!$AN30)</f>
        <v>198705.65185212329</v>
      </c>
      <c r="BQ196" s="117">
        <f t="shared" si="111"/>
        <v>11709.231105016104</v>
      </c>
      <c r="BR196" s="117">
        <f t="shared" si="112"/>
        <v>11340.168052570612</v>
      </c>
      <c r="BS196" s="117">
        <f t="shared" si="118"/>
        <v>-1.172222067396433</v>
      </c>
      <c r="BT196" s="176">
        <f t="shared" si="113"/>
        <v>192442.65185212329</v>
      </c>
      <c r="BU196" s="117">
        <f>BT196-BT184</f>
        <v>4902.2490707091638</v>
      </c>
      <c r="BV196" s="139">
        <f t="shared" si="110"/>
        <v>-6263</v>
      </c>
      <c r="BW196" s="89"/>
      <c r="BX196" s="89"/>
      <c r="BY196" s="89"/>
      <c r="BZ196" s="89"/>
      <c r="CA196" s="89"/>
      <c r="CB196" s="89"/>
      <c r="CC196" s="89"/>
      <c r="CD196" s="89"/>
      <c r="CE196" s="89"/>
      <c r="CF196" s="89"/>
      <c r="CG196" s="89"/>
      <c r="CH196" s="89"/>
      <c r="CI196" s="89"/>
      <c r="CJ196" s="89"/>
      <c r="CK196" s="89"/>
      <c r="CL196" s="89"/>
      <c r="CM196" s="89"/>
      <c r="CN196" s="89"/>
      <c r="CO196" s="89"/>
      <c r="CP196" s="89"/>
      <c r="CQ196" s="89"/>
      <c r="CR196" s="89"/>
      <c r="CS196" s="89"/>
      <c r="CT196" s="89"/>
      <c r="CU196" s="89"/>
    </row>
    <row r="197" spans="1:99" s="143" customFormat="1">
      <c r="A197" s="4">
        <v>1999</v>
      </c>
      <c r="B197" s="4">
        <v>1</v>
      </c>
      <c r="C197" s="5">
        <v>188039</v>
      </c>
      <c r="D197" s="5">
        <v>17226</v>
      </c>
      <c r="E197" s="73">
        <f t="shared" si="87"/>
        <v>10916</v>
      </c>
      <c r="F197" s="540">
        <f t="shared" si="91"/>
        <v>17226</v>
      </c>
      <c r="G197" s="4"/>
      <c r="H197" s="13" t="s">
        <v>18</v>
      </c>
      <c r="I197" s="76">
        <f>'[7]Gov 65 &amp; 70'!$S282</f>
        <v>45.2</v>
      </c>
      <c r="J197" s="76">
        <f t="shared" si="106"/>
        <v>28.7</v>
      </c>
      <c r="K197" s="362">
        <f t="shared" ref="K197:K202" si="123">(J197-I197)</f>
        <v>-16.500000000000004</v>
      </c>
      <c r="L197" s="200" t="s">
        <v>18</v>
      </c>
      <c r="M197" s="76">
        <f>'[7]Gov 65 &amp; 70'!$J282</f>
        <v>167</v>
      </c>
      <c r="N197" s="76">
        <f t="shared" si="107"/>
        <v>192.9</v>
      </c>
      <c r="O197" s="363">
        <f t="shared" ref="O197:O202" si="124">(N197-M197)</f>
        <v>25.900000000000006</v>
      </c>
      <c r="P197" s="13" t="s">
        <v>18</v>
      </c>
      <c r="Q197" s="77">
        <f t="shared" si="92"/>
        <v>-3781.4700000000007</v>
      </c>
      <c r="R197" s="78">
        <f t="shared" si="93"/>
        <v>1051.0220000000002</v>
      </c>
      <c r="S197" s="479">
        <f t="shared" si="94"/>
        <v>-2730</v>
      </c>
      <c r="T197" s="13" t="s">
        <v>18</v>
      </c>
      <c r="U197" s="4">
        <v>1999</v>
      </c>
      <c r="V197" s="4">
        <v>1</v>
      </c>
      <c r="W197" s="153">
        <f t="shared" si="95"/>
        <v>10757.517705793567</v>
      </c>
      <c r="X197" s="153">
        <f t="shared" si="105"/>
        <v>92.368950480877174</v>
      </c>
      <c r="Y197" s="80"/>
      <c r="Z197" s="98">
        <f t="shared" si="96"/>
        <v>185309</v>
      </c>
      <c r="AA197" s="119">
        <f t="shared" si="90"/>
        <v>-2730</v>
      </c>
      <c r="AB197" s="98">
        <f t="shared" si="97"/>
        <v>185309</v>
      </c>
      <c r="AC197" s="4">
        <v>1999</v>
      </c>
      <c r="AD197" s="4">
        <v>1</v>
      </c>
      <c r="AE197" s="107">
        <f>RESID!AC197</f>
        <v>31.95</v>
      </c>
      <c r="AF197" s="40">
        <f t="shared" si="98"/>
        <v>10242.366190642051</v>
      </c>
      <c r="AG197" s="4">
        <f t="shared" si="99"/>
        <v>176435</v>
      </c>
      <c r="AH197" s="4">
        <f t="shared" si="116"/>
        <v>9654</v>
      </c>
      <c r="AI197" s="4"/>
      <c r="AJ197" s="4"/>
      <c r="AK197" s="4"/>
      <c r="AL197" s="89"/>
      <c r="AM197" s="89"/>
      <c r="AN197" s="89"/>
      <c r="AO197" s="89"/>
      <c r="AP197" s="89"/>
      <c r="AQ197" s="89"/>
      <c r="AR197" s="89"/>
      <c r="AS197" s="89"/>
      <c r="AT197" s="89"/>
      <c r="AU197" s="89"/>
      <c r="AV197" s="89"/>
      <c r="AW197" s="89"/>
      <c r="AX197" s="89"/>
      <c r="AY197" s="4">
        <v>1999</v>
      </c>
      <c r="AZ197" s="4">
        <v>1</v>
      </c>
      <c r="BA197" s="4">
        <f>'[8]Gov 65 &amp; 70'!$S282</f>
        <v>39.6</v>
      </c>
      <c r="BB197" s="4">
        <f t="shared" si="108"/>
        <v>23.9</v>
      </c>
      <c r="BC197" s="82">
        <f t="shared" si="121"/>
        <v>-15.700000000000003</v>
      </c>
      <c r="BD197" s="36" t="s">
        <v>18</v>
      </c>
      <c r="BE197" s="4">
        <f>'[8]Gov 65 &amp; 70'!$J282</f>
        <v>163.1</v>
      </c>
      <c r="BF197" s="4">
        <f t="shared" si="109"/>
        <v>176.9</v>
      </c>
      <c r="BG197" s="83">
        <f t="shared" si="122"/>
        <v>13.800000000000011</v>
      </c>
      <c r="BH197" s="36" t="s">
        <v>18</v>
      </c>
      <c r="BI197" s="273">
        <f t="shared" si="102"/>
        <v>-3598.1260000000007</v>
      </c>
      <c r="BJ197" s="270">
        <f t="shared" si="103"/>
        <v>560.00400000000047</v>
      </c>
      <c r="BK197" s="482">
        <f t="shared" si="104"/>
        <v>-3038</v>
      </c>
      <c r="BL197" s="276"/>
      <c r="BM197" s="36" t="s">
        <v>18</v>
      </c>
      <c r="BN197" s="4">
        <v>1999</v>
      </c>
      <c r="BO197" s="4">
        <v>1</v>
      </c>
      <c r="BP197" s="108">
        <f>(C197+[4]MWh!$AN31)</f>
        <v>177449.95166533242</v>
      </c>
      <c r="BQ197" s="108">
        <f t="shared" si="111"/>
        <v>10301.285943651017</v>
      </c>
      <c r="BR197" s="108">
        <f t="shared" si="112"/>
        <v>10124.924629358668</v>
      </c>
      <c r="BS197" s="108">
        <f t="shared" si="118"/>
        <v>777.37976638941836</v>
      </c>
      <c r="BT197" s="175">
        <f t="shared" si="113"/>
        <v>174411.95166533242</v>
      </c>
      <c r="BU197" s="108">
        <f t="shared" ref="BU197:BU207" si="125">BT197-BT185</f>
        <v>20457.887772228889</v>
      </c>
      <c r="BV197" s="137">
        <f t="shared" si="110"/>
        <v>-3038</v>
      </c>
      <c r="BW197" s="4"/>
      <c r="BX197" s="4"/>
    </row>
    <row r="198" spans="1:99">
      <c r="A198" s="4">
        <v>1999</v>
      </c>
      <c r="B198" s="4">
        <v>2</v>
      </c>
      <c r="C198" s="5">
        <v>179994</v>
      </c>
      <c r="D198" s="5">
        <v>17274</v>
      </c>
      <c r="E198" s="73">
        <f t="shared" si="87"/>
        <v>10420</v>
      </c>
      <c r="F198" s="540">
        <f t="shared" si="91"/>
        <v>17274</v>
      </c>
      <c r="H198" s="13" t="s">
        <v>18</v>
      </c>
      <c r="I198" s="76">
        <f>'[7]Gov 65 &amp; 70'!$S283</f>
        <v>48</v>
      </c>
      <c r="J198" s="76">
        <f t="shared" si="106"/>
        <v>22.6</v>
      </c>
      <c r="K198" s="362">
        <f t="shared" si="123"/>
        <v>-25.4</v>
      </c>
      <c r="L198" s="200" t="s">
        <v>18</v>
      </c>
      <c r="M198" s="76">
        <f>'[7]Gov 65 &amp; 70'!$J283</f>
        <v>95.5</v>
      </c>
      <c r="N198" s="76">
        <f t="shared" si="107"/>
        <v>177.2</v>
      </c>
      <c r="O198" s="363">
        <f t="shared" si="124"/>
        <v>81.699999999999989</v>
      </c>
      <c r="P198" s="13" t="s">
        <v>18</v>
      </c>
      <c r="Q198" s="77">
        <f t="shared" si="92"/>
        <v>-5821.1719999999996</v>
      </c>
      <c r="R198" s="78">
        <f t="shared" si="93"/>
        <v>3315.3859999999995</v>
      </c>
      <c r="S198" s="479">
        <f t="shared" si="94"/>
        <v>-2506</v>
      </c>
      <c r="T198" s="13" t="s">
        <v>18</v>
      </c>
      <c r="U198" s="4">
        <v>1999</v>
      </c>
      <c r="V198" s="4">
        <v>2</v>
      </c>
      <c r="W198" s="153">
        <f t="shared" si="95"/>
        <v>10274.863957392614</v>
      </c>
      <c r="X198" s="153">
        <f t="shared" si="105"/>
        <v>1.2428542751076748</v>
      </c>
      <c r="Y198" s="80"/>
      <c r="Z198" s="98">
        <f t="shared" si="96"/>
        <v>177488</v>
      </c>
      <c r="AA198" s="119">
        <f t="shared" si="90"/>
        <v>-2506</v>
      </c>
      <c r="AB198" s="98">
        <f t="shared" si="97"/>
        <v>177488</v>
      </c>
      <c r="AC198" s="4">
        <v>1999</v>
      </c>
      <c r="AD198" s="4">
        <v>2</v>
      </c>
      <c r="AE198" s="107">
        <f>RESID!AC198</f>
        <v>29.55</v>
      </c>
      <c r="AF198" s="40">
        <f t="shared" si="98"/>
        <v>10577.399560032418</v>
      </c>
      <c r="AG198" s="4">
        <f t="shared" si="99"/>
        <v>182714</v>
      </c>
      <c r="AH198" s="4">
        <f t="shared" si="116"/>
        <v>6124</v>
      </c>
      <c r="AY198" s="4">
        <v>1999</v>
      </c>
      <c r="AZ198" s="4">
        <v>2</v>
      </c>
      <c r="BA198" s="4">
        <f>'[8]Gov 65 &amp; 70'!$S283</f>
        <v>35.200000000000003</v>
      </c>
      <c r="BB198" s="4">
        <f t="shared" si="108"/>
        <v>32.799999999999997</v>
      </c>
      <c r="BC198" s="82">
        <f t="shared" si="121"/>
        <v>-2.4000000000000057</v>
      </c>
      <c r="BD198" s="36" t="s">
        <v>18</v>
      </c>
      <c r="BE198" s="4">
        <f>'[8]Gov 65 &amp; 70'!$J283</f>
        <v>129.80000000000001</v>
      </c>
      <c r="BF198" s="4">
        <f t="shared" si="109"/>
        <v>139.1</v>
      </c>
      <c r="BG198" s="83">
        <f t="shared" si="122"/>
        <v>9.2999999999999829</v>
      </c>
      <c r="BH198" s="36" t="s">
        <v>18</v>
      </c>
      <c r="BI198" s="273">
        <f t="shared" si="102"/>
        <v>-550.03200000000129</v>
      </c>
      <c r="BJ198" s="270">
        <f t="shared" si="103"/>
        <v>377.39399999999927</v>
      </c>
      <c r="BK198" s="482">
        <f t="shared" si="104"/>
        <v>-173</v>
      </c>
      <c r="BL198" s="276"/>
      <c r="BM198" s="36" t="s">
        <v>18</v>
      </c>
      <c r="BN198" s="4">
        <v>1999</v>
      </c>
      <c r="BO198" s="4">
        <v>2</v>
      </c>
      <c r="BP198" s="108">
        <f>(C198+[4]MWh!$AN32)</f>
        <v>185174.57454208354</v>
      </c>
      <c r="BQ198" s="108">
        <f t="shared" si="111"/>
        <v>10719.843379766327</v>
      </c>
      <c r="BR198" s="108">
        <f t="shared" si="112"/>
        <v>10709.82832824381</v>
      </c>
      <c r="BS198" s="108">
        <f t="shared" si="118"/>
        <v>406.71146196654081</v>
      </c>
      <c r="BT198" s="175">
        <f t="shared" si="113"/>
        <v>185001.57454208354</v>
      </c>
      <c r="BU198" s="108">
        <f t="shared" si="125"/>
        <v>13145.585212578677</v>
      </c>
      <c r="BV198" s="137">
        <f t="shared" si="110"/>
        <v>-173</v>
      </c>
    </row>
    <row r="199" spans="1:99">
      <c r="A199" s="4">
        <v>1999</v>
      </c>
      <c r="B199" s="4">
        <v>3</v>
      </c>
      <c r="C199" s="5">
        <v>185067</v>
      </c>
      <c r="D199" s="5">
        <v>17172</v>
      </c>
      <c r="E199" s="73">
        <f t="shared" si="87"/>
        <v>10777</v>
      </c>
      <c r="F199" s="540">
        <f t="shared" si="91"/>
        <v>17172</v>
      </c>
      <c r="H199" s="13" t="s">
        <v>18</v>
      </c>
      <c r="I199" s="76">
        <f>'[7]Gov 65 &amp; 70'!$S284</f>
        <v>27.9</v>
      </c>
      <c r="J199" s="76">
        <f t="shared" si="106"/>
        <v>44.5</v>
      </c>
      <c r="K199" s="362">
        <f t="shared" si="123"/>
        <v>16.600000000000001</v>
      </c>
      <c r="L199" s="200" t="s">
        <v>18</v>
      </c>
      <c r="M199" s="76">
        <f>'[7]Gov 65 &amp; 70'!$J284</f>
        <v>154</v>
      </c>
      <c r="N199" s="76">
        <f t="shared" si="107"/>
        <v>119.5</v>
      </c>
      <c r="O199" s="363">
        <f t="shared" si="124"/>
        <v>-34.5</v>
      </c>
      <c r="P199" s="13" t="s">
        <v>18</v>
      </c>
      <c r="Q199" s="77">
        <f t="shared" si="92"/>
        <v>3804.3880000000004</v>
      </c>
      <c r="R199" s="78">
        <f t="shared" si="93"/>
        <v>-1400.01</v>
      </c>
      <c r="S199" s="479">
        <f t="shared" si="94"/>
        <v>2404</v>
      </c>
      <c r="T199" s="13" t="s">
        <v>18</v>
      </c>
      <c r="U199" s="4">
        <v>1999</v>
      </c>
      <c r="V199" s="4">
        <v>3</v>
      </c>
      <c r="W199" s="153">
        <f t="shared" si="95"/>
        <v>10917.249010016307</v>
      </c>
      <c r="X199" s="153">
        <f t="shared" si="105"/>
        <v>-124.95937118947404</v>
      </c>
      <c r="Y199" s="80"/>
      <c r="Z199" s="98">
        <f t="shared" si="96"/>
        <v>187471</v>
      </c>
      <c r="AA199" s="119">
        <f t="shared" si="90"/>
        <v>2404</v>
      </c>
      <c r="AB199" s="98">
        <f t="shared" si="97"/>
        <v>187471</v>
      </c>
      <c r="AC199" s="4">
        <v>1999</v>
      </c>
      <c r="AD199" s="4">
        <v>3</v>
      </c>
      <c r="AE199" s="107">
        <f>RESID!AC199</f>
        <v>29.4</v>
      </c>
      <c r="AF199" s="40">
        <f t="shared" si="98"/>
        <v>11296.005124621477</v>
      </c>
      <c r="AG199" s="4">
        <f t="shared" si="99"/>
        <v>193975</v>
      </c>
      <c r="AH199" s="157">
        <f t="shared" si="116"/>
        <v>4866</v>
      </c>
      <c r="AI199" s="23"/>
      <c r="AY199" s="4">
        <v>1999</v>
      </c>
      <c r="AZ199" s="4">
        <v>3</v>
      </c>
      <c r="BA199" s="4">
        <f>'[8]Gov 65 &amp; 70'!$S284</f>
        <v>40.799999999999997</v>
      </c>
      <c r="BB199" s="4">
        <f t="shared" si="108"/>
        <v>64.099999999999994</v>
      </c>
      <c r="BC199" s="82">
        <f t="shared" si="121"/>
        <v>23.299999999999997</v>
      </c>
      <c r="BD199" s="36" t="s">
        <v>18</v>
      </c>
      <c r="BE199" s="4">
        <f>'[8]Gov 65 &amp; 70'!$J284</f>
        <v>117.5</v>
      </c>
      <c r="BF199" s="4">
        <f t="shared" si="109"/>
        <v>85.4</v>
      </c>
      <c r="BG199" s="83">
        <f t="shared" si="122"/>
        <v>-32.099999999999994</v>
      </c>
      <c r="BH199" s="36" t="s">
        <v>18</v>
      </c>
      <c r="BI199" s="273">
        <f t="shared" si="102"/>
        <v>5339.8939999999993</v>
      </c>
      <c r="BJ199" s="270">
        <f t="shared" si="103"/>
        <v>-1302.6179999999997</v>
      </c>
      <c r="BK199" s="482">
        <f t="shared" si="104"/>
        <v>4037</v>
      </c>
      <c r="BL199" s="276"/>
      <c r="BM199" s="36" t="s">
        <v>18</v>
      </c>
      <c r="BN199" s="4">
        <v>1999</v>
      </c>
      <c r="BO199" s="4">
        <v>3</v>
      </c>
      <c r="BP199" s="108">
        <f>(C199+[4]MWh!$AN33)</f>
        <v>189757.67024028522</v>
      </c>
      <c r="BQ199" s="108">
        <f t="shared" si="111"/>
        <v>11050.411730741045</v>
      </c>
      <c r="BR199" s="108">
        <f t="shared" si="112"/>
        <v>11285.503740990289</v>
      </c>
      <c r="BS199" s="108">
        <f t="shared" si="118"/>
        <v>-810.84865666727637</v>
      </c>
      <c r="BT199" s="175">
        <f t="shared" si="113"/>
        <v>193794.67024028522</v>
      </c>
      <c r="BU199" s="108">
        <f t="shared" si="125"/>
        <v>-6242.7093597779167</v>
      </c>
      <c r="BV199" s="137">
        <f t="shared" si="110"/>
        <v>4037</v>
      </c>
    </row>
    <row r="200" spans="1:99">
      <c r="A200" s="4">
        <v>1999</v>
      </c>
      <c r="B200" s="4">
        <v>4</v>
      </c>
      <c r="C200" s="5">
        <v>192369</v>
      </c>
      <c r="D200" s="5">
        <v>17312</v>
      </c>
      <c r="E200" s="73">
        <f t="shared" si="87"/>
        <v>11112</v>
      </c>
      <c r="F200" s="540">
        <f t="shared" si="91"/>
        <v>17312</v>
      </c>
      <c r="H200" s="13" t="s">
        <v>18</v>
      </c>
      <c r="I200" s="76">
        <f>'[7]Gov 65 &amp; 70'!$S285</f>
        <v>102.8</v>
      </c>
      <c r="J200" s="76">
        <f t="shared" si="106"/>
        <v>87.7</v>
      </c>
      <c r="K200" s="362">
        <f t="shared" si="123"/>
        <v>-15.099999999999994</v>
      </c>
      <c r="L200" s="200" t="s">
        <v>18</v>
      </c>
      <c r="M200" s="76">
        <f>'[7]Gov 65 &amp; 70'!$J285</f>
        <v>68.8</v>
      </c>
      <c r="N200" s="76">
        <f t="shared" si="107"/>
        <v>60.3</v>
      </c>
      <c r="O200" s="363">
        <f t="shared" si="124"/>
        <v>-8.5</v>
      </c>
      <c r="P200" s="13" t="s">
        <v>18</v>
      </c>
      <c r="Q200" s="77">
        <f t="shared" si="92"/>
        <v>-3460.6179999999986</v>
      </c>
      <c r="R200" s="78">
        <f t="shared" si="93"/>
        <v>-344.93</v>
      </c>
      <c r="S200" s="479">
        <f t="shared" si="94"/>
        <v>-3806</v>
      </c>
      <c r="T200" s="13" t="s">
        <v>18</v>
      </c>
      <c r="U200" s="4">
        <v>1999</v>
      </c>
      <c r="V200" s="4">
        <v>4</v>
      </c>
      <c r="W200" s="153">
        <f t="shared" si="95"/>
        <v>10892.040203327171</v>
      </c>
      <c r="X200" s="153">
        <f t="shared" si="105"/>
        <v>-94.413651434593703</v>
      </c>
      <c r="Y200" s="80"/>
      <c r="Z200" s="98">
        <f t="shared" si="96"/>
        <v>188563</v>
      </c>
      <c r="AA200" s="119">
        <f t="shared" si="90"/>
        <v>-3806</v>
      </c>
      <c r="AB200" s="98">
        <f t="shared" si="97"/>
        <v>188563</v>
      </c>
      <c r="AC200" s="4">
        <v>1999</v>
      </c>
      <c r="AD200" s="4">
        <v>4</v>
      </c>
      <c r="AE200" s="107">
        <f>RESID!AC200</f>
        <v>30.6</v>
      </c>
      <c r="AF200" s="40">
        <f t="shared" si="98"/>
        <v>10827.980591497226</v>
      </c>
      <c r="AG200" s="4">
        <f t="shared" si="99"/>
        <v>187454</v>
      </c>
      <c r="AH200" s="157">
        <f t="shared" si="116"/>
        <v>2024</v>
      </c>
      <c r="AI200" s="23"/>
      <c r="AY200" s="4">
        <v>1999</v>
      </c>
      <c r="AZ200" s="4">
        <v>4</v>
      </c>
      <c r="BA200" s="4">
        <f>'[8]Gov 65 &amp; 70'!$S285</f>
        <v>182.6</v>
      </c>
      <c r="BB200" s="4">
        <f t="shared" si="108"/>
        <v>122</v>
      </c>
      <c r="BC200" s="82">
        <f t="shared" ref="BC200:BC205" si="126">BB200-BA200</f>
        <v>-60.599999999999994</v>
      </c>
      <c r="BD200" s="36" t="s">
        <v>18</v>
      </c>
      <c r="BE200" s="4">
        <f>'[8]Gov 65 &amp; 70'!$J285</f>
        <v>24</v>
      </c>
      <c r="BF200" s="4">
        <f t="shared" si="109"/>
        <v>34.700000000000003</v>
      </c>
      <c r="BG200" s="83">
        <f t="shared" ref="BG200:BG205" si="127">BF200-BE200</f>
        <v>10.700000000000003</v>
      </c>
      <c r="BH200" s="36" t="s">
        <v>18</v>
      </c>
      <c r="BI200" s="273">
        <f t="shared" si="102"/>
        <v>-13888.307999999999</v>
      </c>
      <c r="BJ200" s="270">
        <f t="shared" si="103"/>
        <v>434.20600000000007</v>
      </c>
      <c r="BK200" s="482">
        <f t="shared" si="104"/>
        <v>-13454</v>
      </c>
      <c r="BL200" s="276"/>
      <c r="BM200" s="36" t="s">
        <v>18</v>
      </c>
      <c r="BN200" s="4">
        <v>1999</v>
      </c>
      <c r="BO200" s="4">
        <v>4</v>
      </c>
      <c r="BP200" s="108">
        <f>(C200+[4]MWh!$AN34)</f>
        <v>197648.91252644488</v>
      </c>
      <c r="BQ200" s="108">
        <f t="shared" si="111"/>
        <v>11416.873413034016</v>
      </c>
      <c r="BR200" s="108">
        <f t="shared" si="112"/>
        <v>10639.724614512757</v>
      </c>
      <c r="BS200" s="108">
        <f t="shared" si="118"/>
        <v>-55.675186163714898</v>
      </c>
      <c r="BT200" s="175">
        <f t="shared" si="113"/>
        <v>184194.91252644488</v>
      </c>
      <c r="BU200" s="108">
        <f t="shared" si="125"/>
        <v>2597.7193107590429</v>
      </c>
      <c r="BV200" s="137">
        <f t="shared" si="110"/>
        <v>-13454</v>
      </c>
    </row>
    <row r="201" spans="1:99">
      <c r="A201" s="4">
        <v>1999</v>
      </c>
      <c r="B201" s="4">
        <v>5</v>
      </c>
      <c r="C201" s="5">
        <v>209627</v>
      </c>
      <c r="D201" s="5">
        <v>17805</v>
      </c>
      <c r="E201" s="73">
        <f t="shared" si="87"/>
        <v>11773</v>
      </c>
      <c r="F201" s="540">
        <f t="shared" si="91"/>
        <v>17805</v>
      </c>
      <c r="H201" s="13" t="s">
        <v>18</v>
      </c>
      <c r="I201" s="76">
        <f>'[7]Gov 65 &amp; 70'!$S286</f>
        <v>175.7</v>
      </c>
      <c r="J201" s="76">
        <f t="shared" si="106"/>
        <v>157.69999999999999</v>
      </c>
      <c r="K201" s="362">
        <f t="shared" si="123"/>
        <v>-18</v>
      </c>
      <c r="L201" s="200" t="s">
        <v>18</v>
      </c>
      <c r="M201" s="76">
        <f>'[7]Gov 65 &amp; 70'!$J286</f>
        <v>26.4</v>
      </c>
      <c r="N201" s="76">
        <f t="shared" si="107"/>
        <v>18.600000000000001</v>
      </c>
      <c r="O201" s="363">
        <f t="shared" si="124"/>
        <v>-7.7999999999999972</v>
      </c>
      <c r="P201" s="13" t="s">
        <v>18</v>
      </c>
      <c r="Q201" s="77">
        <f t="shared" si="92"/>
        <v>-4125.24</v>
      </c>
      <c r="R201" s="78">
        <f t="shared" si="93"/>
        <v>-316.52399999999989</v>
      </c>
      <c r="S201" s="479">
        <f t="shared" si="94"/>
        <v>-4442</v>
      </c>
      <c r="T201" s="13" t="s">
        <v>18</v>
      </c>
      <c r="U201" s="4">
        <v>1999</v>
      </c>
      <c r="V201" s="4">
        <v>5</v>
      </c>
      <c r="W201" s="153">
        <f t="shared" si="95"/>
        <v>11524.010109519799</v>
      </c>
      <c r="X201" s="153">
        <f t="shared" si="105"/>
        <v>-40.400436393359996</v>
      </c>
      <c r="Y201" s="80"/>
      <c r="Z201" s="98">
        <f t="shared" si="96"/>
        <v>205185</v>
      </c>
      <c r="AA201" s="119">
        <f t="shared" si="90"/>
        <v>-4442</v>
      </c>
      <c r="AB201" s="98">
        <f t="shared" si="97"/>
        <v>205185</v>
      </c>
      <c r="AC201" s="4">
        <v>1999</v>
      </c>
      <c r="AD201" s="4">
        <v>5</v>
      </c>
      <c r="AE201" s="107">
        <f>RESID!AC201</f>
        <v>29.6</v>
      </c>
      <c r="AF201" s="40">
        <f t="shared" si="98"/>
        <v>11843.246279135075</v>
      </c>
      <c r="AG201" s="4">
        <f t="shared" si="99"/>
        <v>210869</v>
      </c>
      <c r="AH201" s="157">
        <f t="shared" si="116"/>
        <v>12626</v>
      </c>
      <c r="AI201" s="23"/>
      <c r="AY201" s="4">
        <v>1999</v>
      </c>
      <c r="AZ201" s="4">
        <v>5</v>
      </c>
      <c r="BA201" s="4">
        <f>'[8]Gov 65 &amp; 70'!$S286</f>
        <v>227.3</v>
      </c>
      <c r="BB201" s="4">
        <f t="shared" si="108"/>
        <v>253</v>
      </c>
      <c r="BC201" s="82">
        <f t="shared" si="126"/>
        <v>25.699999999999989</v>
      </c>
      <c r="BD201" s="36" t="s">
        <v>18</v>
      </c>
      <c r="BE201" s="4">
        <f>'[8]Gov 65 &amp; 70'!$J286</f>
        <v>11.7</v>
      </c>
      <c r="BF201" s="4">
        <f t="shared" si="109"/>
        <v>4.3</v>
      </c>
      <c r="BG201" s="83">
        <f t="shared" si="127"/>
        <v>-7.3999999999999995</v>
      </c>
      <c r="BH201" s="36" t="s">
        <v>18</v>
      </c>
      <c r="BI201" s="273">
        <f t="shared" si="102"/>
        <v>5889.9259999999977</v>
      </c>
      <c r="BJ201" s="270">
        <f t="shared" si="103"/>
        <v>-300.29199999999997</v>
      </c>
      <c r="BK201" s="482">
        <f t="shared" si="104"/>
        <v>5590</v>
      </c>
      <c r="BL201" s="276"/>
      <c r="BM201" s="36" t="s">
        <v>18</v>
      </c>
      <c r="BN201" s="4">
        <v>1999</v>
      </c>
      <c r="BO201" s="4">
        <v>5</v>
      </c>
      <c r="BP201" s="108">
        <f>(C201+[4]MWh!$AN35)</f>
        <v>231327.99611845659</v>
      </c>
      <c r="BQ201" s="108">
        <f t="shared" si="111"/>
        <v>12992.30531415089</v>
      </c>
      <c r="BR201" s="108">
        <f t="shared" si="112"/>
        <v>13306.262067871754</v>
      </c>
      <c r="BS201" s="108">
        <f t="shared" si="118"/>
        <v>-32.13322558762593</v>
      </c>
      <c r="BT201" s="175">
        <f t="shared" si="113"/>
        <v>236917.99611845659</v>
      </c>
      <c r="BU201" s="108">
        <f t="shared" si="125"/>
        <v>14820.376087064447</v>
      </c>
      <c r="BV201" s="137">
        <f t="shared" si="110"/>
        <v>5590</v>
      </c>
    </row>
    <row r="202" spans="1:99">
      <c r="A202" s="4">
        <v>1999</v>
      </c>
      <c r="B202" s="4">
        <v>6</v>
      </c>
      <c r="C202" s="5">
        <v>210064</v>
      </c>
      <c r="D202" s="5">
        <v>17029</v>
      </c>
      <c r="E202" s="73">
        <f t="shared" si="87"/>
        <v>12336</v>
      </c>
      <c r="F202" s="540">
        <f t="shared" si="91"/>
        <v>17029</v>
      </c>
      <c r="H202" s="13" t="s">
        <v>18</v>
      </c>
      <c r="I202" s="76">
        <f>'[7]Gov 65 &amp; 70'!$S287</f>
        <v>275.39999999999998</v>
      </c>
      <c r="J202" s="76">
        <f t="shared" si="106"/>
        <v>295.39999999999998</v>
      </c>
      <c r="K202" s="362">
        <f t="shared" si="123"/>
        <v>20</v>
      </c>
      <c r="L202" s="200" t="s">
        <v>18</v>
      </c>
      <c r="M202" s="76">
        <f>'[7]Gov 65 &amp; 70'!$J287</f>
        <v>3</v>
      </c>
      <c r="N202" s="76">
        <f t="shared" si="107"/>
        <v>2.2000000000000002</v>
      </c>
      <c r="O202" s="363">
        <f t="shared" si="124"/>
        <v>-0.79999999999999982</v>
      </c>
      <c r="P202" s="13" t="s">
        <v>18</v>
      </c>
      <c r="Q202" s="77">
        <f t="shared" si="92"/>
        <v>4583.6000000000004</v>
      </c>
      <c r="R202" s="78">
        <f t="shared" si="93"/>
        <v>-32.463999999999992</v>
      </c>
      <c r="S202" s="479">
        <f t="shared" si="94"/>
        <v>4551</v>
      </c>
      <c r="T202" s="13" t="s">
        <v>18</v>
      </c>
      <c r="U202" s="4">
        <v>1999</v>
      </c>
      <c r="V202" s="4">
        <v>6</v>
      </c>
      <c r="W202" s="153">
        <f t="shared" si="95"/>
        <v>12602.912678372188</v>
      </c>
      <c r="X202" s="153">
        <f t="shared" si="105"/>
        <v>186.73532666457686</v>
      </c>
      <c r="Y202" s="80"/>
      <c r="Z202" s="98">
        <f t="shared" si="96"/>
        <v>214615</v>
      </c>
      <c r="AA202" s="119">
        <f t="shared" si="90"/>
        <v>4551</v>
      </c>
      <c r="AB202" s="98">
        <f t="shared" si="97"/>
        <v>214615</v>
      </c>
      <c r="AC202" s="4">
        <v>1999</v>
      </c>
      <c r="AD202" s="4">
        <v>6</v>
      </c>
      <c r="AE202" s="107">
        <f>RESID!AC202</f>
        <v>30.6</v>
      </c>
      <c r="AF202" s="40">
        <f t="shared" si="98"/>
        <v>12528.803805273357</v>
      </c>
      <c r="AG202" s="4">
        <f t="shared" si="99"/>
        <v>213353</v>
      </c>
      <c r="AH202" s="158">
        <f t="shared" si="116"/>
        <v>7389</v>
      </c>
      <c r="AI202" s="23"/>
      <c r="AY202" s="4">
        <v>1999</v>
      </c>
      <c r="AZ202" s="4">
        <v>6</v>
      </c>
      <c r="BA202" s="4">
        <f>'[8]Gov 65 &amp; 70'!$S287</f>
        <v>316.8</v>
      </c>
      <c r="BB202" s="4">
        <f t="shared" si="108"/>
        <v>336.1</v>
      </c>
      <c r="BC202" s="82">
        <f t="shared" si="126"/>
        <v>19.300000000000011</v>
      </c>
      <c r="BD202" s="36" t="s">
        <v>18</v>
      </c>
      <c r="BE202" s="4">
        <f>'[8]Gov 65 &amp; 70'!$J287</f>
        <v>0</v>
      </c>
      <c r="BF202" s="4">
        <f t="shared" si="109"/>
        <v>0</v>
      </c>
      <c r="BG202" s="83">
        <f t="shared" si="127"/>
        <v>0</v>
      </c>
      <c r="BH202" s="36" t="s">
        <v>18</v>
      </c>
      <c r="BI202" s="273">
        <f t="shared" si="102"/>
        <v>4423.1740000000027</v>
      </c>
      <c r="BJ202" s="270">
        <f t="shared" si="103"/>
        <v>0</v>
      </c>
      <c r="BK202" s="482">
        <f t="shared" si="104"/>
        <v>4423</v>
      </c>
      <c r="BL202" s="276"/>
      <c r="BM202" s="36" t="s">
        <v>18</v>
      </c>
      <c r="BN202" s="4">
        <v>1999</v>
      </c>
      <c r="BO202" s="4">
        <v>6</v>
      </c>
      <c r="BP202" s="108">
        <f>(C202+[4]MWh!$AN36)</f>
        <v>204369.08119851435</v>
      </c>
      <c r="BQ202" s="108">
        <f t="shared" si="111"/>
        <v>12001.237958688962</v>
      </c>
      <c r="BR202" s="108">
        <f t="shared" si="112"/>
        <v>12260.97135466054</v>
      </c>
      <c r="BS202" s="108">
        <f t="shared" si="118"/>
        <v>14.55393629356513</v>
      </c>
      <c r="BT202" s="175">
        <f t="shared" si="113"/>
        <v>208792.08119851435</v>
      </c>
      <c r="BU202" s="108">
        <f t="shared" si="125"/>
        <v>4399.3744859695435</v>
      </c>
      <c r="BV202" s="137">
        <f t="shared" si="110"/>
        <v>4423</v>
      </c>
    </row>
    <row r="203" spans="1:99">
      <c r="A203" s="4">
        <v>1999</v>
      </c>
      <c r="B203" s="4">
        <v>7</v>
      </c>
      <c r="C203" s="5">
        <v>213726</v>
      </c>
      <c r="D203" s="5">
        <v>17355</v>
      </c>
      <c r="E203" s="73">
        <f t="shared" si="87"/>
        <v>12315</v>
      </c>
      <c r="F203" s="540">
        <f t="shared" si="91"/>
        <v>17355</v>
      </c>
      <c r="H203" s="13" t="s">
        <v>18</v>
      </c>
      <c r="I203" s="76">
        <f>'[7]Gov 65 &amp; 70'!$S288</f>
        <v>341.9</v>
      </c>
      <c r="J203" s="76">
        <f t="shared" si="106"/>
        <v>363.4</v>
      </c>
      <c r="K203" s="362">
        <f t="shared" ref="K203:K208" si="128">(J203-I203)</f>
        <v>21.5</v>
      </c>
      <c r="L203" s="200" t="s">
        <v>18</v>
      </c>
      <c r="M203" s="76">
        <f>'[7]Gov 65 &amp; 70'!$J288</f>
        <v>0</v>
      </c>
      <c r="N203" s="76">
        <f t="shared" si="107"/>
        <v>0</v>
      </c>
      <c r="O203" s="363">
        <f t="shared" ref="O203:O208" si="129">(N203-M203)</f>
        <v>0</v>
      </c>
      <c r="P203" s="13" t="s">
        <v>18</v>
      </c>
      <c r="Q203" s="77">
        <f t="shared" si="92"/>
        <v>4927.37</v>
      </c>
      <c r="R203" s="78">
        <f t="shared" si="93"/>
        <v>0</v>
      </c>
      <c r="S203" s="479">
        <f t="shared" si="94"/>
        <v>4927</v>
      </c>
      <c r="T203" s="13" t="s">
        <v>18</v>
      </c>
      <c r="U203" s="4">
        <v>1999</v>
      </c>
      <c r="V203" s="4">
        <v>7</v>
      </c>
      <c r="W203" s="153">
        <f t="shared" si="95"/>
        <v>12598.847594353212</v>
      </c>
      <c r="X203" s="153">
        <f t="shared" si="105"/>
        <v>645.26059238200469</v>
      </c>
      <c r="Y203" s="80"/>
      <c r="Z203" s="98">
        <f t="shared" si="96"/>
        <v>218653</v>
      </c>
      <c r="AA203" s="119">
        <f t="shared" si="90"/>
        <v>4927</v>
      </c>
      <c r="AB203" s="98">
        <f t="shared" si="97"/>
        <v>218653</v>
      </c>
      <c r="AC203" s="4">
        <v>1999</v>
      </c>
      <c r="AD203" s="4">
        <v>7</v>
      </c>
      <c r="AE203" s="107">
        <f>RESID!AC203</f>
        <v>30.65</v>
      </c>
      <c r="AF203" s="40">
        <f t="shared" si="98"/>
        <v>12504.292711034283</v>
      </c>
      <c r="AG203" s="4">
        <f t="shared" si="99"/>
        <v>217012</v>
      </c>
      <c r="AH203" s="23">
        <f t="shared" si="116"/>
        <v>18538</v>
      </c>
      <c r="AI203" s="23"/>
      <c r="AY203" s="4">
        <v>1999</v>
      </c>
      <c r="AZ203" s="4">
        <v>7</v>
      </c>
      <c r="BA203" s="4">
        <f>'[8]Gov 65 &amp; 70'!$S288</f>
        <v>409.3</v>
      </c>
      <c r="BB203" s="4">
        <f t="shared" si="108"/>
        <v>391.2</v>
      </c>
      <c r="BC203" s="82">
        <f t="shared" si="126"/>
        <v>-18.100000000000023</v>
      </c>
      <c r="BD203" s="36" t="s">
        <v>18</v>
      </c>
      <c r="BE203" s="4">
        <f>'[8]Gov 65 &amp; 70'!$J288</f>
        <v>0</v>
      </c>
      <c r="BF203" s="4">
        <f t="shared" si="109"/>
        <v>0</v>
      </c>
      <c r="BG203" s="83">
        <f t="shared" si="127"/>
        <v>0</v>
      </c>
      <c r="BH203" s="36" t="s">
        <v>18</v>
      </c>
      <c r="BI203" s="273">
        <f t="shared" si="102"/>
        <v>-4148.1580000000049</v>
      </c>
      <c r="BJ203" s="270">
        <f t="shared" si="103"/>
        <v>0</v>
      </c>
      <c r="BK203" s="482">
        <f t="shared" si="104"/>
        <v>-4148</v>
      </c>
      <c r="BL203" s="276"/>
      <c r="BM203" s="36" t="s">
        <v>18</v>
      </c>
      <c r="BN203" s="4">
        <v>1999</v>
      </c>
      <c r="BO203" s="4">
        <v>7</v>
      </c>
      <c r="BP203" s="108">
        <f>(C203+[4]MWh!$AN37)</f>
        <v>225107.19507305665</v>
      </c>
      <c r="BQ203" s="108">
        <f t="shared" si="111"/>
        <v>12970.740136736193</v>
      </c>
      <c r="BR203" s="108">
        <f t="shared" si="112"/>
        <v>12731.731205592432</v>
      </c>
      <c r="BS203" s="108">
        <f t="shared" si="118"/>
        <v>1445.5586802469024</v>
      </c>
      <c r="BT203" s="175">
        <f t="shared" si="113"/>
        <v>220959.19507305665</v>
      </c>
      <c r="BU203" s="108">
        <f t="shared" si="125"/>
        <v>32017.380826247128</v>
      </c>
      <c r="BV203" s="137">
        <f t="shared" si="110"/>
        <v>-4148</v>
      </c>
    </row>
    <row r="204" spans="1:99">
      <c r="A204" s="4">
        <v>1999</v>
      </c>
      <c r="B204" s="4">
        <v>8</v>
      </c>
      <c r="C204" s="5">
        <v>237537</v>
      </c>
      <c r="D204" s="5">
        <v>17641</v>
      </c>
      <c r="E204" s="73">
        <f t="shared" si="87"/>
        <v>13465</v>
      </c>
      <c r="F204" s="540">
        <f t="shared" si="91"/>
        <v>17641</v>
      </c>
      <c r="H204" s="13" t="s">
        <v>18</v>
      </c>
      <c r="I204" s="76">
        <f>'[7]Gov 65 &amp; 70'!$S289</f>
        <v>428</v>
      </c>
      <c r="J204" s="76">
        <f t="shared" si="106"/>
        <v>390.1</v>
      </c>
      <c r="K204" s="362">
        <f t="shared" si="128"/>
        <v>-37.899999999999977</v>
      </c>
      <c r="L204" s="200" t="s">
        <v>18</v>
      </c>
      <c r="M204" s="76">
        <f>'[7]Gov 65 &amp; 70'!$J289</f>
        <v>0</v>
      </c>
      <c r="N204" s="76">
        <f t="shared" si="107"/>
        <v>0</v>
      </c>
      <c r="O204" s="363">
        <f t="shared" si="129"/>
        <v>0</v>
      </c>
      <c r="P204" s="13" t="s">
        <v>18</v>
      </c>
      <c r="Q204" s="77">
        <f t="shared" si="92"/>
        <v>-8685.921999999995</v>
      </c>
      <c r="R204" s="78">
        <f t="shared" si="93"/>
        <v>0</v>
      </c>
      <c r="S204" s="479">
        <f t="shared" si="94"/>
        <v>-8686</v>
      </c>
      <c r="T204" s="13" t="s">
        <v>18</v>
      </c>
      <c r="U204" s="4">
        <v>1999</v>
      </c>
      <c r="V204" s="4">
        <v>8</v>
      </c>
      <c r="W204" s="153">
        <f t="shared" si="95"/>
        <v>12972.677285868147</v>
      </c>
      <c r="X204" s="153">
        <f t="shared" si="105"/>
        <v>148.75835916808319</v>
      </c>
      <c r="Y204" s="80"/>
      <c r="Z204" s="98">
        <f t="shared" si="96"/>
        <v>228851</v>
      </c>
      <c r="AA204" s="119">
        <f t="shared" si="90"/>
        <v>-8686</v>
      </c>
      <c r="AB204" s="98">
        <f t="shared" si="97"/>
        <v>228851</v>
      </c>
      <c r="AC204" s="4">
        <v>1999</v>
      </c>
      <c r="AD204" s="4">
        <v>8</v>
      </c>
      <c r="AE204" s="107">
        <f>RESID!AC204</f>
        <v>31.15</v>
      </c>
      <c r="AF204" s="40">
        <f t="shared" si="98"/>
        <v>12668.669576554617</v>
      </c>
      <c r="AG204" s="4">
        <f t="shared" si="99"/>
        <v>223488</v>
      </c>
      <c r="AH204" s="4">
        <f t="shared" si="116"/>
        <v>6138</v>
      </c>
      <c r="AI204" s="23"/>
      <c r="AY204" s="4">
        <v>1999</v>
      </c>
      <c r="AZ204" s="4">
        <v>8</v>
      </c>
      <c r="BA204" s="4">
        <f>'[8]Gov 65 &amp; 70'!$S289</f>
        <v>413.6</v>
      </c>
      <c r="BB204" s="4">
        <f t="shared" si="108"/>
        <v>394.4</v>
      </c>
      <c r="BC204" s="82">
        <f t="shared" si="126"/>
        <v>-19.200000000000045</v>
      </c>
      <c r="BD204" s="36" t="s">
        <v>18</v>
      </c>
      <c r="BE204" s="4">
        <f>'[8]Gov 65 &amp; 70'!$J289</f>
        <v>0</v>
      </c>
      <c r="BF204" s="4">
        <f t="shared" si="109"/>
        <v>0</v>
      </c>
      <c r="BG204" s="83">
        <f t="shared" si="127"/>
        <v>0</v>
      </c>
      <c r="BH204" s="36" t="s">
        <v>18</v>
      </c>
      <c r="BI204" s="273">
        <f t="shared" si="102"/>
        <v>-4400.2560000000103</v>
      </c>
      <c r="BJ204" s="270">
        <f t="shared" si="103"/>
        <v>0</v>
      </c>
      <c r="BK204" s="482">
        <f t="shared" si="104"/>
        <v>-4400</v>
      </c>
      <c r="BL204" s="276"/>
      <c r="BM204" s="36" t="s">
        <v>18</v>
      </c>
      <c r="BN204" s="4">
        <v>1999</v>
      </c>
      <c r="BO204" s="4">
        <v>8</v>
      </c>
      <c r="BP204" s="108">
        <f>(C204+[4]MWh!$AN38)</f>
        <v>225682.90477593392</v>
      </c>
      <c r="BQ204" s="108">
        <f t="shared" si="111"/>
        <v>12793.090231615777</v>
      </c>
      <c r="BR204" s="108">
        <f t="shared" si="112"/>
        <v>12543.671264437044</v>
      </c>
      <c r="BS204" s="108">
        <f t="shared" si="118"/>
        <v>-1107.4488541313731</v>
      </c>
      <c r="BT204" s="175">
        <f t="shared" si="113"/>
        <v>221282.90477593392</v>
      </c>
      <c r="BU204" s="108">
        <f t="shared" si="125"/>
        <v>-15796.098323243757</v>
      </c>
      <c r="BV204" s="137">
        <f t="shared" si="110"/>
        <v>-4400</v>
      </c>
    </row>
    <row r="205" spans="1:99">
      <c r="A205" s="4">
        <v>1999</v>
      </c>
      <c r="B205" s="4">
        <v>9</v>
      </c>
      <c r="C205" s="5">
        <v>246877</v>
      </c>
      <c r="D205" s="5">
        <v>17563</v>
      </c>
      <c r="E205" s="73">
        <f t="shared" si="87"/>
        <v>14057</v>
      </c>
      <c r="F205" s="540">
        <f t="shared" si="91"/>
        <v>17563</v>
      </c>
      <c r="H205" s="13" t="s">
        <v>18</v>
      </c>
      <c r="I205" s="76">
        <f>'[7]Gov 65 &amp; 70'!$S290</f>
        <v>374.6</v>
      </c>
      <c r="J205" s="76">
        <f t="shared" si="106"/>
        <v>381.2</v>
      </c>
      <c r="K205" s="362">
        <f t="shared" si="128"/>
        <v>6.5999999999999659</v>
      </c>
      <c r="L205" s="200" t="s">
        <v>18</v>
      </c>
      <c r="M205" s="76">
        <f>'[7]Gov 65 &amp; 70'!$J290</f>
        <v>0.1</v>
      </c>
      <c r="N205" s="76">
        <f t="shared" si="107"/>
        <v>0</v>
      </c>
      <c r="O205" s="363">
        <f t="shared" si="129"/>
        <v>-0.1</v>
      </c>
      <c r="P205" s="13" t="s">
        <v>18</v>
      </c>
      <c r="Q205" s="77">
        <f t="shared" si="92"/>
        <v>1512.5879999999922</v>
      </c>
      <c r="R205" s="78">
        <f t="shared" si="93"/>
        <v>-4.0579999999999998</v>
      </c>
      <c r="S205" s="479">
        <f t="shared" si="94"/>
        <v>1509</v>
      </c>
      <c r="T205" s="13" t="s">
        <v>18</v>
      </c>
      <c r="U205" s="4">
        <v>1999</v>
      </c>
      <c r="V205" s="4">
        <v>9</v>
      </c>
      <c r="W205" s="153">
        <f t="shared" si="95"/>
        <v>14142.572453453284</v>
      </c>
      <c r="X205" s="153">
        <f t="shared" si="105"/>
        <v>343.05686156712</v>
      </c>
      <c r="Y205" s="80"/>
      <c r="Z205" s="98">
        <f t="shared" si="96"/>
        <v>248386</v>
      </c>
      <c r="AA205" s="119">
        <f t="shared" si="90"/>
        <v>1509</v>
      </c>
      <c r="AB205" s="98">
        <f t="shared" si="97"/>
        <v>248386</v>
      </c>
      <c r="AC205" s="4">
        <v>1999</v>
      </c>
      <c r="AD205" s="4">
        <v>9</v>
      </c>
      <c r="AE205" s="107">
        <f>RESID!AC205</f>
        <v>30.3</v>
      </c>
      <c r="AF205" s="40">
        <f t="shared" si="98"/>
        <v>14198.599328133007</v>
      </c>
      <c r="AG205" s="4">
        <f t="shared" si="99"/>
        <v>249370</v>
      </c>
      <c r="AH205" s="4">
        <f t="shared" si="116"/>
        <v>20487</v>
      </c>
      <c r="AI205" s="23"/>
      <c r="AY205" s="4">
        <v>1999</v>
      </c>
      <c r="AZ205" s="4">
        <v>9</v>
      </c>
      <c r="BA205" s="4">
        <f>'[8]Gov 65 &amp; 70'!$S290</f>
        <v>306.2</v>
      </c>
      <c r="BB205" s="4">
        <f t="shared" si="108"/>
        <v>339.3</v>
      </c>
      <c r="BC205" s="82">
        <f t="shared" si="126"/>
        <v>33.100000000000023</v>
      </c>
      <c r="BD205" s="36" t="s">
        <v>18</v>
      </c>
      <c r="BE205" s="4">
        <f>'[8]Gov 65 &amp; 70'!$J290</f>
        <v>0.8</v>
      </c>
      <c r="BF205" s="4">
        <f t="shared" si="109"/>
        <v>0</v>
      </c>
      <c r="BG205" s="83">
        <f t="shared" si="127"/>
        <v>-0.8</v>
      </c>
      <c r="BH205" s="36" t="s">
        <v>18</v>
      </c>
      <c r="BI205" s="273">
        <f t="shared" si="102"/>
        <v>7585.8580000000056</v>
      </c>
      <c r="BJ205" s="270">
        <f t="shared" si="103"/>
        <v>-32.463999999999999</v>
      </c>
      <c r="BK205" s="482">
        <f t="shared" si="104"/>
        <v>7553</v>
      </c>
      <c r="BL205" s="276"/>
      <c r="BM205" s="36" t="s">
        <v>18</v>
      </c>
      <c r="BN205" s="4">
        <v>1999</v>
      </c>
      <c r="BO205" s="4">
        <v>9</v>
      </c>
      <c r="BP205" s="108">
        <f>(C205+[4]MWh!$AN39)</f>
        <v>244263.37929168891</v>
      </c>
      <c r="BQ205" s="108">
        <f t="shared" si="111"/>
        <v>13907.839167094966</v>
      </c>
      <c r="BR205" s="108">
        <f t="shared" si="112"/>
        <v>14337.89098056647</v>
      </c>
      <c r="BS205" s="108">
        <f t="shared" si="118"/>
        <v>200.63859581386714</v>
      </c>
      <c r="BT205" s="175">
        <f t="shared" si="113"/>
        <v>251816.37929168891</v>
      </c>
      <c r="BU205" s="108">
        <f t="shared" si="125"/>
        <v>18339.656157499674</v>
      </c>
      <c r="BV205" s="137">
        <f t="shared" ref="BV205:BV236" si="130">BT205-BP205</f>
        <v>7553</v>
      </c>
    </row>
    <row r="206" spans="1:99">
      <c r="A206" s="4">
        <v>1999</v>
      </c>
      <c r="B206" s="4">
        <v>10</v>
      </c>
      <c r="C206" s="5">
        <v>231041</v>
      </c>
      <c r="D206" s="5">
        <v>17609</v>
      </c>
      <c r="E206" s="73">
        <f t="shared" si="87"/>
        <v>13121</v>
      </c>
      <c r="F206" s="540">
        <f t="shared" si="91"/>
        <v>17609</v>
      </c>
      <c r="H206" s="13" t="s">
        <v>18</v>
      </c>
      <c r="I206" s="76">
        <f>'[7]Gov 65 &amp; 70'!$S291</f>
        <v>275.60000000000002</v>
      </c>
      <c r="J206" s="76">
        <f t="shared" si="106"/>
        <v>287.8</v>
      </c>
      <c r="K206" s="362">
        <f t="shared" si="128"/>
        <v>12.199999999999989</v>
      </c>
      <c r="L206" s="200" t="s">
        <v>18</v>
      </c>
      <c r="M206" s="76">
        <f>'[7]Gov 65 &amp; 70'!$J291</f>
        <v>1.5</v>
      </c>
      <c r="N206" s="76">
        <f t="shared" si="107"/>
        <v>2.5</v>
      </c>
      <c r="O206" s="363">
        <f t="shared" si="129"/>
        <v>1</v>
      </c>
      <c r="P206" s="13" t="s">
        <v>18</v>
      </c>
      <c r="Q206" s="77">
        <f t="shared" si="92"/>
        <v>2795.9959999999974</v>
      </c>
      <c r="R206" s="78">
        <f t="shared" si="93"/>
        <v>40.58</v>
      </c>
      <c r="S206" s="479">
        <f t="shared" si="94"/>
        <v>2837</v>
      </c>
      <c r="T206" s="13" t="s">
        <v>18</v>
      </c>
      <c r="U206" s="4">
        <v>1999</v>
      </c>
      <c r="V206" s="4">
        <v>10</v>
      </c>
      <c r="W206" s="153">
        <f t="shared" si="95"/>
        <v>13281.730933045601</v>
      </c>
      <c r="X206" s="153">
        <f t="shared" si="105"/>
        <v>323.44962983297592</v>
      </c>
      <c r="Y206" s="80"/>
      <c r="Z206" s="98">
        <f t="shared" si="96"/>
        <v>233878</v>
      </c>
      <c r="AA206" s="119">
        <f t="shared" si="90"/>
        <v>2837</v>
      </c>
      <c r="AB206" s="98">
        <f t="shared" si="97"/>
        <v>233878</v>
      </c>
      <c r="AC206" s="4">
        <v>1999</v>
      </c>
      <c r="AD206" s="4">
        <v>10</v>
      </c>
      <c r="AE206" s="107">
        <f>RESID!AC206</f>
        <v>29.9</v>
      </c>
      <c r="AF206" s="40">
        <f t="shared" si="98"/>
        <v>13512.69237321824</v>
      </c>
      <c r="AG206" s="4">
        <f t="shared" si="99"/>
        <v>237945</v>
      </c>
      <c r="AH206" s="4">
        <f t="shared" si="116"/>
        <v>5579</v>
      </c>
      <c r="AY206" s="4">
        <v>1999</v>
      </c>
      <c r="AZ206" s="4">
        <v>10</v>
      </c>
      <c r="BA206" s="4">
        <f>'[8]Gov 65 &amp; 70'!$S291</f>
        <v>194.2</v>
      </c>
      <c r="BB206" s="4">
        <f t="shared" si="108"/>
        <v>200.4</v>
      </c>
      <c r="BC206" s="82">
        <f t="shared" ref="BC206:BC211" si="131">BB206-BA206</f>
        <v>6.2000000000000171</v>
      </c>
      <c r="BD206" s="36" t="s">
        <v>18</v>
      </c>
      <c r="BE206" s="4">
        <f>'[8]Gov 65 &amp; 70'!$J291</f>
        <v>18.100000000000001</v>
      </c>
      <c r="BF206" s="4">
        <f t="shared" si="109"/>
        <v>15</v>
      </c>
      <c r="BG206" s="83">
        <f t="shared" ref="BG206:BG211" si="132">BF206-BE206</f>
        <v>-3.1000000000000014</v>
      </c>
      <c r="BH206" s="36" t="s">
        <v>18</v>
      </c>
      <c r="BI206" s="273">
        <f t="shared" si="102"/>
        <v>1420.916000000004</v>
      </c>
      <c r="BJ206" s="270">
        <f t="shared" si="103"/>
        <v>-125.79800000000006</v>
      </c>
      <c r="BK206" s="482">
        <f t="shared" si="104"/>
        <v>1295</v>
      </c>
      <c r="BL206" s="276"/>
      <c r="BM206" s="36" t="s">
        <v>18</v>
      </c>
      <c r="BN206" s="4">
        <v>1999</v>
      </c>
      <c r="BO206" s="4">
        <v>10</v>
      </c>
      <c r="BP206" s="108">
        <f>(C206+[4]MWh!$AN40)</f>
        <v>224844.77044960047</v>
      </c>
      <c r="BQ206" s="108">
        <f t="shared" si="111"/>
        <v>12768.741578147567</v>
      </c>
      <c r="BR206" s="108">
        <f t="shared" si="112"/>
        <v>12842.28351692887</v>
      </c>
      <c r="BS206" s="108">
        <f t="shared" si="118"/>
        <v>377.40822736743939</v>
      </c>
      <c r="BT206" s="175">
        <f t="shared" si="113"/>
        <v>226139.77044960047</v>
      </c>
      <c r="BU206" s="108">
        <f t="shared" si="125"/>
        <v>6533.5975981072115</v>
      </c>
      <c r="BV206" s="137">
        <f t="shared" si="130"/>
        <v>1295</v>
      </c>
    </row>
    <row r="207" spans="1:99">
      <c r="A207" s="4">
        <v>1999</v>
      </c>
      <c r="B207" s="4">
        <v>11</v>
      </c>
      <c r="C207" s="5">
        <v>215852</v>
      </c>
      <c r="D207" s="5">
        <v>18203</v>
      </c>
      <c r="E207" s="73">
        <f t="shared" si="87"/>
        <v>11858</v>
      </c>
      <c r="F207" s="540">
        <f t="shared" si="91"/>
        <v>18203</v>
      </c>
      <c r="H207" s="13" t="s">
        <v>18</v>
      </c>
      <c r="I207" s="76">
        <f>'[7]Gov 65 &amp; 70'!$S292</f>
        <v>124.8</v>
      </c>
      <c r="J207" s="76">
        <f t="shared" si="106"/>
        <v>140.19999999999999</v>
      </c>
      <c r="K207" s="362">
        <f t="shared" si="128"/>
        <v>15.399999999999991</v>
      </c>
      <c r="L207" s="200" t="s">
        <v>18</v>
      </c>
      <c r="M207" s="76">
        <f>'[7]Gov 65 &amp; 70'!$J292</f>
        <v>39.4</v>
      </c>
      <c r="N207" s="76">
        <f t="shared" si="107"/>
        <v>38.6</v>
      </c>
      <c r="O207" s="363">
        <f t="shared" si="129"/>
        <v>-0.79999999999999716</v>
      </c>
      <c r="P207" s="13" t="s">
        <v>18</v>
      </c>
      <c r="Q207" s="77">
        <f t="shared" si="92"/>
        <v>3529.371999999998</v>
      </c>
      <c r="R207" s="78">
        <f t="shared" si="93"/>
        <v>-32.463999999999885</v>
      </c>
      <c r="S207" s="479">
        <f t="shared" si="94"/>
        <v>3497</v>
      </c>
      <c r="T207" s="13" t="s">
        <v>18</v>
      </c>
      <c r="U207" s="4">
        <v>1999</v>
      </c>
      <c r="V207" s="4">
        <v>11</v>
      </c>
      <c r="W207" s="153">
        <f t="shared" si="95"/>
        <v>12050.156567598748</v>
      </c>
      <c r="X207" s="153">
        <f t="shared" si="105"/>
        <v>47.021953330448014</v>
      </c>
      <c r="Y207" s="80"/>
      <c r="Z207" s="98">
        <f t="shared" si="96"/>
        <v>219349</v>
      </c>
      <c r="AA207" s="119">
        <f t="shared" si="90"/>
        <v>3497</v>
      </c>
      <c r="AB207" s="98">
        <f t="shared" si="97"/>
        <v>219349</v>
      </c>
      <c r="AC207" s="4">
        <v>1999</v>
      </c>
      <c r="AD207" s="4">
        <v>11</v>
      </c>
      <c r="AE207" s="107">
        <f>RESID!AC207</f>
        <v>30.05</v>
      </c>
      <c r="AF207" s="40">
        <f t="shared" si="98"/>
        <v>12198.53870241169</v>
      </c>
      <c r="AG207" s="4">
        <f t="shared" si="99"/>
        <v>222050</v>
      </c>
      <c r="AH207" s="4">
        <f t="shared" si="116"/>
        <v>12571</v>
      </c>
      <c r="AY207" s="4">
        <v>1999</v>
      </c>
      <c r="AZ207" s="4">
        <v>11</v>
      </c>
      <c r="BA207" s="4">
        <f>'[8]Gov 65 &amp; 70'!$S292</f>
        <v>54.4</v>
      </c>
      <c r="BB207" s="4">
        <f t="shared" si="108"/>
        <v>66.3</v>
      </c>
      <c r="BC207" s="82">
        <f t="shared" si="131"/>
        <v>11.899999999999999</v>
      </c>
      <c r="BD207" s="36" t="s">
        <v>18</v>
      </c>
      <c r="BE207" s="4">
        <f>'[8]Gov 65 &amp; 70'!$J292</f>
        <v>59.1</v>
      </c>
      <c r="BF207" s="4">
        <f t="shared" si="109"/>
        <v>69.900000000000006</v>
      </c>
      <c r="BG207" s="83">
        <f t="shared" si="132"/>
        <v>10.800000000000004</v>
      </c>
      <c r="BH207" s="36" t="s">
        <v>18</v>
      </c>
      <c r="BI207" s="273">
        <f t="shared" si="102"/>
        <v>2727.2419999999997</v>
      </c>
      <c r="BJ207" s="270">
        <f t="shared" si="103"/>
        <v>438.26400000000018</v>
      </c>
      <c r="BK207" s="482">
        <f t="shared" si="104"/>
        <v>3166</v>
      </c>
      <c r="BL207" s="276"/>
      <c r="BM207" s="36" t="s">
        <v>18</v>
      </c>
      <c r="BN207" s="4">
        <v>1999</v>
      </c>
      <c r="BO207" s="4">
        <v>11</v>
      </c>
      <c r="BP207" s="108">
        <f>(C207+[4]MWh!$AN41)</f>
        <v>207635.20606798271</v>
      </c>
      <c r="BQ207" s="108">
        <f t="shared" si="111"/>
        <v>11406.647589297518</v>
      </c>
      <c r="BR207" s="108">
        <f t="shared" si="112"/>
        <v>11580.574963906098</v>
      </c>
      <c r="BS207" s="108">
        <f t="shared" si="118"/>
        <v>185.96744408252744</v>
      </c>
      <c r="BT207" s="175">
        <f t="shared" si="113"/>
        <v>210801.20606798271</v>
      </c>
      <c r="BU207" s="108">
        <f t="shared" si="125"/>
        <v>14506.30232398209</v>
      </c>
      <c r="BV207" s="137">
        <f t="shared" si="130"/>
        <v>3166</v>
      </c>
    </row>
    <row r="208" spans="1:99">
      <c r="A208" s="89">
        <v>1999</v>
      </c>
      <c r="B208" s="89">
        <v>12</v>
      </c>
      <c r="C208" s="103">
        <v>198839</v>
      </c>
      <c r="D208" s="103">
        <v>17844</v>
      </c>
      <c r="E208" s="104">
        <f t="shared" si="87"/>
        <v>11143</v>
      </c>
      <c r="F208" s="514">
        <f t="shared" si="91"/>
        <v>17844</v>
      </c>
      <c r="G208" s="89"/>
      <c r="H208" s="90" t="s">
        <v>18</v>
      </c>
      <c r="I208" s="92">
        <f>'[7]Gov 65 &amp; 70'!$S293</f>
        <v>45.1</v>
      </c>
      <c r="J208" s="92">
        <f t="shared" si="106"/>
        <v>50.8</v>
      </c>
      <c r="K208" s="364">
        <f t="shared" si="128"/>
        <v>5.6999999999999957</v>
      </c>
      <c r="L208" s="210" t="s">
        <v>18</v>
      </c>
      <c r="M208" s="92">
        <f>'[7]Gov 65 &amp; 70'!$J293</f>
        <v>91.3</v>
      </c>
      <c r="N208" s="92">
        <f t="shared" si="107"/>
        <v>121.8</v>
      </c>
      <c r="O208" s="365">
        <f t="shared" si="129"/>
        <v>30.5</v>
      </c>
      <c r="P208" s="90" t="s">
        <v>18</v>
      </c>
      <c r="Q208" s="114">
        <f t="shared" si="92"/>
        <v>1306.3259999999991</v>
      </c>
      <c r="R208" s="95">
        <f t="shared" si="93"/>
        <v>1237.69</v>
      </c>
      <c r="S208" s="480">
        <f t="shared" si="94"/>
        <v>2544</v>
      </c>
      <c r="T208" s="90" t="s">
        <v>18</v>
      </c>
      <c r="U208" s="89">
        <v>1999</v>
      </c>
      <c r="V208" s="89">
        <v>12</v>
      </c>
      <c r="W208" s="154">
        <f t="shared" si="95"/>
        <v>11285.754315175969</v>
      </c>
      <c r="X208" s="154">
        <f t="shared" si="105"/>
        <v>-342.47196649757279</v>
      </c>
      <c r="Y208" s="134"/>
      <c r="Z208" s="155">
        <f t="shared" si="96"/>
        <v>201383</v>
      </c>
      <c r="AA208" s="156">
        <f t="shared" si="90"/>
        <v>2544</v>
      </c>
      <c r="AB208" s="155">
        <f t="shared" si="97"/>
        <v>201383</v>
      </c>
      <c r="AC208" s="89">
        <v>1999</v>
      </c>
      <c r="AD208" s="89">
        <v>12</v>
      </c>
      <c r="AE208" s="110">
        <f>RESID!AC208</f>
        <v>31.7</v>
      </c>
      <c r="AF208" s="116">
        <f t="shared" si="98"/>
        <v>10830.026899798251</v>
      </c>
      <c r="AG208" s="89">
        <f t="shared" si="99"/>
        <v>193251</v>
      </c>
      <c r="AH208" s="89">
        <f t="shared" si="116"/>
        <v>4052</v>
      </c>
      <c r="AI208" s="89"/>
      <c r="AJ208" s="89"/>
      <c r="AK208" s="89"/>
      <c r="AY208" s="89">
        <v>1999</v>
      </c>
      <c r="AZ208" s="89">
        <v>12</v>
      </c>
      <c r="BA208" s="4">
        <f>'[8]Gov 65 &amp; 70'!$S293</f>
        <v>19.899999999999999</v>
      </c>
      <c r="BB208" s="4">
        <f t="shared" si="108"/>
        <v>28.2</v>
      </c>
      <c r="BC208" s="111">
        <f t="shared" si="131"/>
        <v>8.3000000000000007</v>
      </c>
      <c r="BD208" s="113" t="s">
        <v>18</v>
      </c>
      <c r="BE208" s="89">
        <f>'[8]Gov 65 &amp; 70'!$J293</f>
        <v>175.7</v>
      </c>
      <c r="BF208" s="89">
        <f t="shared" si="109"/>
        <v>170</v>
      </c>
      <c r="BG208" s="112">
        <f t="shared" si="132"/>
        <v>-5.6999999999999886</v>
      </c>
      <c r="BH208" s="113" t="s">
        <v>18</v>
      </c>
      <c r="BI208" s="274">
        <f t="shared" si="102"/>
        <v>1902.1940000000002</v>
      </c>
      <c r="BJ208" s="275">
        <f t="shared" si="103"/>
        <v>-231.30599999999953</v>
      </c>
      <c r="BK208" s="483">
        <f t="shared" si="104"/>
        <v>1671</v>
      </c>
      <c r="BL208" s="277"/>
      <c r="BM208" s="113" t="s">
        <v>18</v>
      </c>
      <c r="BN208" s="89">
        <v>1999</v>
      </c>
      <c r="BO208" s="89">
        <v>12</v>
      </c>
      <c r="BP208" s="117">
        <f>(C208+[4]MWh!$AN42)</f>
        <v>205328.1862110424</v>
      </c>
      <c r="BQ208" s="117">
        <f t="shared" si="111"/>
        <v>11506.847467554495</v>
      </c>
      <c r="BR208" s="117">
        <f t="shared" si="112"/>
        <v>11600.492390217574</v>
      </c>
      <c r="BS208" s="117">
        <f t="shared" si="118"/>
        <v>260.32433764696179</v>
      </c>
      <c r="BT208" s="176">
        <f t="shared" si="113"/>
        <v>206999.1862110424</v>
      </c>
      <c r="BU208" s="117">
        <f>BT208-BT196</f>
        <v>14556.534358919103</v>
      </c>
      <c r="BV208" s="139">
        <f t="shared" si="130"/>
        <v>1671</v>
      </c>
      <c r="BW208" s="89"/>
      <c r="BX208" s="89"/>
      <c r="BY208" s="89"/>
      <c r="BZ208" s="89"/>
      <c r="CA208" s="89"/>
      <c r="CB208" s="89"/>
      <c r="CC208" s="89"/>
      <c r="CD208" s="89"/>
      <c r="CE208" s="89"/>
      <c r="CF208" s="89"/>
      <c r="CG208" s="89"/>
      <c r="CH208" s="89"/>
      <c r="CI208" s="89"/>
      <c r="CJ208" s="89"/>
      <c r="CK208" s="89"/>
      <c r="CL208" s="89"/>
      <c r="CM208" s="89"/>
      <c r="CN208" s="89"/>
      <c r="CO208" s="89"/>
      <c r="CP208" s="89"/>
      <c r="CQ208" s="89"/>
      <c r="CR208" s="89"/>
      <c r="CS208" s="89"/>
      <c r="CT208" s="89"/>
      <c r="CU208" s="89"/>
    </row>
    <row r="209" spans="1:90" s="23" customFormat="1">
      <c r="A209" s="4">
        <v>2000</v>
      </c>
      <c r="B209" s="4">
        <v>1</v>
      </c>
      <c r="C209" s="5">
        <v>176784</v>
      </c>
      <c r="D209" s="5">
        <v>16934</v>
      </c>
      <c r="E209" s="73">
        <f t="shared" ref="E209:E221" si="133">ROUND(C209/D209*1000,0)</f>
        <v>10440</v>
      </c>
      <c r="F209" s="540">
        <f t="shared" si="91"/>
        <v>16934</v>
      </c>
      <c r="G209" s="4"/>
      <c r="H209" s="13" t="s">
        <v>18</v>
      </c>
      <c r="I209" s="76">
        <f>'[7]Gov 65 &amp; 70'!$S294</f>
        <v>23</v>
      </c>
      <c r="J209" s="76">
        <f t="shared" si="106"/>
        <v>28.7</v>
      </c>
      <c r="K209" s="362">
        <f t="shared" ref="K209:K214" si="134">(J209-I209)</f>
        <v>5.6999999999999993</v>
      </c>
      <c r="L209" s="200" t="s">
        <v>18</v>
      </c>
      <c r="M209" s="76">
        <f>'[7]Gov 65 &amp; 70'!$J294</f>
        <v>162.6</v>
      </c>
      <c r="N209" s="76">
        <f t="shared" si="107"/>
        <v>192.9</v>
      </c>
      <c r="O209" s="363">
        <f t="shared" ref="O209:O214" si="135">(N209-M209)</f>
        <v>30.300000000000011</v>
      </c>
      <c r="P209" s="13" t="s">
        <v>18</v>
      </c>
      <c r="Q209" s="77">
        <f t="shared" si="92"/>
        <v>1306.3259999999998</v>
      </c>
      <c r="R209" s="78">
        <f t="shared" si="93"/>
        <v>1229.5740000000003</v>
      </c>
      <c r="S209" s="479">
        <f t="shared" si="94"/>
        <v>2536</v>
      </c>
      <c r="T209" s="13" t="s">
        <v>18</v>
      </c>
      <c r="U209" s="4">
        <v>2000</v>
      </c>
      <c r="V209" s="4">
        <v>1</v>
      </c>
      <c r="W209" s="153">
        <f t="shared" si="95"/>
        <v>10589.34687610724</v>
      </c>
      <c r="X209" s="153">
        <f t="shared" si="105"/>
        <v>-168.17082968632712</v>
      </c>
      <c r="Y209" s="80"/>
      <c r="Z209" s="98">
        <f t="shared" si="96"/>
        <v>179320</v>
      </c>
      <c r="AA209" s="119">
        <f t="shared" ref="AA209:AA233" si="136">Z209-C209</f>
        <v>2536</v>
      </c>
      <c r="AB209" s="512">
        <f>[9]SPAMWh!$L89</f>
        <v>185795</v>
      </c>
      <c r="AC209" s="4">
        <v>2000</v>
      </c>
      <c r="AD209" s="4">
        <v>1</v>
      </c>
      <c r="AE209" s="107">
        <f>RESID!AC209</f>
        <v>30.65</v>
      </c>
      <c r="AF209" s="40">
        <f t="shared" si="98"/>
        <v>10509.861816463919</v>
      </c>
      <c r="AG209" s="4">
        <f t="shared" si="99"/>
        <v>177974</v>
      </c>
      <c r="AH209" s="4">
        <f t="shared" si="116"/>
        <v>-5989</v>
      </c>
      <c r="AI209" s="4"/>
      <c r="AJ209" s="4"/>
      <c r="AK209" s="4"/>
      <c r="AL209" s="89"/>
      <c r="AM209" s="89"/>
      <c r="AN209" s="89"/>
      <c r="AO209" s="89"/>
      <c r="AP209" s="89"/>
      <c r="AQ209" s="89"/>
      <c r="AR209" s="89"/>
      <c r="AS209" s="89"/>
      <c r="AT209" s="89"/>
      <c r="AU209" s="89"/>
      <c r="AV209" s="89"/>
      <c r="AW209" s="89"/>
      <c r="AX209" s="89"/>
      <c r="AY209" s="4">
        <v>2000</v>
      </c>
      <c r="AZ209" s="4">
        <v>1</v>
      </c>
      <c r="BA209" s="4">
        <f>'[8]Gov 65 &amp; 70'!$S294</f>
        <v>21.3</v>
      </c>
      <c r="BB209" s="4">
        <f t="shared" si="108"/>
        <v>23.9</v>
      </c>
      <c r="BC209" s="82">
        <f t="shared" si="131"/>
        <v>2.5999999999999979</v>
      </c>
      <c r="BD209" s="36" t="s">
        <v>18</v>
      </c>
      <c r="BE209" s="4">
        <f>'[8]Gov 65 &amp; 70'!$J294</f>
        <v>208.3</v>
      </c>
      <c r="BF209" s="4">
        <f t="shared" si="109"/>
        <v>176.9</v>
      </c>
      <c r="BG209" s="83">
        <f t="shared" si="132"/>
        <v>-31.400000000000006</v>
      </c>
      <c r="BH209" s="36" t="s">
        <v>18</v>
      </c>
      <c r="BI209" s="273">
        <f t="shared" si="102"/>
        <v>595.86799999999948</v>
      </c>
      <c r="BJ209" s="270">
        <f t="shared" si="103"/>
        <v>-1274.2120000000002</v>
      </c>
      <c r="BK209" s="482">
        <f t="shared" si="104"/>
        <v>-678</v>
      </c>
      <c r="BL209" s="276"/>
      <c r="BM209" s="36" t="s">
        <v>18</v>
      </c>
      <c r="BN209" s="4">
        <v>2000</v>
      </c>
      <c r="BO209" s="4">
        <v>1</v>
      </c>
      <c r="BP209" s="108">
        <f>(C209+[4]MWh!$AN43)</f>
        <v>179165.87561419481</v>
      </c>
      <c r="BQ209" s="108">
        <f t="shared" si="111"/>
        <v>10580.245400625654</v>
      </c>
      <c r="BR209" s="108">
        <f t="shared" si="112"/>
        <v>10540.207606838007</v>
      </c>
      <c r="BS209" s="108">
        <f t="shared" si="118"/>
        <v>415.28297747933902</v>
      </c>
      <c r="BT209" s="175">
        <f t="shared" si="113"/>
        <v>178487.87561419481</v>
      </c>
      <c r="BU209" s="108">
        <f t="shared" ref="BU209:BU214" si="137">BT209-BT197</f>
        <v>4075.9239488623862</v>
      </c>
      <c r="BV209" s="137">
        <f t="shared" si="130"/>
        <v>-678</v>
      </c>
      <c r="BW209" s="4"/>
      <c r="BX209" s="4"/>
    </row>
    <row r="210" spans="1:90">
      <c r="A210" s="4">
        <v>2000</v>
      </c>
      <c r="B210" s="4">
        <v>2</v>
      </c>
      <c r="C210" s="5">
        <v>199336</v>
      </c>
      <c r="D210" s="5">
        <v>17884</v>
      </c>
      <c r="E210" s="73">
        <f t="shared" si="133"/>
        <v>11146</v>
      </c>
      <c r="F210" s="540">
        <f t="shared" ref="F210:F273" si="138">D210</f>
        <v>17884</v>
      </c>
      <c r="H210" s="13" t="s">
        <v>18</v>
      </c>
      <c r="I210" s="76">
        <f>'[7]Gov 65 &amp; 70'!$S295</f>
        <v>14.1</v>
      </c>
      <c r="J210" s="76">
        <f t="shared" si="106"/>
        <v>22.6</v>
      </c>
      <c r="K210" s="362">
        <f t="shared" si="134"/>
        <v>8.5000000000000018</v>
      </c>
      <c r="L210" s="200" t="s">
        <v>18</v>
      </c>
      <c r="M210" s="76">
        <f>'[7]Gov 65 &amp; 70'!$J295</f>
        <v>250.7</v>
      </c>
      <c r="N210" s="76">
        <f t="shared" si="107"/>
        <v>177.2</v>
      </c>
      <c r="O210" s="363">
        <f t="shared" si="135"/>
        <v>-73.5</v>
      </c>
      <c r="P210" s="13" t="s">
        <v>18</v>
      </c>
      <c r="Q210" s="77">
        <f t="shared" ref="Q210:Q273" si="139">K210*$C$10</f>
        <v>1948.0300000000004</v>
      </c>
      <c r="R210" s="78">
        <f t="shared" ref="R210:R273" si="140">O210*$C$9</f>
        <v>-2982.6299999999997</v>
      </c>
      <c r="S210" s="479">
        <f t="shared" ref="S210:S273" si="141">ROUND((R210+Q210),0)</f>
        <v>-1035</v>
      </c>
      <c r="T210" s="13" t="s">
        <v>18</v>
      </c>
      <c r="U210" s="4">
        <v>2000</v>
      </c>
      <c r="V210" s="4">
        <v>2</v>
      </c>
      <c r="W210" s="153">
        <f t="shared" ref="W210:W273" si="142">Z210/D210*1000</f>
        <v>11088.179378215164</v>
      </c>
      <c r="X210" s="153">
        <f t="shared" si="105"/>
        <v>813.31542082254964</v>
      </c>
      <c r="Y210" s="80"/>
      <c r="Z210" s="98">
        <f t="shared" ref="Z210:Z273" si="143">S210+C210</f>
        <v>198301</v>
      </c>
      <c r="AA210" s="119">
        <f t="shared" si="136"/>
        <v>-1035</v>
      </c>
      <c r="AB210" s="512">
        <f>[9]SPAMWh!$L90</f>
        <v>197377</v>
      </c>
      <c r="AC210" s="4">
        <v>2000</v>
      </c>
      <c r="AD210" s="4">
        <v>2</v>
      </c>
      <c r="AE210" s="107">
        <f>RESID!AC210</f>
        <v>30.8</v>
      </c>
      <c r="AF210" s="40">
        <f t="shared" ref="AF210:AF273" si="144">AG210/D210*1000</f>
        <v>10951.35316484008</v>
      </c>
      <c r="AG210" s="4">
        <f t="shared" ref="AG210:AG273" si="145">ROUND(Z210/(AE210/30.42),0)</f>
        <v>195854</v>
      </c>
      <c r="AH210" s="4">
        <f t="shared" si="116"/>
        <v>20813</v>
      </c>
      <c r="AY210" s="4">
        <v>2000</v>
      </c>
      <c r="AZ210" s="4">
        <v>2</v>
      </c>
      <c r="BA210" s="4">
        <f>'[8]Gov 65 &amp; 70'!$S295</f>
        <v>30</v>
      </c>
      <c r="BB210" s="4">
        <f t="shared" si="108"/>
        <v>32.799999999999997</v>
      </c>
      <c r="BC210" s="82">
        <f t="shared" si="131"/>
        <v>2.7999999999999972</v>
      </c>
      <c r="BD210" s="36" t="s">
        <v>18</v>
      </c>
      <c r="BE210" s="4">
        <f>'[8]Gov 65 &amp; 70'!$J295</f>
        <v>149.6</v>
      </c>
      <c r="BF210" s="4">
        <f t="shared" si="109"/>
        <v>139.1</v>
      </c>
      <c r="BG210" s="83">
        <f t="shared" si="132"/>
        <v>-10.5</v>
      </c>
      <c r="BH210" s="36" t="s">
        <v>18</v>
      </c>
      <c r="BI210" s="273">
        <f t="shared" ref="BI210:BI273" si="146">$C$10*BC210</f>
        <v>641.70399999999938</v>
      </c>
      <c r="BJ210" s="270">
        <f t="shared" ref="BJ210:BJ273" si="147">$C$9*BG210</f>
        <v>-426.09</v>
      </c>
      <c r="BK210" s="482">
        <f t="shared" ref="BK210:BK273" si="148">ROUND(BJ210+BI210,0)</f>
        <v>216</v>
      </c>
      <c r="BL210" s="276"/>
      <c r="BM210" s="36" t="s">
        <v>18</v>
      </c>
      <c r="BN210" s="4">
        <v>2000</v>
      </c>
      <c r="BO210" s="4">
        <v>2</v>
      </c>
      <c r="BP210" s="108">
        <f>(C210+[4]MWh!$AN44)</f>
        <v>164882.50934391579</v>
      </c>
      <c r="BQ210" s="108">
        <f t="shared" si="111"/>
        <v>9219.5543135716725</v>
      </c>
      <c r="BR210" s="108">
        <f t="shared" si="112"/>
        <v>9231.6321485079297</v>
      </c>
      <c r="BS210" s="108">
        <f t="shared" si="118"/>
        <v>-1478.1961797358799</v>
      </c>
      <c r="BT210" s="175">
        <f t="shared" si="113"/>
        <v>165098.50934391579</v>
      </c>
      <c r="BU210" s="108">
        <f t="shared" si="137"/>
        <v>-19903.065198167751</v>
      </c>
      <c r="BV210" s="137">
        <f t="shared" si="130"/>
        <v>216</v>
      </c>
    </row>
    <row r="211" spans="1:90">
      <c r="A211" s="4">
        <v>2000</v>
      </c>
      <c r="B211" s="4">
        <v>3</v>
      </c>
      <c r="C211" s="5">
        <v>196410</v>
      </c>
      <c r="D211" s="5">
        <v>17679</v>
      </c>
      <c r="E211" s="73">
        <f t="shared" si="133"/>
        <v>11110</v>
      </c>
      <c r="F211" s="540">
        <f t="shared" si="138"/>
        <v>17679</v>
      </c>
      <c r="H211" s="13" t="s">
        <v>18</v>
      </c>
      <c r="I211" s="76">
        <f>'[7]Gov 65 &amp; 70'!$S296</f>
        <v>51.8</v>
      </c>
      <c r="J211" s="76">
        <f t="shared" si="106"/>
        <v>44.5</v>
      </c>
      <c r="K211" s="362">
        <f t="shared" si="134"/>
        <v>-7.2999999999999972</v>
      </c>
      <c r="L211" s="200" t="s">
        <v>18</v>
      </c>
      <c r="M211" s="76">
        <f>'[7]Gov 65 &amp; 70'!$J296</f>
        <v>85.5</v>
      </c>
      <c r="N211" s="76">
        <f t="shared" si="107"/>
        <v>119.5</v>
      </c>
      <c r="O211" s="363">
        <f t="shared" si="135"/>
        <v>34</v>
      </c>
      <c r="P211" s="13" t="s">
        <v>18</v>
      </c>
      <c r="Q211" s="77">
        <f t="shared" si="139"/>
        <v>-1673.0139999999994</v>
      </c>
      <c r="R211" s="78">
        <f t="shared" si="140"/>
        <v>1379.72</v>
      </c>
      <c r="S211" s="479">
        <f t="shared" si="141"/>
        <v>-293</v>
      </c>
      <c r="T211" s="13" t="s">
        <v>18</v>
      </c>
      <c r="U211" s="4">
        <v>2000</v>
      </c>
      <c r="V211" s="4">
        <v>3</v>
      </c>
      <c r="W211" s="153">
        <f t="shared" si="142"/>
        <v>11093.217942191301</v>
      </c>
      <c r="X211" s="153">
        <f t="shared" si="105"/>
        <v>175.96893217499382</v>
      </c>
      <c r="Y211" s="80"/>
      <c r="Z211" s="98">
        <f t="shared" si="143"/>
        <v>196117</v>
      </c>
      <c r="AA211" s="119">
        <f t="shared" si="136"/>
        <v>-293</v>
      </c>
      <c r="AB211" s="512">
        <f>[9]SPAMWh!$L91</f>
        <v>196911</v>
      </c>
      <c r="AC211" s="4">
        <v>2000</v>
      </c>
      <c r="AD211" s="4">
        <v>3</v>
      </c>
      <c r="AE211" s="107">
        <f>RESID!AC211</f>
        <v>29.4</v>
      </c>
      <c r="AF211" s="40">
        <f t="shared" si="144"/>
        <v>11478.081339442277</v>
      </c>
      <c r="AG211" s="4">
        <f t="shared" si="145"/>
        <v>202921</v>
      </c>
      <c r="AH211" s="4">
        <f t="shared" si="116"/>
        <v>8646</v>
      </c>
      <c r="AI211" s="23"/>
      <c r="AY211" s="4">
        <v>2000</v>
      </c>
      <c r="AZ211" s="4">
        <v>3</v>
      </c>
      <c r="BA211" s="4">
        <f>'[8]Gov 65 &amp; 70'!$S296</f>
        <v>84.8</v>
      </c>
      <c r="BB211" s="4">
        <f t="shared" si="108"/>
        <v>64.099999999999994</v>
      </c>
      <c r="BC211" s="82">
        <f t="shared" si="131"/>
        <v>-20.700000000000003</v>
      </c>
      <c r="BD211" s="36" t="s">
        <v>18</v>
      </c>
      <c r="BE211" s="4">
        <f>'[8]Gov 65 &amp; 70'!$J296</f>
        <v>42.6</v>
      </c>
      <c r="BF211" s="4">
        <f t="shared" si="109"/>
        <v>85.4</v>
      </c>
      <c r="BG211" s="83">
        <f t="shared" si="132"/>
        <v>42.800000000000004</v>
      </c>
      <c r="BH211" s="36" t="s">
        <v>18</v>
      </c>
      <c r="BI211" s="273">
        <f t="shared" si="146"/>
        <v>-4744.0260000000007</v>
      </c>
      <c r="BJ211" s="270">
        <f t="shared" si="147"/>
        <v>1736.8240000000001</v>
      </c>
      <c r="BK211" s="482">
        <f t="shared" si="148"/>
        <v>-3007</v>
      </c>
      <c r="BL211" s="276"/>
      <c r="BM211" s="36" t="s">
        <v>18</v>
      </c>
      <c r="BN211" s="4">
        <v>2000</v>
      </c>
      <c r="BO211" s="4">
        <v>3</v>
      </c>
      <c r="BP211" s="108">
        <f>(C211+[4]MWh!$AN45)</f>
        <v>230649.27917394257</v>
      </c>
      <c r="BQ211" s="108">
        <f t="shared" si="111"/>
        <v>13046.511633799568</v>
      </c>
      <c r="BR211" s="108">
        <f t="shared" si="112"/>
        <v>12876.422827871633</v>
      </c>
      <c r="BS211" s="108">
        <f t="shared" si="118"/>
        <v>1590.9190868813439</v>
      </c>
      <c r="BT211" s="175">
        <f t="shared" si="113"/>
        <v>227642.27917394257</v>
      </c>
      <c r="BU211" s="108">
        <f t="shared" si="137"/>
        <v>33847.60893365735</v>
      </c>
      <c r="BV211" s="137">
        <f t="shared" si="130"/>
        <v>-3007</v>
      </c>
    </row>
    <row r="212" spans="1:90">
      <c r="A212" s="4">
        <v>2000</v>
      </c>
      <c r="B212" s="4">
        <v>4</v>
      </c>
      <c r="C212" s="5">
        <v>210411</v>
      </c>
      <c r="D212" s="5">
        <v>17989</v>
      </c>
      <c r="E212" s="73">
        <f t="shared" si="133"/>
        <v>11697</v>
      </c>
      <c r="F212" s="540">
        <f t="shared" si="138"/>
        <v>17989</v>
      </c>
      <c r="H212" s="13" t="s">
        <v>18</v>
      </c>
      <c r="I212" s="76">
        <f>'[7]Gov 65 &amp; 70'!$S297</f>
        <v>93.9</v>
      </c>
      <c r="J212" s="76">
        <f t="shared" si="106"/>
        <v>87.7</v>
      </c>
      <c r="K212" s="362">
        <f t="shared" si="134"/>
        <v>-6.2000000000000028</v>
      </c>
      <c r="L212" s="200" t="s">
        <v>18</v>
      </c>
      <c r="M212" s="76">
        <f>'[7]Gov 65 &amp; 70'!$J297</f>
        <v>44.3</v>
      </c>
      <c r="N212" s="76">
        <f t="shared" si="107"/>
        <v>60.3</v>
      </c>
      <c r="O212" s="363">
        <f t="shared" si="135"/>
        <v>16</v>
      </c>
      <c r="P212" s="13" t="s">
        <v>18</v>
      </c>
      <c r="Q212" s="77">
        <f t="shared" si="139"/>
        <v>-1420.9160000000006</v>
      </c>
      <c r="R212" s="78">
        <f t="shared" si="140"/>
        <v>649.28</v>
      </c>
      <c r="S212" s="479">
        <f t="shared" si="141"/>
        <v>-772</v>
      </c>
      <c r="T212" s="13" t="s">
        <v>18</v>
      </c>
      <c r="U212" s="4">
        <v>2000</v>
      </c>
      <c r="V212" s="4">
        <v>4</v>
      </c>
      <c r="W212" s="153">
        <f t="shared" si="142"/>
        <v>11653.732836733559</v>
      </c>
      <c r="X212" s="153">
        <f t="shared" si="105"/>
        <v>761.69263340638827</v>
      </c>
      <c r="Y212" s="80"/>
      <c r="Z212" s="98">
        <f t="shared" si="143"/>
        <v>209639</v>
      </c>
      <c r="AA212" s="119">
        <f t="shared" si="136"/>
        <v>-772</v>
      </c>
      <c r="AB212" s="512">
        <f>[9]SPAMWh!$L92</f>
        <v>208860</v>
      </c>
      <c r="AC212" s="4">
        <v>2000</v>
      </c>
      <c r="AD212" s="4">
        <v>4</v>
      </c>
      <c r="AE212" s="107">
        <f>RESID!AC212</f>
        <v>31.05</v>
      </c>
      <c r="AF212" s="40">
        <f t="shared" si="144"/>
        <v>11417.254989160043</v>
      </c>
      <c r="AG212" s="4">
        <f t="shared" si="145"/>
        <v>205385</v>
      </c>
      <c r="AH212" s="4">
        <f t="shared" si="116"/>
        <v>21076</v>
      </c>
      <c r="AY212" s="4">
        <v>2000</v>
      </c>
      <c r="AZ212" s="4">
        <v>4</v>
      </c>
      <c r="BA212" s="4">
        <f>'[8]Gov 65 &amp; 70'!$S297</f>
        <v>100.5</v>
      </c>
      <c r="BB212" s="4">
        <f t="shared" si="108"/>
        <v>122</v>
      </c>
      <c r="BC212" s="82">
        <f t="shared" ref="BC212:BC217" si="149">BB212-BA212</f>
        <v>21.5</v>
      </c>
      <c r="BD212" s="36" t="s">
        <v>18</v>
      </c>
      <c r="BE212" s="4">
        <f>'[8]Gov 65 &amp; 70'!$J297</f>
        <v>42.3</v>
      </c>
      <c r="BF212" s="4">
        <f t="shared" si="109"/>
        <v>34.700000000000003</v>
      </c>
      <c r="BG212" s="83">
        <f t="shared" ref="BG212:BG217" si="150">BF212-BE212</f>
        <v>-7.5999999999999943</v>
      </c>
      <c r="BH212" s="36" t="s">
        <v>18</v>
      </c>
      <c r="BI212" s="273">
        <f t="shared" si="146"/>
        <v>4927.37</v>
      </c>
      <c r="BJ212" s="270">
        <f t="shared" si="147"/>
        <v>-308.40799999999973</v>
      </c>
      <c r="BK212" s="482">
        <f t="shared" si="148"/>
        <v>4619</v>
      </c>
      <c r="BL212" s="276"/>
      <c r="BM212" s="36" t="s">
        <v>18</v>
      </c>
      <c r="BN212" s="4">
        <v>2000</v>
      </c>
      <c r="BO212" s="4">
        <v>4</v>
      </c>
      <c r="BP212" s="108">
        <f>(C212+[4]MWh!$AN46)</f>
        <v>202058.47746657216</v>
      </c>
      <c r="BQ212" s="108">
        <f t="shared" si="111"/>
        <v>11232.335175194406</v>
      </c>
      <c r="BR212" s="108">
        <f t="shared" si="112"/>
        <v>11489.103200098514</v>
      </c>
      <c r="BS212" s="108">
        <f t="shared" si="118"/>
        <v>849.37858558575681</v>
      </c>
      <c r="BT212" s="175">
        <f t="shared" si="113"/>
        <v>206677.47746657216</v>
      </c>
      <c r="BU212" s="108">
        <f t="shared" si="137"/>
        <v>22482.564940127282</v>
      </c>
      <c r="BV212" s="137">
        <f t="shared" si="130"/>
        <v>4619</v>
      </c>
    </row>
    <row r="213" spans="1:90">
      <c r="A213" s="4">
        <v>2000</v>
      </c>
      <c r="B213" s="4">
        <v>5</v>
      </c>
      <c r="C213" s="5">
        <v>201875</v>
      </c>
      <c r="D213" s="5">
        <v>17866</v>
      </c>
      <c r="E213" s="73">
        <f t="shared" si="133"/>
        <v>11299</v>
      </c>
      <c r="F213" s="540">
        <f t="shared" si="138"/>
        <v>17866</v>
      </c>
      <c r="H213" s="13" t="s">
        <v>18</v>
      </c>
      <c r="I213" s="76">
        <f>'[7]Gov 65 &amp; 70'!$S298</f>
        <v>154.9</v>
      </c>
      <c r="J213" s="76">
        <f t="shared" si="106"/>
        <v>157.69999999999999</v>
      </c>
      <c r="K213" s="362">
        <f t="shared" si="134"/>
        <v>2.7999999999999829</v>
      </c>
      <c r="L213" s="200" t="s">
        <v>18</v>
      </c>
      <c r="M213" s="76">
        <f>'[7]Gov 65 &amp; 70'!$J298</f>
        <v>24.2</v>
      </c>
      <c r="N213" s="76">
        <f t="shared" si="107"/>
        <v>18.600000000000001</v>
      </c>
      <c r="O213" s="363">
        <f t="shared" si="135"/>
        <v>-5.5999999999999979</v>
      </c>
      <c r="P213" s="13" t="s">
        <v>18</v>
      </c>
      <c r="Q213" s="77">
        <f t="shared" si="139"/>
        <v>641.70399999999609</v>
      </c>
      <c r="R213" s="78">
        <f t="shared" si="140"/>
        <v>-227.24799999999991</v>
      </c>
      <c r="S213" s="479">
        <f t="shared" si="141"/>
        <v>414</v>
      </c>
      <c r="T213" s="13" t="s">
        <v>18</v>
      </c>
      <c r="U213" s="4">
        <v>2000</v>
      </c>
      <c r="V213" s="4">
        <v>5</v>
      </c>
      <c r="W213" s="153">
        <f t="shared" si="142"/>
        <v>11322.56800626889</v>
      </c>
      <c r="X213" s="153">
        <f t="shared" si="105"/>
        <v>-201.44210325090899</v>
      </c>
      <c r="Y213" s="80"/>
      <c r="Z213" s="98">
        <f t="shared" si="143"/>
        <v>202289</v>
      </c>
      <c r="AA213" s="119">
        <f t="shared" si="136"/>
        <v>414</v>
      </c>
      <c r="AB213" s="512">
        <f>[9]SPAMWh!$L93</f>
        <v>203091</v>
      </c>
      <c r="AC213" s="4">
        <v>2000</v>
      </c>
      <c r="AD213" s="4">
        <v>5</v>
      </c>
      <c r="AE213" s="107">
        <f>RESID!AC213</f>
        <v>30.55</v>
      </c>
      <c r="AF213" s="40">
        <f t="shared" si="144"/>
        <v>11274.375909548864</v>
      </c>
      <c r="AG213" s="4">
        <f t="shared" si="145"/>
        <v>201428</v>
      </c>
      <c r="AH213" s="4">
        <f t="shared" si="116"/>
        <v>-2896</v>
      </c>
      <c r="AY213" s="4">
        <v>2000</v>
      </c>
      <c r="AZ213" s="4">
        <v>5</v>
      </c>
      <c r="BA213" s="4">
        <f>'[8]Gov 65 &amp; 70'!$S298</f>
        <v>285.60000000000002</v>
      </c>
      <c r="BB213" s="4">
        <f t="shared" si="108"/>
        <v>253</v>
      </c>
      <c r="BC213" s="82">
        <f t="shared" si="149"/>
        <v>-32.600000000000023</v>
      </c>
      <c r="BD213" s="36" t="s">
        <v>18</v>
      </c>
      <c r="BE213" s="4">
        <f>'[8]Gov 65 &amp; 70'!$J298</f>
        <v>4.3</v>
      </c>
      <c r="BF213" s="4">
        <f t="shared" si="109"/>
        <v>4.3</v>
      </c>
      <c r="BG213" s="83">
        <f t="shared" si="150"/>
        <v>0</v>
      </c>
      <c r="BH213" s="36" t="s">
        <v>18</v>
      </c>
      <c r="BI213" s="273">
        <f t="shared" si="146"/>
        <v>-7471.2680000000055</v>
      </c>
      <c r="BJ213" s="270">
        <f t="shared" si="147"/>
        <v>0</v>
      </c>
      <c r="BK213" s="482">
        <f t="shared" si="148"/>
        <v>-7471</v>
      </c>
      <c r="BL213" s="276"/>
      <c r="BM213" s="36" t="s">
        <v>18</v>
      </c>
      <c r="BN213" s="4">
        <v>2000</v>
      </c>
      <c r="BO213" s="4">
        <v>5</v>
      </c>
      <c r="BP213" s="108">
        <f>(C213+[4]MWh!$AN47)</f>
        <v>231789.42426376219</v>
      </c>
      <c r="BQ213" s="108">
        <f t="shared" si="111"/>
        <v>12973.772767478014</v>
      </c>
      <c r="BR213" s="108">
        <f t="shared" si="112"/>
        <v>12555.604179097851</v>
      </c>
      <c r="BS213" s="108">
        <f t="shared" si="118"/>
        <v>-750.65788877390332</v>
      </c>
      <c r="BT213" s="175">
        <f t="shared" si="113"/>
        <v>224318.42426376219</v>
      </c>
      <c r="BU213" s="108">
        <f t="shared" si="137"/>
        <v>-12599.571854694397</v>
      </c>
      <c r="BV213" s="137">
        <f t="shared" si="130"/>
        <v>-7471</v>
      </c>
    </row>
    <row r="214" spans="1:90">
      <c r="A214" s="4">
        <v>2000</v>
      </c>
      <c r="B214" s="4">
        <v>6</v>
      </c>
      <c r="C214" s="5">
        <v>251831</v>
      </c>
      <c r="D214" s="5">
        <v>17763</v>
      </c>
      <c r="E214" s="73">
        <f t="shared" si="133"/>
        <v>14177</v>
      </c>
      <c r="F214" s="540">
        <f t="shared" si="138"/>
        <v>17763</v>
      </c>
      <c r="H214" s="13" t="s">
        <v>18</v>
      </c>
      <c r="I214" s="76">
        <f>'[7]Gov 65 &amp; 70'!$S299</f>
        <v>337.3</v>
      </c>
      <c r="J214" s="76">
        <f t="shared" si="106"/>
        <v>295.39999999999998</v>
      </c>
      <c r="K214" s="362">
        <f t="shared" si="134"/>
        <v>-41.900000000000034</v>
      </c>
      <c r="L214" s="200" t="s">
        <v>18</v>
      </c>
      <c r="M214" s="76">
        <f>'[7]Gov 65 &amp; 70'!$J299</f>
        <v>1.4</v>
      </c>
      <c r="N214" s="76">
        <f t="shared" si="107"/>
        <v>2.2000000000000002</v>
      </c>
      <c r="O214" s="363">
        <f t="shared" si="135"/>
        <v>0.80000000000000027</v>
      </c>
      <c r="P214" s="13" t="s">
        <v>18</v>
      </c>
      <c r="Q214" s="77">
        <f t="shared" si="139"/>
        <v>-9602.6420000000089</v>
      </c>
      <c r="R214" s="78">
        <f t="shared" si="140"/>
        <v>32.464000000000013</v>
      </c>
      <c r="S214" s="479">
        <f t="shared" si="141"/>
        <v>-9570</v>
      </c>
      <c r="T214" s="13" t="s">
        <v>18</v>
      </c>
      <c r="U214" s="4">
        <v>2000</v>
      </c>
      <c r="V214" s="4">
        <v>6</v>
      </c>
      <c r="W214" s="153">
        <f t="shared" si="142"/>
        <v>13638.518268310532</v>
      </c>
      <c r="X214" s="153">
        <f t="shared" si="105"/>
        <v>1035.6055899383446</v>
      </c>
      <c r="Y214" s="80"/>
      <c r="Z214" s="98">
        <f t="shared" si="143"/>
        <v>242261</v>
      </c>
      <c r="AA214" s="119">
        <f t="shared" si="136"/>
        <v>-9570</v>
      </c>
      <c r="AB214" s="512">
        <f>[9]SPAMWh!$L94</f>
        <v>242087</v>
      </c>
      <c r="AC214" s="4">
        <v>2000</v>
      </c>
      <c r="AD214" s="4">
        <v>6</v>
      </c>
      <c r="AE214" s="107">
        <f>RESID!AC214</f>
        <v>30.8</v>
      </c>
      <c r="AF214" s="40">
        <f t="shared" si="144"/>
        <v>13470.247142937566</v>
      </c>
      <c r="AG214" s="4">
        <f t="shared" si="145"/>
        <v>239272</v>
      </c>
      <c r="AH214" s="4">
        <f t="shared" si="116"/>
        <v>27646</v>
      </c>
      <c r="AI214" s="23"/>
      <c r="AY214" s="4">
        <v>2000</v>
      </c>
      <c r="AZ214" s="4">
        <v>6</v>
      </c>
      <c r="BA214" s="4">
        <f>'[8]Gov 65 &amp; 70'!$S299</f>
        <v>350</v>
      </c>
      <c r="BB214" s="4">
        <f t="shared" si="108"/>
        <v>336.1</v>
      </c>
      <c r="BC214" s="82">
        <f t="shared" si="149"/>
        <v>-13.899999999999977</v>
      </c>
      <c r="BD214" s="36" t="s">
        <v>18</v>
      </c>
      <c r="BE214" s="4">
        <f>'[8]Gov 65 &amp; 70'!$J299</f>
        <v>0.2</v>
      </c>
      <c r="BF214" s="4">
        <f t="shared" si="109"/>
        <v>0</v>
      </c>
      <c r="BG214" s="83">
        <f t="shared" si="150"/>
        <v>-0.2</v>
      </c>
      <c r="BH214" s="36" t="s">
        <v>18</v>
      </c>
      <c r="BI214" s="273">
        <f t="shared" si="146"/>
        <v>-3185.6019999999949</v>
      </c>
      <c r="BJ214" s="270">
        <f t="shared" si="147"/>
        <v>-8.1159999999999997</v>
      </c>
      <c r="BK214" s="482">
        <f t="shared" si="148"/>
        <v>-3194</v>
      </c>
      <c r="BL214" s="276"/>
      <c r="BM214" s="36" t="s">
        <v>18</v>
      </c>
      <c r="BN214" s="4">
        <v>2000</v>
      </c>
      <c r="BO214" s="4">
        <v>6</v>
      </c>
      <c r="BP214" s="108">
        <f>(C214+[4]MWh!$AN48)</f>
        <v>243960.9432312095</v>
      </c>
      <c r="BQ214" s="108">
        <f t="shared" si="111"/>
        <v>13734.219626820328</v>
      </c>
      <c r="BR214" s="108">
        <f t="shared" si="112"/>
        <v>13554.407658121347</v>
      </c>
      <c r="BS214" s="108">
        <f t="shared" si="118"/>
        <v>1293.4363034608068</v>
      </c>
      <c r="BT214" s="175">
        <f t="shared" si="113"/>
        <v>240766.9432312095</v>
      </c>
      <c r="BU214" s="108">
        <f t="shared" si="137"/>
        <v>31974.86203269515</v>
      </c>
      <c r="BV214" s="137">
        <f t="shared" si="130"/>
        <v>-3194</v>
      </c>
    </row>
    <row r="215" spans="1:90">
      <c r="A215" s="4">
        <v>2000</v>
      </c>
      <c r="B215" s="4">
        <v>7</v>
      </c>
      <c r="C215" s="5">
        <v>235980</v>
      </c>
      <c r="D215" s="5">
        <v>17858</v>
      </c>
      <c r="E215" s="73">
        <f t="shared" si="133"/>
        <v>13214</v>
      </c>
      <c r="F215" s="540">
        <f t="shared" si="138"/>
        <v>17858</v>
      </c>
      <c r="H215" s="13" t="s">
        <v>18</v>
      </c>
      <c r="I215" s="76">
        <f>'[7]Gov 65 &amp; 70'!$S300</f>
        <v>380.7</v>
      </c>
      <c r="J215" s="76">
        <f t="shared" si="106"/>
        <v>363.4</v>
      </c>
      <c r="K215" s="362">
        <f t="shared" ref="K215:K220" si="151">(J215-I215)</f>
        <v>-17.300000000000011</v>
      </c>
      <c r="L215" s="200" t="s">
        <v>18</v>
      </c>
      <c r="M215" s="76">
        <f>'[7]Gov 65 &amp; 70'!$J300</f>
        <v>0.1</v>
      </c>
      <c r="N215" s="76">
        <f t="shared" si="107"/>
        <v>0</v>
      </c>
      <c r="O215" s="363">
        <f t="shared" ref="O215:O220" si="152">(N215-M215)</f>
        <v>-0.1</v>
      </c>
      <c r="P215" s="13" t="s">
        <v>18</v>
      </c>
      <c r="Q215" s="77">
        <f t="shared" si="139"/>
        <v>-3964.8140000000026</v>
      </c>
      <c r="R215" s="78">
        <f t="shared" si="140"/>
        <v>-4.0579999999999998</v>
      </c>
      <c r="S215" s="479">
        <f t="shared" si="141"/>
        <v>-3969</v>
      </c>
      <c r="T215" s="13" t="s">
        <v>18</v>
      </c>
      <c r="U215" s="4">
        <v>2000</v>
      </c>
      <c r="V215" s="4">
        <v>7</v>
      </c>
      <c r="W215" s="153">
        <f t="shared" si="142"/>
        <v>12991.992384365551</v>
      </c>
      <c r="X215" s="153">
        <f t="shared" si="105"/>
        <v>393.14479001233849</v>
      </c>
      <c r="Y215" s="80"/>
      <c r="Z215" s="98">
        <f t="shared" si="143"/>
        <v>232011</v>
      </c>
      <c r="AA215" s="119">
        <f t="shared" si="136"/>
        <v>-3969</v>
      </c>
      <c r="AB215" s="512">
        <f>[9]SPAMWh!$L95</f>
        <v>232792</v>
      </c>
      <c r="AC215" s="4">
        <v>2000</v>
      </c>
      <c r="AD215" s="4">
        <v>7</v>
      </c>
      <c r="AE215" s="107">
        <f>RESID!AC215</f>
        <v>31.95</v>
      </c>
      <c r="AF215" s="40">
        <f t="shared" si="144"/>
        <v>12369.862246612163</v>
      </c>
      <c r="AG215" s="4">
        <f t="shared" si="145"/>
        <v>220901</v>
      </c>
      <c r="AH215" s="4">
        <f t="shared" si="116"/>
        <v>13358</v>
      </c>
      <c r="AY215" s="4">
        <v>2000</v>
      </c>
      <c r="AZ215" s="4">
        <v>7</v>
      </c>
      <c r="BA215" s="4">
        <f>'[8]Gov 65 &amp; 70'!$S300</f>
        <v>390.6</v>
      </c>
      <c r="BB215" s="4">
        <f t="shared" si="108"/>
        <v>391.2</v>
      </c>
      <c r="BC215" s="82">
        <f t="shared" si="149"/>
        <v>0.59999999999996589</v>
      </c>
      <c r="BD215" s="36" t="s">
        <v>18</v>
      </c>
      <c r="BE215" s="4">
        <f>'[8]Gov 65 &amp; 70'!$J300</f>
        <v>0</v>
      </c>
      <c r="BF215" s="4">
        <f t="shared" si="109"/>
        <v>0</v>
      </c>
      <c r="BG215" s="83">
        <f t="shared" si="150"/>
        <v>0</v>
      </c>
      <c r="BH215" s="36" t="s">
        <v>18</v>
      </c>
      <c r="BI215" s="273">
        <f t="shared" si="146"/>
        <v>137.50799999999219</v>
      </c>
      <c r="BJ215" s="270">
        <f t="shared" si="147"/>
        <v>0</v>
      </c>
      <c r="BK215" s="482">
        <f t="shared" si="148"/>
        <v>138</v>
      </c>
      <c r="BL215" s="276"/>
      <c r="BM215" s="36" t="s">
        <v>18</v>
      </c>
      <c r="BN215" s="4">
        <v>2000</v>
      </c>
      <c r="BO215" s="4">
        <v>7</v>
      </c>
      <c r="BP215" s="108">
        <f>(C215+[4]MWh!$AN49)</f>
        <v>213990.76187915227</v>
      </c>
      <c r="BQ215" s="108">
        <f t="shared" si="111"/>
        <v>11982.907485673215</v>
      </c>
      <c r="BR215" s="108">
        <f t="shared" si="112"/>
        <v>11990.63511474702</v>
      </c>
      <c r="BS215" s="108">
        <f t="shared" si="118"/>
        <v>-741.09609084541262</v>
      </c>
      <c r="BT215" s="175">
        <f t="shared" si="113"/>
        <v>214128.76187915227</v>
      </c>
      <c r="BU215" s="108">
        <f t="shared" ref="BU215:BU220" si="153">BT215-BT203</f>
        <v>-6830.4331939043768</v>
      </c>
      <c r="BV215" s="137">
        <f t="shared" si="130"/>
        <v>138</v>
      </c>
    </row>
    <row r="216" spans="1:90">
      <c r="A216" s="4">
        <v>2000</v>
      </c>
      <c r="B216" s="4">
        <v>8</v>
      </c>
      <c r="C216" s="5">
        <v>231026</v>
      </c>
      <c r="D216" s="5">
        <v>18168</v>
      </c>
      <c r="E216" s="73">
        <f t="shared" si="133"/>
        <v>12716</v>
      </c>
      <c r="F216" s="540">
        <f t="shared" si="138"/>
        <v>18168</v>
      </c>
      <c r="H216" s="13" t="s">
        <v>18</v>
      </c>
      <c r="I216" s="76">
        <f>'[7]Gov 65 &amp; 70'!$S301</f>
        <v>380.1</v>
      </c>
      <c r="J216" s="76">
        <f t="shared" si="106"/>
        <v>390.1</v>
      </c>
      <c r="K216" s="362">
        <f t="shared" si="151"/>
        <v>10</v>
      </c>
      <c r="L216" s="200" t="s">
        <v>18</v>
      </c>
      <c r="M216" s="76">
        <f>'[7]Gov 65 &amp; 70'!$J301</f>
        <v>0</v>
      </c>
      <c r="N216" s="76">
        <f t="shared" si="107"/>
        <v>0</v>
      </c>
      <c r="O216" s="363">
        <f t="shared" si="152"/>
        <v>0</v>
      </c>
      <c r="P216" s="13" t="s">
        <v>18</v>
      </c>
      <c r="Q216" s="77">
        <f t="shared" si="139"/>
        <v>2291.8000000000002</v>
      </c>
      <c r="R216" s="78">
        <f t="shared" si="140"/>
        <v>0</v>
      </c>
      <c r="S216" s="479">
        <f t="shared" si="141"/>
        <v>2292</v>
      </c>
      <c r="T216" s="13" t="s">
        <v>18</v>
      </c>
      <c r="U216" s="4">
        <v>2000</v>
      </c>
      <c r="V216" s="4">
        <v>8</v>
      </c>
      <c r="W216" s="153">
        <f t="shared" si="142"/>
        <v>12842.250110083663</v>
      </c>
      <c r="X216" s="153">
        <f t="shared" si="105"/>
        <v>-130.42717578448355</v>
      </c>
      <c r="Y216" s="80"/>
      <c r="Z216" s="98">
        <f t="shared" si="143"/>
        <v>233318</v>
      </c>
      <c r="AA216" s="119">
        <f t="shared" si="136"/>
        <v>2292</v>
      </c>
      <c r="AB216" s="512">
        <f>[9]SPAMWh!$L96</f>
        <v>231913</v>
      </c>
      <c r="AC216" s="4">
        <v>2000</v>
      </c>
      <c r="AD216" s="4">
        <v>8</v>
      </c>
      <c r="AE216" s="107">
        <f>RESID!AC216</f>
        <v>29.65</v>
      </c>
      <c r="AF216" s="40">
        <f t="shared" si="144"/>
        <v>13175.748568912373</v>
      </c>
      <c r="AG216" s="4">
        <f t="shared" si="145"/>
        <v>239377</v>
      </c>
      <c r="AH216" s="4">
        <f t="shared" si="116"/>
        <v>4467</v>
      </c>
      <c r="AY216" s="4">
        <v>2000</v>
      </c>
      <c r="AZ216" s="4">
        <v>8</v>
      </c>
      <c r="BA216" s="4">
        <f>'[8]Gov 65 &amp; 70'!$S301</f>
        <v>396.6</v>
      </c>
      <c r="BB216" s="4">
        <f t="shared" si="108"/>
        <v>394.4</v>
      </c>
      <c r="BC216" s="82">
        <f t="shared" si="149"/>
        <v>-2.2000000000000455</v>
      </c>
      <c r="BD216" s="36" t="s">
        <v>18</v>
      </c>
      <c r="BE216" s="4">
        <f>'[8]Gov 65 &amp; 70'!$J301</f>
        <v>0</v>
      </c>
      <c r="BF216" s="4">
        <f t="shared" si="109"/>
        <v>0</v>
      </c>
      <c r="BG216" s="83">
        <f t="shared" si="150"/>
        <v>0</v>
      </c>
      <c r="BH216" s="36" t="s">
        <v>18</v>
      </c>
      <c r="BI216" s="273">
        <f t="shared" si="146"/>
        <v>-504.19600000001043</v>
      </c>
      <c r="BJ216" s="270">
        <f t="shared" si="147"/>
        <v>0</v>
      </c>
      <c r="BK216" s="482">
        <f t="shared" si="148"/>
        <v>-504</v>
      </c>
      <c r="BL216" s="276"/>
      <c r="BM216" s="36" t="s">
        <v>18</v>
      </c>
      <c r="BN216" s="4">
        <v>2000</v>
      </c>
      <c r="BO216" s="4">
        <v>8</v>
      </c>
      <c r="BP216" s="108">
        <f>(C216+[4]MWh!$AN50)</f>
        <v>248830.68440244001</v>
      </c>
      <c r="BQ216" s="108">
        <f t="shared" si="111"/>
        <v>13696.096675607663</v>
      </c>
      <c r="BR216" s="108">
        <f t="shared" si="112"/>
        <v>13668.355592384412</v>
      </c>
      <c r="BS216" s="108">
        <f t="shared" si="118"/>
        <v>1124.6843279473687</v>
      </c>
      <c r="BT216" s="175">
        <f t="shared" si="113"/>
        <v>248326.68440244001</v>
      </c>
      <c r="BU216" s="108">
        <f t="shared" si="153"/>
        <v>27043.77962650609</v>
      </c>
      <c r="BV216" s="137">
        <f t="shared" si="130"/>
        <v>-504</v>
      </c>
    </row>
    <row r="217" spans="1:90">
      <c r="A217" s="4">
        <v>2000</v>
      </c>
      <c r="B217" s="4">
        <v>9</v>
      </c>
      <c r="C217" s="5">
        <v>263993</v>
      </c>
      <c r="D217" s="5">
        <v>18138</v>
      </c>
      <c r="E217" s="73">
        <f t="shared" si="133"/>
        <v>14555</v>
      </c>
      <c r="F217" s="540">
        <f t="shared" si="138"/>
        <v>18138</v>
      </c>
      <c r="H217" s="13" t="s">
        <v>18</v>
      </c>
      <c r="I217" s="76">
        <f>'[7]Gov 65 &amp; 70'!$S302</f>
        <v>394.9</v>
      </c>
      <c r="J217" s="76">
        <f t="shared" si="106"/>
        <v>381.2</v>
      </c>
      <c r="K217" s="362">
        <f t="shared" si="151"/>
        <v>-13.699999999999989</v>
      </c>
      <c r="L217" s="200" t="s">
        <v>18</v>
      </c>
      <c r="M217" s="76">
        <f>'[7]Gov 65 &amp; 70'!$J302</f>
        <v>0</v>
      </c>
      <c r="N217" s="76">
        <f t="shared" si="107"/>
        <v>0</v>
      </c>
      <c r="O217" s="363">
        <f t="shared" si="152"/>
        <v>0</v>
      </c>
      <c r="P217" s="13" t="s">
        <v>18</v>
      </c>
      <c r="Q217" s="77">
        <f t="shared" si="139"/>
        <v>-3139.7659999999973</v>
      </c>
      <c r="R217" s="78">
        <f t="shared" si="140"/>
        <v>0</v>
      </c>
      <c r="S217" s="479">
        <f t="shared" si="141"/>
        <v>-3140</v>
      </c>
      <c r="T217" s="13" t="s">
        <v>18</v>
      </c>
      <c r="U217" s="4">
        <v>2000</v>
      </c>
      <c r="V217" s="4">
        <v>9</v>
      </c>
      <c r="W217" s="153">
        <f t="shared" si="142"/>
        <v>14381.574594773405</v>
      </c>
      <c r="X217" s="153">
        <f t="shared" si="105"/>
        <v>239.00214132012115</v>
      </c>
      <c r="Y217" s="80"/>
      <c r="Z217" s="98">
        <f t="shared" si="143"/>
        <v>260853</v>
      </c>
      <c r="AA217" s="119">
        <f t="shared" si="136"/>
        <v>-3140</v>
      </c>
      <c r="AB217" s="512">
        <f>[9]SPAMWh!$L97</f>
        <v>260027</v>
      </c>
      <c r="AC217" s="4">
        <v>2000</v>
      </c>
      <c r="AD217" s="4">
        <v>9</v>
      </c>
      <c r="AE217" s="107">
        <f>RESID!AC217</f>
        <v>31.95</v>
      </c>
      <c r="AF217" s="40">
        <f t="shared" si="144"/>
        <v>13692.854780019848</v>
      </c>
      <c r="AG217" s="4">
        <f t="shared" si="145"/>
        <v>248361</v>
      </c>
      <c r="AH217" s="4">
        <f t="shared" si="116"/>
        <v>12467</v>
      </c>
      <c r="AI217" s="23"/>
      <c r="AY217" s="4">
        <v>2000</v>
      </c>
      <c r="AZ217" s="4">
        <v>9</v>
      </c>
      <c r="BA217" s="4">
        <f>'[8]Gov 65 &amp; 70'!$S302</f>
        <v>342.9</v>
      </c>
      <c r="BB217" s="4">
        <f t="shared" si="108"/>
        <v>339.3</v>
      </c>
      <c r="BC217" s="82">
        <f t="shared" si="149"/>
        <v>-3.5999999999999659</v>
      </c>
      <c r="BD217" s="36" t="s">
        <v>18</v>
      </c>
      <c r="BE217" s="4">
        <f>'[8]Gov 65 &amp; 70'!$J302</f>
        <v>0.3</v>
      </c>
      <c r="BF217" s="4">
        <f t="shared" si="109"/>
        <v>0</v>
      </c>
      <c r="BG217" s="83">
        <f t="shared" si="150"/>
        <v>-0.3</v>
      </c>
      <c r="BH217" s="36" t="s">
        <v>18</v>
      </c>
      <c r="BI217" s="273">
        <f t="shared" si="146"/>
        <v>-825.04799999999216</v>
      </c>
      <c r="BJ217" s="270">
        <f t="shared" si="147"/>
        <v>-12.173999999999999</v>
      </c>
      <c r="BK217" s="482">
        <f t="shared" si="148"/>
        <v>-837</v>
      </c>
      <c r="BL217" s="276"/>
      <c r="BM217" s="36" t="s">
        <v>18</v>
      </c>
      <c r="BN217" s="4">
        <v>2000</v>
      </c>
      <c r="BO217" s="4">
        <v>9</v>
      </c>
      <c r="BP217" s="108">
        <f>(C217+[4]MWh!$AN51)</f>
        <v>250976.57369325662</v>
      </c>
      <c r="BQ217" s="108">
        <f t="shared" si="111"/>
        <v>13837.058864993749</v>
      </c>
      <c r="BR217" s="108">
        <f t="shared" si="112"/>
        <v>13790.912652621933</v>
      </c>
      <c r="BS217" s="108">
        <f t="shared" si="118"/>
        <v>-546.97832794453643</v>
      </c>
      <c r="BT217" s="175">
        <f t="shared" si="113"/>
        <v>250139.57369325662</v>
      </c>
      <c r="BU217" s="108">
        <f t="shared" si="153"/>
        <v>-1676.8055984322855</v>
      </c>
      <c r="BV217" s="137">
        <f t="shared" si="130"/>
        <v>-837</v>
      </c>
      <c r="BW217" s="15"/>
      <c r="BX217" s="15"/>
    </row>
    <row r="218" spans="1:90">
      <c r="A218" s="4">
        <v>2000</v>
      </c>
      <c r="B218" s="4">
        <v>10</v>
      </c>
      <c r="C218" s="5">
        <v>235443</v>
      </c>
      <c r="D218" s="5">
        <v>18049</v>
      </c>
      <c r="E218" s="73">
        <f t="shared" si="133"/>
        <v>13045</v>
      </c>
      <c r="F218" s="540">
        <f t="shared" si="138"/>
        <v>18049</v>
      </c>
      <c r="H218" s="13" t="s">
        <v>18</v>
      </c>
      <c r="I218" s="76">
        <f>'[7]Gov 65 &amp; 70'!$S303</f>
        <v>257.10000000000002</v>
      </c>
      <c r="J218" s="76">
        <f t="shared" si="106"/>
        <v>287.8</v>
      </c>
      <c r="K218" s="362">
        <f t="shared" si="151"/>
        <v>30.699999999999989</v>
      </c>
      <c r="L218" s="200" t="s">
        <v>18</v>
      </c>
      <c r="M218" s="76">
        <f>'[7]Gov 65 &amp; 70'!$J303</f>
        <v>11.5</v>
      </c>
      <c r="N218" s="76">
        <f t="shared" si="107"/>
        <v>2.5</v>
      </c>
      <c r="O218" s="363">
        <f t="shared" si="152"/>
        <v>-9</v>
      </c>
      <c r="P218" s="13" t="s">
        <v>18</v>
      </c>
      <c r="Q218" s="77">
        <f t="shared" si="139"/>
        <v>7035.8259999999973</v>
      </c>
      <c r="R218" s="78">
        <f t="shared" si="140"/>
        <v>-365.21999999999997</v>
      </c>
      <c r="S218" s="479">
        <f t="shared" si="141"/>
        <v>6671</v>
      </c>
      <c r="T218" s="13" t="s">
        <v>18</v>
      </c>
      <c r="U218" s="4">
        <v>2000</v>
      </c>
      <c r="V218" s="4">
        <v>10</v>
      </c>
      <c r="W218" s="153">
        <f t="shared" si="142"/>
        <v>13414.261177904595</v>
      </c>
      <c r="X218" s="153">
        <f t="shared" si="105"/>
        <v>132.53024485899368</v>
      </c>
      <c r="Y218" s="80"/>
      <c r="Z218" s="98">
        <f t="shared" si="143"/>
        <v>242114</v>
      </c>
      <c r="AA218" s="119">
        <f t="shared" si="136"/>
        <v>6671</v>
      </c>
      <c r="AB218" s="512">
        <f>[9]SPAMWh!$L98</f>
        <v>244283</v>
      </c>
      <c r="AC218" s="4">
        <v>2000</v>
      </c>
      <c r="AD218" s="4">
        <v>10</v>
      </c>
      <c r="AE218" s="107">
        <f>RESID!AC218</f>
        <v>29.65</v>
      </c>
      <c r="AF218" s="40">
        <f t="shared" si="144"/>
        <v>13762.646129979501</v>
      </c>
      <c r="AG218" s="4">
        <f t="shared" si="145"/>
        <v>248402</v>
      </c>
      <c r="AH218" s="4">
        <f t="shared" si="116"/>
        <v>8236</v>
      </c>
      <c r="AI218" s="23"/>
      <c r="AY218" s="4">
        <v>2000</v>
      </c>
      <c r="AZ218" s="4">
        <v>10</v>
      </c>
      <c r="BA218" s="4">
        <f>'[8]Gov 65 &amp; 70'!$S303</f>
        <v>150.30000000000001</v>
      </c>
      <c r="BB218" s="4">
        <f t="shared" si="108"/>
        <v>200.4</v>
      </c>
      <c r="BC218" s="82">
        <f t="shared" ref="BC218:BC223" si="154">BB218-BA218</f>
        <v>50.099999999999994</v>
      </c>
      <c r="BD218" s="36" t="s">
        <v>18</v>
      </c>
      <c r="BE218" s="4">
        <f>'[8]Gov 65 &amp; 70'!$J303</f>
        <v>25.6</v>
      </c>
      <c r="BF218" s="4">
        <f t="shared" si="109"/>
        <v>15</v>
      </c>
      <c r="BG218" s="83">
        <f t="shared" ref="BG218:BG223" si="155">BF218-BE218</f>
        <v>-10.600000000000001</v>
      </c>
      <c r="BH218" s="36" t="s">
        <v>18</v>
      </c>
      <c r="BI218" s="273">
        <f t="shared" si="146"/>
        <v>11481.918</v>
      </c>
      <c r="BJ218" s="270">
        <f t="shared" si="147"/>
        <v>-430.14800000000002</v>
      </c>
      <c r="BK218" s="482">
        <f t="shared" si="148"/>
        <v>11052</v>
      </c>
      <c r="BL218" s="276"/>
      <c r="BM218" s="36" t="s">
        <v>18</v>
      </c>
      <c r="BN218" s="4">
        <v>2000</v>
      </c>
      <c r="BO218" s="4">
        <v>10</v>
      </c>
      <c r="BP218" s="108">
        <f>(C218+[4]MWh!$AN52)</f>
        <v>221949.55350483095</v>
      </c>
      <c r="BQ218" s="108">
        <f t="shared" si="111"/>
        <v>12297.055432701587</v>
      </c>
      <c r="BR218" s="108">
        <f t="shared" si="112"/>
        <v>12909.38852594775</v>
      </c>
      <c r="BS218" s="108">
        <f t="shared" si="118"/>
        <v>67.105009018880082</v>
      </c>
      <c r="BT218" s="175">
        <f t="shared" si="113"/>
        <v>233001.55350483095</v>
      </c>
      <c r="BU218" s="108">
        <f t="shared" si="153"/>
        <v>6861.7830552304804</v>
      </c>
      <c r="BV218" s="137">
        <f t="shared" si="130"/>
        <v>11052</v>
      </c>
      <c r="BW218" s="15"/>
      <c r="BZ218" s="15"/>
      <c r="CA218" s="15"/>
      <c r="CB218" s="15"/>
    </row>
    <row r="219" spans="1:90">
      <c r="A219" s="4">
        <v>2000</v>
      </c>
      <c r="B219" s="4">
        <v>11</v>
      </c>
      <c r="C219" s="5">
        <v>222530</v>
      </c>
      <c r="D219" s="5">
        <v>18760</v>
      </c>
      <c r="E219" s="73">
        <f t="shared" si="133"/>
        <v>11862</v>
      </c>
      <c r="F219" s="540">
        <f t="shared" si="138"/>
        <v>18760</v>
      </c>
      <c r="H219" s="13" t="s">
        <v>18</v>
      </c>
      <c r="I219" s="76">
        <f>'[7]Gov 65 &amp; 70'!$S304</f>
        <v>107.6</v>
      </c>
      <c r="J219" s="76">
        <f t="shared" si="106"/>
        <v>140.19999999999999</v>
      </c>
      <c r="K219" s="362">
        <f t="shared" si="151"/>
        <v>32.599999999999994</v>
      </c>
      <c r="L219" s="200" t="s">
        <v>18</v>
      </c>
      <c r="M219" s="76">
        <f>'[7]Gov 65 &amp; 70'!$J304</f>
        <v>41.2</v>
      </c>
      <c r="N219" s="76">
        <f t="shared" si="107"/>
        <v>38.6</v>
      </c>
      <c r="O219" s="363">
        <f t="shared" si="152"/>
        <v>-2.6000000000000014</v>
      </c>
      <c r="P219" s="13" t="s">
        <v>18</v>
      </c>
      <c r="Q219" s="77">
        <f t="shared" si="139"/>
        <v>7471.2679999999991</v>
      </c>
      <c r="R219" s="78">
        <f t="shared" si="140"/>
        <v>-105.50800000000005</v>
      </c>
      <c r="S219" s="479">
        <f t="shared" si="141"/>
        <v>7366</v>
      </c>
      <c r="T219" s="13" t="s">
        <v>18</v>
      </c>
      <c r="U219" s="4">
        <v>2000</v>
      </c>
      <c r="V219" s="4">
        <v>11</v>
      </c>
      <c r="W219" s="153">
        <f t="shared" si="142"/>
        <v>12254.584221748401</v>
      </c>
      <c r="X219" s="153">
        <f t="shared" si="105"/>
        <v>204.42765414965288</v>
      </c>
      <c r="Y219" s="80"/>
      <c r="Z219" s="98">
        <f t="shared" si="143"/>
        <v>229896</v>
      </c>
      <c r="AA219" s="119">
        <f t="shared" si="136"/>
        <v>7366</v>
      </c>
      <c r="AB219" s="512">
        <f>[9]SPAMWh!$L99</f>
        <v>226443</v>
      </c>
      <c r="AC219" s="4">
        <v>2000</v>
      </c>
      <c r="AD219" s="4">
        <v>11</v>
      </c>
      <c r="AE219" s="107">
        <f>RESID!AC219</f>
        <v>29.8</v>
      </c>
      <c r="AF219" s="40">
        <f t="shared" si="144"/>
        <v>12509.541577825161</v>
      </c>
      <c r="AG219" s="4">
        <f t="shared" si="145"/>
        <v>234679</v>
      </c>
      <c r="AH219" s="4">
        <f t="shared" si="116"/>
        <v>10547</v>
      </c>
      <c r="AY219" s="4">
        <v>2000</v>
      </c>
      <c r="AZ219" s="4">
        <v>11</v>
      </c>
      <c r="BA219" s="4">
        <f>'[8]Gov 65 &amp; 70'!$S304</f>
        <v>57.6</v>
      </c>
      <c r="BB219" s="4">
        <f t="shared" si="108"/>
        <v>66.3</v>
      </c>
      <c r="BC219" s="82">
        <f t="shared" si="154"/>
        <v>8.6999999999999957</v>
      </c>
      <c r="BD219" s="36" t="s">
        <v>18</v>
      </c>
      <c r="BE219" s="4">
        <f>'[8]Gov 65 &amp; 70'!$J304</f>
        <v>114.7</v>
      </c>
      <c r="BF219" s="4">
        <f t="shared" si="109"/>
        <v>69.900000000000006</v>
      </c>
      <c r="BG219" s="83">
        <f t="shared" si="155"/>
        <v>-44.8</v>
      </c>
      <c r="BH219" s="36" t="s">
        <v>18</v>
      </c>
      <c r="BI219" s="273">
        <f t="shared" si="146"/>
        <v>1993.8659999999991</v>
      </c>
      <c r="BJ219" s="270">
        <f t="shared" si="147"/>
        <v>-1817.9839999999997</v>
      </c>
      <c r="BK219" s="482">
        <f t="shared" si="148"/>
        <v>176</v>
      </c>
      <c r="BL219" s="276"/>
      <c r="BM219" s="36" t="s">
        <v>18</v>
      </c>
      <c r="BN219" s="4">
        <v>2000</v>
      </c>
      <c r="BO219" s="4">
        <v>11</v>
      </c>
      <c r="BP219" s="108">
        <f>(C219+[4]MWh!$AN53)</f>
        <v>235352.33489151625</v>
      </c>
      <c r="BQ219" s="108">
        <f t="shared" si="111"/>
        <v>12545.43362961174</v>
      </c>
      <c r="BR219" s="108">
        <f t="shared" si="112"/>
        <v>12554.815292724747</v>
      </c>
      <c r="BS219" s="108">
        <f t="shared" si="118"/>
        <v>974.24032881864878</v>
      </c>
      <c r="BT219" s="175">
        <f t="shared" si="113"/>
        <v>235528.33489151625</v>
      </c>
      <c r="BU219" s="108">
        <f t="shared" si="153"/>
        <v>24727.128823533538</v>
      </c>
      <c r="BV219" s="137">
        <f t="shared" si="130"/>
        <v>176</v>
      </c>
    </row>
    <row r="220" spans="1:90" s="89" customFormat="1">
      <c r="A220" s="89">
        <v>2000</v>
      </c>
      <c r="B220" s="89">
        <v>12</v>
      </c>
      <c r="C220" s="103">
        <v>200615</v>
      </c>
      <c r="D220" s="103">
        <v>17898</v>
      </c>
      <c r="E220" s="104">
        <f t="shared" si="133"/>
        <v>11209</v>
      </c>
      <c r="F220" s="586">
        <f t="shared" si="138"/>
        <v>17898</v>
      </c>
      <c r="H220" s="90" t="s">
        <v>18</v>
      </c>
      <c r="I220" s="92">
        <f>'[7]Gov 65 &amp; 70'!$S305</f>
        <v>39.5</v>
      </c>
      <c r="J220" s="92">
        <f t="shared" si="106"/>
        <v>50.8</v>
      </c>
      <c r="K220" s="364">
        <f t="shared" si="151"/>
        <v>11.299999999999997</v>
      </c>
      <c r="L220" s="210" t="s">
        <v>18</v>
      </c>
      <c r="M220" s="92">
        <f>'[7]Gov 65 &amp; 70'!$J305</f>
        <v>167.7</v>
      </c>
      <c r="N220" s="92">
        <f t="shared" si="107"/>
        <v>121.8</v>
      </c>
      <c r="O220" s="365">
        <f t="shared" si="152"/>
        <v>-45.899999999999991</v>
      </c>
      <c r="P220" s="90" t="s">
        <v>18</v>
      </c>
      <c r="Q220" s="114">
        <f t="shared" si="139"/>
        <v>2589.7339999999995</v>
      </c>
      <c r="R220" s="95">
        <f t="shared" si="140"/>
        <v>-1862.6219999999996</v>
      </c>
      <c r="S220" s="480">
        <f t="shared" si="141"/>
        <v>727</v>
      </c>
      <c r="T220" s="90" t="s">
        <v>18</v>
      </c>
      <c r="U220" s="89">
        <v>2000</v>
      </c>
      <c r="V220" s="89">
        <v>12</v>
      </c>
      <c r="W220" s="154">
        <f t="shared" si="142"/>
        <v>11249.413342272879</v>
      </c>
      <c r="X220" s="154">
        <f t="shared" ref="X220:X225" si="156">W220-W208</f>
        <v>-36.340972903090005</v>
      </c>
      <c r="Y220" s="134"/>
      <c r="Z220" s="155">
        <f t="shared" si="143"/>
        <v>201342</v>
      </c>
      <c r="AA220" s="156">
        <f t="shared" si="136"/>
        <v>727</v>
      </c>
      <c r="AB220" s="522">
        <f>[9]SPAMWh!$L100</f>
        <v>204437</v>
      </c>
      <c r="AC220" s="89">
        <v>2000</v>
      </c>
      <c r="AD220" s="89">
        <v>12</v>
      </c>
      <c r="AE220" s="110">
        <f>RESID!AC220</f>
        <v>30.6</v>
      </c>
      <c r="AF220" s="116">
        <f t="shared" si="144"/>
        <v>11183.260699519498</v>
      </c>
      <c r="AG220" s="89">
        <f t="shared" si="145"/>
        <v>200158</v>
      </c>
      <c r="AH220" s="89">
        <f t="shared" si="116"/>
        <v>-41</v>
      </c>
      <c r="AY220" s="89">
        <v>2000</v>
      </c>
      <c r="AZ220" s="89">
        <v>12</v>
      </c>
      <c r="BA220" s="89">
        <f>'[8]Gov 65 &amp; 70'!$S305</f>
        <v>29.1</v>
      </c>
      <c r="BB220" s="89">
        <f t="shared" si="108"/>
        <v>28.2</v>
      </c>
      <c r="BC220" s="111">
        <f t="shared" si="154"/>
        <v>-0.90000000000000213</v>
      </c>
      <c r="BD220" s="113" t="s">
        <v>18</v>
      </c>
      <c r="BE220" s="89">
        <f>'[8]Gov 65 &amp; 70'!$J305</f>
        <v>258.89999999999998</v>
      </c>
      <c r="BF220" s="89">
        <f t="shared" si="109"/>
        <v>170</v>
      </c>
      <c r="BG220" s="112">
        <f t="shared" si="155"/>
        <v>-88.899999999999977</v>
      </c>
      <c r="BH220" s="113" t="s">
        <v>18</v>
      </c>
      <c r="BI220" s="274">
        <f t="shared" si="146"/>
        <v>-206.26200000000048</v>
      </c>
      <c r="BJ220" s="275">
        <f t="shared" si="147"/>
        <v>-3607.561999999999</v>
      </c>
      <c r="BK220" s="483">
        <f t="shared" si="148"/>
        <v>-3814</v>
      </c>
      <c r="BL220" s="277"/>
      <c r="BM220" s="113" t="s">
        <v>18</v>
      </c>
      <c r="BN220" s="89">
        <v>2000</v>
      </c>
      <c r="BO220" s="89">
        <v>12</v>
      </c>
      <c r="BP220" s="117">
        <f>(C220+[4]MWh!$AN54)</f>
        <v>214302.99396409077</v>
      </c>
      <c r="BQ220" s="117">
        <f t="shared" si="111"/>
        <v>11973.572128958027</v>
      </c>
      <c r="BR220" s="117">
        <f t="shared" si="112"/>
        <v>11760.47569360212</v>
      </c>
      <c r="BS220" s="117">
        <f t="shared" si="118"/>
        <v>159.98330338454616</v>
      </c>
      <c r="BT220" s="176">
        <f t="shared" si="113"/>
        <v>210488.99396409077</v>
      </c>
      <c r="BU220" s="117">
        <f t="shared" si="153"/>
        <v>3489.8077530483715</v>
      </c>
      <c r="BV220" s="139">
        <f t="shared" si="130"/>
        <v>-3814</v>
      </c>
    </row>
    <row r="221" spans="1:90" s="143" customFormat="1">
      <c r="A221" s="4">
        <f>A209+1</f>
        <v>2001</v>
      </c>
      <c r="B221" s="4">
        <f>B209</f>
        <v>1</v>
      </c>
      <c r="C221" s="5">
        <f>'[2]FPC wSEB'!$J318</f>
        <v>209831</v>
      </c>
      <c r="D221" s="5">
        <f>'[2]FPC wSEB'!$AB318</f>
        <v>18682</v>
      </c>
      <c r="E221" s="73">
        <f t="shared" si="133"/>
        <v>11232</v>
      </c>
      <c r="F221" s="540">
        <f t="shared" si="138"/>
        <v>18682</v>
      </c>
      <c r="G221" s="4"/>
      <c r="H221" s="13" t="s">
        <v>18</v>
      </c>
      <c r="I221" s="76">
        <f>'[7]Gov 65 &amp; 70'!$S306</f>
        <v>17.7</v>
      </c>
      <c r="J221" s="76">
        <f t="shared" si="106"/>
        <v>28.7</v>
      </c>
      <c r="K221" s="362">
        <f t="shared" ref="K221:K226" si="157">(J221-I221)</f>
        <v>11</v>
      </c>
      <c r="L221" s="200" t="s">
        <v>18</v>
      </c>
      <c r="M221" s="76">
        <f>'[7]Gov 65 &amp; 70'!$J306</f>
        <v>354.2</v>
      </c>
      <c r="N221" s="76">
        <f t="shared" si="107"/>
        <v>192.9</v>
      </c>
      <c r="O221" s="363">
        <f t="shared" ref="O221:O226" si="158">(N221-M221)</f>
        <v>-161.29999999999998</v>
      </c>
      <c r="P221" s="13" t="s">
        <v>18</v>
      </c>
      <c r="Q221" s="77">
        <f t="shared" si="139"/>
        <v>2520.98</v>
      </c>
      <c r="R221" s="78">
        <f t="shared" si="140"/>
        <v>-6545.5539999999992</v>
      </c>
      <c r="S221" s="479">
        <f t="shared" si="141"/>
        <v>-4025</v>
      </c>
      <c r="T221" s="13" t="s">
        <v>18</v>
      </c>
      <c r="U221" s="4">
        <f>U209+1</f>
        <v>2001</v>
      </c>
      <c r="V221" s="4">
        <f>V209</f>
        <v>1</v>
      </c>
      <c r="W221" s="153">
        <f t="shared" si="142"/>
        <v>11016.272347714377</v>
      </c>
      <c r="X221" s="153">
        <f t="shared" si="156"/>
        <v>426.9254716071373</v>
      </c>
      <c r="Y221" s="80"/>
      <c r="Z221" s="98">
        <f t="shared" si="143"/>
        <v>205806</v>
      </c>
      <c r="AA221" s="119">
        <f t="shared" si="136"/>
        <v>-4025</v>
      </c>
      <c r="AB221" s="512">
        <f>[9]SPAMWh!$L101</f>
        <v>203280</v>
      </c>
      <c r="AC221" s="4">
        <f>AC209+1</f>
        <v>2001</v>
      </c>
      <c r="AD221" s="4">
        <f>AD209</f>
        <v>1</v>
      </c>
      <c r="AE221" s="107">
        <f>RESID!AC221</f>
        <v>31.85</v>
      </c>
      <c r="AF221" s="40">
        <f t="shared" si="144"/>
        <v>10521.678621132642</v>
      </c>
      <c r="AG221" s="4">
        <f t="shared" si="145"/>
        <v>196566</v>
      </c>
      <c r="AH221" s="4">
        <f t="shared" ref="AH221:AH226" si="159">Z221-Z209</f>
        <v>26486</v>
      </c>
      <c r="AI221" s="4"/>
      <c r="AJ221" s="4"/>
      <c r="AK221" s="4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4">
        <f>AY209+1</f>
        <v>2001</v>
      </c>
      <c r="AZ221" s="4">
        <f>AZ209</f>
        <v>1</v>
      </c>
      <c r="BA221" s="4">
        <f>'[8]Gov 65 &amp; 70'!$S306</f>
        <v>12.2</v>
      </c>
      <c r="BB221" s="4">
        <f t="shared" si="108"/>
        <v>23.9</v>
      </c>
      <c r="BC221" s="82">
        <f t="shared" si="154"/>
        <v>11.7</v>
      </c>
      <c r="BD221" s="36" t="s">
        <v>18</v>
      </c>
      <c r="BE221" s="4">
        <f>'[8]Gov 65 &amp; 70'!$J306</f>
        <v>332.4</v>
      </c>
      <c r="BF221" s="4">
        <f t="shared" si="109"/>
        <v>176.9</v>
      </c>
      <c r="BG221" s="83">
        <f t="shared" si="155"/>
        <v>-155.49999999999997</v>
      </c>
      <c r="BH221" s="36" t="s">
        <v>18</v>
      </c>
      <c r="BI221" s="273">
        <f t="shared" si="146"/>
        <v>2681.4059999999999</v>
      </c>
      <c r="BJ221" s="270">
        <f t="shared" si="147"/>
        <v>-6310.1899999999987</v>
      </c>
      <c r="BK221" s="482">
        <f t="shared" si="148"/>
        <v>-3629</v>
      </c>
      <c r="BL221" s="276"/>
      <c r="BM221" s="36" t="s">
        <v>18</v>
      </c>
      <c r="BN221" s="4">
        <f>BN209+1</f>
        <v>2001</v>
      </c>
      <c r="BO221" s="4">
        <f>BO209</f>
        <v>1</v>
      </c>
      <c r="BP221" s="108">
        <f>(C221+[4]MWh!$AN55)</f>
        <v>169184.18514438055</v>
      </c>
      <c r="BQ221" s="108">
        <f t="shared" si="111"/>
        <v>9055.9996330361064</v>
      </c>
      <c r="BR221" s="108">
        <f t="shared" si="112"/>
        <v>8861.748482195726</v>
      </c>
      <c r="BS221" s="108">
        <f t="shared" si="118"/>
        <v>-1678.4591246422806</v>
      </c>
      <c r="BT221" s="175">
        <f t="shared" si="113"/>
        <v>165555.18514438055</v>
      </c>
      <c r="BU221" s="108">
        <f t="shared" ref="BU221:BU226" si="160">BT221-BT209</f>
        <v>-12932.690469814261</v>
      </c>
      <c r="BV221" s="159">
        <f t="shared" si="130"/>
        <v>-3629</v>
      </c>
      <c r="BW221" s="140"/>
      <c r="BX221" s="140"/>
      <c r="BY221" s="23"/>
      <c r="BZ221" s="140"/>
      <c r="CA221" s="140"/>
      <c r="CB221" s="140"/>
      <c r="CC221" s="140"/>
      <c r="CD221" s="23"/>
      <c r="CE221" s="23"/>
      <c r="CF221" s="23"/>
      <c r="CG221" s="23"/>
      <c r="CH221" s="23"/>
      <c r="CI221" s="23"/>
      <c r="CJ221" s="23"/>
      <c r="CK221" s="23"/>
      <c r="CL221" s="23"/>
    </row>
    <row r="222" spans="1:90">
      <c r="A222" s="4">
        <f t="shared" ref="A222:A285" si="161">A210+1</f>
        <v>2001</v>
      </c>
      <c r="B222" s="4">
        <f t="shared" ref="B222:B285" si="162">B210</f>
        <v>2</v>
      </c>
      <c r="C222" s="5">
        <f>'[2]FPC wSEB'!$J319</f>
        <v>197894</v>
      </c>
      <c r="D222" s="5">
        <f>'[2]FPC wSEB'!$AB319</f>
        <v>18314</v>
      </c>
      <c r="E222" s="73">
        <f t="shared" ref="E222:E227" si="163">ROUND(C222/D222*1000,0)</f>
        <v>10806</v>
      </c>
      <c r="F222" s="540">
        <f t="shared" si="138"/>
        <v>18314</v>
      </c>
      <c r="H222" s="13" t="s">
        <v>18</v>
      </c>
      <c r="I222" s="76">
        <f>'[7]Gov 65 &amp; 70'!$S307</f>
        <v>26.7</v>
      </c>
      <c r="J222" s="76">
        <f t="shared" ref="J222:J376" si="164">J210</f>
        <v>22.6</v>
      </c>
      <c r="K222" s="362">
        <f t="shared" si="157"/>
        <v>-4.0999999999999979</v>
      </c>
      <c r="L222" s="200" t="s">
        <v>18</v>
      </c>
      <c r="M222" s="76">
        <f>'[7]Gov 65 &amp; 70'!$J307</f>
        <v>209.6</v>
      </c>
      <c r="N222" s="76">
        <f t="shared" ref="N222:N376" si="165">N210</f>
        <v>177.2</v>
      </c>
      <c r="O222" s="363">
        <f t="shared" si="158"/>
        <v>-32.400000000000006</v>
      </c>
      <c r="P222" s="13" t="s">
        <v>18</v>
      </c>
      <c r="Q222" s="77">
        <f t="shared" si="139"/>
        <v>-939.63799999999958</v>
      </c>
      <c r="R222" s="78">
        <f t="shared" si="140"/>
        <v>-1314.7920000000001</v>
      </c>
      <c r="S222" s="479">
        <f t="shared" si="141"/>
        <v>-2254</v>
      </c>
      <c r="T222" s="13" t="s">
        <v>18</v>
      </c>
      <c r="U222" s="4">
        <f t="shared" ref="U222:U376" si="166">U210+1</f>
        <v>2001</v>
      </c>
      <c r="V222" s="4">
        <f t="shared" ref="V222:V376" si="167">V210</f>
        <v>2</v>
      </c>
      <c r="W222" s="153">
        <f t="shared" si="142"/>
        <v>10682.53794910997</v>
      </c>
      <c r="X222" s="153">
        <f t="shared" si="156"/>
        <v>-405.64142910519331</v>
      </c>
      <c r="Y222" s="80"/>
      <c r="Z222" s="98">
        <f t="shared" si="143"/>
        <v>195640</v>
      </c>
      <c r="AA222" s="119">
        <f t="shared" si="136"/>
        <v>-2254</v>
      </c>
      <c r="AB222" s="512">
        <f>[9]SPAMWh!$L102</f>
        <v>197105</v>
      </c>
      <c r="AC222" s="4">
        <f t="shared" ref="AC222:AC376" si="168">AC210+1</f>
        <v>2001</v>
      </c>
      <c r="AD222" s="4">
        <f t="shared" ref="AD222:AD376" si="169">AD210</f>
        <v>2</v>
      </c>
      <c r="AE222" s="107">
        <f>RESID!AC222</f>
        <v>29.55</v>
      </c>
      <c r="AF222" s="40">
        <f t="shared" si="144"/>
        <v>10997.051436059844</v>
      </c>
      <c r="AG222" s="4">
        <f t="shared" si="145"/>
        <v>201400</v>
      </c>
      <c r="AH222" s="4">
        <f t="shared" si="159"/>
        <v>-2661</v>
      </c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4">
        <f t="shared" ref="AY222:AY294" si="170">AY210+1</f>
        <v>2001</v>
      </c>
      <c r="AZ222" s="4">
        <f t="shared" ref="AZ222:AZ294" si="171">AZ210</f>
        <v>2</v>
      </c>
      <c r="BA222" s="4">
        <f>'[8]Gov 65 &amp; 70'!$S307</f>
        <v>60.9</v>
      </c>
      <c r="BB222" s="4">
        <f t="shared" ref="BB222:BB376" si="172">BB210</f>
        <v>32.799999999999997</v>
      </c>
      <c r="BC222" s="82">
        <f t="shared" si="154"/>
        <v>-28.1</v>
      </c>
      <c r="BD222" s="36" t="s">
        <v>18</v>
      </c>
      <c r="BE222" s="4">
        <f>'[8]Gov 65 &amp; 70'!$J307</f>
        <v>80.7</v>
      </c>
      <c r="BF222" s="4">
        <f t="shared" ref="BF222:BF376" si="173">BF210</f>
        <v>139.1</v>
      </c>
      <c r="BG222" s="83">
        <f t="shared" si="155"/>
        <v>58.399999999999991</v>
      </c>
      <c r="BH222" s="36" t="s">
        <v>18</v>
      </c>
      <c r="BI222" s="273">
        <f t="shared" si="146"/>
        <v>-6439.9580000000005</v>
      </c>
      <c r="BJ222" s="270">
        <f t="shared" si="147"/>
        <v>2369.8719999999994</v>
      </c>
      <c r="BK222" s="482">
        <f t="shared" si="148"/>
        <v>-4070</v>
      </c>
      <c r="BL222" s="276"/>
      <c r="BM222" s="36" t="s">
        <v>18</v>
      </c>
      <c r="BN222" s="4">
        <f t="shared" ref="BN222:BN364" si="174">BN210+1</f>
        <v>2001</v>
      </c>
      <c r="BO222" s="4">
        <f t="shared" ref="BO222:BO364" si="175">BO210</f>
        <v>2</v>
      </c>
      <c r="BP222" s="108">
        <f>(C222+[4]MWh!$AN56)</f>
        <v>196276.03573055018</v>
      </c>
      <c r="BQ222" s="108">
        <f t="shared" si="111"/>
        <v>10717.267430957201</v>
      </c>
      <c r="BR222" s="108">
        <f t="shared" si="112"/>
        <v>10495.033074726996</v>
      </c>
      <c r="BS222" s="108">
        <f t="shared" si="118"/>
        <v>1263.4009262190666</v>
      </c>
      <c r="BT222" s="175">
        <f t="shared" si="113"/>
        <v>192206.03573055018</v>
      </c>
      <c r="BU222" s="108">
        <f t="shared" si="160"/>
        <v>27107.526386634388</v>
      </c>
      <c r="BV222" s="159">
        <f t="shared" si="130"/>
        <v>-4070</v>
      </c>
      <c r="BW222" s="23"/>
      <c r="BX222" s="23"/>
      <c r="BY222" s="23"/>
      <c r="BZ222" s="160"/>
      <c r="CA222" s="160"/>
      <c r="CB222" s="160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</row>
    <row r="223" spans="1:90">
      <c r="A223" s="4">
        <f t="shared" si="161"/>
        <v>2001</v>
      </c>
      <c r="B223" s="4">
        <f t="shared" si="162"/>
        <v>3</v>
      </c>
      <c r="C223" s="5">
        <f>'[2]FPC wSEB'!$J320</f>
        <v>201040</v>
      </c>
      <c r="D223" s="5">
        <f>'[2]FPC wSEB'!$AB320</f>
        <v>17899</v>
      </c>
      <c r="E223" s="73">
        <f t="shared" si="163"/>
        <v>11232</v>
      </c>
      <c r="F223" s="540">
        <f t="shared" si="138"/>
        <v>17899</v>
      </c>
      <c r="H223" s="13" t="s">
        <v>18</v>
      </c>
      <c r="I223" s="76">
        <f>'[7]Gov 65 &amp; 70'!$S308</f>
        <v>67.599999999999994</v>
      </c>
      <c r="J223" s="76">
        <f t="shared" si="164"/>
        <v>44.5</v>
      </c>
      <c r="K223" s="362">
        <f t="shared" si="157"/>
        <v>-23.099999999999994</v>
      </c>
      <c r="L223" s="200" t="s">
        <v>18</v>
      </c>
      <c r="M223" s="76">
        <f>'[7]Gov 65 &amp; 70'!$J308</f>
        <v>73.8</v>
      </c>
      <c r="N223" s="76">
        <f t="shared" si="165"/>
        <v>119.5</v>
      </c>
      <c r="O223" s="363">
        <f t="shared" si="158"/>
        <v>45.7</v>
      </c>
      <c r="P223" s="13" t="s">
        <v>18</v>
      </c>
      <c r="Q223" s="77">
        <f t="shared" si="139"/>
        <v>-5294.0579999999991</v>
      </c>
      <c r="R223" s="78">
        <f t="shared" si="140"/>
        <v>1854.5060000000001</v>
      </c>
      <c r="S223" s="479">
        <f t="shared" si="141"/>
        <v>-3440</v>
      </c>
      <c r="T223" s="13" t="s">
        <v>18</v>
      </c>
      <c r="U223" s="4">
        <f t="shared" si="166"/>
        <v>2001</v>
      </c>
      <c r="V223" s="4">
        <f t="shared" si="167"/>
        <v>3</v>
      </c>
      <c r="W223" s="153">
        <f t="shared" si="142"/>
        <v>11039.722889546902</v>
      </c>
      <c r="X223" s="153">
        <f t="shared" si="156"/>
        <v>-53.495052644399038</v>
      </c>
      <c r="Y223" s="80"/>
      <c r="Z223" s="98">
        <f t="shared" si="143"/>
        <v>197600</v>
      </c>
      <c r="AA223" s="119">
        <f t="shared" si="136"/>
        <v>-3440</v>
      </c>
      <c r="AB223" s="512">
        <f>[9]SPAMWh!$L103</f>
        <v>200984</v>
      </c>
      <c r="AC223" s="4">
        <f t="shared" si="168"/>
        <v>2001</v>
      </c>
      <c r="AD223" s="4">
        <f t="shared" si="169"/>
        <v>3</v>
      </c>
      <c r="AE223" s="107">
        <f>RESID!AC223</f>
        <v>29.4</v>
      </c>
      <c r="AF223" s="40">
        <f t="shared" si="144"/>
        <v>11422.761048103246</v>
      </c>
      <c r="AG223" s="4">
        <f t="shared" si="145"/>
        <v>204456</v>
      </c>
      <c r="AH223" s="4">
        <f t="shared" si="159"/>
        <v>1483</v>
      </c>
      <c r="AY223" s="4">
        <f t="shared" si="170"/>
        <v>2001</v>
      </c>
      <c r="AZ223" s="4">
        <f t="shared" si="171"/>
        <v>3</v>
      </c>
      <c r="BA223" s="4">
        <f>'[8]Gov 65 &amp; 70'!$S308</f>
        <v>48.5</v>
      </c>
      <c r="BB223" s="4">
        <f t="shared" si="172"/>
        <v>64.099999999999994</v>
      </c>
      <c r="BC223" s="82">
        <f t="shared" si="154"/>
        <v>15.599999999999994</v>
      </c>
      <c r="BD223" s="36" t="s">
        <v>18</v>
      </c>
      <c r="BE223" s="4">
        <f>'[8]Gov 65 &amp; 70'!$J308</f>
        <v>100.5</v>
      </c>
      <c r="BF223" s="4">
        <f t="shared" si="173"/>
        <v>85.4</v>
      </c>
      <c r="BG223" s="83">
        <f t="shared" si="155"/>
        <v>-15.099999999999994</v>
      </c>
      <c r="BH223" s="36" t="s">
        <v>18</v>
      </c>
      <c r="BI223" s="273">
        <f t="shared" si="146"/>
        <v>3575.2079999999987</v>
      </c>
      <c r="BJ223" s="270">
        <f t="shared" si="147"/>
        <v>-612.7579999999997</v>
      </c>
      <c r="BK223" s="482">
        <f t="shared" si="148"/>
        <v>2962</v>
      </c>
      <c r="BL223" s="276"/>
      <c r="BM223" s="36" t="s">
        <v>18</v>
      </c>
      <c r="BN223" s="4">
        <f t="shared" si="174"/>
        <v>2001</v>
      </c>
      <c r="BO223" s="4">
        <f t="shared" si="175"/>
        <v>3</v>
      </c>
      <c r="BP223" s="108">
        <f>(C223+[4]MWh!$AN57)</f>
        <v>221811.82830562047</v>
      </c>
      <c r="BQ223" s="108">
        <f t="shared" si="111"/>
        <v>12392.41456537351</v>
      </c>
      <c r="BR223" s="108">
        <f t="shared" si="112"/>
        <v>12557.898670630788</v>
      </c>
      <c r="BS223" s="108">
        <f t="shared" si="118"/>
        <v>-318.52415724084494</v>
      </c>
      <c r="BT223" s="175">
        <f t="shared" si="113"/>
        <v>224773.82830562047</v>
      </c>
      <c r="BU223" s="108">
        <f t="shared" si="160"/>
        <v>-2868.4508683221065</v>
      </c>
      <c r="BV223" s="137">
        <f t="shared" si="130"/>
        <v>2962</v>
      </c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</row>
    <row r="224" spans="1:90">
      <c r="A224" s="4">
        <f t="shared" si="161"/>
        <v>2001</v>
      </c>
      <c r="B224" s="4">
        <f t="shared" si="162"/>
        <v>4</v>
      </c>
      <c r="C224" s="5">
        <f>'[2]FPC wSEB'!$J321</f>
        <v>212974</v>
      </c>
      <c r="D224" s="5">
        <f>'[2]FPC wSEB'!$AB321</f>
        <v>18891</v>
      </c>
      <c r="E224" s="73">
        <f t="shared" si="163"/>
        <v>11274</v>
      </c>
      <c r="F224" s="540">
        <f t="shared" si="138"/>
        <v>18891</v>
      </c>
      <c r="H224" s="13" t="s">
        <v>18</v>
      </c>
      <c r="I224" s="76">
        <f>'[7]Gov 65 &amp; 70'!$S309</f>
        <v>78.400000000000006</v>
      </c>
      <c r="J224" s="76">
        <f t="shared" si="164"/>
        <v>87.7</v>
      </c>
      <c r="K224" s="362">
        <f t="shared" si="157"/>
        <v>9.2999999999999972</v>
      </c>
      <c r="L224" s="200" t="s">
        <v>18</v>
      </c>
      <c r="M224" s="76">
        <f>'[7]Gov 65 &amp; 70'!$J309</f>
        <v>69</v>
      </c>
      <c r="N224" s="76">
        <f t="shared" si="165"/>
        <v>60.3</v>
      </c>
      <c r="O224" s="363">
        <f t="shared" si="158"/>
        <v>-8.7000000000000028</v>
      </c>
      <c r="P224" s="13" t="s">
        <v>18</v>
      </c>
      <c r="Q224" s="77">
        <f t="shared" si="139"/>
        <v>2131.3739999999993</v>
      </c>
      <c r="R224" s="78">
        <f t="shared" si="140"/>
        <v>-353.04600000000011</v>
      </c>
      <c r="S224" s="479">
        <f t="shared" si="141"/>
        <v>1778</v>
      </c>
      <c r="T224" s="13" t="s">
        <v>18</v>
      </c>
      <c r="U224" s="4">
        <f t="shared" si="166"/>
        <v>2001</v>
      </c>
      <c r="V224" s="4">
        <f t="shared" si="167"/>
        <v>4</v>
      </c>
      <c r="W224" s="153">
        <f t="shared" si="142"/>
        <v>11367.952993488963</v>
      </c>
      <c r="X224" s="153">
        <f t="shared" si="156"/>
        <v>-285.77984324459612</v>
      </c>
      <c r="Y224" s="80"/>
      <c r="Z224" s="98">
        <f t="shared" si="143"/>
        <v>214752</v>
      </c>
      <c r="AA224" s="119">
        <f t="shared" si="136"/>
        <v>1778</v>
      </c>
      <c r="AB224" s="512">
        <f>[9]SPAMWh!$L104</f>
        <v>212554</v>
      </c>
      <c r="AC224" s="4">
        <f t="shared" si="168"/>
        <v>2001</v>
      </c>
      <c r="AD224" s="4">
        <f t="shared" si="169"/>
        <v>4</v>
      </c>
      <c r="AE224" s="107">
        <f>RESID!AC224</f>
        <v>30.05</v>
      </c>
      <c r="AF224" s="40">
        <f t="shared" si="144"/>
        <v>11507.913821396432</v>
      </c>
      <c r="AG224" s="4">
        <f t="shared" si="145"/>
        <v>217396</v>
      </c>
      <c r="AH224" s="4">
        <f t="shared" si="159"/>
        <v>5113</v>
      </c>
      <c r="AY224" s="4">
        <f t="shared" si="170"/>
        <v>2001</v>
      </c>
      <c r="AZ224" s="4">
        <f t="shared" si="171"/>
        <v>4</v>
      </c>
      <c r="BA224" s="4">
        <f>'[8]Gov 65 &amp; 70'!$S309</f>
        <v>125.1</v>
      </c>
      <c r="BB224" s="4">
        <f t="shared" si="172"/>
        <v>122</v>
      </c>
      <c r="BC224" s="82">
        <f t="shared" ref="BC224:BC229" si="176">BB224-BA224</f>
        <v>-3.0999999999999943</v>
      </c>
      <c r="BD224" s="36" t="s">
        <v>18</v>
      </c>
      <c r="BE224" s="4">
        <f>'[8]Gov 65 &amp; 70'!$J309</f>
        <v>35.9</v>
      </c>
      <c r="BF224" s="4">
        <f t="shared" si="173"/>
        <v>34.700000000000003</v>
      </c>
      <c r="BG224" s="83">
        <f t="shared" ref="BG224:BG229" si="177">BF224-BE224</f>
        <v>-1.1999999999999957</v>
      </c>
      <c r="BH224" s="36" t="s">
        <v>18</v>
      </c>
      <c r="BI224" s="273">
        <f t="shared" si="146"/>
        <v>-710.45799999999872</v>
      </c>
      <c r="BJ224" s="270">
        <f t="shared" si="147"/>
        <v>-48.695999999999827</v>
      </c>
      <c r="BK224" s="482">
        <f t="shared" si="148"/>
        <v>-759</v>
      </c>
      <c r="BL224" s="276"/>
      <c r="BM224" s="36" t="s">
        <v>18</v>
      </c>
      <c r="BN224" s="4">
        <f t="shared" si="174"/>
        <v>2001</v>
      </c>
      <c r="BO224" s="4">
        <f t="shared" si="175"/>
        <v>4</v>
      </c>
      <c r="BP224" s="108">
        <f>(C224+[4]MWh!$AN58)</f>
        <v>213785.6902391311</v>
      </c>
      <c r="BQ224" s="108">
        <f t="shared" si="111"/>
        <v>11316.801134885984</v>
      </c>
      <c r="BR224" s="108">
        <f t="shared" si="112"/>
        <v>11276.623272411787</v>
      </c>
      <c r="BS224" s="108">
        <f t="shared" si="118"/>
        <v>-212.47992768672702</v>
      </c>
      <c r="BT224" s="175">
        <f t="shared" si="113"/>
        <v>213026.6902391311</v>
      </c>
      <c r="BU224" s="108">
        <f t="shared" si="160"/>
        <v>6349.212772558938</v>
      </c>
      <c r="BV224" s="137">
        <f t="shared" si="130"/>
        <v>-759</v>
      </c>
    </row>
    <row r="225" spans="1:81">
      <c r="A225" s="4">
        <f t="shared" si="161"/>
        <v>2001</v>
      </c>
      <c r="B225" s="4">
        <f t="shared" si="162"/>
        <v>5</v>
      </c>
      <c r="C225" s="5">
        <f>'[2]FPC wSEB'!$J322</f>
        <v>219153</v>
      </c>
      <c r="D225" s="5">
        <f>'[2]FPC wSEB'!$AB322</f>
        <v>18665</v>
      </c>
      <c r="E225" s="73">
        <f t="shared" si="163"/>
        <v>11741</v>
      </c>
      <c r="F225" s="540">
        <f t="shared" si="138"/>
        <v>18665</v>
      </c>
      <c r="H225" s="13" t="s">
        <v>18</v>
      </c>
      <c r="I225" s="76">
        <f>'[7]Gov 65 &amp; 70'!$S310</f>
        <v>138.19999999999999</v>
      </c>
      <c r="J225" s="76">
        <f t="shared" si="164"/>
        <v>157.69999999999999</v>
      </c>
      <c r="K225" s="362">
        <f t="shared" si="157"/>
        <v>19.5</v>
      </c>
      <c r="L225" s="200" t="s">
        <v>18</v>
      </c>
      <c r="M225" s="76">
        <f>'[7]Gov 65 &amp; 70'!$J310</f>
        <v>25.1</v>
      </c>
      <c r="N225" s="76">
        <f t="shared" si="165"/>
        <v>18.600000000000001</v>
      </c>
      <c r="O225" s="363">
        <f t="shared" si="158"/>
        <v>-6.5</v>
      </c>
      <c r="P225" s="13" t="s">
        <v>18</v>
      </c>
      <c r="Q225" s="77">
        <f t="shared" si="139"/>
        <v>4469.01</v>
      </c>
      <c r="R225" s="78">
        <f t="shared" si="140"/>
        <v>-263.77</v>
      </c>
      <c r="S225" s="479">
        <f t="shared" si="141"/>
        <v>4205</v>
      </c>
      <c r="T225" s="13" t="s">
        <v>18</v>
      </c>
      <c r="U225" s="4">
        <f t="shared" si="166"/>
        <v>2001</v>
      </c>
      <c r="V225" s="4">
        <f t="shared" si="167"/>
        <v>5</v>
      </c>
      <c r="W225" s="153">
        <f t="shared" si="142"/>
        <v>11966.67559603536</v>
      </c>
      <c r="X225" s="153">
        <f t="shared" si="156"/>
        <v>644.10758976647048</v>
      </c>
      <c r="Y225" s="80"/>
      <c r="Z225" s="98">
        <f t="shared" si="143"/>
        <v>223358</v>
      </c>
      <c r="AA225" s="119">
        <f t="shared" si="136"/>
        <v>4205</v>
      </c>
      <c r="AB225" s="512">
        <f>[9]SPAMWh!$L105</f>
        <v>223522</v>
      </c>
      <c r="AC225" s="4">
        <f t="shared" si="168"/>
        <v>2001</v>
      </c>
      <c r="AD225" s="4">
        <f t="shared" si="169"/>
        <v>5</v>
      </c>
      <c r="AE225" s="107">
        <f>RESID!AC225</f>
        <v>30.15</v>
      </c>
      <c r="AF225" s="40">
        <f t="shared" si="144"/>
        <v>12073.828020358962</v>
      </c>
      <c r="AG225" s="4">
        <f t="shared" si="145"/>
        <v>225358</v>
      </c>
      <c r="AH225" s="4">
        <f t="shared" si="159"/>
        <v>21069</v>
      </c>
      <c r="AY225" s="4">
        <f t="shared" si="170"/>
        <v>2001</v>
      </c>
      <c r="AZ225" s="4">
        <f t="shared" si="171"/>
        <v>5</v>
      </c>
      <c r="BA225" s="4">
        <f>'[8]Gov 65 &amp; 70'!$S310</f>
        <v>221.8</v>
      </c>
      <c r="BB225" s="4">
        <f t="shared" si="172"/>
        <v>253</v>
      </c>
      <c r="BC225" s="82">
        <f t="shared" si="176"/>
        <v>31.199999999999989</v>
      </c>
      <c r="BD225" s="36" t="s">
        <v>18</v>
      </c>
      <c r="BE225" s="4">
        <f>'[8]Gov 65 &amp; 70'!$J310</f>
        <v>5.7</v>
      </c>
      <c r="BF225" s="4">
        <f t="shared" si="173"/>
        <v>4.3</v>
      </c>
      <c r="BG225" s="83">
        <f t="shared" si="177"/>
        <v>-1.4000000000000004</v>
      </c>
      <c r="BH225" s="36" t="s">
        <v>18</v>
      </c>
      <c r="BI225" s="273">
        <f t="shared" si="146"/>
        <v>7150.4159999999974</v>
      </c>
      <c r="BJ225" s="270">
        <f t="shared" si="147"/>
        <v>-56.812000000000012</v>
      </c>
      <c r="BK225" s="482">
        <f t="shared" si="148"/>
        <v>7094</v>
      </c>
      <c r="BL225" s="276"/>
      <c r="BM225" s="36" t="s">
        <v>18</v>
      </c>
      <c r="BN225" s="4">
        <f t="shared" si="174"/>
        <v>2001</v>
      </c>
      <c r="BO225" s="4">
        <f t="shared" si="175"/>
        <v>5</v>
      </c>
      <c r="BP225" s="108">
        <f>(C225+[4]MWh!$AN59)</f>
        <v>249825.10654993026</v>
      </c>
      <c r="BQ225" s="108">
        <f t="shared" si="111"/>
        <v>13384.682911863396</v>
      </c>
      <c r="BR225" s="108">
        <f t="shared" si="112"/>
        <v>13764.752560939205</v>
      </c>
      <c r="BS225" s="108">
        <f t="shared" si="118"/>
        <v>1209.1483818413544</v>
      </c>
      <c r="BT225" s="175">
        <f t="shared" si="113"/>
        <v>256919.10654993026</v>
      </c>
      <c r="BU225" s="108">
        <f t="shared" si="160"/>
        <v>32600.68228616807</v>
      </c>
      <c r="BV225" s="137">
        <f t="shared" si="130"/>
        <v>7094</v>
      </c>
    </row>
    <row r="226" spans="1:81">
      <c r="A226" s="4">
        <f t="shared" si="161"/>
        <v>2001</v>
      </c>
      <c r="B226" s="4">
        <f t="shared" si="162"/>
        <v>6</v>
      </c>
      <c r="C226" s="5">
        <f>'[2]FPC wSEB'!$J323</f>
        <v>236105</v>
      </c>
      <c r="D226" s="5">
        <f>'[2]FPC wSEB'!$AB323</f>
        <v>18805</v>
      </c>
      <c r="E226" s="73">
        <f t="shared" si="163"/>
        <v>12555</v>
      </c>
      <c r="F226" s="540">
        <f t="shared" si="138"/>
        <v>18805</v>
      </c>
      <c r="H226" s="13" t="s">
        <v>18</v>
      </c>
      <c r="I226" s="76">
        <f>'[7]Gov 65 &amp; 70'!$S311</f>
        <v>296.8</v>
      </c>
      <c r="J226" s="76">
        <f t="shared" si="164"/>
        <v>295.39999999999998</v>
      </c>
      <c r="K226" s="362">
        <f t="shared" si="157"/>
        <v>-1.4000000000000341</v>
      </c>
      <c r="L226" s="200" t="s">
        <v>18</v>
      </c>
      <c r="M226" s="76">
        <f>'[7]Gov 65 &amp; 70'!$J311</f>
        <v>2.6</v>
      </c>
      <c r="N226" s="76">
        <f t="shared" si="165"/>
        <v>2.2000000000000002</v>
      </c>
      <c r="O226" s="363">
        <f t="shared" si="158"/>
        <v>-0.39999999999999991</v>
      </c>
      <c r="P226" s="13" t="s">
        <v>18</v>
      </c>
      <c r="Q226" s="77">
        <f t="shared" si="139"/>
        <v>-320.85200000000782</v>
      </c>
      <c r="R226" s="78">
        <f t="shared" si="140"/>
        <v>-16.231999999999996</v>
      </c>
      <c r="S226" s="479">
        <f t="shared" si="141"/>
        <v>-337</v>
      </c>
      <c r="T226" s="13" t="s">
        <v>18</v>
      </c>
      <c r="U226" s="4">
        <f t="shared" si="166"/>
        <v>2001</v>
      </c>
      <c r="V226" s="4">
        <f t="shared" si="167"/>
        <v>6</v>
      </c>
      <c r="W226" s="153">
        <f t="shared" si="142"/>
        <v>12537.516617920764</v>
      </c>
      <c r="X226" s="153">
        <f t="shared" ref="X226:X231" si="178">W226-W214</f>
        <v>-1101.0016503897677</v>
      </c>
      <c r="Y226" s="80"/>
      <c r="Z226" s="98">
        <f t="shared" si="143"/>
        <v>235768</v>
      </c>
      <c r="AA226" s="119">
        <f t="shared" si="136"/>
        <v>-337</v>
      </c>
      <c r="AB226" s="512">
        <f>[9]SPAMWh!$L106</f>
        <v>234296</v>
      </c>
      <c r="AC226" s="4">
        <f t="shared" si="168"/>
        <v>2001</v>
      </c>
      <c r="AD226" s="4">
        <f t="shared" si="169"/>
        <v>6</v>
      </c>
      <c r="AE226" s="107">
        <f>RESID!AC226</f>
        <v>30.8</v>
      </c>
      <c r="AF226" s="40">
        <f t="shared" si="144"/>
        <v>12382.823717096517</v>
      </c>
      <c r="AG226" s="4">
        <f t="shared" si="145"/>
        <v>232859</v>
      </c>
      <c r="AH226" s="4">
        <f t="shared" si="159"/>
        <v>-6493</v>
      </c>
      <c r="AY226" s="4">
        <f t="shared" si="170"/>
        <v>2001</v>
      </c>
      <c r="AZ226" s="4">
        <f t="shared" si="171"/>
        <v>6</v>
      </c>
      <c r="BA226" s="4">
        <f>'[8]Gov 65 &amp; 70'!$S311</f>
        <v>335.4</v>
      </c>
      <c r="BB226" s="4">
        <f t="shared" si="172"/>
        <v>336.1</v>
      </c>
      <c r="BC226" s="82">
        <f t="shared" si="176"/>
        <v>0.70000000000004547</v>
      </c>
      <c r="BD226" s="36" t="s">
        <v>18</v>
      </c>
      <c r="BE226" s="4">
        <f>'[8]Gov 65 &amp; 70'!$J311</f>
        <v>0</v>
      </c>
      <c r="BF226" s="4">
        <f t="shared" si="173"/>
        <v>0</v>
      </c>
      <c r="BG226" s="83">
        <f t="shared" si="177"/>
        <v>0</v>
      </c>
      <c r="BH226" s="36" t="s">
        <v>18</v>
      </c>
      <c r="BI226" s="273">
        <f t="shared" si="146"/>
        <v>160.42600000001042</v>
      </c>
      <c r="BJ226" s="270">
        <f t="shared" si="147"/>
        <v>0</v>
      </c>
      <c r="BK226" s="482">
        <f t="shared" si="148"/>
        <v>160</v>
      </c>
      <c r="BL226" s="276"/>
      <c r="BM226" s="36" t="s">
        <v>18</v>
      </c>
      <c r="BN226" s="4">
        <f t="shared" si="174"/>
        <v>2001</v>
      </c>
      <c r="BO226" s="4">
        <f t="shared" si="175"/>
        <v>6</v>
      </c>
      <c r="BP226" s="108">
        <f>(C226+[4]MWh!$AN60)</f>
        <v>218551.23776372831</v>
      </c>
      <c r="BQ226" s="108">
        <f t="shared" si="111"/>
        <v>11621.974887728173</v>
      </c>
      <c r="BR226" s="108">
        <f t="shared" si="112"/>
        <v>11630.48326316024</v>
      </c>
      <c r="BS226" s="108">
        <f t="shared" si="118"/>
        <v>-1923.9243949611064</v>
      </c>
      <c r="BT226" s="175">
        <f t="shared" si="113"/>
        <v>218711.23776372831</v>
      </c>
      <c r="BU226" s="108">
        <f t="shared" si="160"/>
        <v>-22055.705467481195</v>
      </c>
      <c r="BV226" s="137">
        <f t="shared" si="130"/>
        <v>160</v>
      </c>
    </row>
    <row r="227" spans="1:81">
      <c r="A227" s="4">
        <f t="shared" si="161"/>
        <v>2001</v>
      </c>
      <c r="B227" s="4">
        <f t="shared" si="162"/>
        <v>7</v>
      </c>
      <c r="C227" s="5">
        <f>'[2]FPC wSEB'!$J324</f>
        <v>229365</v>
      </c>
      <c r="D227" s="5">
        <f>'[2]FPC wSEB'!$AB324</f>
        <v>18421</v>
      </c>
      <c r="E227" s="73">
        <f t="shared" si="163"/>
        <v>12451</v>
      </c>
      <c r="F227" s="540">
        <f t="shared" si="138"/>
        <v>18421</v>
      </c>
      <c r="H227" s="13" t="s">
        <v>18</v>
      </c>
      <c r="I227" s="76">
        <f>'[7]Gov 65 &amp; 70'!$S312</f>
        <v>346.2</v>
      </c>
      <c r="J227" s="76">
        <f t="shared" si="164"/>
        <v>363.4</v>
      </c>
      <c r="K227" s="362">
        <f t="shared" ref="K227:K232" si="179">(J227-I227)</f>
        <v>17.199999999999989</v>
      </c>
      <c r="L227" s="200" t="s">
        <v>18</v>
      </c>
      <c r="M227" s="76">
        <f>'[7]Gov 65 &amp; 70'!$J312</f>
        <v>0</v>
      </c>
      <c r="N227" s="76">
        <f t="shared" si="165"/>
        <v>0</v>
      </c>
      <c r="O227" s="363">
        <f t="shared" ref="O227:O232" si="180">(N227-M227)</f>
        <v>0</v>
      </c>
      <c r="P227" s="13" t="s">
        <v>18</v>
      </c>
      <c r="Q227" s="77">
        <f t="shared" si="139"/>
        <v>3941.8959999999975</v>
      </c>
      <c r="R227" s="78">
        <f t="shared" si="140"/>
        <v>0</v>
      </c>
      <c r="S227" s="479">
        <f t="shared" si="141"/>
        <v>3942</v>
      </c>
      <c r="T227" s="13" t="s">
        <v>18</v>
      </c>
      <c r="U227" s="4">
        <f t="shared" si="166"/>
        <v>2001</v>
      </c>
      <c r="V227" s="4">
        <f t="shared" si="167"/>
        <v>7</v>
      </c>
      <c r="W227" s="153">
        <f t="shared" si="142"/>
        <v>12665.273329352371</v>
      </c>
      <c r="X227" s="153">
        <f t="shared" si="178"/>
        <v>-326.71905501317997</v>
      </c>
      <c r="Y227" s="80"/>
      <c r="Z227" s="98">
        <f t="shared" si="143"/>
        <v>233307</v>
      </c>
      <c r="AA227" s="119">
        <f t="shared" si="136"/>
        <v>3942</v>
      </c>
      <c r="AB227" s="512">
        <f>[9]SPAMWh!$L107</f>
        <v>235216</v>
      </c>
      <c r="AC227" s="4">
        <f t="shared" si="168"/>
        <v>2001</v>
      </c>
      <c r="AD227" s="4">
        <f t="shared" si="169"/>
        <v>7</v>
      </c>
      <c r="AE227" s="107">
        <f>RESID!AC227</f>
        <v>30.5</v>
      </c>
      <c r="AF227" s="40">
        <f t="shared" si="144"/>
        <v>12632.050377286792</v>
      </c>
      <c r="AG227" s="4">
        <f t="shared" si="145"/>
        <v>232695</v>
      </c>
      <c r="AH227" s="4">
        <f t="shared" ref="AH227:AH232" si="181">Z227-Z215</f>
        <v>1296</v>
      </c>
      <c r="AY227" s="4">
        <f t="shared" si="170"/>
        <v>2001</v>
      </c>
      <c r="AZ227" s="4">
        <f t="shared" si="171"/>
        <v>7</v>
      </c>
      <c r="BA227" s="4">
        <f>'[8]Gov 65 &amp; 70'!$S312</f>
        <v>365.6</v>
      </c>
      <c r="BB227" s="4">
        <f t="shared" si="172"/>
        <v>391.2</v>
      </c>
      <c r="BC227" s="82">
        <f t="shared" si="176"/>
        <v>25.599999999999966</v>
      </c>
      <c r="BD227" s="36" t="s">
        <v>18</v>
      </c>
      <c r="BE227" s="4">
        <f>'[8]Gov 65 &amp; 70'!$J312</f>
        <v>0</v>
      </c>
      <c r="BF227" s="4">
        <f t="shared" si="173"/>
        <v>0</v>
      </c>
      <c r="BG227" s="83">
        <f t="shared" si="177"/>
        <v>0</v>
      </c>
      <c r="BH227" s="36" t="s">
        <v>18</v>
      </c>
      <c r="BI227" s="273">
        <f t="shared" si="146"/>
        <v>5867.0079999999925</v>
      </c>
      <c r="BJ227" s="270">
        <f t="shared" si="147"/>
        <v>0</v>
      </c>
      <c r="BK227" s="482">
        <f t="shared" si="148"/>
        <v>5867</v>
      </c>
      <c r="BL227" s="276"/>
      <c r="BM227" s="36" t="s">
        <v>18</v>
      </c>
      <c r="BN227" s="4">
        <f t="shared" si="174"/>
        <v>2001</v>
      </c>
      <c r="BO227" s="4">
        <f t="shared" si="175"/>
        <v>7</v>
      </c>
      <c r="BP227" s="108">
        <f>(C227+[4]MWh!$AN61)</f>
        <v>229628.88865244505</v>
      </c>
      <c r="BQ227" s="108">
        <f t="shared" si="111"/>
        <v>12465.603857143751</v>
      </c>
      <c r="BR227" s="108">
        <f t="shared" si="112"/>
        <v>12784.099052844311</v>
      </c>
      <c r="BS227" s="108">
        <f t="shared" si="118"/>
        <v>793.46393809729125</v>
      </c>
      <c r="BT227" s="175">
        <f t="shared" si="113"/>
        <v>235495.88865244505</v>
      </c>
      <c r="BU227" s="108">
        <f t="shared" ref="BU227:BU232" si="182">BT227-BT215</f>
        <v>21367.126773292781</v>
      </c>
      <c r="BV227" s="137">
        <f t="shared" si="130"/>
        <v>5867</v>
      </c>
    </row>
    <row r="228" spans="1:81">
      <c r="A228" s="4">
        <f t="shared" si="161"/>
        <v>2001</v>
      </c>
      <c r="B228" s="4">
        <f t="shared" si="162"/>
        <v>8</v>
      </c>
      <c r="C228" s="5">
        <f>'[2]FPC wSEB'!$J325</f>
        <v>238541</v>
      </c>
      <c r="D228" s="5">
        <f>'[2]FPC wSEB'!$AB325</f>
        <v>18895</v>
      </c>
      <c r="E228" s="73">
        <f t="shared" ref="E228:E233" si="183">ROUND(C228/D228*1000,0)</f>
        <v>12625</v>
      </c>
      <c r="F228" s="540">
        <f t="shared" si="138"/>
        <v>18895</v>
      </c>
      <c r="H228" s="13" t="s">
        <v>18</v>
      </c>
      <c r="I228" s="76">
        <f>'[7]Gov 65 &amp; 70'!$S313</f>
        <v>344.5</v>
      </c>
      <c r="J228" s="76">
        <f t="shared" si="164"/>
        <v>390.1</v>
      </c>
      <c r="K228" s="362">
        <f t="shared" si="179"/>
        <v>45.600000000000023</v>
      </c>
      <c r="L228" s="200" t="s">
        <v>18</v>
      </c>
      <c r="M228" s="76">
        <f>'[7]Gov 65 &amp; 70'!$J313</f>
        <v>0</v>
      </c>
      <c r="N228" s="76">
        <f t="shared" si="165"/>
        <v>0</v>
      </c>
      <c r="O228" s="363">
        <f t="shared" si="180"/>
        <v>0</v>
      </c>
      <c r="P228" s="13" t="s">
        <v>18</v>
      </c>
      <c r="Q228" s="77">
        <f t="shared" si="139"/>
        <v>10450.608000000006</v>
      </c>
      <c r="R228" s="78">
        <f t="shared" si="140"/>
        <v>0</v>
      </c>
      <c r="S228" s="479">
        <f t="shared" si="141"/>
        <v>10451</v>
      </c>
      <c r="T228" s="13" t="s">
        <v>18</v>
      </c>
      <c r="U228" s="4">
        <f t="shared" si="166"/>
        <v>2001</v>
      </c>
      <c r="V228" s="4">
        <f t="shared" si="167"/>
        <v>8</v>
      </c>
      <c r="W228" s="153">
        <f t="shared" si="142"/>
        <v>13177.66604921937</v>
      </c>
      <c r="X228" s="153">
        <f t="shared" si="178"/>
        <v>335.41593913570614</v>
      </c>
      <c r="Y228" s="80"/>
      <c r="Z228" s="98">
        <f t="shared" si="143"/>
        <v>248992</v>
      </c>
      <c r="AA228" s="119">
        <f t="shared" si="136"/>
        <v>10451</v>
      </c>
      <c r="AB228" s="512">
        <f>[9]SPAMWh!$L108</f>
        <v>247176</v>
      </c>
      <c r="AC228" s="4">
        <f t="shared" si="168"/>
        <v>2001</v>
      </c>
      <c r="AD228" s="4">
        <f t="shared" si="169"/>
        <v>8</v>
      </c>
      <c r="AE228" s="107">
        <f>RESID!AC228</f>
        <v>29.7</v>
      </c>
      <c r="AF228" s="40">
        <f t="shared" si="144"/>
        <v>13497.115639057953</v>
      </c>
      <c r="AG228" s="4">
        <f t="shared" si="145"/>
        <v>255028</v>
      </c>
      <c r="AH228" s="4">
        <f t="shared" si="181"/>
        <v>15674</v>
      </c>
      <c r="AY228" s="4">
        <f t="shared" si="170"/>
        <v>2001</v>
      </c>
      <c r="AZ228" s="4">
        <f t="shared" si="171"/>
        <v>8</v>
      </c>
      <c r="BA228" s="4">
        <f>'[8]Gov 65 &amp; 70'!$S313</f>
        <v>388.7</v>
      </c>
      <c r="BB228" s="4">
        <f t="shared" si="172"/>
        <v>394.4</v>
      </c>
      <c r="BC228" s="82">
        <f t="shared" si="176"/>
        <v>5.6999999999999886</v>
      </c>
      <c r="BD228" s="36" t="s">
        <v>18</v>
      </c>
      <c r="BE228" s="4">
        <f>'[8]Gov 65 &amp; 70'!$J313</f>
        <v>0</v>
      </c>
      <c r="BF228" s="4">
        <f t="shared" si="173"/>
        <v>0</v>
      </c>
      <c r="BG228" s="83">
        <f t="shared" si="177"/>
        <v>0</v>
      </c>
      <c r="BH228" s="36" t="s">
        <v>18</v>
      </c>
      <c r="BI228" s="273">
        <f t="shared" si="146"/>
        <v>1306.3259999999975</v>
      </c>
      <c r="BJ228" s="270">
        <f t="shared" si="147"/>
        <v>0</v>
      </c>
      <c r="BK228" s="482">
        <f t="shared" si="148"/>
        <v>1306</v>
      </c>
      <c r="BL228" s="276"/>
      <c r="BM228" s="36" t="s">
        <v>18</v>
      </c>
      <c r="BN228" s="4">
        <f t="shared" si="174"/>
        <v>2001</v>
      </c>
      <c r="BO228" s="4">
        <f t="shared" si="175"/>
        <v>8</v>
      </c>
      <c r="BP228" s="108">
        <f>(C228+[4]MWh!$AN62)</f>
        <v>263297.43806130724</v>
      </c>
      <c r="BQ228" s="108">
        <f t="shared" si="111"/>
        <v>13934.767825419805</v>
      </c>
      <c r="BR228" s="108">
        <f t="shared" si="112"/>
        <v>14003.886639920998</v>
      </c>
      <c r="BS228" s="108">
        <f t="shared" si="118"/>
        <v>335.5310475365859</v>
      </c>
      <c r="BT228" s="175">
        <f t="shared" si="113"/>
        <v>264603.43806130724</v>
      </c>
      <c r="BU228" s="108">
        <f t="shared" si="182"/>
        <v>16276.753658867237</v>
      </c>
      <c r="BV228" s="137">
        <f t="shared" si="130"/>
        <v>1306</v>
      </c>
    </row>
    <row r="229" spans="1:81">
      <c r="A229" s="4">
        <f t="shared" si="161"/>
        <v>2001</v>
      </c>
      <c r="B229" s="4">
        <f t="shared" si="162"/>
        <v>9</v>
      </c>
      <c r="C229" s="5">
        <f>'[2]FPC wSEB'!$J326</f>
        <v>275597</v>
      </c>
      <c r="D229" s="5">
        <f>'[2]FPC wSEB'!$AB326</f>
        <v>18983</v>
      </c>
      <c r="E229" s="73">
        <f t="shared" si="183"/>
        <v>14518</v>
      </c>
      <c r="F229" s="540">
        <f t="shared" si="138"/>
        <v>18983</v>
      </c>
      <c r="H229" s="13" t="s">
        <v>18</v>
      </c>
      <c r="I229" s="76">
        <f>'[7]Gov 65 &amp; 70'!$S314</f>
        <v>382</v>
      </c>
      <c r="J229" s="76">
        <f t="shared" si="164"/>
        <v>381.2</v>
      </c>
      <c r="K229" s="362">
        <f t="shared" si="179"/>
        <v>-0.80000000000001137</v>
      </c>
      <c r="L229" s="200" t="s">
        <v>18</v>
      </c>
      <c r="M229" s="76">
        <f>'[7]Gov 65 &amp; 70'!$J314</f>
        <v>0.2</v>
      </c>
      <c r="N229" s="76">
        <f t="shared" si="165"/>
        <v>0</v>
      </c>
      <c r="O229" s="363">
        <f t="shared" si="180"/>
        <v>-0.2</v>
      </c>
      <c r="P229" s="13" t="s">
        <v>18</v>
      </c>
      <c r="Q229" s="77">
        <f t="shared" si="139"/>
        <v>-183.34400000000261</v>
      </c>
      <c r="R229" s="78">
        <f t="shared" si="140"/>
        <v>-8.1159999999999997</v>
      </c>
      <c r="S229" s="479">
        <f t="shared" si="141"/>
        <v>-191</v>
      </c>
      <c r="T229" s="13" t="s">
        <v>18</v>
      </c>
      <c r="U229" s="4">
        <f t="shared" si="166"/>
        <v>2001</v>
      </c>
      <c r="V229" s="4">
        <f t="shared" si="167"/>
        <v>9</v>
      </c>
      <c r="W229" s="153">
        <f t="shared" si="142"/>
        <v>14508.03350366117</v>
      </c>
      <c r="X229" s="153">
        <f t="shared" si="178"/>
        <v>126.45890888776557</v>
      </c>
      <c r="Y229" s="80"/>
      <c r="Z229" s="98">
        <f t="shared" si="143"/>
        <v>275406</v>
      </c>
      <c r="AA229" s="119">
        <f t="shared" si="136"/>
        <v>-191</v>
      </c>
      <c r="AB229" s="512">
        <f>[9]SPAMWh!$L109</f>
        <v>274956</v>
      </c>
      <c r="AC229" s="4">
        <f t="shared" si="168"/>
        <v>2001</v>
      </c>
      <c r="AD229" s="4">
        <f t="shared" si="169"/>
        <v>9</v>
      </c>
      <c r="AE229" s="107">
        <f>RESID!AC229</f>
        <v>31.95</v>
      </c>
      <c r="AF229" s="40">
        <f t="shared" si="144"/>
        <v>13813.30664278565</v>
      </c>
      <c r="AG229" s="4">
        <f t="shared" si="145"/>
        <v>262218</v>
      </c>
      <c r="AH229" s="4">
        <f t="shared" si="181"/>
        <v>14553</v>
      </c>
      <c r="AY229" s="4">
        <f t="shared" si="170"/>
        <v>2001</v>
      </c>
      <c r="AZ229" s="4">
        <f t="shared" si="171"/>
        <v>9</v>
      </c>
      <c r="BA229" s="4">
        <f>'[8]Gov 65 &amp; 70'!$S314</f>
        <v>263.60000000000002</v>
      </c>
      <c r="BB229" s="4">
        <f t="shared" si="172"/>
        <v>339.3</v>
      </c>
      <c r="BC229" s="82">
        <f t="shared" si="176"/>
        <v>75.699999999999989</v>
      </c>
      <c r="BD229" s="36" t="s">
        <v>18</v>
      </c>
      <c r="BE229" s="4">
        <f>'[8]Gov 65 &amp; 70'!$J314</f>
        <v>2.1</v>
      </c>
      <c r="BF229" s="4">
        <f t="shared" si="173"/>
        <v>0</v>
      </c>
      <c r="BG229" s="83">
        <f t="shared" si="177"/>
        <v>-2.1</v>
      </c>
      <c r="BH229" s="36" t="s">
        <v>18</v>
      </c>
      <c r="BI229" s="273">
        <f t="shared" si="146"/>
        <v>17348.925999999999</v>
      </c>
      <c r="BJ229" s="270">
        <f t="shared" si="147"/>
        <v>-85.218000000000004</v>
      </c>
      <c r="BK229" s="482">
        <f t="shared" si="148"/>
        <v>17264</v>
      </c>
      <c r="BL229" s="276"/>
      <c r="BM229" s="36" t="s">
        <v>18</v>
      </c>
      <c r="BN229" s="4">
        <f t="shared" si="174"/>
        <v>2001</v>
      </c>
      <c r="BO229" s="4">
        <f t="shared" si="175"/>
        <v>9</v>
      </c>
      <c r="BP229" s="108">
        <f>(C229+[4]MWh!$AN63)</f>
        <v>248150.54789998449</v>
      </c>
      <c r="BQ229" s="108">
        <f t="shared" si="111"/>
        <v>13072.251377547516</v>
      </c>
      <c r="BR229" s="108">
        <f t="shared" si="112"/>
        <v>13981.696670704552</v>
      </c>
      <c r="BS229" s="108">
        <f t="shared" si="118"/>
        <v>190.78401808261879</v>
      </c>
      <c r="BT229" s="175">
        <f t="shared" si="113"/>
        <v>265414.54789998452</v>
      </c>
      <c r="BU229" s="108">
        <f t="shared" si="182"/>
        <v>15274.9742067279</v>
      </c>
      <c r="BV229" s="137">
        <f t="shared" si="130"/>
        <v>17264.000000000029</v>
      </c>
      <c r="BW229" s="120"/>
      <c r="BX229" s="120"/>
    </row>
    <row r="230" spans="1:81">
      <c r="A230" s="4">
        <f t="shared" si="161"/>
        <v>2001</v>
      </c>
      <c r="B230" s="4">
        <f t="shared" si="162"/>
        <v>10</v>
      </c>
      <c r="C230" s="5">
        <f>'[2]FPC wSEB'!$J327</f>
        <v>226750</v>
      </c>
      <c r="D230" s="5">
        <f>'[2]FPC wSEB'!$AB327</f>
        <v>18759</v>
      </c>
      <c r="E230" s="73">
        <f t="shared" si="183"/>
        <v>12088</v>
      </c>
      <c r="F230" s="540">
        <f t="shared" si="138"/>
        <v>18759</v>
      </c>
      <c r="H230" s="13" t="s">
        <v>18</v>
      </c>
      <c r="I230" s="76">
        <f>'[7]Gov 65 &amp; 70'!$S315</f>
        <v>213.2</v>
      </c>
      <c r="J230" s="76">
        <f t="shared" si="164"/>
        <v>287.8</v>
      </c>
      <c r="K230" s="362">
        <f t="shared" si="179"/>
        <v>74.600000000000023</v>
      </c>
      <c r="L230" s="200" t="s">
        <v>18</v>
      </c>
      <c r="M230" s="76">
        <f>'[7]Gov 65 &amp; 70'!$J315</f>
        <v>6.9</v>
      </c>
      <c r="N230" s="76">
        <f t="shared" si="165"/>
        <v>2.5</v>
      </c>
      <c r="O230" s="363">
        <f t="shared" si="180"/>
        <v>-4.4000000000000004</v>
      </c>
      <c r="P230" s="13" t="s">
        <v>18</v>
      </c>
      <c r="Q230" s="77">
        <f t="shared" si="139"/>
        <v>17096.828000000005</v>
      </c>
      <c r="R230" s="78">
        <f t="shared" si="140"/>
        <v>-178.55200000000002</v>
      </c>
      <c r="S230" s="479">
        <f t="shared" si="141"/>
        <v>16918</v>
      </c>
      <c r="T230" s="13" t="s">
        <v>18</v>
      </c>
      <c r="U230" s="4">
        <f t="shared" si="166"/>
        <v>2001</v>
      </c>
      <c r="V230" s="4">
        <f t="shared" si="167"/>
        <v>10</v>
      </c>
      <c r="W230" s="153">
        <f t="shared" si="142"/>
        <v>12989.391758622527</v>
      </c>
      <c r="X230" s="153">
        <f t="shared" si="178"/>
        <v>-424.86941928206761</v>
      </c>
      <c r="Y230" s="80"/>
      <c r="Z230" s="98">
        <f t="shared" si="143"/>
        <v>243668</v>
      </c>
      <c r="AA230" s="119">
        <f t="shared" si="136"/>
        <v>16918</v>
      </c>
      <c r="AB230" s="512">
        <f>[9]SPAMWh!$L110</f>
        <v>244884</v>
      </c>
      <c r="AC230" s="4">
        <f t="shared" si="168"/>
        <v>2001</v>
      </c>
      <c r="AD230" s="4">
        <f t="shared" si="169"/>
        <v>10</v>
      </c>
      <c r="AE230" s="107">
        <f>RESID!AC230</f>
        <v>29.65</v>
      </c>
      <c r="AF230" s="40">
        <f t="shared" si="144"/>
        <v>13326.723172877018</v>
      </c>
      <c r="AG230" s="4">
        <f t="shared" si="145"/>
        <v>249996</v>
      </c>
      <c r="AH230" s="4">
        <f t="shared" si="181"/>
        <v>1554</v>
      </c>
      <c r="AY230" s="4">
        <f t="shared" si="170"/>
        <v>2001</v>
      </c>
      <c r="AZ230" s="4">
        <f t="shared" si="171"/>
        <v>10</v>
      </c>
      <c r="BA230" s="4">
        <f>'[8]Gov 65 &amp; 70'!$S315</f>
        <v>171.1</v>
      </c>
      <c r="BB230" s="4">
        <f t="shared" si="172"/>
        <v>200.4</v>
      </c>
      <c r="BC230" s="82">
        <f t="shared" ref="BC230:BC235" si="184">BB230-BA230</f>
        <v>29.300000000000011</v>
      </c>
      <c r="BD230" s="36" t="s">
        <v>18</v>
      </c>
      <c r="BE230" s="4">
        <f>'[8]Gov 65 &amp; 70'!$J315</f>
        <v>28.1</v>
      </c>
      <c r="BF230" s="4">
        <f t="shared" si="173"/>
        <v>15</v>
      </c>
      <c r="BG230" s="83">
        <f t="shared" ref="BG230:BG235" si="185">BF230-BE230</f>
        <v>-13.100000000000001</v>
      </c>
      <c r="BH230" s="36" t="s">
        <v>18</v>
      </c>
      <c r="BI230" s="273">
        <f t="shared" si="146"/>
        <v>6714.9740000000029</v>
      </c>
      <c r="BJ230" s="270">
        <f t="shared" si="147"/>
        <v>-531.59800000000007</v>
      </c>
      <c r="BK230" s="482">
        <f t="shared" si="148"/>
        <v>6183</v>
      </c>
      <c r="BL230" s="276"/>
      <c r="BM230" s="36" t="s">
        <v>18</v>
      </c>
      <c r="BN230" s="4">
        <f t="shared" si="174"/>
        <v>2001</v>
      </c>
      <c r="BO230" s="4">
        <f t="shared" si="175"/>
        <v>10</v>
      </c>
      <c r="BP230" s="108">
        <f>(C230+[4]MWh!$AN64)</f>
        <v>227480.99008252213</v>
      </c>
      <c r="BQ230" s="108">
        <f t="shared" si="111"/>
        <v>12126.498751667046</v>
      </c>
      <c r="BR230" s="108">
        <f t="shared" si="112"/>
        <v>12456.100542807299</v>
      </c>
      <c r="BS230" s="108">
        <f t="shared" si="118"/>
        <v>-453.28798314045162</v>
      </c>
      <c r="BT230" s="175">
        <f t="shared" si="113"/>
        <v>233663.99008252213</v>
      </c>
      <c r="BU230" s="108">
        <f t="shared" si="182"/>
        <v>662.43657769117272</v>
      </c>
      <c r="BV230" s="137">
        <f t="shared" si="130"/>
        <v>6183</v>
      </c>
      <c r="BW230" s="120"/>
      <c r="BX230" s="120"/>
      <c r="BZ230" s="161"/>
      <c r="CA230" s="161"/>
      <c r="CB230" s="161"/>
    </row>
    <row r="231" spans="1:81">
      <c r="A231" s="4">
        <f t="shared" si="161"/>
        <v>2001</v>
      </c>
      <c r="B231" s="4">
        <f t="shared" si="162"/>
        <v>11</v>
      </c>
      <c r="C231" s="5">
        <f>'[2]FPC wSEB'!$J328</f>
        <v>223884</v>
      </c>
      <c r="D231" s="5">
        <f>'[2]FPC wSEB'!$AB328</f>
        <v>19576</v>
      </c>
      <c r="E231" s="73">
        <f t="shared" si="183"/>
        <v>11437</v>
      </c>
      <c r="F231" s="540">
        <f t="shared" si="138"/>
        <v>19576</v>
      </c>
      <c r="H231" s="13" t="s">
        <v>18</v>
      </c>
      <c r="I231" s="76">
        <f>'[7]Gov 65 &amp; 70'!$S316</f>
        <v>124.6</v>
      </c>
      <c r="J231" s="76">
        <f t="shared" si="164"/>
        <v>140.19999999999999</v>
      </c>
      <c r="K231" s="362">
        <f t="shared" si="179"/>
        <v>15.599999999999994</v>
      </c>
      <c r="L231" s="200" t="s">
        <v>18</v>
      </c>
      <c r="M231" s="76">
        <f>'[7]Gov 65 &amp; 70'!$J316</f>
        <v>36.6</v>
      </c>
      <c r="N231" s="76">
        <f t="shared" si="165"/>
        <v>38.6</v>
      </c>
      <c r="O231" s="363">
        <f t="shared" si="180"/>
        <v>2</v>
      </c>
      <c r="P231" s="13" t="s">
        <v>18</v>
      </c>
      <c r="Q231" s="77">
        <f t="shared" si="139"/>
        <v>3575.2079999999987</v>
      </c>
      <c r="R231" s="78">
        <f t="shared" si="140"/>
        <v>81.16</v>
      </c>
      <c r="S231" s="479">
        <f t="shared" si="141"/>
        <v>3656</v>
      </c>
      <c r="T231" s="13" t="s">
        <v>18</v>
      </c>
      <c r="U231" s="4">
        <f t="shared" si="166"/>
        <v>2001</v>
      </c>
      <c r="V231" s="4">
        <f t="shared" si="167"/>
        <v>11</v>
      </c>
      <c r="W231" s="153">
        <f t="shared" si="142"/>
        <v>11623.416428279526</v>
      </c>
      <c r="X231" s="153">
        <f t="shared" si="178"/>
        <v>-631.16779346887415</v>
      </c>
      <c r="Y231" s="80"/>
      <c r="Z231" s="98">
        <f t="shared" si="143"/>
        <v>227540</v>
      </c>
      <c r="AA231" s="119">
        <f t="shared" si="136"/>
        <v>3656</v>
      </c>
      <c r="AB231" s="512">
        <f>[9]SPAMWh!$L111</f>
        <v>222617</v>
      </c>
      <c r="AC231" s="4">
        <f t="shared" si="168"/>
        <v>2001</v>
      </c>
      <c r="AD231" s="4">
        <f t="shared" si="169"/>
        <v>11</v>
      </c>
      <c r="AE231" s="107">
        <f>RESID!AC231</f>
        <v>30.6</v>
      </c>
      <c r="AF231" s="40">
        <f t="shared" si="144"/>
        <v>11555.067429505516</v>
      </c>
      <c r="AG231" s="4">
        <f t="shared" si="145"/>
        <v>226202</v>
      </c>
      <c r="AH231" s="4">
        <f t="shared" si="181"/>
        <v>-2356</v>
      </c>
      <c r="AY231" s="4">
        <f t="shared" si="170"/>
        <v>2001</v>
      </c>
      <c r="AZ231" s="4">
        <f t="shared" si="171"/>
        <v>11</v>
      </c>
      <c r="BA231" s="4">
        <f>'[8]Gov 65 &amp; 70'!$S316</f>
        <v>72.3</v>
      </c>
      <c r="BB231" s="4">
        <f t="shared" si="172"/>
        <v>66.3</v>
      </c>
      <c r="BC231" s="82">
        <f t="shared" si="184"/>
        <v>-6</v>
      </c>
      <c r="BD231" s="36" t="s">
        <v>18</v>
      </c>
      <c r="BE231" s="4">
        <f>'[8]Gov 65 &amp; 70'!$J316</f>
        <v>30.8</v>
      </c>
      <c r="BF231" s="4">
        <f t="shared" si="173"/>
        <v>69.900000000000006</v>
      </c>
      <c r="BG231" s="83">
        <f t="shared" si="185"/>
        <v>39.100000000000009</v>
      </c>
      <c r="BH231" s="36" t="s">
        <v>18</v>
      </c>
      <c r="BI231" s="273">
        <f t="shared" si="146"/>
        <v>-1375.08</v>
      </c>
      <c r="BJ231" s="270">
        <f t="shared" si="147"/>
        <v>1586.6780000000003</v>
      </c>
      <c r="BK231" s="482">
        <f t="shared" si="148"/>
        <v>212</v>
      </c>
      <c r="BL231" s="276"/>
      <c r="BM231" s="36" t="s">
        <v>18</v>
      </c>
      <c r="BN231" s="4">
        <f t="shared" si="174"/>
        <v>2001</v>
      </c>
      <c r="BO231" s="4">
        <f t="shared" si="175"/>
        <v>11</v>
      </c>
      <c r="BP231" s="108">
        <f>(C231+[4]MWh!$AN65)</f>
        <v>209097.64905946184</v>
      </c>
      <c r="BQ231" s="108">
        <f t="shared" si="111"/>
        <v>10681.326576392616</v>
      </c>
      <c r="BR231" s="108">
        <f t="shared" si="112"/>
        <v>10692.156163642308</v>
      </c>
      <c r="BS231" s="108">
        <f t="shared" si="118"/>
        <v>-1862.6591290824381</v>
      </c>
      <c r="BT231" s="175">
        <f t="shared" si="113"/>
        <v>209309.64905946184</v>
      </c>
      <c r="BU231" s="108">
        <f t="shared" si="182"/>
        <v>-26218.685832054412</v>
      </c>
      <c r="BV231" s="159">
        <f t="shared" si="130"/>
        <v>212</v>
      </c>
      <c r="BW231" s="140"/>
      <c r="BX231" s="140"/>
      <c r="BZ231" s="161"/>
      <c r="CA231" s="161"/>
      <c r="CB231" s="161"/>
    </row>
    <row r="232" spans="1:81" s="89" customFormat="1">
      <c r="A232" s="89">
        <f t="shared" si="161"/>
        <v>2001</v>
      </c>
      <c r="B232" s="89">
        <f t="shared" si="162"/>
        <v>12</v>
      </c>
      <c r="C232" s="103">
        <f>'[2]FPC wSEB'!$J329</f>
        <v>226909</v>
      </c>
      <c r="D232" s="103">
        <f>'[2]FPC wSEB'!$AB329</f>
        <v>18713</v>
      </c>
      <c r="E232" s="104">
        <f t="shared" si="183"/>
        <v>12126</v>
      </c>
      <c r="F232" s="586">
        <f t="shared" si="138"/>
        <v>18713</v>
      </c>
      <c r="H232" s="90" t="s">
        <v>18</v>
      </c>
      <c r="I232" s="92">
        <f>'[7]Gov 65 &amp; 70'!$S317</f>
        <v>87.3</v>
      </c>
      <c r="J232" s="92">
        <f t="shared" si="164"/>
        <v>50.8</v>
      </c>
      <c r="K232" s="364">
        <f t="shared" si="179"/>
        <v>-36.5</v>
      </c>
      <c r="L232" s="210" t="s">
        <v>18</v>
      </c>
      <c r="M232" s="92">
        <f>'[7]Gov 65 &amp; 70'!$J317</f>
        <v>34.9</v>
      </c>
      <c r="N232" s="92">
        <f t="shared" si="165"/>
        <v>121.8</v>
      </c>
      <c r="O232" s="365">
        <f t="shared" si="180"/>
        <v>86.9</v>
      </c>
      <c r="P232" s="90" t="s">
        <v>18</v>
      </c>
      <c r="Q232" s="114">
        <f t="shared" si="139"/>
        <v>-8365.07</v>
      </c>
      <c r="R232" s="95">
        <f t="shared" si="140"/>
        <v>3526.402</v>
      </c>
      <c r="S232" s="480">
        <f t="shared" si="141"/>
        <v>-4839</v>
      </c>
      <c r="T232" s="90" t="s">
        <v>18</v>
      </c>
      <c r="U232" s="89">
        <f t="shared" si="166"/>
        <v>2001</v>
      </c>
      <c r="V232" s="89">
        <f t="shared" si="167"/>
        <v>12</v>
      </c>
      <c r="W232" s="154">
        <f t="shared" si="142"/>
        <v>11867.151178325228</v>
      </c>
      <c r="X232" s="154">
        <f t="shared" ref="X232:X237" si="186">W232-W220</f>
        <v>617.73783605234894</v>
      </c>
      <c r="Y232" s="134"/>
      <c r="Z232" s="155">
        <f t="shared" si="143"/>
        <v>222070</v>
      </c>
      <c r="AA232" s="156">
        <f t="shared" si="136"/>
        <v>-4839</v>
      </c>
      <c r="AB232" s="522">
        <f>[9]SPAMWh!$L112</f>
        <v>225807</v>
      </c>
      <c r="AC232" s="89">
        <f t="shared" si="168"/>
        <v>2001</v>
      </c>
      <c r="AD232" s="89">
        <f t="shared" si="169"/>
        <v>12</v>
      </c>
      <c r="AE232" s="110">
        <f>RESID!AC232</f>
        <v>31.3</v>
      </c>
      <c r="AF232" s="116">
        <f t="shared" si="144"/>
        <v>11533.479399348045</v>
      </c>
      <c r="AG232" s="89">
        <f t="shared" si="145"/>
        <v>215826</v>
      </c>
      <c r="AH232" s="89">
        <f t="shared" si="181"/>
        <v>20728</v>
      </c>
      <c r="AY232" s="89">
        <f t="shared" si="170"/>
        <v>2001</v>
      </c>
      <c r="AZ232" s="89">
        <f t="shared" si="171"/>
        <v>12</v>
      </c>
      <c r="BA232" s="89">
        <f>'[8]Gov 65 &amp; 70'!$S317</f>
        <v>73</v>
      </c>
      <c r="BB232" s="89">
        <f t="shared" si="172"/>
        <v>28.2</v>
      </c>
      <c r="BC232" s="111">
        <f t="shared" si="184"/>
        <v>-44.8</v>
      </c>
      <c r="BD232" s="113" t="s">
        <v>18</v>
      </c>
      <c r="BE232" s="89">
        <f>'[8]Gov 65 &amp; 70'!$J317</f>
        <v>109</v>
      </c>
      <c r="BF232" s="89">
        <f t="shared" si="173"/>
        <v>170</v>
      </c>
      <c r="BG232" s="112">
        <f t="shared" si="185"/>
        <v>61</v>
      </c>
      <c r="BH232" s="113" t="s">
        <v>18</v>
      </c>
      <c r="BI232" s="274">
        <f t="shared" si="146"/>
        <v>-10267.263999999999</v>
      </c>
      <c r="BJ232" s="275">
        <f t="shared" si="147"/>
        <v>2475.38</v>
      </c>
      <c r="BK232" s="483">
        <f t="shared" si="148"/>
        <v>-7792</v>
      </c>
      <c r="BL232" s="277"/>
      <c r="BM232" s="113" t="s">
        <v>18</v>
      </c>
      <c r="BN232" s="89">
        <f t="shared" si="174"/>
        <v>2001</v>
      </c>
      <c r="BO232" s="89">
        <f t="shared" si="175"/>
        <v>12</v>
      </c>
      <c r="BP232" s="117">
        <f>(C232+[4]MWh!$AN66)</f>
        <v>239109.73800942092</v>
      </c>
      <c r="BQ232" s="117">
        <f t="shared" si="111"/>
        <v>12777.73408910495</v>
      </c>
      <c r="BR232" s="117">
        <f t="shared" si="112"/>
        <v>12361.339069599793</v>
      </c>
      <c r="BS232" s="117">
        <f t="shared" si="118"/>
        <v>600.86337599767285</v>
      </c>
      <c r="BT232" s="176">
        <f t="shared" si="113"/>
        <v>231317.73800942092</v>
      </c>
      <c r="BU232" s="117">
        <f t="shared" si="182"/>
        <v>20828.744045330153</v>
      </c>
      <c r="BV232" s="139">
        <f t="shared" si="130"/>
        <v>-7792</v>
      </c>
      <c r="BZ232" s="121"/>
      <c r="CA232" s="121"/>
      <c r="CB232" s="121"/>
      <c r="CC232" s="121"/>
    </row>
    <row r="233" spans="1:81">
      <c r="A233" s="4">
        <f t="shared" si="161"/>
        <v>2002</v>
      </c>
      <c r="B233" s="4">
        <f t="shared" si="162"/>
        <v>1</v>
      </c>
      <c r="C233" s="5">
        <f>'[2]FPC wSEB'!$J330</f>
        <v>208358</v>
      </c>
      <c r="D233" s="5">
        <f>'[2]FPC wSEB'!$AB330</f>
        <v>18967</v>
      </c>
      <c r="E233" s="73">
        <f t="shared" si="183"/>
        <v>10985</v>
      </c>
      <c r="F233" s="540">
        <f t="shared" si="138"/>
        <v>18967</v>
      </c>
      <c r="H233" s="13" t="s">
        <v>18</v>
      </c>
      <c r="I233" s="76">
        <f>'[7]Gov 65 &amp; 70'!$S318</f>
        <v>34.6</v>
      </c>
      <c r="J233" s="76">
        <f t="shared" si="164"/>
        <v>28.7</v>
      </c>
      <c r="K233" s="362">
        <f t="shared" ref="K233:K238" si="187">(J233-I233)</f>
        <v>-5.9000000000000021</v>
      </c>
      <c r="L233" s="200" t="s">
        <v>18</v>
      </c>
      <c r="M233" s="76">
        <f>'[7]Gov 65 &amp; 70'!$J318</f>
        <v>238.3</v>
      </c>
      <c r="N233" s="76">
        <f t="shared" si="165"/>
        <v>192.9</v>
      </c>
      <c r="O233" s="363">
        <f t="shared" ref="O233:O238" si="188">(N233-M233)</f>
        <v>-45.400000000000006</v>
      </c>
      <c r="P233" s="13" t="s">
        <v>18</v>
      </c>
      <c r="Q233" s="77">
        <f t="shared" si="139"/>
        <v>-1352.1620000000005</v>
      </c>
      <c r="R233" s="78">
        <f t="shared" si="140"/>
        <v>-1842.3320000000001</v>
      </c>
      <c r="S233" s="479">
        <f t="shared" si="141"/>
        <v>-3194</v>
      </c>
      <c r="T233" s="13" t="s">
        <v>18</v>
      </c>
      <c r="U233" s="4">
        <f t="shared" si="166"/>
        <v>2002</v>
      </c>
      <c r="V233" s="4">
        <f t="shared" si="167"/>
        <v>1</v>
      </c>
      <c r="W233" s="153">
        <f t="shared" si="142"/>
        <v>10816.892497495652</v>
      </c>
      <c r="X233" s="153">
        <f t="shared" si="186"/>
        <v>-199.37985021872555</v>
      </c>
      <c r="Y233" s="80"/>
      <c r="Z233" s="98">
        <f t="shared" si="143"/>
        <v>205164</v>
      </c>
      <c r="AA233" s="119">
        <f t="shared" si="136"/>
        <v>-3194</v>
      </c>
      <c r="AB233" s="512">
        <f>[9]SPAMWh!$L113</f>
        <v>204829</v>
      </c>
      <c r="AC233" s="4">
        <f t="shared" si="168"/>
        <v>2002</v>
      </c>
      <c r="AD233" s="4">
        <f t="shared" si="169"/>
        <v>1</v>
      </c>
      <c r="AE233" s="107">
        <f>RESID!AC233</f>
        <v>31.85</v>
      </c>
      <c r="AF233" s="40">
        <f t="shared" si="144"/>
        <v>10331.259556071071</v>
      </c>
      <c r="AG233" s="4">
        <f t="shared" si="145"/>
        <v>195953</v>
      </c>
      <c r="AH233" s="4">
        <f t="shared" ref="AH233:AH238" si="189">Z233-Z221</f>
        <v>-642</v>
      </c>
      <c r="AY233" s="4">
        <f t="shared" si="170"/>
        <v>2002</v>
      </c>
      <c r="AZ233" s="4">
        <f t="shared" si="171"/>
        <v>1</v>
      </c>
      <c r="BA233" s="4">
        <f>'[8]Gov 65 &amp; 70'!$S318</f>
        <v>42.7</v>
      </c>
      <c r="BB233" s="4">
        <f t="shared" si="172"/>
        <v>23.9</v>
      </c>
      <c r="BC233" s="82">
        <f t="shared" si="184"/>
        <v>-18.800000000000004</v>
      </c>
      <c r="BD233" s="36" t="s">
        <v>18</v>
      </c>
      <c r="BE233" s="4">
        <f>'[8]Gov 65 &amp; 70'!$J318</f>
        <v>206.6</v>
      </c>
      <c r="BF233" s="4">
        <f t="shared" si="173"/>
        <v>176.9</v>
      </c>
      <c r="BG233" s="83">
        <f t="shared" si="185"/>
        <v>-29.699999999999989</v>
      </c>
      <c r="BH233" s="36" t="s">
        <v>18</v>
      </c>
      <c r="BI233" s="273">
        <f t="shared" si="146"/>
        <v>-4308.5840000000007</v>
      </c>
      <c r="BJ233" s="270">
        <f t="shared" si="147"/>
        <v>-1205.2259999999994</v>
      </c>
      <c r="BK233" s="482">
        <f t="shared" si="148"/>
        <v>-5514</v>
      </c>
      <c r="BL233" s="276"/>
      <c r="BM233" s="36" t="s">
        <v>18</v>
      </c>
      <c r="BN233" s="4">
        <f t="shared" si="174"/>
        <v>2002</v>
      </c>
      <c r="BO233" s="4">
        <f t="shared" si="175"/>
        <v>1</v>
      </c>
      <c r="BP233" s="108">
        <f>(C233+[4]MWh!$AN67)</f>
        <v>179553.35540931497</v>
      </c>
      <c r="BQ233" s="108">
        <f t="shared" si="111"/>
        <v>9466.6186223079549</v>
      </c>
      <c r="BR233" s="108">
        <f t="shared" si="112"/>
        <v>9175.9031691524724</v>
      </c>
      <c r="BS233" s="108">
        <f t="shared" si="118"/>
        <v>314.15468695674645</v>
      </c>
      <c r="BT233" s="175">
        <f t="shared" si="113"/>
        <v>174039.35540931497</v>
      </c>
      <c r="BU233" s="108">
        <f t="shared" ref="BU233:BU238" si="190">BT233-BT221</f>
        <v>8484.1702649344224</v>
      </c>
      <c r="BV233" s="137">
        <f t="shared" si="130"/>
        <v>-5514</v>
      </c>
    </row>
    <row r="234" spans="1:81">
      <c r="A234" s="4">
        <f t="shared" si="161"/>
        <v>2002</v>
      </c>
      <c r="B234" s="4">
        <f t="shared" si="162"/>
        <v>2</v>
      </c>
      <c r="C234" s="5">
        <f>'[2]FPC wSEB'!$J331</f>
        <v>204591</v>
      </c>
      <c r="D234" s="5">
        <f>'[2]FPC wSEB'!$AB331</f>
        <v>19122</v>
      </c>
      <c r="E234" s="73">
        <f t="shared" ref="E234:E239" si="191">ROUND(C234/D234*1000,0)</f>
        <v>10699</v>
      </c>
      <c r="F234" s="540">
        <f t="shared" si="138"/>
        <v>19122</v>
      </c>
      <c r="H234" s="13" t="s">
        <v>18</v>
      </c>
      <c r="I234" s="76">
        <f>'[7]Gov 65 &amp; 70'!$S319</f>
        <v>47.3</v>
      </c>
      <c r="J234" s="76">
        <f t="shared" si="164"/>
        <v>22.6</v>
      </c>
      <c r="K234" s="362">
        <f t="shared" si="187"/>
        <v>-24.699999999999996</v>
      </c>
      <c r="L234" s="200" t="s">
        <v>18</v>
      </c>
      <c r="M234" s="76">
        <f>'[7]Gov 65 &amp; 70'!$J319</f>
        <v>119.3</v>
      </c>
      <c r="N234" s="76">
        <f t="shared" si="165"/>
        <v>177.2</v>
      </c>
      <c r="O234" s="363">
        <f t="shared" si="188"/>
        <v>57.899999999999991</v>
      </c>
      <c r="P234" s="13" t="s">
        <v>18</v>
      </c>
      <c r="Q234" s="77">
        <f t="shared" si="139"/>
        <v>-5660.7459999999992</v>
      </c>
      <c r="R234" s="78">
        <f t="shared" si="140"/>
        <v>2349.5819999999994</v>
      </c>
      <c r="S234" s="479">
        <f t="shared" si="141"/>
        <v>-3311</v>
      </c>
      <c r="T234" s="13" t="s">
        <v>18</v>
      </c>
      <c r="U234" s="4">
        <f t="shared" si="166"/>
        <v>2002</v>
      </c>
      <c r="V234" s="4">
        <f t="shared" si="167"/>
        <v>2</v>
      </c>
      <c r="W234" s="153">
        <f t="shared" si="142"/>
        <v>10526.095596694906</v>
      </c>
      <c r="X234" s="153">
        <f t="shared" si="186"/>
        <v>-156.44235241506431</v>
      </c>
      <c r="Y234" s="80"/>
      <c r="Z234" s="98">
        <f t="shared" si="143"/>
        <v>201280</v>
      </c>
      <c r="AA234" s="119">
        <f t="shared" ref="AA234:AA239" si="192">Z234-C234</f>
        <v>-3311</v>
      </c>
      <c r="AB234" s="512">
        <f>[9]SPAMWh!$L114</f>
        <v>200974</v>
      </c>
      <c r="AC234" s="4">
        <f t="shared" si="168"/>
        <v>2002</v>
      </c>
      <c r="AD234" s="4">
        <f t="shared" si="169"/>
        <v>2</v>
      </c>
      <c r="AE234" s="107">
        <f>RESID!AC234</f>
        <v>29.45</v>
      </c>
      <c r="AF234" s="40">
        <f t="shared" si="144"/>
        <v>10872.816650977931</v>
      </c>
      <c r="AG234" s="4">
        <f t="shared" si="145"/>
        <v>207910</v>
      </c>
      <c r="AH234" s="4">
        <f t="shared" si="189"/>
        <v>5640</v>
      </c>
      <c r="AY234" s="4">
        <f t="shared" si="170"/>
        <v>2002</v>
      </c>
      <c r="AZ234" s="4">
        <f t="shared" si="171"/>
        <v>2</v>
      </c>
      <c r="BA234" s="4">
        <f>'[8]Gov 65 &amp; 70'!$S319</f>
        <v>17.3</v>
      </c>
      <c r="BB234" s="4">
        <f t="shared" si="172"/>
        <v>32.799999999999997</v>
      </c>
      <c r="BC234" s="82">
        <f t="shared" si="184"/>
        <v>15.499999999999996</v>
      </c>
      <c r="BD234" s="36" t="s">
        <v>18</v>
      </c>
      <c r="BE234" s="4">
        <f>'[8]Gov 65 &amp; 70'!$J319</f>
        <v>159.9</v>
      </c>
      <c r="BF234" s="4">
        <f t="shared" si="173"/>
        <v>139.1</v>
      </c>
      <c r="BG234" s="83">
        <f t="shared" si="185"/>
        <v>-20.800000000000011</v>
      </c>
      <c r="BH234" s="36" t="s">
        <v>18</v>
      </c>
      <c r="BI234" s="273">
        <f t="shared" si="146"/>
        <v>3552.2899999999995</v>
      </c>
      <c r="BJ234" s="270">
        <f t="shared" si="147"/>
        <v>-844.06400000000042</v>
      </c>
      <c r="BK234" s="482">
        <f t="shared" si="148"/>
        <v>2708</v>
      </c>
      <c r="BL234" s="276"/>
      <c r="BM234" s="36" t="s">
        <v>18</v>
      </c>
      <c r="BN234" s="4">
        <f t="shared" si="174"/>
        <v>2002</v>
      </c>
      <c r="BO234" s="4">
        <f t="shared" si="175"/>
        <v>2</v>
      </c>
      <c r="BP234" s="108">
        <f>(C234+[4]MWh!$AN68)</f>
        <v>208274.03515169196</v>
      </c>
      <c r="BQ234" s="108">
        <f t="shared" si="111"/>
        <v>10891.854154988598</v>
      </c>
      <c r="BR234" s="108">
        <f t="shared" si="112"/>
        <v>11033.471140659552</v>
      </c>
      <c r="BS234" s="108">
        <f t="shared" si="118"/>
        <v>538.43806593255613</v>
      </c>
      <c r="BT234" s="175">
        <f t="shared" si="113"/>
        <v>210982.03515169196</v>
      </c>
      <c r="BU234" s="108">
        <f t="shared" si="190"/>
        <v>18775.99942114178</v>
      </c>
      <c r="BV234" s="137">
        <f t="shared" si="130"/>
        <v>2708</v>
      </c>
    </row>
    <row r="235" spans="1:81">
      <c r="A235" s="4">
        <f t="shared" si="161"/>
        <v>2002</v>
      </c>
      <c r="B235" s="4">
        <f t="shared" si="162"/>
        <v>3</v>
      </c>
      <c r="C235" s="5">
        <f>'[2]FPC wSEB'!$J332</f>
        <v>200767</v>
      </c>
      <c r="D235" s="5">
        <f>'[2]FPC wSEB'!$AB332</f>
        <v>19093</v>
      </c>
      <c r="E235" s="73">
        <f t="shared" si="191"/>
        <v>10515</v>
      </c>
      <c r="F235" s="540">
        <f t="shared" si="138"/>
        <v>19093</v>
      </c>
      <c r="H235" s="13" t="s">
        <v>18</v>
      </c>
      <c r="I235" s="76">
        <f>'[7]Gov 65 &amp; 70'!$S320</f>
        <v>39.799999999999997</v>
      </c>
      <c r="J235" s="76">
        <f t="shared" si="164"/>
        <v>44.5</v>
      </c>
      <c r="K235" s="362">
        <f t="shared" si="187"/>
        <v>4.7000000000000028</v>
      </c>
      <c r="L235" s="200" t="s">
        <v>18</v>
      </c>
      <c r="M235" s="76">
        <f>'[7]Gov 65 &amp; 70'!$J320</f>
        <v>155.30000000000001</v>
      </c>
      <c r="N235" s="76">
        <f t="shared" si="165"/>
        <v>119.5</v>
      </c>
      <c r="O235" s="363">
        <f t="shared" si="188"/>
        <v>-35.800000000000011</v>
      </c>
      <c r="P235" s="13" t="s">
        <v>18</v>
      </c>
      <c r="Q235" s="77">
        <f t="shared" si="139"/>
        <v>1077.1460000000006</v>
      </c>
      <c r="R235" s="78">
        <f t="shared" si="140"/>
        <v>-1452.7640000000004</v>
      </c>
      <c r="S235" s="479">
        <f t="shared" si="141"/>
        <v>-376</v>
      </c>
      <c r="T235" s="13" t="s">
        <v>18</v>
      </c>
      <c r="U235" s="4">
        <f t="shared" si="166"/>
        <v>2002</v>
      </c>
      <c r="V235" s="4">
        <f t="shared" si="167"/>
        <v>3</v>
      </c>
      <c r="W235" s="153">
        <f t="shared" si="142"/>
        <v>10495.521919027915</v>
      </c>
      <c r="X235" s="153">
        <f t="shared" si="186"/>
        <v>-544.20097051898665</v>
      </c>
      <c r="Z235" s="98">
        <f t="shared" si="143"/>
        <v>200391</v>
      </c>
      <c r="AA235" s="119">
        <f t="shared" si="192"/>
        <v>-376</v>
      </c>
      <c r="AB235" s="512">
        <f>[9]SPAMWh!$L115</f>
        <v>200826</v>
      </c>
      <c r="AC235" s="4">
        <f t="shared" si="168"/>
        <v>2002</v>
      </c>
      <c r="AD235" s="4">
        <f t="shared" si="169"/>
        <v>3</v>
      </c>
      <c r="AE235" s="107">
        <f>RESID!AC235</f>
        <v>29.4</v>
      </c>
      <c r="AF235" s="40">
        <f t="shared" si="144"/>
        <v>10859.634420991986</v>
      </c>
      <c r="AG235" s="4">
        <f t="shared" si="145"/>
        <v>207343</v>
      </c>
      <c r="AH235" s="4">
        <f t="shared" si="189"/>
        <v>2791</v>
      </c>
      <c r="AY235" s="4">
        <f t="shared" si="170"/>
        <v>2002</v>
      </c>
      <c r="AZ235" s="4">
        <f t="shared" si="171"/>
        <v>3</v>
      </c>
      <c r="BA235" s="4">
        <f>'[8]Gov 65 &amp; 70'!$S320</f>
        <v>102.6</v>
      </c>
      <c r="BB235" s="4">
        <f t="shared" si="172"/>
        <v>64.099999999999994</v>
      </c>
      <c r="BC235" s="82">
        <f t="shared" si="184"/>
        <v>-38.5</v>
      </c>
      <c r="BD235" s="36" t="s">
        <v>18</v>
      </c>
      <c r="BE235" s="4">
        <f>'[8]Gov 65 &amp; 70'!$J320</f>
        <v>78</v>
      </c>
      <c r="BF235" s="4">
        <f t="shared" si="173"/>
        <v>85.4</v>
      </c>
      <c r="BG235" s="83">
        <f t="shared" si="185"/>
        <v>7.4000000000000057</v>
      </c>
      <c r="BH235" s="36" t="s">
        <v>18</v>
      </c>
      <c r="BI235" s="273">
        <f t="shared" si="146"/>
        <v>-8823.43</v>
      </c>
      <c r="BJ235" s="270">
        <f t="shared" si="147"/>
        <v>300.2920000000002</v>
      </c>
      <c r="BK235" s="482">
        <f t="shared" si="148"/>
        <v>-8523</v>
      </c>
      <c r="BL235" s="276"/>
      <c r="BM235" s="36" t="s">
        <v>18</v>
      </c>
      <c r="BN235" s="4">
        <f t="shared" si="174"/>
        <v>2002</v>
      </c>
      <c r="BO235" s="4">
        <f t="shared" si="175"/>
        <v>3</v>
      </c>
      <c r="BP235" s="108">
        <f>(C235+[4]MWh!$AN69)</f>
        <v>212398.84605668476</v>
      </c>
      <c r="BQ235" s="108">
        <f t="shared" si="111"/>
        <v>11124.435450515097</v>
      </c>
      <c r="BR235" s="108">
        <f t="shared" si="112"/>
        <v>10678.041484139987</v>
      </c>
      <c r="BS235" s="108">
        <f t="shared" si="118"/>
        <v>-1879.8571864908008</v>
      </c>
      <c r="BT235" s="175">
        <f t="shared" si="113"/>
        <v>203875.84605668476</v>
      </c>
      <c r="BU235" s="108">
        <f t="shared" si="190"/>
        <v>-20897.982248935703</v>
      </c>
      <c r="BV235" s="137">
        <f t="shared" si="130"/>
        <v>-8523</v>
      </c>
    </row>
    <row r="236" spans="1:81">
      <c r="A236" s="4">
        <f t="shared" si="161"/>
        <v>2002</v>
      </c>
      <c r="B236" s="4">
        <f t="shared" si="162"/>
        <v>4</v>
      </c>
      <c r="C236" s="5">
        <f>'[2]FPC wSEB'!$J333</f>
        <v>220040</v>
      </c>
      <c r="D236" s="5">
        <f>'[2]FPC wSEB'!$AB333</f>
        <v>18422</v>
      </c>
      <c r="E236" s="73">
        <f t="shared" si="191"/>
        <v>11944</v>
      </c>
      <c r="F236" s="540">
        <f t="shared" si="138"/>
        <v>18422</v>
      </c>
      <c r="H236" s="13" t="s">
        <v>18</v>
      </c>
      <c r="I236" s="76">
        <f>'[7]Gov 65 &amp; 70'!$S321</f>
        <v>134.69999999999999</v>
      </c>
      <c r="J236" s="76">
        <f t="shared" si="164"/>
        <v>87.7</v>
      </c>
      <c r="K236" s="362">
        <f t="shared" si="187"/>
        <v>-46.999999999999986</v>
      </c>
      <c r="L236" s="200" t="s">
        <v>18</v>
      </c>
      <c r="M236" s="76">
        <f>'[7]Gov 65 &amp; 70'!$J321</f>
        <v>28.2</v>
      </c>
      <c r="N236" s="76">
        <f t="shared" si="165"/>
        <v>60.3</v>
      </c>
      <c r="O236" s="363">
        <f t="shared" si="188"/>
        <v>32.099999999999994</v>
      </c>
      <c r="P236" s="13" t="s">
        <v>18</v>
      </c>
      <c r="Q236" s="77">
        <f t="shared" si="139"/>
        <v>-10771.459999999997</v>
      </c>
      <c r="R236" s="78">
        <f t="shared" si="140"/>
        <v>1302.6179999999997</v>
      </c>
      <c r="S236" s="479">
        <f t="shared" si="141"/>
        <v>-9469</v>
      </c>
      <c r="T236" s="13" t="s">
        <v>18</v>
      </c>
      <c r="U236" s="4">
        <f t="shared" si="166"/>
        <v>2002</v>
      </c>
      <c r="V236" s="4">
        <f t="shared" si="167"/>
        <v>4</v>
      </c>
      <c r="W236" s="153">
        <f t="shared" si="142"/>
        <v>11430.409293236347</v>
      </c>
      <c r="X236" s="153">
        <f t="shared" si="186"/>
        <v>62.456299747384037</v>
      </c>
      <c r="Z236" s="98">
        <f t="shared" si="143"/>
        <v>210571</v>
      </c>
      <c r="AA236" s="119">
        <f t="shared" si="192"/>
        <v>-9469</v>
      </c>
      <c r="AB236" s="512">
        <f>[9]SPAMWh!$L116</f>
        <v>214568</v>
      </c>
      <c r="AC236" s="4">
        <f t="shared" si="168"/>
        <v>2002</v>
      </c>
      <c r="AD236" s="4">
        <f t="shared" si="169"/>
        <v>4</v>
      </c>
      <c r="AE236" s="107">
        <f>RESID!AC236</f>
        <v>30.8</v>
      </c>
      <c r="AF236" s="40">
        <f t="shared" si="144"/>
        <v>11289.382260340897</v>
      </c>
      <c r="AG236" s="4">
        <f t="shared" si="145"/>
        <v>207973</v>
      </c>
      <c r="AH236" s="4">
        <f t="shared" si="189"/>
        <v>-4181</v>
      </c>
      <c r="AY236" s="4">
        <f t="shared" si="170"/>
        <v>2002</v>
      </c>
      <c r="AZ236" s="4">
        <f t="shared" si="171"/>
        <v>4</v>
      </c>
      <c r="BA236" s="4">
        <f>'[8]Gov 65 &amp; 70'!$S321</f>
        <v>184.5</v>
      </c>
      <c r="BB236" s="4">
        <f t="shared" si="172"/>
        <v>122</v>
      </c>
      <c r="BC236" s="82">
        <f t="shared" ref="BC236:BC241" si="193">BB236-BA236</f>
        <v>-62.5</v>
      </c>
      <c r="BD236" s="36" t="s">
        <v>18</v>
      </c>
      <c r="BE236" s="4">
        <f>'[8]Gov 65 &amp; 70'!$J321</f>
        <v>7.2</v>
      </c>
      <c r="BF236" s="4">
        <f t="shared" si="173"/>
        <v>34.700000000000003</v>
      </c>
      <c r="BG236" s="83">
        <f t="shared" ref="BG236:BG241" si="194">BF236-BE236</f>
        <v>27.500000000000004</v>
      </c>
      <c r="BH236" s="36" t="s">
        <v>18</v>
      </c>
      <c r="BI236" s="273">
        <f t="shared" si="146"/>
        <v>-14323.75</v>
      </c>
      <c r="BJ236" s="270">
        <f t="shared" si="147"/>
        <v>1115.95</v>
      </c>
      <c r="BK236" s="482">
        <f t="shared" si="148"/>
        <v>-13208</v>
      </c>
      <c r="BL236" s="276"/>
      <c r="BM236" s="36" t="s">
        <v>18</v>
      </c>
      <c r="BN236" s="4">
        <f t="shared" si="174"/>
        <v>2002</v>
      </c>
      <c r="BO236" s="4">
        <f t="shared" si="175"/>
        <v>4</v>
      </c>
      <c r="BP236" s="108">
        <f>(C236+[4]MWh!$AN70)</f>
        <v>244411.76616393117</v>
      </c>
      <c r="BQ236" s="108">
        <f t="shared" si="111"/>
        <v>13267.384983385689</v>
      </c>
      <c r="BR236" s="108">
        <f t="shared" si="112"/>
        <v>12550.416141783257</v>
      </c>
      <c r="BS236" s="108">
        <f t="shared" si="118"/>
        <v>1273.7928693714694</v>
      </c>
      <c r="BT236" s="175">
        <f t="shared" si="113"/>
        <v>231203.76616393117</v>
      </c>
      <c r="BU236" s="108">
        <f t="shared" si="190"/>
        <v>18177.075924800069</v>
      </c>
      <c r="BV236" s="137">
        <f t="shared" si="130"/>
        <v>-13208</v>
      </c>
    </row>
    <row r="237" spans="1:81">
      <c r="A237" s="4">
        <f t="shared" si="161"/>
        <v>2002</v>
      </c>
      <c r="B237" s="4">
        <f t="shared" si="162"/>
        <v>5</v>
      </c>
      <c r="C237" s="5">
        <f>'[2]FPC wSEB'!$J334</f>
        <v>250806</v>
      </c>
      <c r="D237" s="5">
        <f>'[2]FPC wSEB'!$AB334</f>
        <v>19861</v>
      </c>
      <c r="E237" s="73">
        <f t="shared" si="191"/>
        <v>12628</v>
      </c>
      <c r="F237" s="540">
        <f t="shared" si="138"/>
        <v>19861</v>
      </c>
      <c r="H237" s="13" t="s">
        <v>18</v>
      </c>
      <c r="I237" s="76">
        <f>'[7]Gov 65 &amp; 70'!$S322</f>
        <v>248.3</v>
      </c>
      <c r="J237" s="76">
        <f t="shared" si="164"/>
        <v>157.69999999999999</v>
      </c>
      <c r="K237" s="362">
        <f t="shared" si="187"/>
        <v>-90.600000000000023</v>
      </c>
      <c r="L237" s="200" t="s">
        <v>18</v>
      </c>
      <c r="M237" s="76">
        <f>'[7]Gov 65 &amp; 70'!$J322</f>
        <v>3.2</v>
      </c>
      <c r="N237" s="76">
        <f t="shared" si="165"/>
        <v>18.600000000000001</v>
      </c>
      <c r="O237" s="363">
        <f t="shared" si="188"/>
        <v>15.400000000000002</v>
      </c>
      <c r="P237" s="13" t="s">
        <v>18</v>
      </c>
      <c r="Q237" s="77">
        <f t="shared" si="139"/>
        <v>-20763.708000000006</v>
      </c>
      <c r="R237" s="78">
        <f t="shared" si="140"/>
        <v>624.93200000000002</v>
      </c>
      <c r="S237" s="479">
        <f t="shared" si="141"/>
        <v>-20139</v>
      </c>
      <c r="T237" s="13" t="s">
        <v>18</v>
      </c>
      <c r="U237" s="4">
        <f t="shared" si="166"/>
        <v>2002</v>
      </c>
      <c r="V237" s="4">
        <f t="shared" si="167"/>
        <v>5</v>
      </c>
      <c r="W237" s="153">
        <f t="shared" si="142"/>
        <v>11614.067771008509</v>
      </c>
      <c r="X237" s="153">
        <f t="shared" si="186"/>
        <v>-352.60782502685106</v>
      </c>
      <c r="Z237" s="98">
        <f t="shared" si="143"/>
        <v>230667</v>
      </c>
      <c r="AA237" s="119">
        <f t="shared" si="192"/>
        <v>-20139</v>
      </c>
      <c r="AB237" s="512">
        <f>[9]SPAMWh!$L117</f>
        <v>224831</v>
      </c>
      <c r="AC237" s="4">
        <f t="shared" si="168"/>
        <v>2002</v>
      </c>
      <c r="AD237" s="4">
        <f t="shared" si="169"/>
        <v>5</v>
      </c>
      <c r="AE237" s="107">
        <f>RESID!AC237</f>
        <v>29.5</v>
      </c>
      <c r="AF237" s="40">
        <f t="shared" si="144"/>
        <v>11976.285182015004</v>
      </c>
      <c r="AG237" s="4">
        <f t="shared" si="145"/>
        <v>237861</v>
      </c>
      <c r="AH237" s="4">
        <f t="shared" si="189"/>
        <v>7309</v>
      </c>
      <c r="AY237" s="4">
        <f t="shared" si="170"/>
        <v>2002</v>
      </c>
      <c r="AZ237" s="4">
        <f t="shared" si="171"/>
        <v>5</v>
      </c>
      <c r="BA237" s="4">
        <f>'[8]Gov 65 &amp; 70'!$S322</f>
        <v>271.5</v>
      </c>
      <c r="BB237" s="4">
        <f t="shared" si="172"/>
        <v>253</v>
      </c>
      <c r="BC237" s="82">
        <f t="shared" si="193"/>
        <v>-18.5</v>
      </c>
      <c r="BD237" s="36" t="s">
        <v>18</v>
      </c>
      <c r="BE237" s="4">
        <f>'[8]Gov 65 &amp; 70'!$J322</f>
        <v>4</v>
      </c>
      <c r="BF237" s="4">
        <f t="shared" si="173"/>
        <v>4.3</v>
      </c>
      <c r="BG237" s="83">
        <f t="shared" si="194"/>
        <v>0.29999999999999982</v>
      </c>
      <c r="BH237" s="36" t="s">
        <v>18</v>
      </c>
      <c r="BI237" s="273">
        <f t="shared" si="146"/>
        <v>-4239.83</v>
      </c>
      <c r="BJ237" s="270">
        <f t="shared" si="147"/>
        <v>12.173999999999992</v>
      </c>
      <c r="BK237" s="482">
        <f t="shared" si="148"/>
        <v>-4228</v>
      </c>
      <c r="BL237" s="276"/>
      <c r="BM237" s="36" t="s">
        <v>18</v>
      </c>
      <c r="BN237" s="4">
        <f t="shared" si="174"/>
        <v>2002</v>
      </c>
      <c r="BO237" s="4">
        <f t="shared" si="175"/>
        <v>5</v>
      </c>
      <c r="BP237" s="108">
        <f>(C237+[4]MWh!$AN71)</f>
        <v>239178.66104595191</v>
      </c>
      <c r="BQ237" s="108">
        <f t="shared" si="111"/>
        <v>12042.629326114089</v>
      </c>
      <c r="BR237" s="108">
        <f t="shared" si="112"/>
        <v>11829.749813501432</v>
      </c>
      <c r="BS237" s="108">
        <f t="shared" si="118"/>
        <v>-1935.002747437773</v>
      </c>
      <c r="BT237" s="175">
        <f t="shared" si="113"/>
        <v>234950.66104595191</v>
      </c>
      <c r="BU237" s="108">
        <f t="shared" si="190"/>
        <v>-21968.44550397835</v>
      </c>
      <c r="BV237" s="137">
        <f t="shared" ref="BV237:BV268" si="195">BT237-BP237</f>
        <v>-4228</v>
      </c>
    </row>
    <row r="238" spans="1:81">
      <c r="A238" s="4">
        <f t="shared" si="161"/>
        <v>2002</v>
      </c>
      <c r="B238" s="4">
        <f t="shared" si="162"/>
        <v>6</v>
      </c>
      <c r="C238" s="5">
        <f>'[2]FPC wSEB'!$J335</f>
        <v>237033</v>
      </c>
      <c r="D238" s="5">
        <f>'[2]FPC wSEB'!$AB335</f>
        <v>18391</v>
      </c>
      <c r="E238" s="73">
        <f t="shared" si="191"/>
        <v>12889</v>
      </c>
      <c r="F238" s="540">
        <f t="shared" si="138"/>
        <v>18391</v>
      </c>
      <c r="H238" s="13" t="s">
        <v>18</v>
      </c>
      <c r="I238" s="76">
        <f>'[7]Gov 65 &amp; 70'!$S323</f>
        <v>284.60000000000002</v>
      </c>
      <c r="J238" s="76">
        <f t="shared" si="164"/>
        <v>295.39999999999998</v>
      </c>
      <c r="K238" s="362">
        <f t="shared" si="187"/>
        <v>10.799999999999955</v>
      </c>
      <c r="L238" s="200" t="s">
        <v>18</v>
      </c>
      <c r="M238" s="76">
        <f>'[7]Gov 65 &amp; 70'!$J323</f>
        <v>2.9</v>
      </c>
      <c r="N238" s="76">
        <f t="shared" si="165"/>
        <v>2.2000000000000002</v>
      </c>
      <c r="O238" s="363">
        <f t="shared" si="188"/>
        <v>-0.69999999999999973</v>
      </c>
      <c r="P238" s="13" t="s">
        <v>18</v>
      </c>
      <c r="Q238" s="77">
        <f t="shared" si="139"/>
        <v>2475.1439999999898</v>
      </c>
      <c r="R238" s="78">
        <f t="shared" si="140"/>
        <v>-28.405999999999988</v>
      </c>
      <c r="S238" s="479">
        <f t="shared" si="141"/>
        <v>2447</v>
      </c>
      <c r="T238" s="13" t="s">
        <v>18</v>
      </c>
      <c r="U238" s="4">
        <f t="shared" si="166"/>
        <v>2002</v>
      </c>
      <c r="V238" s="4">
        <f t="shared" si="167"/>
        <v>6</v>
      </c>
      <c r="W238" s="153">
        <f t="shared" si="142"/>
        <v>13021.58664564189</v>
      </c>
      <c r="X238" s="153">
        <f t="shared" ref="X238:X243" si="196">W238-W226</f>
        <v>484.07002772112537</v>
      </c>
      <c r="Z238" s="98">
        <f t="shared" si="143"/>
        <v>239480</v>
      </c>
      <c r="AA238" s="119">
        <f t="shared" si="192"/>
        <v>2447</v>
      </c>
      <c r="AB238" s="512">
        <f>[9]SPAMWh!$L118</f>
        <v>245315</v>
      </c>
      <c r="AC238" s="4">
        <f t="shared" si="168"/>
        <v>2002</v>
      </c>
      <c r="AD238" s="4">
        <f t="shared" si="169"/>
        <v>6</v>
      </c>
      <c r="AE238" s="107">
        <f>RESID!AC238</f>
        <v>29.25</v>
      </c>
      <c r="AF238" s="40">
        <f t="shared" si="144"/>
        <v>13542.439236583112</v>
      </c>
      <c r="AG238" s="4">
        <f t="shared" si="145"/>
        <v>249059</v>
      </c>
      <c r="AH238" s="4">
        <f t="shared" si="189"/>
        <v>3712</v>
      </c>
      <c r="AY238" s="4">
        <f t="shared" si="170"/>
        <v>2002</v>
      </c>
      <c r="AZ238" s="4">
        <f t="shared" si="171"/>
        <v>6</v>
      </c>
      <c r="BA238" s="4">
        <f>'[8]Gov 65 &amp; 70'!$S323</f>
        <v>310.39999999999998</v>
      </c>
      <c r="BB238" s="4">
        <f t="shared" si="172"/>
        <v>336.1</v>
      </c>
      <c r="BC238" s="82">
        <f t="shared" si="193"/>
        <v>25.700000000000045</v>
      </c>
      <c r="BD238" s="36" t="s">
        <v>18</v>
      </c>
      <c r="BE238" s="4">
        <f>'[8]Gov 65 &amp; 70'!$J323</f>
        <v>0</v>
      </c>
      <c r="BF238" s="4">
        <f t="shared" si="173"/>
        <v>0</v>
      </c>
      <c r="BG238" s="83">
        <f t="shared" si="194"/>
        <v>0</v>
      </c>
      <c r="BH238" s="36" t="s">
        <v>18</v>
      </c>
      <c r="BI238" s="273">
        <f t="shared" si="146"/>
        <v>5889.9260000000104</v>
      </c>
      <c r="BJ238" s="270">
        <f t="shared" si="147"/>
        <v>0</v>
      </c>
      <c r="BK238" s="482">
        <f t="shared" si="148"/>
        <v>5890</v>
      </c>
      <c r="BL238" s="276"/>
      <c r="BM238" s="36" t="s">
        <v>18</v>
      </c>
      <c r="BN238" s="4">
        <f t="shared" si="174"/>
        <v>2002</v>
      </c>
      <c r="BO238" s="4">
        <f t="shared" si="175"/>
        <v>6</v>
      </c>
      <c r="BP238" s="108">
        <f>(C238+[4]MWh!$AN72)</f>
        <v>251062.57153714256</v>
      </c>
      <c r="BQ238" s="108">
        <f t="shared" ref="BQ238:BQ282" si="197">BP238/D238*1000</f>
        <v>13651.382281395387</v>
      </c>
      <c r="BR238" s="108">
        <f t="shared" ref="BR238:BR282" si="198">BT238/D238*1000</f>
        <v>13971.647628576075</v>
      </c>
      <c r="BS238" s="108">
        <f t="shared" si="118"/>
        <v>2341.1643654158343</v>
      </c>
      <c r="BT238" s="175">
        <f t="shared" ref="BT238:BT282" si="199">BK238+BP238</f>
        <v>256952.57153714256</v>
      </c>
      <c r="BU238" s="108">
        <f t="shared" si="190"/>
        <v>38241.333773414255</v>
      </c>
      <c r="BV238" s="137">
        <f t="shared" si="195"/>
        <v>5890</v>
      </c>
    </row>
    <row r="239" spans="1:81">
      <c r="A239" s="4">
        <f t="shared" si="161"/>
        <v>2002</v>
      </c>
      <c r="B239" s="4">
        <f t="shared" si="162"/>
        <v>7</v>
      </c>
      <c r="C239" s="5">
        <f>'[2]FPC wSEB'!$J336</f>
        <v>236700</v>
      </c>
      <c r="D239" s="5">
        <f>'[2]FPC wSEB'!$AB336</f>
        <v>19583</v>
      </c>
      <c r="E239" s="73">
        <f t="shared" si="191"/>
        <v>12087</v>
      </c>
      <c r="F239" s="540">
        <f t="shared" si="138"/>
        <v>19583</v>
      </c>
      <c r="H239" s="13" t="s">
        <v>18</v>
      </c>
      <c r="I239" s="76">
        <f>'[7]Gov 65 &amp; 70'!$S324</f>
        <v>315.8</v>
      </c>
      <c r="J239" s="76">
        <f t="shared" si="164"/>
        <v>363.4</v>
      </c>
      <c r="K239" s="362">
        <f t="shared" ref="K239:K244" si="200">(J239-I239)</f>
        <v>47.599999999999966</v>
      </c>
      <c r="L239" s="200" t="s">
        <v>18</v>
      </c>
      <c r="M239" s="76">
        <f>'[7]Gov 65 &amp; 70'!$J324</f>
        <v>0</v>
      </c>
      <c r="N239" s="76">
        <f t="shared" si="165"/>
        <v>0</v>
      </c>
      <c r="O239" s="363">
        <f t="shared" ref="O239:O244" si="201">(N239-M239)</f>
        <v>0</v>
      </c>
      <c r="P239" s="13" t="s">
        <v>18</v>
      </c>
      <c r="Q239" s="77">
        <f t="shared" si="139"/>
        <v>10908.967999999992</v>
      </c>
      <c r="R239" s="78">
        <f t="shared" si="140"/>
        <v>0</v>
      </c>
      <c r="S239" s="479">
        <f t="shared" si="141"/>
        <v>10909</v>
      </c>
      <c r="T239" s="13" t="s">
        <v>18</v>
      </c>
      <c r="U239" s="4">
        <f t="shared" si="166"/>
        <v>2002</v>
      </c>
      <c r="V239" s="4">
        <f t="shared" si="167"/>
        <v>7</v>
      </c>
      <c r="W239" s="153">
        <f t="shared" si="142"/>
        <v>12644.079048154012</v>
      </c>
      <c r="X239" s="153">
        <f t="shared" si="196"/>
        <v>-21.194281198359022</v>
      </c>
      <c r="Z239" s="98">
        <f t="shared" si="143"/>
        <v>247609</v>
      </c>
      <c r="AA239" s="119">
        <f t="shared" si="192"/>
        <v>10909</v>
      </c>
      <c r="AB239" s="512">
        <f>[9]SPAMWh!$L119</f>
        <v>244246</v>
      </c>
      <c r="AC239" s="4">
        <f t="shared" si="168"/>
        <v>2002</v>
      </c>
      <c r="AD239" s="4">
        <f t="shared" si="169"/>
        <v>7</v>
      </c>
      <c r="AE239" s="107">
        <f>RESID!AC239</f>
        <v>30.5</v>
      </c>
      <c r="AF239" s="40">
        <f t="shared" si="144"/>
        <v>12610.938058520143</v>
      </c>
      <c r="AG239" s="4">
        <f t="shared" si="145"/>
        <v>246960</v>
      </c>
      <c r="AH239" s="4">
        <f t="shared" ref="AH239:AH244" si="202">Z239-Z227</f>
        <v>14302</v>
      </c>
      <c r="AY239" s="4">
        <f t="shared" si="170"/>
        <v>2002</v>
      </c>
      <c r="AZ239" s="4">
        <f t="shared" si="171"/>
        <v>7</v>
      </c>
      <c r="BA239" s="4">
        <f>'[8]Gov 65 &amp; 70'!$S324</f>
        <v>373.7</v>
      </c>
      <c r="BB239" s="4">
        <f t="shared" si="172"/>
        <v>391.2</v>
      </c>
      <c r="BC239" s="82">
        <f t="shared" si="193"/>
        <v>17.5</v>
      </c>
      <c r="BD239" s="36" t="s">
        <v>18</v>
      </c>
      <c r="BE239" s="4">
        <f>'[8]Gov 65 &amp; 70'!$J324</f>
        <v>0</v>
      </c>
      <c r="BF239" s="4">
        <f t="shared" si="173"/>
        <v>0</v>
      </c>
      <c r="BG239" s="83">
        <f t="shared" si="194"/>
        <v>0</v>
      </c>
      <c r="BH239" s="36" t="s">
        <v>18</v>
      </c>
      <c r="BI239" s="273">
        <f t="shared" si="146"/>
        <v>4010.65</v>
      </c>
      <c r="BJ239" s="270">
        <f t="shared" si="147"/>
        <v>0</v>
      </c>
      <c r="BK239" s="482">
        <f t="shared" si="148"/>
        <v>4011</v>
      </c>
      <c r="BL239" s="276"/>
      <c r="BM239" s="36" t="s">
        <v>18</v>
      </c>
      <c r="BN239" s="4">
        <f t="shared" si="174"/>
        <v>2002</v>
      </c>
      <c r="BO239" s="4">
        <f t="shared" si="175"/>
        <v>7</v>
      </c>
      <c r="BP239" s="108">
        <f>(C239+[4]MWh!$AN73)</f>
        <v>230681.96041171235</v>
      </c>
      <c r="BQ239" s="108">
        <f t="shared" si="197"/>
        <v>11779.7048670639</v>
      </c>
      <c r="BR239" s="108">
        <f t="shared" si="198"/>
        <v>11984.525374647008</v>
      </c>
      <c r="BS239" s="108">
        <f t="shared" si="118"/>
        <v>-799.5736781973028</v>
      </c>
      <c r="BT239" s="175">
        <f t="shared" si="199"/>
        <v>234692.96041171235</v>
      </c>
      <c r="BU239" s="108">
        <f t="shared" ref="BU239:BU244" si="203">BT239-BT227</f>
        <v>-802.9282407326973</v>
      </c>
      <c r="BV239" s="137">
        <f t="shared" si="195"/>
        <v>4011</v>
      </c>
    </row>
    <row r="240" spans="1:81">
      <c r="A240" s="4">
        <f t="shared" si="161"/>
        <v>2002</v>
      </c>
      <c r="B240" s="4">
        <f t="shared" si="162"/>
        <v>8</v>
      </c>
      <c r="C240" s="5">
        <f>'[2]FPC wSEB'!$J337</f>
        <v>247257</v>
      </c>
      <c r="D240" s="5">
        <f>'[2]FPC wSEB'!$AB337</f>
        <v>19248</v>
      </c>
      <c r="E240" s="73">
        <f t="shared" ref="E240:E245" si="204">ROUND(C240/D240*1000,0)</f>
        <v>12846</v>
      </c>
      <c r="F240" s="540">
        <f t="shared" si="138"/>
        <v>19248</v>
      </c>
      <c r="H240" s="13" t="s">
        <v>18</v>
      </c>
      <c r="I240" s="76">
        <f>'[7]Gov 65 &amp; 70'!$S325</f>
        <v>366.7</v>
      </c>
      <c r="J240" s="76">
        <f t="shared" si="164"/>
        <v>390.1</v>
      </c>
      <c r="K240" s="362">
        <f t="shared" si="200"/>
        <v>23.400000000000034</v>
      </c>
      <c r="L240" s="200" t="s">
        <v>18</v>
      </c>
      <c r="M240" s="76">
        <f>'[7]Gov 65 &amp; 70'!$J325</f>
        <v>0</v>
      </c>
      <c r="N240" s="76">
        <f t="shared" si="165"/>
        <v>0</v>
      </c>
      <c r="O240" s="363">
        <f t="shared" si="201"/>
        <v>0</v>
      </c>
      <c r="P240" s="13" t="s">
        <v>18</v>
      </c>
      <c r="Q240" s="77">
        <f t="shared" si="139"/>
        <v>5362.8120000000081</v>
      </c>
      <c r="R240" s="78">
        <f t="shared" si="140"/>
        <v>0</v>
      </c>
      <c r="S240" s="479">
        <f t="shared" si="141"/>
        <v>5363</v>
      </c>
      <c r="T240" s="13" t="s">
        <v>18</v>
      </c>
      <c r="U240" s="4">
        <f t="shared" si="166"/>
        <v>2002</v>
      </c>
      <c r="V240" s="4">
        <f t="shared" si="167"/>
        <v>8</v>
      </c>
      <c r="W240" s="153">
        <f t="shared" si="142"/>
        <v>13124.480465502909</v>
      </c>
      <c r="X240" s="153">
        <f t="shared" si="196"/>
        <v>-53.185583716460314</v>
      </c>
      <c r="Z240" s="98">
        <f t="shared" si="143"/>
        <v>252620</v>
      </c>
      <c r="AA240" s="119">
        <f t="shared" ref="AA240:AA245" si="205">Z240-C240</f>
        <v>5363</v>
      </c>
      <c r="AB240" s="512">
        <f>[9]SPAMWh!$L120</f>
        <v>251754</v>
      </c>
      <c r="AC240" s="4">
        <f t="shared" si="168"/>
        <v>2002</v>
      </c>
      <c r="AD240" s="4">
        <f t="shared" si="169"/>
        <v>8</v>
      </c>
      <c r="AE240" s="107">
        <f>RESID!AC240</f>
        <v>29.7</v>
      </c>
      <c r="AF240" s="40">
        <f t="shared" si="144"/>
        <v>13442.643391521196</v>
      </c>
      <c r="AG240" s="4">
        <f t="shared" si="145"/>
        <v>258744</v>
      </c>
      <c r="AH240" s="4">
        <f t="shared" si="202"/>
        <v>3628</v>
      </c>
      <c r="AY240" s="4">
        <f t="shared" si="170"/>
        <v>2002</v>
      </c>
      <c r="AZ240" s="4">
        <f t="shared" si="171"/>
        <v>8</v>
      </c>
      <c r="BA240" s="4">
        <f>'[8]Gov 65 &amp; 70'!$S325</f>
        <v>364.9</v>
      </c>
      <c r="BB240" s="4">
        <f t="shared" si="172"/>
        <v>394.4</v>
      </c>
      <c r="BC240" s="82">
        <f t="shared" si="193"/>
        <v>29.5</v>
      </c>
      <c r="BD240" s="36" t="s">
        <v>18</v>
      </c>
      <c r="BE240" s="4">
        <f>'[8]Gov 65 &amp; 70'!$J325</f>
        <v>0.1</v>
      </c>
      <c r="BF240" s="4">
        <f t="shared" si="173"/>
        <v>0</v>
      </c>
      <c r="BG240" s="83">
        <f t="shared" si="194"/>
        <v>-0.1</v>
      </c>
      <c r="BH240" s="36" t="s">
        <v>18</v>
      </c>
      <c r="BI240" s="273">
        <f t="shared" si="146"/>
        <v>6760.81</v>
      </c>
      <c r="BJ240" s="270">
        <f t="shared" si="147"/>
        <v>-4.0579999999999998</v>
      </c>
      <c r="BK240" s="482">
        <f t="shared" si="148"/>
        <v>6757</v>
      </c>
      <c r="BL240" s="276"/>
      <c r="BM240" s="36" t="s">
        <v>18</v>
      </c>
      <c r="BN240" s="4">
        <f t="shared" si="174"/>
        <v>2002</v>
      </c>
      <c r="BO240" s="4">
        <f t="shared" si="175"/>
        <v>8</v>
      </c>
      <c r="BP240" s="108">
        <f>(C240+[4]MWh!$AN74)</f>
        <v>263571.54684340779</v>
      </c>
      <c r="BQ240" s="108">
        <f t="shared" si="197"/>
        <v>13693.451103668318</v>
      </c>
      <c r="BR240" s="108">
        <f t="shared" si="198"/>
        <v>14044.500563352442</v>
      </c>
      <c r="BS240" s="108">
        <f t="shared" si="118"/>
        <v>40.613923431443254</v>
      </c>
      <c r="BT240" s="175">
        <f t="shared" si="199"/>
        <v>270328.54684340779</v>
      </c>
      <c r="BU240" s="108">
        <f t="shared" si="203"/>
        <v>5725.1087821005494</v>
      </c>
      <c r="BV240" s="137">
        <f t="shared" si="195"/>
        <v>6757</v>
      </c>
    </row>
    <row r="241" spans="1:75">
      <c r="A241" s="4">
        <f t="shared" si="161"/>
        <v>2002</v>
      </c>
      <c r="B241" s="4">
        <f t="shared" si="162"/>
        <v>9</v>
      </c>
      <c r="C241" s="5">
        <f>'[2]FPC wSEB'!$J338</f>
        <v>268630</v>
      </c>
      <c r="D241" s="5">
        <f>'[2]FPC wSEB'!$AB338</f>
        <v>19303</v>
      </c>
      <c r="E241" s="73">
        <f t="shared" si="204"/>
        <v>13916</v>
      </c>
      <c r="F241" s="540">
        <f t="shared" si="138"/>
        <v>19303</v>
      </c>
      <c r="H241" s="13" t="s">
        <v>18</v>
      </c>
      <c r="I241" s="76">
        <f>'[7]Gov 65 &amp; 70'!$S326</f>
        <v>363.9</v>
      </c>
      <c r="J241" s="76">
        <f t="shared" si="164"/>
        <v>381.2</v>
      </c>
      <c r="K241" s="362">
        <f t="shared" si="200"/>
        <v>17.300000000000011</v>
      </c>
      <c r="L241" s="200" t="s">
        <v>18</v>
      </c>
      <c r="M241" s="76">
        <f>'[7]Gov 65 &amp; 70'!$J326</f>
        <v>0</v>
      </c>
      <c r="N241" s="76">
        <f t="shared" si="165"/>
        <v>0</v>
      </c>
      <c r="O241" s="363">
        <f t="shared" si="201"/>
        <v>0</v>
      </c>
      <c r="P241" s="13" t="s">
        <v>18</v>
      </c>
      <c r="Q241" s="77">
        <f t="shared" si="139"/>
        <v>3964.8140000000026</v>
      </c>
      <c r="R241" s="78">
        <f t="shared" si="140"/>
        <v>0</v>
      </c>
      <c r="S241" s="479">
        <f t="shared" si="141"/>
        <v>3965</v>
      </c>
      <c r="T241" s="13" t="s">
        <v>18</v>
      </c>
      <c r="U241" s="4">
        <f t="shared" si="166"/>
        <v>2002</v>
      </c>
      <c r="V241" s="4">
        <f t="shared" si="167"/>
        <v>9</v>
      </c>
      <c r="W241" s="153">
        <f t="shared" si="142"/>
        <v>14121.898150546547</v>
      </c>
      <c r="X241" s="153">
        <f t="shared" si="196"/>
        <v>-386.13535311462329</v>
      </c>
      <c r="Z241" s="98">
        <f t="shared" si="143"/>
        <v>272595</v>
      </c>
      <c r="AA241" s="119">
        <f t="shared" si="205"/>
        <v>3965</v>
      </c>
      <c r="AB241" s="512">
        <f>[9]SPAMWh!$L121</f>
        <v>272655</v>
      </c>
      <c r="AC241" s="4">
        <f t="shared" si="168"/>
        <v>2002</v>
      </c>
      <c r="AD241" s="4">
        <f t="shared" si="169"/>
        <v>9</v>
      </c>
      <c r="AE241" s="107">
        <f>RESID!AC241</f>
        <v>30.55</v>
      </c>
      <c r="AF241" s="40">
        <f t="shared" si="144"/>
        <v>14061.803864684245</v>
      </c>
      <c r="AG241" s="4">
        <f t="shared" si="145"/>
        <v>271435</v>
      </c>
      <c r="AH241" s="4">
        <f t="shared" si="202"/>
        <v>-2811</v>
      </c>
      <c r="AY241" s="4">
        <f t="shared" si="170"/>
        <v>2002</v>
      </c>
      <c r="AZ241" s="4">
        <f t="shared" si="171"/>
        <v>9</v>
      </c>
      <c r="BA241" s="4">
        <f>'[8]Gov 65 &amp; 70'!$S326</f>
        <v>363.7</v>
      </c>
      <c r="BB241" s="4">
        <f t="shared" si="172"/>
        <v>339.3</v>
      </c>
      <c r="BC241" s="82">
        <f t="shared" si="193"/>
        <v>-24.399999999999977</v>
      </c>
      <c r="BD241" s="36" t="s">
        <v>18</v>
      </c>
      <c r="BE241" s="4">
        <f>'[8]Gov 65 &amp; 70'!$J326</f>
        <v>0</v>
      </c>
      <c r="BF241" s="4">
        <f t="shared" si="173"/>
        <v>0</v>
      </c>
      <c r="BG241" s="83">
        <f t="shared" si="194"/>
        <v>0</v>
      </c>
      <c r="BH241" s="36" t="s">
        <v>18</v>
      </c>
      <c r="BI241" s="273">
        <f t="shared" si="146"/>
        <v>-5591.9919999999947</v>
      </c>
      <c r="BJ241" s="270">
        <f t="shared" si="147"/>
        <v>0</v>
      </c>
      <c r="BK241" s="482">
        <f t="shared" si="148"/>
        <v>-5592</v>
      </c>
      <c r="BL241" s="276"/>
      <c r="BM241" s="36" t="s">
        <v>18</v>
      </c>
      <c r="BN241" s="4">
        <f t="shared" si="174"/>
        <v>2002</v>
      </c>
      <c r="BO241" s="4">
        <f t="shared" si="175"/>
        <v>9</v>
      </c>
      <c r="BP241" s="108">
        <f>(C241+[4]MWh!$AN75)</f>
        <v>269736.13974546973</v>
      </c>
      <c r="BQ241" s="108">
        <f t="shared" si="197"/>
        <v>13973.793697636103</v>
      </c>
      <c r="BR241" s="108">
        <f t="shared" si="198"/>
        <v>13684.097795444735</v>
      </c>
      <c r="BS241" s="108">
        <f t="shared" si="118"/>
        <v>-297.59887525981685</v>
      </c>
      <c r="BT241" s="175">
        <f t="shared" si="199"/>
        <v>264144.13974546973</v>
      </c>
      <c r="BU241" s="108">
        <f t="shared" si="203"/>
        <v>-1270.4081545147928</v>
      </c>
      <c r="BV241" s="137">
        <f t="shared" si="195"/>
        <v>-5592</v>
      </c>
    </row>
    <row r="242" spans="1:75">
      <c r="A242" s="4">
        <f t="shared" si="161"/>
        <v>2002</v>
      </c>
      <c r="B242" s="4">
        <f t="shared" si="162"/>
        <v>10</v>
      </c>
      <c r="C242" s="5">
        <f>'[2]FPC wSEB'!$J339</f>
        <v>261651</v>
      </c>
      <c r="D242" s="5">
        <f>'[2]FPC wSEB'!$AB339</f>
        <v>18729</v>
      </c>
      <c r="E242" s="73">
        <f t="shared" si="204"/>
        <v>13970</v>
      </c>
      <c r="F242" s="540">
        <f t="shared" si="138"/>
        <v>18729</v>
      </c>
      <c r="H242" s="13" t="s">
        <v>18</v>
      </c>
      <c r="I242" s="76">
        <f>'[7]Gov 65 &amp; 70'!$S327</f>
        <v>333.4</v>
      </c>
      <c r="J242" s="76">
        <f t="shared" si="164"/>
        <v>287.8</v>
      </c>
      <c r="K242" s="362">
        <f t="shared" si="200"/>
        <v>-45.599999999999966</v>
      </c>
      <c r="L242" s="200" t="s">
        <v>18</v>
      </c>
      <c r="M242" s="76">
        <f>'[7]Gov 65 &amp; 70'!$J327</f>
        <v>1.1000000000000001</v>
      </c>
      <c r="N242" s="76">
        <f t="shared" si="165"/>
        <v>2.5</v>
      </c>
      <c r="O242" s="363">
        <f t="shared" si="201"/>
        <v>1.4</v>
      </c>
      <c r="P242" s="13" t="s">
        <v>18</v>
      </c>
      <c r="Q242" s="77">
        <f t="shared" si="139"/>
        <v>-10450.607999999993</v>
      </c>
      <c r="R242" s="78">
        <f t="shared" si="140"/>
        <v>56.811999999999991</v>
      </c>
      <c r="S242" s="479">
        <f t="shared" si="141"/>
        <v>-10394</v>
      </c>
      <c r="T242" s="13" t="s">
        <v>18</v>
      </c>
      <c r="U242" s="4">
        <f t="shared" si="166"/>
        <v>2002</v>
      </c>
      <c r="V242" s="4">
        <f t="shared" si="167"/>
        <v>10</v>
      </c>
      <c r="W242" s="153">
        <f t="shared" si="142"/>
        <v>13415.398579742645</v>
      </c>
      <c r="X242" s="153">
        <f t="shared" si="196"/>
        <v>426.00682112011782</v>
      </c>
      <c r="Z242" s="98">
        <f t="shared" si="143"/>
        <v>251257</v>
      </c>
      <c r="AA242" s="119">
        <f t="shared" si="205"/>
        <v>-10394</v>
      </c>
      <c r="AB242" s="512">
        <f>[9]SPAMWh!$L122</f>
        <v>254800</v>
      </c>
      <c r="AC242" s="4">
        <f t="shared" si="168"/>
        <v>2002</v>
      </c>
      <c r="AD242" s="4">
        <f t="shared" si="169"/>
        <v>10</v>
      </c>
      <c r="AE242" s="107">
        <f>RESID!AC242</f>
        <v>29.65</v>
      </c>
      <c r="AF242" s="40">
        <f t="shared" si="144"/>
        <v>13763.788776763307</v>
      </c>
      <c r="AG242" s="4">
        <f t="shared" si="145"/>
        <v>257782</v>
      </c>
      <c r="AH242" s="4">
        <f t="shared" si="202"/>
        <v>7589</v>
      </c>
      <c r="AY242" s="4">
        <f t="shared" si="170"/>
        <v>2002</v>
      </c>
      <c r="AZ242" s="4">
        <f t="shared" si="171"/>
        <v>10</v>
      </c>
      <c r="BA242" s="4">
        <f>'[8]Gov 65 &amp; 70'!$S327</f>
        <v>263.60000000000002</v>
      </c>
      <c r="BB242" s="4">
        <f t="shared" si="172"/>
        <v>200.4</v>
      </c>
      <c r="BC242" s="82">
        <f t="shared" ref="BC242:BC247" si="206">BB242-BA242</f>
        <v>-63.200000000000017</v>
      </c>
      <c r="BD242" s="36" t="s">
        <v>18</v>
      </c>
      <c r="BE242" s="4">
        <f>'[8]Gov 65 &amp; 70'!$J327</f>
        <v>4.5999999999999996</v>
      </c>
      <c r="BF242" s="4">
        <f t="shared" si="173"/>
        <v>15</v>
      </c>
      <c r="BG242" s="83">
        <f t="shared" ref="BG242:BG247" si="207">BF242-BE242</f>
        <v>10.4</v>
      </c>
      <c r="BH242" s="36" t="s">
        <v>18</v>
      </c>
      <c r="BI242" s="273">
        <f t="shared" si="146"/>
        <v>-14484.176000000005</v>
      </c>
      <c r="BJ242" s="270">
        <f t="shared" si="147"/>
        <v>422.03199999999998</v>
      </c>
      <c r="BK242" s="482">
        <f t="shared" si="148"/>
        <v>-14062</v>
      </c>
      <c r="BL242" s="276"/>
      <c r="BM242" s="36" t="s">
        <v>18</v>
      </c>
      <c r="BN242" s="4">
        <f t="shared" si="174"/>
        <v>2002</v>
      </c>
      <c r="BO242" s="4">
        <f t="shared" si="175"/>
        <v>10</v>
      </c>
      <c r="BP242" s="108">
        <f>(C242+[4]MWh!$AN76)</f>
        <v>270523.28399822989</v>
      </c>
      <c r="BQ242" s="108">
        <f t="shared" si="197"/>
        <v>14444.085856064386</v>
      </c>
      <c r="BR242" s="108">
        <f t="shared" si="198"/>
        <v>13693.27161077633</v>
      </c>
      <c r="BS242" s="108">
        <f t="shared" si="118"/>
        <v>1237.1710679690314</v>
      </c>
      <c r="BT242" s="175">
        <f t="shared" si="199"/>
        <v>256461.28399822989</v>
      </c>
      <c r="BU242" s="108">
        <f t="shared" si="203"/>
        <v>22797.293915707764</v>
      </c>
      <c r="BV242" s="137">
        <f t="shared" si="195"/>
        <v>-14062</v>
      </c>
    </row>
    <row r="243" spans="1:75">
      <c r="A243" s="4">
        <f t="shared" si="161"/>
        <v>2002</v>
      </c>
      <c r="B243" s="4">
        <f t="shared" si="162"/>
        <v>11</v>
      </c>
      <c r="C243" s="5">
        <f>'[2]FPC wSEB'!$J340</f>
        <v>262097</v>
      </c>
      <c r="D243" s="5">
        <f>'[2]FPC wSEB'!$AB340</f>
        <v>20273</v>
      </c>
      <c r="E243" s="73">
        <f t="shared" si="204"/>
        <v>12928</v>
      </c>
      <c r="F243" s="540">
        <f t="shared" si="138"/>
        <v>20273</v>
      </c>
      <c r="H243" s="13" t="s">
        <v>18</v>
      </c>
      <c r="I243" s="76">
        <f>'[7]Gov 65 &amp; 70'!$S328</f>
        <v>187.3</v>
      </c>
      <c r="J243" s="76">
        <f t="shared" si="164"/>
        <v>140.19999999999999</v>
      </c>
      <c r="K243" s="362">
        <f t="shared" si="200"/>
        <v>-47.100000000000023</v>
      </c>
      <c r="L243" s="200" t="s">
        <v>18</v>
      </c>
      <c r="M243" s="76">
        <f>'[7]Gov 65 &amp; 70'!$J328</f>
        <v>28.8</v>
      </c>
      <c r="N243" s="76">
        <f t="shared" si="165"/>
        <v>38.6</v>
      </c>
      <c r="O243" s="363">
        <f t="shared" si="201"/>
        <v>9.8000000000000007</v>
      </c>
      <c r="P243" s="13" t="s">
        <v>18</v>
      </c>
      <c r="Q243" s="77">
        <f t="shared" si="139"/>
        <v>-10794.378000000006</v>
      </c>
      <c r="R243" s="78">
        <f t="shared" si="140"/>
        <v>397.68400000000003</v>
      </c>
      <c r="S243" s="479">
        <f t="shared" si="141"/>
        <v>-10397</v>
      </c>
      <c r="T243" s="13" t="s">
        <v>18</v>
      </c>
      <c r="U243" s="4">
        <f t="shared" si="166"/>
        <v>2002</v>
      </c>
      <c r="V243" s="4">
        <f t="shared" si="167"/>
        <v>11</v>
      </c>
      <c r="W243" s="153">
        <f t="shared" si="142"/>
        <v>12415.528042223646</v>
      </c>
      <c r="X243" s="153">
        <f t="shared" si="196"/>
        <v>792.11161394412011</v>
      </c>
      <c r="Z243" s="98">
        <f t="shared" si="143"/>
        <v>251700</v>
      </c>
      <c r="AA243" s="119">
        <f t="shared" si="205"/>
        <v>-10397</v>
      </c>
      <c r="AB243" s="512">
        <f>[9]SPAMWh!$L123</f>
        <v>245419</v>
      </c>
      <c r="AC243" s="4">
        <f t="shared" si="168"/>
        <v>2002</v>
      </c>
      <c r="AD243" s="4">
        <f t="shared" si="169"/>
        <v>11</v>
      </c>
      <c r="AE243" s="107">
        <f>RESID!AC243</f>
        <v>31.55</v>
      </c>
      <c r="AF243" s="40">
        <f t="shared" si="144"/>
        <v>11970.847925812657</v>
      </c>
      <c r="AG243" s="4">
        <f t="shared" si="145"/>
        <v>242685</v>
      </c>
      <c r="AH243" s="4">
        <f t="shared" si="202"/>
        <v>24160</v>
      </c>
      <c r="AY243" s="4">
        <f t="shared" si="170"/>
        <v>2002</v>
      </c>
      <c r="AZ243" s="4">
        <f t="shared" si="171"/>
        <v>11</v>
      </c>
      <c r="BA243" s="4">
        <f>'[8]Gov 65 &amp; 70'!$S328</f>
        <v>54.5</v>
      </c>
      <c r="BB243" s="4">
        <f t="shared" si="172"/>
        <v>66.3</v>
      </c>
      <c r="BC243" s="82">
        <f t="shared" si="206"/>
        <v>11.799999999999997</v>
      </c>
      <c r="BD243" s="36" t="s">
        <v>18</v>
      </c>
      <c r="BE243" s="4">
        <f>'[8]Gov 65 &amp; 70'!$J328</f>
        <v>118.1</v>
      </c>
      <c r="BF243" s="4">
        <f t="shared" si="173"/>
        <v>69.900000000000006</v>
      </c>
      <c r="BG243" s="83">
        <f t="shared" si="207"/>
        <v>-48.199999999999989</v>
      </c>
      <c r="BH243" s="36" t="s">
        <v>18</v>
      </c>
      <c r="BI243" s="273">
        <f t="shared" si="146"/>
        <v>2704.3239999999996</v>
      </c>
      <c r="BJ243" s="270">
        <f t="shared" si="147"/>
        <v>-1955.9559999999994</v>
      </c>
      <c r="BK243" s="482">
        <f t="shared" si="148"/>
        <v>748</v>
      </c>
      <c r="BL243" s="276"/>
      <c r="BM243" s="36" t="s">
        <v>18</v>
      </c>
      <c r="BN243" s="4">
        <f t="shared" si="174"/>
        <v>2002</v>
      </c>
      <c r="BO243" s="4">
        <f t="shared" si="175"/>
        <v>11</v>
      </c>
      <c r="BP243" s="108">
        <f>(C243+[4]MWh!$AN77)</f>
        <v>224720.51930364053</v>
      </c>
      <c r="BQ243" s="108">
        <f t="shared" si="197"/>
        <v>11084.71954341442</v>
      </c>
      <c r="BR243" s="108">
        <f t="shared" si="198"/>
        <v>11121.615908037316</v>
      </c>
      <c r="BS243" s="108">
        <f t="shared" si="118"/>
        <v>429.45974439500787</v>
      </c>
      <c r="BT243" s="175">
        <f t="shared" si="199"/>
        <v>225468.51930364053</v>
      </c>
      <c r="BU243" s="108">
        <f t="shared" si="203"/>
        <v>16158.870244178688</v>
      </c>
      <c r="BV243" s="137">
        <f t="shared" si="195"/>
        <v>748</v>
      </c>
    </row>
    <row r="244" spans="1:75" s="89" customFormat="1">
      <c r="A244" s="89">
        <f t="shared" si="161"/>
        <v>2002</v>
      </c>
      <c r="B244" s="89">
        <f t="shared" si="162"/>
        <v>12</v>
      </c>
      <c r="C244" s="103">
        <f>'[2]FPC wSEB'!$J341</f>
        <v>224157</v>
      </c>
      <c r="D244" s="103">
        <f>'[2]FPC wSEB'!$AB341</f>
        <v>19036</v>
      </c>
      <c r="E244" s="104">
        <f t="shared" si="204"/>
        <v>11775</v>
      </c>
      <c r="F244" s="586">
        <f t="shared" si="138"/>
        <v>19036</v>
      </c>
      <c r="H244" s="90" t="s">
        <v>18</v>
      </c>
      <c r="I244" s="92">
        <f>'[7]Gov 65 &amp; 70'!$S329</f>
        <v>28.2</v>
      </c>
      <c r="J244" s="92">
        <f t="shared" si="164"/>
        <v>50.8</v>
      </c>
      <c r="K244" s="364">
        <f t="shared" si="200"/>
        <v>22.599999999999998</v>
      </c>
      <c r="L244" s="210" t="s">
        <v>18</v>
      </c>
      <c r="M244" s="92">
        <f>'[7]Gov 65 &amp; 70'!$J329</f>
        <v>179.7</v>
      </c>
      <c r="N244" s="92">
        <f t="shared" si="165"/>
        <v>121.8</v>
      </c>
      <c r="O244" s="365">
        <f t="shared" si="201"/>
        <v>-57.899999999999991</v>
      </c>
      <c r="P244" s="90" t="s">
        <v>18</v>
      </c>
      <c r="Q244" s="114">
        <f t="shared" si="139"/>
        <v>5179.4679999999998</v>
      </c>
      <c r="R244" s="95">
        <f t="shared" si="140"/>
        <v>-2349.5819999999994</v>
      </c>
      <c r="S244" s="480">
        <f t="shared" si="141"/>
        <v>2830</v>
      </c>
      <c r="T244" s="90" t="s">
        <v>18</v>
      </c>
      <c r="U244" s="89">
        <f t="shared" si="166"/>
        <v>2002</v>
      </c>
      <c r="V244" s="89">
        <f t="shared" si="167"/>
        <v>12</v>
      </c>
      <c r="W244" s="154">
        <f t="shared" si="142"/>
        <v>11924.091195629333</v>
      </c>
      <c r="X244" s="154">
        <f t="shared" ref="X244:X249" si="208">W244-W232</f>
        <v>56.940017304104913</v>
      </c>
      <c r="Z244" s="155">
        <f t="shared" si="143"/>
        <v>226987</v>
      </c>
      <c r="AA244" s="156">
        <f t="shared" si="205"/>
        <v>2830</v>
      </c>
      <c r="AB244" s="522">
        <f>[9]SPAMWh!$L124</f>
        <v>228441</v>
      </c>
      <c r="AC244" s="89">
        <f t="shared" si="168"/>
        <v>2002</v>
      </c>
      <c r="AD244" s="89">
        <f t="shared" si="169"/>
        <v>12</v>
      </c>
      <c r="AE244" s="110">
        <f>RESID!AC244</f>
        <v>31.75</v>
      </c>
      <c r="AF244" s="116">
        <f t="shared" si="144"/>
        <v>11424.616516074806</v>
      </c>
      <c r="AG244" s="89">
        <f t="shared" si="145"/>
        <v>217479</v>
      </c>
      <c r="AH244" s="89">
        <f t="shared" si="202"/>
        <v>4917</v>
      </c>
      <c r="AY244" s="89">
        <f t="shared" si="170"/>
        <v>2002</v>
      </c>
      <c r="AZ244" s="89">
        <f t="shared" si="171"/>
        <v>12</v>
      </c>
      <c r="BA244" s="89">
        <f>'[8]Gov 65 &amp; 70'!$S329</f>
        <v>11.2</v>
      </c>
      <c r="BB244" s="89">
        <f t="shared" si="172"/>
        <v>28.2</v>
      </c>
      <c r="BC244" s="111">
        <f t="shared" si="206"/>
        <v>17</v>
      </c>
      <c r="BD244" s="113" t="s">
        <v>18</v>
      </c>
      <c r="BE244" s="89">
        <f>'[8]Gov 65 &amp; 70'!$J329</f>
        <v>222</v>
      </c>
      <c r="BF244" s="89">
        <f t="shared" si="173"/>
        <v>170</v>
      </c>
      <c r="BG244" s="112">
        <f t="shared" si="207"/>
        <v>-52</v>
      </c>
      <c r="BH244" s="113" t="s">
        <v>18</v>
      </c>
      <c r="BI244" s="274">
        <f t="shared" si="146"/>
        <v>3896.06</v>
      </c>
      <c r="BJ244" s="275">
        <f t="shared" si="147"/>
        <v>-2110.16</v>
      </c>
      <c r="BK244" s="483">
        <f t="shared" si="148"/>
        <v>1786</v>
      </c>
      <c r="BL244" s="277"/>
      <c r="BM244" s="113" t="s">
        <v>18</v>
      </c>
      <c r="BN244" s="89">
        <f t="shared" si="174"/>
        <v>2002</v>
      </c>
      <c r="BO244" s="89">
        <f t="shared" si="175"/>
        <v>12</v>
      </c>
      <c r="BP244" s="117">
        <f>(C244+[4]MWh!$AN78)</f>
        <v>212315.47602272435</v>
      </c>
      <c r="BQ244" s="117">
        <f t="shared" si="197"/>
        <v>11153.366044480163</v>
      </c>
      <c r="BR244" s="117">
        <f t="shared" si="198"/>
        <v>11247.188276041414</v>
      </c>
      <c r="BS244" s="117">
        <f t="shared" si="118"/>
        <v>-1114.1507935583795</v>
      </c>
      <c r="BT244" s="176">
        <f t="shared" si="199"/>
        <v>214101.47602272435</v>
      </c>
      <c r="BU244" s="117">
        <f t="shared" si="203"/>
        <v>-17216.261986696569</v>
      </c>
      <c r="BV244" s="139">
        <f t="shared" si="195"/>
        <v>1786</v>
      </c>
    </row>
    <row r="245" spans="1:75">
      <c r="A245" s="4">
        <f t="shared" si="161"/>
        <v>2003</v>
      </c>
      <c r="B245" s="4">
        <f t="shared" si="162"/>
        <v>1</v>
      </c>
      <c r="C245" s="5">
        <f>'[2]FPC wSEB'!$J342</f>
        <v>214155</v>
      </c>
      <c r="D245" s="5">
        <f>'[2]FPC wSEB'!$AB342</f>
        <v>19370</v>
      </c>
      <c r="E245" s="73">
        <f t="shared" si="204"/>
        <v>11056</v>
      </c>
      <c r="F245" s="540">
        <f t="shared" si="138"/>
        <v>19370</v>
      </c>
      <c r="H245" s="13" t="s">
        <v>18</v>
      </c>
      <c r="I245" s="76">
        <f>'[7]Gov 65 &amp; 70'!$S330</f>
        <v>7</v>
      </c>
      <c r="J245" s="76">
        <f t="shared" si="164"/>
        <v>28.7</v>
      </c>
      <c r="K245" s="362">
        <f t="shared" ref="K245:K250" si="209">(J245-I245)</f>
        <v>21.7</v>
      </c>
      <c r="L245" s="200" t="s">
        <v>18</v>
      </c>
      <c r="M245" s="76">
        <f>'[7]Gov 65 &amp; 70'!$J330</f>
        <v>292.89999999999998</v>
      </c>
      <c r="N245" s="76">
        <f t="shared" si="165"/>
        <v>192.9</v>
      </c>
      <c r="O245" s="363">
        <f t="shared" ref="O245:O250" si="210">(N245-M245)</f>
        <v>-99.999999999999972</v>
      </c>
      <c r="P245" s="13" t="s">
        <v>18</v>
      </c>
      <c r="Q245" s="77">
        <f t="shared" si="139"/>
        <v>4973.2060000000001</v>
      </c>
      <c r="R245" s="78">
        <f t="shared" si="140"/>
        <v>-4057.9999999999986</v>
      </c>
      <c r="S245" s="479">
        <f t="shared" si="141"/>
        <v>915</v>
      </c>
      <c r="T245" s="13" t="s">
        <v>18</v>
      </c>
      <c r="U245" s="4">
        <f t="shared" si="166"/>
        <v>2003</v>
      </c>
      <c r="V245" s="4">
        <f t="shared" si="167"/>
        <v>1</v>
      </c>
      <c r="W245" s="153">
        <f t="shared" si="142"/>
        <v>11103.252452245741</v>
      </c>
      <c r="X245" s="153">
        <f t="shared" si="208"/>
        <v>286.35995475008895</v>
      </c>
      <c r="Z245" s="98">
        <f t="shared" si="143"/>
        <v>215070</v>
      </c>
      <c r="AA245" s="119">
        <f t="shared" si="205"/>
        <v>915</v>
      </c>
      <c r="AB245" s="512">
        <f>[9]SPAMWh!$L125</f>
        <v>216496</v>
      </c>
      <c r="AC245" s="4">
        <f t="shared" si="168"/>
        <v>2003</v>
      </c>
      <c r="AD245" s="4">
        <f t="shared" si="169"/>
        <v>1</v>
      </c>
      <c r="AE245" s="107">
        <f>RESID!AC245</f>
        <v>31.85</v>
      </c>
      <c r="AF245" s="40">
        <f t="shared" si="144"/>
        <v>10604.749612803304</v>
      </c>
      <c r="AG245" s="4">
        <f t="shared" si="145"/>
        <v>205414</v>
      </c>
      <c r="AH245" s="4">
        <f t="shared" ref="AH245:AH250" si="211">Z245-Z233</f>
        <v>9906</v>
      </c>
      <c r="AY245" s="4">
        <f t="shared" si="170"/>
        <v>2003</v>
      </c>
      <c r="AZ245" s="4">
        <f t="shared" si="171"/>
        <v>1</v>
      </c>
      <c r="BA245" s="4">
        <f>'[8]Gov 65 &amp; 70'!$S330</f>
        <v>2.9</v>
      </c>
      <c r="BB245" s="4">
        <f t="shared" si="172"/>
        <v>23.9</v>
      </c>
      <c r="BC245" s="82">
        <f t="shared" si="206"/>
        <v>21</v>
      </c>
      <c r="BD245" s="36" t="s">
        <v>18</v>
      </c>
      <c r="BE245" s="4">
        <f>'[8]Gov 65 &amp; 70'!$J330</f>
        <v>359.1</v>
      </c>
      <c r="BF245" s="4">
        <f t="shared" si="173"/>
        <v>176.9</v>
      </c>
      <c r="BG245" s="83">
        <f t="shared" si="207"/>
        <v>-182.20000000000002</v>
      </c>
      <c r="BH245" s="36" t="s">
        <v>18</v>
      </c>
      <c r="BI245" s="273">
        <f t="shared" si="146"/>
        <v>4812.78</v>
      </c>
      <c r="BJ245" s="270">
        <f t="shared" si="147"/>
        <v>-7393.6760000000004</v>
      </c>
      <c r="BK245" s="482">
        <f t="shared" si="148"/>
        <v>-2581</v>
      </c>
      <c r="BL245" s="276"/>
      <c r="BM245" s="36" t="s">
        <v>18</v>
      </c>
      <c r="BN245" s="4">
        <f t="shared" si="174"/>
        <v>2003</v>
      </c>
      <c r="BO245" s="4">
        <f t="shared" si="175"/>
        <v>1</v>
      </c>
      <c r="BP245" s="108">
        <f>(C245+[4]MWh!$AN79)</f>
        <v>217661.3131332309</v>
      </c>
      <c r="BQ245" s="108">
        <f t="shared" si="197"/>
        <v>11237.032170017083</v>
      </c>
      <c r="BR245" s="108">
        <f t="shared" si="198"/>
        <v>11103.784880393954</v>
      </c>
      <c r="BS245" s="108">
        <f t="shared" si="118"/>
        <v>1927.8817112414818</v>
      </c>
      <c r="BT245" s="175">
        <f t="shared" si="199"/>
        <v>215080.3131332309</v>
      </c>
      <c r="BU245" s="108">
        <f t="shared" ref="BU245:BU250" si="212">BT245-BT233</f>
        <v>41040.957723915926</v>
      </c>
      <c r="BV245" s="137">
        <f t="shared" si="195"/>
        <v>-2581</v>
      </c>
      <c r="BW245" s="444">
        <f>BT245/[9]SPAMWh!$L125</f>
        <v>0.9934609098238808</v>
      </c>
    </row>
    <row r="246" spans="1:75">
      <c r="A246" s="4">
        <f t="shared" si="161"/>
        <v>2003</v>
      </c>
      <c r="B246" s="4">
        <f t="shared" si="162"/>
        <v>2</v>
      </c>
      <c r="C246" s="5">
        <f>'[2]FPC wSEB'!$J343</f>
        <v>217437</v>
      </c>
      <c r="D246" s="5">
        <f>'[2]FPC wSEB'!$AB343</f>
        <v>19509</v>
      </c>
      <c r="E246" s="73">
        <f t="shared" ref="E246:E251" si="213">ROUND(C246/D246*1000,0)</f>
        <v>11145</v>
      </c>
      <c r="F246" s="540">
        <f t="shared" si="138"/>
        <v>19509</v>
      </c>
      <c r="H246" s="13" t="s">
        <v>18</v>
      </c>
      <c r="I246" s="76">
        <f>'[7]Gov 65 &amp; 70'!$S331</f>
        <v>8.1999999999999993</v>
      </c>
      <c r="J246" s="76">
        <f t="shared" si="164"/>
        <v>22.6</v>
      </c>
      <c r="K246" s="362">
        <f t="shared" si="209"/>
        <v>14.400000000000002</v>
      </c>
      <c r="L246" s="200" t="s">
        <v>18</v>
      </c>
      <c r="M246" s="76">
        <f>'[7]Gov 65 &amp; 70'!$J331</f>
        <v>280.60000000000002</v>
      </c>
      <c r="N246" s="76">
        <f t="shared" si="165"/>
        <v>177.2</v>
      </c>
      <c r="O246" s="363">
        <f t="shared" si="210"/>
        <v>-103.40000000000003</v>
      </c>
      <c r="P246" s="13" t="s">
        <v>18</v>
      </c>
      <c r="Q246" s="77">
        <f t="shared" si="139"/>
        <v>3300.1920000000005</v>
      </c>
      <c r="R246" s="78">
        <f t="shared" si="140"/>
        <v>-4195.9720000000016</v>
      </c>
      <c r="S246" s="479">
        <f t="shared" si="141"/>
        <v>-896</v>
      </c>
      <c r="T246" s="13" t="s">
        <v>18</v>
      </c>
      <c r="U246" s="4">
        <f t="shared" si="166"/>
        <v>2003</v>
      </c>
      <c r="V246" s="4">
        <f t="shared" si="167"/>
        <v>2</v>
      </c>
      <c r="W246" s="153">
        <f t="shared" si="142"/>
        <v>11099.543800297299</v>
      </c>
      <c r="X246" s="153">
        <f t="shared" si="208"/>
        <v>573.44820360239282</v>
      </c>
      <c r="Z246" s="98">
        <f t="shared" si="143"/>
        <v>216541</v>
      </c>
      <c r="AA246" s="119">
        <f t="shared" ref="AA246:AA251" si="214">Z246-C246</f>
        <v>-896</v>
      </c>
      <c r="AB246" s="512">
        <f>[9]SPAMWh!$L126</f>
        <v>217114</v>
      </c>
      <c r="AC246" s="4">
        <f t="shared" si="168"/>
        <v>2003</v>
      </c>
      <c r="AD246" s="4">
        <f t="shared" si="169"/>
        <v>2</v>
      </c>
      <c r="AE246" s="107">
        <f>RESID!AC246</f>
        <v>29.45</v>
      </c>
      <c r="AF246" s="40">
        <f t="shared" si="144"/>
        <v>11465.118663181096</v>
      </c>
      <c r="AG246" s="4">
        <f t="shared" si="145"/>
        <v>223673</v>
      </c>
      <c r="AH246" s="4">
        <f t="shared" si="211"/>
        <v>15261</v>
      </c>
      <c r="AY246" s="4">
        <f t="shared" si="170"/>
        <v>2003</v>
      </c>
      <c r="AZ246" s="4">
        <f t="shared" si="171"/>
        <v>2</v>
      </c>
      <c r="BA246" s="4">
        <f>'[8]Gov 65 &amp; 70'!$S331</f>
        <v>26.4</v>
      </c>
      <c r="BB246" s="4">
        <f t="shared" si="172"/>
        <v>32.799999999999997</v>
      </c>
      <c r="BC246" s="82">
        <f t="shared" si="206"/>
        <v>6.3999999999999986</v>
      </c>
      <c r="BD246" s="36" t="s">
        <v>18</v>
      </c>
      <c r="BE246" s="4">
        <f>'[8]Gov 65 &amp; 70'!$J331</f>
        <v>136.5</v>
      </c>
      <c r="BF246" s="4">
        <f t="shared" si="173"/>
        <v>139.1</v>
      </c>
      <c r="BG246" s="83">
        <f t="shared" si="207"/>
        <v>2.5999999999999943</v>
      </c>
      <c r="BH246" s="36" t="s">
        <v>18</v>
      </c>
      <c r="BI246" s="273">
        <f t="shared" si="146"/>
        <v>1466.7519999999997</v>
      </c>
      <c r="BJ246" s="270">
        <f t="shared" si="147"/>
        <v>105.50799999999977</v>
      </c>
      <c r="BK246" s="482">
        <f t="shared" si="148"/>
        <v>1572</v>
      </c>
      <c r="BL246" s="276"/>
      <c r="BM246" s="36" t="s">
        <v>18</v>
      </c>
      <c r="BN246" s="4">
        <f t="shared" si="174"/>
        <v>2003</v>
      </c>
      <c r="BO246" s="4">
        <f t="shared" si="175"/>
        <v>2</v>
      </c>
      <c r="BP246" s="108">
        <f>(C246+[4]MWh!$AN80)</f>
        <v>191310.00496381189</v>
      </c>
      <c r="BQ246" s="108">
        <f t="shared" si="197"/>
        <v>9806.2435267728688</v>
      </c>
      <c r="BR246" s="108">
        <f t="shared" si="198"/>
        <v>9886.8217214522465</v>
      </c>
      <c r="BS246" s="108">
        <f t="shared" si="118"/>
        <v>-1146.649419207306</v>
      </c>
      <c r="BT246" s="175">
        <f t="shared" si="199"/>
        <v>192882.00496381189</v>
      </c>
      <c r="BU246" s="108">
        <f t="shared" si="212"/>
        <v>-18100.030187880067</v>
      </c>
      <c r="BV246" s="137">
        <f t="shared" si="195"/>
        <v>1572</v>
      </c>
      <c r="BW246" s="444">
        <f>BT246/[9]SPAMWh!$L126</f>
        <v>0.88839045369626968</v>
      </c>
    </row>
    <row r="247" spans="1:75">
      <c r="A247" s="4">
        <f t="shared" si="161"/>
        <v>2003</v>
      </c>
      <c r="B247" s="4">
        <f t="shared" si="162"/>
        <v>3</v>
      </c>
      <c r="C247" s="5">
        <f>'[2]FPC wSEB'!$J344</f>
        <v>217818</v>
      </c>
      <c r="D247" s="5">
        <f>'[2]FPC wSEB'!$AB344</f>
        <v>19195</v>
      </c>
      <c r="E247" s="73">
        <f t="shared" si="213"/>
        <v>11348</v>
      </c>
      <c r="F247" s="540">
        <f t="shared" si="138"/>
        <v>19195</v>
      </c>
      <c r="H247" s="13" t="s">
        <v>18</v>
      </c>
      <c r="I247" s="76">
        <f>'[7]Gov 65 &amp; 70'!$S332</f>
        <v>72.8</v>
      </c>
      <c r="J247" s="76">
        <f t="shared" si="164"/>
        <v>44.5</v>
      </c>
      <c r="K247" s="362">
        <f t="shared" si="209"/>
        <v>-28.299999999999997</v>
      </c>
      <c r="L247" s="200" t="s">
        <v>18</v>
      </c>
      <c r="M247" s="76">
        <f>'[7]Gov 65 &amp; 70'!$J332</f>
        <v>67.099999999999994</v>
      </c>
      <c r="N247" s="76">
        <f t="shared" si="165"/>
        <v>119.5</v>
      </c>
      <c r="O247" s="363">
        <f t="shared" si="210"/>
        <v>52.400000000000006</v>
      </c>
      <c r="P247" s="13" t="s">
        <v>18</v>
      </c>
      <c r="Q247" s="77">
        <f t="shared" si="139"/>
        <v>-6485.7939999999999</v>
      </c>
      <c r="R247" s="78">
        <f t="shared" si="140"/>
        <v>2126.3920000000003</v>
      </c>
      <c r="S247" s="479">
        <f t="shared" si="141"/>
        <v>-4359</v>
      </c>
      <c r="T247" s="13" t="s">
        <v>18</v>
      </c>
      <c r="U247" s="4">
        <f t="shared" si="166"/>
        <v>2003</v>
      </c>
      <c r="V247" s="4">
        <f t="shared" si="167"/>
        <v>3</v>
      </c>
      <c r="W247" s="153">
        <f t="shared" si="142"/>
        <v>11120.552227142485</v>
      </c>
      <c r="X247" s="153">
        <f t="shared" si="208"/>
        <v>625.03030811457029</v>
      </c>
      <c r="Z247" s="98">
        <f t="shared" si="143"/>
        <v>213459</v>
      </c>
      <c r="AA247" s="119">
        <f t="shared" si="214"/>
        <v>-4359</v>
      </c>
      <c r="AB247" s="512">
        <f>[9]SPAMWh!$L127</f>
        <v>215088</v>
      </c>
      <c r="AC247" s="4">
        <f t="shared" si="168"/>
        <v>2003</v>
      </c>
      <c r="AD247" s="4">
        <f t="shared" si="169"/>
        <v>3</v>
      </c>
      <c r="AE247" s="107">
        <f>RESID!AC247</f>
        <v>29.4</v>
      </c>
      <c r="AF247" s="40">
        <f t="shared" si="144"/>
        <v>11506.381870278718</v>
      </c>
      <c r="AG247" s="4">
        <f t="shared" si="145"/>
        <v>220865</v>
      </c>
      <c r="AH247" s="4">
        <f t="shared" si="211"/>
        <v>13068</v>
      </c>
      <c r="AY247" s="4">
        <f t="shared" si="170"/>
        <v>2003</v>
      </c>
      <c r="AZ247" s="4">
        <f t="shared" si="171"/>
        <v>3</v>
      </c>
      <c r="BA247" s="4">
        <f>'[8]Gov 65 &amp; 70'!$S332</f>
        <v>112.3</v>
      </c>
      <c r="BB247" s="4">
        <f t="shared" si="172"/>
        <v>64.099999999999994</v>
      </c>
      <c r="BC247" s="82">
        <f t="shared" si="206"/>
        <v>-48.2</v>
      </c>
      <c r="BD247" s="36" t="s">
        <v>18</v>
      </c>
      <c r="BE247" s="4">
        <f>'[8]Gov 65 &amp; 70'!$J332</f>
        <v>33.799999999999997</v>
      </c>
      <c r="BF247" s="4">
        <f t="shared" si="173"/>
        <v>85.4</v>
      </c>
      <c r="BG247" s="83">
        <f t="shared" si="207"/>
        <v>51.600000000000009</v>
      </c>
      <c r="BH247" s="36" t="s">
        <v>18</v>
      </c>
      <c r="BI247" s="273">
        <f t="shared" si="146"/>
        <v>-11046.476000000001</v>
      </c>
      <c r="BJ247" s="270">
        <f t="shared" si="147"/>
        <v>2093.9280000000003</v>
      </c>
      <c r="BK247" s="482">
        <f t="shared" si="148"/>
        <v>-8953</v>
      </c>
      <c r="BL247" s="276"/>
      <c r="BM247" s="36" t="s">
        <v>18</v>
      </c>
      <c r="BN247" s="4">
        <f t="shared" si="174"/>
        <v>2003</v>
      </c>
      <c r="BO247" s="4">
        <f t="shared" si="175"/>
        <v>3</v>
      </c>
      <c r="BP247" s="108">
        <f>(C247+[4]MWh!$AN81)</f>
        <v>252482.01366231841</v>
      </c>
      <c r="BQ247" s="108">
        <f t="shared" si="197"/>
        <v>13153.530276755322</v>
      </c>
      <c r="BR247" s="108">
        <f t="shared" si="198"/>
        <v>12687.106728956416</v>
      </c>
      <c r="BS247" s="108">
        <f t="shared" si="118"/>
        <v>2009.0652448164292</v>
      </c>
      <c r="BT247" s="175">
        <f t="shared" si="199"/>
        <v>243529.01366231841</v>
      </c>
      <c r="BU247" s="108">
        <f t="shared" si="212"/>
        <v>39653.167605633644</v>
      </c>
      <c r="BV247" s="137">
        <f t="shared" si="195"/>
        <v>-8953</v>
      </c>
      <c r="BW247" s="444">
        <f>BT247/[9]SPAMWh!$L127</f>
        <v>1.1322296625674999</v>
      </c>
    </row>
    <row r="248" spans="1:75">
      <c r="A248" s="4">
        <f t="shared" si="161"/>
        <v>2003</v>
      </c>
      <c r="B248" s="4">
        <f t="shared" si="162"/>
        <v>4</v>
      </c>
      <c r="C248" s="5">
        <f>'[2]FPC wSEB'!$J345</f>
        <v>225508</v>
      </c>
      <c r="D248" s="5">
        <f>'[2]FPC wSEB'!$AB345</f>
        <v>19740</v>
      </c>
      <c r="E248" s="73">
        <f t="shared" si="213"/>
        <v>11424</v>
      </c>
      <c r="F248" s="540">
        <f t="shared" si="138"/>
        <v>19740</v>
      </c>
      <c r="H248" s="13" t="s">
        <v>18</v>
      </c>
      <c r="I248" s="76">
        <f>'[7]Gov 65 &amp; 70'!$S333</f>
        <v>104.8</v>
      </c>
      <c r="J248" s="76">
        <f t="shared" si="164"/>
        <v>87.7</v>
      </c>
      <c r="K248" s="362">
        <f t="shared" si="209"/>
        <v>-17.099999999999994</v>
      </c>
      <c r="L248" s="200" t="s">
        <v>18</v>
      </c>
      <c r="M248" s="76">
        <f>'[7]Gov 65 &amp; 70'!$J333</f>
        <v>49.9</v>
      </c>
      <c r="N248" s="76">
        <f t="shared" si="165"/>
        <v>60.3</v>
      </c>
      <c r="O248" s="363">
        <f t="shared" si="210"/>
        <v>10.399999999999999</v>
      </c>
      <c r="P248" s="13" t="s">
        <v>18</v>
      </c>
      <c r="Q248" s="77">
        <f t="shared" si="139"/>
        <v>-3918.9779999999987</v>
      </c>
      <c r="R248" s="78">
        <f t="shared" si="140"/>
        <v>422.03199999999993</v>
      </c>
      <c r="S248" s="479">
        <f t="shared" si="141"/>
        <v>-3497</v>
      </c>
      <c r="T248" s="13" t="s">
        <v>18</v>
      </c>
      <c r="U248" s="4">
        <f t="shared" si="166"/>
        <v>2003</v>
      </c>
      <c r="V248" s="4">
        <f t="shared" si="167"/>
        <v>4</v>
      </c>
      <c r="W248" s="153">
        <f t="shared" si="142"/>
        <v>11246.757852077002</v>
      </c>
      <c r="X248" s="153">
        <f t="shared" si="208"/>
        <v>-183.65144115934527</v>
      </c>
      <c r="Z248" s="98">
        <f t="shared" si="143"/>
        <v>222011</v>
      </c>
      <c r="AA248" s="119">
        <f t="shared" si="214"/>
        <v>-3497</v>
      </c>
      <c r="AB248" s="512">
        <f>[9]SPAMWh!$L128</f>
        <v>221232</v>
      </c>
      <c r="AC248" s="4">
        <f t="shared" si="168"/>
        <v>2003</v>
      </c>
      <c r="AD248" s="4">
        <f t="shared" si="169"/>
        <v>4</v>
      </c>
      <c r="AE248" s="107">
        <f>RESID!AC248</f>
        <v>29.9</v>
      </c>
      <c r="AF248" s="40">
        <f t="shared" si="144"/>
        <v>11442.350557244174</v>
      </c>
      <c r="AG248" s="4">
        <f t="shared" si="145"/>
        <v>225872</v>
      </c>
      <c r="AH248" s="4">
        <f t="shared" si="211"/>
        <v>11440</v>
      </c>
      <c r="AY248" s="4">
        <f t="shared" si="170"/>
        <v>2003</v>
      </c>
      <c r="AZ248" s="4">
        <f t="shared" si="171"/>
        <v>4</v>
      </c>
      <c r="BA248" s="4">
        <f>'[8]Gov 65 &amp; 70'!$S333</f>
        <v>121.6</v>
      </c>
      <c r="BB248" s="4">
        <f t="shared" si="172"/>
        <v>122</v>
      </c>
      <c r="BC248" s="82">
        <f t="shared" ref="BC248:BC253" si="215">BB248-BA248</f>
        <v>0.40000000000000568</v>
      </c>
      <c r="BD248" s="36" t="s">
        <v>18</v>
      </c>
      <c r="BE248" s="4">
        <f>'[8]Gov 65 &amp; 70'!$J333</f>
        <v>38.6</v>
      </c>
      <c r="BF248" s="4">
        <f t="shared" si="173"/>
        <v>34.700000000000003</v>
      </c>
      <c r="BG248" s="83">
        <f t="shared" ref="BG248:BG253" si="216">BF248-BE248</f>
        <v>-3.8999999999999986</v>
      </c>
      <c r="BH248" s="36" t="s">
        <v>18</v>
      </c>
      <c r="BI248" s="273">
        <f t="shared" si="146"/>
        <v>91.672000000001304</v>
      </c>
      <c r="BJ248" s="270">
        <f t="shared" si="147"/>
        <v>-158.26199999999994</v>
      </c>
      <c r="BK248" s="482">
        <f t="shared" si="148"/>
        <v>-67</v>
      </c>
      <c r="BL248" s="276"/>
      <c r="BM248" s="36" t="s">
        <v>18</v>
      </c>
      <c r="BN248" s="4">
        <f t="shared" si="174"/>
        <v>2003</v>
      </c>
      <c r="BO248" s="4">
        <f t="shared" si="175"/>
        <v>4</v>
      </c>
      <c r="BP248" s="108">
        <f>(C248+[4]MWh!$AN82)</f>
        <v>223788.08159555931</v>
      </c>
      <c r="BQ248" s="108">
        <f t="shared" si="197"/>
        <v>11336.782249015163</v>
      </c>
      <c r="BR248" s="108">
        <f t="shared" si="198"/>
        <v>11333.388125408273</v>
      </c>
      <c r="BS248" s="108">
        <f t="shared" si="118"/>
        <v>-1217.0280163749831</v>
      </c>
      <c r="BT248" s="175">
        <f t="shared" si="199"/>
        <v>223721.08159555931</v>
      </c>
      <c r="BU248" s="108">
        <f t="shared" si="212"/>
        <v>-7482.6845683718566</v>
      </c>
      <c r="BV248" s="137">
        <f t="shared" si="195"/>
        <v>-67</v>
      </c>
      <c r="BW248" s="444">
        <f>BT248/[9]SPAMWh!$L128</f>
        <v>1.0112510016433396</v>
      </c>
    </row>
    <row r="249" spans="1:75">
      <c r="A249" s="4">
        <f t="shared" si="161"/>
        <v>2003</v>
      </c>
      <c r="B249" s="4">
        <f t="shared" si="162"/>
        <v>5</v>
      </c>
      <c r="C249" s="5">
        <f>'[2]FPC wSEB'!$J346</f>
        <v>246846</v>
      </c>
      <c r="D249" s="5">
        <f>'[2]FPC wSEB'!$AB346</f>
        <v>19636</v>
      </c>
      <c r="E249" s="73">
        <f t="shared" si="213"/>
        <v>12571</v>
      </c>
      <c r="F249" s="540">
        <f t="shared" si="138"/>
        <v>19636</v>
      </c>
      <c r="H249" s="13" t="s">
        <v>18</v>
      </c>
      <c r="I249" s="76">
        <f>'[7]Gov 65 &amp; 70'!$S334</f>
        <v>205.9</v>
      </c>
      <c r="J249" s="76">
        <f t="shared" si="164"/>
        <v>157.69999999999999</v>
      </c>
      <c r="K249" s="362">
        <f t="shared" si="209"/>
        <v>-48.200000000000017</v>
      </c>
      <c r="L249" s="200" t="s">
        <v>18</v>
      </c>
      <c r="M249" s="76">
        <f>'[7]Gov 65 &amp; 70'!$J334</f>
        <v>12.9</v>
      </c>
      <c r="N249" s="76">
        <f t="shared" si="165"/>
        <v>18.600000000000001</v>
      </c>
      <c r="O249" s="363">
        <f t="shared" si="210"/>
        <v>5.7000000000000011</v>
      </c>
      <c r="P249" s="13" t="s">
        <v>18</v>
      </c>
      <c r="Q249" s="77">
        <f t="shared" si="139"/>
        <v>-11046.476000000004</v>
      </c>
      <c r="R249" s="78">
        <f t="shared" si="140"/>
        <v>231.30600000000004</v>
      </c>
      <c r="S249" s="479">
        <f t="shared" si="141"/>
        <v>-10815</v>
      </c>
      <c r="T249" s="13" t="s">
        <v>18</v>
      </c>
      <c r="U249" s="4">
        <f t="shared" si="166"/>
        <v>2003</v>
      </c>
      <c r="V249" s="4">
        <f t="shared" si="167"/>
        <v>5</v>
      </c>
      <c r="W249" s="153">
        <f t="shared" si="142"/>
        <v>12020.319820737423</v>
      </c>
      <c r="X249" s="153">
        <f t="shared" si="208"/>
        <v>406.25204972891333</v>
      </c>
      <c r="Z249" s="98">
        <f t="shared" si="143"/>
        <v>236031</v>
      </c>
      <c r="AA249" s="119">
        <f t="shared" si="214"/>
        <v>-10815</v>
      </c>
      <c r="AB249" s="512">
        <f>[9]SPAMWh!$L129</f>
        <v>236443</v>
      </c>
      <c r="AC249" s="4">
        <f t="shared" si="168"/>
        <v>2003</v>
      </c>
      <c r="AD249" s="4">
        <f t="shared" si="169"/>
        <v>5</v>
      </c>
      <c r="AE249" s="107">
        <f>RESID!AC249</f>
        <v>30.4</v>
      </c>
      <c r="AF249" s="40">
        <f t="shared" si="144"/>
        <v>12028.213485434917</v>
      </c>
      <c r="AG249" s="4">
        <f t="shared" si="145"/>
        <v>236186</v>
      </c>
      <c r="AH249" s="4">
        <f t="shared" si="211"/>
        <v>5364</v>
      </c>
      <c r="AY249" s="4">
        <f t="shared" si="170"/>
        <v>2003</v>
      </c>
      <c r="AZ249" s="4">
        <f t="shared" si="171"/>
        <v>5</v>
      </c>
      <c r="BA249" s="4">
        <f>'[8]Gov 65 &amp; 70'!$S334</f>
        <v>297.2</v>
      </c>
      <c r="BB249" s="4">
        <f t="shared" si="172"/>
        <v>253</v>
      </c>
      <c r="BC249" s="82">
        <f t="shared" si="215"/>
        <v>-44.199999999999989</v>
      </c>
      <c r="BD249" s="36" t="s">
        <v>18</v>
      </c>
      <c r="BE249" s="4">
        <f>'[8]Gov 65 &amp; 70'!$J334</f>
        <v>0.7</v>
      </c>
      <c r="BF249" s="4">
        <f t="shared" si="173"/>
        <v>4.3</v>
      </c>
      <c r="BG249" s="83">
        <f t="shared" si="216"/>
        <v>3.5999999999999996</v>
      </c>
      <c r="BH249" s="36" t="s">
        <v>18</v>
      </c>
      <c r="BI249" s="273">
        <f t="shared" si="146"/>
        <v>-10129.755999999998</v>
      </c>
      <c r="BJ249" s="270">
        <f t="shared" si="147"/>
        <v>146.08799999999997</v>
      </c>
      <c r="BK249" s="482">
        <f t="shared" si="148"/>
        <v>-9984</v>
      </c>
      <c r="BL249" s="276"/>
      <c r="BM249" s="36" t="s">
        <v>18</v>
      </c>
      <c r="BN249" s="4">
        <f t="shared" si="174"/>
        <v>2003</v>
      </c>
      <c r="BO249" s="4">
        <f t="shared" si="175"/>
        <v>5</v>
      </c>
      <c r="BP249" s="108">
        <f>(C249+[4]MWh!$AN83)</f>
        <v>279922.45531202405</v>
      </c>
      <c r="BQ249" s="108">
        <f t="shared" si="197"/>
        <v>14255.574216338564</v>
      </c>
      <c r="BR249" s="108">
        <f t="shared" si="198"/>
        <v>13747.120356081894</v>
      </c>
      <c r="BS249" s="108">
        <f t="shared" si="118"/>
        <v>1917.3705425804619</v>
      </c>
      <c r="BT249" s="175">
        <f t="shared" si="199"/>
        <v>269938.45531202405</v>
      </c>
      <c r="BU249" s="108">
        <f t="shared" si="212"/>
        <v>34987.794266072131</v>
      </c>
      <c r="BV249" s="137">
        <f t="shared" si="195"/>
        <v>-9984</v>
      </c>
      <c r="BW249" s="444">
        <f>BT249/[9]SPAMWh!$L129</f>
        <v>1.1416639753007027</v>
      </c>
    </row>
    <row r="250" spans="1:75">
      <c r="A250" s="4">
        <f t="shared" si="161"/>
        <v>2003</v>
      </c>
      <c r="B250" s="4">
        <f t="shared" si="162"/>
        <v>6</v>
      </c>
      <c r="C250" s="5">
        <f>'[2]FPC wSEB'!$J347</f>
        <v>262017</v>
      </c>
      <c r="D250" s="5">
        <f>'[2]FPC wSEB'!$AB347</f>
        <v>19372</v>
      </c>
      <c r="E250" s="73">
        <f t="shared" si="213"/>
        <v>13526</v>
      </c>
      <c r="F250" s="540">
        <f t="shared" si="138"/>
        <v>19372</v>
      </c>
      <c r="H250" s="13" t="s">
        <v>18</v>
      </c>
      <c r="I250" s="76">
        <f>'[7]Gov 65 &amp; 70'!$S335</f>
        <v>311.5</v>
      </c>
      <c r="J250" s="76">
        <f t="shared" si="164"/>
        <v>295.39999999999998</v>
      </c>
      <c r="K250" s="362">
        <f t="shared" si="209"/>
        <v>-16.100000000000023</v>
      </c>
      <c r="L250" s="200" t="s">
        <v>18</v>
      </c>
      <c r="M250" s="76">
        <f>'[7]Gov 65 &amp; 70'!$J335</f>
        <v>0.4</v>
      </c>
      <c r="N250" s="76">
        <f t="shared" si="165"/>
        <v>2.2000000000000002</v>
      </c>
      <c r="O250" s="363">
        <f t="shared" si="210"/>
        <v>1.8000000000000003</v>
      </c>
      <c r="P250" s="13" t="s">
        <v>18</v>
      </c>
      <c r="Q250" s="77">
        <f t="shared" si="139"/>
        <v>-3689.7980000000052</v>
      </c>
      <c r="R250" s="78">
        <f t="shared" si="140"/>
        <v>73.044000000000011</v>
      </c>
      <c r="S250" s="479">
        <f t="shared" si="141"/>
        <v>-3617</v>
      </c>
      <c r="T250" s="13" t="s">
        <v>18</v>
      </c>
      <c r="U250" s="4">
        <f t="shared" si="166"/>
        <v>2003</v>
      </c>
      <c r="V250" s="4">
        <f t="shared" si="167"/>
        <v>6</v>
      </c>
      <c r="W250" s="153">
        <f t="shared" si="142"/>
        <v>13338.839562254801</v>
      </c>
      <c r="X250" s="153">
        <f t="shared" ref="X250:X255" si="217">W250-W238</f>
        <v>317.25291661291158</v>
      </c>
      <c r="Z250" s="98">
        <f t="shared" si="143"/>
        <v>258400</v>
      </c>
      <c r="AA250" s="119">
        <f t="shared" si="214"/>
        <v>-3617</v>
      </c>
      <c r="AB250" s="512">
        <f>[9]SPAMWh!$L130</f>
        <v>258882</v>
      </c>
      <c r="AC250" s="4">
        <f t="shared" si="168"/>
        <v>2003</v>
      </c>
      <c r="AD250" s="4">
        <f t="shared" si="169"/>
        <v>6</v>
      </c>
      <c r="AE250" s="107">
        <f>RESID!AC250</f>
        <v>30.7</v>
      </c>
      <c r="AF250" s="40">
        <f t="shared" si="144"/>
        <v>13217.169110055751</v>
      </c>
      <c r="AG250" s="4">
        <f t="shared" si="145"/>
        <v>256043</v>
      </c>
      <c r="AH250" s="4">
        <f t="shared" si="211"/>
        <v>18920</v>
      </c>
      <c r="AY250" s="4">
        <f t="shared" si="170"/>
        <v>2003</v>
      </c>
      <c r="AZ250" s="4">
        <f t="shared" si="171"/>
        <v>6</v>
      </c>
      <c r="BA250" s="4">
        <f>'[8]Gov 65 &amp; 70'!$S335</f>
        <v>323.8</v>
      </c>
      <c r="BB250" s="4">
        <f t="shared" si="172"/>
        <v>336.1</v>
      </c>
      <c r="BC250" s="82">
        <f t="shared" si="215"/>
        <v>12.300000000000011</v>
      </c>
      <c r="BD250" s="36" t="s">
        <v>18</v>
      </c>
      <c r="BE250" s="4">
        <f>'[8]Gov 65 &amp; 70'!$J335</f>
        <v>0</v>
      </c>
      <c r="BF250" s="4">
        <f t="shared" si="173"/>
        <v>0</v>
      </c>
      <c r="BG250" s="83">
        <f t="shared" si="216"/>
        <v>0</v>
      </c>
      <c r="BH250" s="36" t="s">
        <v>18</v>
      </c>
      <c r="BI250" s="273">
        <f t="shared" si="146"/>
        <v>2818.9140000000025</v>
      </c>
      <c r="BJ250" s="270">
        <f t="shared" si="147"/>
        <v>0</v>
      </c>
      <c r="BK250" s="482">
        <f t="shared" si="148"/>
        <v>2819</v>
      </c>
      <c r="BL250" s="276"/>
      <c r="BM250" s="36" t="s">
        <v>18</v>
      </c>
      <c r="BN250" s="4">
        <f t="shared" si="174"/>
        <v>2003</v>
      </c>
      <c r="BO250" s="4">
        <f t="shared" si="175"/>
        <v>6</v>
      </c>
      <c r="BP250" s="108">
        <f>(C250+[4]MWh!$AN84)</f>
        <v>243518.14270153953</v>
      </c>
      <c r="BQ250" s="108">
        <f t="shared" si="197"/>
        <v>12570.624752299171</v>
      </c>
      <c r="BR250" s="108">
        <f t="shared" si="198"/>
        <v>12716.144058514326</v>
      </c>
      <c r="BS250" s="108">
        <f t="shared" ref="BS250:BS282" si="218">BR250-BR238</f>
        <v>-1255.5035700617482</v>
      </c>
      <c r="BT250" s="175">
        <f t="shared" si="199"/>
        <v>246337.14270153953</v>
      </c>
      <c r="BU250" s="108">
        <f t="shared" si="212"/>
        <v>-10615.42883560303</v>
      </c>
      <c r="BV250" s="137">
        <f t="shared" si="195"/>
        <v>2819</v>
      </c>
      <c r="BW250" s="444">
        <f>BT250/[9]SPAMWh!$L130</f>
        <v>0.95154218022705139</v>
      </c>
    </row>
    <row r="251" spans="1:75">
      <c r="A251" s="4">
        <f t="shared" si="161"/>
        <v>2003</v>
      </c>
      <c r="B251" s="4">
        <f t="shared" si="162"/>
        <v>7</v>
      </c>
      <c r="C251" s="5">
        <f>'[2]FPC wSEB'!$J348</f>
        <v>253155</v>
      </c>
      <c r="D251" s="5">
        <f>'[2]FPC wSEB'!$AB348</f>
        <v>19844</v>
      </c>
      <c r="E251" s="73">
        <f t="shared" si="213"/>
        <v>12757</v>
      </c>
      <c r="F251" s="540">
        <f t="shared" si="138"/>
        <v>19844</v>
      </c>
      <c r="H251" s="13" t="s">
        <v>18</v>
      </c>
      <c r="I251" s="76">
        <f>'[7]Gov 65 &amp; 70'!$S336</f>
        <v>354</v>
      </c>
      <c r="J251" s="76">
        <f t="shared" si="164"/>
        <v>363.4</v>
      </c>
      <c r="K251" s="362">
        <f t="shared" ref="K251:K256" si="219">(J251-I251)</f>
        <v>9.3999999999999773</v>
      </c>
      <c r="L251" s="200" t="s">
        <v>18</v>
      </c>
      <c r="M251" s="76">
        <f>'[7]Gov 65 &amp; 70'!$J336</f>
        <v>0</v>
      </c>
      <c r="N251" s="76">
        <f t="shared" si="165"/>
        <v>0</v>
      </c>
      <c r="O251" s="363">
        <f t="shared" ref="O251:O256" si="220">(N251-M251)</f>
        <v>0</v>
      </c>
      <c r="P251" s="13" t="s">
        <v>18</v>
      </c>
      <c r="Q251" s="77">
        <f t="shared" si="139"/>
        <v>2154.2919999999949</v>
      </c>
      <c r="R251" s="78">
        <f t="shared" si="140"/>
        <v>0</v>
      </c>
      <c r="S251" s="479">
        <f t="shared" si="141"/>
        <v>2154</v>
      </c>
      <c r="T251" s="13" t="s">
        <v>18</v>
      </c>
      <c r="U251" s="4">
        <f t="shared" si="166"/>
        <v>2003</v>
      </c>
      <c r="V251" s="4">
        <f t="shared" si="167"/>
        <v>7</v>
      </c>
      <c r="W251" s="153">
        <f t="shared" si="142"/>
        <v>12865.803265470671</v>
      </c>
      <c r="X251" s="153">
        <f t="shared" si="217"/>
        <v>221.72421731665963</v>
      </c>
      <c r="Z251" s="98">
        <f t="shared" si="143"/>
        <v>255309</v>
      </c>
      <c r="AA251" s="119">
        <f t="shared" si="214"/>
        <v>2154</v>
      </c>
      <c r="AB251" s="512">
        <f>[9]SPAMWh!$L131</f>
        <v>254532</v>
      </c>
      <c r="AC251" s="4">
        <f t="shared" si="168"/>
        <v>2003</v>
      </c>
      <c r="AD251" s="4">
        <f t="shared" si="169"/>
        <v>7</v>
      </c>
      <c r="AE251" s="107">
        <f>RESID!AC251</f>
        <v>30.6</v>
      </c>
      <c r="AF251" s="40">
        <f t="shared" si="144"/>
        <v>12790.112880467648</v>
      </c>
      <c r="AG251" s="4">
        <f t="shared" si="145"/>
        <v>253807</v>
      </c>
      <c r="AH251" s="4">
        <f t="shared" ref="AH251:AH256" si="221">Z251-Z239</f>
        <v>7700</v>
      </c>
      <c r="AY251" s="4">
        <f t="shared" si="170"/>
        <v>2003</v>
      </c>
      <c r="AZ251" s="4">
        <f t="shared" si="171"/>
        <v>7</v>
      </c>
      <c r="BA251" s="4">
        <f>'[8]Gov 65 &amp; 70'!$S336</f>
        <v>384.5</v>
      </c>
      <c r="BB251" s="4">
        <f t="shared" si="172"/>
        <v>391.2</v>
      </c>
      <c r="BC251" s="82">
        <f t="shared" si="215"/>
        <v>6.6999999999999886</v>
      </c>
      <c r="BD251" s="36" t="s">
        <v>18</v>
      </c>
      <c r="BE251" s="4">
        <f>'[8]Gov 65 &amp; 70'!$J336</f>
        <v>0</v>
      </c>
      <c r="BF251" s="4">
        <f t="shared" si="173"/>
        <v>0</v>
      </c>
      <c r="BG251" s="83">
        <f t="shared" si="216"/>
        <v>0</v>
      </c>
      <c r="BH251" s="36" t="s">
        <v>18</v>
      </c>
      <c r="BI251" s="273">
        <f t="shared" si="146"/>
        <v>1535.5059999999974</v>
      </c>
      <c r="BJ251" s="270">
        <f t="shared" si="147"/>
        <v>0</v>
      </c>
      <c r="BK251" s="482">
        <f t="shared" si="148"/>
        <v>1536</v>
      </c>
      <c r="BL251" s="276"/>
      <c r="BM251" s="36" t="s">
        <v>18</v>
      </c>
      <c r="BN251" s="4">
        <f t="shared" si="174"/>
        <v>2003</v>
      </c>
      <c r="BO251" s="4">
        <f t="shared" si="175"/>
        <v>7</v>
      </c>
      <c r="BP251" s="108">
        <f>(C251+[4]MWh!$AN85)</f>
        <v>259105.88877199986</v>
      </c>
      <c r="BQ251" s="108">
        <f t="shared" si="197"/>
        <v>13057.140131626682</v>
      </c>
      <c r="BR251" s="108">
        <f t="shared" si="198"/>
        <v>13134.543880870786</v>
      </c>
      <c r="BS251" s="108">
        <f t="shared" si="218"/>
        <v>1150.0185062237779</v>
      </c>
      <c r="BT251" s="175">
        <f t="shared" si="199"/>
        <v>260641.88877199986</v>
      </c>
      <c r="BU251" s="108">
        <f t="shared" ref="BU251:BU256" si="222">BT251-BT239</f>
        <v>25948.928360287508</v>
      </c>
      <c r="BV251" s="137">
        <f t="shared" si="195"/>
        <v>1536</v>
      </c>
      <c r="BW251" s="444">
        <f>BT251/[9]SPAMWh!$L131</f>
        <v>1.0240044032656006</v>
      </c>
    </row>
    <row r="252" spans="1:75">
      <c r="A252" s="4">
        <f t="shared" si="161"/>
        <v>2003</v>
      </c>
      <c r="B252" s="4">
        <f t="shared" si="162"/>
        <v>8</v>
      </c>
      <c r="C252" s="5">
        <f>'[2]FPC wSEB'!$J349</f>
        <v>244422</v>
      </c>
      <c r="D252" s="5">
        <f>'[2]FPC wSEB'!$AB349</f>
        <v>19690</v>
      </c>
      <c r="E252" s="73">
        <f t="shared" ref="E252:E257" si="223">ROUND(C252/D252*1000,0)</f>
        <v>12414</v>
      </c>
      <c r="F252" s="540">
        <f t="shared" si="138"/>
        <v>19690</v>
      </c>
      <c r="H252" s="13" t="s">
        <v>18</v>
      </c>
      <c r="I252" s="76">
        <f>'[7]Gov 65 &amp; 70'!$S337</f>
        <v>347.5</v>
      </c>
      <c r="J252" s="76">
        <f t="shared" si="164"/>
        <v>390.1</v>
      </c>
      <c r="K252" s="362">
        <f t="shared" si="219"/>
        <v>42.600000000000023</v>
      </c>
      <c r="L252" s="200" t="s">
        <v>18</v>
      </c>
      <c r="M252" s="76">
        <f>'[7]Gov 65 &amp; 70'!$J337</f>
        <v>0</v>
      </c>
      <c r="N252" s="76">
        <f t="shared" si="165"/>
        <v>0</v>
      </c>
      <c r="O252" s="363">
        <f t="shared" si="220"/>
        <v>0</v>
      </c>
      <c r="P252" s="13" t="s">
        <v>18</v>
      </c>
      <c r="Q252" s="77">
        <f t="shared" si="139"/>
        <v>9763.0680000000048</v>
      </c>
      <c r="R252" s="78">
        <f t="shared" si="140"/>
        <v>0</v>
      </c>
      <c r="S252" s="479">
        <f t="shared" si="141"/>
        <v>9763</v>
      </c>
      <c r="T252" s="13" t="s">
        <v>18</v>
      </c>
      <c r="U252" s="4">
        <f t="shared" si="166"/>
        <v>2003</v>
      </c>
      <c r="V252" s="4">
        <f t="shared" si="167"/>
        <v>8</v>
      </c>
      <c r="W252" s="153">
        <f t="shared" si="142"/>
        <v>12909.344845099035</v>
      </c>
      <c r="X252" s="153">
        <f t="shared" si="217"/>
        <v>-215.13562040387478</v>
      </c>
      <c r="Z252" s="98">
        <f t="shared" si="143"/>
        <v>254185</v>
      </c>
      <c r="AA252" s="119">
        <f t="shared" ref="AA252:AA257" si="224">Z252-C252</f>
        <v>9763</v>
      </c>
      <c r="AB252" s="512">
        <f>[9]SPAMWh!$L132</f>
        <v>254572</v>
      </c>
      <c r="AC252" s="4">
        <f t="shared" si="168"/>
        <v>2003</v>
      </c>
      <c r="AD252" s="4">
        <f t="shared" si="169"/>
        <v>8</v>
      </c>
      <c r="AE252" s="107">
        <f>RESID!AC252</f>
        <v>29.6</v>
      </c>
      <c r="AF252" s="40">
        <f t="shared" si="144"/>
        <v>13266.988318943626</v>
      </c>
      <c r="AG252" s="4">
        <f t="shared" si="145"/>
        <v>261227</v>
      </c>
      <c r="AH252" s="4">
        <f t="shared" si="221"/>
        <v>1565</v>
      </c>
      <c r="AY252" s="4">
        <f t="shared" si="170"/>
        <v>2003</v>
      </c>
      <c r="AZ252" s="4">
        <f t="shared" si="171"/>
        <v>8</v>
      </c>
      <c r="BA252" s="4">
        <f>'[8]Gov 65 &amp; 70'!$S337</f>
        <v>355.6</v>
      </c>
      <c r="BB252" s="4">
        <f t="shared" si="172"/>
        <v>394.4</v>
      </c>
      <c r="BC252" s="82">
        <f t="shared" si="215"/>
        <v>38.799999999999955</v>
      </c>
      <c r="BD252" s="36" t="s">
        <v>18</v>
      </c>
      <c r="BE252" s="4">
        <f>'[8]Gov 65 &amp; 70'!$J337</f>
        <v>0</v>
      </c>
      <c r="BF252" s="4">
        <f t="shared" si="173"/>
        <v>0</v>
      </c>
      <c r="BG252" s="83">
        <f t="shared" si="216"/>
        <v>0</v>
      </c>
      <c r="BH252" s="36" t="s">
        <v>18</v>
      </c>
      <c r="BI252" s="273">
        <f t="shared" si="146"/>
        <v>8892.1839999999902</v>
      </c>
      <c r="BJ252" s="270">
        <f t="shared" si="147"/>
        <v>0</v>
      </c>
      <c r="BK252" s="482">
        <f t="shared" si="148"/>
        <v>8892</v>
      </c>
      <c r="BL252" s="276"/>
      <c r="BM252" s="36" t="s">
        <v>18</v>
      </c>
      <c r="BN252" s="4">
        <f t="shared" si="174"/>
        <v>2003</v>
      </c>
      <c r="BO252" s="4">
        <f t="shared" si="175"/>
        <v>8</v>
      </c>
      <c r="BP252" s="108">
        <f>(C252+[4]MWh!$AN86)</f>
        <v>247773.63550625255</v>
      </c>
      <c r="BQ252" s="108">
        <f t="shared" si="197"/>
        <v>12583.729583862496</v>
      </c>
      <c r="BR252" s="108">
        <f t="shared" si="198"/>
        <v>13035.329380713691</v>
      </c>
      <c r="BS252" s="108">
        <f t="shared" si="218"/>
        <v>-1009.1711826387509</v>
      </c>
      <c r="BT252" s="175">
        <f t="shared" si="199"/>
        <v>256665.63550625255</v>
      </c>
      <c r="BU252" s="108">
        <f t="shared" si="222"/>
        <v>-13662.911337155238</v>
      </c>
      <c r="BV252" s="137">
        <f t="shared" si="195"/>
        <v>8892</v>
      </c>
      <c r="BW252" s="444">
        <f>BT252/[9]SPAMWh!$L132</f>
        <v>1.0082241389714994</v>
      </c>
    </row>
    <row r="253" spans="1:75">
      <c r="A253" s="4">
        <f t="shared" si="161"/>
        <v>2003</v>
      </c>
      <c r="B253" s="4">
        <f t="shared" si="162"/>
        <v>9</v>
      </c>
      <c r="C253" s="5">
        <f>'[2]FPC wSEB'!$J350</f>
        <v>300672</v>
      </c>
      <c r="D253" s="5">
        <f>'[2]FPC wSEB'!$AB350</f>
        <v>20059</v>
      </c>
      <c r="E253" s="73">
        <f t="shared" si="223"/>
        <v>14989</v>
      </c>
      <c r="F253" s="540">
        <f t="shared" si="138"/>
        <v>20059</v>
      </c>
      <c r="H253" s="13" t="s">
        <v>18</v>
      </c>
      <c r="I253" s="76">
        <f>'[7]Gov 65 &amp; 70'!$S338</f>
        <v>358.6</v>
      </c>
      <c r="J253" s="76">
        <f t="shared" si="164"/>
        <v>381.2</v>
      </c>
      <c r="K253" s="362">
        <f t="shared" si="219"/>
        <v>22.599999999999966</v>
      </c>
      <c r="L253" s="200" t="s">
        <v>18</v>
      </c>
      <c r="M253" s="76">
        <f>'[7]Gov 65 &amp; 70'!$J338</f>
        <v>0.1</v>
      </c>
      <c r="N253" s="76">
        <f t="shared" si="165"/>
        <v>0</v>
      </c>
      <c r="O253" s="363">
        <f t="shared" si="220"/>
        <v>-0.1</v>
      </c>
      <c r="P253" s="13" t="s">
        <v>18</v>
      </c>
      <c r="Q253" s="77">
        <f t="shared" si="139"/>
        <v>5179.4679999999926</v>
      </c>
      <c r="R253" s="78">
        <f t="shared" si="140"/>
        <v>-4.0579999999999998</v>
      </c>
      <c r="S253" s="479">
        <f t="shared" si="141"/>
        <v>5175</v>
      </c>
      <c r="T253" s="13" t="s">
        <v>18</v>
      </c>
      <c r="U253" s="4">
        <f t="shared" si="166"/>
        <v>2003</v>
      </c>
      <c r="V253" s="4">
        <f t="shared" si="167"/>
        <v>9</v>
      </c>
      <c r="W253" s="153">
        <f t="shared" si="142"/>
        <v>15247.370257739667</v>
      </c>
      <c r="X253" s="153">
        <f t="shared" si="217"/>
        <v>1125.4721071931199</v>
      </c>
      <c r="Z253" s="98">
        <f t="shared" si="143"/>
        <v>305847</v>
      </c>
      <c r="AA253" s="119">
        <f t="shared" si="224"/>
        <v>5175</v>
      </c>
      <c r="AB253" s="512">
        <f>[9]SPAMWh!$L133</f>
        <v>304861</v>
      </c>
      <c r="AC253" s="4">
        <f t="shared" si="168"/>
        <v>2003</v>
      </c>
      <c r="AD253" s="4">
        <f t="shared" si="169"/>
        <v>9</v>
      </c>
      <c r="AE253" s="107">
        <f>RESID!AC253</f>
        <v>32.049999999999997</v>
      </c>
      <c r="AF253" s="40">
        <f t="shared" si="144"/>
        <v>14471.907871778254</v>
      </c>
      <c r="AG253" s="4">
        <f t="shared" si="145"/>
        <v>290292</v>
      </c>
      <c r="AH253" s="4">
        <f t="shared" si="221"/>
        <v>33252</v>
      </c>
      <c r="AY253" s="4">
        <f t="shared" si="170"/>
        <v>2003</v>
      </c>
      <c r="AZ253" s="4">
        <f t="shared" si="171"/>
        <v>9</v>
      </c>
      <c r="BA253" s="4">
        <f>'[8]Gov 65 &amp; 70'!$S338</f>
        <v>305.39999999999998</v>
      </c>
      <c r="BB253" s="4">
        <f t="shared" si="172"/>
        <v>339.3</v>
      </c>
      <c r="BC253" s="82">
        <f t="shared" si="215"/>
        <v>33.900000000000034</v>
      </c>
      <c r="BD253" s="36" t="s">
        <v>18</v>
      </c>
      <c r="BE253" s="4">
        <f>'[8]Gov 65 &amp; 70'!$J338</f>
        <v>0.3</v>
      </c>
      <c r="BF253" s="4">
        <f t="shared" si="173"/>
        <v>0</v>
      </c>
      <c r="BG253" s="83">
        <f t="shared" si="216"/>
        <v>-0.3</v>
      </c>
      <c r="BH253" s="36" t="s">
        <v>18</v>
      </c>
      <c r="BI253" s="273">
        <f t="shared" si="146"/>
        <v>7769.2020000000084</v>
      </c>
      <c r="BJ253" s="270">
        <f t="shared" si="147"/>
        <v>-12.173999999999999</v>
      </c>
      <c r="BK253" s="482">
        <f t="shared" si="148"/>
        <v>7757</v>
      </c>
      <c r="BL253" s="276"/>
      <c r="BM253" s="36" t="s">
        <v>18</v>
      </c>
      <c r="BN253" s="4">
        <f t="shared" si="174"/>
        <v>2003</v>
      </c>
      <c r="BO253" s="4">
        <f t="shared" si="175"/>
        <v>9</v>
      </c>
      <c r="BP253" s="108">
        <f>(C253+[4]MWh!$AN87)</f>
        <v>292687.93102875235</v>
      </c>
      <c r="BQ253" s="108">
        <f t="shared" si="197"/>
        <v>14591.352062852204</v>
      </c>
      <c r="BR253" s="108">
        <f t="shared" si="198"/>
        <v>14978.061270689086</v>
      </c>
      <c r="BS253" s="108">
        <f t="shared" si="218"/>
        <v>1293.9634752443508</v>
      </c>
      <c r="BT253" s="175">
        <f t="shared" si="199"/>
        <v>300444.93102875235</v>
      </c>
      <c r="BU253" s="108">
        <f t="shared" si="222"/>
        <v>36300.791283282626</v>
      </c>
      <c r="BV253" s="137">
        <f t="shared" si="195"/>
        <v>7757</v>
      </c>
      <c r="BW253" s="444">
        <f>BT253/[9]SPAMWh!$L133</f>
        <v>0.98551448374423867</v>
      </c>
    </row>
    <row r="254" spans="1:75">
      <c r="A254" s="4">
        <f t="shared" si="161"/>
        <v>2003</v>
      </c>
      <c r="B254" s="4">
        <f t="shared" si="162"/>
        <v>10</v>
      </c>
      <c r="C254" s="5">
        <f>'[2]FPC wSEB'!$J351</f>
        <v>269503</v>
      </c>
      <c r="D254" s="5">
        <f>'[2]FPC wSEB'!$AB351</f>
        <v>19997</v>
      </c>
      <c r="E254" s="73">
        <f t="shared" si="223"/>
        <v>13477</v>
      </c>
      <c r="F254" s="540">
        <f t="shared" si="138"/>
        <v>19997</v>
      </c>
      <c r="H254" s="13" t="s">
        <v>18</v>
      </c>
      <c r="I254" s="76">
        <f>'[7]Gov 65 &amp; 70'!$S339</f>
        <v>253.1</v>
      </c>
      <c r="J254" s="76">
        <f t="shared" si="164"/>
        <v>287.8</v>
      </c>
      <c r="K254" s="362">
        <f t="shared" si="219"/>
        <v>34.700000000000017</v>
      </c>
      <c r="L254" s="200" t="s">
        <v>18</v>
      </c>
      <c r="M254" s="76">
        <f>'[7]Gov 65 &amp; 70'!$J339</f>
        <v>2</v>
      </c>
      <c r="N254" s="76">
        <f t="shared" si="165"/>
        <v>2.5</v>
      </c>
      <c r="O254" s="363">
        <f t="shared" si="220"/>
        <v>0.5</v>
      </c>
      <c r="P254" s="13" t="s">
        <v>18</v>
      </c>
      <c r="Q254" s="77">
        <f t="shared" si="139"/>
        <v>7952.5460000000039</v>
      </c>
      <c r="R254" s="78">
        <f t="shared" si="140"/>
        <v>20.29</v>
      </c>
      <c r="S254" s="479">
        <f t="shared" si="141"/>
        <v>7973</v>
      </c>
      <c r="T254" s="13" t="s">
        <v>18</v>
      </c>
      <c r="U254" s="4">
        <f t="shared" si="166"/>
        <v>2003</v>
      </c>
      <c r="V254" s="4">
        <f t="shared" si="167"/>
        <v>10</v>
      </c>
      <c r="W254" s="153">
        <f t="shared" si="142"/>
        <v>13875.88138220733</v>
      </c>
      <c r="X254" s="153">
        <f t="shared" si="217"/>
        <v>460.48280246468494</v>
      </c>
      <c r="Z254" s="98">
        <f t="shared" si="143"/>
        <v>277476</v>
      </c>
      <c r="AA254" s="119">
        <f t="shared" si="224"/>
        <v>7973</v>
      </c>
      <c r="AB254" s="512">
        <f>[9]SPAMWh!$L134</f>
        <v>277151</v>
      </c>
      <c r="AC254" s="4">
        <f t="shared" si="168"/>
        <v>2003</v>
      </c>
      <c r="AD254" s="4">
        <f t="shared" si="169"/>
        <v>10</v>
      </c>
      <c r="AE254" s="107">
        <f>RESID!AC254</f>
        <v>29.55</v>
      </c>
      <c r="AF254" s="40">
        <f t="shared" si="144"/>
        <v>14284.392658898834</v>
      </c>
      <c r="AG254" s="4">
        <f t="shared" si="145"/>
        <v>285645</v>
      </c>
      <c r="AH254" s="4">
        <f t="shared" si="221"/>
        <v>26219</v>
      </c>
      <c r="AY254" s="4">
        <f t="shared" si="170"/>
        <v>2003</v>
      </c>
      <c r="AZ254" s="4">
        <f t="shared" si="171"/>
        <v>10</v>
      </c>
      <c r="BA254" s="4">
        <f>'[8]Gov 65 &amp; 70'!$S339</f>
        <v>194.5</v>
      </c>
      <c r="BB254" s="4">
        <f t="shared" si="172"/>
        <v>200.4</v>
      </c>
      <c r="BC254" s="82">
        <f t="shared" ref="BC254:BC259" si="225">BB254-BA254</f>
        <v>5.9000000000000057</v>
      </c>
      <c r="BD254" s="36" t="s">
        <v>18</v>
      </c>
      <c r="BE254" s="4">
        <f>'[8]Gov 65 &amp; 70'!$J339</f>
        <v>6.9</v>
      </c>
      <c r="BF254" s="4">
        <f t="shared" si="173"/>
        <v>15</v>
      </c>
      <c r="BG254" s="83">
        <f t="shared" ref="BG254:BG259" si="226">BF254-BE254</f>
        <v>8.1</v>
      </c>
      <c r="BH254" s="36" t="s">
        <v>18</v>
      </c>
      <c r="BI254" s="273">
        <f t="shared" si="146"/>
        <v>1352.1620000000014</v>
      </c>
      <c r="BJ254" s="270">
        <f t="shared" si="147"/>
        <v>328.69799999999998</v>
      </c>
      <c r="BK254" s="482">
        <f t="shared" si="148"/>
        <v>1681</v>
      </c>
      <c r="BL254" s="276"/>
      <c r="BM254" s="36" t="s">
        <v>18</v>
      </c>
      <c r="BN254" s="4">
        <f t="shared" si="174"/>
        <v>2003</v>
      </c>
      <c r="BO254" s="4">
        <f t="shared" si="175"/>
        <v>10</v>
      </c>
      <c r="BP254" s="108">
        <f>(C254+[4]MWh!$AN88)</f>
        <v>280393.57875580527</v>
      </c>
      <c r="BQ254" s="108">
        <f t="shared" si="197"/>
        <v>14021.782205121031</v>
      </c>
      <c r="BR254" s="108">
        <f t="shared" si="198"/>
        <v>14105.84481451244</v>
      </c>
      <c r="BS254" s="108">
        <f t="shared" si="218"/>
        <v>412.57320373611037</v>
      </c>
      <c r="BT254" s="175">
        <f t="shared" si="199"/>
        <v>282074.57875580527</v>
      </c>
      <c r="BU254" s="108">
        <f t="shared" si="222"/>
        <v>25613.294757575379</v>
      </c>
      <c r="BV254" s="137">
        <f t="shared" si="195"/>
        <v>1681</v>
      </c>
      <c r="BW254" s="444">
        <f>BT254/[9]SPAMWh!$L134</f>
        <v>1.0177649683955867</v>
      </c>
    </row>
    <row r="255" spans="1:75">
      <c r="A255" s="4">
        <f t="shared" si="161"/>
        <v>2003</v>
      </c>
      <c r="B255" s="4">
        <f t="shared" si="162"/>
        <v>11</v>
      </c>
      <c r="C255" s="5">
        <f>'[2]FPC wSEB'!$J352</f>
        <v>256936</v>
      </c>
      <c r="D255" s="5">
        <f>'[2]FPC wSEB'!$AB352</f>
        <v>20056</v>
      </c>
      <c r="E255" s="73">
        <f t="shared" si="223"/>
        <v>12811</v>
      </c>
      <c r="F255" s="540">
        <f t="shared" si="138"/>
        <v>20056</v>
      </c>
      <c r="H255" s="13" t="s">
        <v>18</v>
      </c>
      <c r="I255" s="76">
        <f>'[7]Gov 65 &amp; 70'!$S340</f>
        <v>169.8</v>
      </c>
      <c r="J255" s="76">
        <f t="shared" si="164"/>
        <v>140.19999999999999</v>
      </c>
      <c r="K255" s="362">
        <f t="shared" si="219"/>
        <v>-29.600000000000023</v>
      </c>
      <c r="L255" s="200" t="s">
        <v>18</v>
      </c>
      <c r="M255" s="76">
        <f>'[7]Gov 65 &amp; 70'!$J340</f>
        <v>12.9</v>
      </c>
      <c r="N255" s="76">
        <f t="shared" si="165"/>
        <v>38.6</v>
      </c>
      <c r="O255" s="363">
        <f t="shared" si="220"/>
        <v>25.700000000000003</v>
      </c>
      <c r="P255" s="13" t="s">
        <v>18</v>
      </c>
      <c r="Q255" s="77">
        <f t="shared" si="139"/>
        <v>-6783.7280000000055</v>
      </c>
      <c r="R255" s="78">
        <f t="shared" si="140"/>
        <v>1042.9060000000002</v>
      </c>
      <c r="S255" s="479">
        <f t="shared" si="141"/>
        <v>-5741</v>
      </c>
      <c r="T255" s="13" t="s">
        <v>18</v>
      </c>
      <c r="U255" s="4">
        <f t="shared" si="166"/>
        <v>2003</v>
      </c>
      <c r="V255" s="4">
        <f t="shared" si="167"/>
        <v>11</v>
      </c>
      <c r="W255" s="153">
        <f t="shared" si="142"/>
        <v>12524.680893498205</v>
      </c>
      <c r="X255" s="153">
        <f t="shared" si="217"/>
        <v>109.152851274559</v>
      </c>
      <c r="Z255" s="98">
        <f t="shared" si="143"/>
        <v>251195</v>
      </c>
      <c r="AA255" s="119">
        <f t="shared" si="224"/>
        <v>-5741</v>
      </c>
      <c r="AB255" s="512">
        <f>[9]SPAMWh!$L135</f>
        <v>251510</v>
      </c>
      <c r="AC255" s="4">
        <f t="shared" si="168"/>
        <v>2003</v>
      </c>
      <c r="AD255" s="4">
        <f t="shared" si="169"/>
        <v>11</v>
      </c>
      <c r="AE255" s="107">
        <f>RESID!AC255</f>
        <v>30.15</v>
      </c>
      <c r="AF255" s="40">
        <f t="shared" si="144"/>
        <v>12636.866773035499</v>
      </c>
      <c r="AG255" s="4">
        <f t="shared" si="145"/>
        <v>253445</v>
      </c>
      <c r="AH255" s="4">
        <f t="shared" si="221"/>
        <v>-505</v>
      </c>
      <c r="AY255" s="4">
        <f t="shared" si="170"/>
        <v>2003</v>
      </c>
      <c r="AZ255" s="4">
        <f t="shared" si="171"/>
        <v>11</v>
      </c>
      <c r="BA255" s="4">
        <f>'[8]Gov 65 &amp; 70'!$S340</f>
        <v>113.5</v>
      </c>
      <c r="BB255" s="4">
        <f t="shared" si="172"/>
        <v>66.3</v>
      </c>
      <c r="BC255" s="82">
        <f t="shared" si="225"/>
        <v>-47.2</v>
      </c>
      <c r="BD255" s="36" t="s">
        <v>18</v>
      </c>
      <c r="BE255" s="4">
        <f>'[8]Gov 65 &amp; 70'!$J340</f>
        <v>52.4</v>
      </c>
      <c r="BF255" s="4">
        <f t="shared" si="173"/>
        <v>69.900000000000006</v>
      </c>
      <c r="BG255" s="83">
        <f t="shared" si="226"/>
        <v>17.500000000000007</v>
      </c>
      <c r="BH255" s="36" t="s">
        <v>18</v>
      </c>
      <c r="BI255" s="273">
        <f t="shared" si="146"/>
        <v>-10817.296</v>
      </c>
      <c r="BJ255" s="270">
        <f t="shared" si="147"/>
        <v>710.1500000000002</v>
      </c>
      <c r="BK255" s="482">
        <f t="shared" si="148"/>
        <v>-10107</v>
      </c>
      <c r="BL255" s="276"/>
      <c r="BM255" s="36" t="s">
        <v>18</v>
      </c>
      <c r="BN255" s="4">
        <f t="shared" si="174"/>
        <v>2003</v>
      </c>
      <c r="BO255" s="4">
        <f t="shared" si="175"/>
        <v>11</v>
      </c>
      <c r="BP255" s="108">
        <f>(C255+[4]MWh!$AN89)</f>
        <v>226731.23809267936</v>
      </c>
      <c r="BQ255" s="108">
        <f t="shared" si="197"/>
        <v>11304.908161780981</v>
      </c>
      <c r="BR255" s="108">
        <f t="shared" si="198"/>
        <v>10800.96919089945</v>
      </c>
      <c r="BS255" s="108">
        <f t="shared" si="218"/>
        <v>-320.64671713786629</v>
      </c>
      <c r="BT255" s="175">
        <f t="shared" si="199"/>
        <v>216624.23809267936</v>
      </c>
      <c r="BU255" s="108">
        <f t="shared" si="222"/>
        <v>-8844.2812109611696</v>
      </c>
      <c r="BV255" s="137">
        <f t="shared" si="195"/>
        <v>-10107</v>
      </c>
      <c r="BW255" s="444">
        <f>BT255/[9]SPAMWh!$L135</f>
        <v>0.86129473218830011</v>
      </c>
    </row>
    <row r="256" spans="1:75" s="89" customFormat="1">
      <c r="A256" s="89">
        <f t="shared" si="161"/>
        <v>2003</v>
      </c>
      <c r="B256" s="89">
        <f t="shared" si="162"/>
        <v>12</v>
      </c>
      <c r="C256" s="103">
        <f>'[2]FPC wSEB'!$J353</f>
        <v>237135</v>
      </c>
      <c r="D256" s="103">
        <f>'[2]FPC wSEB'!$AB353</f>
        <v>20239</v>
      </c>
      <c r="E256" s="104">
        <f t="shared" si="223"/>
        <v>11717</v>
      </c>
      <c r="F256" s="586">
        <f t="shared" si="138"/>
        <v>20239</v>
      </c>
      <c r="H256" s="90" t="s">
        <v>18</v>
      </c>
      <c r="I256" s="92">
        <f>'[7]Gov 65 &amp; 70'!$S341</f>
        <v>54.2</v>
      </c>
      <c r="J256" s="92">
        <f t="shared" si="164"/>
        <v>50.8</v>
      </c>
      <c r="K256" s="364">
        <f t="shared" si="219"/>
        <v>-3.4000000000000057</v>
      </c>
      <c r="L256" s="210" t="s">
        <v>18</v>
      </c>
      <c r="M256" s="92">
        <f>'[7]Gov 65 &amp; 70'!$J341</f>
        <v>146.6</v>
      </c>
      <c r="N256" s="92">
        <f t="shared" si="165"/>
        <v>121.8</v>
      </c>
      <c r="O256" s="365">
        <f t="shared" si="220"/>
        <v>-24.799999999999997</v>
      </c>
      <c r="P256" s="90" t="s">
        <v>18</v>
      </c>
      <c r="Q256" s="114">
        <f t="shared" si="139"/>
        <v>-779.21200000000135</v>
      </c>
      <c r="R256" s="95">
        <f t="shared" si="140"/>
        <v>-1006.3839999999998</v>
      </c>
      <c r="S256" s="480">
        <f t="shared" si="141"/>
        <v>-1786</v>
      </c>
      <c r="T256" s="90" t="s">
        <v>18</v>
      </c>
      <c r="U256" s="89">
        <f t="shared" si="166"/>
        <v>2003</v>
      </c>
      <c r="V256" s="89">
        <f t="shared" si="167"/>
        <v>12</v>
      </c>
      <c r="W256" s="154">
        <f t="shared" si="142"/>
        <v>11628.489549878946</v>
      </c>
      <c r="X256" s="154">
        <f t="shared" ref="X256:X261" si="227">W256-W244</f>
        <v>-295.60164575038652</v>
      </c>
      <c r="Z256" s="155">
        <f t="shared" si="143"/>
        <v>235349</v>
      </c>
      <c r="AA256" s="156">
        <f t="shared" si="224"/>
        <v>-1786</v>
      </c>
      <c r="AB256" s="522">
        <f>[9]SPAMWh!$L136</f>
        <v>235532</v>
      </c>
      <c r="AC256" s="89">
        <f t="shared" si="168"/>
        <v>2003</v>
      </c>
      <c r="AD256" s="89">
        <f t="shared" si="169"/>
        <v>12</v>
      </c>
      <c r="AE256" s="110">
        <f>RESID!AC256</f>
        <v>31.95</v>
      </c>
      <c r="AF256" s="116">
        <f t="shared" si="144"/>
        <v>11071.643855921735</v>
      </c>
      <c r="AG256" s="89">
        <f t="shared" si="145"/>
        <v>224079</v>
      </c>
      <c r="AH256" s="89">
        <f t="shared" si="221"/>
        <v>8362</v>
      </c>
      <c r="AY256" s="89">
        <f t="shared" si="170"/>
        <v>2003</v>
      </c>
      <c r="AZ256" s="89">
        <f t="shared" si="171"/>
        <v>12</v>
      </c>
      <c r="BA256" s="89">
        <f>'[8]Gov 65 &amp; 70'!$S341</f>
        <v>9.8000000000000007</v>
      </c>
      <c r="BB256" s="89">
        <f t="shared" si="172"/>
        <v>28.2</v>
      </c>
      <c r="BC256" s="111">
        <f t="shared" si="225"/>
        <v>18.399999999999999</v>
      </c>
      <c r="BD256" s="113" t="s">
        <v>18</v>
      </c>
      <c r="BE256" s="89">
        <f>'[8]Gov 65 &amp; 70'!$J341</f>
        <v>230.7</v>
      </c>
      <c r="BF256" s="89">
        <f t="shared" si="173"/>
        <v>170</v>
      </c>
      <c r="BG256" s="112">
        <f t="shared" si="226"/>
        <v>-60.699999999999989</v>
      </c>
      <c r="BH256" s="113" t="s">
        <v>18</v>
      </c>
      <c r="BI256" s="274">
        <f t="shared" si="146"/>
        <v>4216.9119999999994</v>
      </c>
      <c r="BJ256" s="275">
        <f t="shared" si="147"/>
        <v>-2463.2059999999992</v>
      </c>
      <c r="BK256" s="483">
        <f t="shared" si="148"/>
        <v>1754</v>
      </c>
      <c r="BL256" s="277"/>
      <c r="BM256" s="113" t="s">
        <v>18</v>
      </c>
      <c r="BN256" s="89">
        <f t="shared" si="174"/>
        <v>2003</v>
      </c>
      <c r="BO256" s="89">
        <f t="shared" si="175"/>
        <v>12</v>
      </c>
      <c r="BP256" s="117">
        <f>(C256+[4]MWh!$AN90)</f>
        <v>249938.69902143441</v>
      </c>
      <c r="BQ256" s="117">
        <f t="shared" si="197"/>
        <v>12349.360097901794</v>
      </c>
      <c r="BR256" s="117">
        <f t="shared" si="198"/>
        <v>12436.02445878919</v>
      </c>
      <c r="BS256" s="117">
        <f t="shared" si="218"/>
        <v>1188.8361827477765</v>
      </c>
      <c r="BT256" s="176">
        <f t="shared" si="199"/>
        <v>251692.69902143441</v>
      </c>
      <c r="BU256" s="117">
        <f t="shared" si="222"/>
        <v>37591.222998710058</v>
      </c>
      <c r="BV256" s="139">
        <f t="shared" si="195"/>
        <v>1754</v>
      </c>
      <c r="BW256" s="533">
        <f>BT256/[9]SPAMWh!$L136</f>
        <v>1.0686136024889799</v>
      </c>
    </row>
    <row r="257" spans="1:75">
      <c r="A257" s="4">
        <f t="shared" si="161"/>
        <v>2004</v>
      </c>
      <c r="B257" s="4">
        <f t="shared" si="162"/>
        <v>1</v>
      </c>
      <c r="C257" s="5">
        <f>'[2]FPC wSEB'!$J354</f>
        <v>222903</v>
      </c>
      <c r="D257" s="5">
        <f>'[2]FPC wSEB'!$AB354</f>
        <v>20240</v>
      </c>
      <c r="E257" s="73">
        <f t="shared" si="223"/>
        <v>11013</v>
      </c>
      <c r="F257" s="540">
        <f t="shared" si="138"/>
        <v>20240</v>
      </c>
      <c r="H257" s="13" t="s">
        <v>18</v>
      </c>
      <c r="I257" s="76">
        <f>'[7]Gov 65 &amp; 70'!$S342</f>
        <v>16.2</v>
      </c>
      <c r="J257" s="76">
        <f t="shared" si="164"/>
        <v>28.7</v>
      </c>
      <c r="K257" s="362">
        <f t="shared" ref="K257:K262" si="228">(J257-I257)</f>
        <v>12.5</v>
      </c>
      <c r="L257" s="200" t="s">
        <v>18</v>
      </c>
      <c r="M257" s="76">
        <f>'[7]Gov 65 &amp; 70'!$J342</f>
        <v>225.8</v>
      </c>
      <c r="N257" s="76">
        <f t="shared" si="165"/>
        <v>192.9</v>
      </c>
      <c r="O257" s="363">
        <f t="shared" ref="O257:O262" si="229">(N257-M257)</f>
        <v>-32.900000000000006</v>
      </c>
      <c r="P257" s="13" t="s">
        <v>18</v>
      </c>
      <c r="Q257" s="77">
        <f t="shared" si="139"/>
        <v>2864.75</v>
      </c>
      <c r="R257" s="78">
        <f t="shared" si="140"/>
        <v>-1335.0820000000001</v>
      </c>
      <c r="S257" s="479">
        <f t="shared" si="141"/>
        <v>1530</v>
      </c>
      <c r="T257" s="13" t="s">
        <v>18</v>
      </c>
      <c r="U257" s="4">
        <f t="shared" si="166"/>
        <v>2004</v>
      </c>
      <c r="V257" s="4">
        <f t="shared" si="167"/>
        <v>1</v>
      </c>
      <c r="W257" s="153">
        <f t="shared" si="142"/>
        <v>11088.58695652174</v>
      </c>
      <c r="X257" s="153">
        <f t="shared" si="227"/>
        <v>-14.665495724000721</v>
      </c>
      <c r="Z257" s="98">
        <f t="shared" si="143"/>
        <v>224433</v>
      </c>
      <c r="AA257" s="119">
        <f t="shared" si="224"/>
        <v>1530</v>
      </c>
      <c r="AB257" s="512">
        <f>[9]SPAMWh!$L137</f>
        <v>224706</v>
      </c>
      <c r="AC257" s="4">
        <f t="shared" si="168"/>
        <v>2004</v>
      </c>
      <c r="AD257" s="4">
        <f t="shared" si="169"/>
        <v>1</v>
      </c>
      <c r="AE257" s="107">
        <f>RESID!AC257</f>
        <v>31.65</v>
      </c>
      <c r="AF257" s="40">
        <f t="shared" si="144"/>
        <v>10657.6581027668</v>
      </c>
      <c r="AG257" s="4">
        <f t="shared" si="145"/>
        <v>215711</v>
      </c>
      <c r="AH257" s="4">
        <f t="shared" ref="AH257:AH262" si="230">Z257-Z245</f>
        <v>9363</v>
      </c>
      <c r="AY257" s="4">
        <f t="shared" si="170"/>
        <v>2004</v>
      </c>
      <c r="AZ257" s="4">
        <f t="shared" si="171"/>
        <v>1</v>
      </c>
      <c r="BA257" s="4">
        <f>'[8]Gov 65 &amp; 70'!$S342</f>
        <v>14.5</v>
      </c>
      <c r="BB257" s="4">
        <f t="shared" si="172"/>
        <v>23.9</v>
      </c>
      <c r="BC257" s="82">
        <f t="shared" si="225"/>
        <v>9.3999999999999986</v>
      </c>
      <c r="BD257" s="36" t="s">
        <v>18</v>
      </c>
      <c r="BE257" s="4">
        <f>'[8]Gov 65 &amp; 70'!$J342</f>
        <v>234.8</v>
      </c>
      <c r="BF257" s="4">
        <f t="shared" si="173"/>
        <v>176.9</v>
      </c>
      <c r="BG257" s="83">
        <f t="shared" si="226"/>
        <v>-57.900000000000006</v>
      </c>
      <c r="BH257" s="36" t="s">
        <v>18</v>
      </c>
      <c r="BI257" s="273">
        <f t="shared" si="146"/>
        <v>2154.2919999999999</v>
      </c>
      <c r="BJ257" s="270">
        <f t="shared" si="147"/>
        <v>-2349.5820000000003</v>
      </c>
      <c r="BK257" s="482">
        <f t="shared" si="148"/>
        <v>-195</v>
      </c>
      <c r="BL257" s="276"/>
      <c r="BM257" s="36" t="s">
        <v>18</v>
      </c>
      <c r="BN257" s="4">
        <f t="shared" si="174"/>
        <v>2004</v>
      </c>
      <c r="BO257" s="4">
        <f t="shared" si="175"/>
        <v>1</v>
      </c>
      <c r="BP257" s="108">
        <f>(C257+[4]MWh!$AN91)</f>
        <v>197860.87735927606</v>
      </c>
      <c r="BQ257" s="108">
        <f t="shared" si="197"/>
        <v>9775.735047395061</v>
      </c>
      <c r="BR257" s="108">
        <f t="shared" si="198"/>
        <v>9766.1006600432829</v>
      </c>
      <c r="BS257" s="108">
        <f t="shared" si="218"/>
        <v>-1337.6842203506712</v>
      </c>
      <c r="BT257" s="175">
        <f t="shared" si="199"/>
        <v>197665.87735927606</v>
      </c>
      <c r="BU257" s="108">
        <f t="shared" ref="BU257:BU262" si="231">BT257-BT245</f>
        <v>-17414.435773954843</v>
      </c>
      <c r="BV257" s="108">
        <f t="shared" si="195"/>
        <v>-195</v>
      </c>
      <c r="BW257" s="444">
        <f>BT257/[9]SPAMWh!$L137</f>
        <v>0.87966443868555377</v>
      </c>
    </row>
    <row r="258" spans="1:75">
      <c r="A258" s="4">
        <f t="shared" si="161"/>
        <v>2004</v>
      </c>
      <c r="B258" s="4">
        <f t="shared" si="162"/>
        <v>2</v>
      </c>
      <c r="C258" s="5">
        <f>'[2]FPC wSEB'!$J355</f>
        <v>218718</v>
      </c>
      <c r="D258" s="5">
        <f>'[2]FPC wSEB'!$AB355</f>
        <v>19778</v>
      </c>
      <c r="E258" s="73">
        <f t="shared" ref="E258:E263" si="232">ROUND(C258/D258*1000,0)</f>
        <v>11059</v>
      </c>
      <c r="F258" s="540">
        <f t="shared" si="138"/>
        <v>19778</v>
      </c>
      <c r="H258" s="13" t="s">
        <v>18</v>
      </c>
      <c r="I258" s="76">
        <f>'[7]Gov 65 &amp; 70'!$S343</f>
        <v>15.2</v>
      </c>
      <c r="J258" s="76">
        <f t="shared" si="164"/>
        <v>22.6</v>
      </c>
      <c r="K258" s="362">
        <f t="shared" si="228"/>
        <v>7.4000000000000021</v>
      </c>
      <c r="L258" s="200" t="s">
        <v>18</v>
      </c>
      <c r="M258" s="76">
        <f>'[7]Gov 65 &amp; 70'!$J343</f>
        <v>200.9</v>
      </c>
      <c r="N258" s="76">
        <f t="shared" si="165"/>
        <v>177.2</v>
      </c>
      <c r="O258" s="363">
        <f t="shared" si="229"/>
        <v>-23.700000000000017</v>
      </c>
      <c r="P258" s="13" t="s">
        <v>18</v>
      </c>
      <c r="Q258" s="77">
        <f t="shared" si="139"/>
        <v>1695.9320000000005</v>
      </c>
      <c r="R258" s="78">
        <f t="shared" si="140"/>
        <v>-961.74600000000066</v>
      </c>
      <c r="S258" s="479">
        <f t="shared" si="141"/>
        <v>734</v>
      </c>
      <c r="T258" s="13" t="s">
        <v>18</v>
      </c>
      <c r="U258" s="4">
        <f t="shared" si="166"/>
        <v>2004</v>
      </c>
      <c r="V258" s="4">
        <f t="shared" si="167"/>
        <v>2</v>
      </c>
      <c r="W258" s="153">
        <f t="shared" si="142"/>
        <v>11095.762968955405</v>
      </c>
      <c r="X258" s="153">
        <f t="shared" si="227"/>
        <v>-3.780831341893645</v>
      </c>
      <c r="Z258" s="98">
        <f t="shared" si="143"/>
        <v>219452</v>
      </c>
      <c r="AA258" s="119">
        <f t="shared" ref="AA258:AA263" si="233">Z258-C258</f>
        <v>734</v>
      </c>
      <c r="AB258" s="512">
        <f>[9]SPAMWh!$L138</f>
        <v>222093</v>
      </c>
      <c r="AC258" s="4">
        <f t="shared" si="168"/>
        <v>2004</v>
      </c>
      <c r="AD258" s="4">
        <f t="shared" si="169"/>
        <v>2</v>
      </c>
      <c r="AE258" s="107">
        <f>RESID!AC258</f>
        <v>29.45</v>
      </c>
      <c r="AF258" s="40">
        <f t="shared" si="144"/>
        <v>11461.219536859136</v>
      </c>
      <c r="AG258" s="4">
        <f t="shared" si="145"/>
        <v>226680</v>
      </c>
      <c r="AH258" s="4">
        <f t="shared" si="230"/>
        <v>2911</v>
      </c>
      <c r="AY258" s="4">
        <f t="shared" si="170"/>
        <v>2004</v>
      </c>
      <c r="AZ258" s="4">
        <f t="shared" si="171"/>
        <v>2</v>
      </c>
      <c r="BA258" s="4">
        <f>'[8]Gov 65 &amp; 70'!$S343</f>
        <v>22.7</v>
      </c>
      <c r="BB258" s="4">
        <f t="shared" si="172"/>
        <v>32.799999999999997</v>
      </c>
      <c r="BC258" s="82">
        <f t="shared" si="225"/>
        <v>10.099999999999998</v>
      </c>
      <c r="BD258" s="36" t="s">
        <v>18</v>
      </c>
      <c r="BE258" s="4">
        <f>'[8]Gov 65 &amp; 70'!$J343</f>
        <v>158.69999999999999</v>
      </c>
      <c r="BF258" s="4">
        <f t="shared" si="173"/>
        <v>139.1</v>
      </c>
      <c r="BG258" s="83">
        <f t="shared" si="226"/>
        <v>-19.599999999999994</v>
      </c>
      <c r="BH258" s="36" t="s">
        <v>18</v>
      </c>
      <c r="BI258" s="273">
        <f t="shared" si="146"/>
        <v>2314.7179999999994</v>
      </c>
      <c r="BJ258" s="270">
        <f t="shared" si="147"/>
        <v>-795.36799999999971</v>
      </c>
      <c r="BK258" s="482">
        <f t="shared" si="148"/>
        <v>1519</v>
      </c>
      <c r="BL258" s="276"/>
      <c r="BM258" s="36" t="s">
        <v>18</v>
      </c>
      <c r="BN258" s="4">
        <f t="shared" si="174"/>
        <v>2004</v>
      </c>
      <c r="BO258" s="4">
        <f t="shared" si="175"/>
        <v>2</v>
      </c>
      <c r="BP258" s="108">
        <f>(C258+[4]MWh!$AN92)</f>
        <v>226851.32238761417</v>
      </c>
      <c r="BQ258" s="108">
        <f t="shared" si="197"/>
        <v>11469.881807443329</v>
      </c>
      <c r="BR258" s="108">
        <f t="shared" si="198"/>
        <v>11546.684315280319</v>
      </c>
      <c r="BS258" s="108">
        <f t="shared" si="218"/>
        <v>1659.8625938280729</v>
      </c>
      <c r="BT258" s="175">
        <f t="shared" si="199"/>
        <v>228370.32238761417</v>
      </c>
      <c r="BU258" s="108">
        <f t="shared" si="231"/>
        <v>35488.317423802277</v>
      </c>
      <c r="BV258" s="108">
        <f t="shared" si="195"/>
        <v>1519</v>
      </c>
      <c r="BW258" s="444">
        <f>BT258/[9]SPAMWh!$L138</f>
        <v>1.0282643864850047</v>
      </c>
    </row>
    <row r="259" spans="1:75">
      <c r="A259" s="4">
        <f t="shared" si="161"/>
        <v>2004</v>
      </c>
      <c r="B259" s="4">
        <f t="shared" si="162"/>
        <v>3</v>
      </c>
      <c r="C259" s="5">
        <f>'[2]FPC wSEB'!$J356</f>
        <v>222934</v>
      </c>
      <c r="D259" s="5">
        <f>'[2]FPC wSEB'!$AB356</f>
        <v>20793</v>
      </c>
      <c r="E259" s="73">
        <f t="shared" si="232"/>
        <v>10722</v>
      </c>
      <c r="F259" s="540">
        <f t="shared" si="138"/>
        <v>20793</v>
      </c>
      <c r="H259" s="13" t="s">
        <v>18</v>
      </c>
      <c r="I259" s="76">
        <f>'[7]Gov 65 &amp; 70'!$S344</f>
        <v>36.5</v>
      </c>
      <c r="J259" s="76">
        <f t="shared" si="164"/>
        <v>44.5</v>
      </c>
      <c r="K259" s="362">
        <f t="shared" si="228"/>
        <v>8</v>
      </c>
      <c r="L259" s="200" t="s">
        <v>18</v>
      </c>
      <c r="M259" s="76">
        <f>'[7]Gov 65 &amp; 70'!$J344</f>
        <v>128.9</v>
      </c>
      <c r="N259" s="76">
        <f t="shared" si="165"/>
        <v>119.5</v>
      </c>
      <c r="O259" s="363">
        <f t="shared" si="229"/>
        <v>-9.4000000000000057</v>
      </c>
      <c r="P259" s="13" t="s">
        <v>18</v>
      </c>
      <c r="Q259" s="77">
        <f t="shared" si="139"/>
        <v>1833.44</v>
      </c>
      <c r="R259" s="78">
        <f t="shared" si="140"/>
        <v>-381.45200000000023</v>
      </c>
      <c r="S259" s="479">
        <f t="shared" si="141"/>
        <v>1452</v>
      </c>
      <c r="T259" s="13" t="s">
        <v>18</v>
      </c>
      <c r="U259" s="4">
        <f t="shared" si="166"/>
        <v>2004</v>
      </c>
      <c r="V259" s="4">
        <f t="shared" si="167"/>
        <v>3</v>
      </c>
      <c r="W259" s="153">
        <f t="shared" si="142"/>
        <v>10791.420189486846</v>
      </c>
      <c r="X259" s="153">
        <f t="shared" si="227"/>
        <v>-329.13203765563958</v>
      </c>
      <c r="Z259" s="98">
        <f t="shared" si="143"/>
        <v>224386</v>
      </c>
      <c r="AA259" s="119">
        <f t="shared" si="233"/>
        <v>1452</v>
      </c>
      <c r="AB259" s="512">
        <f>[9]SPAMWh!$L139</f>
        <v>222969</v>
      </c>
      <c r="AC259" s="4">
        <f t="shared" si="168"/>
        <v>2004</v>
      </c>
      <c r="AD259" s="4">
        <f t="shared" si="169"/>
        <v>3</v>
      </c>
      <c r="AE259" s="107">
        <f>RESID!AC259</f>
        <v>29.35</v>
      </c>
      <c r="AF259" s="40">
        <f t="shared" si="144"/>
        <v>11184.821815033907</v>
      </c>
      <c r="AG259" s="4">
        <f t="shared" si="145"/>
        <v>232566</v>
      </c>
      <c r="AH259" s="4">
        <f t="shared" si="230"/>
        <v>10927</v>
      </c>
      <c r="AY259" s="4">
        <f t="shared" si="170"/>
        <v>2004</v>
      </c>
      <c r="AZ259" s="4">
        <f t="shared" si="171"/>
        <v>3</v>
      </c>
      <c r="BA259" s="4">
        <f>'[8]Gov 65 &amp; 70'!$S344</f>
        <v>56.7</v>
      </c>
      <c r="BB259" s="4">
        <f t="shared" si="172"/>
        <v>64.099999999999994</v>
      </c>
      <c r="BC259" s="82">
        <f t="shared" si="225"/>
        <v>7.3999999999999915</v>
      </c>
      <c r="BD259" s="36" t="s">
        <v>18</v>
      </c>
      <c r="BE259" s="4">
        <f>'[8]Gov 65 &amp; 70'!$J344</f>
        <v>72.599999999999994</v>
      </c>
      <c r="BF259" s="4">
        <f t="shared" si="173"/>
        <v>85.4</v>
      </c>
      <c r="BG259" s="83">
        <f t="shared" si="226"/>
        <v>12.800000000000011</v>
      </c>
      <c r="BH259" s="36" t="s">
        <v>18</v>
      </c>
      <c r="BI259" s="273">
        <f t="shared" si="146"/>
        <v>1695.9319999999982</v>
      </c>
      <c r="BJ259" s="270">
        <f t="shared" si="147"/>
        <v>519.42400000000043</v>
      </c>
      <c r="BK259" s="482">
        <f t="shared" si="148"/>
        <v>2215</v>
      </c>
      <c r="BL259" s="276"/>
      <c r="BM259" s="36" t="s">
        <v>18</v>
      </c>
      <c r="BN259" s="4">
        <f t="shared" si="174"/>
        <v>2004</v>
      </c>
      <c r="BO259" s="4">
        <f t="shared" si="175"/>
        <v>3</v>
      </c>
      <c r="BP259" s="108">
        <f>(C259+[4]MWh!$AN93)</f>
        <v>224368.47737855575</v>
      </c>
      <c r="BQ259" s="108">
        <f t="shared" si="197"/>
        <v>10790.57747215677</v>
      </c>
      <c r="BR259" s="108">
        <f t="shared" si="198"/>
        <v>10897.103706947326</v>
      </c>
      <c r="BS259" s="108">
        <f t="shared" si="218"/>
        <v>-1790.0030220090903</v>
      </c>
      <c r="BT259" s="175">
        <f t="shared" si="199"/>
        <v>226583.47737855575</v>
      </c>
      <c r="BU259" s="108">
        <f t="shared" si="231"/>
        <v>-16945.53628376266</v>
      </c>
      <c r="BV259" s="108">
        <f t="shared" si="195"/>
        <v>2215</v>
      </c>
      <c r="BW259" s="444">
        <f>BT259/[9]SPAMWh!$L139</f>
        <v>1.0162106722394402</v>
      </c>
    </row>
    <row r="260" spans="1:75">
      <c r="A260" s="4">
        <f t="shared" si="161"/>
        <v>2004</v>
      </c>
      <c r="B260" s="4">
        <f t="shared" si="162"/>
        <v>4</v>
      </c>
      <c r="C260" s="5">
        <f>'[2]FPC wSEB'!$J357</f>
        <v>235583</v>
      </c>
      <c r="D260" s="5">
        <f>'[2]FPC wSEB'!$AB357</f>
        <v>20321</v>
      </c>
      <c r="E260" s="73">
        <f t="shared" si="232"/>
        <v>11593</v>
      </c>
      <c r="F260" s="540">
        <f t="shared" si="138"/>
        <v>20321</v>
      </c>
      <c r="H260" s="13" t="s">
        <v>18</v>
      </c>
      <c r="I260" s="76">
        <f>'[7]Gov 65 &amp; 70'!$S345</f>
        <v>58.7</v>
      </c>
      <c r="J260" s="76">
        <f t="shared" si="164"/>
        <v>87.7</v>
      </c>
      <c r="K260" s="362">
        <f t="shared" si="228"/>
        <v>29</v>
      </c>
      <c r="L260" s="200" t="s">
        <v>18</v>
      </c>
      <c r="M260" s="76">
        <f>'[7]Gov 65 &amp; 70'!$J345</f>
        <v>69.900000000000006</v>
      </c>
      <c r="N260" s="76">
        <f t="shared" si="165"/>
        <v>60.3</v>
      </c>
      <c r="O260" s="363">
        <f t="shared" si="229"/>
        <v>-9.6000000000000085</v>
      </c>
      <c r="P260" s="13" t="s">
        <v>18</v>
      </c>
      <c r="Q260" s="77">
        <f t="shared" si="139"/>
        <v>6646.22</v>
      </c>
      <c r="R260" s="78">
        <f t="shared" si="140"/>
        <v>-389.56800000000032</v>
      </c>
      <c r="S260" s="479">
        <f t="shared" si="141"/>
        <v>6257</v>
      </c>
      <c r="T260" s="13" t="s">
        <v>18</v>
      </c>
      <c r="U260" s="4">
        <f t="shared" si="166"/>
        <v>2004</v>
      </c>
      <c r="V260" s="4">
        <f t="shared" si="167"/>
        <v>4</v>
      </c>
      <c r="W260" s="153">
        <f t="shared" si="142"/>
        <v>11900.989124550957</v>
      </c>
      <c r="X260" s="153">
        <f t="shared" si="227"/>
        <v>654.23127247395496</v>
      </c>
      <c r="Z260" s="98">
        <f t="shared" si="143"/>
        <v>241840</v>
      </c>
      <c r="AA260" s="119">
        <f t="shared" si="233"/>
        <v>6257</v>
      </c>
      <c r="AB260" s="512">
        <f>[9]SPAMWh!$L140</f>
        <v>241434</v>
      </c>
      <c r="AC260" s="4">
        <f t="shared" si="168"/>
        <v>2004</v>
      </c>
      <c r="AD260" s="4">
        <f t="shared" si="169"/>
        <v>4</v>
      </c>
      <c r="AE260" s="107">
        <f>RESID!AC260</f>
        <v>28.9</v>
      </c>
      <c r="AF260" s="40">
        <f t="shared" si="144"/>
        <v>12526.942571723832</v>
      </c>
      <c r="AG260" s="4">
        <f t="shared" si="145"/>
        <v>254560</v>
      </c>
      <c r="AH260" s="4">
        <f t="shared" si="230"/>
        <v>19829</v>
      </c>
      <c r="AY260" s="4">
        <f t="shared" si="170"/>
        <v>2004</v>
      </c>
      <c r="AZ260" s="4">
        <f t="shared" si="171"/>
        <v>4</v>
      </c>
      <c r="BA260" s="4">
        <f>'[8]Gov 65 &amp; 70'!$S345</f>
        <v>89.1</v>
      </c>
      <c r="BB260" s="4">
        <f t="shared" si="172"/>
        <v>122</v>
      </c>
      <c r="BC260" s="82">
        <f t="shared" ref="BC260:BC265" si="234">BB260-BA260</f>
        <v>32.900000000000006</v>
      </c>
      <c r="BD260" s="36" t="s">
        <v>18</v>
      </c>
      <c r="BE260" s="4">
        <f>'[8]Gov 65 &amp; 70'!$J345</f>
        <v>53.5</v>
      </c>
      <c r="BF260" s="4">
        <f t="shared" si="173"/>
        <v>34.700000000000003</v>
      </c>
      <c r="BG260" s="83">
        <f t="shared" ref="BG260:BG265" si="235">BF260-BE260</f>
        <v>-18.799999999999997</v>
      </c>
      <c r="BH260" s="36" t="s">
        <v>18</v>
      </c>
      <c r="BI260" s="273">
        <f t="shared" si="146"/>
        <v>7540.0220000000018</v>
      </c>
      <c r="BJ260" s="270">
        <f t="shared" si="147"/>
        <v>-762.90399999999988</v>
      </c>
      <c r="BK260" s="482">
        <f t="shared" si="148"/>
        <v>6777</v>
      </c>
      <c r="BL260" s="276"/>
      <c r="BM260" s="36" t="s">
        <v>18</v>
      </c>
      <c r="BN260" s="4">
        <f t="shared" si="174"/>
        <v>2004</v>
      </c>
      <c r="BO260" s="4">
        <f t="shared" si="175"/>
        <v>4</v>
      </c>
      <c r="BP260" s="108">
        <f>(C260+[4]MWh!$AN94)</f>
        <v>251456.64611161035</v>
      </c>
      <c r="BQ260" s="108">
        <f t="shared" si="197"/>
        <v>12374.225978623608</v>
      </c>
      <c r="BR260" s="108">
        <f t="shared" si="198"/>
        <v>12707.723345879156</v>
      </c>
      <c r="BS260" s="108">
        <f t="shared" si="218"/>
        <v>1374.3352204708826</v>
      </c>
      <c r="BT260" s="175">
        <f t="shared" si="199"/>
        <v>258233.64611161035</v>
      </c>
      <c r="BU260" s="108">
        <f t="shared" si="231"/>
        <v>34512.564516051032</v>
      </c>
      <c r="BV260" s="108">
        <f t="shared" si="195"/>
        <v>6777</v>
      </c>
      <c r="BW260" s="444">
        <f>BT260/[9]SPAMWh!$L140</f>
        <v>1.0695827684237114</v>
      </c>
    </row>
    <row r="261" spans="1:75">
      <c r="A261" s="4">
        <f t="shared" si="161"/>
        <v>2004</v>
      </c>
      <c r="B261" s="4">
        <f t="shared" si="162"/>
        <v>5</v>
      </c>
      <c r="C261" s="5">
        <f>'[2]FPC wSEB'!$J358</f>
        <v>249972</v>
      </c>
      <c r="D261" s="5">
        <f>'[2]FPC wSEB'!$AB358</f>
        <v>20604</v>
      </c>
      <c r="E261" s="73">
        <f t="shared" si="232"/>
        <v>12132</v>
      </c>
      <c r="F261" s="540">
        <f t="shared" si="138"/>
        <v>20604</v>
      </c>
      <c r="H261" s="13" t="s">
        <v>18</v>
      </c>
      <c r="I261" s="76">
        <f>'[7]Gov 65 &amp; 70'!$S346</f>
        <v>144.30000000000001</v>
      </c>
      <c r="J261" s="76">
        <f t="shared" si="164"/>
        <v>157.69999999999999</v>
      </c>
      <c r="K261" s="362">
        <f t="shared" si="228"/>
        <v>13.399999999999977</v>
      </c>
      <c r="L261" s="200" t="s">
        <v>18</v>
      </c>
      <c r="M261" s="76">
        <f>'[7]Gov 65 &amp; 70'!$J346</f>
        <v>25.8</v>
      </c>
      <c r="N261" s="76">
        <f t="shared" si="165"/>
        <v>18.600000000000001</v>
      </c>
      <c r="O261" s="363">
        <f t="shared" si="229"/>
        <v>-7.1999999999999993</v>
      </c>
      <c r="P261" s="13" t="s">
        <v>18</v>
      </c>
      <c r="Q261" s="77">
        <f t="shared" si="139"/>
        <v>3071.0119999999947</v>
      </c>
      <c r="R261" s="78">
        <f t="shared" si="140"/>
        <v>-292.17599999999993</v>
      </c>
      <c r="S261" s="479">
        <f t="shared" si="141"/>
        <v>2779</v>
      </c>
      <c r="T261" s="13" t="s">
        <v>18</v>
      </c>
      <c r="U261" s="4">
        <f t="shared" si="166"/>
        <v>2004</v>
      </c>
      <c r="V261" s="4">
        <f t="shared" si="167"/>
        <v>5</v>
      </c>
      <c r="W261" s="153">
        <f t="shared" si="142"/>
        <v>12267.084061347312</v>
      </c>
      <c r="X261" s="153">
        <f t="shared" si="227"/>
        <v>246.76424060988938</v>
      </c>
      <c r="Z261" s="98">
        <f t="shared" si="143"/>
        <v>252751</v>
      </c>
      <c r="AA261" s="119">
        <f t="shared" si="233"/>
        <v>2779</v>
      </c>
      <c r="AB261" s="512">
        <f>[9]SPAMWh!$L141</f>
        <v>251475</v>
      </c>
      <c r="AC261" s="4">
        <f t="shared" si="168"/>
        <v>2004</v>
      </c>
      <c r="AD261" s="4">
        <f t="shared" si="169"/>
        <v>5</v>
      </c>
      <c r="AE261" s="107">
        <f>RESID!AC261</f>
        <v>29.9</v>
      </c>
      <c r="AF261" s="40">
        <f t="shared" si="144"/>
        <v>12480.440691127937</v>
      </c>
      <c r="AG261" s="4">
        <f t="shared" si="145"/>
        <v>257147</v>
      </c>
      <c r="AH261" s="130">
        <f t="shared" si="230"/>
        <v>16720</v>
      </c>
      <c r="AY261" s="4">
        <f t="shared" si="170"/>
        <v>2004</v>
      </c>
      <c r="AZ261" s="4">
        <f t="shared" si="171"/>
        <v>5</v>
      </c>
      <c r="BA261" s="4">
        <f>'[8]Gov 65 &amp; 70'!$S346</f>
        <v>250.5</v>
      </c>
      <c r="BB261" s="4">
        <f t="shared" si="172"/>
        <v>253</v>
      </c>
      <c r="BC261" s="82">
        <f t="shared" si="234"/>
        <v>2.5</v>
      </c>
      <c r="BD261" s="36" t="s">
        <v>18</v>
      </c>
      <c r="BE261" s="4">
        <f>'[8]Gov 65 &amp; 70'!$J346</f>
        <v>4</v>
      </c>
      <c r="BF261" s="4">
        <f t="shared" si="173"/>
        <v>4.3</v>
      </c>
      <c r="BG261" s="83">
        <f t="shared" si="235"/>
        <v>0.29999999999999982</v>
      </c>
      <c r="BH261" s="36" t="s">
        <v>18</v>
      </c>
      <c r="BI261" s="273">
        <f t="shared" si="146"/>
        <v>572.95000000000005</v>
      </c>
      <c r="BJ261" s="270">
        <f t="shared" si="147"/>
        <v>12.173999999999992</v>
      </c>
      <c r="BK261" s="482">
        <f t="shared" si="148"/>
        <v>585</v>
      </c>
      <c r="BL261" s="276"/>
      <c r="BM261" s="36" t="s">
        <v>18</v>
      </c>
      <c r="BN261" s="4">
        <f t="shared" si="174"/>
        <v>2004</v>
      </c>
      <c r="BO261" s="4">
        <f t="shared" si="175"/>
        <v>5</v>
      </c>
      <c r="BP261" s="108">
        <f>(C261+[4]MWh!$AN95)</f>
        <v>276640.26974559983</v>
      </c>
      <c r="BQ261" s="108">
        <f t="shared" si="197"/>
        <v>13426.532214404961</v>
      </c>
      <c r="BR261" s="108">
        <f t="shared" si="198"/>
        <v>13454.924759541829</v>
      </c>
      <c r="BS261" s="108">
        <f t="shared" si="218"/>
        <v>-292.1955965400648</v>
      </c>
      <c r="BT261" s="175">
        <f t="shared" si="199"/>
        <v>277225.26974559983</v>
      </c>
      <c r="BU261" s="108">
        <f t="shared" si="231"/>
        <v>7286.8144335757825</v>
      </c>
      <c r="BV261" s="108">
        <f t="shared" si="195"/>
        <v>585</v>
      </c>
      <c r="BW261" s="444">
        <f>BT261/[9]SPAMWh!$L141</f>
        <v>1.1023969370537821</v>
      </c>
    </row>
    <row r="262" spans="1:75">
      <c r="A262" s="4">
        <f t="shared" si="161"/>
        <v>2004</v>
      </c>
      <c r="B262" s="4">
        <f t="shared" si="162"/>
        <v>6</v>
      </c>
      <c r="C262" s="5">
        <f>'[2]FPC wSEB'!$J359</f>
        <v>258702</v>
      </c>
      <c r="D262" s="5">
        <f>'[2]FPC wSEB'!$AB359</f>
        <v>20375</v>
      </c>
      <c r="E262" s="73">
        <f t="shared" si="232"/>
        <v>12697</v>
      </c>
      <c r="F262" s="540">
        <f t="shared" si="138"/>
        <v>20375</v>
      </c>
      <c r="H262" s="13" t="s">
        <v>18</v>
      </c>
      <c r="I262" s="76">
        <f>'[7]Gov 65 &amp; 70'!$S347</f>
        <v>317.39999999999998</v>
      </c>
      <c r="J262" s="76">
        <f t="shared" si="164"/>
        <v>295.39999999999998</v>
      </c>
      <c r="K262" s="362">
        <f t="shared" si="228"/>
        <v>-22</v>
      </c>
      <c r="L262" s="200" t="s">
        <v>18</v>
      </c>
      <c r="M262" s="76">
        <f>'[7]Gov 65 &amp; 70'!$J347</f>
        <v>1</v>
      </c>
      <c r="N262" s="76">
        <f t="shared" si="165"/>
        <v>2.2000000000000002</v>
      </c>
      <c r="O262" s="363">
        <f t="shared" si="229"/>
        <v>1.2000000000000002</v>
      </c>
      <c r="P262" s="13" t="s">
        <v>18</v>
      </c>
      <c r="Q262" s="77">
        <f t="shared" si="139"/>
        <v>-5041.96</v>
      </c>
      <c r="R262" s="78">
        <f t="shared" si="140"/>
        <v>48.696000000000005</v>
      </c>
      <c r="S262" s="479">
        <f t="shared" si="141"/>
        <v>-4993</v>
      </c>
      <c r="T262" s="13" t="s">
        <v>18</v>
      </c>
      <c r="U262" s="4">
        <f t="shared" si="166"/>
        <v>2004</v>
      </c>
      <c r="V262" s="4">
        <f t="shared" si="167"/>
        <v>6</v>
      </c>
      <c r="W262" s="153">
        <f t="shared" si="142"/>
        <v>12451.9754601227</v>
      </c>
      <c r="X262" s="153">
        <f t="shared" ref="X262:X267" si="236">W262-W250</f>
        <v>-886.86410213210183</v>
      </c>
      <c r="Z262" s="98">
        <f t="shared" si="143"/>
        <v>253709</v>
      </c>
      <c r="AA262" s="119">
        <f t="shared" si="233"/>
        <v>-4993</v>
      </c>
      <c r="AB262" s="512">
        <f>[9]SPAMWh!$L142</f>
        <v>254942</v>
      </c>
      <c r="AC262" s="4">
        <f t="shared" si="168"/>
        <v>2004</v>
      </c>
      <c r="AD262" s="4">
        <f t="shared" si="169"/>
        <v>6</v>
      </c>
      <c r="AE262" s="107">
        <f>RESID!AC262</f>
        <v>30.65</v>
      </c>
      <c r="AF262" s="40">
        <f t="shared" si="144"/>
        <v>12358.527607361964</v>
      </c>
      <c r="AG262" s="4">
        <f t="shared" si="145"/>
        <v>251805</v>
      </c>
      <c r="AH262" s="130">
        <f t="shared" si="230"/>
        <v>-4691</v>
      </c>
      <c r="AY262" s="4">
        <f t="shared" si="170"/>
        <v>2004</v>
      </c>
      <c r="AZ262" s="4">
        <f t="shared" si="171"/>
        <v>6</v>
      </c>
      <c r="BA262" s="4">
        <f>'[8]Gov 65 &amp; 70'!$S347</f>
        <v>377.8</v>
      </c>
      <c r="BB262" s="4">
        <f t="shared" si="172"/>
        <v>336.1</v>
      </c>
      <c r="BC262" s="82">
        <f t="shared" si="234"/>
        <v>-41.699999999999989</v>
      </c>
      <c r="BD262" s="36" t="s">
        <v>18</v>
      </c>
      <c r="BE262" s="4">
        <f>'[8]Gov 65 &amp; 70'!$J347</f>
        <v>0</v>
      </c>
      <c r="BF262" s="4">
        <f t="shared" si="173"/>
        <v>0</v>
      </c>
      <c r="BG262" s="83">
        <f t="shared" si="235"/>
        <v>0</v>
      </c>
      <c r="BH262" s="36" t="s">
        <v>18</v>
      </c>
      <c r="BI262" s="273">
        <f t="shared" si="146"/>
        <v>-9556.8059999999969</v>
      </c>
      <c r="BJ262" s="270">
        <f t="shared" si="147"/>
        <v>0</v>
      </c>
      <c r="BK262" s="482">
        <f t="shared" si="148"/>
        <v>-9557</v>
      </c>
      <c r="BL262" s="276"/>
      <c r="BM262" s="36" t="s">
        <v>18</v>
      </c>
      <c r="BN262" s="4">
        <f t="shared" si="174"/>
        <v>2004</v>
      </c>
      <c r="BO262" s="4">
        <f t="shared" si="175"/>
        <v>6</v>
      </c>
      <c r="BP262" s="108">
        <f>(C262+[4]MWh!$AN96)</f>
        <v>246402.36550105122</v>
      </c>
      <c r="BQ262" s="108">
        <f t="shared" si="197"/>
        <v>12093.367631953433</v>
      </c>
      <c r="BR262" s="108">
        <f t="shared" si="198"/>
        <v>11624.312417229508</v>
      </c>
      <c r="BS262" s="108">
        <f t="shared" si="218"/>
        <v>-1091.831641284818</v>
      </c>
      <c r="BT262" s="175">
        <f t="shared" si="199"/>
        <v>236845.36550105122</v>
      </c>
      <c r="BU262" s="108">
        <f t="shared" si="231"/>
        <v>-9491.7772004883154</v>
      </c>
      <c r="BV262" s="108">
        <f t="shared" si="195"/>
        <v>-9557</v>
      </c>
      <c r="BW262" s="444">
        <f>BT262/[9]SPAMWh!$L142</f>
        <v>0.92901666065635014</v>
      </c>
    </row>
    <row r="263" spans="1:75">
      <c r="A263" s="4">
        <f t="shared" si="161"/>
        <v>2004</v>
      </c>
      <c r="B263" s="4">
        <f t="shared" si="162"/>
        <v>7</v>
      </c>
      <c r="C263" s="5">
        <f>'[2]FPC wSEB'!$J360</f>
        <v>266471</v>
      </c>
      <c r="D263" s="5">
        <f>'[2]FPC wSEB'!$AB360</f>
        <v>20370</v>
      </c>
      <c r="E263" s="73">
        <f t="shared" si="232"/>
        <v>13082</v>
      </c>
      <c r="F263" s="540">
        <f t="shared" si="138"/>
        <v>20370</v>
      </c>
      <c r="H263" s="13" t="s">
        <v>18</v>
      </c>
      <c r="I263" s="76">
        <f>'[7]Gov 65 &amp; 70'!$S348</f>
        <v>394</v>
      </c>
      <c r="J263" s="76">
        <f t="shared" si="164"/>
        <v>363.4</v>
      </c>
      <c r="K263" s="362">
        <f t="shared" ref="K263:K268" si="237">(J263-I263)</f>
        <v>-30.600000000000023</v>
      </c>
      <c r="L263" s="200" t="s">
        <v>18</v>
      </c>
      <c r="M263" s="76">
        <f>'[7]Gov 65 &amp; 70'!$J348</f>
        <v>0</v>
      </c>
      <c r="N263" s="76">
        <f t="shared" si="165"/>
        <v>0</v>
      </c>
      <c r="O263" s="363">
        <f t="shared" ref="O263:O268" si="238">(N263-M263)</f>
        <v>0</v>
      </c>
      <c r="P263" s="13" t="s">
        <v>18</v>
      </c>
      <c r="Q263" s="77">
        <f t="shared" si="139"/>
        <v>-7012.9080000000058</v>
      </c>
      <c r="R263" s="78">
        <f t="shared" si="140"/>
        <v>0</v>
      </c>
      <c r="S263" s="479">
        <f t="shared" si="141"/>
        <v>-7013</v>
      </c>
      <c r="T263" s="13" t="s">
        <v>18</v>
      </c>
      <c r="U263" s="4">
        <f t="shared" si="166"/>
        <v>2004</v>
      </c>
      <c r="V263" s="4">
        <f t="shared" si="167"/>
        <v>7</v>
      </c>
      <c r="W263" s="153">
        <f t="shared" si="142"/>
        <v>12737.260677466862</v>
      </c>
      <c r="X263" s="153">
        <f t="shared" si="236"/>
        <v>-128.54258800380921</v>
      </c>
      <c r="Z263" s="98">
        <f t="shared" si="143"/>
        <v>259458</v>
      </c>
      <c r="AA263" s="119">
        <f t="shared" si="233"/>
        <v>-7013</v>
      </c>
      <c r="AB263" s="512">
        <f>[9]SPAMWh!$L143</f>
        <v>259847</v>
      </c>
      <c r="AC263" s="4">
        <f t="shared" si="168"/>
        <v>2004</v>
      </c>
      <c r="AD263" s="4">
        <f t="shared" si="169"/>
        <v>7</v>
      </c>
      <c r="AE263" s="107">
        <f>RESID!AC263</f>
        <v>30.65</v>
      </c>
      <c r="AF263" s="40">
        <f t="shared" si="144"/>
        <v>12641.678939617084</v>
      </c>
      <c r="AG263" s="4">
        <f t="shared" si="145"/>
        <v>257511</v>
      </c>
      <c r="AH263" s="130">
        <f t="shared" ref="AH263:AH268" si="239">Z263-Z251</f>
        <v>4149</v>
      </c>
      <c r="AY263" s="4">
        <f t="shared" si="170"/>
        <v>2004</v>
      </c>
      <c r="AZ263" s="4">
        <f t="shared" si="171"/>
        <v>7</v>
      </c>
      <c r="BA263" s="4">
        <f>'[8]Gov 65 &amp; 70'!$S348</f>
        <v>389.3</v>
      </c>
      <c r="BB263" s="4">
        <f t="shared" si="172"/>
        <v>391.2</v>
      </c>
      <c r="BC263" s="82">
        <f t="shared" si="234"/>
        <v>1.8999999999999773</v>
      </c>
      <c r="BD263" s="36" t="s">
        <v>18</v>
      </c>
      <c r="BE263" s="4">
        <f>'[8]Gov 65 &amp; 70'!$J348</f>
        <v>0</v>
      </c>
      <c r="BF263" s="4">
        <f t="shared" si="173"/>
        <v>0</v>
      </c>
      <c r="BG263" s="83">
        <f t="shared" si="235"/>
        <v>0</v>
      </c>
      <c r="BH263" s="36" t="s">
        <v>18</v>
      </c>
      <c r="BI263" s="273">
        <f t="shared" si="146"/>
        <v>435.44199999999478</v>
      </c>
      <c r="BJ263" s="270">
        <f t="shared" si="147"/>
        <v>0</v>
      </c>
      <c r="BK263" s="482">
        <f t="shared" si="148"/>
        <v>435</v>
      </c>
      <c r="BL263" s="276"/>
      <c r="BM263" s="36" t="s">
        <v>18</v>
      </c>
      <c r="BN263" s="4">
        <f t="shared" si="174"/>
        <v>2004</v>
      </c>
      <c r="BO263" s="4">
        <f t="shared" si="175"/>
        <v>7</v>
      </c>
      <c r="BP263" s="108">
        <f>(C263+[4]MWh!$AN97)</f>
        <v>266315.43013739283</v>
      </c>
      <c r="BQ263" s="108">
        <f t="shared" si="197"/>
        <v>13073.904277731608</v>
      </c>
      <c r="BR263" s="108">
        <f t="shared" si="198"/>
        <v>13095.259211457675</v>
      </c>
      <c r="BS263" s="108">
        <f t="shared" si="218"/>
        <v>-39.28466941311126</v>
      </c>
      <c r="BT263" s="175">
        <f t="shared" si="199"/>
        <v>266750.43013739283</v>
      </c>
      <c r="BU263" s="108">
        <f t="shared" ref="BU263:BU268" si="240">BT263-BT251</f>
        <v>6108.5413653929718</v>
      </c>
      <c r="BV263" s="108">
        <f t="shared" si="195"/>
        <v>435</v>
      </c>
      <c r="BW263" s="444">
        <f>BT263/[9]SPAMWh!$L143</f>
        <v>1.0265672882018759</v>
      </c>
    </row>
    <row r="264" spans="1:75">
      <c r="A264" s="4">
        <f t="shared" si="161"/>
        <v>2004</v>
      </c>
      <c r="B264" s="4">
        <f t="shared" si="162"/>
        <v>8</v>
      </c>
      <c r="C264" s="5">
        <f>'[2]FPC wSEB'!$J361</f>
        <v>269870</v>
      </c>
      <c r="D264" s="5">
        <f>'[2]FPC wSEB'!$AB361</f>
        <v>20452</v>
      </c>
      <c r="E264" s="73">
        <f t="shared" ref="E264:E269" si="241">ROUND(C264/D264*1000,0)</f>
        <v>13195</v>
      </c>
      <c r="F264" s="540">
        <f t="shared" si="138"/>
        <v>20452</v>
      </c>
      <c r="H264" s="13" t="s">
        <v>18</v>
      </c>
      <c r="I264" s="76">
        <f>'[7]Gov 65 &amp; 70'!$S349</f>
        <v>365.1</v>
      </c>
      <c r="J264" s="76">
        <f t="shared" si="164"/>
        <v>390.1</v>
      </c>
      <c r="K264" s="362">
        <f t="shared" si="237"/>
        <v>25</v>
      </c>
      <c r="L264" s="200" t="s">
        <v>18</v>
      </c>
      <c r="M264" s="76">
        <f>'[7]Gov 65 &amp; 70'!$J349</f>
        <v>0</v>
      </c>
      <c r="N264" s="76">
        <f t="shared" si="165"/>
        <v>0</v>
      </c>
      <c r="O264" s="363">
        <f t="shared" si="238"/>
        <v>0</v>
      </c>
      <c r="P264" s="13" t="s">
        <v>18</v>
      </c>
      <c r="Q264" s="77">
        <f t="shared" si="139"/>
        <v>5729.5</v>
      </c>
      <c r="R264" s="78">
        <f t="shared" si="140"/>
        <v>0</v>
      </c>
      <c r="S264" s="479">
        <f t="shared" si="141"/>
        <v>5730</v>
      </c>
      <c r="T264" s="13" t="s">
        <v>18</v>
      </c>
      <c r="U264" s="511">
        <f t="shared" si="166"/>
        <v>2004</v>
      </c>
      <c r="V264" s="511">
        <f t="shared" si="167"/>
        <v>8</v>
      </c>
      <c r="W264" s="153">
        <f t="shared" si="142"/>
        <v>13884.363387443769</v>
      </c>
      <c r="X264" s="153">
        <f t="shared" si="236"/>
        <v>975.01854234473467</v>
      </c>
      <c r="Z264" s="512">
        <f>S264+C264+8363</f>
        <v>283963</v>
      </c>
      <c r="AA264" s="119">
        <f t="shared" ref="AA264:AA269" si="242">Z264-C264</f>
        <v>14093</v>
      </c>
      <c r="AB264" s="512">
        <f>[9]SPAMWh!$L144+8363</f>
        <v>284548</v>
      </c>
      <c r="AC264" s="4">
        <f t="shared" si="168"/>
        <v>2004</v>
      </c>
      <c r="AD264" s="4">
        <f t="shared" si="169"/>
        <v>8</v>
      </c>
      <c r="AE264" s="107">
        <f>RESID!AC264</f>
        <v>29.7</v>
      </c>
      <c r="AF264" s="40">
        <f t="shared" si="144"/>
        <v>14220.956385683552</v>
      </c>
      <c r="AG264" s="4">
        <f t="shared" si="145"/>
        <v>290847</v>
      </c>
      <c r="AH264" s="130">
        <f t="shared" si="239"/>
        <v>29778</v>
      </c>
      <c r="AY264" s="4">
        <f t="shared" si="170"/>
        <v>2004</v>
      </c>
      <c r="AZ264" s="4">
        <f t="shared" si="171"/>
        <v>8</v>
      </c>
      <c r="BA264" s="4">
        <f>'[8]Gov 65 &amp; 70'!$S349</f>
        <v>380.5</v>
      </c>
      <c r="BB264" s="4">
        <f t="shared" si="172"/>
        <v>394.4</v>
      </c>
      <c r="BC264" s="82">
        <f t="shared" si="234"/>
        <v>13.899999999999977</v>
      </c>
      <c r="BD264" s="36" t="s">
        <v>18</v>
      </c>
      <c r="BE264" s="4">
        <f>'[8]Gov 65 &amp; 70'!$J349</f>
        <v>0</v>
      </c>
      <c r="BF264" s="4">
        <f t="shared" si="173"/>
        <v>0</v>
      </c>
      <c r="BG264" s="83">
        <f t="shared" si="235"/>
        <v>0</v>
      </c>
      <c r="BH264" s="36" t="s">
        <v>18</v>
      </c>
      <c r="BI264" s="273">
        <f t="shared" si="146"/>
        <v>3185.6019999999949</v>
      </c>
      <c r="BJ264" s="270">
        <f t="shared" si="147"/>
        <v>0</v>
      </c>
      <c r="BK264" s="482">
        <f t="shared" si="148"/>
        <v>3186</v>
      </c>
      <c r="BL264" s="276"/>
      <c r="BM264" s="36" t="s">
        <v>18</v>
      </c>
      <c r="BN264" s="3">
        <f t="shared" si="174"/>
        <v>2004</v>
      </c>
      <c r="BO264" s="3">
        <f t="shared" si="175"/>
        <v>8</v>
      </c>
      <c r="BP264" s="108">
        <f>(C264+[4]MWh!$AN98)</f>
        <v>279678.4348343137</v>
      </c>
      <c r="BQ264" s="108">
        <f t="shared" si="197"/>
        <v>13674.869686794138</v>
      </c>
      <c r="BR264" s="108">
        <f t="shared" si="198"/>
        <v>14239.557736862591</v>
      </c>
      <c r="BS264" s="108">
        <f t="shared" si="218"/>
        <v>1204.2283561489003</v>
      </c>
      <c r="BT264" s="573">
        <f>BK264+BP264+8363</f>
        <v>291227.4348343137</v>
      </c>
      <c r="BU264" s="108">
        <f t="shared" si="240"/>
        <v>34561.799328061141</v>
      </c>
      <c r="BV264" s="108">
        <f t="shared" si="195"/>
        <v>11549</v>
      </c>
      <c r="BW264" s="444">
        <f>BT264/[9]SPAMWh!$L144</f>
        <v>1.054465068104038</v>
      </c>
    </row>
    <row r="265" spans="1:75">
      <c r="A265" s="4">
        <f t="shared" si="161"/>
        <v>2004</v>
      </c>
      <c r="B265" s="4">
        <f t="shared" si="162"/>
        <v>9</v>
      </c>
      <c r="C265" s="5">
        <f>'[2]FPC wSEB'!$J362</f>
        <v>274454</v>
      </c>
      <c r="D265" s="5">
        <f>'[2]FPC wSEB'!$AB362</f>
        <v>20749</v>
      </c>
      <c r="E265" s="73">
        <f t="shared" si="241"/>
        <v>13227</v>
      </c>
      <c r="F265" s="540">
        <f t="shared" si="138"/>
        <v>20749</v>
      </c>
      <c r="H265" s="13" t="s">
        <v>18</v>
      </c>
      <c r="I265" s="76">
        <f>'[7]Gov 65 &amp; 70'!$S350</f>
        <v>368.6</v>
      </c>
      <c r="J265" s="76">
        <f t="shared" si="164"/>
        <v>381.2</v>
      </c>
      <c r="K265" s="362">
        <f t="shared" si="237"/>
        <v>12.599999999999966</v>
      </c>
      <c r="L265" s="200" t="s">
        <v>18</v>
      </c>
      <c r="M265" s="76">
        <f>'[7]Gov 65 &amp; 70'!$J350</f>
        <v>0</v>
      </c>
      <c r="N265" s="76">
        <f t="shared" si="165"/>
        <v>0</v>
      </c>
      <c r="O265" s="363">
        <f t="shared" si="238"/>
        <v>0</v>
      </c>
      <c r="P265" s="13" t="s">
        <v>18</v>
      </c>
      <c r="Q265" s="77">
        <f t="shared" si="139"/>
        <v>2887.6679999999924</v>
      </c>
      <c r="R265" s="78">
        <f t="shared" si="140"/>
        <v>0</v>
      </c>
      <c r="S265" s="479">
        <f t="shared" si="141"/>
        <v>2888</v>
      </c>
      <c r="T265" s="13" t="s">
        <v>18</v>
      </c>
      <c r="U265" s="511">
        <f t="shared" si="166"/>
        <v>2004</v>
      </c>
      <c r="V265" s="511">
        <f t="shared" si="167"/>
        <v>9</v>
      </c>
      <c r="W265" s="153">
        <f t="shared" si="142"/>
        <v>13428.261602968818</v>
      </c>
      <c r="X265" s="153">
        <f t="shared" si="236"/>
        <v>-1819.1086547708492</v>
      </c>
      <c r="Z265" s="512">
        <f>S265+C265+1281</f>
        <v>278623</v>
      </c>
      <c r="AA265" s="119">
        <f t="shared" si="242"/>
        <v>4169</v>
      </c>
      <c r="AB265" s="512">
        <f>[9]SPAMWh!$L145+1281</f>
        <v>277722</v>
      </c>
      <c r="AC265" s="4">
        <f t="shared" si="168"/>
        <v>2004</v>
      </c>
      <c r="AD265" s="4">
        <f t="shared" si="169"/>
        <v>9</v>
      </c>
      <c r="AE265" s="107">
        <f>RESID!AC265</f>
        <v>30.3</v>
      </c>
      <c r="AF265" s="40">
        <f t="shared" si="144"/>
        <v>13481.420791363438</v>
      </c>
      <c r="AG265" s="4">
        <f t="shared" si="145"/>
        <v>279726</v>
      </c>
      <c r="AH265" s="130">
        <f t="shared" si="239"/>
        <v>-27224</v>
      </c>
      <c r="AY265" s="4">
        <f t="shared" si="170"/>
        <v>2004</v>
      </c>
      <c r="AZ265" s="4">
        <f t="shared" si="171"/>
        <v>9</v>
      </c>
      <c r="BA265" s="4">
        <f>'[8]Gov 65 &amp; 70'!$S350</f>
        <v>332.7</v>
      </c>
      <c r="BB265" s="4">
        <f t="shared" si="172"/>
        <v>339.3</v>
      </c>
      <c r="BC265" s="82">
        <f t="shared" si="234"/>
        <v>6.6000000000000227</v>
      </c>
      <c r="BD265" s="36" t="s">
        <v>18</v>
      </c>
      <c r="BE265" s="4">
        <f>'[8]Gov 65 &amp; 70'!$J350</f>
        <v>0</v>
      </c>
      <c r="BF265" s="4">
        <f t="shared" si="173"/>
        <v>0</v>
      </c>
      <c r="BG265" s="83">
        <f t="shared" si="235"/>
        <v>0</v>
      </c>
      <c r="BH265" s="36" t="s">
        <v>18</v>
      </c>
      <c r="BI265" s="273">
        <f t="shared" si="146"/>
        <v>1512.5880000000052</v>
      </c>
      <c r="BJ265" s="270">
        <f t="shared" si="147"/>
        <v>0</v>
      </c>
      <c r="BK265" s="482">
        <f t="shared" si="148"/>
        <v>1513</v>
      </c>
      <c r="BL265" s="276"/>
      <c r="BM265" s="36" t="s">
        <v>18</v>
      </c>
      <c r="BN265" s="3">
        <f t="shared" si="174"/>
        <v>2004</v>
      </c>
      <c r="BO265" s="3">
        <f t="shared" si="175"/>
        <v>9</v>
      </c>
      <c r="BP265" s="108">
        <f>(C265+[4]MWh!$AN99)</f>
        <v>263236.03640342812</v>
      </c>
      <c r="BQ265" s="108">
        <f t="shared" si="197"/>
        <v>12686.685450066419</v>
      </c>
      <c r="BR265" s="108">
        <f t="shared" si="198"/>
        <v>12821.342541974464</v>
      </c>
      <c r="BS265" s="108">
        <f t="shared" si="218"/>
        <v>-2156.7187287146226</v>
      </c>
      <c r="BT265" s="573">
        <f>BK265+BP265+1281</f>
        <v>266030.03640342812</v>
      </c>
      <c r="BU265" s="108">
        <f t="shared" si="240"/>
        <v>-34414.894625324232</v>
      </c>
      <c r="BV265" s="108">
        <f t="shared" si="195"/>
        <v>2794</v>
      </c>
      <c r="BW265" s="444">
        <f>BT265/[9]SPAMWh!$L145</f>
        <v>0.96233929266435925</v>
      </c>
    </row>
    <row r="266" spans="1:75">
      <c r="A266" s="4">
        <f t="shared" si="161"/>
        <v>2004</v>
      </c>
      <c r="B266" s="4">
        <f t="shared" si="162"/>
        <v>10</v>
      </c>
      <c r="C266" s="5">
        <f>'[2]FPC wSEB'!$J363</f>
        <v>277513</v>
      </c>
      <c r="D266" s="5">
        <f>'[2]FPC wSEB'!$AB363</f>
        <v>20948</v>
      </c>
      <c r="E266" s="73">
        <f t="shared" si="241"/>
        <v>13248</v>
      </c>
      <c r="F266" s="540">
        <f t="shared" si="138"/>
        <v>20948</v>
      </c>
      <c r="H266" s="13" t="s">
        <v>18</v>
      </c>
      <c r="I266" s="76">
        <f>'[7]Gov 65 &amp; 70'!$S351</f>
        <v>290</v>
      </c>
      <c r="J266" s="76">
        <f t="shared" si="164"/>
        <v>287.8</v>
      </c>
      <c r="K266" s="362">
        <f t="shared" si="237"/>
        <v>-2.1999999999999886</v>
      </c>
      <c r="L266" s="200" t="s">
        <v>18</v>
      </c>
      <c r="M266" s="76">
        <f>'[7]Gov 65 &amp; 70'!$J351</f>
        <v>1.9</v>
      </c>
      <c r="N266" s="76">
        <f t="shared" si="165"/>
        <v>2.5</v>
      </c>
      <c r="O266" s="363">
        <f t="shared" si="238"/>
        <v>0.60000000000000009</v>
      </c>
      <c r="P266" s="13" t="s">
        <v>18</v>
      </c>
      <c r="Q266" s="77">
        <f t="shared" si="139"/>
        <v>-504.19599999999741</v>
      </c>
      <c r="R266" s="78">
        <f t="shared" si="140"/>
        <v>24.348000000000003</v>
      </c>
      <c r="S266" s="479">
        <f t="shared" si="141"/>
        <v>-480</v>
      </c>
      <c r="T266" s="13" t="s">
        <v>18</v>
      </c>
      <c r="U266" s="4">
        <f t="shared" si="166"/>
        <v>2004</v>
      </c>
      <c r="V266" s="4">
        <f t="shared" si="167"/>
        <v>10</v>
      </c>
      <c r="W266" s="153">
        <f t="shared" si="142"/>
        <v>13224.794729807141</v>
      </c>
      <c r="X266" s="153">
        <f t="shared" si="236"/>
        <v>-651.08665240018854</v>
      </c>
      <c r="Z266" s="98">
        <f t="shared" si="143"/>
        <v>277033</v>
      </c>
      <c r="AA266" s="119">
        <f t="shared" si="242"/>
        <v>-480</v>
      </c>
      <c r="AB266" s="512">
        <f>[9]SPAMWh!$L146</f>
        <v>276349</v>
      </c>
      <c r="AC266" s="4">
        <f t="shared" si="168"/>
        <v>2004</v>
      </c>
      <c r="AD266" s="4">
        <f t="shared" si="169"/>
        <v>10</v>
      </c>
      <c r="AE266" s="107">
        <f>RESID!AC266</f>
        <v>29.8</v>
      </c>
      <c r="AF266" s="40">
        <f t="shared" si="144"/>
        <v>13499.952262745846</v>
      </c>
      <c r="AG266" s="4">
        <f t="shared" si="145"/>
        <v>282797</v>
      </c>
      <c r="AH266" s="130">
        <f t="shared" si="239"/>
        <v>-443</v>
      </c>
      <c r="AY266" s="4">
        <f t="shared" si="170"/>
        <v>2004</v>
      </c>
      <c r="AZ266" s="4">
        <f t="shared" si="171"/>
        <v>10</v>
      </c>
      <c r="BA266" s="4">
        <f>'[8]Gov 65 &amp; 70'!$S351</f>
        <v>208.9</v>
      </c>
      <c r="BB266" s="4">
        <f t="shared" si="172"/>
        <v>200.4</v>
      </c>
      <c r="BC266" s="82">
        <f t="shared" ref="BC266:BC271" si="243">BB266-BA266</f>
        <v>-8.5</v>
      </c>
      <c r="BD266" s="36" t="s">
        <v>18</v>
      </c>
      <c r="BE266" s="4">
        <f>'[8]Gov 65 &amp; 70'!$J351</f>
        <v>7</v>
      </c>
      <c r="BF266" s="4">
        <f t="shared" si="173"/>
        <v>15</v>
      </c>
      <c r="BG266" s="83">
        <f t="shared" ref="BG266:BG271" si="244">BF266-BE266</f>
        <v>8</v>
      </c>
      <c r="BH266" s="36" t="s">
        <v>18</v>
      </c>
      <c r="BI266" s="273">
        <f t="shared" si="146"/>
        <v>-1948.03</v>
      </c>
      <c r="BJ266" s="270">
        <f t="shared" si="147"/>
        <v>324.64</v>
      </c>
      <c r="BK266" s="482">
        <f t="shared" si="148"/>
        <v>-1623</v>
      </c>
      <c r="BL266" s="276"/>
      <c r="BM266" s="36" t="s">
        <v>18</v>
      </c>
      <c r="BN266" s="4">
        <f t="shared" si="174"/>
        <v>2004</v>
      </c>
      <c r="BO266" s="4">
        <f t="shared" si="175"/>
        <v>10</v>
      </c>
      <c r="BP266" s="108">
        <f>(C266+[4]MWh!$AN100)</f>
        <v>287209.86958467518</v>
      </c>
      <c r="BQ266" s="108">
        <f t="shared" si="197"/>
        <v>13710.610539654152</v>
      </c>
      <c r="BR266" s="108">
        <f t="shared" si="198"/>
        <v>13633.132976163604</v>
      </c>
      <c r="BS266" s="108">
        <f t="shared" si="218"/>
        <v>-472.71183834883595</v>
      </c>
      <c r="BT266" s="175">
        <f t="shared" si="199"/>
        <v>285586.86958467518</v>
      </c>
      <c r="BU266" s="108">
        <f t="shared" si="240"/>
        <v>3512.2908288699109</v>
      </c>
      <c r="BV266" s="108">
        <f t="shared" si="195"/>
        <v>-1623</v>
      </c>
      <c r="BW266" s="444">
        <f>BT266/[9]SPAMWh!$L146</f>
        <v>1.0334282721655412</v>
      </c>
    </row>
    <row r="267" spans="1:75">
      <c r="A267" s="4">
        <f t="shared" si="161"/>
        <v>2004</v>
      </c>
      <c r="B267" s="4">
        <f t="shared" si="162"/>
        <v>11</v>
      </c>
      <c r="C267" s="5">
        <f>'[2]FPC wSEB'!$J364</f>
        <v>267561</v>
      </c>
      <c r="D267" s="5">
        <f>'[2]FPC wSEB'!$AB364</f>
        <v>21096</v>
      </c>
      <c r="E267" s="73">
        <f t="shared" si="241"/>
        <v>12683</v>
      </c>
      <c r="F267" s="540">
        <f t="shared" si="138"/>
        <v>21096</v>
      </c>
      <c r="H267" s="13" t="s">
        <v>18</v>
      </c>
      <c r="I267" s="76">
        <f>'[7]Gov 65 &amp; 70'!$S352</f>
        <v>157.9</v>
      </c>
      <c r="J267" s="76">
        <f t="shared" si="164"/>
        <v>140.19999999999999</v>
      </c>
      <c r="K267" s="362">
        <f t="shared" si="237"/>
        <v>-17.700000000000017</v>
      </c>
      <c r="L267" s="200" t="s">
        <v>18</v>
      </c>
      <c r="M267" s="76">
        <f>'[7]Gov 65 &amp; 70'!$J352</f>
        <v>14.4</v>
      </c>
      <c r="N267" s="76">
        <f t="shared" si="165"/>
        <v>38.6</v>
      </c>
      <c r="O267" s="363">
        <f t="shared" si="238"/>
        <v>24.200000000000003</v>
      </c>
      <c r="P267" s="13" t="s">
        <v>18</v>
      </c>
      <c r="Q267" s="77">
        <f t="shared" si="139"/>
        <v>-4056.486000000004</v>
      </c>
      <c r="R267" s="78">
        <f t="shared" si="140"/>
        <v>982.03600000000006</v>
      </c>
      <c r="S267" s="479">
        <f t="shared" si="141"/>
        <v>-3074</v>
      </c>
      <c r="T267" s="13" t="s">
        <v>18</v>
      </c>
      <c r="U267" s="4">
        <f t="shared" si="166"/>
        <v>2004</v>
      </c>
      <c r="V267" s="4">
        <f t="shared" si="167"/>
        <v>11</v>
      </c>
      <c r="W267" s="153">
        <f t="shared" si="142"/>
        <v>12537.305650360258</v>
      </c>
      <c r="X267" s="153">
        <f t="shared" si="236"/>
        <v>12.624756862052891</v>
      </c>
      <c r="Z267" s="98">
        <f t="shared" si="143"/>
        <v>264487</v>
      </c>
      <c r="AA267" s="119">
        <f t="shared" si="242"/>
        <v>-3074</v>
      </c>
      <c r="AB267" s="512">
        <f>[9]SPAMWh!$L147</f>
        <v>263793</v>
      </c>
      <c r="AC267" s="4">
        <f t="shared" si="168"/>
        <v>2004</v>
      </c>
      <c r="AD267" s="4">
        <f t="shared" si="169"/>
        <v>11</v>
      </c>
      <c r="AE267" s="107">
        <f>RESID!AC267</f>
        <v>30.15</v>
      </c>
      <c r="AF267" s="40">
        <f t="shared" si="144"/>
        <v>12649.601820250284</v>
      </c>
      <c r="AG267" s="4">
        <f t="shared" si="145"/>
        <v>266856</v>
      </c>
      <c r="AH267" s="130">
        <f t="shared" si="239"/>
        <v>13292</v>
      </c>
      <c r="AY267" s="4">
        <f t="shared" si="170"/>
        <v>2004</v>
      </c>
      <c r="AZ267" s="4">
        <f t="shared" si="171"/>
        <v>11</v>
      </c>
      <c r="BA267" s="4">
        <f>'[8]Gov 65 &amp; 70'!$S352</f>
        <v>82.5</v>
      </c>
      <c r="BB267" s="4">
        <f t="shared" si="172"/>
        <v>66.3</v>
      </c>
      <c r="BC267" s="82">
        <f t="shared" si="243"/>
        <v>-16.200000000000003</v>
      </c>
      <c r="BD267" s="36" t="s">
        <v>18</v>
      </c>
      <c r="BE267" s="4">
        <f>'[8]Gov 65 &amp; 70'!$J352</f>
        <v>42.1</v>
      </c>
      <c r="BF267" s="4">
        <f t="shared" si="173"/>
        <v>69.900000000000006</v>
      </c>
      <c r="BG267" s="83">
        <f t="shared" si="244"/>
        <v>27.800000000000004</v>
      </c>
      <c r="BH267" s="36" t="s">
        <v>18</v>
      </c>
      <c r="BI267" s="273">
        <f t="shared" si="146"/>
        <v>-3712.7160000000008</v>
      </c>
      <c r="BJ267" s="270">
        <f t="shared" si="147"/>
        <v>1128.124</v>
      </c>
      <c r="BK267" s="482">
        <f t="shared" si="148"/>
        <v>-2585</v>
      </c>
      <c r="BL267" s="276"/>
      <c r="BM267" s="36" t="s">
        <v>18</v>
      </c>
      <c r="BN267" s="4">
        <f t="shared" si="174"/>
        <v>2004</v>
      </c>
      <c r="BO267" s="4">
        <f t="shared" si="175"/>
        <v>11</v>
      </c>
      <c r="BP267" s="108">
        <f>(C267+[4]MWh!$AN101)</f>
        <v>254845.02416483909</v>
      </c>
      <c r="BQ267" s="108">
        <f t="shared" si="197"/>
        <v>12080.253325978341</v>
      </c>
      <c r="BR267" s="108">
        <f t="shared" si="198"/>
        <v>11957.718248238485</v>
      </c>
      <c r="BS267" s="108">
        <f t="shared" si="218"/>
        <v>1156.7490573390351</v>
      </c>
      <c r="BT267" s="175">
        <f t="shared" si="199"/>
        <v>252260.02416483909</v>
      </c>
      <c r="BU267" s="108">
        <f t="shared" si="240"/>
        <v>35635.786072159739</v>
      </c>
      <c r="BV267" s="108">
        <f t="shared" si="195"/>
        <v>-2585</v>
      </c>
      <c r="BW267" s="444">
        <f>BT267/[9]SPAMWh!$L147</f>
        <v>0.95628020517920909</v>
      </c>
    </row>
    <row r="268" spans="1:75" s="89" customFormat="1">
      <c r="A268" s="89">
        <f t="shared" si="161"/>
        <v>2004</v>
      </c>
      <c r="B268" s="89">
        <f t="shared" si="162"/>
        <v>12</v>
      </c>
      <c r="C268" s="103">
        <f>'[2]FPC wSEB'!$J365</f>
        <v>251065</v>
      </c>
      <c r="D268" s="103">
        <f>'[2]FPC wSEB'!$AB365</f>
        <v>20956</v>
      </c>
      <c r="E268" s="104">
        <f t="shared" si="241"/>
        <v>11981</v>
      </c>
      <c r="F268" s="586">
        <f t="shared" si="138"/>
        <v>20956</v>
      </c>
      <c r="H268" s="90" t="s">
        <v>18</v>
      </c>
      <c r="I268" s="92">
        <f>'[7]Gov 65 &amp; 70'!$S353</f>
        <v>60.6</v>
      </c>
      <c r="J268" s="92">
        <f t="shared" si="164"/>
        <v>50.8</v>
      </c>
      <c r="K268" s="364">
        <f t="shared" si="237"/>
        <v>-9.8000000000000043</v>
      </c>
      <c r="L268" s="210" t="s">
        <v>18</v>
      </c>
      <c r="M268" s="92">
        <f>'[7]Gov 65 &amp; 70'!$J353</f>
        <v>95.1</v>
      </c>
      <c r="N268" s="92">
        <f t="shared" si="165"/>
        <v>121.8</v>
      </c>
      <c r="O268" s="365">
        <f t="shared" si="238"/>
        <v>26.700000000000003</v>
      </c>
      <c r="P268" s="90" t="s">
        <v>18</v>
      </c>
      <c r="Q268" s="114">
        <f t="shared" si="139"/>
        <v>-2245.9640000000009</v>
      </c>
      <c r="R268" s="95">
        <f t="shared" si="140"/>
        <v>1083.4860000000001</v>
      </c>
      <c r="S268" s="480">
        <f t="shared" si="141"/>
        <v>-1162</v>
      </c>
      <c r="T268" s="90" t="s">
        <v>18</v>
      </c>
      <c r="U268" s="89">
        <f t="shared" si="166"/>
        <v>2004</v>
      </c>
      <c r="V268" s="89">
        <f t="shared" si="167"/>
        <v>12</v>
      </c>
      <c r="W268" s="154">
        <f t="shared" si="142"/>
        <v>11925.128841381942</v>
      </c>
      <c r="X268" s="154">
        <f t="shared" ref="X268:X273" si="245">W268-W256</f>
        <v>296.63929150299555</v>
      </c>
      <c r="Z268" s="155">
        <f t="shared" si="143"/>
        <v>249903</v>
      </c>
      <c r="AA268" s="156">
        <f t="shared" si="242"/>
        <v>-1162</v>
      </c>
      <c r="AB268" s="522">
        <f>[9]SPAMWh!$L148</f>
        <v>248120</v>
      </c>
      <c r="AC268" s="89">
        <f t="shared" si="168"/>
        <v>2004</v>
      </c>
      <c r="AD268" s="89">
        <f t="shared" si="169"/>
        <v>12</v>
      </c>
      <c r="AE268" s="110">
        <f>RESID!AC268</f>
        <v>31.75</v>
      </c>
      <c r="AF268" s="116">
        <f t="shared" si="144"/>
        <v>11425.606031685436</v>
      </c>
      <c r="AG268" s="89">
        <f t="shared" si="145"/>
        <v>239435</v>
      </c>
      <c r="AH268" s="299">
        <f t="shared" si="239"/>
        <v>14554</v>
      </c>
      <c r="AY268" s="89">
        <f t="shared" si="170"/>
        <v>2004</v>
      </c>
      <c r="AZ268" s="89">
        <f t="shared" si="171"/>
        <v>12</v>
      </c>
      <c r="BA268" s="89">
        <f>'[8]Gov 65 &amp; 70'!$S353</f>
        <v>22.4</v>
      </c>
      <c r="BB268" s="89">
        <f t="shared" si="172"/>
        <v>28.2</v>
      </c>
      <c r="BC268" s="111">
        <f t="shared" si="243"/>
        <v>5.8000000000000007</v>
      </c>
      <c r="BD268" s="113" t="s">
        <v>18</v>
      </c>
      <c r="BE268" s="89">
        <f>'[8]Gov 65 &amp; 70'!$J353</f>
        <v>214.7</v>
      </c>
      <c r="BF268" s="89">
        <f t="shared" si="173"/>
        <v>170</v>
      </c>
      <c r="BG268" s="112">
        <f t="shared" si="244"/>
        <v>-44.699999999999989</v>
      </c>
      <c r="BH268" s="113" t="s">
        <v>18</v>
      </c>
      <c r="BI268" s="274">
        <f t="shared" si="146"/>
        <v>1329.2440000000001</v>
      </c>
      <c r="BJ268" s="275">
        <f t="shared" si="147"/>
        <v>-1813.9259999999995</v>
      </c>
      <c r="BK268" s="483">
        <f t="shared" si="148"/>
        <v>-485</v>
      </c>
      <c r="BL268" s="277"/>
      <c r="BM268" s="113" t="s">
        <v>18</v>
      </c>
      <c r="BN268" s="89">
        <f t="shared" si="174"/>
        <v>2004</v>
      </c>
      <c r="BO268" s="89">
        <f t="shared" si="175"/>
        <v>12</v>
      </c>
      <c r="BP268" s="117">
        <f>(C268+[4]MWh!$AN102)</f>
        <v>268993.86376855429</v>
      </c>
      <c r="BQ268" s="117">
        <f t="shared" si="197"/>
        <v>12836.126348947999</v>
      </c>
      <c r="BR268" s="117">
        <f t="shared" si="198"/>
        <v>12812.982619228589</v>
      </c>
      <c r="BS268" s="117">
        <f t="shared" si="218"/>
        <v>376.95816043939885</v>
      </c>
      <c r="BT268" s="176">
        <f t="shared" si="199"/>
        <v>268508.86376855429</v>
      </c>
      <c r="BU268" s="117">
        <f t="shared" si="240"/>
        <v>16816.164747119881</v>
      </c>
      <c r="BV268" s="117">
        <f t="shared" si="195"/>
        <v>-485</v>
      </c>
      <c r="BW268" s="533">
        <f>BT268/[9]SPAMWh!$L148</f>
        <v>1.08217339903496</v>
      </c>
    </row>
    <row r="269" spans="1:75">
      <c r="A269" s="4">
        <f t="shared" si="161"/>
        <v>2005</v>
      </c>
      <c r="B269" s="4">
        <f t="shared" si="162"/>
        <v>1</v>
      </c>
      <c r="C269" s="5">
        <f>'[2]FPC wSEB'!$J366</f>
        <v>237708</v>
      </c>
      <c r="D269" s="5">
        <f>'[2]FPC wSEB'!$AB366</f>
        <v>20496</v>
      </c>
      <c r="E269" s="73">
        <f t="shared" si="241"/>
        <v>11598</v>
      </c>
      <c r="F269" s="540">
        <f t="shared" si="138"/>
        <v>20496</v>
      </c>
      <c r="H269" s="13" t="s">
        <v>18</v>
      </c>
      <c r="I269" s="76">
        <f>'[7]Gov 65 &amp; 70'!$S354</f>
        <v>25.3</v>
      </c>
      <c r="J269" s="76">
        <f t="shared" si="164"/>
        <v>28.7</v>
      </c>
      <c r="K269" s="362">
        <f t="shared" ref="K269:K274" si="246">(J269-I269)</f>
        <v>3.3999999999999986</v>
      </c>
      <c r="L269" s="200" t="s">
        <v>18</v>
      </c>
      <c r="M269" s="76">
        <f>'[7]Gov 65 &amp; 70'!$J354</f>
        <v>198.9</v>
      </c>
      <c r="N269" s="76">
        <f t="shared" si="165"/>
        <v>192.9</v>
      </c>
      <c r="O269" s="363">
        <f t="shared" ref="O269:O274" si="247">(N269-M269)</f>
        <v>-6</v>
      </c>
      <c r="P269" s="13" t="s">
        <v>18</v>
      </c>
      <c r="Q269" s="77">
        <f t="shared" si="139"/>
        <v>779.21199999999965</v>
      </c>
      <c r="R269" s="78">
        <f t="shared" si="140"/>
        <v>-243.48</v>
      </c>
      <c r="S269" s="479">
        <f t="shared" si="141"/>
        <v>536</v>
      </c>
      <c r="T269" s="13" t="s">
        <v>18</v>
      </c>
      <c r="U269" s="4">
        <f t="shared" si="166"/>
        <v>2005</v>
      </c>
      <c r="V269" s="4">
        <f t="shared" si="167"/>
        <v>1</v>
      </c>
      <c r="W269" s="153">
        <f t="shared" si="142"/>
        <v>11623.926619828258</v>
      </c>
      <c r="X269" s="153">
        <f t="shared" si="245"/>
        <v>535.33966330651856</v>
      </c>
      <c r="Z269" s="98">
        <f t="shared" si="143"/>
        <v>238244</v>
      </c>
      <c r="AA269" s="119">
        <f t="shared" si="242"/>
        <v>536</v>
      </c>
      <c r="AB269" s="512">
        <f>[9]SPAMWh!$L149</f>
        <v>240550</v>
      </c>
      <c r="AC269" s="4">
        <f t="shared" si="168"/>
        <v>2005</v>
      </c>
      <c r="AD269" s="4">
        <f t="shared" si="169"/>
        <v>1</v>
      </c>
      <c r="AE269" s="107">
        <f>RESID!AC269</f>
        <v>31.75</v>
      </c>
      <c r="AF269" s="40">
        <f t="shared" si="144"/>
        <v>11137.002341920375</v>
      </c>
      <c r="AG269" s="4">
        <f t="shared" si="145"/>
        <v>228264</v>
      </c>
      <c r="AH269" s="130">
        <f t="shared" ref="AH269:AH274" si="248">Z269-Z257</f>
        <v>13811</v>
      </c>
      <c r="AY269" s="4">
        <f t="shared" si="170"/>
        <v>2005</v>
      </c>
      <c r="AZ269" s="4">
        <f t="shared" si="171"/>
        <v>1</v>
      </c>
      <c r="BA269" s="4">
        <f>'[8]Gov 65 &amp; 70'!$S354</f>
        <v>26.9</v>
      </c>
      <c r="BB269" s="4">
        <f t="shared" si="172"/>
        <v>23.9</v>
      </c>
      <c r="BC269" s="82">
        <f t="shared" si="243"/>
        <v>-3</v>
      </c>
      <c r="BD269" s="36" t="s">
        <v>18</v>
      </c>
      <c r="BE269" s="4">
        <f>'[8]Gov 65 &amp; 70'!$J354</f>
        <v>175.4</v>
      </c>
      <c r="BF269" s="4">
        <f t="shared" si="173"/>
        <v>176.9</v>
      </c>
      <c r="BG269" s="83">
        <f t="shared" si="244"/>
        <v>1.5</v>
      </c>
      <c r="BH269" s="36" t="s">
        <v>18</v>
      </c>
      <c r="BI269" s="273">
        <f t="shared" si="146"/>
        <v>-687.54</v>
      </c>
      <c r="BJ269" s="270">
        <f t="shared" si="147"/>
        <v>60.87</v>
      </c>
      <c r="BK269" s="482">
        <f t="shared" si="148"/>
        <v>-627</v>
      </c>
      <c r="BL269" s="276"/>
      <c r="BM269" s="36" t="s">
        <v>18</v>
      </c>
      <c r="BN269" s="4">
        <f t="shared" si="174"/>
        <v>2005</v>
      </c>
      <c r="BO269" s="4">
        <f t="shared" si="175"/>
        <v>1</v>
      </c>
      <c r="BP269" s="108">
        <f>(C269+[4]MWh!$AN103)</f>
        <v>211531.38519743865</v>
      </c>
      <c r="BQ269" s="108">
        <f t="shared" si="197"/>
        <v>10320.617935081902</v>
      </c>
      <c r="BR269" s="108">
        <f t="shared" si="198"/>
        <v>10290.026600187288</v>
      </c>
      <c r="BS269" s="108">
        <f t="shared" si="218"/>
        <v>523.92594014400493</v>
      </c>
      <c r="BT269" s="175">
        <f t="shared" si="199"/>
        <v>210904.38519743865</v>
      </c>
      <c r="BU269" s="108">
        <f t="shared" ref="BU269:BU274" si="249">BT269-BT257</f>
        <v>13238.507838162594</v>
      </c>
      <c r="BV269" s="4">
        <f t="shared" ref="BV269:BV300" si="250">BT269-BP269</f>
        <v>-627</v>
      </c>
      <c r="BW269" s="444">
        <f>BT269/[9]SPAMWh!$L149</f>
        <v>0.87675903220718621</v>
      </c>
    </row>
    <row r="270" spans="1:75">
      <c r="A270" s="4">
        <f t="shared" si="161"/>
        <v>2005</v>
      </c>
      <c r="B270" s="4">
        <f t="shared" si="162"/>
        <v>2</v>
      </c>
      <c r="C270" s="5">
        <f>'[2]FPC wSEB'!$J367</f>
        <v>229324</v>
      </c>
      <c r="D270" s="5">
        <f>'[2]FPC wSEB'!$AB367</f>
        <v>20727</v>
      </c>
      <c r="E270" s="73">
        <f t="shared" ref="E270:E275" si="251">ROUND(C270/D270*1000,0)</f>
        <v>11064</v>
      </c>
      <c r="F270" s="540">
        <f t="shared" si="138"/>
        <v>20727</v>
      </c>
      <c r="H270" s="13" t="s">
        <v>18</v>
      </c>
      <c r="I270" s="76">
        <f>'[7]Gov 65 &amp; 70'!$S355</f>
        <v>15.9</v>
      </c>
      <c r="J270" s="76">
        <f t="shared" si="164"/>
        <v>22.6</v>
      </c>
      <c r="K270" s="362">
        <f t="shared" si="246"/>
        <v>6.7000000000000011</v>
      </c>
      <c r="L270" s="200" t="s">
        <v>18</v>
      </c>
      <c r="M270" s="76">
        <f>'[7]Gov 65 &amp; 70'!$J355</f>
        <v>191.8</v>
      </c>
      <c r="N270" s="76">
        <f t="shared" si="165"/>
        <v>177.2</v>
      </c>
      <c r="O270" s="363">
        <f t="shared" si="247"/>
        <v>-14.600000000000023</v>
      </c>
      <c r="P270" s="13" t="s">
        <v>18</v>
      </c>
      <c r="Q270" s="77">
        <f t="shared" si="139"/>
        <v>1535.5060000000003</v>
      </c>
      <c r="R270" s="78">
        <f t="shared" si="140"/>
        <v>-592.46800000000087</v>
      </c>
      <c r="S270" s="479">
        <f t="shared" si="141"/>
        <v>943</v>
      </c>
      <c r="T270" s="13" t="s">
        <v>18</v>
      </c>
      <c r="U270" s="4">
        <f t="shared" si="166"/>
        <v>2005</v>
      </c>
      <c r="V270" s="4">
        <f t="shared" si="167"/>
        <v>2</v>
      </c>
      <c r="W270" s="153">
        <f t="shared" si="142"/>
        <v>11109.518984898925</v>
      </c>
      <c r="X270" s="153">
        <f t="shared" si="245"/>
        <v>13.756015943519742</v>
      </c>
      <c r="Z270" s="98">
        <f t="shared" si="143"/>
        <v>230267</v>
      </c>
      <c r="AA270" s="119">
        <f t="shared" ref="AA270:AA275" si="252">Z270-C270</f>
        <v>943</v>
      </c>
      <c r="AB270" s="512">
        <f>[9]SPAMWh!$L150</f>
        <v>231178</v>
      </c>
      <c r="AC270" s="4">
        <f t="shared" si="168"/>
        <v>2005</v>
      </c>
      <c r="AD270" s="4">
        <f t="shared" si="169"/>
        <v>2</v>
      </c>
      <c r="AE270" s="107">
        <f>RESID!AC270</f>
        <v>29.65</v>
      </c>
      <c r="AF270" s="40">
        <f t="shared" si="144"/>
        <v>11398.031553046751</v>
      </c>
      <c r="AG270" s="4">
        <f t="shared" si="145"/>
        <v>236247</v>
      </c>
      <c r="AH270" s="130">
        <f t="shared" si="248"/>
        <v>10815</v>
      </c>
      <c r="AY270" s="4">
        <f t="shared" si="170"/>
        <v>2005</v>
      </c>
      <c r="AZ270" s="4">
        <f t="shared" si="171"/>
        <v>2</v>
      </c>
      <c r="BA270" s="4">
        <f>'[8]Gov 65 &amp; 70'!$S355</f>
        <v>21.8</v>
      </c>
      <c r="BB270" s="4">
        <f t="shared" si="172"/>
        <v>32.799999999999997</v>
      </c>
      <c r="BC270" s="82">
        <f t="shared" si="243"/>
        <v>10.999999999999996</v>
      </c>
      <c r="BD270" s="36" t="s">
        <v>18</v>
      </c>
      <c r="BE270" s="4">
        <f>'[8]Gov 65 &amp; 70'!$J355</f>
        <v>124.4</v>
      </c>
      <c r="BF270" s="4">
        <f t="shared" si="173"/>
        <v>139.1</v>
      </c>
      <c r="BG270" s="83">
        <f t="shared" si="244"/>
        <v>14.699999999999989</v>
      </c>
      <c r="BH270" s="36" t="s">
        <v>18</v>
      </c>
      <c r="BI270" s="273">
        <f t="shared" si="146"/>
        <v>2520.9799999999991</v>
      </c>
      <c r="BJ270" s="270">
        <f t="shared" si="147"/>
        <v>596.5259999999995</v>
      </c>
      <c r="BK270" s="482">
        <f t="shared" si="148"/>
        <v>3118</v>
      </c>
      <c r="BL270" s="276"/>
      <c r="BM270" s="36" t="s">
        <v>18</v>
      </c>
      <c r="BN270" s="4">
        <f t="shared" si="174"/>
        <v>2005</v>
      </c>
      <c r="BO270" s="4">
        <f t="shared" si="175"/>
        <v>2</v>
      </c>
      <c r="BP270" s="108">
        <f>(C270+[4]MWh!$AN104)</f>
        <v>209336.61416277575</v>
      </c>
      <c r="BQ270" s="108">
        <f t="shared" si="197"/>
        <v>10099.706381182794</v>
      </c>
      <c r="BR270" s="108">
        <f t="shared" si="198"/>
        <v>10250.138185110038</v>
      </c>
      <c r="BS270" s="108">
        <f t="shared" si="218"/>
        <v>-1296.5461301702817</v>
      </c>
      <c r="BT270" s="175">
        <f t="shared" si="199"/>
        <v>212454.61416277575</v>
      </c>
      <c r="BU270" s="108">
        <f t="shared" si="249"/>
        <v>-15915.708224838425</v>
      </c>
      <c r="BV270" s="4">
        <f t="shared" si="250"/>
        <v>3118</v>
      </c>
      <c r="BW270" s="444">
        <f>BT270/[9]SPAMWh!$L150</f>
        <v>0.91900879046784623</v>
      </c>
    </row>
    <row r="271" spans="1:75">
      <c r="A271" s="4">
        <f t="shared" si="161"/>
        <v>2005</v>
      </c>
      <c r="B271" s="4">
        <f t="shared" si="162"/>
        <v>3</v>
      </c>
      <c r="C271" s="5">
        <f>'[2]FPC wSEB'!$J368</f>
        <v>235154</v>
      </c>
      <c r="D271" s="5">
        <f>'[2]FPC wSEB'!$AB368</f>
        <v>20935</v>
      </c>
      <c r="E271" s="73">
        <f t="shared" si="251"/>
        <v>11233</v>
      </c>
      <c r="F271" s="540">
        <f t="shared" si="138"/>
        <v>20935</v>
      </c>
      <c r="H271" s="13" t="s">
        <v>18</v>
      </c>
      <c r="I271" s="76">
        <f>'[7]Gov 65 &amp; 70'!$S356</f>
        <v>24.2</v>
      </c>
      <c r="J271" s="76">
        <f t="shared" si="164"/>
        <v>44.5</v>
      </c>
      <c r="K271" s="362">
        <f t="shared" si="246"/>
        <v>20.3</v>
      </c>
      <c r="L271" s="200" t="s">
        <v>18</v>
      </c>
      <c r="M271" s="76">
        <f>'[7]Gov 65 &amp; 70'!$J356</f>
        <v>139</v>
      </c>
      <c r="N271" s="76">
        <f t="shared" si="165"/>
        <v>119.5</v>
      </c>
      <c r="O271" s="363">
        <f t="shared" si="247"/>
        <v>-19.5</v>
      </c>
      <c r="P271" s="13" t="s">
        <v>18</v>
      </c>
      <c r="Q271" s="77">
        <f t="shared" si="139"/>
        <v>4652.3540000000003</v>
      </c>
      <c r="R271" s="78">
        <f t="shared" si="140"/>
        <v>-791.31</v>
      </c>
      <c r="S271" s="479">
        <f t="shared" si="141"/>
        <v>3861</v>
      </c>
      <c r="T271" s="13" t="s">
        <v>18</v>
      </c>
      <c r="U271" s="4">
        <f t="shared" si="166"/>
        <v>2005</v>
      </c>
      <c r="V271" s="4">
        <f t="shared" si="167"/>
        <v>3</v>
      </c>
      <c r="W271" s="153">
        <f t="shared" si="142"/>
        <v>11417.005015524241</v>
      </c>
      <c r="X271" s="153">
        <f t="shared" si="245"/>
        <v>625.58482603739503</v>
      </c>
      <c r="Z271" s="98">
        <f t="shared" si="143"/>
        <v>239015</v>
      </c>
      <c r="AA271" s="119">
        <f t="shared" si="252"/>
        <v>3861</v>
      </c>
      <c r="AB271" s="512">
        <f>[9]SPAMWh!$L151</f>
        <v>237866</v>
      </c>
      <c r="AC271" s="4">
        <f t="shared" si="168"/>
        <v>2005</v>
      </c>
      <c r="AD271" s="4">
        <f t="shared" si="169"/>
        <v>3</v>
      </c>
      <c r="AE271" s="107">
        <f>RESID!AC271</f>
        <v>29.55</v>
      </c>
      <c r="AF271" s="40">
        <f t="shared" si="144"/>
        <v>11753.140673513257</v>
      </c>
      <c r="AG271" s="4">
        <f t="shared" si="145"/>
        <v>246052</v>
      </c>
      <c r="AH271" s="130">
        <f t="shared" si="248"/>
        <v>14629</v>
      </c>
      <c r="AY271" s="4">
        <f t="shared" si="170"/>
        <v>2005</v>
      </c>
      <c r="AZ271" s="4">
        <f t="shared" si="171"/>
        <v>3</v>
      </c>
      <c r="BA271" s="4">
        <f>'[8]Gov 65 &amp; 70'!$S356</f>
        <v>50.8</v>
      </c>
      <c r="BB271" s="4">
        <f t="shared" si="172"/>
        <v>64.099999999999994</v>
      </c>
      <c r="BC271" s="82">
        <f t="shared" si="243"/>
        <v>13.299999999999997</v>
      </c>
      <c r="BD271" s="36" t="s">
        <v>18</v>
      </c>
      <c r="BE271" s="4">
        <f>'[8]Gov 65 &amp; 70'!$J356</f>
        <v>128.80000000000001</v>
      </c>
      <c r="BF271" s="4">
        <f t="shared" si="173"/>
        <v>85.4</v>
      </c>
      <c r="BG271" s="83">
        <f t="shared" si="244"/>
        <v>-43.400000000000006</v>
      </c>
      <c r="BH271" s="36" t="s">
        <v>18</v>
      </c>
      <c r="BI271" s="273">
        <f t="shared" si="146"/>
        <v>3048.0939999999996</v>
      </c>
      <c r="BJ271" s="270">
        <f t="shared" si="147"/>
        <v>-1761.1720000000003</v>
      </c>
      <c r="BK271" s="482">
        <f t="shared" si="148"/>
        <v>1287</v>
      </c>
      <c r="BL271" s="276"/>
      <c r="BM271" s="36" t="s">
        <v>18</v>
      </c>
      <c r="BN271" s="4">
        <f t="shared" si="174"/>
        <v>2005</v>
      </c>
      <c r="BO271" s="4">
        <f t="shared" si="175"/>
        <v>3</v>
      </c>
      <c r="BP271" s="108">
        <f>(C271+[4]MWh!$AN105)</f>
        <v>260627.76888092188</v>
      </c>
      <c r="BQ271" s="108">
        <f t="shared" si="197"/>
        <v>12449.379932215041</v>
      </c>
      <c r="BR271" s="108">
        <f t="shared" si="198"/>
        <v>12510.855929349027</v>
      </c>
      <c r="BS271" s="108">
        <f t="shared" si="218"/>
        <v>1613.7522224017011</v>
      </c>
      <c r="BT271" s="175">
        <f t="shared" si="199"/>
        <v>261914.76888092188</v>
      </c>
      <c r="BU271" s="108">
        <f t="shared" si="249"/>
        <v>35331.291502366133</v>
      </c>
      <c r="BV271" s="4">
        <f t="shared" si="250"/>
        <v>1287</v>
      </c>
      <c r="BW271" s="444">
        <f>BT271/[9]SPAMWh!$L151</f>
        <v>1.1011021704696</v>
      </c>
    </row>
    <row r="272" spans="1:75">
      <c r="A272" s="4">
        <f t="shared" si="161"/>
        <v>2005</v>
      </c>
      <c r="B272" s="4">
        <f t="shared" si="162"/>
        <v>4</v>
      </c>
      <c r="C272" s="5">
        <f>'[2]FPC wSEB'!$J369</f>
        <v>244880</v>
      </c>
      <c r="D272" s="5">
        <f>'[2]FPC wSEB'!$AB369</f>
        <v>20831</v>
      </c>
      <c r="E272" s="73">
        <f t="shared" si="251"/>
        <v>11756</v>
      </c>
      <c r="F272" s="540">
        <f t="shared" si="138"/>
        <v>20831</v>
      </c>
      <c r="H272" s="13" t="s">
        <v>18</v>
      </c>
      <c r="I272" s="76">
        <f>'[7]Gov 65 &amp; 70'!$S357</f>
        <v>74.099999999999994</v>
      </c>
      <c r="J272" s="76">
        <f t="shared" si="164"/>
        <v>87.7</v>
      </c>
      <c r="K272" s="362">
        <f t="shared" si="246"/>
        <v>13.600000000000009</v>
      </c>
      <c r="L272" s="200" t="s">
        <v>18</v>
      </c>
      <c r="M272" s="76">
        <f>'[7]Gov 65 &amp; 70'!$J357</f>
        <v>71.2</v>
      </c>
      <c r="N272" s="76">
        <f t="shared" si="165"/>
        <v>60.3</v>
      </c>
      <c r="O272" s="363">
        <f t="shared" si="247"/>
        <v>-10.900000000000006</v>
      </c>
      <c r="P272" s="13" t="s">
        <v>18</v>
      </c>
      <c r="Q272" s="77">
        <f t="shared" si="139"/>
        <v>3116.8480000000022</v>
      </c>
      <c r="R272" s="78">
        <f t="shared" si="140"/>
        <v>-442.32200000000023</v>
      </c>
      <c r="S272" s="479">
        <f t="shared" si="141"/>
        <v>2675</v>
      </c>
      <c r="T272" s="13" t="s">
        <v>18</v>
      </c>
      <c r="U272" s="4">
        <f t="shared" si="166"/>
        <v>2005</v>
      </c>
      <c r="V272" s="4">
        <f t="shared" si="167"/>
        <v>4</v>
      </c>
      <c r="W272" s="153">
        <f t="shared" si="142"/>
        <v>11883.971004752531</v>
      </c>
      <c r="X272" s="153">
        <f t="shared" si="245"/>
        <v>-17.018119798425687</v>
      </c>
      <c r="Z272" s="98">
        <f t="shared" si="143"/>
        <v>247555</v>
      </c>
      <c r="AA272" s="119">
        <f t="shared" si="252"/>
        <v>2675</v>
      </c>
      <c r="AB272" s="512">
        <f>[9]SPAMWh!$L152</f>
        <v>247983</v>
      </c>
      <c r="AC272" s="4">
        <f t="shared" si="168"/>
        <v>2005</v>
      </c>
      <c r="AD272" s="4">
        <f t="shared" si="169"/>
        <v>4</v>
      </c>
      <c r="AE272" s="107">
        <f>RESID!AC272</f>
        <v>30.65</v>
      </c>
      <c r="AF272" s="40">
        <f t="shared" si="144"/>
        <v>11794.777015025684</v>
      </c>
      <c r="AG272" s="4">
        <f t="shared" si="145"/>
        <v>245697</v>
      </c>
      <c r="AH272" s="130">
        <f t="shared" si="248"/>
        <v>5715</v>
      </c>
      <c r="AY272" s="4">
        <f t="shared" si="170"/>
        <v>2005</v>
      </c>
      <c r="AZ272" s="4">
        <f t="shared" si="171"/>
        <v>4</v>
      </c>
      <c r="BA272" s="4">
        <f>'[8]Gov 65 &amp; 70'!$S357</f>
        <v>74.900000000000006</v>
      </c>
      <c r="BB272" s="4">
        <f t="shared" si="172"/>
        <v>122</v>
      </c>
      <c r="BC272" s="82">
        <f t="shared" ref="BC272:BC277" si="253">BB272-BA272</f>
        <v>47.099999999999994</v>
      </c>
      <c r="BD272" s="36" t="s">
        <v>18</v>
      </c>
      <c r="BE272" s="4">
        <f>'[8]Gov 65 &amp; 70'!$J357</f>
        <v>50.7</v>
      </c>
      <c r="BF272" s="4">
        <f t="shared" si="173"/>
        <v>34.700000000000003</v>
      </c>
      <c r="BG272" s="83">
        <f t="shared" ref="BG272:BG277" si="254">BF272-BE272</f>
        <v>-16</v>
      </c>
      <c r="BH272" s="36" t="s">
        <v>18</v>
      </c>
      <c r="BI272" s="273">
        <f t="shared" si="146"/>
        <v>10794.377999999999</v>
      </c>
      <c r="BJ272" s="270">
        <f t="shared" si="147"/>
        <v>-649.28</v>
      </c>
      <c r="BK272" s="482">
        <f t="shared" si="148"/>
        <v>10145</v>
      </c>
      <c r="BL272" s="276"/>
      <c r="BM272" s="36" t="s">
        <v>18</v>
      </c>
      <c r="BN272" s="4">
        <f t="shared" si="174"/>
        <v>2005</v>
      </c>
      <c r="BO272" s="4">
        <f t="shared" si="175"/>
        <v>4</v>
      </c>
      <c r="BP272" s="108">
        <f>(C272+[4]MWh!$AN106)</f>
        <v>236461.73259588587</v>
      </c>
      <c r="BQ272" s="108">
        <f t="shared" si="197"/>
        <v>11351.434525269353</v>
      </c>
      <c r="BR272" s="108">
        <f t="shared" si="198"/>
        <v>11838.449070898463</v>
      </c>
      <c r="BS272" s="108">
        <f t="shared" si="218"/>
        <v>-869.27427498069301</v>
      </c>
      <c r="BT272" s="175">
        <f t="shared" si="199"/>
        <v>246606.73259588587</v>
      </c>
      <c r="BU272" s="108">
        <f t="shared" si="249"/>
        <v>-11626.913515724475</v>
      </c>
      <c r="BV272" s="4">
        <f t="shared" si="250"/>
        <v>10145</v>
      </c>
      <c r="BW272" s="444">
        <f>BT272/[9]SPAMWh!$L152</f>
        <v>0.99445015422785377</v>
      </c>
    </row>
    <row r="273" spans="1:75">
      <c r="A273" s="4">
        <f t="shared" si="161"/>
        <v>2005</v>
      </c>
      <c r="B273" s="4">
        <f t="shared" si="162"/>
        <v>5</v>
      </c>
      <c r="C273" s="5">
        <f>'[2]FPC wSEB'!$J370</f>
        <v>246938</v>
      </c>
      <c r="D273" s="5">
        <f>'[2]FPC wSEB'!$AB370</f>
        <v>21343</v>
      </c>
      <c r="E273" s="73">
        <f t="shared" si="251"/>
        <v>11570</v>
      </c>
      <c r="F273" s="540">
        <f t="shared" si="138"/>
        <v>21343</v>
      </c>
      <c r="H273" s="13" t="s">
        <v>18</v>
      </c>
      <c r="I273" s="76">
        <f>'[7]Gov 65 &amp; 70'!$S358</f>
        <v>101.5</v>
      </c>
      <c r="J273" s="76">
        <f t="shared" si="164"/>
        <v>157.69999999999999</v>
      </c>
      <c r="K273" s="362">
        <f t="shared" si="246"/>
        <v>56.199999999999989</v>
      </c>
      <c r="L273" s="200" t="s">
        <v>18</v>
      </c>
      <c r="M273" s="76">
        <f>'[7]Gov 65 &amp; 70'!$J358</f>
        <v>35</v>
      </c>
      <c r="N273" s="76">
        <f t="shared" si="165"/>
        <v>18.600000000000001</v>
      </c>
      <c r="O273" s="363">
        <f t="shared" si="247"/>
        <v>-16.399999999999999</v>
      </c>
      <c r="P273" s="13" t="s">
        <v>18</v>
      </c>
      <c r="Q273" s="77">
        <f t="shared" si="139"/>
        <v>12879.915999999997</v>
      </c>
      <c r="R273" s="78">
        <f t="shared" si="140"/>
        <v>-665.51199999999994</v>
      </c>
      <c r="S273" s="479">
        <f t="shared" si="141"/>
        <v>12214</v>
      </c>
      <c r="T273" s="13" t="s">
        <v>18</v>
      </c>
      <c r="U273" s="4">
        <f t="shared" si="166"/>
        <v>2005</v>
      </c>
      <c r="V273" s="4">
        <f t="shared" si="167"/>
        <v>5</v>
      </c>
      <c r="W273" s="153">
        <f t="shared" si="142"/>
        <v>12142.248043855128</v>
      </c>
      <c r="X273" s="153">
        <f t="shared" si="245"/>
        <v>-124.8360174921836</v>
      </c>
      <c r="Z273" s="98">
        <f t="shared" si="143"/>
        <v>259152</v>
      </c>
      <c r="AA273" s="119">
        <f t="shared" si="252"/>
        <v>12214</v>
      </c>
      <c r="AB273" s="512">
        <f>[9]SPAMWh!$L153</f>
        <v>257021</v>
      </c>
      <c r="AC273" s="4">
        <f t="shared" si="168"/>
        <v>2005</v>
      </c>
      <c r="AD273" s="4">
        <f t="shared" si="169"/>
        <v>5</v>
      </c>
      <c r="AE273" s="107">
        <f>RESID!AC273</f>
        <v>29.4</v>
      </c>
      <c r="AF273" s="40">
        <f t="shared" si="144"/>
        <v>12563.51028440238</v>
      </c>
      <c r="AG273" s="4">
        <f t="shared" si="145"/>
        <v>268143</v>
      </c>
      <c r="AH273" s="130">
        <f t="shared" si="248"/>
        <v>6401</v>
      </c>
      <c r="AY273" s="4">
        <f t="shared" si="170"/>
        <v>2005</v>
      </c>
      <c r="AZ273" s="4">
        <f t="shared" si="171"/>
        <v>5</v>
      </c>
      <c r="BA273" s="4">
        <f>'[8]Gov 65 &amp; 70'!$S358</f>
        <v>205.2</v>
      </c>
      <c r="BB273" s="4">
        <f t="shared" si="172"/>
        <v>253</v>
      </c>
      <c r="BC273" s="82">
        <f t="shared" si="253"/>
        <v>47.800000000000011</v>
      </c>
      <c r="BD273" s="36" t="s">
        <v>18</v>
      </c>
      <c r="BE273" s="4">
        <f>'[8]Gov 65 &amp; 70'!$J358</f>
        <v>6.8</v>
      </c>
      <c r="BF273" s="4">
        <f t="shared" si="173"/>
        <v>4.3</v>
      </c>
      <c r="BG273" s="83">
        <f t="shared" si="254"/>
        <v>-2.5</v>
      </c>
      <c r="BH273" s="36" t="s">
        <v>18</v>
      </c>
      <c r="BI273" s="273">
        <f t="shared" si="146"/>
        <v>10954.804000000004</v>
      </c>
      <c r="BJ273" s="270">
        <f t="shared" si="147"/>
        <v>-101.44999999999999</v>
      </c>
      <c r="BK273" s="482">
        <f t="shared" si="148"/>
        <v>10853</v>
      </c>
      <c r="BL273" s="276"/>
      <c r="BM273" s="36" t="s">
        <v>18</v>
      </c>
      <c r="BN273" s="4">
        <f t="shared" si="174"/>
        <v>2005</v>
      </c>
      <c r="BO273" s="4">
        <f t="shared" si="175"/>
        <v>5</v>
      </c>
      <c r="BP273" s="108">
        <f>(C273+[4]MWh!$AN107)</f>
        <v>289150.17613994749</v>
      </c>
      <c r="BQ273" s="108">
        <f t="shared" si="197"/>
        <v>13547.775670709249</v>
      </c>
      <c r="BR273" s="108">
        <f t="shared" si="198"/>
        <v>14056.279629852763</v>
      </c>
      <c r="BS273" s="108">
        <f t="shared" si="218"/>
        <v>601.35487031093362</v>
      </c>
      <c r="BT273" s="175">
        <f t="shared" si="199"/>
        <v>300003.17613994749</v>
      </c>
      <c r="BU273" s="108">
        <f t="shared" si="249"/>
        <v>22777.906394347665</v>
      </c>
      <c r="BV273" s="4">
        <f t="shared" si="250"/>
        <v>10853</v>
      </c>
      <c r="BW273" s="444">
        <f>BT273/[9]SPAMWh!$L153</f>
        <v>1.1672321566718187</v>
      </c>
    </row>
    <row r="274" spans="1:75">
      <c r="A274" s="4">
        <f t="shared" si="161"/>
        <v>2005</v>
      </c>
      <c r="B274" s="4">
        <f t="shared" si="162"/>
        <v>6</v>
      </c>
      <c r="C274" s="5">
        <f>'[2]FPC wSEB'!$J371</f>
        <v>263667</v>
      </c>
      <c r="D274" s="5">
        <f>'[2]FPC wSEB'!$AB371</f>
        <v>19882</v>
      </c>
      <c r="E274" s="73">
        <f t="shared" si="251"/>
        <v>13262</v>
      </c>
      <c r="F274" s="540">
        <f t="shared" ref="F274:F337" si="255">D274</f>
        <v>19882</v>
      </c>
      <c r="H274" s="13" t="s">
        <v>18</v>
      </c>
      <c r="I274" s="76">
        <f>'[7]Gov 65 &amp; 70'!$S359</f>
        <v>257.8</v>
      </c>
      <c r="J274" s="76">
        <f t="shared" si="164"/>
        <v>295.39999999999998</v>
      </c>
      <c r="K274" s="362">
        <f t="shared" si="246"/>
        <v>37.599999999999966</v>
      </c>
      <c r="L274" s="200" t="s">
        <v>18</v>
      </c>
      <c r="M274" s="76">
        <f>'[7]Gov 65 &amp; 70'!$J359</f>
        <v>2.6</v>
      </c>
      <c r="N274" s="76">
        <f t="shared" si="165"/>
        <v>2.2000000000000002</v>
      </c>
      <c r="O274" s="363">
        <f t="shared" si="247"/>
        <v>-0.39999999999999991</v>
      </c>
      <c r="P274" s="13" t="s">
        <v>18</v>
      </c>
      <c r="Q274" s="77">
        <f t="shared" ref="Q274:Q282" si="256">K274*$C$10</f>
        <v>8617.1679999999924</v>
      </c>
      <c r="R274" s="78">
        <f t="shared" ref="R274:R282" si="257">O274*$C$9</f>
        <v>-16.231999999999996</v>
      </c>
      <c r="S274" s="479">
        <f t="shared" ref="S274:S282" si="258">ROUND((R274+Q274),0)</f>
        <v>8601</v>
      </c>
      <c r="T274" s="13" t="s">
        <v>18</v>
      </c>
      <c r="U274" s="4">
        <f t="shared" si="166"/>
        <v>2005</v>
      </c>
      <c r="V274" s="4">
        <f t="shared" si="167"/>
        <v>6</v>
      </c>
      <c r="W274" s="153">
        <f t="shared" ref="W274:W296" si="259">Z274/D274*1000</f>
        <v>13694.195754954229</v>
      </c>
      <c r="X274" s="153">
        <f t="shared" ref="X274:X279" si="260">W274-W262</f>
        <v>1242.2202948315298</v>
      </c>
      <c r="Z274" s="98">
        <f t="shared" ref="Z274:Z282" si="261">S274+C274</f>
        <v>272268</v>
      </c>
      <c r="AA274" s="119">
        <f t="shared" si="252"/>
        <v>8601</v>
      </c>
      <c r="AB274" s="512">
        <f>[9]SPAMWh!$L154</f>
        <v>276857</v>
      </c>
      <c r="AC274" s="4">
        <f t="shared" si="168"/>
        <v>2005</v>
      </c>
      <c r="AD274" s="4">
        <f t="shared" si="169"/>
        <v>6</v>
      </c>
      <c r="AE274" s="107">
        <f>RESID!AC274</f>
        <v>30.65</v>
      </c>
      <c r="AF274" s="40">
        <f t="shared" ref="AF274:AF282" si="262">AG274/D274*1000</f>
        <v>13591.439493008751</v>
      </c>
      <c r="AG274" s="4">
        <f t="shared" ref="AG274:AG282" si="263">ROUND(Z274/(AE274/30.42),0)</f>
        <v>270225</v>
      </c>
      <c r="AH274" s="130">
        <f t="shared" si="248"/>
        <v>18559</v>
      </c>
      <c r="AY274" s="4">
        <f t="shared" si="170"/>
        <v>2005</v>
      </c>
      <c r="AZ274" s="4">
        <f t="shared" si="171"/>
        <v>6</v>
      </c>
      <c r="BA274" s="4">
        <f>'[8]Gov 65 &amp; 70'!$S359</f>
        <v>312.10000000000002</v>
      </c>
      <c r="BB274" s="4">
        <f t="shared" si="172"/>
        <v>336.1</v>
      </c>
      <c r="BC274" s="82">
        <f t="shared" si="253"/>
        <v>24</v>
      </c>
      <c r="BD274" s="36" t="s">
        <v>18</v>
      </c>
      <c r="BE274" s="4">
        <f>'[8]Gov 65 &amp; 70'!$J359</f>
        <v>0</v>
      </c>
      <c r="BF274" s="4">
        <f t="shared" si="173"/>
        <v>0</v>
      </c>
      <c r="BG274" s="83">
        <f t="shared" si="254"/>
        <v>0</v>
      </c>
      <c r="BH274" s="36" t="s">
        <v>18</v>
      </c>
      <c r="BI274" s="273">
        <f t="shared" ref="BI274:BI282" si="264">$C$10*BC274</f>
        <v>5500.32</v>
      </c>
      <c r="BJ274" s="270">
        <f t="shared" ref="BJ274:BJ282" si="265">$C$9*BG274</f>
        <v>0</v>
      </c>
      <c r="BK274" s="482">
        <f t="shared" ref="BK274:BK282" si="266">ROUND(BJ274+BI274,0)</f>
        <v>5500</v>
      </c>
      <c r="BL274" s="276"/>
      <c r="BM274" s="36" t="s">
        <v>18</v>
      </c>
      <c r="BN274" s="4">
        <f t="shared" si="174"/>
        <v>2005</v>
      </c>
      <c r="BO274" s="4">
        <f t="shared" si="175"/>
        <v>6</v>
      </c>
      <c r="BP274" s="108">
        <f>(C274+[4]MWh!$AN108)</f>
        <v>259162.87235720933</v>
      </c>
      <c r="BQ274" s="108">
        <f t="shared" si="197"/>
        <v>13035.050415310801</v>
      </c>
      <c r="BR274" s="108">
        <f t="shared" si="198"/>
        <v>13311.68254487523</v>
      </c>
      <c r="BS274" s="108">
        <f t="shared" si="218"/>
        <v>1687.3701276457214</v>
      </c>
      <c r="BT274" s="175">
        <f t="shared" si="199"/>
        <v>264662.87235720933</v>
      </c>
      <c r="BU274" s="108">
        <f t="shared" si="249"/>
        <v>27817.506856158114</v>
      </c>
      <c r="BV274" s="4">
        <f t="shared" si="250"/>
        <v>5500</v>
      </c>
      <c r="BW274" s="444">
        <f>BT274/[9]SPAMWh!$L154</f>
        <v>0.95595514058596798</v>
      </c>
    </row>
    <row r="275" spans="1:75">
      <c r="A275" s="4">
        <f t="shared" si="161"/>
        <v>2005</v>
      </c>
      <c r="B275" s="4">
        <f t="shared" si="162"/>
        <v>7</v>
      </c>
      <c r="C275" s="5">
        <f>'[2]FPC wSEB'!$J372</f>
        <v>275298</v>
      </c>
      <c r="D275" s="5">
        <f>'[2]FPC wSEB'!$AB372</f>
        <v>20950</v>
      </c>
      <c r="E275" s="73">
        <f t="shared" si="251"/>
        <v>13141</v>
      </c>
      <c r="F275" s="540">
        <f t="shared" si="255"/>
        <v>20950</v>
      </c>
      <c r="H275" s="13" t="s">
        <v>18</v>
      </c>
      <c r="I275" s="76">
        <f>'[7]Gov 65 &amp; 70'!$S360</f>
        <v>369.8</v>
      </c>
      <c r="J275" s="76">
        <f t="shared" si="164"/>
        <v>363.4</v>
      </c>
      <c r="K275" s="362">
        <f t="shared" ref="K275:K280" si="267">(J275-I275)</f>
        <v>-6.4000000000000341</v>
      </c>
      <c r="L275" s="200" t="s">
        <v>18</v>
      </c>
      <c r="M275" s="76">
        <f>'[7]Gov 65 &amp; 70'!$J360</f>
        <v>0</v>
      </c>
      <c r="N275" s="76">
        <f t="shared" si="165"/>
        <v>0</v>
      </c>
      <c r="O275" s="363">
        <f t="shared" ref="O275:O280" si="268">(N275-M275)</f>
        <v>0</v>
      </c>
      <c r="P275" s="13" t="s">
        <v>18</v>
      </c>
      <c r="Q275" s="77">
        <f t="shared" si="256"/>
        <v>-1466.7520000000079</v>
      </c>
      <c r="R275" s="78">
        <f t="shared" si="257"/>
        <v>0</v>
      </c>
      <c r="S275" s="479">
        <f t="shared" si="258"/>
        <v>-1467</v>
      </c>
      <c r="T275" s="13" t="s">
        <v>18</v>
      </c>
      <c r="U275" s="4">
        <f t="shared" si="166"/>
        <v>2005</v>
      </c>
      <c r="V275" s="4">
        <f t="shared" si="167"/>
        <v>7</v>
      </c>
      <c r="W275" s="153">
        <f t="shared" si="259"/>
        <v>13070.692124105011</v>
      </c>
      <c r="X275" s="153">
        <f t="shared" si="260"/>
        <v>333.43144663814928</v>
      </c>
      <c r="Z275" s="98">
        <f t="shared" si="261"/>
        <v>273831</v>
      </c>
      <c r="AA275" s="119">
        <f t="shared" si="252"/>
        <v>-1467</v>
      </c>
      <c r="AB275" s="512">
        <f>[9]SPAMWh!$L155</f>
        <v>272762</v>
      </c>
      <c r="AC275" s="4">
        <f t="shared" si="168"/>
        <v>2005</v>
      </c>
      <c r="AD275" s="4">
        <f t="shared" si="169"/>
        <v>7</v>
      </c>
      <c r="AE275" s="107">
        <f>RESID!AC275</f>
        <v>30.65</v>
      </c>
      <c r="AF275" s="40">
        <f t="shared" si="262"/>
        <v>12972.601431980907</v>
      </c>
      <c r="AG275" s="4">
        <f t="shared" si="263"/>
        <v>271776</v>
      </c>
      <c r="AH275" s="130">
        <f t="shared" ref="AH275:AH280" si="269">Z275-Z263</f>
        <v>14373</v>
      </c>
      <c r="AY275" s="4">
        <f t="shared" si="170"/>
        <v>2005</v>
      </c>
      <c r="AZ275" s="4">
        <f t="shared" si="171"/>
        <v>7</v>
      </c>
      <c r="BA275" s="4">
        <f>'[8]Gov 65 &amp; 70'!$S360</f>
        <v>443.2</v>
      </c>
      <c r="BB275" s="4">
        <f t="shared" si="172"/>
        <v>391.2</v>
      </c>
      <c r="BC275" s="82">
        <f t="shared" si="253"/>
        <v>-52</v>
      </c>
      <c r="BD275" s="36" t="s">
        <v>18</v>
      </c>
      <c r="BE275" s="4">
        <f>'[8]Gov 65 &amp; 70'!$J360</f>
        <v>0</v>
      </c>
      <c r="BF275" s="4">
        <f t="shared" si="173"/>
        <v>0</v>
      </c>
      <c r="BG275" s="83">
        <f t="shared" si="254"/>
        <v>0</v>
      </c>
      <c r="BH275" s="36" t="s">
        <v>18</v>
      </c>
      <c r="BI275" s="273">
        <f t="shared" si="264"/>
        <v>-11917.36</v>
      </c>
      <c r="BJ275" s="270">
        <f t="shared" si="265"/>
        <v>0</v>
      </c>
      <c r="BK275" s="482">
        <f t="shared" si="266"/>
        <v>-11917</v>
      </c>
      <c r="BL275" s="276"/>
      <c r="BM275" s="36" t="s">
        <v>18</v>
      </c>
      <c r="BN275" s="4">
        <f t="shared" si="174"/>
        <v>2005</v>
      </c>
      <c r="BO275" s="4">
        <f t="shared" si="175"/>
        <v>7</v>
      </c>
      <c r="BP275" s="108">
        <f>(C275+[4]MWh!$AN109)</f>
        <v>274516.54312421777</v>
      </c>
      <c r="BQ275" s="108">
        <f t="shared" si="197"/>
        <v>13103.414946263378</v>
      </c>
      <c r="BR275" s="108">
        <f t="shared" si="198"/>
        <v>12534.584397337363</v>
      </c>
      <c r="BS275" s="108">
        <f t="shared" si="218"/>
        <v>-560.67481412031157</v>
      </c>
      <c r="BT275" s="175">
        <f t="shared" si="199"/>
        <v>262599.54312421777</v>
      </c>
      <c r="BU275" s="108">
        <f t="shared" ref="BU275:BU280" si="270">BT275-BT263</f>
        <v>-4150.8870131750591</v>
      </c>
      <c r="BV275" s="4">
        <f t="shared" si="250"/>
        <v>-11917</v>
      </c>
      <c r="BW275" s="444">
        <f>BT275/[9]SPAMWh!$L155</f>
        <v>0.96274240225624452</v>
      </c>
    </row>
    <row r="276" spans="1:75">
      <c r="A276" s="4">
        <f t="shared" si="161"/>
        <v>2005</v>
      </c>
      <c r="B276" s="4">
        <f t="shared" si="162"/>
        <v>8</v>
      </c>
      <c r="C276" s="5">
        <f>'[2]FPC wSEB'!$J373</f>
        <v>295362</v>
      </c>
      <c r="D276" s="5">
        <f>'[2]FPC wSEB'!$AB373</f>
        <v>20974</v>
      </c>
      <c r="E276" s="73">
        <f t="shared" ref="E276:E281" si="271">ROUND(C276/D276*1000,0)</f>
        <v>14082</v>
      </c>
      <c r="F276" s="540">
        <f t="shared" si="255"/>
        <v>20974</v>
      </c>
      <c r="H276" s="13" t="s">
        <v>18</v>
      </c>
      <c r="I276" s="76">
        <f>'[7]Gov 65 &amp; 70'!$S361</f>
        <v>447</v>
      </c>
      <c r="J276" s="76">
        <f t="shared" si="164"/>
        <v>390.1</v>
      </c>
      <c r="K276" s="362">
        <f t="shared" si="267"/>
        <v>-56.899999999999977</v>
      </c>
      <c r="L276" s="200" t="s">
        <v>18</v>
      </c>
      <c r="M276" s="76">
        <f>'[7]Gov 65 &amp; 70'!$J361</f>
        <v>0</v>
      </c>
      <c r="N276" s="76">
        <f t="shared" si="165"/>
        <v>0</v>
      </c>
      <c r="O276" s="363">
        <f t="shared" si="268"/>
        <v>0</v>
      </c>
      <c r="P276" s="13" t="s">
        <v>18</v>
      </c>
      <c r="Q276" s="77">
        <f t="shared" si="256"/>
        <v>-13040.341999999995</v>
      </c>
      <c r="R276" s="78">
        <f t="shared" si="257"/>
        <v>0</v>
      </c>
      <c r="S276" s="479">
        <f t="shared" si="258"/>
        <v>-13040</v>
      </c>
      <c r="T276" s="13" t="s">
        <v>18</v>
      </c>
      <c r="U276" s="4">
        <f t="shared" si="166"/>
        <v>2005</v>
      </c>
      <c r="V276" s="4">
        <f t="shared" si="167"/>
        <v>8</v>
      </c>
      <c r="W276" s="153">
        <f t="shared" si="259"/>
        <v>13460.570229808334</v>
      </c>
      <c r="X276" s="153">
        <f t="shared" si="260"/>
        <v>-423.79315763543491</v>
      </c>
      <c r="Z276" s="98">
        <f t="shared" si="261"/>
        <v>282322</v>
      </c>
      <c r="AA276" s="119">
        <f t="shared" ref="AA276:AA281" si="272">Z276-C276</f>
        <v>-13040</v>
      </c>
      <c r="AB276" s="512">
        <f>[9]SPAMWh!$L156</f>
        <v>278384</v>
      </c>
      <c r="AC276" s="4">
        <f t="shared" si="168"/>
        <v>2005</v>
      </c>
      <c r="AD276" s="4">
        <f t="shared" si="169"/>
        <v>8</v>
      </c>
      <c r="AE276" s="107">
        <f>RESID!AC276</f>
        <v>31.1</v>
      </c>
      <c r="AF276" s="40">
        <f t="shared" si="262"/>
        <v>13166.253456660626</v>
      </c>
      <c r="AG276" s="4">
        <f t="shared" si="263"/>
        <v>276149</v>
      </c>
      <c r="AH276" s="130">
        <f t="shared" si="269"/>
        <v>-1641</v>
      </c>
      <c r="AY276" s="4">
        <f t="shared" si="170"/>
        <v>2005</v>
      </c>
      <c r="AZ276" s="4">
        <f t="shared" si="171"/>
        <v>8</v>
      </c>
      <c r="BA276" s="4">
        <f>'[8]Gov 65 &amp; 70'!$S361</f>
        <v>456.8</v>
      </c>
      <c r="BB276" s="4">
        <f t="shared" si="172"/>
        <v>394.4</v>
      </c>
      <c r="BC276" s="82">
        <f t="shared" si="253"/>
        <v>-62.400000000000034</v>
      </c>
      <c r="BD276" s="36" t="s">
        <v>18</v>
      </c>
      <c r="BE276" s="4">
        <f>'[8]Gov 65 &amp; 70'!$J361</f>
        <v>0</v>
      </c>
      <c r="BF276" s="4">
        <f t="shared" si="173"/>
        <v>0</v>
      </c>
      <c r="BG276" s="83">
        <f t="shared" si="254"/>
        <v>0</v>
      </c>
      <c r="BH276" s="36" t="s">
        <v>18</v>
      </c>
      <c r="BI276" s="273">
        <f t="shared" si="264"/>
        <v>-14300.832000000008</v>
      </c>
      <c r="BJ276" s="270">
        <f t="shared" si="265"/>
        <v>0</v>
      </c>
      <c r="BK276" s="482">
        <f t="shared" si="266"/>
        <v>-14301</v>
      </c>
      <c r="BL276" s="276"/>
      <c r="BM276" s="36" t="s">
        <v>18</v>
      </c>
      <c r="BN276" s="4">
        <f t="shared" si="174"/>
        <v>2005</v>
      </c>
      <c r="BO276" s="4">
        <f t="shared" si="175"/>
        <v>8</v>
      </c>
      <c r="BP276" s="108">
        <f>(C276+[4]MWh!$AN110)</f>
        <v>308832.96639093757</v>
      </c>
      <c r="BQ276" s="108">
        <f t="shared" si="197"/>
        <v>14724.562143174291</v>
      </c>
      <c r="BR276" s="108">
        <f t="shared" si="198"/>
        <v>14042.717955131951</v>
      </c>
      <c r="BS276" s="108">
        <f t="shared" si="218"/>
        <v>-196.83978173063952</v>
      </c>
      <c r="BT276" s="175">
        <f t="shared" si="199"/>
        <v>294531.96639093757</v>
      </c>
      <c r="BU276" s="108">
        <f t="shared" si="270"/>
        <v>3304.5315566238714</v>
      </c>
      <c r="BV276" s="4">
        <f t="shared" si="250"/>
        <v>-14301</v>
      </c>
      <c r="BW276" s="444">
        <f>BT276/[9]SPAMWh!$L156</f>
        <v>1.058006086524145</v>
      </c>
    </row>
    <row r="277" spans="1:75">
      <c r="A277" s="4">
        <f t="shared" si="161"/>
        <v>2005</v>
      </c>
      <c r="B277" s="4">
        <f t="shared" si="162"/>
        <v>9</v>
      </c>
      <c r="C277" s="5">
        <f>'[2]FPC wSEB'!$J374</f>
        <v>319384</v>
      </c>
      <c r="D277" s="5">
        <f>'[2]FPC wSEB'!$AB374</f>
        <v>21070</v>
      </c>
      <c r="E277" s="73">
        <f t="shared" si="271"/>
        <v>15158</v>
      </c>
      <c r="F277" s="540">
        <f t="shared" si="255"/>
        <v>21070</v>
      </c>
      <c r="H277" s="13" t="s">
        <v>18</v>
      </c>
      <c r="I277" s="76">
        <f>'[7]Gov 65 &amp; 70'!$S362</f>
        <v>428.5</v>
      </c>
      <c r="J277" s="76">
        <f t="shared" si="164"/>
        <v>381.2</v>
      </c>
      <c r="K277" s="362">
        <f t="shared" si="267"/>
        <v>-47.300000000000011</v>
      </c>
      <c r="L277" s="200" t="s">
        <v>18</v>
      </c>
      <c r="M277" s="76">
        <f>'[7]Gov 65 &amp; 70'!$J362</f>
        <v>0</v>
      </c>
      <c r="N277" s="76">
        <f t="shared" si="165"/>
        <v>0</v>
      </c>
      <c r="O277" s="363">
        <f t="shared" si="268"/>
        <v>0</v>
      </c>
      <c r="P277" s="13" t="s">
        <v>18</v>
      </c>
      <c r="Q277" s="77">
        <f t="shared" si="256"/>
        <v>-10840.214000000004</v>
      </c>
      <c r="R277" s="78">
        <f t="shared" si="257"/>
        <v>0</v>
      </c>
      <c r="S277" s="479">
        <f t="shared" si="258"/>
        <v>-10840</v>
      </c>
      <c r="T277" s="13" t="s">
        <v>18</v>
      </c>
      <c r="U277" s="4">
        <f t="shared" si="166"/>
        <v>2005</v>
      </c>
      <c r="V277" s="4">
        <f t="shared" si="167"/>
        <v>9</v>
      </c>
      <c r="W277" s="153">
        <f t="shared" si="259"/>
        <v>14643.7588989084</v>
      </c>
      <c r="X277" s="153">
        <f t="shared" si="260"/>
        <v>1215.4972959395818</v>
      </c>
      <c r="Z277" s="98">
        <f t="shared" si="261"/>
        <v>308544</v>
      </c>
      <c r="AA277" s="119">
        <f t="shared" si="272"/>
        <v>-10840</v>
      </c>
      <c r="AB277" s="512">
        <f>[9]SPAMWh!$L157</f>
        <v>307886</v>
      </c>
      <c r="AC277" s="4">
        <f t="shared" si="168"/>
        <v>2005</v>
      </c>
      <c r="AD277" s="4">
        <f t="shared" si="169"/>
        <v>9</v>
      </c>
      <c r="AE277" s="107">
        <f>RESID!AC277</f>
        <v>30.45</v>
      </c>
      <c r="AF277" s="40">
        <f t="shared" si="262"/>
        <v>14629.330802088278</v>
      </c>
      <c r="AG277" s="4">
        <f t="shared" si="263"/>
        <v>308240</v>
      </c>
      <c r="AH277" s="130">
        <f t="shared" si="269"/>
        <v>29921</v>
      </c>
      <c r="AY277" s="4">
        <f t="shared" si="170"/>
        <v>2005</v>
      </c>
      <c r="AZ277" s="4">
        <f t="shared" si="171"/>
        <v>9</v>
      </c>
      <c r="BA277" s="4">
        <f>'[8]Gov 65 &amp; 70'!$S362</f>
        <v>366.3</v>
      </c>
      <c r="BB277" s="4">
        <f t="shared" si="172"/>
        <v>339.3</v>
      </c>
      <c r="BC277" s="82">
        <f t="shared" si="253"/>
        <v>-27</v>
      </c>
      <c r="BD277" s="36" t="s">
        <v>18</v>
      </c>
      <c r="BE277" s="4">
        <f>'[8]Gov 65 &amp; 70'!$J362</f>
        <v>0.6</v>
      </c>
      <c r="BF277" s="4">
        <f t="shared" si="173"/>
        <v>0</v>
      </c>
      <c r="BG277" s="83">
        <f t="shared" si="254"/>
        <v>-0.6</v>
      </c>
      <c r="BH277" s="36" t="s">
        <v>18</v>
      </c>
      <c r="BI277" s="273">
        <f t="shared" si="264"/>
        <v>-6187.8600000000006</v>
      </c>
      <c r="BJ277" s="270">
        <f t="shared" si="265"/>
        <v>-24.347999999999999</v>
      </c>
      <c r="BK277" s="482">
        <f t="shared" si="266"/>
        <v>-6212</v>
      </c>
      <c r="BL277" s="276"/>
      <c r="BM277" s="36" t="s">
        <v>18</v>
      </c>
      <c r="BN277" s="4">
        <f t="shared" si="174"/>
        <v>2005</v>
      </c>
      <c r="BO277" s="4">
        <f t="shared" si="175"/>
        <v>9</v>
      </c>
      <c r="BP277" s="108">
        <f>(C277+[4]MWh!$AN111)</f>
        <v>307681.38682182611</v>
      </c>
      <c r="BQ277" s="108">
        <f t="shared" si="197"/>
        <v>14602.818548734034</v>
      </c>
      <c r="BR277" s="108">
        <f t="shared" si="198"/>
        <v>14307.991780817565</v>
      </c>
      <c r="BS277" s="108">
        <f t="shared" si="218"/>
        <v>1486.6492388431016</v>
      </c>
      <c r="BT277" s="175">
        <f t="shared" si="199"/>
        <v>301469.38682182611</v>
      </c>
      <c r="BU277" s="108">
        <f t="shared" si="270"/>
        <v>35439.350418397982</v>
      </c>
      <c r="BV277" s="4">
        <f t="shared" si="250"/>
        <v>-6212</v>
      </c>
      <c r="BW277" s="444">
        <f>BT277/[9]SPAMWh!$L157</f>
        <v>0.97915912650080261</v>
      </c>
    </row>
    <row r="278" spans="1:75">
      <c r="A278" s="4">
        <f t="shared" si="161"/>
        <v>2005</v>
      </c>
      <c r="B278" s="4">
        <f t="shared" si="162"/>
        <v>10</v>
      </c>
      <c r="C278" s="5">
        <f>'[2]FPC wSEB'!$J375</f>
        <v>298941</v>
      </c>
      <c r="D278" s="5">
        <f>'[2]FPC wSEB'!$AB375</f>
        <v>20837</v>
      </c>
      <c r="E278" s="73">
        <f t="shared" si="271"/>
        <v>14347</v>
      </c>
      <c r="F278" s="540">
        <f t="shared" si="255"/>
        <v>20837</v>
      </c>
      <c r="H278" s="13" t="s">
        <v>18</v>
      </c>
      <c r="I278" s="76">
        <f>'[7]Gov 65 &amp; 70'!$S363</f>
        <v>336.7</v>
      </c>
      <c r="J278" s="76">
        <f t="shared" si="164"/>
        <v>287.8</v>
      </c>
      <c r="K278" s="362">
        <f t="shared" si="267"/>
        <v>-48.899999999999977</v>
      </c>
      <c r="L278" s="200" t="s">
        <v>18</v>
      </c>
      <c r="M278" s="76">
        <f>'[7]Gov 65 &amp; 70'!$J363</f>
        <v>1.5</v>
      </c>
      <c r="N278" s="76">
        <f t="shared" si="165"/>
        <v>2.5</v>
      </c>
      <c r="O278" s="363">
        <f t="shared" si="268"/>
        <v>1</v>
      </c>
      <c r="P278" s="13" t="s">
        <v>18</v>
      </c>
      <c r="Q278" s="77">
        <f t="shared" si="256"/>
        <v>-11206.901999999995</v>
      </c>
      <c r="R278" s="78">
        <f t="shared" si="257"/>
        <v>40.58</v>
      </c>
      <c r="S278" s="479">
        <f t="shared" si="258"/>
        <v>-11166</v>
      </c>
      <c r="T278" s="13" t="s">
        <v>18</v>
      </c>
      <c r="U278" s="4">
        <f t="shared" si="166"/>
        <v>2005</v>
      </c>
      <c r="V278" s="4">
        <f t="shared" si="167"/>
        <v>10</v>
      </c>
      <c r="W278" s="153">
        <f t="shared" si="259"/>
        <v>13810.769304602391</v>
      </c>
      <c r="X278" s="153">
        <f t="shared" si="260"/>
        <v>585.97457479524928</v>
      </c>
      <c r="Z278" s="98">
        <f t="shared" si="261"/>
        <v>287775</v>
      </c>
      <c r="AA278" s="119">
        <f t="shared" si="272"/>
        <v>-11166</v>
      </c>
      <c r="AB278" s="512">
        <f>[9]SPAMWh!$L158</f>
        <v>288077</v>
      </c>
      <c r="AC278" s="4">
        <f t="shared" si="168"/>
        <v>2005</v>
      </c>
      <c r="AD278" s="4">
        <f t="shared" si="169"/>
        <v>10</v>
      </c>
      <c r="AE278" s="107">
        <f>RESID!AC278</f>
        <v>29.75</v>
      </c>
      <c r="AF278" s="40">
        <f t="shared" si="262"/>
        <v>14121.802562748955</v>
      </c>
      <c r="AG278" s="4">
        <f t="shared" si="263"/>
        <v>294256</v>
      </c>
      <c r="AH278" s="130">
        <f t="shared" si="269"/>
        <v>10742</v>
      </c>
      <c r="AY278" s="4">
        <f t="shared" si="170"/>
        <v>2005</v>
      </c>
      <c r="AZ278" s="4">
        <f t="shared" si="171"/>
        <v>10</v>
      </c>
      <c r="BA278" s="4">
        <f>'[8]Gov 65 &amp; 70'!$S363</f>
        <v>226.4</v>
      </c>
      <c r="BB278" s="4">
        <f t="shared" si="172"/>
        <v>200.4</v>
      </c>
      <c r="BC278" s="82">
        <f t="shared" ref="BC278:BC283" si="273">BB278-BA278</f>
        <v>-26</v>
      </c>
      <c r="BD278" s="36" t="s">
        <v>18</v>
      </c>
      <c r="BE278" s="4">
        <f>'[8]Gov 65 &amp; 70'!$J363</f>
        <v>29.3</v>
      </c>
      <c r="BF278" s="4">
        <f t="shared" si="173"/>
        <v>15</v>
      </c>
      <c r="BG278" s="83">
        <f t="shared" ref="BG278:BG283" si="274">BF278-BE278</f>
        <v>-14.3</v>
      </c>
      <c r="BH278" s="36" t="s">
        <v>18</v>
      </c>
      <c r="BI278" s="273">
        <f t="shared" si="264"/>
        <v>-5958.68</v>
      </c>
      <c r="BJ278" s="270">
        <f t="shared" si="265"/>
        <v>-580.29399999999998</v>
      </c>
      <c r="BK278" s="482">
        <f t="shared" si="266"/>
        <v>-6539</v>
      </c>
      <c r="BL278" s="276"/>
      <c r="BM278" s="36" t="s">
        <v>18</v>
      </c>
      <c r="BN278" s="4">
        <f t="shared" si="174"/>
        <v>2005</v>
      </c>
      <c r="BO278" s="4">
        <f t="shared" si="175"/>
        <v>10</v>
      </c>
      <c r="BP278" s="108">
        <f>(C278+[4]MWh!$AN112)</f>
        <v>289492.88876769802</v>
      </c>
      <c r="BQ278" s="108">
        <f t="shared" si="197"/>
        <v>13893.213455281377</v>
      </c>
      <c r="BR278" s="108">
        <f t="shared" si="198"/>
        <v>13579.396687032588</v>
      </c>
      <c r="BS278" s="108">
        <f t="shared" si="218"/>
        <v>-53.736289131016747</v>
      </c>
      <c r="BT278" s="175">
        <f t="shared" si="199"/>
        <v>282953.88876769802</v>
      </c>
      <c r="BU278" s="108">
        <f t="shared" si="270"/>
        <v>-2632.9808169771568</v>
      </c>
      <c r="BV278" s="4">
        <f t="shared" si="250"/>
        <v>-6539</v>
      </c>
      <c r="BW278" s="444">
        <f>BT278/[9]SPAMWh!$L158</f>
        <v>0.98221617403575445</v>
      </c>
    </row>
    <row r="279" spans="1:75">
      <c r="A279" s="4">
        <f t="shared" si="161"/>
        <v>2005</v>
      </c>
      <c r="B279" s="4">
        <f t="shared" si="162"/>
        <v>11</v>
      </c>
      <c r="C279" s="5">
        <f>'[2]FPC wSEB'!$J376</f>
        <v>269980</v>
      </c>
      <c r="D279" s="5">
        <f>'[2]FPC wSEB'!$AB376</f>
        <v>21417</v>
      </c>
      <c r="E279" s="73">
        <f t="shared" si="271"/>
        <v>12606</v>
      </c>
      <c r="F279" s="540">
        <f t="shared" si="255"/>
        <v>21417</v>
      </c>
      <c r="H279" s="13" t="s">
        <v>18</v>
      </c>
      <c r="I279" s="76">
        <f>'[7]Gov 65 &amp; 70'!$S364</f>
        <v>146.80000000000001</v>
      </c>
      <c r="J279" s="76">
        <f t="shared" si="164"/>
        <v>140.19999999999999</v>
      </c>
      <c r="K279" s="362">
        <f t="shared" si="267"/>
        <v>-6.6000000000000227</v>
      </c>
      <c r="L279" s="200" t="s">
        <v>18</v>
      </c>
      <c r="M279" s="76">
        <f>'[7]Gov 65 &amp; 70'!$J364</f>
        <v>37.5</v>
      </c>
      <c r="N279" s="76">
        <f t="shared" si="165"/>
        <v>38.6</v>
      </c>
      <c r="O279" s="363">
        <f t="shared" si="268"/>
        <v>1.1000000000000014</v>
      </c>
      <c r="P279" s="13" t="s">
        <v>18</v>
      </c>
      <c r="Q279" s="77">
        <f t="shared" si="256"/>
        <v>-1512.5880000000052</v>
      </c>
      <c r="R279" s="78">
        <f t="shared" si="257"/>
        <v>44.638000000000055</v>
      </c>
      <c r="S279" s="479">
        <f t="shared" si="258"/>
        <v>-1468</v>
      </c>
      <c r="T279" s="13" t="s">
        <v>18</v>
      </c>
      <c r="U279" s="4">
        <f t="shared" si="166"/>
        <v>2005</v>
      </c>
      <c r="V279" s="4">
        <f t="shared" si="167"/>
        <v>11</v>
      </c>
      <c r="W279" s="153">
        <f t="shared" si="259"/>
        <v>12537.330158285475</v>
      </c>
      <c r="X279" s="153">
        <f t="shared" si="260"/>
        <v>2.4507925216312287E-2</v>
      </c>
      <c r="Z279" s="98">
        <f t="shared" si="261"/>
        <v>268512</v>
      </c>
      <c r="AA279" s="119">
        <f t="shared" si="272"/>
        <v>-1468</v>
      </c>
      <c r="AB279" s="512">
        <f>[9]SPAMWh!$L159</f>
        <v>265638</v>
      </c>
      <c r="AC279" s="4">
        <f t="shared" si="168"/>
        <v>2005</v>
      </c>
      <c r="AD279" s="4">
        <f t="shared" si="169"/>
        <v>11</v>
      </c>
      <c r="AE279" s="107">
        <f>RESID!AC279</f>
        <v>30.25</v>
      </c>
      <c r="AF279" s="40">
        <f t="shared" si="262"/>
        <v>12607.788205631041</v>
      </c>
      <c r="AG279" s="4">
        <f t="shared" si="263"/>
        <v>270021</v>
      </c>
      <c r="AH279" s="130">
        <f t="shared" si="269"/>
        <v>4025</v>
      </c>
      <c r="AY279" s="4">
        <f t="shared" si="170"/>
        <v>2005</v>
      </c>
      <c r="AZ279" s="4">
        <f t="shared" si="171"/>
        <v>11</v>
      </c>
      <c r="BA279" s="4">
        <f>'[8]Gov 65 &amp; 70'!$S364</f>
        <v>78.599999999999994</v>
      </c>
      <c r="BB279" s="4">
        <f t="shared" si="172"/>
        <v>66.3</v>
      </c>
      <c r="BC279" s="82">
        <f t="shared" si="273"/>
        <v>-12.299999999999997</v>
      </c>
      <c r="BD279" s="36" t="s">
        <v>18</v>
      </c>
      <c r="BE279" s="4">
        <f>'[8]Gov 65 &amp; 70'!$J364</f>
        <v>47.1</v>
      </c>
      <c r="BF279" s="4">
        <f t="shared" si="173"/>
        <v>69.900000000000006</v>
      </c>
      <c r="BG279" s="83">
        <f t="shared" si="274"/>
        <v>22.800000000000004</v>
      </c>
      <c r="BH279" s="36" t="s">
        <v>18</v>
      </c>
      <c r="BI279" s="273">
        <f t="shared" si="264"/>
        <v>-2818.9139999999993</v>
      </c>
      <c r="BJ279" s="270">
        <f t="shared" si="265"/>
        <v>925.22400000000016</v>
      </c>
      <c r="BK279" s="482">
        <f t="shared" si="266"/>
        <v>-1894</v>
      </c>
      <c r="BL279" s="276"/>
      <c r="BM279" s="36" t="s">
        <v>18</v>
      </c>
      <c r="BN279" s="4">
        <f t="shared" si="174"/>
        <v>2005</v>
      </c>
      <c r="BO279" s="4">
        <f t="shared" si="175"/>
        <v>11</v>
      </c>
      <c r="BP279" s="108">
        <f>(C279+[4]MWh!$AN113)</f>
        <v>243235.61158813845</v>
      </c>
      <c r="BQ279" s="108">
        <f t="shared" si="197"/>
        <v>11357.128056597023</v>
      </c>
      <c r="BR279" s="108">
        <f t="shared" si="198"/>
        <v>11268.693635342879</v>
      </c>
      <c r="BS279" s="108">
        <f t="shared" si="218"/>
        <v>-689.02461289560597</v>
      </c>
      <c r="BT279" s="175">
        <f t="shared" si="199"/>
        <v>241341.61158813845</v>
      </c>
      <c r="BU279" s="108">
        <f t="shared" si="270"/>
        <v>-10918.412576700648</v>
      </c>
      <c r="BV279" s="4">
        <f t="shared" si="250"/>
        <v>-1894</v>
      </c>
      <c r="BW279" s="444">
        <f>BT279/[9]SPAMWh!$L159</f>
        <v>0.90853571999540139</v>
      </c>
    </row>
    <row r="280" spans="1:75" s="89" customFormat="1">
      <c r="A280" s="89">
        <f t="shared" si="161"/>
        <v>2005</v>
      </c>
      <c r="B280" s="89">
        <f t="shared" si="162"/>
        <v>12</v>
      </c>
      <c r="C280" s="103">
        <f>'[2]FPC wSEB'!$J377</f>
        <v>254441</v>
      </c>
      <c r="D280" s="103">
        <f>'[2]FPC wSEB'!$AB377</f>
        <v>21088</v>
      </c>
      <c r="E280" s="104">
        <f t="shared" si="271"/>
        <v>12066</v>
      </c>
      <c r="F280" s="586">
        <f t="shared" si="255"/>
        <v>21088</v>
      </c>
      <c r="H280" s="90" t="s">
        <v>18</v>
      </c>
      <c r="I280" s="92">
        <f>'[7]Gov 65 &amp; 70'!$S365</f>
        <v>47.7</v>
      </c>
      <c r="J280" s="92">
        <f t="shared" si="164"/>
        <v>50.8</v>
      </c>
      <c r="K280" s="364">
        <f t="shared" si="267"/>
        <v>3.0999999999999943</v>
      </c>
      <c r="L280" s="210" t="s">
        <v>18</v>
      </c>
      <c r="M280" s="92">
        <f>'[7]Gov 65 &amp; 70'!$J365</f>
        <v>112</v>
      </c>
      <c r="N280" s="92">
        <f t="shared" si="165"/>
        <v>121.8</v>
      </c>
      <c r="O280" s="365">
        <f t="shared" si="268"/>
        <v>9.7999999999999972</v>
      </c>
      <c r="P280" s="90" t="s">
        <v>18</v>
      </c>
      <c r="Q280" s="114">
        <f t="shared" si="256"/>
        <v>710.45799999999872</v>
      </c>
      <c r="R280" s="95">
        <f t="shared" si="257"/>
        <v>397.68399999999986</v>
      </c>
      <c r="S280" s="480">
        <f t="shared" si="258"/>
        <v>1108</v>
      </c>
      <c r="T280" s="90" t="s">
        <v>18</v>
      </c>
      <c r="U280" s="89">
        <f t="shared" si="166"/>
        <v>2005</v>
      </c>
      <c r="V280" s="89">
        <f t="shared" si="167"/>
        <v>12</v>
      </c>
      <c r="W280" s="154">
        <f t="shared" si="259"/>
        <v>12118.218892261002</v>
      </c>
      <c r="X280" s="154">
        <f t="shared" ref="X280:X285" si="275">W280-W268</f>
        <v>193.09005087906007</v>
      </c>
      <c r="Z280" s="155">
        <f t="shared" si="261"/>
        <v>255549</v>
      </c>
      <c r="AA280" s="156">
        <f t="shared" si="272"/>
        <v>1108</v>
      </c>
      <c r="AB280" s="522">
        <f>[9]SPAMWh!$L160</f>
        <v>257126</v>
      </c>
      <c r="AC280" s="89">
        <f t="shared" si="168"/>
        <v>2005</v>
      </c>
      <c r="AD280" s="89">
        <f t="shared" si="169"/>
        <v>12</v>
      </c>
      <c r="AE280" s="110">
        <f>RESID!AC280</f>
        <v>31.65</v>
      </c>
      <c r="AF280" s="116">
        <f t="shared" si="262"/>
        <v>11647.287556904401</v>
      </c>
      <c r="AG280" s="89">
        <f t="shared" si="263"/>
        <v>245618</v>
      </c>
      <c r="AH280" s="299">
        <f t="shared" si="269"/>
        <v>5646</v>
      </c>
      <c r="AY280" s="89">
        <f t="shared" si="170"/>
        <v>2005</v>
      </c>
      <c r="AZ280" s="89">
        <f t="shared" si="171"/>
        <v>12</v>
      </c>
      <c r="BA280" s="89">
        <f>'[8]Gov 65 &amp; 70'!$S365</f>
        <v>6.7</v>
      </c>
      <c r="BB280" s="89">
        <f t="shared" si="172"/>
        <v>28.2</v>
      </c>
      <c r="BC280" s="111">
        <f t="shared" si="273"/>
        <v>21.5</v>
      </c>
      <c r="BD280" s="113" t="s">
        <v>18</v>
      </c>
      <c r="BE280" s="89">
        <f>'[8]Gov 65 &amp; 70'!$J365</f>
        <v>214.3</v>
      </c>
      <c r="BF280" s="89">
        <f t="shared" si="173"/>
        <v>170</v>
      </c>
      <c r="BG280" s="112">
        <f t="shared" si="274"/>
        <v>-44.300000000000011</v>
      </c>
      <c r="BH280" s="113" t="s">
        <v>18</v>
      </c>
      <c r="BI280" s="274">
        <f t="shared" si="264"/>
        <v>4927.37</v>
      </c>
      <c r="BJ280" s="275">
        <f t="shared" si="265"/>
        <v>-1797.6940000000004</v>
      </c>
      <c r="BK280" s="483">
        <f t="shared" si="266"/>
        <v>3130</v>
      </c>
      <c r="BL280" s="277"/>
      <c r="BM280" s="113" t="s">
        <v>18</v>
      </c>
      <c r="BN280" s="89">
        <f t="shared" si="174"/>
        <v>2005</v>
      </c>
      <c r="BO280" s="89">
        <f t="shared" si="175"/>
        <v>12</v>
      </c>
      <c r="BP280" s="117">
        <f>(C280+[4]MWh!$AN114)</f>
        <v>266753.04308344796</v>
      </c>
      <c r="BQ280" s="117">
        <f t="shared" si="197"/>
        <v>12649.518355626326</v>
      </c>
      <c r="BR280" s="117">
        <f t="shared" si="198"/>
        <v>12797.944000542866</v>
      </c>
      <c r="BS280" s="117">
        <f t="shared" si="218"/>
        <v>-15.038618685723122</v>
      </c>
      <c r="BT280" s="176">
        <f t="shared" si="199"/>
        <v>269883.04308344796</v>
      </c>
      <c r="BU280" s="117">
        <f t="shared" si="270"/>
        <v>1374.1793148936704</v>
      </c>
      <c r="BV280" s="89">
        <f t="shared" si="250"/>
        <v>3130</v>
      </c>
      <c r="BW280" s="533">
        <f>BT280/[9]SPAMWh!$L160</f>
        <v>1.0496139755740297</v>
      </c>
    </row>
    <row r="281" spans="1:75">
      <c r="A281" s="4">
        <f t="shared" si="161"/>
        <v>2006</v>
      </c>
      <c r="B281" s="4">
        <f t="shared" si="162"/>
        <v>1</v>
      </c>
      <c r="C281" s="5">
        <f>'[2]FPC wSEB'!$J378</f>
        <v>236114</v>
      </c>
      <c r="D281" s="5">
        <f>'[2]FPC wSEB'!$AB378</f>
        <v>20899</v>
      </c>
      <c r="E281" s="73">
        <f t="shared" si="271"/>
        <v>11298</v>
      </c>
      <c r="F281" s="540">
        <f t="shared" si="255"/>
        <v>20899</v>
      </c>
      <c r="H281" s="13" t="s">
        <v>18</v>
      </c>
      <c r="I281" s="76">
        <f>'[7]Gov 65 &amp; 70'!$S366</f>
        <v>15.3</v>
      </c>
      <c r="J281" s="76">
        <f t="shared" si="164"/>
        <v>28.7</v>
      </c>
      <c r="K281" s="362">
        <f t="shared" ref="K281:K286" si="276">(J281-I281)</f>
        <v>13.399999999999999</v>
      </c>
      <c r="L281" s="200" t="s">
        <v>18</v>
      </c>
      <c r="M281" s="76">
        <f>'[7]Gov 65 &amp; 70'!$J366</f>
        <v>208.3</v>
      </c>
      <c r="N281" s="76">
        <f t="shared" si="165"/>
        <v>192.9</v>
      </c>
      <c r="O281" s="363">
        <f t="shared" ref="O281:O286" si="277">(N281-M281)</f>
        <v>-15.400000000000006</v>
      </c>
      <c r="P281" s="13" t="s">
        <v>18</v>
      </c>
      <c r="Q281" s="77">
        <f t="shared" si="256"/>
        <v>3071.0119999999997</v>
      </c>
      <c r="R281" s="78">
        <f t="shared" si="257"/>
        <v>-624.93200000000024</v>
      </c>
      <c r="S281" s="479">
        <f t="shared" si="258"/>
        <v>2446</v>
      </c>
      <c r="T281" s="13" t="s">
        <v>18</v>
      </c>
      <c r="U281" s="4">
        <f t="shared" si="166"/>
        <v>2006</v>
      </c>
      <c r="V281" s="4">
        <f t="shared" si="167"/>
        <v>1</v>
      </c>
      <c r="W281" s="153">
        <f t="shared" si="259"/>
        <v>11414.90023446098</v>
      </c>
      <c r="X281" s="153">
        <f t="shared" si="275"/>
        <v>-209.02638536727864</v>
      </c>
      <c r="Z281" s="98">
        <f t="shared" si="261"/>
        <v>238560</v>
      </c>
      <c r="AA281" s="119">
        <f t="shared" si="272"/>
        <v>2446</v>
      </c>
      <c r="AB281" s="512">
        <f>[9]SPAMWh!$L161</f>
        <v>239947</v>
      </c>
      <c r="AC281" s="4">
        <f t="shared" si="168"/>
        <v>2006</v>
      </c>
      <c r="AD281" s="4">
        <f t="shared" si="169"/>
        <v>1</v>
      </c>
      <c r="AE281" s="107">
        <f>RESID!AC281</f>
        <v>31.7</v>
      </c>
      <c r="AF281" s="40">
        <f t="shared" si="262"/>
        <v>10953.969089430115</v>
      </c>
      <c r="AG281" s="4">
        <f t="shared" si="263"/>
        <v>228927</v>
      </c>
      <c r="AH281" s="130">
        <f t="shared" ref="AH281:AH286" si="278">Z281-Z269</f>
        <v>316</v>
      </c>
      <c r="AY281" s="4">
        <f t="shared" si="170"/>
        <v>2006</v>
      </c>
      <c r="AZ281" s="4">
        <f t="shared" si="171"/>
        <v>1</v>
      </c>
      <c r="BA281" s="4">
        <f>'[8]Gov 65 &amp; 70'!$S366</f>
        <v>29.3</v>
      </c>
      <c r="BB281" s="4">
        <f t="shared" si="172"/>
        <v>23.9</v>
      </c>
      <c r="BC281" s="82">
        <f t="shared" si="273"/>
        <v>-5.4000000000000021</v>
      </c>
      <c r="BD281" s="36" t="s">
        <v>18</v>
      </c>
      <c r="BE281" s="4">
        <f>'[8]Gov 65 &amp; 70'!$J366</f>
        <v>150.80000000000001</v>
      </c>
      <c r="BF281" s="4">
        <f t="shared" si="173"/>
        <v>176.9</v>
      </c>
      <c r="BG281" s="83">
        <f t="shared" si="274"/>
        <v>26.099999999999994</v>
      </c>
      <c r="BH281" s="36" t="s">
        <v>18</v>
      </c>
      <c r="BI281" s="273">
        <f t="shared" si="264"/>
        <v>-1237.5720000000006</v>
      </c>
      <c r="BJ281" s="270">
        <f t="shared" si="265"/>
        <v>1059.1379999999997</v>
      </c>
      <c r="BK281" s="482">
        <f t="shared" si="266"/>
        <v>-178</v>
      </c>
      <c r="BL281" s="276"/>
      <c r="BM281" s="36" t="s">
        <v>18</v>
      </c>
      <c r="BN281" s="4">
        <f t="shared" si="174"/>
        <v>2006</v>
      </c>
      <c r="BO281" s="4">
        <f t="shared" si="175"/>
        <v>1</v>
      </c>
      <c r="BP281" s="108">
        <f>(C281+[4]MWh!$AN115)</f>
        <v>214395.48561879585</v>
      </c>
      <c r="BQ281" s="108">
        <f t="shared" si="197"/>
        <v>10258.648051045306</v>
      </c>
      <c r="BR281" s="108">
        <f t="shared" si="198"/>
        <v>10250.130897114495</v>
      </c>
      <c r="BS281" s="108">
        <f t="shared" si="218"/>
        <v>-39.895703072792458</v>
      </c>
      <c r="BT281" s="175">
        <f t="shared" si="199"/>
        <v>214217.48561879585</v>
      </c>
      <c r="BU281" s="108">
        <f t="shared" ref="BU281:BU286" si="279">BT281-BT269</f>
        <v>3313.1004213572014</v>
      </c>
      <c r="BV281" s="4">
        <f t="shared" si="250"/>
        <v>-178</v>
      </c>
      <c r="BW281" s="444">
        <f>BT281/[9]SPAMWh!$L161</f>
        <v>0.89277001012221802</v>
      </c>
    </row>
    <row r="282" spans="1:75">
      <c r="A282" s="4">
        <f t="shared" si="161"/>
        <v>2006</v>
      </c>
      <c r="B282" s="4">
        <f t="shared" si="162"/>
        <v>2</v>
      </c>
      <c r="C282" s="5">
        <f>'[2]FPC wSEB'!$J379</f>
        <v>240904</v>
      </c>
      <c r="D282" s="5">
        <f>'[2]FPC wSEB'!$AB379</f>
        <v>21101</v>
      </c>
      <c r="E282" s="73">
        <f t="shared" ref="E282:E287" si="280">ROUND(C282/D282*1000,0)</f>
        <v>11417</v>
      </c>
      <c r="F282" s="540">
        <f t="shared" si="255"/>
        <v>21101</v>
      </c>
      <c r="H282" s="13" t="s">
        <v>18</v>
      </c>
      <c r="I282" s="76">
        <f>'[7]Gov 65 &amp; 70'!$S367</f>
        <v>22.1</v>
      </c>
      <c r="J282" s="76">
        <f t="shared" si="164"/>
        <v>22.6</v>
      </c>
      <c r="K282" s="362">
        <f t="shared" si="276"/>
        <v>0.5</v>
      </c>
      <c r="L282" s="200" t="s">
        <v>18</v>
      </c>
      <c r="M282" s="76">
        <f>'[7]Gov 65 &amp; 70'!$J367</f>
        <v>170.1</v>
      </c>
      <c r="N282" s="76">
        <f t="shared" si="165"/>
        <v>177.2</v>
      </c>
      <c r="O282" s="363">
        <f t="shared" si="277"/>
        <v>7.0999999999999943</v>
      </c>
      <c r="P282" s="13" t="s">
        <v>18</v>
      </c>
      <c r="Q282" s="77">
        <f t="shared" si="256"/>
        <v>114.59</v>
      </c>
      <c r="R282" s="78">
        <f t="shared" si="257"/>
        <v>288.11799999999977</v>
      </c>
      <c r="S282" s="479">
        <f t="shared" si="258"/>
        <v>403</v>
      </c>
      <c r="T282" s="13" t="s">
        <v>18</v>
      </c>
      <c r="U282" s="4">
        <f t="shared" si="166"/>
        <v>2006</v>
      </c>
      <c r="V282" s="4">
        <f t="shared" si="167"/>
        <v>2</v>
      </c>
      <c r="W282" s="153">
        <f t="shared" si="259"/>
        <v>11435.808729444101</v>
      </c>
      <c r="X282" s="153">
        <f t="shared" si="275"/>
        <v>326.28974454517629</v>
      </c>
      <c r="Z282" s="98">
        <f t="shared" si="261"/>
        <v>241307</v>
      </c>
      <c r="AA282" s="119">
        <f t="shared" ref="AA282:AA287" si="281">Z282-C282</f>
        <v>403</v>
      </c>
      <c r="AB282" s="512">
        <f>[9]SPAMWh!$L162</f>
        <v>241153</v>
      </c>
      <c r="AC282" s="4">
        <f t="shared" si="168"/>
        <v>2006</v>
      </c>
      <c r="AD282" s="4">
        <f t="shared" si="169"/>
        <v>2</v>
      </c>
      <c r="AE282" s="107">
        <f>RESID!AC282</f>
        <v>29.6</v>
      </c>
      <c r="AF282" s="40">
        <f t="shared" si="262"/>
        <v>11752.618359319464</v>
      </c>
      <c r="AG282" s="4">
        <f t="shared" si="263"/>
        <v>247992</v>
      </c>
      <c r="AH282" s="4">
        <f t="shared" si="278"/>
        <v>11040</v>
      </c>
      <c r="AY282" s="4">
        <f t="shared" si="170"/>
        <v>2006</v>
      </c>
      <c r="AZ282" s="4">
        <f t="shared" si="171"/>
        <v>2</v>
      </c>
      <c r="BA282" s="4">
        <f>'[8]Gov 65 &amp; 70'!$S367</f>
        <v>21.5</v>
      </c>
      <c r="BB282" s="4">
        <f t="shared" si="172"/>
        <v>32.799999999999997</v>
      </c>
      <c r="BC282" s="82">
        <f t="shared" si="273"/>
        <v>11.299999999999997</v>
      </c>
      <c r="BD282" s="36" t="s">
        <v>18</v>
      </c>
      <c r="BE282" s="4">
        <f>'[8]Gov 65 &amp; 70'!$J367</f>
        <v>175.9</v>
      </c>
      <c r="BF282" s="4">
        <f t="shared" si="173"/>
        <v>139.1</v>
      </c>
      <c r="BG282" s="83">
        <f t="shared" si="274"/>
        <v>-36.800000000000011</v>
      </c>
      <c r="BH282" s="36" t="s">
        <v>18</v>
      </c>
      <c r="BI282" s="273">
        <f t="shared" si="264"/>
        <v>2589.7339999999995</v>
      </c>
      <c r="BJ282" s="270">
        <f t="shared" si="265"/>
        <v>-1493.3440000000005</v>
      </c>
      <c r="BK282" s="482">
        <f t="shared" si="266"/>
        <v>1096</v>
      </c>
      <c r="BL282" s="276"/>
      <c r="BM282" s="36" t="s">
        <v>18</v>
      </c>
      <c r="BN282" s="4">
        <f t="shared" si="174"/>
        <v>2006</v>
      </c>
      <c r="BO282" s="4">
        <f t="shared" si="175"/>
        <v>2</v>
      </c>
      <c r="BP282" s="108">
        <f>(C282+[4]MWh!$AN116)</f>
        <v>246668.31204711203</v>
      </c>
      <c r="BQ282" s="108">
        <f t="shared" si="197"/>
        <v>11689.887306151939</v>
      </c>
      <c r="BR282" s="108">
        <f t="shared" si="198"/>
        <v>11741.82797247107</v>
      </c>
      <c r="BS282" s="108">
        <f t="shared" si="218"/>
        <v>1491.6897873610324</v>
      </c>
      <c r="BT282" s="175">
        <f t="shared" si="199"/>
        <v>247764.31204711203</v>
      </c>
      <c r="BU282" s="108">
        <f t="shared" si="279"/>
        <v>35309.697884336289</v>
      </c>
      <c r="BV282" s="4">
        <f t="shared" si="250"/>
        <v>1096</v>
      </c>
      <c r="BW282" s="444">
        <f>BT282/[9]SPAMWh!$L162</f>
        <v>1.027415425257459</v>
      </c>
    </row>
    <row r="283" spans="1:75">
      <c r="A283" s="4">
        <f t="shared" si="161"/>
        <v>2006</v>
      </c>
      <c r="B283" s="4">
        <f t="shared" si="162"/>
        <v>3</v>
      </c>
      <c r="C283" s="5">
        <f>'[2]FPC wSEB'!$J380</f>
        <v>236840</v>
      </c>
      <c r="D283" s="5">
        <f>'[2]FPC wSEB'!$AB380</f>
        <v>21291</v>
      </c>
      <c r="E283" s="73">
        <f t="shared" si="280"/>
        <v>11124</v>
      </c>
      <c r="F283" s="540">
        <f t="shared" si="255"/>
        <v>21291</v>
      </c>
      <c r="H283" s="13" t="s">
        <v>18</v>
      </c>
      <c r="I283" s="76">
        <f>'[7]Gov 65 &amp; 70'!$S368</f>
        <v>45.3</v>
      </c>
      <c r="J283" s="76">
        <f t="shared" si="164"/>
        <v>44.5</v>
      </c>
      <c r="K283" s="362">
        <f t="shared" si="276"/>
        <v>-0.79999999999999716</v>
      </c>
      <c r="L283" s="200" t="s">
        <v>18</v>
      </c>
      <c r="M283" s="76">
        <f>'[7]Gov 65 &amp; 70'!$J368</f>
        <v>119.7</v>
      </c>
      <c r="N283" s="76">
        <f t="shared" si="165"/>
        <v>119.5</v>
      </c>
      <c r="O283" s="363">
        <f t="shared" si="277"/>
        <v>-0.20000000000000284</v>
      </c>
      <c r="P283" s="13" t="s">
        <v>18</v>
      </c>
      <c r="Q283" s="77">
        <f t="shared" ref="Q283:Q288" si="282">K283*$C$10</f>
        <v>-183.34399999999934</v>
      </c>
      <c r="R283" s="78">
        <f t="shared" ref="R283:R288" si="283">O283*$C$9</f>
        <v>-8.1160000000001151</v>
      </c>
      <c r="S283" s="479">
        <f t="shared" ref="S283:S288" si="284">ROUND((R283+Q283),0)</f>
        <v>-191</v>
      </c>
      <c r="T283" s="13" t="s">
        <v>18</v>
      </c>
      <c r="U283" s="4">
        <f t="shared" si="166"/>
        <v>2006</v>
      </c>
      <c r="V283" s="4">
        <f t="shared" si="167"/>
        <v>3</v>
      </c>
      <c r="W283" s="153">
        <f t="shared" si="259"/>
        <v>11114.978159785824</v>
      </c>
      <c r="X283" s="153">
        <f t="shared" si="275"/>
        <v>-302.026855738417</v>
      </c>
      <c r="Z283" s="98">
        <f t="shared" ref="Z283:Z288" si="285">S283+C283</f>
        <v>236649</v>
      </c>
      <c r="AA283" s="119">
        <f t="shared" si="281"/>
        <v>-191</v>
      </c>
      <c r="AB283" s="512">
        <f>[9]SPAMWh!$L163</f>
        <v>236656</v>
      </c>
      <c r="AC283" s="4">
        <f t="shared" si="168"/>
        <v>2006</v>
      </c>
      <c r="AD283" s="4">
        <f t="shared" si="169"/>
        <v>3</v>
      </c>
      <c r="AE283" s="107">
        <f>RESID!AC283</f>
        <v>29.4</v>
      </c>
      <c r="AF283" s="40">
        <f t="shared" ref="AF283:AF288" si="286">AG283/D283*1000</f>
        <v>11500.587102531586</v>
      </c>
      <c r="AG283" s="4">
        <f t="shared" ref="AG283:AG288" si="287">ROUND(Z283/(AE283/30.42),0)</f>
        <v>244859</v>
      </c>
      <c r="AH283" s="4">
        <f t="shared" si="278"/>
        <v>-2366</v>
      </c>
      <c r="AY283" s="4">
        <f t="shared" si="170"/>
        <v>2006</v>
      </c>
      <c r="AZ283" s="4">
        <f t="shared" si="171"/>
        <v>3</v>
      </c>
      <c r="BA283" s="4">
        <f>'[8]Gov 65 &amp; 70'!$S368</f>
        <v>68.2</v>
      </c>
      <c r="BB283" s="4">
        <f t="shared" si="172"/>
        <v>64.099999999999994</v>
      </c>
      <c r="BC283" s="82">
        <f t="shared" si="273"/>
        <v>-4.1000000000000085</v>
      </c>
      <c r="BD283" s="36" t="s">
        <v>18</v>
      </c>
      <c r="BE283" s="4">
        <f>'[8]Gov 65 &amp; 70'!$J368</f>
        <v>84.7</v>
      </c>
      <c r="BF283" s="4">
        <f t="shared" si="173"/>
        <v>85.4</v>
      </c>
      <c r="BG283" s="83">
        <f t="shared" si="274"/>
        <v>0.70000000000000284</v>
      </c>
      <c r="BH283" s="36" t="s">
        <v>18</v>
      </c>
      <c r="BI283" s="273">
        <f t="shared" ref="BI283:BI288" si="288">$C$10*BC283</f>
        <v>-939.63800000000197</v>
      </c>
      <c r="BJ283" s="270">
        <f t="shared" ref="BJ283:BJ288" si="289">$C$9*BG283</f>
        <v>28.406000000000112</v>
      </c>
      <c r="BK283" s="482">
        <f t="shared" ref="BK283:BK288" si="290">ROUND(BJ283+BI283,0)</f>
        <v>-911</v>
      </c>
      <c r="BL283" s="276"/>
      <c r="BM283" s="36" t="s">
        <v>18</v>
      </c>
      <c r="BN283" s="4">
        <f t="shared" si="174"/>
        <v>2006</v>
      </c>
      <c r="BO283" s="4">
        <f t="shared" si="175"/>
        <v>3</v>
      </c>
      <c r="BP283" s="108">
        <f>(C283+[4]MWh!$AN117)</f>
        <v>244258.28296790828</v>
      </c>
      <c r="BQ283" s="108">
        <f t="shared" ref="BQ283:BQ288" si="291">BP283/D283*1000</f>
        <v>11472.37250330695</v>
      </c>
      <c r="BR283" s="108">
        <f t="shared" ref="BR283:BR288" si="292">BT283/D283*1000</f>
        <v>11429.584470804954</v>
      </c>
      <c r="BS283" s="108">
        <f t="shared" ref="BS283:BS288" si="293">BR283-BR271</f>
        <v>-1081.2714585440735</v>
      </c>
      <c r="BT283" s="175">
        <f t="shared" ref="BT283:BT288" si="294">BK283+BP283</f>
        <v>243347.28296790828</v>
      </c>
      <c r="BU283" s="108">
        <f t="shared" si="279"/>
        <v>-18567.485913013603</v>
      </c>
      <c r="BV283" s="4">
        <f t="shared" si="250"/>
        <v>-911</v>
      </c>
      <c r="BW283" s="444">
        <f>BT283/[9]SPAMWh!$L163</f>
        <v>1.0282743009596558</v>
      </c>
    </row>
    <row r="284" spans="1:75">
      <c r="A284" s="4">
        <f t="shared" si="161"/>
        <v>2006</v>
      </c>
      <c r="B284" s="4">
        <f t="shared" si="162"/>
        <v>4</v>
      </c>
      <c r="C284" s="5">
        <f>'[2]FPC wSEB'!$J381</f>
        <v>250606</v>
      </c>
      <c r="D284" s="5">
        <f>'[2]FPC wSEB'!$AB381</f>
        <v>20883</v>
      </c>
      <c r="E284" s="73">
        <f t="shared" si="280"/>
        <v>12000</v>
      </c>
      <c r="F284" s="540">
        <f t="shared" si="255"/>
        <v>20883</v>
      </c>
      <c r="H284" s="13" t="s">
        <v>18</v>
      </c>
      <c r="I284" s="76">
        <f>'[7]Gov 65 &amp; 70'!$S369</f>
        <v>93.4</v>
      </c>
      <c r="J284" s="76">
        <f t="shared" si="164"/>
        <v>87.7</v>
      </c>
      <c r="K284" s="362">
        <f t="shared" si="276"/>
        <v>-5.7000000000000028</v>
      </c>
      <c r="L284" s="200" t="s">
        <v>18</v>
      </c>
      <c r="M284" s="76">
        <f>'[7]Gov 65 &amp; 70'!$J369</f>
        <v>60.6</v>
      </c>
      <c r="N284" s="76">
        <f t="shared" si="165"/>
        <v>60.3</v>
      </c>
      <c r="O284" s="363">
        <f t="shared" si="277"/>
        <v>-0.30000000000000426</v>
      </c>
      <c r="P284" s="13" t="s">
        <v>18</v>
      </c>
      <c r="Q284" s="77">
        <f t="shared" si="282"/>
        <v>-1306.3260000000007</v>
      </c>
      <c r="R284" s="78">
        <f t="shared" si="283"/>
        <v>-12.174000000000172</v>
      </c>
      <c r="S284" s="479">
        <f t="shared" si="284"/>
        <v>-1319</v>
      </c>
      <c r="T284" s="13" t="s">
        <v>18</v>
      </c>
      <c r="U284" s="4">
        <f t="shared" si="166"/>
        <v>2006</v>
      </c>
      <c r="V284" s="4">
        <f t="shared" si="167"/>
        <v>4</v>
      </c>
      <c r="W284" s="153">
        <f t="shared" si="259"/>
        <v>11937.317435234401</v>
      </c>
      <c r="X284" s="153">
        <f t="shared" si="275"/>
        <v>53.346430481869902</v>
      </c>
      <c r="Z284" s="98">
        <f t="shared" si="285"/>
        <v>249287</v>
      </c>
      <c r="AA284" s="119">
        <f t="shared" si="281"/>
        <v>-1319</v>
      </c>
      <c r="AB284" s="512">
        <f>[9]SPAMWh!$L164</f>
        <v>250274</v>
      </c>
      <c r="AC284" s="4">
        <f t="shared" si="168"/>
        <v>2006</v>
      </c>
      <c r="AD284" s="4">
        <f t="shared" si="169"/>
        <v>4</v>
      </c>
      <c r="AE284" s="107">
        <f>RESID!AC284</f>
        <v>30</v>
      </c>
      <c r="AF284" s="40">
        <f t="shared" si="286"/>
        <v>12104.43901738256</v>
      </c>
      <c r="AG284" s="4">
        <f t="shared" si="287"/>
        <v>252777</v>
      </c>
      <c r="AH284" s="4">
        <f t="shared" si="278"/>
        <v>1732</v>
      </c>
      <c r="AY284" s="4">
        <f t="shared" si="170"/>
        <v>2006</v>
      </c>
      <c r="AZ284" s="4">
        <f t="shared" si="171"/>
        <v>4</v>
      </c>
      <c r="BA284" s="4">
        <f>'[8]Gov 65 &amp; 70'!$S369</f>
        <v>158.80000000000001</v>
      </c>
      <c r="BB284" s="4">
        <f t="shared" si="172"/>
        <v>122</v>
      </c>
      <c r="BC284" s="82">
        <f t="shared" ref="BC284:BC289" si="295">BB284-BA284</f>
        <v>-36.800000000000011</v>
      </c>
      <c r="BD284" s="36" t="s">
        <v>18</v>
      </c>
      <c r="BE284" s="4">
        <f>'[8]Gov 65 &amp; 70'!$J369</f>
        <v>12.9</v>
      </c>
      <c r="BF284" s="4">
        <f t="shared" si="173"/>
        <v>34.700000000000003</v>
      </c>
      <c r="BG284" s="83">
        <f t="shared" ref="BG284:BG289" si="296">BF284-BE284</f>
        <v>21.800000000000004</v>
      </c>
      <c r="BH284" s="36" t="s">
        <v>18</v>
      </c>
      <c r="BI284" s="273">
        <f t="shared" si="288"/>
        <v>-8433.8240000000023</v>
      </c>
      <c r="BJ284" s="270">
        <f t="shared" si="289"/>
        <v>884.64400000000012</v>
      </c>
      <c r="BK284" s="482">
        <f t="shared" si="290"/>
        <v>-7549</v>
      </c>
      <c r="BL284" s="276"/>
      <c r="BM284" s="36" t="s">
        <v>18</v>
      </c>
      <c r="BN284" s="4">
        <f t="shared" si="174"/>
        <v>2006</v>
      </c>
      <c r="BO284" s="4">
        <f t="shared" si="175"/>
        <v>4</v>
      </c>
      <c r="BP284" s="108">
        <f>(C284+[4]MWh!$AN118)</f>
        <v>282099.49907897337</v>
      </c>
      <c r="BQ284" s="108">
        <f t="shared" si="291"/>
        <v>13508.57152128398</v>
      </c>
      <c r="BR284" s="108">
        <f t="shared" si="292"/>
        <v>13147.081313938292</v>
      </c>
      <c r="BS284" s="108">
        <f t="shared" si="293"/>
        <v>1308.6322430398286</v>
      </c>
      <c r="BT284" s="175">
        <f t="shared" si="294"/>
        <v>274550.49907897337</v>
      </c>
      <c r="BU284" s="108">
        <f t="shared" si="279"/>
        <v>27943.7664830875</v>
      </c>
      <c r="BV284" s="4">
        <f t="shared" si="250"/>
        <v>-7549</v>
      </c>
      <c r="BW284" s="444">
        <f>BT284/[9]SPAMWh!$L164</f>
        <v>1.0969996846615044</v>
      </c>
    </row>
    <row r="285" spans="1:75">
      <c r="A285" s="4">
        <f t="shared" si="161"/>
        <v>2006</v>
      </c>
      <c r="B285" s="4">
        <f t="shared" si="162"/>
        <v>5</v>
      </c>
      <c r="C285" s="5">
        <f>'[2]FPC wSEB'!$J382</f>
        <v>271493</v>
      </c>
      <c r="D285" s="5">
        <f>'[2]FPC wSEB'!$AB382</f>
        <v>21390</v>
      </c>
      <c r="E285" s="73">
        <f t="shared" si="280"/>
        <v>12693</v>
      </c>
      <c r="F285" s="540">
        <f t="shared" si="255"/>
        <v>21390</v>
      </c>
      <c r="H285" s="13" t="s">
        <v>18</v>
      </c>
      <c r="I285" s="76">
        <f>'[7]Gov 65 &amp; 70'!$S370</f>
        <v>182.4</v>
      </c>
      <c r="J285" s="76">
        <f t="shared" si="164"/>
        <v>157.69999999999999</v>
      </c>
      <c r="K285" s="362">
        <f t="shared" si="276"/>
        <v>-24.700000000000017</v>
      </c>
      <c r="L285" s="200" t="s">
        <v>18</v>
      </c>
      <c r="M285" s="76">
        <f>'[7]Gov 65 &amp; 70'!$J370</f>
        <v>10.1</v>
      </c>
      <c r="N285" s="76">
        <f t="shared" si="165"/>
        <v>18.600000000000001</v>
      </c>
      <c r="O285" s="363">
        <f t="shared" si="277"/>
        <v>8.5000000000000018</v>
      </c>
      <c r="P285" s="13" t="s">
        <v>18</v>
      </c>
      <c r="Q285" s="77">
        <f t="shared" si="282"/>
        <v>-5660.7460000000037</v>
      </c>
      <c r="R285" s="78">
        <f t="shared" si="283"/>
        <v>344.93000000000006</v>
      </c>
      <c r="S285" s="479">
        <f t="shared" si="284"/>
        <v>-5316</v>
      </c>
      <c r="T285" s="13" t="s">
        <v>18</v>
      </c>
      <c r="U285" s="4">
        <f t="shared" si="166"/>
        <v>2006</v>
      </c>
      <c r="V285" s="4">
        <f t="shared" si="167"/>
        <v>5</v>
      </c>
      <c r="W285" s="153">
        <f t="shared" si="259"/>
        <v>12443.992519869096</v>
      </c>
      <c r="X285" s="153">
        <f t="shared" si="275"/>
        <v>301.74447601396787</v>
      </c>
      <c r="Z285" s="98">
        <f t="shared" si="285"/>
        <v>266177</v>
      </c>
      <c r="AA285" s="119">
        <f t="shared" si="281"/>
        <v>-5316</v>
      </c>
      <c r="AB285" s="512">
        <f>[9]SPAMWh!$L165</f>
        <v>265779</v>
      </c>
      <c r="AC285" s="4">
        <f t="shared" si="168"/>
        <v>2006</v>
      </c>
      <c r="AD285" s="4">
        <f t="shared" si="169"/>
        <v>5</v>
      </c>
      <c r="AE285" s="107">
        <f>RESID!AC285</f>
        <v>30.2</v>
      </c>
      <c r="AF285" s="40">
        <f t="shared" si="286"/>
        <v>12534.642356241233</v>
      </c>
      <c r="AG285" s="4">
        <f t="shared" si="287"/>
        <v>268116</v>
      </c>
      <c r="AH285" s="4">
        <f t="shared" si="278"/>
        <v>7025</v>
      </c>
      <c r="AY285" s="4">
        <f t="shared" si="170"/>
        <v>2006</v>
      </c>
      <c r="AZ285" s="4">
        <f t="shared" si="171"/>
        <v>5</v>
      </c>
      <c r="BA285" s="4">
        <f>'[8]Gov 65 &amp; 70'!$S370</f>
        <v>242.3</v>
      </c>
      <c r="BB285" s="4">
        <f t="shared" si="172"/>
        <v>253</v>
      </c>
      <c r="BC285" s="82">
        <f t="shared" si="295"/>
        <v>10.699999999999989</v>
      </c>
      <c r="BD285" s="36" t="s">
        <v>18</v>
      </c>
      <c r="BE285" s="4">
        <f>'[8]Gov 65 &amp; 70'!$J370</f>
        <v>6.6</v>
      </c>
      <c r="BF285" s="4">
        <f t="shared" si="173"/>
        <v>4.3</v>
      </c>
      <c r="BG285" s="83">
        <f t="shared" si="296"/>
        <v>-2.2999999999999998</v>
      </c>
      <c r="BH285" s="36" t="s">
        <v>18</v>
      </c>
      <c r="BI285" s="273">
        <f t="shared" si="288"/>
        <v>2452.2259999999974</v>
      </c>
      <c r="BJ285" s="270">
        <f t="shared" si="289"/>
        <v>-93.333999999999989</v>
      </c>
      <c r="BK285" s="482">
        <f t="shared" si="290"/>
        <v>2359</v>
      </c>
      <c r="BL285" s="276"/>
      <c r="BM285" s="36" t="s">
        <v>18</v>
      </c>
      <c r="BN285" s="4">
        <f t="shared" si="174"/>
        <v>2006</v>
      </c>
      <c r="BO285" s="4">
        <f t="shared" si="175"/>
        <v>5</v>
      </c>
      <c r="BP285" s="108">
        <f>(C285+[4]MWh!$AN119)</f>
        <v>280632.08826477802</v>
      </c>
      <c r="BQ285" s="108">
        <f t="shared" si="291"/>
        <v>13119.779722523515</v>
      </c>
      <c r="BR285" s="108">
        <f t="shared" si="292"/>
        <v>13230.064902514167</v>
      </c>
      <c r="BS285" s="108">
        <f t="shared" si="293"/>
        <v>-826.21472733859628</v>
      </c>
      <c r="BT285" s="175">
        <f t="shared" si="294"/>
        <v>282991.08826477802</v>
      </c>
      <c r="BU285" s="108">
        <f t="shared" si="279"/>
        <v>-17012.087875169469</v>
      </c>
      <c r="BV285" s="4">
        <f t="shared" si="250"/>
        <v>2359</v>
      </c>
      <c r="BW285" s="444">
        <f>BT285/[9]SPAMWh!$L165</f>
        <v>1.0647609038516137</v>
      </c>
    </row>
    <row r="286" spans="1:75">
      <c r="A286" s="4">
        <f t="shared" ref="A286:A349" si="297">A274+1</f>
        <v>2006</v>
      </c>
      <c r="B286" s="4">
        <f t="shared" ref="B286:B349" si="298">B274</f>
        <v>6</v>
      </c>
      <c r="C286" s="5">
        <f>'[2]FPC wSEB'!$J383</f>
        <v>277683</v>
      </c>
      <c r="D286" s="5">
        <f>'[2]FPC wSEB'!$AB383</f>
        <v>21375</v>
      </c>
      <c r="E286" s="73">
        <f t="shared" si="280"/>
        <v>12991</v>
      </c>
      <c r="F286" s="540">
        <f t="shared" si="255"/>
        <v>21375</v>
      </c>
      <c r="H286" s="13" t="s">
        <v>18</v>
      </c>
      <c r="I286" s="76">
        <f>'[7]Gov 65 &amp; 70'!$S371</f>
        <v>291.7</v>
      </c>
      <c r="J286" s="76">
        <f t="shared" si="164"/>
        <v>295.39999999999998</v>
      </c>
      <c r="K286" s="362">
        <f t="shared" si="276"/>
        <v>3.6999999999999886</v>
      </c>
      <c r="L286" s="200" t="s">
        <v>18</v>
      </c>
      <c r="M286" s="76">
        <f>'[7]Gov 65 &amp; 70'!$J371</f>
        <v>2.6</v>
      </c>
      <c r="N286" s="76">
        <f t="shared" si="165"/>
        <v>2.2000000000000002</v>
      </c>
      <c r="O286" s="363">
        <f t="shared" si="277"/>
        <v>-0.39999999999999991</v>
      </c>
      <c r="P286" s="13" t="s">
        <v>18</v>
      </c>
      <c r="Q286" s="77">
        <f t="shared" si="282"/>
        <v>847.96599999999739</v>
      </c>
      <c r="R286" s="78">
        <f t="shared" si="283"/>
        <v>-16.231999999999996</v>
      </c>
      <c r="S286" s="479">
        <f t="shared" si="284"/>
        <v>832</v>
      </c>
      <c r="T286" s="13" t="s">
        <v>18</v>
      </c>
      <c r="U286" s="4">
        <f t="shared" si="166"/>
        <v>2006</v>
      </c>
      <c r="V286" s="4">
        <f t="shared" si="167"/>
        <v>6</v>
      </c>
      <c r="W286" s="153">
        <f t="shared" si="259"/>
        <v>13029.941520467837</v>
      </c>
      <c r="X286" s="153">
        <f t="shared" ref="X286:X291" si="299">W286-W274</f>
        <v>-664.25423448639231</v>
      </c>
      <c r="Z286" s="98">
        <f t="shared" si="285"/>
        <v>278515</v>
      </c>
      <c r="AA286" s="119">
        <f t="shared" si="281"/>
        <v>832</v>
      </c>
      <c r="AB286" s="512">
        <f>[9]SPAMWh!$L166</f>
        <v>275611</v>
      </c>
      <c r="AC286" s="4">
        <f t="shared" si="168"/>
        <v>2006</v>
      </c>
      <c r="AD286" s="4">
        <f t="shared" si="169"/>
        <v>6</v>
      </c>
      <c r="AE286" s="107">
        <f>RESID!AC286</f>
        <v>30.8</v>
      </c>
      <c r="AF286" s="40">
        <f t="shared" si="286"/>
        <v>12869.192982456139</v>
      </c>
      <c r="AG286" s="4">
        <f t="shared" si="287"/>
        <v>275079</v>
      </c>
      <c r="AH286" s="4">
        <f t="shared" si="278"/>
        <v>6247</v>
      </c>
      <c r="AY286" s="4">
        <f t="shared" si="170"/>
        <v>2006</v>
      </c>
      <c r="AZ286" s="4">
        <f t="shared" si="171"/>
        <v>6</v>
      </c>
      <c r="BA286" s="4">
        <f>'[8]Gov 65 &amp; 70'!$S371</f>
        <v>335.3</v>
      </c>
      <c r="BB286" s="4">
        <f t="shared" si="172"/>
        <v>336.1</v>
      </c>
      <c r="BC286" s="82">
        <f t="shared" si="295"/>
        <v>0.80000000000001137</v>
      </c>
      <c r="BD286" s="36" t="s">
        <v>18</v>
      </c>
      <c r="BE286" s="4">
        <f>'[8]Gov 65 &amp; 70'!$J371</f>
        <v>0.2</v>
      </c>
      <c r="BF286" s="4">
        <f t="shared" si="173"/>
        <v>0</v>
      </c>
      <c r="BG286" s="83">
        <f t="shared" si="296"/>
        <v>-0.2</v>
      </c>
      <c r="BH286" s="36" t="s">
        <v>18</v>
      </c>
      <c r="BI286" s="273">
        <f t="shared" si="288"/>
        <v>183.34400000000261</v>
      </c>
      <c r="BJ286" s="270">
        <f t="shared" si="289"/>
        <v>-8.1159999999999997</v>
      </c>
      <c r="BK286" s="482">
        <f t="shared" si="290"/>
        <v>175</v>
      </c>
      <c r="BL286" s="276"/>
      <c r="BM286" s="36" t="s">
        <v>18</v>
      </c>
      <c r="BN286" s="4">
        <f t="shared" si="174"/>
        <v>2006</v>
      </c>
      <c r="BO286" s="4">
        <f t="shared" si="175"/>
        <v>6</v>
      </c>
      <c r="BP286" s="108">
        <f>(C286+[4]MWh!$AN120)</f>
        <v>270021.68260468636</v>
      </c>
      <c r="BQ286" s="108">
        <f t="shared" si="291"/>
        <v>12632.593338230939</v>
      </c>
      <c r="BR286" s="108">
        <f t="shared" si="292"/>
        <v>12640.780472733864</v>
      </c>
      <c r="BS286" s="108">
        <f t="shared" si="293"/>
        <v>-670.90207214136535</v>
      </c>
      <c r="BT286" s="175">
        <f t="shared" si="294"/>
        <v>270196.68260468636</v>
      </c>
      <c r="BU286" s="108">
        <f t="shared" si="279"/>
        <v>5533.8102474770276</v>
      </c>
      <c r="BV286" s="4">
        <f t="shared" si="250"/>
        <v>175</v>
      </c>
      <c r="BW286" s="444">
        <f>BT286/[9]SPAMWh!$L166</f>
        <v>0.9803552202368061</v>
      </c>
    </row>
    <row r="287" spans="1:75">
      <c r="A287" s="4">
        <f t="shared" si="297"/>
        <v>2006</v>
      </c>
      <c r="B287" s="4">
        <f t="shared" si="298"/>
        <v>7</v>
      </c>
      <c r="C287" s="5">
        <f>'[2]FPC wSEB'!$J384</f>
        <v>281146</v>
      </c>
      <c r="D287" s="5">
        <f>'[2]FPC wSEB'!$AB384</f>
        <v>20749</v>
      </c>
      <c r="E287" s="73">
        <f t="shared" si="280"/>
        <v>13550</v>
      </c>
      <c r="F287" s="540">
        <f t="shared" si="255"/>
        <v>20749</v>
      </c>
      <c r="H287" s="13" t="s">
        <v>18</v>
      </c>
      <c r="I287" s="76">
        <f>'[7]Gov 65 &amp; 70'!$S372</f>
        <v>355</v>
      </c>
      <c r="J287" s="76">
        <f t="shared" si="164"/>
        <v>363.4</v>
      </c>
      <c r="K287" s="362">
        <f t="shared" ref="K287:K292" si="300">(J287-I287)</f>
        <v>8.3999999999999773</v>
      </c>
      <c r="L287" s="200" t="s">
        <v>18</v>
      </c>
      <c r="M287" s="76">
        <f>'[7]Gov 65 &amp; 70'!$J372</f>
        <v>0.1</v>
      </c>
      <c r="N287" s="76">
        <f t="shared" si="165"/>
        <v>0</v>
      </c>
      <c r="O287" s="363">
        <f t="shared" ref="O287:O292" si="301">(N287-M287)</f>
        <v>-0.1</v>
      </c>
      <c r="P287" s="13" t="s">
        <v>18</v>
      </c>
      <c r="Q287" s="77">
        <f t="shared" si="282"/>
        <v>1925.1119999999949</v>
      </c>
      <c r="R287" s="78">
        <f t="shared" si="283"/>
        <v>-4.0579999999999998</v>
      </c>
      <c r="S287" s="479">
        <f t="shared" si="284"/>
        <v>1921</v>
      </c>
      <c r="T287" s="13" t="s">
        <v>18</v>
      </c>
      <c r="U287" s="4">
        <f t="shared" si="166"/>
        <v>2006</v>
      </c>
      <c r="V287" s="4">
        <f t="shared" si="167"/>
        <v>7</v>
      </c>
      <c r="W287" s="153">
        <f t="shared" si="259"/>
        <v>13642.440599546966</v>
      </c>
      <c r="X287" s="153">
        <f t="shared" si="299"/>
        <v>571.74847544195472</v>
      </c>
      <c r="Z287" s="98">
        <f t="shared" si="285"/>
        <v>283067</v>
      </c>
      <c r="AA287" s="119">
        <f t="shared" si="281"/>
        <v>1921</v>
      </c>
      <c r="AB287" s="512">
        <f>[9]SPAMWh!$L167</f>
        <v>285401</v>
      </c>
      <c r="AC287" s="4">
        <f t="shared" si="168"/>
        <v>2006</v>
      </c>
      <c r="AD287" s="4">
        <f t="shared" si="169"/>
        <v>7</v>
      </c>
      <c r="AE287" s="107">
        <f>RESID!AC287</f>
        <v>30.5</v>
      </c>
      <c r="AF287" s="40">
        <f t="shared" si="286"/>
        <v>13606.679839992288</v>
      </c>
      <c r="AG287" s="4">
        <f t="shared" si="287"/>
        <v>282325</v>
      </c>
      <c r="AH287" s="4">
        <f t="shared" ref="AH287:AH292" si="302">Z287-Z275</f>
        <v>9236</v>
      </c>
      <c r="AY287" s="4">
        <f t="shared" si="170"/>
        <v>2006</v>
      </c>
      <c r="AZ287" s="4">
        <f t="shared" si="171"/>
        <v>7</v>
      </c>
      <c r="BA287" s="4">
        <f>'[8]Gov 65 &amp; 70'!$S372</f>
        <v>382</v>
      </c>
      <c r="BB287" s="4">
        <f t="shared" si="172"/>
        <v>391.2</v>
      </c>
      <c r="BC287" s="82">
        <f t="shared" si="295"/>
        <v>9.1999999999999886</v>
      </c>
      <c r="BD287" s="36" t="s">
        <v>18</v>
      </c>
      <c r="BE287" s="4">
        <f>'[8]Gov 65 &amp; 70'!$J372</f>
        <v>0</v>
      </c>
      <c r="BF287" s="4">
        <f t="shared" si="173"/>
        <v>0</v>
      </c>
      <c r="BG287" s="83">
        <f t="shared" si="296"/>
        <v>0</v>
      </c>
      <c r="BH287" s="36" t="s">
        <v>18</v>
      </c>
      <c r="BI287" s="273">
        <f t="shared" si="288"/>
        <v>2108.4559999999974</v>
      </c>
      <c r="BJ287" s="270">
        <f t="shared" si="289"/>
        <v>0</v>
      </c>
      <c r="BK287" s="482">
        <f t="shared" si="290"/>
        <v>2108</v>
      </c>
      <c r="BL287" s="276"/>
      <c r="BM287" s="36" t="s">
        <v>18</v>
      </c>
      <c r="BN287" s="4">
        <f t="shared" si="174"/>
        <v>2006</v>
      </c>
      <c r="BO287" s="4">
        <f t="shared" si="175"/>
        <v>7</v>
      </c>
      <c r="BP287" s="108">
        <f>(C287+[4]MWh!$AN121)</f>
        <v>298107.083135147</v>
      </c>
      <c r="BQ287" s="108">
        <f t="shared" si="291"/>
        <v>14367.298816094606</v>
      </c>
      <c r="BR287" s="108">
        <f t="shared" si="292"/>
        <v>14468.894073697384</v>
      </c>
      <c r="BS287" s="108">
        <f t="shared" si="293"/>
        <v>1934.3096763600206</v>
      </c>
      <c r="BT287" s="175">
        <f t="shared" si="294"/>
        <v>300215.083135147</v>
      </c>
      <c r="BU287" s="108">
        <f t="shared" ref="BU287:BU292" si="303">BT287-BT275</f>
        <v>37615.540010929224</v>
      </c>
      <c r="BV287" s="4">
        <f t="shared" si="250"/>
        <v>2108</v>
      </c>
      <c r="BW287" s="444">
        <f>BT287/[9]SPAMWh!$L167</f>
        <v>1.051906206128034</v>
      </c>
    </row>
    <row r="288" spans="1:75">
      <c r="A288" s="4">
        <f t="shared" si="297"/>
        <v>2006</v>
      </c>
      <c r="B288" s="4">
        <f t="shared" si="298"/>
        <v>8</v>
      </c>
      <c r="C288" s="5">
        <f>'[2]FPC wSEB'!$J385</f>
        <v>298874</v>
      </c>
      <c r="D288" s="5">
        <f>'[2]FPC wSEB'!$AB385</f>
        <v>21961</v>
      </c>
      <c r="E288" s="73">
        <f t="shared" ref="E288:E293" si="304">ROUND(C288/D288*1000,0)</f>
        <v>13609</v>
      </c>
      <c r="F288" s="540">
        <f t="shared" si="255"/>
        <v>21961</v>
      </c>
      <c r="H288" s="13" t="s">
        <v>18</v>
      </c>
      <c r="I288" s="76">
        <f>'[7]Gov 65 &amp; 70'!$S373</f>
        <v>408.5</v>
      </c>
      <c r="J288" s="76">
        <f t="shared" si="164"/>
        <v>390.1</v>
      </c>
      <c r="K288" s="362">
        <f t="shared" si="300"/>
        <v>-18.399999999999977</v>
      </c>
      <c r="L288" s="200" t="s">
        <v>18</v>
      </c>
      <c r="M288" s="76">
        <f>'[7]Gov 65 &amp; 70'!$J373</f>
        <v>0</v>
      </c>
      <c r="N288" s="76">
        <f t="shared" si="165"/>
        <v>0</v>
      </c>
      <c r="O288" s="363">
        <f t="shared" si="301"/>
        <v>0</v>
      </c>
      <c r="P288" s="13" t="s">
        <v>18</v>
      </c>
      <c r="Q288" s="77">
        <f t="shared" si="282"/>
        <v>-4216.9119999999948</v>
      </c>
      <c r="R288" s="78">
        <f t="shared" si="283"/>
        <v>0</v>
      </c>
      <c r="S288" s="479">
        <f t="shared" si="284"/>
        <v>-4217</v>
      </c>
      <c r="T288" s="13" t="s">
        <v>18</v>
      </c>
      <c r="U288" s="4">
        <f t="shared" si="166"/>
        <v>2006</v>
      </c>
      <c r="V288" s="4">
        <f t="shared" si="167"/>
        <v>8</v>
      </c>
      <c r="W288" s="153">
        <f t="shared" si="259"/>
        <v>13417.285187377624</v>
      </c>
      <c r="X288" s="153">
        <f t="shared" si="299"/>
        <v>-43.285042430710746</v>
      </c>
      <c r="Z288" s="98">
        <f t="shared" si="285"/>
        <v>294657</v>
      </c>
      <c r="AA288" s="119">
        <f t="shared" ref="AA288:AA293" si="305">Z288-C288</f>
        <v>-4217</v>
      </c>
      <c r="AB288" s="512">
        <f>[9]SPAMWh!$L168</f>
        <v>292462</v>
      </c>
      <c r="AC288" s="4">
        <f t="shared" si="168"/>
        <v>2006</v>
      </c>
      <c r="AD288" s="4">
        <f t="shared" si="169"/>
        <v>8</v>
      </c>
      <c r="AE288" s="107">
        <f>RESID!AC288</f>
        <v>31.1</v>
      </c>
      <c r="AF288" s="40">
        <f t="shared" si="286"/>
        <v>13123.901461682071</v>
      </c>
      <c r="AG288" s="4">
        <f t="shared" si="287"/>
        <v>288214</v>
      </c>
      <c r="AH288" s="4">
        <f t="shared" si="302"/>
        <v>12335</v>
      </c>
      <c r="AY288" s="4">
        <f t="shared" si="170"/>
        <v>2006</v>
      </c>
      <c r="AZ288" s="4">
        <f t="shared" si="171"/>
        <v>8</v>
      </c>
      <c r="BA288" s="4">
        <f>'[8]Gov 65 &amp; 70'!$S373</f>
        <v>409.8</v>
      </c>
      <c r="BB288" s="4">
        <f t="shared" si="172"/>
        <v>394.4</v>
      </c>
      <c r="BC288" s="82">
        <f t="shared" si="295"/>
        <v>-15.400000000000034</v>
      </c>
      <c r="BD288" s="36" t="s">
        <v>18</v>
      </c>
      <c r="BE288" s="4">
        <f>'[8]Gov 65 &amp; 70'!$J373</f>
        <v>0</v>
      </c>
      <c r="BF288" s="4">
        <f t="shared" si="173"/>
        <v>0</v>
      </c>
      <c r="BG288" s="83">
        <f t="shared" si="296"/>
        <v>0</v>
      </c>
      <c r="BH288" s="36" t="s">
        <v>18</v>
      </c>
      <c r="BI288" s="273">
        <f t="shared" si="288"/>
        <v>-3529.372000000008</v>
      </c>
      <c r="BJ288" s="270">
        <f t="shared" si="289"/>
        <v>0</v>
      </c>
      <c r="BK288" s="482">
        <f t="shared" si="290"/>
        <v>-3529</v>
      </c>
      <c r="BL288" s="276"/>
      <c r="BM288" s="36" t="s">
        <v>18</v>
      </c>
      <c r="BN288" s="4">
        <f t="shared" si="174"/>
        <v>2006</v>
      </c>
      <c r="BO288" s="4">
        <f t="shared" si="175"/>
        <v>8</v>
      </c>
      <c r="BP288" s="108">
        <f>(C288+[4]MWh!$AN122)</f>
        <v>285082.80873589596</v>
      </c>
      <c r="BQ288" s="108">
        <f t="shared" si="291"/>
        <v>12981.321831241563</v>
      </c>
      <c r="BR288" s="108">
        <f t="shared" si="292"/>
        <v>12820.627873771502</v>
      </c>
      <c r="BS288" s="108">
        <f t="shared" si="293"/>
        <v>-1222.0900813604494</v>
      </c>
      <c r="BT288" s="175">
        <f t="shared" si="294"/>
        <v>281553.80873589596</v>
      </c>
      <c r="BU288" s="108">
        <f t="shared" si="303"/>
        <v>-12978.157655041607</v>
      </c>
      <c r="BV288" s="4">
        <f t="shared" si="250"/>
        <v>-3529</v>
      </c>
      <c r="BW288" s="444">
        <f>BT288/[9]SPAMWh!$L168</f>
        <v>0.96270219288624148</v>
      </c>
    </row>
    <row r="289" spans="1:75">
      <c r="A289" s="4">
        <f t="shared" si="297"/>
        <v>2006</v>
      </c>
      <c r="B289" s="4">
        <f t="shared" si="298"/>
        <v>9</v>
      </c>
      <c r="C289" s="5">
        <f>'[2]FPC wSEB'!$J386</f>
        <v>318377</v>
      </c>
      <c r="D289" s="5">
        <f>'[2]FPC wSEB'!$AB386</f>
        <v>21668</v>
      </c>
      <c r="E289" s="73">
        <f t="shared" si="304"/>
        <v>14693</v>
      </c>
      <c r="F289" s="540">
        <f t="shared" si="255"/>
        <v>21668</v>
      </c>
      <c r="H289" s="13" t="s">
        <v>18</v>
      </c>
      <c r="I289" s="76">
        <f>'[7]Gov 65 &amp; 70'!$S374</f>
        <v>373.1</v>
      </c>
      <c r="J289" s="76">
        <f t="shared" si="164"/>
        <v>381.2</v>
      </c>
      <c r="K289" s="362">
        <f t="shared" si="300"/>
        <v>8.0999999999999659</v>
      </c>
      <c r="L289" s="200" t="s">
        <v>18</v>
      </c>
      <c r="M289" s="76">
        <f>'[7]Gov 65 &amp; 70'!$J374</f>
        <v>0</v>
      </c>
      <c r="N289" s="76">
        <f t="shared" si="165"/>
        <v>0</v>
      </c>
      <c r="O289" s="363">
        <f t="shared" si="301"/>
        <v>0</v>
      </c>
      <c r="P289" s="13" t="s">
        <v>18</v>
      </c>
      <c r="Q289" s="77">
        <f>K289*$C$10</f>
        <v>1856.3579999999922</v>
      </c>
      <c r="R289" s="78">
        <f>O289*$C$9</f>
        <v>0</v>
      </c>
      <c r="S289" s="479">
        <f t="shared" ref="S289:S294" si="306">ROUND((R289+Q289),0)</f>
        <v>1856</v>
      </c>
      <c r="T289" s="13" t="s">
        <v>18</v>
      </c>
      <c r="U289" s="4">
        <f t="shared" si="166"/>
        <v>2006</v>
      </c>
      <c r="V289" s="4">
        <f t="shared" si="167"/>
        <v>9</v>
      </c>
      <c r="W289" s="153">
        <f t="shared" si="259"/>
        <v>14779.075133837918</v>
      </c>
      <c r="X289" s="153">
        <f t="shared" si="299"/>
        <v>135.31623492951803</v>
      </c>
      <c r="Z289" s="98">
        <f t="shared" ref="Z289:Z294" si="307">S289+C289</f>
        <v>320233</v>
      </c>
      <c r="AA289" s="119">
        <f t="shared" si="305"/>
        <v>1856</v>
      </c>
      <c r="AB289" s="512">
        <f>[9]SPAMWh!$L169</f>
        <v>318795</v>
      </c>
      <c r="AC289" s="4">
        <f t="shared" si="168"/>
        <v>2006</v>
      </c>
      <c r="AD289" s="4">
        <f t="shared" si="169"/>
        <v>9</v>
      </c>
      <c r="AE289" s="107">
        <f>RESID!AC289</f>
        <v>30.5</v>
      </c>
      <c r="AF289" s="40">
        <f t="shared" ref="AF289:AF294" si="308">AG289/D289*1000</f>
        <v>14740.308288720695</v>
      </c>
      <c r="AG289" s="4">
        <f t="shared" ref="AG289:AG294" si="309">ROUND(Z289/(AE289/30.42),0)</f>
        <v>319393</v>
      </c>
      <c r="AH289" s="4">
        <f t="shared" si="302"/>
        <v>11689</v>
      </c>
      <c r="AY289" s="4">
        <f t="shared" si="170"/>
        <v>2006</v>
      </c>
      <c r="AZ289" s="4">
        <f t="shared" si="171"/>
        <v>9</v>
      </c>
      <c r="BA289" s="4">
        <f>'[8]Gov 65 &amp; 70'!$S374</f>
        <v>321.8</v>
      </c>
      <c r="BB289" s="4">
        <f t="shared" si="172"/>
        <v>339.3</v>
      </c>
      <c r="BC289" s="82">
        <f t="shared" si="295"/>
        <v>17.5</v>
      </c>
      <c r="BD289" s="36" t="s">
        <v>18</v>
      </c>
      <c r="BE289" s="4">
        <f>'[8]Gov 65 &amp; 70'!$J374</f>
        <v>1.1000000000000001</v>
      </c>
      <c r="BF289" s="4">
        <f t="shared" si="173"/>
        <v>0</v>
      </c>
      <c r="BG289" s="83">
        <f t="shared" si="296"/>
        <v>-1.1000000000000001</v>
      </c>
      <c r="BH289" s="36" t="s">
        <v>18</v>
      </c>
      <c r="BI289" s="273">
        <f>$C$10*BC289</f>
        <v>4010.65</v>
      </c>
      <c r="BJ289" s="270">
        <f>$C$9*BG289</f>
        <v>-44.638000000000005</v>
      </c>
      <c r="BK289" s="482">
        <f t="shared" ref="BK289:BK294" si="310">ROUND(BJ289+BI289,0)</f>
        <v>3966</v>
      </c>
      <c r="BL289" s="276"/>
      <c r="BM289" s="36" t="s">
        <v>18</v>
      </c>
      <c r="BN289" s="4">
        <f t="shared" si="174"/>
        <v>2006</v>
      </c>
      <c r="BO289" s="4">
        <f t="shared" si="175"/>
        <v>9</v>
      </c>
      <c r="BP289" s="108">
        <f>(C289+[4]MWh!$AN123)</f>
        <v>315214.32912959566</v>
      </c>
      <c r="BQ289" s="108">
        <f t="shared" ref="BQ289:BQ294" si="311">BP289/D289*1000</f>
        <v>14547.458423924481</v>
      </c>
      <c r="BR289" s="108">
        <f t="shared" ref="BR289:BR294" si="312">BT289/D289*1000</f>
        <v>14730.493314085086</v>
      </c>
      <c r="BS289" s="108">
        <f t="shared" ref="BS289:BS294" si="313">BR289-BR277</f>
        <v>422.50153326752115</v>
      </c>
      <c r="BT289" s="175">
        <f t="shared" ref="BT289:BT294" si="314">BK289+BP289</f>
        <v>319180.32912959566</v>
      </c>
      <c r="BU289" s="108">
        <f t="shared" si="303"/>
        <v>17710.942307769554</v>
      </c>
      <c r="BV289" s="4">
        <f t="shared" si="250"/>
        <v>3966</v>
      </c>
      <c r="BW289" s="444">
        <f>BT289/[9]SPAMWh!$L169</f>
        <v>1.0012087050599778</v>
      </c>
    </row>
    <row r="290" spans="1:75">
      <c r="A290" s="4">
        <f t="shared" si="297"/>
        <v>2006</v>
      </c>
      <c r="B290" s="4">
        <f t="shared" si="298"/>
        <v>10</v>
      </c>
      <c r="C290" s="5">
        <f>'[2]FPC wSEB'!$J387</f>
        <v>292882</v>
      </c>
      <c r="D290" s="5">
        <f>'[2]FPC wSEB'!$AB387</f>
        <v>21287</v>
      </c>
      <c r="E290" s="73">
        <f t="shared" si="304"/>
        <v>13759</v>
      </c>
      <c r="F290" s="540">
        <f t="shared" si="255"/>
        <v>21287</v>
      </c>
      <c r="H290" s="13" t="s">
        <v>18</v>
      </c>
      <c r="I290" s="76">
        <f>'[7]Gov 65 &amp; 70'!$S375</f>
        <v>268.39999999999998</v>
      </c>
      <c r="J290" s="76">
        <f t="shared" si="164"/>
        <v>287.8</v>
      </c>
      <c r="K290" s="362">
        <f t="shared" si="300"/>
        <v>19.400000000000034</v>
      </c>
      <c r="L290" s="200" t="s">
        <v>18</v>
      </c>
      <c r="M290" s="76">
        <f>'[7]Gov 65 &amp; 70'!$J375</f>
        <v>4.5999999999999996</v>
      </c>
      <c r="N290" s="76">
        <f t="shared" si="165"/>
        <v>2.5</v>
      </c>
      <c r="O290" s="363">
        <f t="shared" si="301"/>
        <v>-2.0999999999999996</v>
      </c>
      <c r="P290" s="13" t="s">
        <v>18</v>
      </c>
      <c r="Q290" s="77">
        <f>K290*$C$10</f>
        <v>4446.0920000000078</v>
      </c>
      <c r="R290" s="78">
        <f>O290*$C$9</f>
        <v>-85.217999999999975</v>
      </c>
      <c r="S290" s="479">
        <f t="shared" si="306"/>
        <v>4361</v>
      </c>
      <c r="T290" s="13" t="s">
        <v>18</v>
      </c>
      <c r="U290" s="4">
        <f t="shared" si="166"/>
        <v>2006</v>
      </c>
      <c r="V290" s="4">
        <f t="shared" si="167"/>
        <v>10</v>
      </c>
      <c r="W290" s="153">
        <f t="shared" si="259"/>
        <v>13963.592803119274</v>
      </c>
      <c r="X290" s="153">
        <f t="shared" si="299"/>
        <v>152.82349851688377</v>
      </c>
      <c r="Z290" s="98">
        <f t="shared" si="307"/>
        <v>297243</v>
      </c>
      <c r="AA290" s="119">
        <f t="shared" si="305"/>
        <v>4361</v>
      </c>
      <c r="AB290" s="512">
        <f>[9]SPAMWh!$L170</f>
        <v>300087</v>
      </c>
      <c r="AC290" s="4">
        <f t="shared" si="168"/>
        <v>2006</v>
      </c>
      <c r="AD290" s="4">
        <f t="shared" si="169"/>
        <v>10</v>
      </c>
      <c r="AE290" s="107">
        <f>RESID!AC290</f>
        <v>29.7</v>
      </c>
      <c r="AF290" s="40">
        <f t="shared" si="308"/>
        <v>14302.10926856767</v>
      </c>
      <c r="AG290" s="4">
        <f t="shared" si="309"/>
        <v>304449</v>
      </c>
      <c r="AH290" s="4">
        <f t="shared" si="302"/>
        <v>9468</v>
      </c>
      <c r="AY290" s="4">
        <f t="shared" si="170"/>
        <v>2006</v>
      </c>
      <c r="AZ290" s="4">
        <f t="shared" si="171"/>
        <v>10</v>
      </c>
      <c r="BA290" s="4">
        <f>'[8]Gov 65 &amp; 70'!$S375</f>
        <v>184.3</v>
      </c>
      <c r="BB290" s="4">
        <f t="shared" si="172"/>
        <v>200.4</v>
      </c>
      <c r="BC290" s="82">
        <f t="shared" ref="BC290:BC295" si="315">BB290-BA290</f>
        <v>16.099999999999994</v>
      </c>
      <c r="BD290" s="36" t="s">
        <v>18</v>
      </c>
      <c r="BE290" s="4">
        <f>'[8]Gov 65 &amp; 70'!$J375</f>
        <v>24.5</v>
      </c>
      <c r="BF290" s="4">
        <f t="shared" si="173"/>
        <v>15</v>
      </c>
      <c r="BG290" s="83">
        <f t="shared" ref="BG290:BG295" si="316">BF290-BE290</f>
        <v>-9.5</v>
      </c>
      <c r="BH290" s="36" t="s">
        <v>18</v>
      </c>
      <c r="BI290" s="273">
        <f>$C$10*BC290</f>
        <v>3689.7979999999989</v>
      </c>
      <c r="BJ290" s="270">
        <f>$C$9*BG290</f>
        <v>-385.51</v>
      </c>
      <c r="BK290" s="482">
        <f t="shared" si="310"/>
        <v>3304</v>
      </c>
      <c r="BL290" s="276"/>
      <c r="BM290" s="36" t="s">
        <v>18</v>
      </c>
      <c r="BN290" s="4">
        <f t="shared" si="174"/>
        <v>2006</v>
      </c>
      <c r="BO290" s="4">
        <f t="shared" si="175"/>
        <v>10</v>
      </c>
      <c r="BP290" s="108">
        <f>(C290+[4]MWh!$AN124)</f>
        <v>291434.38430307177</v>
      </c>
      <c r="BQ290" s="108">
        <f t="shared" si="311"/>
        <v>13690.721299528903</v>
      </c>
      <c r="BR290" s="108">
        <f t="shared" si="312"/>
        <v>13845.933400811376</v>
      </c>
      <c r="BS290" s="108">
        <f t="shared" si="313"/>
        <v>266.53671377878891</v>
      </c>
      <c r="BT290" s="175">
        <f t="shared" si="314"/>
        <v>294738.38430307177</v>
      </c>
      <c r="BU290" s="108">
        <f t="shared" si="303"/>
        <v>11784.495535373746</v>
      </c>
      <c r="BV290" s="4">
        <f t="shared" si="250"/>
        <v>3304</v>
      </c>
      <c r="BW290" s="444">
        <f>BT290/[9]SPAMWh!$L170</f>
        <v>0.98217644983978569</v>
      </c>
    </row>
    <row r="291" spans="1:75">
      <c r="A291" s="4">
        <f t="shared" si="297"/>
        <v>2006</v>
      </c>
      <c r="B291" s="4">
        <f t="shared" si="298"/>
        <v>11</v>
      </c>
      <c r="C291" s="5">
        <f>'[2]FPC wSEB'!$J388</f>
        <v>283442</v>
      </c>
      <c r="D291" s="5">
        <f>'[2]FPC wSEB'!$AB388</f>
        <v>22247</v>
      </c>
      <c r="E291" s="73">
        <f t="shared" si="304"/>
        <v>12741</v>
      </c>
      <c r="F291" s="540">
        <f t="shared" si="255"/>
        <v>22247</v>
      </c>
      <c r="H291" s="13" t="s">
        <v>18</v>
      </c>
      <c r="I291" s="76">
        <f>'[7]Gov 65 &amp; 70'!$S376</f>
        <v>121.1</v>
      </c>
      <c r="J291" s="76">
        <f t="shared" si="164"/>
        <v>140.19999999999999</v>
      </c>
      <c r="K291" s="362">
        <f t="shared" si="300"/>
        <v>19.099999999999994</v>
      </c>
      <c r="L291" s="200" t="s">
        <v>18</v>
      </c>
      <c r="M291" s="76">
        <f>'[7]Gov 65 &amp; 70'!$J376</f>
        <v>48.6</v>
      </c>
      <c r="N291" s="76">
        <f t="shared" si="165"/>
        <v>38.6</v>
      </c>
      <c r="O291" s="363">
        <f t="shared" si="301"/>
        <v>-10</v>
      </c>
      <c r="P291" s="13" t="s">
        <v>18</v>
      </c>
      <c r="Q291" s="77">
        <f>K291*$C$10</f>
        <v>4377.3379999999988</v>
      </c>
      <c r="R291" s="78">
        <f>O291*$C$9</f>
        <v>-405.79999999999995</v>
      </c>
      <c r="S291" s="479">
        <f t="shared" si="306"/>
        <v>3972</v>
      </c>
      <c r="T291" s="13" t="s">
        <v>18</v>
      </c>
      <c r="U291" s="4">
        <f t="shared" si="166"/>
        <v>2006</v>
      </c>
      <c r="V291" s="4">
        <f t="shared" si="167"/>
        <v>11</v>
      </c>
      <c r="W291" s="153">
        <f t="shared" si="259"/>
        <v>12919.22506405358</v>
      </c>
      <c r="X291" s="153">
        <f t="shared" si="299"/>
        <v>381.89490576810567</v>
      </c>
      <c r="Z291" s="98">
        <f t="shared" si="307"/>
        <v>287414</v>
      </c>
      <c r="AA291" s="119">
        <f t="shared" si="305"/>
        <v>3972</v>
      </c>
      <c r="AB291" s="512">
        <f>[9]SPAMWh!$L171</f>
        <v>284420</v>
      </c>
      <c r="AC291" s="4">
        <f t="shared" si="168"/>
        <v>2006</v>
      </c>
      <c r="AD291" s="4">
        <f t="shared" si="169"/>
        <v>11</v>
      </c>
      <c r="AE291" s="107">
        <f>RESID!AC291</f>
        <v>30.5</v>
      </c>
      <c r="AF291" s="40">
        <f t="shared" si="308"/>
        <v>12885.332853867936</v>
      </c>
      <c r="AG291" s="4">
        <f t="shared" si="309"/>
        <v>286660</v>
      </c>
      <c r="AH291" s="4">
        <f t="shared" si="302"/>
        <v>18902</v>
      </c>
      <c r="AY291" s="4">
        <f t="shared" si="170"/>
        <v>2006</v>
      </c>
      <c r="AZ291" s="4">
        <f t="shared" si="171"/>
        <v>11</v>
      </c>
      <c r="BA291" s="4">
        <f>'[8]Gov 65 &amp; 70'!$S376</f>
        <v>45.5</v>
      </c>
      <c r="BB291" s="4">
        <f t="shared" si="172"/>
        <v>66.3</v>
      </c>
      <c r="BC291" s="82">
        <f t="shared" si="315"/>
        <v>20.799999999999997</v>
      </c>
      <c r="BD291" s="36" t="s">
        <v>18</v>
      </c>
      <c r="BE291" s="4">
        <f>'[8]Gov 65 &amp; 70'!$J376</f>
        <v>103.3</v>
      </c>
      <c r="BF291" s="4">
        <f t="shared" si="173"/>
        <v>69.900000000000006</v>
      </c>
      <c r="BG291" s="83">
        <f t="shared" si="316"/>
        <v>-33.399999999999991</v>
      </c>
      <c r="BH291" s="36" t="s">
        <v>18</v>
      </c>
      <c r="BI291" s="273">
        <f>$C$10*BC291</f>
        <v>4766.9439999999995</v>
      </c>
      <c r="BJ291" s="270">
        <f>$C$9*BG291</f>
        <v>-1355.3719999999996</v>
      </c>
      <c r="BK291" s="482">
        <f t="shared" si="310"/>
        <v>3412</v>
      </c>
      <c r="BL291" s="276"/>
      <c r="BM291" s="36" t="s">
        <v>18</v>
      </c>
      <c r="BN291" s="4">
        <f t="shared" si="174"/>
        <v>2006</v>
      </c>
      <c r="BO291" s="4">
        <f t="shared" si="175"/>
        <v>11</v>
      </c>
      <c r="BP291" s="108">
        <f>(C291+[4]MWh!$AN125)</f>
        <v>258979.32822114672</v>
      </c>
      <c r="BQ291" s="108">
        <f t="shared" si="311"/>
        <v>11641.089954652165</v>
      </c>
      <c r="BR291" s="108">
        <f t="shared" si="312"/>
        <v>11794.458948224332</v>
      </c>
      <c r="BS291" s="108">
        <f t="shared" si="313"/>
        <v>525.7653128814527</v>
      </c>
      <c r="BT291" s="175">
        <f t="shared" si="314"/>
        <v>262391.32822114672</v>
      </c>
      <c r="BU291" s="108">
        <f t="shared" si="303"/>
        <v>21049.716633008269</v>
      </c>
      <c r="BV291" s="4">
        <f t="shared" si="250"/>
        <v>3412</v>
      </c>
      <c r="BW291" s="444">
        <f>BT291/[9]SPAMWh!$L171</f>
        <v>0.92254879481452334</v>
      </c>
    </row>
    <row r="292" spans="1:75" s="89" customFormat="1">
      <c r="A292" s="89">
        <f t="shared" si="297"/>
        <v>2006</v>
      </c>
      <c r="B292" s="89">
        <f t="shared" si="298"/>
        <v>12</v>
      </c>
      <c r="C292" s="103">
        <f>'[2]FPC wSEB'!$J389</f>
        <v>261061</v>
      </c>
      <c r="D292" s="103">
        <f>'[2]FPC wSEB'!$AB389</f>
        <v>22097</v>
      </c>
      <c r="E292" s="104">
        <f t="shared" si="304"/>
        <v>11814</v>
      </c>
      <c r="F292" s="586">
        <f t="shared" si="255"/>
        <v>22097</v>
      </c>
      <c r="H292" s="90" t="s">
        <v>18</v>
      </c>
      <c r="I292" s="92">
        <f>'[7]Gov 65 &amp; 70'!$S377</f>
        <v>43.7</v>
      </c>
      <c r="J292" s="92">
        <f t="shared" si="164"/>
        <v>50.8</v>
      </c>
      <c r="K292" s="364">
        <f t="shared" si="300"/>
        <v>7.0999999999999943</v>
      </c>
      <c r="L292" s="210" t="s">
        <v>18</v>
      </c>
      <c r="M292" s="92">
        <f>'[7]Gov 65 &amp; 70'!$J377</f>
        <v>115.1</v>
      </c>
      <c r="N292" s="92">
        <f t="shared" si="165"/>
        <v>121.8</v>
      </c>
      <c r="O292" s="365">
        <f t="shared" si="301"/>
        <v>6.7000000000000028</v>
      </c>
      <c r="P292" s="90" t="s">
        <v>18</v>
      </c>
      <c r="Q292" s="114">
        <f>K292*$C$10</f>
        <v>1627.1779999999987</v>
      </c>
      <c r="R292" s="95">
        <f>O292*$C$9</f>
        <v>271.88600000000008</v>
      </c>
      <c r="S292" s="480">
        <f t="shared" si="306"/>
        <v>1899</v>
      </c>
      <c r="T292" s="90" t="s">
        <v>18</v>
      </c>
      <c r="U292" s="89">
        <f t="shared" si="166"/>
        <v>2006</v>
      </c>
      <c r="V292" s="89">
        <f t="shared" si="167"/>
        <v>12</v>
      </c>
      <c r="W292" s="154">
        <f t="shared" si="259"/>
        <v>11900.257953568358</v>
      </c>
      <c r="X292" s="154">
        <f t="shared" ref="X292:X297" si="317">W292-W280</f>
        <v>-217.96093869264405</v>
      </c>
      <c r="Z292" s="155">
        <f t="shared" si="307"/>
        <v>262960</v>
      </c>
      <c r="AA292" s="156">
        <f t="shared" si="305"/>
        <v>1899</v>
      </c>
      <c r="AB292" s="522">
        <f>[9]SPAMWh!$L172</f>
        <v>263825</v>
      </c>
      <c r="AC292" s="89">
        <f t="shared" si="168"/>
        <v>2006</v>
      </c>
      <c r="AD292" s="89">
        <f t="shared" si="169"/>
        <v>12</v>
      </c>
      <c r="AE292" s="110">
        <f>RESID!AC292</f>
        <v>31.3</v>
      </c>
      <c r="AF292" s="116">
        <f t="shared" si="308"/>
        <v>11565.687649907228</v>
      </c>
      <c r="AG292" s="89">
        <f t="shared" si="309"/>
        <v>255567</v>
      </c>
      <c r="AH292" s="89">
        <f t="shared" si="302"/>
        <v>7411</v>
      </c>
      <c r="AY292" s="89">
        <f t="shared" si="170"/>
        <v>2006</v>
      </c>
      <c r="AZ292" s="89">
        <f t="shared" si="171"/>
        <v>12</v>
      </c>
      <c r="BA292" s="89">
        <f>'[8]Gov 65 &amp; 70'!$S377</f>
        <v>49</v>
      </c>
      <c r="BB292" s="89">
        <f t="shared" si="172"/>
        <v>28.2</v>
      </c>
      <c r="BC292" s="111">
        <f t="shared" si="315"/>
        <v>-20.8</v>
      </c>
      <c r="BD292" s="113" t="s">
        <v>18</v>
      </c>
      <c r="BE292" s="89">
        <f>'[8]Gov 65 &amp; 70'!$J377</f>
        <v>86.8</v>
      </c>
      <c r="BF292" s="89">
        <f t="shared" si="173"/>
        <v>170</v>
      </c>
      <c r="BG292" s="112">
        <f t="shared" si="316"/>
        <v>83.2</v>
      </c>
      <c r="BH292" s="113" t="s">
        <v>18</v>
      </c>
      <c r="BI292" s="274">
        <f>$C$10*BC292</f>
        <v>-4766.9440000000004</v>
      </c>
      <c r="BJ292" s="275">
        <f>$C$9*BG292</f>
        <v>3376.2559999999999</v>
      </c>
      <c r="BK292" s="483">
        <f t="shared" si="310"/>
        <v>-1391</v>
      </c>
      <c r="BL292" s="277"/>
      <c r="BM292" s="113" t="s">
        <v>18</v>
      </c>
      <c r="BN292" s="89">
        <f t="shared" si="174"/>
        <v>2006</v>
      </c>
      <c r="BO292" s="89">
        <f t="shared" si="175"/>
        <v>12</v>
      </c>
      <c r="BP292" s="117">
        <f>(C292+[4]MWh!$AN126)</f>
        <v>251237.16154466631</v>
      </c>
      <c r="BQ292" s="117">
        <f t="shared" si="311"/>
        <v>11369.740758685175</v>
      </c>
      <c r="BR292" s="117">
        <f t="shared" si="312"/>
        <v>11306.791037003497</v>
      </c>
      <c r="BS292" s="117">
        <f t="shared" si="313"/>
        <v>-1491.152963539369</v>
      </c>
      <c r="BT292" s="176">
        <f t="shared" si="314"/>
        <v>249846.16154466631</v>
      </c>
      <c r="BU292" s="117">
        <f t="shared" si="303"/>
        <v>-20036.881538781658</v>
      </c>
      <c r="BV292" s="89">
        <f t="shared" si="250"/>
        <v>-1391</v>
      </c>
      <c r="BW292" s="533">
        <f>BT292/[9]SPAMWh!$L172</f>
        <v>0.94701473152531523</v>
      </c>
    </row>
    <row r="293" spans="1:75">
      <c r="A293" s="4">
        <f t="shared" si="297"/>
        <v>2007</v>
      </c>
      <c r="B293" s="4">
        <f t="shared" si="298"/>
        <v>1</v>
      </c>
      <c r="C293" s="5">
        <f>'[2]FPC wSEB'!$J390</f>
        <v>249462</v>
      </c>
      <c r="D293" s="5">
        <f>'[2]FPC wSEB'!$AB390</f>
        <v>21616</v>
      </c>
      <c r="E293" s="73">
        <f t="shared" si="304"/>
        <v>11541</v>
      </c>
      <c r="F293" s="540">
        <f t="shared" si="255"/>
        <v>21616</v>
      </c>
      <c r="H293" s="13" t="s">
        <v>18</v>
      </c>
      <c r="I293" s="76">
        <f>'[7]Gov 65 &amp; 70'!$S378</f>
        <v>51.9</v>
      </c>
      <c r="J293" s="76">
        <f t="shared" si="164"/>
        <v>28.7</v>
      </c>
      <c r="K293" s="362">
        <f t="shared" ref="K293:K298" si="318">(J293-I293)</f>
        <v>-23.2</v>
      </c>
      <c r="L293" s="200" t="s">
        <v>18</v>
      </c>
      <c r="M293" s="76">
        <f>'[7]Gov 65 &amp; 70'!$J378</f>
        <v>82.5</v>
      </c>
      <c r="N293" s="76">
        <f t="shared" si="165"/>
        <v>192.9</v>
      </c>
      <c r="O293" s="363">
        <f t="shared" ref="O293:O298" si="319">(N293-M293)</f>
        <v>110.4</v>
      </c>
      <c r="P293" s="13" t="s">
        <v>18</v>
      </c>
      <c r="Q293" s="321">
        <f t="shared" ref="Q293:Q298" si="320">(K293*$D$10)*D293/1000</f>
        <v>-5388.5229439999994</v>
      </c>
      <c r="R293" s="78">
        <f t="shared" ref="R293:R298" si="321">(O293*$D$9)*D293/1000</f>
        <v>2963.9167488000003</v>
      </c>
      <c r="S293" s="479">
        <f t="shared" si="306"/>
        <v>-2425</v>
      </c>
      <c r="T293" s="13" t="s">
        <v>18</v>
      </c>
      <c r="U293" s="4">
        <f t="shared" si="166"/>
        <v>2007</v>
      </c>
      <c r="V293" s="4">
        <f t="shared" si="167"/>
        <v>1</v>
      </c>
      <c r="W293" s="153">
        <f t="shared" si="259"/>
        <v>11428.432642487047</v>
      </c>
      <c r="X293" s="153">
        <f t="shared" si="317"/>
        <v>13.53240802606706</v>
      </c>
      <c r="Z293" s="98">
        <f t="shared" si="307"/>
        <v>247037</v>
      </c>
      <c r="AA293" s="119">
        <f t="shared" si="305"/>
        <v>-2425</v>
      </c>
      <c r="AB293" s="512">
        <f>[9]SPAMWh!$L173</f>
        <v>247653</v>
      </c>
      <c r="AC293" s="4">
        <f t="shared" si="168"/>
        <v>2007</v>
      </c>
      <c r="AD293" s="4">
        <f t="shared" si="169"/>
        <v>1</v>
      </c>
      <c r="AE293" s="107">
        <f>RESID!AC293</f>
        <v>31.85</v>
      </c>
      <c r="AF293" s="40">
        <f t="shared" si="308"/>
        <v>10915.340488527017</v>
      </c>
      <c r="AG293" s="4">
        <f t="shared" si="309"/>
        <v>235946</v>
      </c>
      <c r="AH293" s="4">
        <f t="shared" ref="AH293:AH298" si="322">Z293-Z281</f>
        <v>8477</v>
      </c>
      <c r="AY293" s="4">
        <f t="shared" si="170"/>
        <v>2007</v>
      </c>
      <c r="AZ293" s="4">
        <f t="shared" si="171"/>
        <v>1</v>
      </c>
      <c r="BA293" s="4">
        <f>'[8]Gov 65 &amp; 70'!$S378</f>
        <v>33.1</v>
      </c>
      <c r="BB293" s="4">
        <f t="shared" si="172"/>
        <v>23.9</v>
      </c>
      <c r="BC293" s="82">
        <f t="shared" si="315"/>
        <v>-9.2000000000000028</v>
      </c>
      <c r="BD293" s="36" t="s">
        <v>18</v>
      </c>
      <c r="BE293" s="4">
        <f>'[8]Gov 65 &amp; 70'!$J378</f>
        <v>149.69999999999999</v>
      </c>
      <c r="BF293" s="4">
        <f t="shared" si="173"/>
        <v>176.9</v>
      </c>
      <c r="BG293" s="83">
        <f t="shared" si="316"/>
        <v>27.200000000000017</v>
      </c>
      <c r="BH293" s="36" t="s">
        <v>18</v>
      </c>
      <c r="BI293" s="273">
        <f t="shared" ref="BI293:BI298" si="323">($D$10*BC293)*D293/1000</f>
        <v>-2136.8280640000007</v>
      </c>
      <c r="BJ293" s="270">
        <f t="shared" ref="BJ293:BJ298" si="324">($D$9*BG293)*D293/1000</f>
        <v>730.24035840000045</v>
      </c>
      <c r="BK293" s="482">
        <f t="shared" si="310"/>
        <v>-1407</v>
      </c>
      <c r="BL293" s="276"/>
      <c r="BM293" s="36" t="s">
        <v>18</v>
      </c>
      <c r="BN293" s="4">
        <f t="shared" si="174"/>
        <v>2007</v>
      </c>
      <c r="BO293" s="4">
        <f t="shared" si="175"/>
        <v>1</v>
      </c>
      <c r="BP293" s="108">
        <f>(C293+[4]MWh!$AN127)</f>
        <v>261515.64755674332</v>
      </c>
      <c r="BQ293" s="108">
        <f t="shared" si="311"/>
        <v>12098.24424300256</v>
      </c>
      <c r="BR293" s="108">
        <f t="shared" si="312"/>
        <v>12033.15356942743</v>
      </c>
      <c r="BS293" s="108">
        <f t="shared" si="313"/>
        <v>1783.0226723129344</v>
      </c>
      <c r="BT293" s="175">
        <f t="shared" si="314"/>
        <v>260108.64755674332</v>
      </c>
      <c r="BU293" s="108">
        <f t="shared" ref="BU293:BU298" si="325">BT293-BT281</f>
        <v>45891.161937947472</v>
      </c>
      <c r="BV293" s="4">
        <f t="shared" si="250"/>
        <v>-1407</v>
      </c>
      <c r="BW293" s="444">
        <f>BT293/[9]SPAMWh!$L173</f>
        <v>1.050294757409534</v>
      </c>
    </row>
    <row r="294" spans="1:75">
      <c r="A294" s="4">
        <f t="shared" si="297"/>
        <v>2007</v>
      </c>
      <c r="B294" s="4">
        <f t="shared" si="298"/>
        <v>2</v>
      </c>
      <c r="C294" s="5">
        <f>'[2]FPC wSEB'!$J391</f>
        <v>245983</v>
      </c>
      <c r="D294" s="5">
        <f>'[2]FPC wSEB'!$AB391</f>
        <v>22023</v>
      </c>
      <c r="E294" s="73">
        <f t="shared" ref="E294:E299" si="326">ROUND(C294/D294*1000,0)</f>
        <v>11169</v>
      </c>
      <c r="F294" s="540">
        <f t="shared" si="255"/>
        <v>22023</v>
      </c>
      <c r="H294" s="13" t="s">
        <v>18</v>
      </c>
      <c r="I294" s="76">
        <f>'[7]Gov 65 &amp; 70'!$S379</f>
        <v>14.9</v>
      </c>
      <c r="J294" s="76">
        <f t="shared" si="164"/>
        <v>22.6</v>
      </c>
      <c r="K294" s="362">
        <f t="shared" si="318"/>
        <v>7.7000000000000011</v>
      </c>
      <c r="L294" s="200" t="s">
        <v>18</v>
      </c>
      <c r="M294" s="76">
        <f>'[7]Gov 65 &amp; 70'!$J379</f>
        <v>206.9</v>
      </c>
      <c r="N294" s="76">
        <f t="shared" si="165"/>
        <v>177.2</v>
      </c>
      <c r="O294" s="363">
        <f t="shared" si="319"/>
        <v>-29.700000000000017</v>
      </c>
      <c r="P294" s="13" t="s">
        <v>18</v>
      </c>
      <c r="Q294" s="321">
        <f t="shared" si="320"/>
        <v>1822.1059395000002</v>
      </c>
      <c r="R294" s="78">
        <f t="shared" si="321"/>
        <v>-812.37121020000041</v>
      </c>
      <c r="S294" s="479">
        <f t="shared" si="306"/>
        <v>1010</v>
      </c>
      <c r="T294" s="13" t="s">
        <v>18</v>
      </c>
      <c r="U294" s="4">
        <f t="shared" si="166"/>
        <v>2007</v>
      </c>
      <c r="V294" s="4">
        <f t="shared" si="167"/>
        <v>2</v>
      </c>
      <c r="W294" s="153">
        <f t="shared" si="259"/>
        <v>11215.229532761205</v>
      </c>
      <c r="X294" s="153">
        <f t="shared" si="317"/>
        <v>-220.57919668289651</v>
      </c>
      <c r="Z294" s="98">
        <f t="shared" si="307"/>
        <v>246993</v>
      </c>
      <c r="AA294" s="119">
        <f t="shared" ref="AA294:AA299" si="327">Z294-C294</f>
        <v>1010</v>
      </c>
      <c r="AB294" s="512">
        <f>[9]SPAMWh!$L174</f>
        <v>246084</v>
      </c>
      <c r="AC294" s="4">
        <f t="shared" si="168"/>
        <v>2007</v>
      </c>
      <c r="AD294" s="4">
        <f t="shared" si="169"/>
        <v>2</v>
      </c>
      <c r="AE294" s="107">
        <f>RESID!AC294</f>
        <v>29.55</v>
      </c>
      <c r="AF294" s="40">
        <f t="shared" si="308"/>
        <v>11545.429777959405</v>
      </c>
      <c r="AG294" s="4">
        <f t="shared" si="309"/>
        <v>254265</v>
      </c>
      <c r="AH294" s="4">
        <f t="shared" si="322"/>
        <v>5686</v>
      </c>
      <c r="AY294" s="4">
        <f t="shared" si="170"/>
        <v>2007</v>
      </c>
      <c r="AZ294" s="4">
        <f t="shared" si="171"/>
        <v>2</v>
      </c>
      <c r="BA294" s="4">
        <f>'[8]Gov 65 &amp; 70'!$S379</f>
        <v>15.9</v>
      </c>
      <c r="BB294" s="4">
        <f t="shared" si="172"/>
        <v>32.799999999999997</v>
      </c>
      <c r="BC294" s="82">
        <f t="shared" si="315"/>
        <v>16.899999999999999</v>
      </c>
      <c r="BD294" s="36" t="s">
        <v>18</v>
      </c>
      <c r="BE294" s="4">
        <f>'[8]Gov 65 &amp; 70'!$J379</f>
        <v>197</v>
      </c>
      <c r="BF294" s="4">
        <f t="shared" si="173"/>
        <v>139.1</v>
      </c>
      <c r="BG294" s="83">
        <f t="shared" si="316"/>
        <v>-57.900000000000006</v>
      </c>
      <c r="BH294" s="36" t="s">
        <v>18</v>
      </c>
      <c r="BI294" s="273">
        <f t="shared" si="323"/>
        <v>3999.1675814999994</v>
      </c>
      <c r="BJ294" s="270">
        <f t="shared" si="324"/>
        <v>-1583.7135714000003</v>
      </c>
      <c r="BK294" s="482">
        <f t="shared" si="310"/>
        <v>2415</v>
      </c>
      <c r="BL294" s="276"/>
      <c r="BM294" s="36" t="s">
        <v>18</v>
      </c>
      <c r="BN294" s="4">
        <f t="shared" si="174"/>
        <v>2007</v>
      </c>
      <c r="BO294" s="4">
        <f t="shared" si="175"/>
        <v>2</v>
      </c>
      <c r="BP294" s="108">
        <f>(C294+[4]MWh!$AN128)</f>
        <v>220426.06263164332</v>
      </c>
      <c r="BQ294" s="108">
        <f t="shared" si="311"/>
        <v>10008.90263050644</v>
      </c>
      <c r="BR294" s="108">
        <f t="shared" si="312"/>
        <v>10118.560715236039</v>
      </c>
      <c r="BS294" s="108">
        <f t="shared" si="313"/>
        <v>-1623.2672572350311</v>
      </c>
      <c r="BT294" s="175">
        <f t="shared" si="314"/>
        <v>222841.06263164332</v>
      </c>
      <c r="BU294" s="108">
        <f t="shared" si="325"/>
        <v>-24923.249415468716</v>
      </c>
      <c r="BV294" s="4">
        <f t="shared" si="250"/>
        <v>2415</v>
      </c>
      <c r="BW294" s="444">
        <f>BT294/[9]SPAMWh!$L174</f>
        <v>0.905548766403518</v>
      </c>
    </row>
    <row r="295" spans="1:75">
      <c r="A295" s="4">
        <f t="shared" si="297"/>
        <v>2007</v>
      </c>
      <c r="B295" s="4">
        <f t="shared" si="298"/>
        <v>3</v>
      </c>
      <c r="C295" s="5">
        <f>'[2]FPC wSEB'!$J392</f>
        <v>246148</v>
      </c>
      <c r="D295" s="5">
        <f>'[2]FPC wSEB'!$AB392</f>
        <v>21851</v>
      </c>
      <c r="E295" s="73">
        <f t="shared" si="326"/>
        <v>11265</v>
      </c>
      <c r="F295" s="540">
        <f t="shared" si="255"/>
        <v>21851</v>
      </c>
      <c r="H295" s="13" t="s">
        <v>18</v>
      </c>
      <c r="I295" s="76">
        <f>'[7]Gov 65 &amp; 70'!$S380</f>
        <v>37.4</v>
      </c>
      <c r="J295" s="76">
        <f t="shared" si="164"/>
        <v>44.5</v>
      </c>
      <c r="K295" s="362">
        <f t="shared" si="318"/>
        <v>7.1000000000000014</v>
      </c>
      <c r="L295" s="200" t="s">
        <v>18</v>
      </c>
      <c r="M295" s="76">
        <f>'[7]Gov 65 &amp; 70'!$J380</f>
        <v>145.80000000000001</v>
      </c>
      <c r="N295" s="76">
        <f t="shared" si="165"/>
        <v>119.5</v>
      </c>
      <c r="O295" s="363">
        <f t="shared" si="319"/>
        <v>-26.300000000000011</v>
      </c>
      <c r="P295" s="13" t="s">
        <v>18</v>
      </c>
      <c r="Q295" s="321">
        <f t="shared" si="320"/>
        <v>1667.0018645000002</v>
      </c>
      <c r="R295" s="78">
        <f t="shared" si="321"/>
        <v>-713.75417460000028</v>
      </c>
      <c r="S295" s="479">
        <f t="shared" ref="S295:S300" si="328">ROUND((R295+Q295),0)</f>
        <v>953</v>
      </c>
      <c r="T295" s="13" t="s">
        <v>18</v>
      </c>
      <c r="U295" s="4">
        <f t="shared" si="166"/>
        <v>2007</v>
      </c>
      <c r="V295" s="4">
        <f t="shared" si="167"/>
        <v>3</v>
      </c>
      <c r="W295" s="153">
        <f t="shared" si="259"/>
        <v>11308.452702393482</v>
      </c>
      <c r="X295" s="153">
        <f t="shared" si="317"/>
        <v>193.4745426076588</v>
      </c>
      <c r="Z295" s="98">
        <f t="shared" ref="Z295:Z300" si="329">S295+C295</f>
        <v>247101</v>
      </c>
      <c r="AA295" s="119">
        <f t="shared" si="327"/>
        <v>953</v>
      </c>
      <c r="AB295" s="512">
        <f>[9]SPAMWh!$L175</f>
        <v>247691</v>
      </c>
      <c r="AC295" s="4">
        <f t="shared" si="168"/>
        <v>2007</v>
      </c>
      <c r="AD295" s="4">
        <f t="shared" si="169"/>
        <v>3</v>
      </c>
      <c r="AE295" s="107">
        <f>RESID!AC295</f>
        <v>29.4</v>
      </c>
      <c r="AF295" s="40">
        <f t="shared" ref="AF295:AF300" si="330">AG295/D295*1000</f>
        <v>11700.791725779141</v>
      </c>
      <c r="AG295" s="4">
        <f t="shared" ref="AG295:AG300" si="331">ROUND(Z295/(AE295/30.42),0)</f>
        <v>255674</v>
      </c>
      <c r="AH295" s="4">
        <f t="shared" si="322"/>
        <v>10452</v>
      </c>
      <c r="AY295" s="4">
        <f t="shared" ref="AY295:AY358" si="332">AY283+1</f>
        <v>2007</v>
      </c>
      <c r="AZ295" s="4">
        <f t="shared" ref="AZ295:AZ358" si="333">AZ283</f>
        <v>3</v>
      </c>
      <c r="BA295" s="4">
        <f>'[8]Gov 65 &amp; 70'!$S380</f>
        <v>70.8</v>
      </c>
      <c r="BB295" s="4">
        <f t="shared" si="172"/>
        <v>64.099999999999994</v>
      </c>
      <c r="BC295" s="82">
        <f t="shared" si="315"/>
        <v>-6.7000000000000028</v>
      </c>
      <c r="BD295" s="36" t="s">
        <v>18</v>
      </c>
      <c r="BE295" s="4">
        <f>'[8]Gov 65 &amp; 70'!$J380</f>
        <v>70.599999999999994</v>
      </c>
      <c r="BF295" s="4">
        <f t="shared" si="173"/>
        <v>85.4</v>
      </c>
      <c r="BG295" s="83">
        <f t="shared" si="316"/>
        <v>14.800000000000011</v>
      </c>
      <c r="BH295" s="36" t="s">
        <v>18</v>
      </c>
      <c r="BI295" s="273">
        <f t="shared" si="323"/>
        <v>-1573.0862665000006</v>
      </c>
      <c r="BJ295" s="270">
        <f t="shared" si="324"/>
        <v>401.6563416000003</v>
      </c>
      <c r="BK295" s="482">
        <f t="shared" ref="BK295:BK300" si="334">ROUND(BJ295+BI295,0)</f>
        <v>-1171</v>
      </c>
      <c r="BL295" s="276"/>
      <c r="BM295" s="36" t="s">
        <v>18</v>
      </c>
      <c r="BN295" s="4">
        <f t="shared" si="174"/>
        <v>2007</v>
      </c>
      <c r="BO295" s="4">
        <f t="shared" si="175"/>
        <v>3</v>
      </c>
      <c r="BP295" s="108">
        <f>(C295+[4]MWh!$AN129)</f>
        <v>264589.98170578468</v>
      </c>
      <c r="BQ295" s="108">
        <f t="shared" ref="BQ295:BQ300" si="335">BP295/D295*1000</f>
        <v>12108.827134034354</v>
      </c>
      <c r="BR295" s="108">
        <f t="shared" ref="BR295:BR300" si="336">BT295/D295*1000</f>
        <v>12055.236909330679</v>
      </c>
      <c r="BS295" s="108">
        <f t="shared" ref="BS295:BS300" si="337">BR295-BR283</f>
        <v>625.6524385257253</v>
      </c>
      <c r="BT295" s="175">
        <f t="shared" ref="BT295:BT300" si="338">BK295+BP295</f>
        <v>263418.98170578468</v>
      </c>
      <c r="BU295" s="108">
        <f t="shared" si="325"/>
        <v>20071.698737876402</v>
      </c>
      <c r="BV295" s="4">
        <f t="shared" si="250"/>
        <v>-1171</v>
      </c>
      <c r="BW295" s="444">
        <f>BT295/[9]SPAMWh!$L175</f>
        <v>1.0634983980273189</v>
      </c>
    </row>
    <row r="296" spans="1:75">
      <c r="A296" s="4">
        <f t="shared" si="297"/>
        <v>2007</v>
      </c>
      <c r="B296" s="4">
        <f t="shared" si="298"/>
        <v>4</v>
      </c>
      <c r="C296" s="5">
        <f>'[2]FPC wSEB'!$J393</f>
        <v>256819</v>
      </c>
      <c r="D296" s="5">
        <f>'[2]FPC wSEB'!$AB393</f>
        <v>21823</v>
      </c>
      <c r="E296" s="73">
        <f t="shared" si="326"/>
        <v>11768</v>
      </c>
      <c r="F296" s="540">
        <f t="shared" si="255"/>
        <v>21823</v>
      </c>
      <c r="H296" s="13" t="s">
        <v>18</v>
      </c>
      <c r="I296" s="76">
        <f>'[7]Gov 65 &amp; 70'!$S381</f>
        <v>81.400000000000006</v>
      </c>
      <c r="J296" s="76">
        <f t="shared" si="164"/>
        <v>87.7</v>
      </c>
      <c r="K296" s="362">
        <f t="shared" si="318"/>
        <v>6.2999999999999972</v>
      </c>
      <c r="L296" s="200" t="s">
        <v>18</v>
      </c>
      <c r="M296" s="76">
        <f>'[7]Gov 65 &amp; 70'!$J381</f>
        <v>56.8</v>
      </c>
      <c r="N296" s="76">
        <f t="shared" si="165"/>
        <v>60.3</v>
      </c>
      <c r="O296" s="363">
        <f t="shared" si="319"/>
        <v>3.5</v>
      </c>
      <c r="P296" s="13" t="s">
        <v>18</v>
      </c>
      <c r="Q296" s="321">
        <f t="shared" si="320"/>
        <v>1477.2752504999992</v>
      </c>
      <c r="R296" s="78">
        <f t="shared" si="321"/>
        <v>94.864580999999987</v>
      </c>
      <c r="S296" s="479">
        <f t="shared" si="328"/>
        <v>1572</v>
      </c>
      <c r="T296" s="13" t="s">
        <v>18</v>
      </c>
      <c r="U296" s="4">
        <f t="shared" si="166"/>
        <v>2007</v>
      </c>
      <c r="V296" s="4">
        <f t="shared" si="167"/>
        <v>4</v>
      </c>
      <c r="W296" s="153">
        <f t="shared" si="259"/>
        <v>11840.306099069789</v>
      </c>
      <c r="X296" s="153">
        <f t="shared" si="317"/>
        <v>-97.011336164612658</v>
      </c>
      <c r="Z296" s="98">
        <f t="shared" si="329"/>
        <v>258391</v>
      </c>
      <c r="AA296" s="119">
        <f t="shared" si="327"/>
        <v>1572</v>
      </c>
      <c r="AB296" s="512">
        <f>[9]SPAMWh!$L176</f>
        <v>259397</v>
      </c>
      <c r="AC296" s="4">
        <f t="shared" si="168"/>
        <v>2007</v>
      </c>
      <c r="AD296" s="4">
        <f t="shared" si="169"/>
        <v>4</v>
      </c>
      <c r="AE296" s="107">
        <f>RESID!AC296</f>
        <v>30.4</v>
      </c>
      <c r="AF296" s="40">
        <f t="shared" si="330"/>
        <v>11848.096045456628</v>
      </c>
      <c r="AG296" s="4">
        <f t="shared" si="331"/>
        <v>258561</v>
      </c>
      <c r="AH296" s="4">
        <f t="shared" si="322"/>
        <v>9104</v>
      </c>
      <c r="AY296" s="4">
        <f t="shared" si="332"/>
        <v>2007</v>
      </c>
      <c r="AZ296" s="4">
        <f t="shared" si="333"/>
        <v>4</v>
      </c>
      <c r="BA296" s="4">
        <f>'[8]Gov 65 &amp; 70'!$S381</f>
        <v>101.1</v>
      </c>
      <c r="BB296" s="4">
        <f t="shared" si="172"/>
        <v>122</v>
      </c>
      <c r="BC296" s="82">
        <f t="shared" ref="BC296:BC301" si="339">BB296-BA296</f>
        <v>20.900000000000006</v>
      </c>
      <c r="BD296" s="36" t="s">
        <v>18</v>
      </c>
      <c r="BE296" s="4">
        <f>'[8]Gov 65 &amp; 70'!$J381</f>
        <v>48.4</v>
      </c>
      <c r="BF296" s="4">
        <f t="shared" si="173"/>
        <v>34.700000000000003</v>
      </c>
      <c r="BG296" s="83">
        <f t="shared" ref="BG296:BG301" si="340">BF296-BE296</f>
        <v>-13.699999999999996</v>
      </c>
      <c r="BH296" s="36" t="s">
        <v>18</v>
      </c>
      <c r="BI296" s="273">
        <f t="shared" si="323"/>
        <v>4900.8020215000006</v>
      </c>
      <c r="BJ296" s="270">
        <f t="shared" si="324"/>
        <v>-371.32707419999991</v>
      </c>
      <c r="BK296" s="482">
        <f t="shared" si="334"/>
        <v>4529</v>
      </c>
      <c r="BL296" s="276"/>
      <c r="BM296" s="36" t="s">
        <v>18</v>
      </c>
      <c r="BN296" s="4">
        <f t="shared" si="174"/>
        <v>2007</v>
      </c>
      <c r="BO296" s="4">
        <f t="shared" si="175"/>
        <v>4</v>
      </c>
      <c r="BP296" s="108">
        <f>(C296+[4]MWh!$AN130)</f>
        <v>266115.92554071604</v>
      </c>
      <c r="BQ296" s="108">
        <f t="shared" si="335"/>
        <v>12194.287015566881</v>
      </c>
      <c r="BR296" s="108">
        <f t="shared" si="336"/>
        <v>12401.820351955095</v>
      </c>
      <c r="BS296" s="108">
        <f t="shared" si="337"/>
        <v>-745.26096198319647</v>
      </c>
      <c r="BT296" s="175">
        <f t="shared" si="338"/>
        <v>270644.92554071604</v>
      </c>
      <c r="BU296" s="108">
        <f t="shared" si="325"/>
        <v>-3905.573538257333</v>
      </c>
      <c r="BV296" s="4">
        <f t="shared" si="250"/>
        <v>4529</v>
      </c>
      <c r="BW296" s="444">
        <f>BT296/[9]SPAMWh!$L176</f>
        <v>1.043361818142523</v>
      </c>
    </row>
    <row r="297" spans="1:75">
      <c r="A297" s="4">
        <f t="shared" si="297"/>
        <v>2007</v>
      </c>
      <c r="B297" s="4">
        <f t="shared" si="298"/>
        <v>5</v>
      </c>
      <c r="C297" s="5">
        <f>'[2]FPC wSEB'!$J394</f>
        <v>272248</v>
      </c>
      <c r="D297" s="5">
        <f>'[2]FPC wSEB'!$AB394</f>
        <v>22614</v>
      </c>
      <c r="E297" s="73">
        <f t="shared" si="326"/>
        <v>12039</v>
      </c>
      <c r="F297" s="540">
        <f t="shared" si="255"/>
        <v>22614</v>
      </c>
      <c r="H297" s="13" t="s">
        <v>18</v>
      </c>
      <c r="I297" s="76">
        <f>'[7]Gov 65 &amp; 70'!$S382</f>
        <v>148.69999999999999</v>
      </c>
      <c r="J297" s="76">
        <f t="shared" si="164"/>
        <v>157.69999999999999</v>
      </c>
      <c r="K297" s="362">
        <f t="shared" si="318"/>
        <v>9</v>
      </c>
      <c r="L297" s="200" t="s">
        <v>18</v>
      </c>
      <c r="M297" s="76">
        <f>'[7]Gov 65 &amp; 70'!$J382</f>
        <v>23.7</v>
      </c>
      <c r="N297" s="76">
        <f t="shared" si="165"/>
        <v>18.600000000000001</v>
      </c>
      <c r="O297" s="363">
        <f t="shared" si="319"/>
        <v>-5.0999999999999979</v>
      </c>
      <c r="P297" s="13" t="s">
        <v>18</v>
      </c>
      <c r="Q297" s="321">
        <f t="shared" si="320"/>
        <v>2186.8868700000003</v>
      </c>
      <c r="R297" s="78">
        <f t="shared" si="321"/>
        <v>-143.24159879999996</v>
      </c>
      <c r="S297" s="479">
        <f t="shared" si="328"/>
        <v>2044</v>
      </c>
      <c r="T297" s="13" t="s">
        <v>18</v>
      </c>
      <c r="U297" s="4">
        <f t="shared" si="166"/>
        <v>2007</v>
      </c>
      <c r="V297" s="4">
        <f t="shared" si="167"/>
        <v>5</v>
      </c>
      <c r="W297" s="153">
        <f t="shared" ref="W297:W302" si="341">Z297/D297*1000</f>
        <v>12129.300433359866</v>
      </c>
      <c r="X297" s="153">
        <f t="shared" si="317"/>
        <v>-314.69208650923065</v>
      </c>
      <c r="Z297" s="98">
        <f t="shared" si="329"/>
        <v>274292</v>
      </c>
      <c r="AA297" s="119">
        <f t="shared" si="327"/>
        <v>2044</v>
      </c>
      <c r="AB297" s="512">
        <f>[9]SPAMWh!$L177</f>
        <v>272222</v>
      </c>
      <c r="AC297" s="4">
        <f t="shared" si="168"/>
        <v>2007</v>
      </c>
      <c r="AD297" s="4">
        <f t="shared" si="169"/>
        <v>5</v>
      </c>
      <c r="AE297" s="107">
        <f>RESID!AC297</f>
        <v>29.8</v>
      </c>
      <c r="AF297" s="40">
        <f t="shared" si="330"/>
        <v>12381.66622446272</v>
      </c>
      <c r="AG297" s="4">
        <f t="shared" si="331"/>
        <v>279999</v>
      </c>
      <c r="AH297" s="4">
        <f t="shared" si="322"/>
        <v>8115</v>
      </c>
      <c r="AY297" s="4">
        <f t="shared" si="332"/>
        <v>2007</v>
      </c>
      <c r="AZ297" s="4">
        <f t="shared" si="333"/>
        <v>5</v>
      </c>
      <c r="BA297" s="4">
        <f>'[8]Gov 65 &amp; 70'!$S382</f>
        <v>208.6</v>
      </c>
      <c r="BB297" s="4">
        <f t="shared" si="172"/>
        <v>253</v>
      </c>
      <c r="BC297" s="82">
        <f t="shared" si="339"/>
        <v>44.400000000000006</v>
      </c>
      <c r="BD297" s="36" t="s">
        <v>18</v>
      </c>
      <c r="BE297" s="4">
        <f>'[8]Gov 65 &amp; 70'!$J382</f>
        <v>5</v>
      </c>
      <c r="BF297" s="4">
        <f t="shared" si="173"/>
        <v>4.3</v>
      </c>
      <c r="BG297" s="83">
        <f t="shared" si="340"/>
        <v>-0.70000000000000018</v>
      </c>
      <c r="BH297" s="36" t="s">
        <v>18</v>
      </c>
      <c r="BI297" s="273">
        <f t="shared" si="323"/>
        <v>10788.641892000001</v>
      </c>
      <c r="BJ297" s="270">
        <f t="shared" si="324"/>
        <v>-19.660611600000003</v>
      </c>
      <c r="BK297" s="482">
        <f t="shared" si="334"/>
        <v>10769</v>
      </c>
      <c r="BL297" s="276"/>
      <c r="BM297" s="36" t="s">
        <v>18</v>
      </c>
      <c r="BN297" s="4">
        <f t="shared" si="174"/>
        <v>2007</v>
      </c>
      <c r="BO297" s="4">
        <f t="shared" si="175"/>
        <v>5</v>
      </c>
      <c r="BP297" s="108">
        <f>(C297+[4]MWh!$AN131)</f>
        <v>300022.930894761</v>
      </c>
      <c r="BQ297" s="108">
        <f t="shared" si="335"/>
        <v>13267.132346986866</v>
      </c>
      <c r="BR297" s="108">
        <f t="shared" si="336"/>
        <v>13743.341774774961</v>
      </c>
      <c r="BS297" s="108">
        <f t="shared" si="337"/>
        <v>513.27687226079433</v>
      </c>
      <c r="BT297" s="175">
        <f t="shared" si="338"/>
        <v>310791.930894761</v>
      </c>
      <c r="BU297" s="108">
        <f t="shared" si="325"/>
        <v>27800.842629982973</v>
      </c>
      <c r="BV297" s="4">
        <f t="shared" si="250"/>
        <v>10769</v>
      </c>
      <c r="BW297" s="444">
        <f>BT297/[9]SPAMWh!$L177</f>
        <v>1.1416855760914291</v>
      </c>
    </row>
    <row r="298" spans="1:75">
      <c r="A298" s="4">
        <f t="shared" si="297"/>
        <v>2007</v>
      </c>
      <c r="B298" s="4">
        <f t="shared" si="298"/>
        <v>6</v>
      </c>
      <c r="C298" s="5">
        <f>'[2]FPC wSEB'!$J395</f>
        <v>275808</v>
      </c>
      <c r="D298" s="5">
        <f>'[2]FPC wSEB'!$AB395</f>
        <v>22242</v>
      </c>
      <c r="E298" s="73">
        <f t="shared" si="326"/>
        <v>12400</v>
      </c>
      <c r="F298" s="540">
        <f t="shared" si="255"/>
        <v>22242</v>
      </c>
      <c r="H298" s="13" t="s">
        <v>18</v>
      </c>
      <c r="I298" s="76">
        <f>'[7]Gov 65 &amp; 70'!$S383</f>
        <v>246.6</v>
      </c>
      <c r="J298" s="76">
        <f t="shared" si="164"/>
        <v>295.39999999999998</v>
      </c>
      <c r="K298" s="362">
        <f t="shared" si="318"/>
        <v>48.799999999999983</v>
      </c>
      <c r="L298" s="200" t="s">
        <v>18</v>
      </c>
      <c r="M298" s="76">
        <f>'[7]Gov 65 &amp; 70'!$J383</f>
        <v>2.6</v>
      </c>
      <c r="N298" s="76">
        <f t="shared" si="165"/>
        <v>2.2000000000000002</v>
      </c>
      <c r="O298" s="363">
        <f t="shared" si="319"/>
        <v>-0.39999999999999991</v>
      </c>
      <c r="P298" s="13" t="s">
        <v>18</v>
      </c>
      <c r="Q298" s="321">
        <f t="shared" si="320"/>
        <v>11662.726151999996</v>
      </c>
      <c r="R298" s="78">
        <f t="shared" si="321"/>
        <v>-11.049825599999998</v>
      </c>
      <c r="S298" s="479">
        <f t="shared" si="328"/>
        <v>11652</v>
      </c>
      <c r="T298" s="13" t="s">
        <v>18</v>
      </c>
      <c r="U298" s="4">
        <f t="shared" si="166"/>
        <v>2007</v>
      </c>
      <c r="V298" s="4">
        <f t="shared" si="167"/>
        <v>6</v>
      </c>
      <c r="W298" s="153">
        <f t="shared" si="341"/>
        <v>12924.197464256811</v>
      </c>
      <c r="X298" s="153">
        <f t="shared" ref="X298:X303" si="342">W298-W286</f>
        <v>-105.74405621102596</v>
      </c>
      <c r="Z298" s="98">
        <f t="shared" si="329"/>
        <v>287460</v>
      </c>
      <c r="AA298" s="119">
        <f t="shared" si="327"/>
        <v>11652</v>
      </c>
      <c r="AB298" s="512">
        <f>[9]SPAMWh!$L178</f>
        <v>285607</v>
      </c>
      <c r="AC298" s="4">
        <f t="shared" si="168"/>
        <v>2007</v>
      </c>
      <c r="AD298" s="4">
        <f t="shared" si="169"/>
        <v>6</v>
      </c>
      <c r="AE298" s="107">
        <f>RESID!AC298</f>
        <v>30.8</v>
      </c>
      <c r="AF298" s="40">
        <f t="shared" si="330"/>
        <v>12764.724395288195</v>
      </c>
      <c r="AG298" s="4">
        <f t="shared" si="331"/>
        <v>283913</v>
      </c>
      <c r="AH298" s="4">
        <f t="shared" si="322"/>
        <v>8945</v>
      </c>
      <c r="AY298" s="4">
        <f t="shared" si="332"/>
        <v>2007</v>
      </c>
      <c r="AZ298" s="4">
        <f t="shared" si="333"/>
        <v>6</v>
      </c>
      <c r="BA298" s="4">
        <f>'[8]Gov 65 &amp; 70'!$S383</f>
        <v>323</v>
      </c>
      <c r="BB298" s="4">
        <f t="shared" si="172"/>
        <v>336.1</v>
      </c>
      <c r="BC298" s="82">
        <f t="shared" si="339"/>
        <v>13.100000000000023</v>
      </c>
      <c r="BD298" s="36" t="s">
        <v>18</v>
      </c>
      <c r="BE298" s="4">
        <f>'[8]Gov 65 &amp; 70'!$J383</f>
        <v>0.1</v>
      </c>
      <c r="BF298" s="4">
        <f t="shared" si="173"/>
        <v>0</v>
      </c>
      <c r="BG298" s="83">
        <f t="shared" si="340"/>
        <v>-0.1</v>
      </c>
      <c r="BH298" s="36" t="s">
        <v>18</v>
      </c>
      <c r="BI298" s="273">
        <f t="shared" si="323"/>
        <v>3130.7727990000053</v>
      </c>
      <c r="BJ298" s="270">
        <f t="shared" si="324"/>
        <v>-2.7624564</v>
      </c>
      <c r="BK298" s="482">
        <f t="shared" si="334"/>
        <v>3128</v>
      </c>
      <c r="BL298" s="276"/>
      <c r="BM298" s="36" t="s">
        <v>18</v>
      </c>
      <c r="BN298" s="4">
        <f t="shared" si="174"/>
        <v>2007</v>
      </c>
      <c r="BO298" s="4">
        <f t="shared" si="175"/>
        <v>6</v>
      </c>
      <c r="BP298" s="108">
        <f>(C298+[4]MWh!$AN132)</f>
        <v>283018.78749107831</v>
      </c>
      <c r="BQ298" s="108">
        <f t="shared" si="335"/>
        <v>12724.520613752285</v>
      </c>
      <c r="BR298" s="108">
        <f t="shared" si="336"/>
        <v>12865.155448749138</v>
      </c>
      <c r="BS298" s="108">
        <f t="shared" si="337"/>
        <v>224.37497601527321</v>
      </c>
      <c r="BT298" s="175">
        <f t="shared" si="338"/>
        <v>286146.78749107831</v>
      </c>
      <c r="BU298" s="108">
        <f t="shared" si="325"/>
        <v>15950.104886391957</v>
      </c>
      <c r="BV298" s="4">
        <f t="shared" si="250"/>
        <v>3128</v>
      </c>
      <c r="BW298" s="444">
        <f>BT298/[9]SPAMWh!$L178</f>
        <v>1.0018899659009699</v>
      </c>
    </row>
    <row r="299" spans="1:75">
      <c r="A299" s="4">
        <f t="shared" si="297"/>
        <v>2007</v>
      </c>
      <c r="B299" s="4">
        <f t="shared" si="298"/>
        <v>7</v>
      </c>
      <c r="C299" s="5">
        <f>'[2]FPC wSEB'!$J396</f>
        <v>282932</v>
      </c>
      <c r="D299" s="5">
        <f>'[2]FPC wSEB'!$AB396</f>
        <v>21586</v>
      </c>
      <c r="E299" s="73">
        <f t="shared" si="326"/>
        <v>13107</v>
      </c>
      <c r="F299" s="540">
        <f t="shared" si="255"/>
        <v>21586</v>
      </c>
      <c r="H299" s="13" t="s">
        <v>18</v>
      </c>
      <c r="I299" s="76">
        <f>'[7]Gov 65 &amp; 70'!$S384</f>
        <v>369</v>
      </c>
      <c r="J299" s="76">
        <f t="shared" si="164"/>
        <v>363.4</v>
      </c>
      <c r="K299" s="362">
        <f t="shared" ref="K299:K304" si="343">(J299-I299)</f>
        <v>-5.6000000000000227</v>
      </c>
      <c r="L299" s="200" t="s">
        <v>18</v>
      </c>
      <c r="M299" s="76">
        <f>'[7]Gov 65 &amp; 70'!$J384</f>
        <v>0</v>
      </c>
      <c r="N299" s="76">
        <f t="shared" si="165"/>
        <v>0</v>
      </c>
      <c r="O299" s="363">
        <f t="shared" ref="O299:O304" si="344">(N299-M299)</f>
        <v>0</v>
      </c>
      <c r="P299" s="13" t="s">
        <v>18</v>
      </c>
      <c r="Q299" s="321">
        <f t="shared" ref="Q299:Q304" si="345">(K299*$D$10)*D299/1000</f>
        <v>-1298.8727920000053</v>
      </c>
      <c r="R299" s="78">
        <f t="shared" ref="R299:R304" si="346">(O299*$D$9)*D299/1000</f>
        <v>0</v>
      </c>
      <c r="S299" s="479">
        <f t="shared" si="328"/>
        <v>-1299</v>
      </c>
      <c r="T299" s="13" t="s">
        <v>18</v>
      </c>
      <c r="U299" s="4">
        <f t="shared" si="166"/>
        <v>2007</v>
      </c>
      <c r="V299" s="4">
        <f t="shared" si="167"/>
        <v>7</v>
      </c>
      <c r="W299" s="153">
        <f t="shared" si="341"/>
        <v>13047.02121745576</v>
      </c>
      <c r="X299" s="153">
        <f t="shared" si="342"/>
        <v>-595.41938209120599</v>
      </c>
      <c r="Z299" s="98">
        <f t="shared" si="329"/>
        <v>281633</v>
      </c>
      <c r="AA299" s="119">
        <f t="shared" si="327"/>
        <v>-1299</v>
      </c>
      <c r="AB299" s="512">
        <f>[9]SPAMWh!$L179</f>
        <v>288010</v>
      </c>
      <c r="AC299" s="4">
        <f t="shared" si="168"/>
        <v>2007</v>
      </c>
      <c r="AD299" s="4">
        <f t="shared" si="169"/>
        <v>7</v>
      </c>
      <c r="AE299" s="107">
        <f>RESID!AC299</f>
        <v>30.5</v>
      </c>
      <c r="AF299" s="40">
        <f t="shared" si="330"/>
        <v>13012.786065042157</v>
      </c>
      <c r="AG299" s="4">
        <f t="shared" si="331"/>
        <v>280894</v>
      </c>
      <c r="AH299" s="4">
        <f t="shared" ref="AH299:AH304" si="347">Z299-Z287</f>
        <v>-1434</v>
      </c>
      <c r="AY299" s="4">
        <f t="shared" si="332"/>
        <v>2007</v>
      </c>
      <c r="AZ299" s="4">
        <f t="shared" si="333"/>
        <v>7</v>
      </c>
      <c r="BA299" s="4">
        <f>'[8]Gov 65 &amp; 70'!$S384</f>
        <v>399.4</v>
      </c>
      <c r="BB299" s="4">
        <f t="shared" si="172"/>
        <v>391.2</v>
      </c>
      <c r="BC299" s="82">
        <f t="shared" si="339"/>
        <v>-8.1999999999999886</v>
      </c>
      <c r="BD299" s="36" t="s">
        <v>18</v>
      </c>
      <c r="BE299" s="4">
        <f>'[8]Gov 65 &amp; 70'!$J384</f>
        <v>0</v>
      </c>
      <c r="BF299" s="4">
        <f t="shared" si="173"/>
        <v>0</v>
      </c>
      <c r="BG299" s="83">
        <f t="shared" si="340"/>
        <v>0</v>
      </c>
      <c r="BH299" s="36" t="s">
        <v>18</v>
      </c>
      <c r="BI299" s="273">
        <f t="shared" ref="BI299:BI304" si="348">($D$10*BC299)*D299/1000</f>
        <v>-1901.920873999997</v>
      </c>
      <c r="BJ299" s="270">
        <f t="shared" ref="BJ299:BJ304" si="349">($D$9*BG299)*D299/1000</f>
        <v>0</v>
      </c>
      <c r="BK299" s="482">
        <f t="shared" si="334"/>
        <v>-1902</v>
      </c>
      <c r="BL299" s="276"/>
      <c r="BM299" s="36" t="s">
        <v>18</v>
      </c>
      <c r="BN299" s="4">
        <f t="shared" si="174"/>
        <v>2007</v>
      </c>
      <c r="BO299" s="4">
        <f t="shared" si="175"/>
        <v>7</v>
      </c>
      <c r="BP299" s="108">
        <f>(C299+[4]MWh!$AN133)</f>
        <v>288503.54725580185</v>
      </c>
      <c r="BQ299" s="108">
        <f t="shared" si="335"/>
        <v>13365.308406180016</v>
      </c>
      <c r="BR299" s="108">
        <f t="shared" si="336"/>
        <v>13277.195740563415</v>
      </c>
      <c r="BS299" s="108">
        <f t="shared" si="337"/>
        <v>-1191.6983331339688</v>
      </c>
      <c r="BT299" s="175">
        <f t="shared" si="338"/>
        <v>286601.54725580185</v>
      </c>
      <c r="BU299" s="108">
        <f t="shared" ref="BU299:BU304" si="350">BT299-BT287</f>
        <v>-13613.535879345145</v>
      </c>
      <c r="BV299" s="4">
        <f t="shared" si="250"/>
        <v>-1902</v>
      </c>
      <c r="BW299" s="444">
        <f>BT299/[9]SPAMWh!$L179</f>
        <v>0.99510970888442019</v>
      </c>
    </row>
    <row r="300" spans="1:75">
      <c r="A300" s="4">
        <f t="shared" si="297"/>
        <v>2007</v>
      </c>
      <c r="B300" s="4">
        <f t="shared" si="298"/>
        <v>8</v>
      </c>
      <c r="C300" s="5">
        <f>'[2]FPC wSEB'!$J397</f>
        <v>309475</v>
      </c>
      <c r="D300" s="5">
        <f>'[2]FPC wSEB'!$AB397</f>
        <v>23302</v>
      </c>
      <c r="E300" s="73">
        <f t="shared" ref="E300:E305" si="351">ROUND(C300/D300*1000,0)</f>
        <v>13281</v>
      </c>
      <c r="F300" s="540">
        <f t="shared" si="255"/>
        <v>23302</v>
      </c>
      <c r="H300" s="13" t="s">
        <v>18</v>
      </c>
      <c r="I300" s="76">
        <f>'[7]Gov 65 &amp; 70'!$S385</f>
        <v>416.6</v>
      </c>
      <c r="J300" s="76">
        <f t="shared" si="164"/>
        <v>390.1</v>
      </c>
      <c r="K300" s="362">
        <f t="shared" si="343"/>
        <v>-26.5</v>
      </c>
      <c r="L300" s="200" t="s">
        <v>18</v>
      </c>
      <c r="M300" s="76">
        <f>'[7]Gov 65 &amp; 70'!$J385</f>
        <v>0</v>
      </c>
      <c r="N300" s="76">
        <f t="shared" si="165"/>
        <v>0</v>
      </c>
      <c r="O300" s="363">
        <f t="shared" si="344"/>
        <v>0</v>
      </c>
      <c r="P300" s="13" t="s">
        <v>18</v>
      </c>
      <c r="Q300" s="321">
        <f t="shared" si="345"/>
        <v>-6635.069735</v>
      </c>
      <c r="R300" s="78">
        <f t="shared" si="346"/>
        <v>0</v>
      </c>
      <c r="S300" s="479">
        <f t="shared" si="328"/>
        <v>-6635</v>
      </c>
      <c r="T300" s="13" t="s">
        <v>18</v>
      </c>
      <c r="U300" s="4">
        <f t="shared" si="166"/>
        <v>2007</v>
      </c>
      <c r="V300" s="4">
        <f t="shared" si="167"/>
        <v>8</v>
      </c>
      <c r="W300" s="153">
        <f t="shared" si="341"/>
        <v>12996.309329671274</v>
      </c>
      <c r="X300" s="153">
        <f t="shared" si="342"/>
        <v>-420.97585770634942</v>
      </c>
      <c r="Z300" s="98">
        <f t="shared" si="329"/>
        <v>302840</v>
      </c>
      <c r="AA300" s="119">
        <f t="shared" ref="AA300:AA305" si="352">Z300-C300</f>
        <v>-6635</v>
      </c>
      <c r="AB300" s="512">
        <f>[9]SPAMWh!$L180</f>
        <v>295338</v>
      </c>
      <c r="AC300" s="4">
        <f t="shared" si="168"/>
        <v>2007</v>
      </c>
      <c r="AD300" s="4">
        <f t="shared" si="169"/>
        <v>8</v>
      </c>
      <c r="AE300" s="107">
        <f>RESID!AC300</f>
        <v>31.1</v>
      </c>
      <c r="AF300" s="40">
        <f t="shared" si="330"/>
        <v>12712.127714359282</v>
      </c>
      <c r="AG300" s="4">
        <f t="shared" si="331"/>
        <v>296218</v>
      </c>
      <c r="AH300" s="4">
        <f t="shared" si="347"/>
        <v>8183</v>
      </c>
      <c r="AY300" s="4">
        <f t="shared" si="332"/>
        <v>2007</v>
      </c>
      <c r="AZ300" s="4">
        <f t="shared" si="333"/>
        <v>8</v>
      </c>
      <c r="BA300" s="4">
        <f>'[8]Gov 65 &amp; 70'!$S385</f>
        <v>444.1</v>
      </c>
      <c r="BB300" s="4">
        <f t="shared" si="172"/>
        <v>394.4</v>
      </c>
      <c r="BC300" s="82">
        <f t="shared" si="339"/>
        <v>-49.700000000000045</v>
      </c>
      <c r="BD300" s="36" t="s">
        <v>18</v>
      </c>
      <c r="BE300" s="4">
        <f>'[8]Gov 65 &amp; 70'!$J385</f>
        <v>0</v>
      </c>
      <c r="BF300" s="4">
        <f t="shared" si="173"/>
        <v>0</v>
      </c>
      <c r="BG300" s="83">
        <f t="shared" si="340"/>
        <v>0</v>
      </c>
      <c r="BH300" s="36" t="s">
        <v>18</v>
      </c>
      <c r="BI300" s="273">
        <f t="shared" si="348"/>
        <v>-12443.88550300001</v>
      </c>
      <c r="BJ300" s="270">
        <f t="shared" si="349"/>
        <v>0</v>
      </c>
      <c r="BK300" s="482">
        <f t="shared" si="334"/>
        <v>-12444</v>
      </c>
      <c r="BL300" s="276"/>
      <c r="BM300" s="36" t="s">
        <v>18</v>
      </c>
      <c r="BN300" s="4">
        <f t="shared" si="174"/>
        <v>2007</v>
      </c>
      <c r="BO300" s="4">
        <f t="shared" si="175"/>
        <v>8</v>
      </c>
      <c r="BP300" s="108">
        <f>(C300+[4]MWh!$AN134)</f>
        <v>299888.85607253201</v>
      </c>
      <c r="BQ300" s="108">
        <f t="shared" si="335"/>
        <v>12869.661663056047</v>
      </c>
      <c r="BR300" s="108">
        <f t="shared" si="336"/>
        <v>12335.63024944348</v>
      </c>
      <c r="BS300" s="108">
        <f t="shared" si="337"/>
        <v>-484.99762432802163</v>
      </c>
      <c r="BT300" s="175">
        <f t="shared" si="338"/>
        <v>287444.85607253201</v>
      </c>
      <c r="BU300" s="108">
        <f t="shared" si="350"/>
        <v>5891.0473366360529</v>
      </c>
      <c r="BV300" s="4">
        <f t="shared" si="250"/>
        <v>-12444</v>
      </c>
      <c r="BW300" s="444">
        <f>BT300/[9]SPAMWh!$L180</f>
        <v>0.97327420133044851</v>
      </c>
    </row>
    <row r="301" spans="1:75">
      <c r="A301" s="4">
        <f t="shared" si="297"/>
        <v>2007</v>
      </c>
      <c r="B301" s="4">
        <f t="shared" si="298"/>
        <v>9</v>
      </c>
      <c r="C301" s="5">
        <f>'[2]FPC wSEB'!$J398</f>
        <v>327919</v>
      </c>
      <c r="D301" s="5">
        <f>'[2]FPC wSEB'!$AB398</f>
        <v>21912</v>
      </c>
      <c r="E301" s="73">
        <f t="shared" si="351"/>
        <v>14965</v>
      </c>
      <c r="F301" s="540">
        <f t="shared" si="255"/>
        <v>21912</v>
      </c>
      <c r="H301" s="13" t="s">
        <v>18</v>
      </c>
      <c r="I301" s="76">
        <f>'[7]Gov 65 &amp; 70'!$S386</f>
        <v>413.5</v>
      </c>
      <c r="J301" s="76">
        <f t="shared" si="164"/>
        <v>381.2</v>
      </c>
      <c r="K301" s="362">
        <f t="shared" si="343"/>
        <v>-32.300000000000011</v>
      </c>
      <c r="L301" s="200" t="s">
        <v>18</v>
      </c>
      <c r="M301" s="76">
        <f>'[7]Gov 65 &amp; 70'!$J386</f>
        <v>0</v>
      </c>
      <c r="N301" s="76">
        <f t="shared" si="165"/>
        <v>0</v>
      </c>
      <c r="O301" s="363">
        <f t="shared" si="344"/>
        <v>0</v>
      </c>
      <c r="P301" s="13" t="s">
        <v>18</v>
      </c>
      <c r="Q301" s="321">
        <f t="shared" si="345"/>
        <v>-7604.8554120000026</v>
      </c>
      <c r="R301" s="78">
        <f t="shared" si="346"/>
        <v>0</v>
      </c>
      <c r="S301" s="479">
        <f t="shared" ref="S301:S306" si="353">ROUND((R301+Q301),0)</f>
        <v>-7605</v>
      </c>
      <c r="T301" s="13" t="s">
        <v>18</v>
      </c>
      <c r="U301" s="4">
        <f t="shared" si="166"/>
        <v>2007</v>
      </c>
      <c r="V301" s="4">
        <f t="shared" si="167"/>
        <v>9</v>
      </c>
      <c r="W301" s="153">
        <f t="shared" si="341"/>
        <v>14618.20007301935</v>
      </c>
      <c r="X301" s="153">
        <f t="shared" si="342"/>
        <v>-160.87506081856736</v>
      </c>
      <c r="Z301" s="98">
        <f t="shared" ref="Z301:Z306" si="354">S301+C301</f>
        <v>320314</v>
      </c>
      <c r="AA301" s="119">
        <f t="shared" si="352"/>
        <v>-7605</v>
      </c>
      <c r="AB301" s="512">
        <f>[9]SPAMWh!$L181</f>
        <v>322516</v>
      </c>
      <c r="AC301" s="4">
        <f t="shared" si="168"/>
        <v>2007</v>
      </c>
      <c r="AD301" s="4">
        <f t="shared" si="169"/>
        <v>9</v>
      </c>
      <c r="AE301" s="107">
        <f>RESID!AC301</f>
        <v>30.55</v>
      </c>
      <c r="AF301" s="40">
        <f t="shared" ref="AF301:AF306" si="355">AG301/D301*1000</f>
        <v>14555.996714129245</v>
      </c>
      <c r="AG301" s="4">
        <f t="shared" ref="AG301:AG306" si="356">ROUND(Z301/(AE301/30.42),0)</f>
        <v>318951</v>
      </c>
      <c r="AH301" s="4">
        <f t="shared" si="347"/>
        <v>81</v>
      </c>
      <c r="AY301" s="4">
        <f t="shared" si="332"/>
        <v>2007</v>
      </c>
      <c r="AZ301" s="4">
        <f t="shared" si="333"/>
        <v>9</v>
      </c>
      <c r="BA301" s="4">
        <f>'[8]Gov 65 &amp; 70'!$S386</f>
        <v>348.9</v>
      </c>
      <c r="BB301" s="4">
        <f t="shared" si="172"/>
        <v>339.3</v>
      </c>
      <c r="BC301" s="82">
        <f t="shared" si="339"/>
        <v>-9.5999999999999659</v>
      </c>
      <c r="BD301" s="36" t="s">
        <v>18</v>
      </c>
      <c r="BE301" s="4">
        <f>'[8]Gov 65 &amp; 70'!$J386</f>
        <v>0</v>
      </c>
      <c r="BF301" s="4">
        <f t="shared" si="173"/>
        <v>0</v>
      </c>
      <c r="BG301" s="83">
        <f t="shared" si="340"/>
        <v>0</v>
      </c>
      <c r="BH301" s="36" t="s">
        <v>18</v>
      </c>
      <c r="BI301" s="273">
        <f t="shared" si="348"/>
        <v>-2260.2666239999921</v>
      </c>
      <c r="BJ301" s="270">
        <f t="shared" si="349"/>
        <v>0</v>
      </c>
      <c r="BK301" s="482">
        <f t="shared" ref="BK301:BK306" si="357">ROUND(BJ301+BI301,0)</f>
        <v>-2260</v>
      </c>
      <c r="BL301" s="276"/>
      <c r="BM301" s="36" t="s">
        <v>18</v>
      </c>
      <c r="BN301" s="4">
        <f t="shared" si="174"/>
        <v>2007</v>
      </c>
      <c r="BO301" s="4">
        <f t="shared" si="175"/>
        <v>9</v>
      </c>
      <c r="BP301" s="108">
        <f>(C301+[4]MWh!$AN135)</f>
        <v>327738.46571369952</v>
      </c>
      <c r="BQ301" s="108">
        <f t="shared" ref="BQ301:BQ306" si="358">BP301/D301*1000</f>
        <v>14957.03111143207</v>
      </c>
      <c r="BR301" s="108">
        <f t="shared" ref="BR301:BR306" si="359">BT301/D301*1000</f>
        <v>14853.891279376576</v>
      </c>
      <c r="BS301" s="108">
        <f t="shared" ref="BS301:BS306" si="360">BR301-BR289</f>
        <v>123.39796529148953</v>
      </c>
      <c r="BT301" s="175">
        <f t="shared" ref="BT301:BT306" si="361">BK301+BP301</f>
        <v>325478.46571369952</v>
      </c>
      <c r="BU301" s="108">
        <f t="shared" si="350"/>
        <v>6298.1365841038642</v>
      </c>
      <c r="BV301" s="4">
        <f t="shared" ref="BV301:BV332" si="362">BT301-BP301</f>
        <v>-2260</v>
      </c>
      <c r="BW301" s="444">
        <f>BT301/[9]SPAMWh!$L181</f>
        <v>1.009185484483559</v>
      </c>
    </row>
    <row r="302" spans="1:75">
      <c r="A302" s="4">
        <f t="shared" si="297"/>
        <v>2007</v>
      </c>
      <c r="B302" s="4">
        <f t="shared" si="298"/>
        <v>10</v>
      </c>
      <c r="C302" s="5">
        <f>'[2]FPC wSEB'!$J399</f>
        <v>310265</v>
      </c>
      <c r="D302" s="5">
        <f>'[2]FPC wSEB'!$AB399</f>
        <v>22677</v>
      </c>
      <c r="E302" s="73">
        <f t="shared" si="351"/>
        <v>13682</v>
      </c>
      <c r="F302" s="540">
        <f t="shared" si="255"/>
        <v>22677</v>
      </c>
      <c r="H302" s="13" t="s">
        <v>18</v>
      </c>
      <c r="I302" s="76">
        <f>'[7]Gov 65 &amp; 70'!$S387</f>
        <v>314.60000000000002</v>
      </c>
      <c r="J302" s="76">
        <f t="shared" si="164"/>
        <v>287.8</v>
      </c>
      <c r="K302" s="362">
        <f t="shared" si="343"/>
        <v>-26.800000000000011</v>
      </c>
      <c r="L302" s="200" t="s">
        <v>18</v>
      </c>
      <c r="M302" s="76">
        <f>'[7]Gov 65 &amp; 70'!$J387</f>
        <v>0.5</v>
      </c>
      <c r="N302" s="76">
        <f t="shared" si="165"/>
        <v>2.5</v>
      </c>
      <c r="O302" s="363">
        <f t="shared" si="344"/>
        <v>2</v>
      </c>
      <c r="P302" s="13" t="s">
        <v>18</v>
      </c>
      <c r="Q302" s="321">
        <f t="shared" si="345"/>
        <v>-6530.2049820000029</v>
      </c>
      <c r="R302" s="78">
        <f t="shared" si="346"/>
        <v>56.329667999999998</v>
      </c>
      <c r="S302" s="479">
        <f t="shared" si="353"/>
        <v>-6474</v>
      </c>
      <c r="T302" s="13" t="s">
        <v>18</v>
      </c>
      <c r="U302" s="4">
        <f t="shared" si="166"/>
        <v>2007</v>
      </c>
      <c r="V302" s="4">
        <f t="shared" si="167"/>
        <v>10</v>
      </c>
      <c r="W302" s="153">
        <f t="shared" si="341"/>
        <v>13396.43691846364</v>
      </c>
      <c r="X302" s="153">
        <f t="shared" si="342"/>
        <v>-567.15588465563451</v>
      </c>
      <c r="Z302" s="98">
        <f t="shared" si="354"/>
        <v>303791</v>
      </c>
      <c r="AA302" s="119">
        <f t="shared" si="352"/>
        <v>-6474</v>
      </c>
      <c r="AB302" s="512">
        <f>[9]SPAMWh!$L182</f>
        <v>301991</v>
      </c>
      <c r="AC302" s="4">
        <f t="shared" si="168"/>
        <v>2007</v>
      </c>
      <c r="AD302" s="4">
        <f t="shared" si="169"/>
        <v>10</v>
      </c>
      <c r="AE302" s="107">
        <f>RESID!AC302</f>
        <v>29.65</v>
      </c>
      <c r="AF302" s="40">
        <f t="shared" si="355"/>
        <v>13744.322441240023</v>
      </c>
      <c r="AG302" s="4">
        <f t="shared" si="356"/>
        <v>311680</v>
      </c>
      <c r="AH302" s="4">
        <f t="shared" si="347"/>
        <v>6548</v>
      </c>
      <c r="AY302" s="4">
        <f t="shared" si="332"/>
        <v>2007</v>
      </c>
      <c r="AZ302" s="4">
        <f t="shared" si="333"/>
        <v>10</v>
      </c>
      <c r="BA302" s="4">
        <f>'[8]Gov 65 &amp; 70'!$S387</f>
        <v>260.3</v>
      </c>
      <c r="BB302" s="4">
        <f t="shared" si="172"/>
        <v>200.4</v>
      </c>
      <c r="BC302" s="82">
        <f t="shared" ref="BC302:BC307" si="363">BB302-BA302</f>
        <v>-59.900000000000006</v>
      </c>
      <c r="BD302" s="36" t="s">
        <v>18</v>
      </c>
      <c r="BE302" s="4">
        <f>'[8]Gov 65 &amp; 70'!$J387</f>
        <v>2.6</v>
      </c>
      <c r="BF302" s="4">
        <f t="shared" si="173"/>
        <v>15</v>
      </c>
      <c r="BG302" s="83">
        <f t="shared" ref="BG302:BG307" si="364">BF302-BE302</f>
        <v>12.4</v>
      </c>
      <c r="BH302" s="36" t="s">
        <v>18</v>
      </c>
      <c r="BI302" s="273">
        <f t="shared" si="348"/>
        <v>-14595.495463500001</v>
      </c>
      <c r="BJ302" s="270">
        <f t="shared" si="349"/>
        <v>349.24394160000003</v>
      </c>
      <c r="BK302" s="482">
        <f t="shared" si="357"/>
        <v>-14246</v>
      </c>
      <c r="BL302" s="276"/>
      <c r="BM302" s="36" t="s">
        <v>18</v>
      </c>
      <c r="BN302" s="4">
        <f t="shared" si="174"/>
        <v>2007</v>
      </c>
      <c r="BO302" s="4">
        <f t="shared" si="175"/>
        <v>10</v>
      </c>
      <c r="BP302" s="108">
        <f>(C302+[4]MWh!$AN136)</f>
        <v>306454.5963557245</v>
      </c>
      <c r="BQ302" s="108">
        <f t="shared" si="358"/>
        <v>13513.894975337324</v>
      </c>
      <c r="BR302" s="108">
        <f t="shared" si="359"/>
        <v>12885.681366835317</v>
      </c>
      <c r="BS302" s="108">
        <f t="shared" si="360"/>
        <v>-960.25203397605947</v>
      </c>
      <c r="BT302" s="175">
        <f t="shared" si="361"/>
        <v>292208.5963557245</v>
      </c>
      <c r="BU302" s="108">
        <f t="shared" si="350"/>
        <v>-2529.7879473472713</v>
      </c>
      <c r="BV302" s="4">
        <f t="shared" si="362"/>
        <v>-14246</v>
      </c>
      <c r="BW302" s="444">
        <f>BT302/[9]SPAMWh!$L182</f>
        <v>0.96760696959751946</v>
      </c>
    </row>
    <row r="303" spans="1:75">
      <c r="A303" s="4">
        <f t="shared" si="297"/>
        <v>2007</v>
      </c>
      <c r="B303" s="4">
        <f t="shared" si="298"/>
        <v>11</v>
      </c>
      <c r="C303" s="5">
        <f>'[2]FPC wSEB'!$J400</f>
        <v>298163</v>
      </c>
      <c r="D303" s="5">
        <f>'[2]FPC wSEB'!$AB400</f>
        <v>23214</v>
      </c>
      <c r="E303" s="73">
        <f t="shared" si="351"/>
        <v>12844</v>
      </c>
      <c r="F303" s="540">
        <f t="shared" si="255"/>
        <v>23214</v>
      </c>
      <c r="H303" s="13" t="s">
        <v>18</v>
      </c>
      <c r="I303" s="76">
        <f>'[7]Gov 65 &amp; 70'!$S388</f>
        <v>160.5</v>
      </c>
      <c r="J303" s="76">
        <f t="shared" si="164"/>
        <v>140.19999999999999</v>
      </c>
      <c r="K303" s="362">
        <f t="shared" si="343"/>
        <v>-20.300000000000011</v>
      </c>
      <c r="L303" s="200" t="s">
        <v>18</v>
      </c>
      <c r="M303" s="76">
        <f>'[7]Gov 65 &amp; 70'!$J388</f>
        <v>33.9</v>
      </c>
      <c r="N303" s="76">
        <f t="shared" si="165"/>
        <v>38.6</v>
      </c>
      <c r="O303" s="363">
        <f t="shared" si="344"/>
        <v>4.7000000000000028</v>
      </c>
      <c r="P303" s="13" t="s">
        <v>18</v>
      </c>
      <c r="Q303" s="321">
        <f t="shared" si="345"/>
        <v>-5063.5189290000026</v>
      </c>
      <c r="R303" s="78">
        <f t="shared" si="346"/>
        <v>135.50940360000007</v>
      </c>
      <c r="S303" s="479">
        <f t="shared" si="353"/>
        <v>-4928</v>
      </c>
      <c r="T303" s="13" t="s">
        <v>18</v>
      </c>
      <c r="U303" s="4">
        <f t="shared" si="166"/>
        <v>2007</v>
      </c>
      <c r="V303" s="4">
        <f t="shared" si="167"/>
        <v>11</v>
      </c>
      <c r="W303" s="153">
        <f t="shared" ref="W303:W308" si="365">Z303/D303*1000</f>
        <v>12631.817006978546</v>
      </c>
      <c r="X303" s="153">
        <f t="shared" si="342"/>
        <v>-287.40805707503387</v>
      </c>
      <c r="Z303" s="98">
        <f t="shared" si="354"/>
        <v>293235</v>
      </c>
      <c r="AA303" s="119">
        <f t="shared" si="352"/>
        <v>-4928</v>
      </c>
      <c r="AB303" s="512">
        <f>[9]SPAMWh!$L183</f>
        <v>293421</v>
      </c>
      <c r="AC303" s="4">
        <f t="shared" si="168"/>
        <v>2007</v>
      </c>
      <c r="AD303" s="4">
        <f t="shared" si="169"/>
        <v>11</v>
      </c>
      <c r="AE303" s="107">
        <f>RESID!AC303</f>
        <v>30.55</v>
      </c>
      <c r="AF303" s="40">
        <f t="shared" si="355"/>
        <v>12578.056345308865</v>
      </c>
      <c r="AG303" s="4">
        <f t="shared" si="356"/>
        <v>291987</v>
      </c>
      <c r="AH303" s="4">
        <f t="shared" si="347"/>
        <v>5821</v>
      </c>
      <c r="AY303" s="4">
        <f t="shared" si="332"/>
        <v>2007</v>
      </c>
      <c r="AZ303" s="4">
        <f t="shared" si="333"/>
        <v>11</v>
      </c>
      <c r="BA303" s="4">
        <f>'[8]Gov 65 &amp; 70'!$S388</f>
        <v>54.4</v>
      </c>
      <c r="BB303" s="4">
        <f t="shared" si="172"/>
        <v>66.3</v>
      </c>
      <c r="BC303" s="82">
        <f t="shared" si="363"/>
        <v>11.899999999999999</v>
      </c>
      <c r="BD303" s="36" t="s">
        <v>18</v>
      </c>
      <c r="BE303" s="4">
        <f>'[8]Gov 65 &amp; 70'!$J388</f>
        <v>72.400000000000006</v>
      </c>
      <c r="BF303" s="4">
        <f t="shared" si="173"/>
        <v>69.900000000000006</v>
      </c>
      <c r="BG303" s="83">
        <f t="shared" si="364"/>
        <v>-2.5</v>
      </c>
      <c r="BH303" s="36" t="s">
        <v>18</v>
      </c>
      <c r="BI303" s="273">
        <f t="shared" si="348"/>
        <v>2968.2697169999992</v>
      </c>
      <c r="BJ303" s="270">
        <f t="shared" si="349"/>
        <v>-72.079470000000001</v>
      </c>
      <c r="BK303" s="482">
        <f t="shared" si="357"/>
        <v>2896</v>
      </c>
      <c r="BL303" s="276"/>
      <c r="BM303" s="36" t="s">
        <v>18</v>
      </c>
      <c r="BN303" s="4">
        <f t="shared" si="174"/>
        <v>2007</v>
      </c>
      <c r="BO303" s="4">
        <f t="shared" si="175"/>
        <v>11</v>
      </c>
      <c r="BP303" s="108">
        <f>(C303+[4]MWh!$AN137)</f>
        <v>268897.57568595832</v>
      </c>
      <c r="BQ303" s="108">
        <f t="shared" si="358"/>
        <v>11583.422748598186</v>
      </c>
      <c r="BR303" s="108">
        <f t="shared" si="359"/>
        <v>11708.175053241936</v>
      </c>
      <c r="BS303" s="108">
        <f t="shared" si="360"/>
        <v>-86.283894982396305</v>
      </c>
      <c r="BT303" s="175">
        <f t="shared" si="361"/>
        <v>271793.57568595832</v>
      </c>
      <c r="BU303" s="108">
        <f t="shared" si="350"/>
        <v>9402.247464811604</v>
      </c>
      <c r="BV303" s="4">
        <f t="shared" si="362"/>
        <v>2896</v>
      </c>
      <c r="BW303" s="444">
        <f>BT303/[9]SPAMWh!$L183</f>
        <v>0.92629217297316258</v>
      </c>
    </row>
    <row r="304" spans="1:75" s="89" customFormat="1">
      <c r="A304" s="89">
        <f t="shared" si="297"/>
        <v>2007</v>
      </c>
      <c r="B304" s="89">
        <f t="shared" si="298"/>
        <v>12</v>
      </c>
      <c r="C304" s="103">
        <f>'[2]FPC wSEB'!$J401</f>
        <v>265392</v>
      </c>
      <c r="D304" s="103">
        <f>'[2]FPC wSEB'!$AB401</f>
        <v>22692</v>
      </c>
      <c r="E304" s="104">
        <f t="shared" si="351"/>
        <v>11695</v>
      </c>
      <c r="F304" s="586">
        <f t="shared" si="255"/>
        <v>22692</v>
      </c>
      <c r="H304" s="90" t="s">
        <v>18</v>
      </c>
      <c r="I304" s="92">
        <f>'[7]Gov 65 &amp; 70'!$S389</f>
        <v>64</v>
      </c>
      <c r="J304" s="92">
        <f t="shared" si="164"/>
        <v>50.8</v>
      </c>
      <c r="K304" s="364">
        <f t="shared" si="343"/>
        <v>-13.200000000000003</v>
      </c>
      <c r="L304" s="210" t="s">
        <v>18</v>
      </c>
      <c r="M304" s="92">
        <f>'[7]Gov 65 &amp; 70'!$J389</f>
        <v>77.400000000000006</v>
      </c>
      <c r="N304" s="92">
        <f t="shared" si="165"/>
        <v>121.8</v>
      </c>
      <c r="O304" s="365">
        <f t="shared" si="344"/>
        <v>44.399999999999991</v>
      </c>
      <c r="P304" s="90" t="s">
        <v>18</v>
      </c>
      <c r="Q304" s="360">
        <f t="shared" si="345"/>
        <v>-3218.4971280000004</v>
      </c>
      <c r="R304" s="95">
        <f t="shared" si="346"/>
        <v>1251.3458015999997</v>
      </c>
      <c r="S304" s="480">
        <f t="shared" si="353"/>
        <v>-1967</v>
      </c>
      <c r="T304" s="90" t="s">
        <v>18</v>
      </c>
      <c r="U304" s="89">
        <f t="shared" si="166"/>
        <v>2007</v>
      </c>
      <c r="V304" s="89">
        <f t="shared" si="167"/>
        <v>12</v>
      </c>
      <c r="W304" s="154">
        <f t="shared" si="365"/>
        <v>11608.716728362419</v>
      </c>
      <c r="X304" s="154">
        <f t="shared" ref="X304:X309" si="366">W304-W292</f>
        <v>-291.54122520593955</v>
      </c>
      <c r="Z304" s="155">
        <f t="shared" si="354"/>
        <v>263425</v>
      </c>
      <c r="AA304" s="156">
        <f t="shared" si="352"/>
        <v>-1967</v>
      </c>
      <c r="AB304" s="522">
        <f>[9]SPAMWh!$L184</f>
        <v>261729</v>
      </c>
      <c r="AC304" s="89">
        <f t="shared" si="168"/>
        <v>2007</v>
      </c>
      <c r="AD304" s="89">
        <f t="shared" si="169"/>
        <v>12</v>
      </c>
      <c r="AE304" s="110">
        <f>RESID!AC304</f>
        <v>31.35</v>
      </c>
      <c r="AF304" s="116">
        <f t="shared" si="355"/>
        <v>11264.322228098008</v>
      </c>
      <c r="AG304" s="89">
        <f t="shared" si="356"/>
        <v>255610</v>
      </c>
      <c r="AH304" s="89">
        <f t="shared" si="347"/>
        <v>465</v>
      </c>
      <c r="AY304" s="89">
        <f t="shared" si="332"/>
        <v>2007</v>
      </c>
      <c r="AZ304" s="89">
        <f t="shared" si="333"/>
        <v>12</v>
      </c>
      <c r="BA304" s="89">
        <f>'[8]Gov 65 &amp; 70'!$S389</f>
        <v>62.2</v>
      </c>
      <c r="BB304" s="89">
        <f t="shared" si="172"/>
        <v>28.2</v>
      </c>
      <c r="BC304" s="111">
        <f t="shared" si="363"/>
        <v>-34</v>
      </c>
      <c r="BD304" s="113" t="s">
        <v>18</v>
      </c>
      <c r="BE304" s="89">
        <f>'[8]Gov 65 &amp; 70'!$J389</f>
        <v>83.9</v>
      </c>
      <c r="BF304" s="89">
        <f t="shared" si="173"/>
        <v>170</v>
      </c>
      <c r="BG304" s="112">
        <f t="shared" si="364"/>
        <v>86.1</v>
      </c>
      <c r="BH304" s="113" t="s">
        <v>18</v>
      </c>
      <c r="BI304" s="274">
        <f t="shared" si="348"/>
        <v>-8290.0683599999993</v>
      </c>
      <c r="BJ304" s="275">
        <f t="shared" si="349"/>
        <v>2426.5962503999999</v>
      </c>
      <c r="BK304" s="483">
        <f t="shared" si="357"/>
        <v>-5863</v>
      </c>
      <c r="BL304" s="277"/>
      <c r="BM304" s="113" t="s">
        <v>18</v>
      </c>
      <c r="BN304" s="89">
        <f t="shared" si="174"/>
        <v>2007</v>
      </c>
      <c r="BO304" s="89">
        <f t="shared" si="175"/>
        <v>12</v>
      </c>
      <c r="BP304" s="117">
        <f>(C304+[4]MWh!$AN138)</f>
        <v>257596.84528054623</v>
      </c>
      <c r="BQ304" s="117">
        <f t="shared" si="358"/>
        <v>11351.879309031652</v>
      </c>
      <c r="BR304" s="117">
        <f t="shared" si="359"/>
        <v>11093.506314143586</v>
      </c>
      <c r="BS304" s="117">
        <f t="shared" si="360"/>
        <v>-213.2847228599112</v>
      </c>
      <c r="BT304" s="176">
        <f t="shared" si="361"/>
        <v>251733.84528054623</v>
      </c>
      <c r="BU304" s="117">
        <f t="shared" si="350"/>
        <v>1887.6837358799239</v>
      </c>
      <c r="BV304" s="89">
        <f t="shared" si="362"/>
        <v>-5863</v>
      </c>
      <c r="BW304" s="533">
        <f>BT304/[9]SPAMWh!$L184</f>
        <v>0.96181105372559494</v>
      </c>
    </row>
    <row r="305" spans="1:75">
      <c r="A305" s="4">
        <f t="shared" si="297"/>
        <v>2008</v>
      </c>
      <c r="B305" s="4">
        <f t="shared" si="298"/>
        <v>1</v>
      </c>
      <c r="C305" s="5">
        <f>'[2]FPC wSEB'!$J402</f>
        <v>250358</v>
      </c>
      <c r="D305" s="5">
        <f>'[2]FPC wSEB'!$AB402</f>
        <v>22705</v>
      </c>
      <c r="E305" s="73">
        <f t="shared" si="351"/>
        <v>11027</v>
      </c>
      <c r="F305" s="540">
        <f t="shared" si="255"/>
        <v>22705</v>
      </c>
      <c r="H305" s="13" t="s">
        <v>18</v>
      </c>
      <c r="I305" s="76">
        <f>'[7]Gov 65 &amp; 70'!$S390</f>
        <v>45</v>
      </c>
      <c r="J305" s="76">
        <f t="shared" si="164"/>
        <v>28.7</v>
      </c>
      <c r="K305" s="362">
        <f t="shared" ref="K305:K310" si="367">(J305-I305)</f>
        <v>-16.3</v>
      </c>
      <c r="L305" s="200" t="s">
        <v>18</v>
      </c>
      <c r="M305" s="76">
        <f>'[7]Gov 65 &amp; 70'!$J390</f>
        <v>138.1</v>
      </c>
      <c r="N305" s="76">
        <f t="shared" si="165"/>
        <v>192.9</v>
      </c>
      <c r="O305" s="363">
        <f t="shared" ref="O305:O310" si="368">(N305-M305)</f>
        <v>54.800000000000011</v>
      </c>
      <c r="P305" s="13" t="s">
        <v>18</v>
      </c>
      <c r="Q305" s="321">
        <f t="shared" ref="Q305:Q310" si="369">(K305*$E$10)*D305/1000</f>
        <v>-4024.3749710000002</v>
      </c>
      <c r="R305" s="78">
        <f t="shared" ref="R305:R310" si="370">(O305*$E$9)*D305/1000</f>
        <v>2208.5153500000001</v>
      </c>
      <c r="S305" s="479">
        <f t="shared" si="353"/>
        <v>-1816</v>
      </c>
      <c r="T305" s="13" t="s">
        <v>18</v>
      </c>
      <c r="U305" s="4">
        <f t="shared" si="166"/>
        <v>2008</v>
      </c>
      <c r="V305" s="4">
        <f t="shared" si="167"/>
        <v>1</v>
      </c>
      <c r="W305" s="153">
        <f t="shared" si="365"/>
        <v>10946.57564413125</v>
      </c>
      <c r="X305" s="153">
        <f t="shared" si="366"/>
        <v>-481.85699835579726</v>
      </c>
      <c r="Z305" s="98">
        <f t="shared" si="354"/>
        <v>248542</v>
      </c>
      <c r="AA305" s="119">
        <f t="shared" si="352"/>
        <v>-1816</v>
      </c>
      <c r="AB305" s="512">
        <f>[9]SPAMWh!$L185</f>
        <v>252029</v>
      </c>
      <c r="AC305" s="4">
        <f t="shared" si="168"/>
        <v>2008</v>
      </c>
      <c r="AD305" s="4">
        <f t="shared" si="169"/>
        <v>1</v>
      </c>
      <c r="AE305" s="107">
        <f>RESID!AC305</f>
        <v>31.85</v>
      </c>
      <c r="AF305" s="40">
        <f t="shared" si="355"/>
        <v>10455.097996036116</v>
      </c>
      <c r="AG305" s="4">
        <f t="shared" si="356"/>
        <v>237383</v>
      </c>
      <c r="AH305" s="4">
        <f t="shared" ref="AH305:AH310" si="371">Z305-Z293</f>
        <v>1505</v>
      </c>
      <c r="AY305" s="4">
        <f t="shared" si="332"/>
        <v>2008</v>
      </c>
      <c r="AZ305" s="4">
        <f t="shared" si="333"/>
        <v>1</v>
      </c>
      <c r="BA305" s="4">
        <f>'[8]Gov 65 &amp; 70'!$S390</f>
        <v>18.7</v>
      </c>
      <c r="BB305" s="4">
        <f t="shared" si="172"/>
        <v>23.9</v>
      </c>
      <c r="BC305" s="82">
        <f t="shared" si="363"/>
        <v>5.1999999999999993</v>
      </c>
      <c r="BD305" s="36" t="s">
        <v>18</v>
      </c>
      <c r="BE305" s="4">
        <f>'[8]Gov 65 &amp; 70'!$J390</f>
        <v>196.2</v>
      </c>
      <c r="BF305" s="4">
        <f t="shared" si="173"/>
        <v>176.9</v>
      </c>
      <c r="BG305" s="83">
        <f t="shared" si="364"/>
        <v>-19.299999999999983</v>
      </c>
      <c r="BH305" s="36" t="s">
        <v>18</v>
      </c>
      <c r="BI305" s="273">
        <f t="shared" ref="BI305:BI310" si="372">($E$10*BC305)*D305/1000</f>
        <v>1283.8496839999998</v>
      </c>
      <c r="BJ305" s="270">
        <f t="shared" ref="BJ305:BJ310" si="373">($E$9*BG305)*D305/1000</f>
        <v>-777.81653749999919</v>
      </c>
      <c r="BK305" s="482">
        <f t="shared" si="357"/>
        <v>506</v>
      </c>
      <c r="BL305" s="276"/>
      <c r="BM305" s="36" t="s">
        <v>18</v>
      </c>
      <c r="BN305" s="4">
        <f t="shared" si="174"/>
        <v>2008</v>
      </c>
      <c r="BO305" s="4">
        <f t="shared" si="175"/>
        <v>1</v>
      </c>
      <c r="BP305" s="108">
        <f>(C305+[4]MWh!$AN139)</f>
        <v>252150.6958604774</v>
      </c>
      <c r="BQ305" s="108">
        <f t="shared" si="358"/>
        <v>11105.514021602175</v>
      </c>
      <c r="BR305" s="108">
        <f t="shared" si="359"/>
        <v>11127.799861725496</v>
      </c>
      <c r="BS305" s="108">
        <f t="shared" si="360"/>
        <v>-905.35370770193367</v>
      </c>
      <c r="BT305" s="175">
        <f t="shared" si="361"/>
        <v>252656.6958604774</v>
      </c>
      <c r="BU305" s="108">
        <f t="shared" ref="BU305:BU310" si="374">BT305-BT293</f>
        <v>-7451.9516962659254</v>
      </c>
      <c r="BV305" s="4">
        <f t="shared" si="362"/>
        <v>506</v>
      </c>
      <c r="BW305" s="444">
        <f>BT305/[9]SPAMWh!$L185</f>
        <v>1.0024905699759845</v>
      </c>
    </row>
    <row r="306" spans="1:75">
      <c r="A306" s="4">
        <f t="shared" si="297"/>
        <v>2008</v>
      </c>
      <c r="B306" s="4">
        <f t="shared" si="298"/>
        <v>2</v>
      </c>
      <c r="C306" s="5">
        <f>'[2]FPC wSEB'!$J403</f>
        <v>248934</v>
      </c>
      <c r="D306" s="5">
        <f>'[2]FPC wSEB'!$AB403</f>
        <v>23055</v>
      </c>
      <c r="E306" s="73">
        <f t="shared" ref="E306:E311" si="375">ROUND(C306/D306*1000,0)</f>
        <v>10797</v>
      </c>
      <c r="F306" s="540">
        <f t="shared" si="255"/>
        <v>23055</v>
      </c>
      <c r="H306" s="13" t="s">
        <v>18</v>
      </c>
      <c r="I306" s="76">
        <f>'[7]Gov 65 &amp; 70'!$S391</f>
        <v>27.6</v>
      </c>
      <c r="J306" s="76">
        <f t="shared" si="164"/>
        <v>22.6</v>
      </c>
      <c r="K306" s="362">
        <f t="shared" si="367"/>
        <v>-5</v>
      </c>
      <c r="L306" s="200" t="s">
        <v>18</v>
      </c>
      <c r="M306" s="76">
        <f>'[7]Gov 65 &amp; 70'!$J391</f>
        <v>141.19999999999999</v>
      </c>
      <c r="N306" s="76">
        <f t="shared" si="165"/>
        <v>177.2</v>
      </c>
      <c r="O306" s="363">
        <f t="shared" si="368"/>
        <v>36</v>
      </c>
      <c r="P306" s="13" t="s">
        <v>18</v>
      </c>
      <c r="Q306" s="321">
        <f t="shared" si="369"/>
        <v>-1253.50035</v>
      </c>
      <c r="R306" s="78">
        <f t="shared" si="370"/>
        <v>1473.2145</v>
      </c>
      <c r="S306" s="479">
        <f t="shared" si="353"/>
        <v>220</v>
      </c>
      <c r="T306" s="13" t="s">
        <v>18</v>
      </c>
      <c r="U306" s="4">
        <f t="shared" si="166"/>
        <v>2008</v>
      </c>
      <c r="V306" s="4">
        <f t="shared" si="167"/>
        <v>2</v>
      </c>
      <c r="W306" s="153">
        <f t="shared" si="365"/>
        <v>10806.939926263283</v>
      </c>
      <c r="X306" s="153">
        <f t="shared" si="366"/>
        <v>-408.28960649792134</v>
      </c>
      <c r="Z306" s="98">
        <f t="shared" si="354"/>
        <v>249154</v>
      </c>
      <c r="AA306" s="119">
        <f t="shared" ref="AA306:AA311" si="376">Z306-C306</f>
        <v>220</v>
      </c>
      <c r="AB306" s="512">
        <f>[9]SPAMWh!$L186</f>
        <v>249224</v>
      </c>
      <c r="AC306" s="4">
        <f t="shared" si="168"/>
        <v>2008</v>
      </c>
      <c r="AD306" s="4">
        <f t="shared" si="169"/>
        <v>2</v>
      </c>
      <c r="AE306" s="107">
        <f>RESID!AC306</f>
        <v>29.65</v>
      </c>
      <c r="AF306" s="40">
        <f t="shared" si="355"/>
        <v>11087.573194534809</v>
      </c>
      <c r="AG306" s="4">
        <f t="shared" si="356"/>
        <v>255624</v>
      </c>
      <c r="AH306" s="4">
        <f t="shared" si="371"/>
        <v>2161</v>
      </c>
      <c r="AY306" s="4">
        <f t="shared" si="332"/>
        <v>2008</v>
      </c>
      <c r="AZ306" s="4">
        <f t="shared" si="333"/>
        <v>2</v>
      </c>
      <c r="BA306" s="4">
        <f>'[8]Gov 65 &amp; 70'!$S391</f>
        <v>41.6</v>
      </c>
      <c r="BB306" s="4">
        <f t="shared" si="172"/>
        <v>32.799999999999997</v>
      </c>
      <c r="BC306" s="82">
        <f t="shared" si="363"/>
        <v>-8.8000000000000043</v>
      </c>
      <c r="BD306" s="36" t="s">
        <v>18</v>
      </c>
      <c r="BE306" s="4">
        <f>'[8]Gov 65 &amp; 70'!$J391</f>
        <v>105.9</v>
      </c>
      <c r="BF306" s="4">
        <f t="shared" si="173"/>
        <v>139.1</v>
      </c>
      <c r="BG306" s="83">
        <f t="shared" si="364"/>
        <v>33.199999999999989</v>
      </c>
      <c r="BH306" s="36" t="s">
        <v>18</v>
      </c>
      <c r="BI306" s="273">
        <f t="shared" si="372"/>
        <v>-2206.1606160000015</v>
      </c>
      <c r="BJ306" s="270">
        <f t="shared" si="373"/>
        <v>1358.6311499999995</v>
      </c>
      <c r="BK306" s="482">
        <f t="shared" si="357"/>
        <v>-848</v>
      </c>
      <c r="BL306" s="276"/>
      <c r="BM306" s="36" t="s">
        <v>18</v>
      </c>
      <c r="BN306" s="4">
        <f t="shared" si="174"/>
        <v>2008</v>
      </c>
      <c r="BO306" s="4">
        <f t="shared" si="175"/>
        <v>2</v>
      </c>
      <c r="BP306" s="108">
        <f>(C306+[4]MWh!$AN140)</f>
        <v>247457.90172535097</v>
      </c>
      <c r="BQ306" s="108">
        <f t="shared" si="358"/>
        <v>10733.372445254867</v>
      </c>
      <c r="BR306" s="108">
        <f t="shared" si="359"/>
        <v>10696.590836059466</v>
      </c>
      <c r="BS306" s="108">
        <f t="shared" si="360"/>
        <v>578.03012082342684</v>
      </c>
      <c r="BT306" s="175">
        <f t="shared" si="361"/>
        <v>246609.90172535097</v>
      </c>
      <c r="BU306" s="108">
        <f t="shared" si="374"/>
        <v>23768.839093707647</v>
      </c>
      <c r="BV306" s="4">
        <f t="shared" si="362"/>
        <v>-848</v>
      </c>
      <c r="BW306" s="444">
        <f>BT306/[9]SPAMWh!$L186</f>
        <v>0.98951104919811483</v>
      </c>
    </row>
    <row r="307" spans="1:75">
      <c r="A307" s="4">
        <f t="shared" si="297"/>
        <v>2008</v>
      </c>
      <c r="B307" s="4">
        <f t="shared" si="298"/>
        <v>3</v>
      </c>
      <c r="C307" s="5">
        <f>'[2]FPC wSEB'!$J404</f>
        <v>261128</v>
      </c>
      <c r="D307" s="5">
        <f>'[2]FPC wSEB'!$AB404</f>
        <v>22924</v>
      </c>
      <c r="E307" s="73">
        <f t="shared" si="375"/>
        <v>11391</v>
      </c>
      <c r="F307" s="540">
        <f t="shared" si="255"/>
        <v>22924</v>
      </c>
      <c r="H307" s="13" t="s">
        <v>18</v>
      </c>
      <c r="I307" s="76">
        <f>'[7]Gov 65 &amp; 70'!$S392</f>
        <v>40.700000000000003</v>
      </c>
      <c r="J307" s="76">
        <f t="shared" si="164"/>
        <v>44.5</v>
      </c>
      <c r="K307" s="362">
        <f t="shared" si="367"/>
        <v>3.7999999999999972</v>
      </c>
      <c r="L307" s="200" t="s">
        <v>18</v>
      </c>
      <c r="M307" s="76">
        <f>'[7]Gov 65 &amp; 70'!$J392</f>
        <v>103.4</v>
      </c>
      <c r="N307" s="76">
        <f t="shared" si="165"/>
        <v>119.5</v>
      </c>
      <c r="O307" s="363">
        <f t="shared" si="368"/>
        <v>16.099999999999994</v>
      </c>
      <c r="P307" s="13" t="s">
        <v>18</v>
      </c>
      <c r="Q307" s="321">
        <f t="shared" si="369"/>
        <v>947.24718879999932</v>
      </c>
      <c r="R307" s="78">
        <f t="shared" si="370"/>
        <v>655.11060999999972</v>
      </c>
      <c r="S307" s="479">
        <f t="shared" ref="S307:S312" si="377">ROUND((R307+Q307),0)</f>
        <v>1602</v>
      </c>
      <c r="T307" s="13" t="s">
        <v>18</v>
      </c>
      <c r="U307" s="4">
        <f t="shared" si="166"/>
        <v>2008</v>
      </c>
      <c r="V307" s="4">
        <f t="shared" si="167"/>
        <v>3</v>
      </c>
      <c r="W307" s="153">
        <f t="shared" si="365"/>
        <v>11460.914325597627</v>
      </c>
      <c r="X307" s="153">
        <f t="shared" si="366"/>
        <v>152.46162320414442</v>
      </c>
      <c r="Z307" s="98">
        <f t="shared" ref="Z307:Z312" si="378">S307+C307</f>
        <v>262730</v>
      </c>
      <c r="AA307" s="119">
        <f t="shared" si="376"/>
        <v>1602</v>
      </c>
      <c r="AB307" s="512">
        <f>[9]SPAMWh!$L187</f>
        <v>261520</v>
      </c>
      <c r="AC307" s="4">
        <f t="shared" si="168"/>
        <v>2008</v>
      </c>
      <c r="AD307" s="4">
        <f t="shared" si="169"/>
        <v>3</v>
      </c>
      <c r="AE307" s="107">
        <f>RESID!AC307</f>
        <v>29.6</v>
      </c>
      <c r="AF307" s="40">
        <f t="shared" ref="AF307:AF312" si="379">AG307/D307*1000</f>
        <v>11778.398185307975</v>
      </c>
      <c r="AG307" s="4">
        <f t="shared" ref="AG307:AG312" si="380">ROUND(Z307/(AE307/30.42),0)</f>
        <v>270008</v>
      </c>
      <c r="AH307" s="4">
        <f t="shared" si="371"/>
        <v>15629</v>
      </c>
      <c r="AY307" s="4">
        <f t="shared" si="332"/>
        <v>2008</v>
      </c>
      <c r="AZ307" s="4">
        <f t="shared" si="333"/>
        <v>3</v>
      </c>
      <c r="BA307" s="4">
        <f>'[8]Gov 65 &amp; 70'!$S392</f>
        <v>52</v>
      </c>
      <c r="BB307" s="4">
        <f t="shared" si="172"/>
        <v>64.099999999999994</v>
      </c>
      <c r="BC307" s="82">
        <f t="shared" si="363"/>
        <v>12.099999999999994</v>
      </c>
      <c r="BD307" s="36" t="s">
        <v>18</v>
      </c>
      <c r="BE307" s="4">
        <f>'[8]Gov 65 &amp; 70'!$J392</f>
        <v>77.599999999999994</v>
      </c>
      <c r="BF307" s="4">
        <f t="shared" si="173"/>
        <v>85.4</v>
      </c>
      <c r="BG307" s="83">
        <f t="shared" si="364"/>
        <v>7.8000000000000114</v>
      </c>
      <c r="BH307" s="36" t="s">
        <v>18</v>
      </c>
      <c r="BI307" s="273">
        <f t="shared" si="372"/>
        <v>3016.2344695999986</v>
      </c>
      <c r="BJ307" s="270">
        <f t="shared" si="373"/>
        <v>317.38278000000042</v>
      </c>
      <c r="BK307" s="482">
        <f t="shared" ref="BK307:BK312" si="381">ROUND(BJ307+BI307,0)</f>
        <v>3334</v>
      </c>
      <c r="BL307" s="276"/>
      <c r="BM307" s="36" t="s">
        <v>18</v>
      </c>
      <c r="BN307" s="4">
        <f t="shared" si="174"/>
        <v>2008</v>
      </c>
      <c r="BO307" s="4">
        <f t="shared" si="175"/>
        <v>3</v>
      </c>
      <c r="BP307" s="108">
        <f>(C307+[4]MWh!$AN141)</f>
        <v>274323.3742113047</v>
      </c>
      <c r="BQ307" s="108">
        <f t="shared" ref="BQ307:BQ312" si="382">BP307/D307*1000</f>
        <v>11966.645184579686</v>
      </c>
      <c r="BR307" s="108">
        <f t="shared" ref="BR307:BR312" si="383">BT307/D307*1000</f>
        <v>12112.082281072444</v>
      </c>
      <c r="BS307" s="108">
        <f t="shared" ref="BS307:BS312" si="384">BR307-BR295</f>
        <v>56.845371741765121</v>
      </c>
      <c r="BT307" s="175">
        <f t="shared" ref="BT307:BT312" si="385">BK307+BP307</f>
        <v>277657.3742113047</v>
      </c>
      <c r="BU307" s="108">
        <f t="shared" si="374"/>
        <v>14238.392505520023</v>
      </c>
      <c r="BV307" s="4">
        <f t="shared" si="362"/>
        <v>3334</v>
      </c>
      <c r="BW307" s="444">
        <f>BT307/[9]SPAMWh!$L187</f>
        <v>1.0617060806489167</v>
      </c>
    </row>
    <row r="308" spans="1:75">
      <c r="A308" s="4">
        <f t="shared" si="297"/>
        <v>2008</v>
      </c>
      <c r="B308" s="4">
        <f t="shared" si="298"/>
        <v>4</v>
      </c>
      <c r="C308" s="5">
        <f>'[2]FPC wSEB'!$J405</f>
        <v>253011</v>
      </c>
      <c r="D308" s="5">
        <f>'[2]FPC wSEB'!$AB405</f>
        <v>23008</v>
      </c>
      <c r="E308" s="73">
        <f t="shared" si="375"/>
        <v>10997</v>
      </c>
      <c r="F308" s="540">
        <f t="shared" si="255"/>
        <v>23008</v>
      </c>
      <c r="H308" s="13" t="s">
        <v>18</v>
      </c>
      <c r="I308" s="76">
        <f>'[7]Gov 65 &amp; 70'!$S393</f>
        <v>79.2</v>
      </c>
      <c r="J308" s="76">
        <f t="shared" si="164"/>
        <v>87.7</v>
      </c>
      <c r="K308" s="362">
        <f t="shared" si="367"/>
        <v>8.5</v>
      </c>
      <c r="L308" s="200" t="s">
        <v>18</v>
      </c>
      <c r="M308" s="76">
        <f>'[7]Gov 65 &amp; 70'!$J393</f>
        <v>61.6</v>
      </c>
      <c r="N308" s="76">
        <f t="shared" si="165"/>
        <v>60.3</v>
      </c>
      <c r="O308" s="363">
        <f t="shared" si="368"/>
        <v>-1.3000000000000043</v>
      </c>
      <c r="P308" s="13" t="s">
        <v>18</v>
      </c>
      <c r="Q308" s="321">
        <f t="shared" si="369"/>
        <v>2126.606432</v>
      </c>
      <c r="R308" s="78">
        <f t="shared" si="370"/>
        <v>-53.090960000000173</v>
      </c>
      <c r="S308" s="479">
        <f t="shared" si="377"/>
        <v>2074</v>
      </c>
      <c r="T308" s="13" t="s">
        <v>18</v>
      </c>
      <c r="U308" s="4">
        <f t="shared" si="166"/>
        <v>2008</v>
      </c>
      <c r="V308" s="4">
        <f t="shared" si="167"/>
        <v>4</v>
      </c>
      <c r="W308" s="153">
        <f t="shared" si="365"/>
        <v>11086.795897079277</v>
      </c>
      <c r="X308" s="153">
        <f t="shared" si="366"/>
        <v>-753.51020199051163</v>
      </c>
      <c r="Z308" s="98">
        <f t="shared" si="378"/>
        <v>255085</v>
      </c>
      <c r="AA308" s="119">
        <f t="shared" si="376"/>
        <v>2074</v>
      </c>
      <c r="AB308" s="512">
        <f>[9]SPAMWh!$L188</f>
        <v>257496</v>
      </c>
      <c r="AC308" s="4">
        <f t="shared" si="168"/>
        <v>2008</v>
      </c>
      <c r="AD308" s="4">
        <f t="shared" si="169"/>
        <v>4</v>
      </c>
      <c r="AE308" s="107">
        <f>RESID!AC308</f>
        <v>30.6</v>
      </c>
      <c r="AF308" s="40">
        <f t="shared" si="379"/>
        <v>11021.601182197497</v>
      </c>
      <c r="AG308" s="4">
        <f t="shared" si="380"/>
        <v>253585</v>
      </c>
      <c r="AH308" s="4">
        <f t="shared" si="371"/>
        <v>-3306</v>
      </c>
      <c r="AY308" s="4">
        <f t="shared" si="332"/>
        <v>2008</v>
      </c>
      <c r="AZ308" s="4">
        <f t="shared" si="333"/>
        <v>4</v>
      </c>
      <c r="BA308" s="4">
        <f>'[8]Gov 65 &amp; 70'!$S393</f>
        <v>118.2</v>
      </c>
      <c r="BB308" s="4">
        <f t="shared" si="172"/>
        <v>122</v>
      </c>
      <c r="BC308" s="82">
        <f t="shared" ref="BC308:BC313" si="386">BB308-BA308</f>
        <v>3.7999999999999972</v>
      </c>
      <c r="BD308" s="36" t="s">
        <v>18</v>
      </c>
      <c r="BE308" s="4">
        <f>'[8]Gov 65 &amp; 70'!$J393</f>
        <v>33</v>
      </c>
      <c r="BF308" s="4">
        <f t="shared" si="173"/>
        <v>34.700000000000003</v>
      </c>
      <c r="BG308" s="83">
        <f t="shared" ref="BG308:BG313" si="387">BF308-BE308</f>
        <v>1.7000000000000028</v>
      </c>
      <c r="BH308" s="36" t="s">
        <v>18</v>
      </c>
      <c r="BI308" s="273">
        <f t="shared" si="372"/>
        <v>950.71816959999933</v>
      </c>
      <c r="BJ308" s="270">
        <f t="shared" si="373"/>
        <v>69.42664000000012</v>
      </c>
      <c r="BK308" s="482">
        <f t="shared" si="381"/>
        <v>1020</v>
      </c>
      <c r="BL308" s="276"/>
      <c r="BM308" s="36" t="s">
        <v>18</v>
      </c>
      <c r="BN308" s="4">
        <f t="shared" si="174"/>
        <v>2008</v>
      </c>
      <c r="BO308" s="4">
        <f t="shared" si="175"/>
        <v>4</v>
      </c>
      <c r="BP308" s="108">
        <f>(C308+[4]MWh!$AN142)</f>
        <v>251836.49069719741</v>
      </c>
      <c r="BQ308" s="108">
        <f t="shared" si="382"/>
        <v>10945.605471887926</v>
      </c>
      <c r="BR308" s="108">
        <f t="shared" si="383"/>
        <v>10989.937878007537</v>
      </c>
      <c r="BS308" s="108">
        <f t="shared" si="384"/>
        <v>-1411.8824739475585</v>
      </c>
      <c r="BT308" s="175">
        <f t="shared" si="385"/>
        <v>252856.49069719741</v>
      </c>
      <c r="BU308" s="108">
        <f t="shared" si="374"/>
        <v>-17788.434843518626</v>
      </c>
      <c r="BV308" s="4">
        <f t="shared" si="362"/>
        <v>1020</v>
      </c>
      <c r="BW308" s="444">
        <f>BT308/[9]SPAMWh!$L188</f>
        <v>0.9819822082564289</v>
      </c>
    </row>
    <row r="309" spans="1:75">
      <c r="A309" s="4">
        <f t="shared" si="297"/>
        <v>2008</v>
      </c>
      <c r="B309" s="4">
        <f t="shared" si="298"/>
        <v>5</v>
      </c>
      <c r="C309" s="5">
        <f>'[2]FPC wSEB'!$J406</f>
        <v>271603</v>
      </c>
      <c r="D309" s="5">
        <f>'[2]FPC wSEB'!$AB406</f>
        <v>23151</v>
      </c>
      <c r="E309" s="73">
        <f t="shared" si="375"/>
        <v>11732</v>
      </c>
      <c r="F309" s="540">
        <f t="shared" si="255"/>
        <v>23151</v>
      </c>
      <c r="H309" s="13" t="s">
        <v>18</v>
      </c>
      <c r="I309" s="76">
        <f>'[7]Gov 65 &amp; 70'!$S394</f>
        <v>146.6</v>
      </c>
      <c r="J309" s="76">
        <f t="shared" si="164"/>
        <v>157.69999999999999</v>
      </c>
      <c r="K309" s="362">
        <f t="shared" si="367"/>
        <v>11.099999999999994</v>
      </c>
      <c r="L309" s="200" t="s">
        <v>18</v>
      </c>
      <c r="M309" s="76">
        <f>'[7]Gov 65 &amp; 70'!$J394</f>
        <v>26</v>
      </c>
      <c r="N309" s="76">
        <f t="shared" si="165"/>
        <v>18.600000000000001</v>
      </c>
      <c r="O309" s="363">
        <f t="shared" si="368"/>
        <v>-7.3999999999999986</v>
      </c>
      <c r="P309" s="13" t="s">
        <v>18</v>
      </c>
      <c r="Q309" s="321">
        <f t="shared" si="369"/>
        <v>2794.358111399999</v>
      </c>
      <c r="R309" s="78">
        <f t="shared" si="370"/>
        <v>-304.0883849999999</v>
      </c>
      <c r="S309" s="479">
        <f t="shared" si="377"/>
        <v>2490</v>
      </c>
      <c r="T309" s="13" t="s">
        <v>18</v>
      </c>
      <c r="U309" s="4">
        <f t="shared" si="166"/>
        <v>2008</v>
      </c>
      <c r="V309" s="4">
        <f t="shared" si="167"/>
        <v>5</v>
      </c>
      <c r="W309" s="153">
        <f t="shared" ref="W309:W314" si="388">Z309/D309*1000</f>
        <v>11839.358990972312</v>
      </c>
      <c r="X309" s="153">
        <f t="shared" si="366"/>
        <v>-289.94144238755325</v>
      </c>
      <c r="Z309" s="98">
        <f t="shared" si="378"/>
        <v>274093</v>
      </c>
      <c r="AA309" s="119">
        <f t="shared" si="376"/>
        <v>2490</v>
      </c>
      <c r="AB309" s="512">
        <f>[9]SPAMWh!$L189</f>
        <v>271579</v>
      </c>
      <c r="AC309" s="4">
        <f t="shared" si="168"/>
        <v>2008</v>
      </c>
      <c r="AD309" s="4">
        <f t="shared" si="169"/>
        <v>5</v>
      </c>
      <c r="AE309" s="107">
        <f>RESID!AC309</f>
        <v>29.35</v>
      </c>
      <c r="AF309" s="40">
        <f t="shared" si="379"/>
        <v>12270.960217701178</v>
      </c>
      <c r="AG309" s="4">
        <f t="shared" si="380"/>
        <v>284085</v>
      </c>
      <c r="AH309" s="4">
        <f t="shared" si="371"/>
        <v>-199</v>
      </c>
      <c r="AY309" s="4">
        <f t="shared" si="332"/>
        <v>2008</v>
      </c>
      <c r="AZ309" s="4">
        <f t="shared" si="333"/>
        <v>5</v>
      </c>
      <c r="BA309" s="4">
        <f>'[8]Gov 65 &amp; 70'!$S394</f>
        <v>269.39999999999998</v>
      </c>
      <c r="BB309" s="4">
        <f t="shared" si="172"/>
        <v>253</v>
      </c>
      <c r="BC309" s="82">
        <f t="shared" si="386"/>
        <v>-16.399999999999977</v>
      </c>
      <c r="BD309" s="36" t="s">
        <v>18</v>
      </c>
      <c r="BE309" s="4">
        <f>'[8]Gov 65 &amp; 70'!$J394</f>
        <v>4.2</v>
      </c>
      <c r="BF309" s="4">
        <f t="shared" si="173"/>
        <v>4.3</v>
      </c>
      <c r="BG309" s="83">
        <f t="shared" si="387"/>
        <v>9.9999999999999645E-2</v>
      </c>
      <c r="BH309" s="36" t="s">
        <v>18</v>
      </c>
      <c r="BI309" s="273">
        <f t="shared" si="372"/>
        <v>-4128.6011735999946</v>
      </c>
      <c r="BJ309" s="270">
        <f t="shared" si="373"/>
        <v>4.109302499999985</v>
      </c>
      <c r="BK309" s="482">
        <f t="shared" si="381"/>
        <v>-4124</v>
      </c>
      <c r="BL309" s="276"/>
      <c r="BM309" s="36" t="s">
        <v>18</v>
      </c>
      <c r="BN309" s="4">
        <f t="shared" si="174"/>
        <v>2008</v>
      </c>
      <c r="BO309" s="4">
        <f t="shared" si="175"/>
        <v>5</v>
      </c>
      <c r="BP309" s="108">
        <f>(C309+[4]MWh!$AN143)</f>
        <v>313315.38726741006</v>
      </c>
      <c r="BQ309" s="108">
        <f t="shared" si="382"/>
        <v>13533.557395680968</v>
      </c>
      <c r="BR309" s="108">
        <f t="shared" si="383"/>
        <v>13355.422541894954</v>
      </c>
      <c r="BS309" s="108">
        <f t="shared" si="384"/>
        <v>-387.91923288000726</v>
      </c>
      <c r="BT309" s="175">
        <f t="shared" si="385"/>
        <v>309191.38726741006</v>
      </c>
      <c r="BU309" s="108">
        <f t="shared" si="374"/>
        <v>-1600.5436273509404</v>
      </c>
      <c r="BV309" s="4">
        <f t="shared" si="362"/>
        <v>-4124</v>
      </c>
      <c r="BW309" s="444">
        <f>BT309/[9]SPAMWh!$L189</f>
        <v>1.1384951975941073</v>
      </c>
    </row>
    <row r="310" spans="1:75">
      <c r="A310" s="4">
        <f t="shared" si="297"/>
        <v>2008</v>
      </c>
      <c r="B310" s="4">
        <f t="shared" si="298"/>
        <v>6</v>
      </c>
      <c r="C310" s="5">
        <f>'[2]FPC wSEB'!$J407</f>
        <v>268820</v>
      </c>
      <c r="D310" s="5">
        <f>'[2]FPC wSEB'!$AB407</f>
        <v>23195</v>
      </c>
      <c r="E310" s="73">
        <f t="shared" si="375"/>
        <v>11590</v>
      </c>
      <c r="F310" s="540">
        <f t="shared" si="255"/>
        <v>23195</v>
      </c>
      <c r="H310" s="13" t="s">
        <v>18</v>
      </c>
      <c r="I310" s="76">
        <f>'[7]Gov 65 &amp; 70'!$S395</f>
        <v>311.8</v>
      </c>
      <c r="J310" s="76">
        <f t="shared" si="164"/>
        <v>295.39999999999998</v>
      </c>
      <c r="K310" s="362">
        <f t="shared" si="367"/>
        <v>-16.400000000000034</v>
      </c>
      <c r="L310" s="200" t="s">
        <v>18</v>
      </c>
      <c r="M310" s="76">
        <f>'[7]Gov 65 &amp; 70'!$J395</f>
        <v>2.1</v>
      </c>
      <c r="N310" s="76">
        <f t="shared" si="165"/>
        <v>2.2000000000000002</v>
      </c>
      <c r="O310" s="363">
        <f t="shared" si="368"/>
        <v>0.10000000000000009</v>
      </c>
      <c r="P310" s="13" t="s">
        <v>18</v>
      </c>
      <c r="Q310" s="321">
        <f t="shared" si="369"/>
        <v>-4136.4478520000084</v>
      </c>
      <c r="R310" s="78">
        <f t="shared" si="370"/>
        <v>4.1171125000000037</v>
      </c>
      <c r="S310" s="479">
        <f t="shared" si="377"/>
        <v>-4132</v>
      </c>
      <c r="T310" s="13" t="s">
        <v>18</v>
      </c>
      <c r="U310" s="4">
        <f t="shared" si="166"/>
        <v>2008</v>
      </c>
      <c r="V310" s="4">
        <f t="shared" si="167"/>
        <v>6</v>
      </c>
      <c r="W310" s="153">
        <f t="shared" si="388"/>
        <v>11411.424876050873</v>
      </c>
      <c r="X310" s="153">
        <f t="shared" ref="X310:X315" si="389">W310-W298</f>
        <v>-1512.7725882059385</v>
      </c>
      <c r="Z310" s="98">
        <f t="shared" si="378"/>
        <v>264688</v>
      </c>
      <c r="AA310" s="119">
        <f t="shared" si="376"/>
        <v>-4132</v>
      </c>
      <c r="AB310" s="512">
        <f>[9]SPAMWh!$L190</f>
        <v>265435</v>
      </c>
      <c r="AC310" s="4">
        <f t="shared" si="168"/>
        <v>2008</v>
      </c>
      <c r="AD310" s="4">
        <f t="shared" si="169"/>
        <v>6</v>
      </c>
      <c r="AE310" s="107">
        <f>RESID!AC310</f>
        <v>30.85</v>
      </c>
      <c r="AF310" s="40">
        <f t="shared" si="379"/>
        <v>11252.381978874757</v>
      </c>
      <c r="AG310" s="4">
        <f t="shared" si="380"/>
        <v>260999</v>
      </c>
      <c r="AH310" s="4">
        <f t="shared" si="371"/>
        <v>-22772</v>
      </c>
      <c r="AY310" s="4">
        <f t="shared" si="332"/>
        <v>2008</v>
      </c>
      <c r="AZ310" s="4">
        <f t="shared" si="333"/>
        <v>6</v>
      </c>
      <c r="BA310" s="4">
        <f>'[8]Gov 65 &amp; 70'!$S395</f>
        <v>352.1</v>
      </c>
      <c r="BB310" s="4">
        <f t="shared" si="172"/>
        <v>336.1</v>
      </c>
      <c r="BC310" s="82">
        <f t="shared" si="386"/>
        <v>-16</v>
      </c>
      <c r="BD310" s="36" t="s">
        <v>18</v>
      </c>
      <c r="BE310" s="4">
        <f>'[8]Gov 65 &amp; 70'!$J395</f>
        <v>0</v>
      </c>
      <c r="BF310" s="4">
        <f t="shared" si="173"/>
        <v>0</v>
      </c>
      <c r="BG310" s="83">
        <f t="shared" si="387"/>
        <v>0</v>
      </c>
      <c r="BH310" s="36" t="s">
        <v>18</v>
      </c>
      <c r="BI310" s="273">
        <f t="shared" si="372"/>
        <v>-4035.5588800000005</v>
      </c>
      <c r="BJ310" s="270">
        <f t="shared" si="373"/>
        <v>0</v>
      </c>
      <c r="BK310" s="482">
        <f t="shared" si="381"/>
        <v>-4036</v>
      </c>
      <c r="BL310" s="276"/>
      <c r="BM310" s="36" t="s">
        <v>18</v>
      </c>
      <c r="BN310" s="4">
        <f t="shared" si="174"/>
        <v>2008</v>
      </c>
      <c r="BO310" s="4">
        <f t="shared" si="175"/>
        <v>6</v>
      </c>
      <c r="BP310" s="108">
        <f>(C310+[4]MWh!$AN144)</f>
        <v>233907.82677081792</v>
      </c>
      <c r="BQ310" s="108">
        <f t="shared" si="382"/>
        <v>10084.407276172362</v>
      </c>
      <c r="BR310" s="108">
        <f t="shared" si="383"/>
        <v>9910.4042582805741</v>
      </c>
      <c r="BS310" s="108">
        <f t="shared" si="384"/>
        <v>-2954.7511904685634</v>
      </c>
      <c r="BT310" s="175">
        <f t="shared" si="385"/>
        <v>229871.82677081792</v>
      </c>
      <c r="BU310" s="108">
        <f t="shared" si="374"/>
        <v>-56274.960720260395</v>
      </c>
      <c r="BV310" s="4">
        <f t="shared" si="362"/>
        <v>-4036</v>
      </c>
      <c r="BW310" s="444">
        <f>BT310/[9]SPAMWh!$L190</f>
        <v>0.86601927692586855</v>
      </c>
    </row>
    <row r="311" spans="1:75">
      <c r="A311" s="4">
        <f t="shared" si="297"/>
        <v>2008</v>
      </c>
      <c r="B311" s="4">
        <f t="shared" si="298"/>
        <v>7</v>
      </c>
      <c r="C311" s="5">
        <f>'[2]FPC wSEB'!$J408</f>
        <v>273641</v>
      </c>
      <c r="D311" s="5">
        <f>'[2]FPC wSEB'!$AB408</f>
        <v>22235</v>
      </c>
      <c r="E311" s="73">
        <f t="shared" si="375"/>
        <v>12307</v>
      </c>
      <c r="F311" s="540">
        <f t="shared" si="255"/>
        <v>22235</v>
      </c>
      <c r="H311" s="13" t="s">
        <v>18</v>
      </c>
      <c r="I311" s="76">
        <f>'[7]Gov 65 &amp; 70'!$S396</f>
        <v>342.9</v>
      </c>
      <c r="J311" s="76">
        <f t="shared" si="164"/>
        <v>363.4</v>
      </c>
      <c r="K311" s="362">
        <f t="shared" ref="K311:K316" si="390">(J311-I311)</f>
        <v>20.5</v>
      </c>
      <c r="L311" s="200" t="s">
        <v>18</v>
      </c>
      <c r="M311" s="76">
        <f>'[7]Gov 65 &amp; 70'!$J396</f>
        <v>0</v>
      </c>
      <c r="N311" s="76">
        <f t="shared" si="165"/>
        <v>0</v>
      </c>
      <c r="O311" s="363">
        <f t="shared" ref="O311:O316" si="391">(N311-M311)</f>
        <v>0</v>
      </c>
      <c r="P311" s="13" t="s">
        <v>18</v>
      </c>
      <c r="Q311" s="321">
        <f t="shared" ref="Q311:Q316" si="392">(K311*$E$10)*D311/1000</f>
        <v>4956.5594950000004</v>
      </c>
      <c r="R311" s="78">
        <f t="shared" ref="R311:R316" si="393">(O311*$E$9)*D311/1000</f>
        <v>0</v>
      </c>
      <c r="S311" s="479">
        <f t="shared" si="377"/>
        <v>4957</v>
      </c>
      <c r="T311" s="13" t="s">
        <v>18</v>
      </c>
      <c r="U311" s="4">
        <f t="shared" si="166"/>
        <v>2008</v>
      </c>
      <c r="V311" s="4">
        <f t="shared" si="167"/>
        <v>7</v>
      </c>
      <c r="W311" s="153">
        <f t="shared" si="388"/>
        <v>12529.705419383854</v>
      </c>
      <c r="X311" s="153">
        <f t="shared" si="389"/>
        <v>-517.3157980719061</v>
      </c>
      <c r="Z311" s="98">
        <f t="shared" si="378"/>
        <v>278598</v>
      </c>
      <c r="AA311" s="119">
        <f t="shared" si="376"/>
        <v>4957</v>
      </c>
      <c r="AB311" s="512">
        <f>[9]SPAMWh!$L191</f>
        <v>281409</v>
      </c>
      <c r="AC311" s="4">
        <f t="shared" si="168"/>
        <v>2008</v>
      </c>
      <c r="AD311" s="4">
        <f t="shared" si="169"/>
        <v>7</v>
      </c>
      <c r="AE311" s="107">
        <f>RESID!AC311</f>
        <v>30.35</v>
      </c>
      <c r="AF311" s="40">
        <f t="shared" si="379"/>
        <v>12558.623791319991</v>
      </c>
      <c r="AG311" s="4">
        <f t="shared" si="380"/>
        <v>279241</v>
      </c>
      <c r="AH311" s="4">
        <f t="shared" ref="AH311:AH316" si="394">Z311-Z299</f>
        <v>-3035</v>
      </c>
      <c r="AY311" s="4">
        <f t="shared" si="332"/>
        <v>2008</v>
      </c>
      <c r="AZ311" s="4">
        <f t="shared" si="333"/>
        <v>7</v>
      </c>
      <c r="BA311" s="4">
        <f>'[8]Gov 65 &amp; 70'!$S396</f>
        <v>360.1</v>
      </c>
      <c r="BB311" s="4">
        <f t="shared" si="172"/>
        <v>391.2</v>
      </c>
      <c r="BC311" s="82">
        <f t="shared" si="386"/>
        <v>31.099999999999966</v>
      </c>
      <c r="BD311" s="36" t="s">
        <v>18</v>
      </c>
      <c r="BE311" s="4">
        <f>'[8]Gov 65 &amp; 70'!$J396</f>
        <v>0</v>
      </c>
      <c r="BF311" s="4">
        <f t="shared" si="173"/>
        <v>0</v>
      </c>
      <c r="BG311" s="83">
        <f t="shared" si="387"/>
        <v>0</v>
      </c>
      <c r="BH311" s="36" t="s">
        <v>18</v>
      </c>
      <c r="BI311" s="273">
        <f t="shared" ref="BI311:BI316" si="395">($E$10*BC311)*D311/1000</f>
        <v>7519.4634289999922</v>
      </c>
      <c r="BJ311" s="270">
        <f t="shared" ref="BJ311:BJ316" si="396">($E$9*BG311)*D311/1000</f>
        <v>0</v>
      </c>
      <c r="BK311" s="482">
        <f t="shared" si="381"/>
        <v>7519</v>
      </c>
      <c r="BL311" s="276"/>
      <c r="BM311" s="36" t="s">
        <v>18</v>
      </c>
      <c r="BN311" s="4">
        <f t="shared" si="174"/>
        <v>2008</v>
      </c>
      <c r="BO311" s="4">
        <f t="shared" si="175"/>
        <v>7</v>
      </c>
      <c r="BP311" s="108">
        <f>(C311+[4]MWh!$AN145)</f>
        <v>302370.15488893172</v>
      </c>
      <c r="BQ311" s="108">
        <f t="shared" si="382"/>
        <v>13598.837638359872</v>
      </c>
      <c r="BR311" s="108">
        <f t="shared" si="383"/>
        <v>13936.998196039205</v>
      </c>
      <c r="BS311" s="108">
        <f t="shared" si="384"/>
        <v>659.80245547579034</v>
      </c>
      <c r="BT311" s="175">
        <f t="shared" si="385"/>
        <v>309889.15488893172</v>
      </c>
      <c r="BU311" s="108">
        <f t="shared" ref="BU311:BU316" si="397">BT311-BT299</f>
        <v>23287.607633129868</v>
      </c>
      <c r="BV311" s="4">
        <f t="shared" si="362"/>
        <v>7519</v>
      </c>
      <c r="BW311" s="444">
        <f>BT311/[9]SPAMWh!$L191</f>
        <v>1.1012055580629323</v>
      </c>
    </row>
    <row r="312" spans="1:75">
      <c r="A312" s="4">
        <f t="shared" si="297"/>
        <v>2008</v>
      </c>
      <c r="B312" s="4">
        <f t="shared" si="298"/>
        <v>8</v>
      </c>
      <c r="C312" s="5">
        <f>'[2]FPC wSEB'!$J409</f>
        <v>287914</v>
      </c>
      <c r="D312" s="5">
        <f>'[2]FPC wSEB'!$AB409</f>
        <v>23127</v>
      </c>
      <c r="E312" s="73">
        <f t="shared" ref="E312:E317" si="398">ROUND(C312/D312*1000,0)</f>
        <v>12449</v>
      </c>
      <c r="F312" s="540">
        <f t="shared" si="255"/>
        <v>23127</v>
      </c>
      <c r="H312" s="13" t="s">
        <v>18</v>
      </c>
      <c r="I312" s="76">
        <f>'[7]Gov 65 &amp; 70'!$S397</f>
        <v>371.7</v>
      </c>
      <c r="J312" s="76">
        <f t="shared" si="164"/>
        <v>390.1</v>
      </c>
      <c r="K312" s="362">
        <f t="shared" si="390"/>
        <v>18.400000000000034</v>
      </c>
      <c r="L312" s="200" t="s">
        <v>18</v>
      </c>
      <c r="M312" s="76">
        <f>'[7]Gov 65 &amp; 70'!$J397</f>
        <v>0</v>
      </c>
      <c r="N312" s="76">
        <f t="shared" si="165"/>
        <v>0</v>
      </c>
      <c r="O312" s="363">
        <f t="shared" si="391"/>
        <v>0</v>
      </c>
      <c r="P312" s="13" t="s">
        <v>18</v>
      </c>
      <c r="Q312" s="321">
        <f t="shared" si="392"/>
        <v>4627.2871632000088</v>
      </c>
      <c r="R312" s="78">
        <f t="shared" si="393"/>
        <v>0</v>
      </c>
      <c r="S312" s="479">
        <f t="shared" si="377"/>
        <v>4627</v>
      </c>
      <c r="T312" s="13" t="s">
        <v>18</v>
      </c>
      <c r="U312" s="4">
        <f t="shared" si="166"/>
        <v>2008</v>
      </c>
      <c r="V312" s="4">
        <f t="shared" si="167"/>
        <v>8</v>
      </c>
      <c r="W312" s="153">
        <f t="shared" si="388"/>
        <v>12649.327625718857</v>
      </c>
      <c r="X312" s="153">
        <f t="shared" si="389"/>
        <v>-346.98170395241686</v>
      </c>
      <c r="Z312" s="98">
        <f t="shared" si="378"/>
        <v>292541</v>
      </c>
      <c r="AA312" s="119">
        <f t="shared" ref="AA312:AA317" si="399">Z312-C312</f>
        <v>4627</v>
      </c>
      <c r="AB312" s="512">
        <f>[9]SPAMWh!$L192</f>
        <v>292181</v>
      </c>
      <c r="AC312" s="4">
        <f t="shared" si="168"/>
        <v>2008</v>
      </c>
      <c r="AD312" s="4">
        <f t="shared" si="169"/>
        <v>8</v>
      </c>
      <c r="AE312" s="107">
        <f>RESID!AC312</f>
        <v>31.25</v>
      </c>
      <c r="AF312" s="40">
        <f t="shared" si="379"/>
        <v>12313.356682665282</v>
      </c>
      <c r="AG312" s="4">
        <f t="shared" si="380"/>
        <v>284771</v>
      </c>
      <c r="AH312" s="4">
        <f t="shared" si="394"/>
        <v>-10299</v>
      </c>
      <c r="AY312" s="4">
        <f t="shared" si="332"/>
        <v>2008</v>
      </c>
      <c r="AZ312" s="4">
        <f t="shared" si="333"/>
        <v>8</v>
      </c>
      <c r="BA312" s="4">
        <f>'[8]Gov 65 &amp; 70'!$S397</f>
        <v>367</v>
      </c>
      <c r="BB312" s="4">
        <f t="shared" si="172"/>
        <v>394.4</v>
      </c>
      <c r="BC312" s="82">
        <f t="shared" si="386"/>
        <v>27.399999999999977</v>
      </c>
      <c r="BD312" s="36" t="s">
        <v>18</v>
      </c>
      <c r="BE312" s="4">
        <f>'[8]Gov 65 &amp; 70'!$J397</f>
        <v>0</v>
      </c>
      <c r="BF312" s="4">
        <f t="shared" si="173"/>
        <v>0</v>
      </c>
      <c r="BG312" s="83">
        <f t="shared" si="387"/>
        <v>0</v>
      </c>
      <c r="BH312" s="36" t="s">
        <v>18</v>
      </c>
      <c r="BI312" s="273">
        <f t="shared" si="395"/>
        <v>6890.6341451999951</v>
      </c>
      <c r="BJ312" s="270">
        <f t="shared" si="396"/>
        <v>0</v>
      </c>
      <c r="BK312" s="482">
        <f t="shared" si="381"/>
        <v>6891</v>
      </c>
      <c r="BL312" s="276"/>
      <c r="BM312" s="36" t="s">
        <v>18</v>
      </c>
      <c r="BN312" s="4">
        <f t="shared" si="174"/>
        <v>2008</v>
      </c>
      <c r="BO312" s="4">
        <f t="shared" si="175"/>
        <v>8</v>
      </c>
      <c r="BP312" s="108">
        <f>(C312+[4]MWh!$AN146)</f>
        <v>278852.35933478118</v>
      </c>
      <c r="BQ312" s="108">
        <f t="shared" si="382"/>
        <v>12057.437598252311</v>
      </c>
      <c r="BR312" s="108">
        <f t="shared" si="383"/>
        <v>12355.401017632255</v>
      </c>
      <c r="BS312" s="108">
        <f t="shared" si="384"/>
        <v>19.770768188775037</v>
      </c>
      <c r="BT312" s="175">
        <f t="shared" si="385"/>
        <v>285743.35933478118</v>
      </c>
      <c r="BU312" s="108">
        <f t="shared" si="397"/>
        <v>-1701.4967377508292</v>
      </c>
      <c r="BV312" s="4">
        <f t="shared" si="362"/>
        <v>6891</v>
      </c>
      <c r="BW312" s="444">
        <f>BT312/[9]SPAMWh!$L192</f>
        <v>0.97796694287027963</v>
      </c>
    </row>
    <row r="313" spans="1:75">
      <c r="A313" s="4">
        <f t="shared" si="297"/>
        <v>2008</v>
      </c>
      <c r="B313" s="4">
        <f t="shared" si="298"/>
        <v>9</v>
      </c>
      <c r="C313" s="5">
        <f>'[2]FPC wSEB'!$J410</f>
        <v>332766</v>
      </c>
      <c r="D313" s="5">
        <f>'[2]FPC wSEB'!$AB410</f>
        <v>23846</v>
      </c>
      <c r="E313" s="73">
        <f t="shared" si="398"/>
        <v>13955</v>
      </c>
      <c r="F313" s="540">
        <f t="shared" si="255"/>
        <v>23846</v>
      </c>
      <c r="H313" s="13" t="s">
        <v>18</v>
      </c>
      <c r="I313" s="76">
        <f>'[7]Gov 65 &amp; 70'!$S398</f>
        <v>391.1</v>
      </c>
      <c r="J313" s="76">
        <f t="shared" si="164"/>
        <v>381.2</v>
      </c>
      <c r="K313" s="362">
        <f t="shared" si="390"/>
        <v>-9.9000000000000341</v>
      </c>
      <c r="L313" s="200" t="s">
        <v>18</v>
      </c>
      <c r="M313" s="76">
        <f>'[7]Gov 65 &amp; 70'!$J398</f>
        <v>0</v>
      </c>
      <c r="N313" s="76">
        <f t="shared" si="165"/>
        <v>0</v>
      </c>
      <c r="O313" s="363">
        <f t="shared" si="391"/>
        <v>0</v>
      </c>
      <c r="P313" s="13" t="s">
        <v>18</v>
      </c>
      <c r="Q313" s="321">
        <f t="shared" si="392"/>
        <v>-2567.0838996000089</v>
      </c>
      <c r="R313" s="78">
        <f t="shared" si="393"/>
        <v>0</v>
      </c>
      <c r="S313" s="479">
        <f t="shared" ref="S313:S318" si="400">ROUND((R313+Q313),0)</f>
        <v>-2567</v>
      </c>
      <c r="T313" s="13" t="s">
        <v>18</v>
      </c>
      <c r="U313" s="4">
        <f t="shared" si="166"/>
        <v>2008</v>
      </c>
      <c r="V313" s="4">
        <f t="shared" si="167"/>
        <v>9</v>
      </c>
      <c r="W313" s="153">
        <f t="shared" si="388"/>
        <v>13847.144175123711</v>
      </c>
      <c r="X313" s="153">
        <f t="shared" si="389"/>
        <v>-771.05589789563965</v>
      </c>
      <c r="Z313" s="98">
        <f t="shared" ref="Z313:Z318" si="401">S313+C313</f>
        <v>330199</v>
      </c>
      <c r="AA313" s="119">
        <f t="shared" si="399"/>
        <v>-2567</v>
      </c>
      <c r="AB313" s="512">
        <f>[9]SPAMWh!$L193</f>
        <v>324090</v>
      </c>
      <c r="AC313" s="4">
        <f t="shared" si="168"/>
        <v>2008</v>
      </c>
      <c r="AD313" s="4">
        <f t="shared" si="169"/>
        <v>9</v>
      </c>
      <c r="AE313" s="107">
        <f>RESID!AC313</f>
        <v>31.95</v>
      </c>
      <c r="AF313" s="40">
        <f t="shared" ref="AF313:AF318" si="402">AG313/D313*1000</f>
        <v>13184.056026167911</v>
      </c>
      <c r="AG313" s="4">
        <f t="shared" ref="AG313:AG318" si="403">ROUND(Z313/(AE313/30.42),0)</f>
        <v>314387</v>
      </c>
      <c r="AH313" s="4">
        <f t="shared" si="394"/>
        <v>9885</v>
      </c>
      <c r="AY313" s="4">
        <f t="shared" si="332"/>
        <v>2008</v>
      </c>
      <c r="AZ313" s="4">
        <f t="shared" si="333"/>
        <v>9</v>
      </c>
      <c r="BA313" s="4">
        <f>'[8]Gov 65 &amp; 70'!$S398</f>
        <v>347</v>
      </c>
      <c r="BB313" s="4">
        <f t="shared" si="172"/>
        <v>339.3</v>
      </c>
      <c r="BC313" s="82">
        <f t="shared" si="386"/>
        <v>-7.6999999999999886</v>
      </c>
      <c r="BD313" s="36" t="s">
        <v>18</v>
      </c>
      <c r="BE313" s="4">
        <f>'[8]Gov 65 &amp; 70'!$J398</f>
        <v>1</v>
      </c>
      <c r="BF313" s="4">
        <f t="shared" si="173"/>
        <v>0</v>
      </c>
      <c r="BG313" s="83">
        <f t="shared" si="387"/>
        <v>-1</v>
      </c>
      <c r="BH313" s="36" t="s">
        <v>18</v>
      </c>
      <c r="BI313" s="273">
        <f t="shared" si="395"/>
        <v>-1996.6208107999973</v>
      </c>
      <c r="BJ313" s="270">
        <f t="shared" si="396"/>
        <v>-42.326650000000001</v>
      </c>
      <c r="BK313" s="482">
        <f t="shared" ref="BK313:BK318" si="404">ROUND(BJ313+BI313,0)</f>
        <v>-2039</v>
      </c>
      <c r="BL313" s="276"/>
      <c r="BM313" s="36" t="s">
        <v>18</v>
      </c>
      <c r="BN313" s="4">
        <f t="shared" si="174"/>
        <v>2008</v>
      </c>
      <c r="BO313" s="4">
        <f t="shared" si="175"/>
        <v>9</v>
      </c>
      <c r="BP313" s="108">
        <f>(C313+[4]MWh!$AN147)</f>
        <v>314883.13187317643</v>
      </c>
      <c r="BQ313" s="108">
        <f t="shared" ref="BQ313:BQ318" si="405">BP313/D313*1000</f>
        <v>13204.861690563466</v>
      </c>
      <c r="BR313" s="108">
        <f t="shared" ref="BR313:BR318" si="406">BT313/D313*1000</f>
        <v>13119.354687292478</v>
      </c>
      <c r="BS313" s="108">
        <f t="shared" ref="BS313:BS318" si="407">BR313-BR301</f>
        <v>-1734.5365920840977</v>
      </c>
      <c r="BT313" s="175">
        <f t="shared" ref="BT313:BT318" si="408">BK313+BP313</f>
        <v>312844.13187317643</v>
      </c>
      <c r="BU313" s="108">
        <f t="shared" si="397"/>
        <v>-12634.33384052309</v>
      </c>
      <c r="BV313" s="4">
        <f t="shared" si="362"/>
        <v>-2039</v>
      </c>
      <c r="BW313" s="444">
        <f>BT313/[9]SPAMWh!$L193</f>
        <v>0.96530016931462381</v>
      </c>
    </row>
    <row r="314" spans="1:75">
      <c r="A314" s="4">
        <f t="shared" si="297"/>
        <v>2008</v>
      </c>
      <c r="B314" s="4">
        <f t="shared" si="298"/>
        <v>10</v>
      </c>
      <c r="C314" s="5">
        <f>'[2]FPC wSEB'!$J411</f>
        <v>292725</v>
      </c>
      <c r="D314" s="5">
        <f>'[2]FPC wSEB'!$AB411</f>
        <v>22609</v>
      </c>
      <c r="E314" s="73">
        <f t="shared" si="398"/>
        <v>12947</v>
      </c>
      <c r="F314" s="540">
        <f t="shared" si="255"/>
        <v>22609</v>
      </c>
      <c r="H314" s="13" t="s">
        <v>18</v>
      </c>
      <c r="I314" s="76">
        <f>'[7]Gov 65 &amp; 70'!$S399</f>
        <v>291.7</v>
      </c>
      <c r="J314" s="76">
        <f t="shared" si="164"/>
        <v>287.8</v>
      </c>
      <c r="K314" s="362">
        <f t="shared" si="390"/>
        <v>-3.8999999999999773</v>
      </c>
      <c r="L314" s="200" t="s">
        <v>18</v>
      </c>
      <c r="M314" s="76">
        <f>'[7]Gov 65 &amp; 70'!$J399</f>
        <v>2.5</v>
      </c>
      <c r="N314" s="76">
        <f t="shared" si="165"/>
        <v>2.5</v>
      </c>
      <c r="O314" s="363">
        <f t="shared" si="391"/>
        <v>0</v>
      </c>
      <c r="P314" s="13" t="s">
        <v>18</v>
      </c>
      <c r="Q314" s="321">
        <f t="shared" si="392"/>
        <v>-958.81603739999457</v>
      </c>
      <c r="R314" s="78">
        <f t="shared" si="393"/>
        <v>0</v>
      </c>
      <c r="S314" s="479">
        <f t="shared" si="400"/>
        <v>-959</v>
      </c>
      <c r="T314" s="13" t="s">
        <v>18</v>
      </c>
      <c r="U314" s="4">
        <f t="shared" si="166"/>
        <v>2008</v>
      </c>
      <c r="V314" s="4">
        <f t="shared" si="167"/>
        <v>10</v>
      </c>
      <c r="W314" s="153">
        <f t="shared" si="388"/>
        <v>12904.860896103322</v>
      </c>
      <c r="X314" s="153">
        <f t="shared" si="389"/>
        <v>-491.57602236031744</v>
      </c>
      <c r="Z314" s="98">
        <f t="shared" si="401"/>
        <v>291766</v>
      </c>
      <c r="AA314" s="119">
        <f t="shared" si="399"/>
        <v>-959</v>
      </c>
      <c r="AB314" s="512">
        <f>[9]SPAMWh!$L194</f>
        <v>297706</v>
      </c>
      <c r="AC314" s="4">
        <f t="shared" si="168"/>
        <v>2008</v>
      </c>
      <c r="AD314" s="4">
        <f t="shared" si="169"/>
        <v>10</v>
      </c>
      <c r="AE314" s="107">
        <f>RESID!AC314</f>
        <v>29.65</v>
      </c>
      <c r="AF314" s="40">
        <f t="shared" si="402"/>
        <v>13239.992923172189</v>
      </c>
      <c r="AG314" s="4">
        <f t="shared" si="403"/>
        <v>299343</v>
      </c>
      <c r="AH314" s="4">
        <f t="shared" si="394"/>
        <v>-12025</v>
      </c>
      <c r="AY314" s="4">
        <f t="shared" si="332"/>
        <v>2008</v>
      </c>
      <c r="AZ314" s="4">
        <f t="shared" si="333"/>
        <v>10</v>
      </c>
      <c r="BA314" s="4">
        <f>'[8]Gov 65 &amp; 70'!$S399</f>
        <v>185.2</v>
      </c>
      <c r="BB314" s="4">
        <f t="shared" si="172"/>
        <v>200.4</v>
      </c>
      <c r="BC314" s="82">
        <f t="shared" ref="BC314:BC319" si="409">BB314-BA314</f>
        <v>15.200000000000017</v>
      </c>
      <c r="BD314" s="36" t="s">
        <v>18</v>
      </c>
      <c r="BE314" s="4">
        <f>'[8]Gov 65 &amp; 70'!$J399</f>
        <v>36.1</v>
      </c>
      <c r="BF314" s="4">
        <f t="shared" si="173"/>
        <v>15</v>
      </c>
      <c r="BG314" s="83">
        <f t="shared" ref="BG314:BG319" si="410">BF314-BE314</f>
        <v>-21.1</v>
      </c>
      <c r="BH314" s="36" t="s">
        <v>18</v>
      </c>
      <c r="BI314" s="273">
        <f t="shared" si="395"/>
        <v>3736.9240432000042</v>
      </c>
      <c r="BJ314" s="270">
        <f t="shared" si="396"/>
        <v>-846.76357250000001</v>
      </c>
      <c r="BK314" s="482">
        <f t="shared" si="404"/>
        <v>2890</v>
      </c>
      <c r="BL314" s="276"/>
      <c r="BM314" s="36" t="s">
        <v>18</v>
      </c>
      <c r="BN314" s="4">
        <f t="shared" si="174"/>
        <v>2008</v>
      </c>
      <c r="BO314" s="4">
        <f t="shared" si="175"/>
        <v>10</v>
      </c>
      <c r="BP314" s="108">
        <f>(C314+[4]MWh!$AN148)</f>
        <v>287430.41669441725</v>
      </c>
      <c r="BQ314" s="108">
        <f t="shared" si="405"/>
        <v>12713.097292866436</v>
      </c>
      <c r="BR314" s="108">
        <f t="shared" si="406"/>
        <v>12840.92249521948</v>
      </c>
      <c r="BS314" s="108">
        <f t="shared" si="407"/>
        <v>-44.758871615837052</v>
      </c>
      <c r="BT314" s="175">
        <f t="shared" si="408"/>
        <v>290320.41669441725</v>
      </c>
      <c r="BU314" s="108">
        <f t="shared" si="397"/>
        <v>-1888.1796613072511</v>
      </c>
      <c r="BV314" s="4">
        <f t="shared" si="362"/>
        <v>2890</v>
      </c>
      <c r="BW314" s="444">
        <f>BT314/[9]SPAMWh!$L194</f>
        <v>0.97519168808964962</v>
      </c>
    </row>
    <row r="315" spans="1:75">
      <c r="A315" s="4">
        <f t="shared" si="297"/>
        <v>2008</v>
      </c>
      <c r="B315" s="4">
        <f t="shared" si="298"/>
        <v>11</v>
      </c>
      <c r="C315" s="5">
        <f>'[2]FPC wSEB'!$J412</f>
        <v>301981</v>
      </c>
      <c r="D315" s="5">
        <f>'[2]FPC wSEB'!$AB412</f>
        <v>23879</v>
      </c>
      <c r="E315" s="73">
        <f t="shared" si="398"/>
        <v>12646</v>
      </c>
      <c r="F315" s="540">
        <f t="shared" si="255"/>
        <v>23879</v>
      </c>
      <c r="H315" s="13" t="s">
        <v>18</v>
      </c>
      <c r="I315" s="76">
        <f>'[7]Gov 65 &amp; 70'!$S400</f>
        <v>122.8</v>
      </c>
      <c r="J315" s="76">
        <f t="shared" si="164"/>
        <v>140.19999999999999</v>
      </c>
      <c r="K315" s="362">
        <f t="shared" si="390"/>
        <v>17.399999999999991</v>
      </c>
      <c r="L315" s="200" t="s">
        <v>18</v>
      </c>
      <c r="M315" s="76">
        <f>'[7]Gov 65 &amp; 70'!$J400</f>
        <v>56.5</v>
      </c>
      <c r="N315" s="76">
        <f t="shared" si="165"/>
        <v>38.6</v>
      </c>
      <c r="O315" s="363">
        <f t="shared" si="391"/>
        <v>-17.899999999999999</v>
      </c>
      <c r="P315" s="13" t="s">
        <v>18</v>
      </c>
      <c r="Q315" s="321">
        <f t="shared" si="392"/>
        <v>4518.0882803999984</v>
      </c>
      <c r="R315" s="78">
        <f t="shared" si="393"/>
        <v>-758.69552749999991</v>
      </c>
      <c r="S315" s="479">
        <f t="shared" si="400"/>
        <v>3759</v>
      </c>
      <c r="T315" s="13" t="s">
        <v>18</v>
      </c>
      <c r="U315" s="4">
        <f t="shared" si="166"/>
        <v>2008</v>
      </c>
      <c r="V315" s="4">
        <f t="shared" si="167"/>
        <v>11</v>
      </c>
      <c r="W315" s="153">
        <f t="shared" ref="W315:W320" si="411">Z315/D315*1000</f>
        <v>12803.718748691319</v>
      </c>
      <c r="X315" s="153">
        <f t="shared" si="389"/>
        <v>171.90174171277249</v>
      </c>
      <c r="Z315" s="98">
        <f t="shared" si="401"/>
        <v>305740</v>
      </c>
      <c r="AA315" s="119">
        <f t="shared" si="399"/>
        <v>3759</v>
      </c>
      <c r="AB315" s="512">
        <f>[9]SPAMWh!$L195</f>
        <v>283512</v>
      </c>
      <c r="AC315" s="4">
        <f t="shared" si="168"/>
        <v>2008</v>
      </c>
      <c r="AD315" s="4">
        <f t="shared" si="169"/>
        <v>11</v>
      </c>
      <c r="AE315" s="107">
        <f>RESID!AC315</f>
        <v>30.05</v>
      </c>
      <c r="AF315" s="40">
        <f t="shared" si="402"/>
        <v>12961.388667867164</v>
      </c>
      <c r="AG315" s="4">
        <f t="shared" si="403"/>
        <v>309505</v>
      </c>
      <c r="AH315" s="4">
        <f t="shared" si="394"/>
        <v>12505</v>
      </c>
      <c r="AY315" s="4">
        <f t="shared" si="332"/>
        <v>2008</v>
      </c>
      <c r="AZ315" s="4">
        <f t="shared" si="333"/>
        <v>11</v>
      </c>
      <c r="BA315" s="4">
        <f>'[8]Gov 65 &amp; 70'!$S400</f>
        <v>47.3</v>
      </c>
      <c r="BB315" s="4">
        <f t="shared" si="172"/>
        <v>66.3</v>
      </c>
      <c r="BC315" s="82">
        <f t="shared" si="409"/>
        <v>19</v>
      </c>
      <c r="BD315" s="36" t="s">
        <v>18</v>
      </c>
      <c r="BE315" s="4">
        <f>'[8]Gov 65 &amp; 70'!$J400</f>
        <v>135.69999999999999</v>
      </c>
      <c r="BF315" s="4">
        <f t="shared" si="173"/>
        <v>69.900000000000006</v>
      </c>
      <c r="BG315" s="83">
        <f t="shared" si="410"/>
        <v>-65.799999999999983</v>
      </c>
      <c r="BH315" s="36" t="s">
        <v>18</v>
      </c>
      <c r="BI315" s="273">
        <f t="shared" si="395"/>
        <v>4933.5446740000007</v>
      </c>
      <c r="BJ315" s="270">
        <f t="shared" si="396"/>
        <v>-2788.9478049999993</v>
      </c>
      <c r="BK315" s="482">
        <f t="shared" si="404"/>
        <v>2145</v>
      </c>
      <c r="BL315" s="276"/>
      <c r="BM315" s="36" t="s">
        <v>18</v>
      </c>
      <c r="BN315" s="4">
        <f t="shared" si="174"/>
        <v>2008</v>
      </c>
      <c r="BO315" s="4">
        <f t="shared" si="175"/>
        <v>11</v>
      </c>
      <c r="BP315" s="108">
        <f>(C315+[4]MWh!$AN149)</f>
        <v>286903.48535048735</v>
      </c>
      <c r="BQ315" s="108">
        <f t="shared" si="405"/>
        <v>12014.886944616079</v>
      </c>
      <c r="BR315" s="108">
        <f t="shared" si="406"/>
        <v>12104.714826855703</v>
      </c>
      <c r="BS315" s="108">
        <f t="shared" si="407"/>
        <v>396.53977361376747</v>
      </c>
      <c r="BT315" s="175">
        <f t="shared" si="408"/>
        <v>289048.48535048735</v>
      </c>
      <c r="BU315" s="108">
        <f t="shared" si="397"/>
        <v>17254.909664529026</v>
      </c>
      <c r="BV315" s="4">
        <f t="shared" si="362"/>
        <v>2145</v>
      </c>
      <c r="BW315" s="444">
        <f>BT315/[9]SPAMWh!$L195</f>
        <v>1.0195282222639159</v>
      </c>
    </row>
    <row r="316" spans="1:75" s="89" customFormat="1">
      <c r="A316" s="89">
        <f t="shared" si="297"/>
        <v>2008</v>
      </c>
      <c r="B316" s="89">
        <f t="shared" si="298"/>
        <v>12</v>
      </c>
      <c r="C316" s="103">
        <f>'[2]FPC wSEB'!$J413</f>
        <v>232932</v>
      </c>
      <c r="D316" s="103">
        <f>'[2]FPC wSEB'!$AB413</f>
        <v>23009</v>
      </c>
      <c r="E316" s="104">
        <f t="shared" si="398"/>
        <v>10124</v>
      </c>
      <c r="F316" s="586">
        <f t="shared" si="255"/>
        <v>23009</v>
      </c>
      <c r="H316" s="90" t="s">
        <v>18</v>
      </c>
      <c r="I316" s="92">
        <f>'[7]Gov 65 &amp; 70'!$S401</f>
        <v>33.9</v>
      </c>
      <c r="J316" s="92">
        <f t="shared" si="164"/>
        <v>50.8</v>
      </c>
      <c r="K316" s="364">
        <f t="shared" si="390"/>
        <v>16.899999999999999</v>
      </c>
      <c r="L316" s="210" t="s">
        <v>18</v>
      </c>
      <c r="M316" s="92">
        <f>'[7]Gov 65 &amp; 70'!$J401</f>
        <v>168.4</v>
      </c>
      <c r="N316" s="92">
        <f t="shared" si="165"/>
        <v>121.8</v>
      </c>
      <c r="O316" s="365">
        <f t="shared" si="391"/>
        <v>-46.600000000000009</v>
      </c>
      <c r="P316" s="90" t="s">
        <v>18</v>
      </c>
      <c r="Q316" s="360">
        <f t="shared" si="392"/>
        <v>4228.3777353999994</v>
      </c>
      <c r="R316" s="95">
        <f t="shared" si="393"/>
        <v>-1903.1894350000005</v>
      </c>
      <c r="S316" s="480">
        <f t="shared" si="400"/>
        <v>2325</v>
      </c>
      <c r="T316" s="90" t="s">
        <v>18</v>
      </c>
      <c r="U316" s="89">
        <f t="shared" si="166"/>
        <v>2008</v>
      </c>
      <c r="V316" s="89">
        <f t="shared" si="167"/>
        <v>12</v>
      </c>
      <c r="W316" s="154">
        <f t="shared" si="411"/>
        <v>10224.564300925724</v>
      </c>
      <c r="X316" s="154">
        <f t="shared" ref="X316:X321" si="412">W316-W304</f>
        <v>-1384.1524274366948</v>
      </c>
      <c r="Z316" s="155">
        <f t="shared" si="401"/>
        <v>235257</v>
      </c>
      <c r="AA316" s="156">
        <f t="shared" si="399"/>
        <v>2325</v>
      </c>
      <c r="AB316" s="522">
        <f>[9]SPAMWh!$L196</f>
        <v>255314</v>
      </c>
      <c r="AC316" s="89">
        <f t="shared" si="168"/>
        <v>2008</v>
      </c>
      <c r="AD316" s="89">
        <f t="shared" si="169"/>
        <v>12</v>
      </c>
      <c r="AE316" s="110">
        <f>RESID!AC316</f>
        <v>31.45</v>
      </c>
      <c r="AF316" s="116">
        <f t="shared" si="402"/>
        <v>9889.695336607414</v>
      </c>
      <c r="AG316" s="89">
        <f t="shared" si="403"/>
        <v>227552</v>
      </c>
      <c r="AH316" s="89">
        <f t="shared" si="394"/>
        <v>-28168</v>
      </c>
      <c r="AY316" s="89">
        <f t="shared" si="332"/>
        <v>2008</v>
      </c>
      <c r="AZ316" s="89">
        <f t="shared" si="333"/>
        <v>12</v>
      </c>
      <c r="BA316" s="89">
        <f>'[8]Gov 65 &amp; 70'!$S401</f>
        <v>32.799999999999997</v>
      </c>
      <c r="BB316" s="89">
        <f t="shared" si="172"/>
        <v>28.2</v>
      </c>
      <c r="BC316" s="111">
        <f t="shared" si="409"/>
        <v>-4.5999999999999979</v>
      </c>
      <c r="BD316" s="113" t="s">
        <v>18</v>
      </c>
      <c r="BE316" s="89">
        <f>'[8]Gov 65 &amp; 70'!$J401</f>
        <v>120.5</v>
      </c>
      <c r="BF316" s="89">
        <f t="shared" si="173"/>
        <v>170</v>
      </c>
      <c r="BG316" s="112">
        <f t="shared" si="410"/>
        <v>49.5</v>
      </c>
      <c r="BH316" s="113" t="s">
        <v>18</v>
      </c>
      <c r="BI316" s="274">
        <f t="shared" si="395"/>
        <v>-1150.9193835999995</v>
      </c>
      <c r="BJ316" s="275">
        <f t="shared" si="396"/>
        <v>2021.6282624999999</v>
      </c>
      <c r="BK316" s="483">
        <f t="shared" si="404"/>
        <v>871</v>
      </c>
      <c r="BL316" s="277"/>
      <c r="BM316" s="113" t="s">
        <v>18</v>
      </c>
      <c r="BN316" s="89">
        <f t="shared" si="174"/>
        <v>2008</v>
      </c>
      <c r="BO316" s="89">
        <f t="shared" si="175"/>
        <v>12</v>
      </c>
      <c r="BP316" s="117">
        <f>(C316+[4]MWh!$AN150)</f>
        <v>211430.62606406247</v>
      </c>
      <c r="BQ316" s="117">
        <f t="shared" si="405"/>
        <v>9189.0402044444545</v>
      </c>
      <c r="BR316" s="117">
        <f t="shared" si="406"/>
        <v>9226.8949569326105</v>
      </c>
      <c r="BS316" s="117">
        <f t="shared" si="407"/>
        <v>-1866.6113572109753</v>
      </c>
      <c r="BT316" s="176">
        <f t="shared" si="408"/>
        <v>212301.62606406247</v>
      </c>
      <c r="BU316" s="117">
        <f t="shared" si="397"/>
        <v>-39432.219216483762</v>
      </c>
      <c r="BV316" s="89">
        <f t="shared" si="362"/>
        <v>871</v>
      </c>
      <c r="BW316" s="533">
        <f>BT316/[9]SPAMWh!$L196</f>
        <v>0.83153147130224925</v>
      </c>
    </row>
    <row r="317" spans="1:75">
      <c r="A317" s="4">
        <f t="shared" si="297"/>
        <v>2009</v>
      </c>
      <c r="B317" s="4">
        <f t="shared" si="298"/>
        <v>1</v>
      </c>
      <c r="C317" s="5">
        <f>'[2]FPC wSEB'!$J414</f>
        <v>245271</v>
      </c>
      <c r="D317" s="5">
        <f>'[2]FPC wSEB'!$AB414</f>
        <v>23273</v>
      </c>
      <c r="E317" s="73">
        <f t="shared" si="398"/>
        <v>10539</v>
      </c>
      <c r="F317" s="540">
        <f t="shared" si="255"/>
        <v>23273</v>
      </c>
      <c r="H317" s="13" t="s">
        <v>18</v>
      </c>
      <c r="I317" s="76">
        <f>'[7]Gov 65 &amp; 70'!$S402</f>
        <v>32.799999999999997</v>
      </c>
      <c r="J317" s="76">
        <f t="shared" si="164"/>
        <v>28.7</v>
      </c>
      <c r="K317" s="362">
        <f t="shared" ref="K317" si="413">(J317-I317)</f>
        <v>-4.0999999999999979</v>
      </c>
      <c r="L317" s="200" t="s">
        <v>18</v>
      </c>
      <c r="M317" s="76">
        <f>'[7]Gov 65 &amp; 70'!$J402</f>
        <v>132</v>
      </c>
      <c r="N317" s="76">
        <f t="shared" si="165"/>
        <v>192.9</v>
      </c>
      <c r="O317" s="363">
        <f t="shared" ref="O317" si="414">(N317-M317)</f>
        <v>60.900000000000006</v>
      </c>
      <c r="P317" s="13" t="s">
        <v>18</v>
      </c>
      <c r="Q317" s="321">
        <f t="shared" ref="Q317:Q322" si="415">(K317*$F$10)*D317/1000</f>
        <v>-1040.0703699999995</v>
      </c>
      <c r="R317" s="78">
        <f t="shared" ref="R317:R322" si="416">(O317*$F$9)*D317/1000</f>
        <v>3408.6683085000004</v>
      </c>
      <c r="S317" s="479">
        <f t="shared" si="400"/>
        <v>2369</v>
      </c>
      <c r="T317" s="13" t="s">
        <v>18</v>
      </c>
      <c r="U317" s="4">
        <f t="shared" si="166"/>
        <v>2009</v>
      </c>
      <c r="V317" s="4">
        <f t="shared" si="167"/>
        <v>1</v>
      </c>
      <c r="W317" s="153">
        <f t="shared" si="411"/>
        <v>10640.656554805999</v>
      </c>
      <c r="X317" s="153">
        <f t="shared" si="412"/>
        <v>-305.91908932525075</v>
      </c>
      <c r="Z317" s="98">
        <f t="shared" si="401"/>
        <v>247640</v>
      </c>
      <c r="AA317" s="119">
        <f t="shared" si="399"/>
        <v>2369</v>
      </c>
      <c r="AB317" s="512">
        <f>[9]SPAMWh!$L197</f>
        <v>243388</v>
      </c>
      <c r="AC317" s="4">
        <f t="shared" si="168"/>
        <v>2009</v>
      </c>
      <c r="AD317" s="4">
        <f t="shared" si="169"/>
        <v>1</v>
      </c>
      <c r="AE317" s="107">
        <f>RESID!AC317</f>
        <v>32.15</v>
      </c>
      <c r="AF317" s="40">
        <f t="shared" si="402"/>
        <v>10068.061702401925</v>
      </c>
      <c r="AG317" s="4">
        <f t="shared" si="403"/>
        <v>234314</v>
      </c>
      <c r="AH317" s="4">
        <f t="shared" ref="AH317" si="417">Z317-Z305</f>
        <v>-902</v>
      </c>
      <c r="AY317" s="4">
        <f t="shared" si="332"/>
        <v>2009</v>
      </c>
      <c r="AZ317" s="4">
        <f t="shared" si="333"/>
        <v>1</v>
      </c>
      <c r="BA317" s="4">
        <f>'[8]Gov 65 &amp; 70'!$S402</f>
        <v>17.100000000000001</v>
      </c>
      <c r="BB317" s="4">
        <f t="shared" si="172"/>
        <v>23.9</v>
      </c>
      <c r="BC317" s="82">
        <f t="shared" si="409"/>
        <v>6.7999999999999972</v>
      </c>
      <c r="BD317" s="36" t="s">
        <v>18</v>
      </c>
      <c r="BE317" s="4">
        <f>'[8]Gov 65 &amp; 70'!$J402</f>
        <v>229.1</v>
      </c>
      <c r="BF317" s="4">
        <f t="shared" si="173"/>
        <v>176.9</v>
      </c>
      <c r="BG317" s="83">
        <f t="shared" si="410"/>
        <v>-52.199999999999989</v>
      </c>
      <c r="BH317" s="36" t="s">
        <v>18</v>
      </c>
      <c r="BI317" s="273">
        <f t="shared" ref="BI317:BI322" si="418">($F$10*BC317)*D317/1000</f>
        <v>1724.9947599999996</v>
      </c>
      <c r="BJ317" s="270">
        <f t="shared" ref="BJ317:BJ322" si="419">($F$9*BG317)*D317/1000</f>
        <v>-2921.7156929999992</v>
      </c>
      <c r="BK317" s="482">
        <f t="shared" si="404"/>
        <v>-1197</v>
      </c>
      <c r="BL317" s="276"/>
      <c r="BM317" s="36" t="s">
        <v>18</v>
      </c>
      <c r="BN317" s="4">
        <f t="shared" si="174"/>
        <v>2009</v>
      </c>
      <c r="BO317" s="4">
        <f t="shared" si="175"/>
        <v>1</v>
      </c>
      <c r="BP317" s="108">
        <f>(C317+[4]MWh!$AN151)</f>
        <v>263549.11464443879</v>
      </c>
      <c r="BQ317" s="108">
        <f t="shared" si="405"/>
        <v>11324.243313901894</v>
      </c>
      <c r="BR317" s="108">
        <f t="shared" si="406"/>
        <v>11272.810322882258</v>
      </c>
      <c r="BS317" s="108">
        <f t="shared" si="407"/>
        <v>145.01046115676218</v>
      </c>
      <c r="BT317" s="175">
        <f t="shared" si="408"/>
        <v>262352.11464443879</v>
      </c>
      <c r="BU317" s="108">
        <f t="shared" ref="BU317" si="420">BT317-BT305</f>
        <v>9695.4187839613878</v>
      </c>
      <c r="BV317" s="4">
        <f t="shared" si="362"/>
        <v>-1197</v>
      </c>
      <c r="BW317" s="444">
        <f>BT317/[9]SPAMWh!$L197</f>
        <v>1.0779172130279175</v>
      </c>
    </row>
    <row r="318" spans="1:75">
      <c r="A318" s="4">
        <f t="shared" si="297"/>
        <v>2009</v>
      </c>
      <c r="B318" s="4">
        <f t="shared" si="298"/>
        <v>2</v>
      </c>
      <c r="C318" s="5">
        <f>'[2]FPC wSEB'!$J415</f>
        <v>243727</v>
      </c>
      <c r="D318" s="5">
        <f>'[2]FPC wSEB'!$AB415</f>
        <v>23159</v>
      </c>
      <c r="E318" s="73">
        <f t="shared" ref="E318" si="421">ROUND(C318/D318*1000,0)</f>
        <v>10524</v>
      </c>
      <c r="F318" s="540">
        <f t="shared" si="255"/>
        <v>23159</v>
      </c>
      <c r="H318" s="13" t="s">
        <v>18</v>
      </c>
      <c r="I318" s="76">
        <f>'[7]Gov 65 &amp; 70'!$S403</f>
        <v>14.6</v>
      </c>
      <c r="J318" s="76">
        <f t="shared" si="164"/>
        <v>22.6</v>
      </c>
      <c r="K318" s="362">
        <f t="shared" ref="K318" si="422">(J318-I318)</f>
        <v>8.0000000000000018</v>
      </c>
      <c r="L318" s="200" t="s">
        <v>18</v>
      </c>
      <c r="M318" s="76">
        <f>'[7]Gov 65 &amp; 70'!$J403</f>
        <v>255</v>
      </c>
      <c r="N318" s="76">
        <f t="shared" si="165"/>
        <v>177.2</v>
      </c>
      <c r="O318" s="363">
        <f t="shared" ref="O318" si="423">(N318-M318)</f>
        <v>-77.800000000000011</v>
      </c>
      <c r="P318" s="13" t="s">
        <v>18</v>
      </c>
      <c r="Q318" s="321">
        <f t="shared" si="415"/>
        <v>2019.4648000000002</v>
      </c>
      <c r="R318" s="78">
        <f t="shared" si="416"/>
        <v>-4333.2573309999998</v>
      </c>
      <c r="S318" s="479">
        <f t="shared" si="400"/>
        <v>-2314</v>
      </c>
      <c r="T318" s="13" t="s">
        <v>18</v>
      </c>
      <c r="U318" s="4">
        <f t="shared" si="166"/>
        <v>2009</v>
      </c>
      <c r="V318" s="4">
        <f t="shared" si="167"/>
        <v>2</v>
      </c>
      <c r="W318" s="153">
        <f t="shared" si="411"/>
        <v>10424.154756250269</v>
      </c>
      <c r="X318" s="153">
        <f t="shared" si="412"/>
        <v>-382.78517001301407</v>
      </c>
      <c r="Z318" s="98">
        <f t="shared" si="401"/>
        <v>241413</v>
      </c>
      <c r="AA318" s="119">
        <f t="shared" ref="AA318" si="424">Z318-C318</f>
        <v>-2314</v>
      </c>
      <c r="AB318" s="512">
        <f>[9]SPAMWh!$L198</f>
        <v>245791</v>
      </c>
      <c r="AC318" s="4">
        <f t="shared" si="168"/>
        <v>2009</v>
      </c>
      <c r="AD318" s="4">
        <f t="shared" si="169"/>
        <v>2</v>
      </c>
      <c r="AE318" s="107">
        <f>RESID!AC318</f>
        <v>29.55</v>
      </c>
      <c r="AF318" s="40">
        <f t="shared" si="402"/>
        <v>10731.076471350232</v>
      </c>
      <c r="AG318" s="4">
        <f t="shared" si="403"/>
        <v>248521</v>
      </c>
      <c r="AH318" s="4">
        <f t="shared" ref="AH318" si="425">Z318-Z306</f>
        <v>-7741</v>
      </c>
      <c r="AY318" s="4">
        <f t="shared" si="332"/>
        <v>2009</v>
      </c>
      <c r="AZ318" s="4">
        <f t="shared" si="333"/>
        <v>2</v>
      </c>
      <c r="BA318" s="4">
        <f>'[8]Gov 65 &amp; 70'!$S403</f>
        <v>15.9</v>
      </c>
      <c r="BB318" s="4">
        <f t="shared" si="172"/>
        <v>32.799999999999997</v>
      </c>
      <c r="BC318" s="82">
        <f t="shared" si="409"/>
        <v>16.899999999999999</v>
      </c>
      <c r="BD318" s="36" t="s">
        <v>18</v>
      </c>
      <c r="BE318" s="4">
        <f>'[8]Gov 65 &amp; 70'!$J403</f>
        <v>194.9</v>
      </c>
      <c r="BF318" s="4">
        <f t="shared" si="173"/>
        <v>139.1</v>
      </c>
      <c r="BG318" s="83">
        <f t="shared" si="410"/>
        <v>-55.800000000000011</v>
      </c>
      <c r="BH318" s="36" t="s">
        <v>18</v>
      </c>
      <c r="BI318" s="273">
        <f t="shared" si="418"/>
        <v>4266.1193899999998</v>
      </c>
      <c r="BJ318" s="270">
        <f t="shared" si="419"/>
        <v>-3107.9146410000003</v>
      </c>
      <c r="BK318" s="482">
        <f t="shared" si="404"/>
        <v>1158</v>
      </c>
      <c r="BL318" s="276"/>
      <c r="BM318" s="36" t="s">
        <v>18</v>
      </c>
      <c r="BN318" s="4">
        <f t="shared" si="174"/>
        <v>2009</v>
      </c>
      <c r="BO318" s="4">
        <f t="shared" si="175"/>
        <v>2</v>
      </c>
      <c r="BP318" s="108">
        <f>(C318+[4]MWh!$AN152)</f>
        <v>211327.75720767802</v>
      </c>
      <c r="BQ318" s="108">
        <f t="shared" si="405"/>
        <v>9125.0812732707818</v>
      </c>
      <c r="BR318" s="108">
        <f t="shared" si="406"/>
        <v>9175.083432258647</v>
      </c>
      <c r="BS318" s="108">
        <f t="shared" si="407"/>
        <v>-1521.5074038008188</v>
      </c>
      <c r="BT318" s="175">
        <f t="shared" si="408"/>
        <v>212485.75720767802</v>
      </c>
      <c r="BU318" s="108">
        <f t="shared" ref="BU318" si="426">BT318-BT306</f>
        <v>-34124.144517672947</v>
      </c>
      <c r="BV318" s="4">
        <f t="shared" si="362"/>
        <v>1158</v>
      </c>
      <c r="BW318" s="444">
        <f>BT318/[9]SPAMWh!$L198</f>
        <v>0.86449771231525163</v>
      </c>
    </row>
    <row r="319" spans="1:75">
      <c r="A319" s="4">
        <f t="shared" si="297"/>
        <v>2009</v>
      </c>
      <c r="B319" s="4">
        <f t="shared" si="298"/>
        <v>3</v>
      </c>
      <c r="C319" s="5">
        <f>'[2]FPC wSEB'!$J416</f>
        <v>236832</v>
      </c>
      <c r="D319" s="5">
        <f>'[2]FPC wSEB'!$AB416</f>
        <v>23157</v>
      </c>
      <c r="E319" s="73">
        <f t="shared" ref="E319" si="427">ROUND(C319/D319*1000,0)</f>
        <v>10227</v>
      </c>
      <c r="F319" s="540">
        <f t="shared" si="255"/>
        <v>23157</v>
      </c>
      <c r="H319" s="13" t="s">
        <v>18</v>
      </c>
      <c r="I319" s="76">
        <f>'[7]Gov 65 &amp; 70'!$S404</f>
        <v>31.9</v>
      </c>
      <c r="J319" s="76">
        <f t="shared" si="164"/>
        <v>44.5</v>
      </c>
      <c r="K319" s="362">
        <f t="shared" ref="K319" si="428">(J319-I319)</f>
        <v>12.600000000000001</v>
      </c>
      <c r="L319" s="200" t="s">
        <v>18</v>
      </c>
      <c r="M319" s="76">
        <f>'[7]Gov 65 &amp; 70'!$J404</f>
        <v>159.30000000000001</v>
      </c>
      <c r="N319" s="76">
        <f t="shared" si="165"/>
        <v>119.5</v>
      </c>
      <c r="O319" s="363">
        <f t="shared" ref="O319" si="429">(N319-M319)</f>
        <v>-39.800000000000011</v>
      </c>
      <c r="P319" s="13" t="s">
        <v>18</v>
      </c>
      <c r="Q319" s="321">
        <f t="shared" si="415"/>
        <v>3180.3823800000009</v>
      </c>
      <c r="R319" s="78">
        <f t="shared" si="416"/>
        <v>-2216.5648830000005</v>
      </c>
      <c r="S319" s="479">
        <f t="shared" ref="S319" si="430">ROUND((R319+Q319),0)</f>
        <v>964</v>
      </c>
      <c r="T319" s="13" t="s">
        <v>18</v>
      </c>
      <c r="U319" s="4">
        <f t="shared" si="166"/>
        <v>2009</v>
      </c>
      <c r="V319" s="4">
        <f t="shared" si="167"/>
        <v>3</v>
      </c>
      <c r="W319" s="153">
        <f t="shared" si="411"/>
        <v>10268.86038778771</v>
      </c>
      <c r="X319" s="153">
        <f t="shared" si="412"/>
        <v>-1192.0539378099165</v>
      </c>
      <c r="Z319" s="98">
        <f t="shared" ref="Z319" si="431">S319+C319</f>
        <v>237796</v>
      </c>
      <c r="AA319" s="119">
        <f t="shared" ref="AA319" si="432">Z319-C319</f>
        <v>964</v>
      </c>
      <c r="AB319" s="512">
        <f>[9]SPAMWh!$L199</f>
        <v>239493</v>
      </c>
      <c r="AC319" s="4">
        <f t="shared" si="168"/>
        <v>2009</v>
      </c>
      <c r="AD319" s="4">
        <f t="shared" si="169"/>
        <v>3</v>
      </c>
      <c r="AE319" s="107">
        <f>RESID!AC319</f>
        <v>29.45</v>
      </c>
      <c r="AF319" s="40">
        <f t="shared" ref="AF319" si="433">AG319/D319*1000</f>
        <v>10607.073455110765</v>
      </c>
      <c r="AG319" s="4">
        <f t="shared" ref="AG319" si="434">ROUND(Z319/(AE319/30.42),0)</f>
        <v>245628</v>
      </c>
      <c r="AH319" s="4">
        <f t="shared" ref="AH319" si="435">Z319-Z307</f>
        <v>-24934</v>
      </c>
      <c r="AY319" s="4">
        <f t="shared" si="332"/>
        <v>2009</v>
      </c>
      <c r="AZ319" s="4">
        <f t="shared" si="333"/>
        <v>3</v>
      </c>
      <c r="BA319" s="4">
        <f>'[8]Gov 65 &amp; 70'!$S404</f>
        <v>77.099999999999994</v>
      </c>
      <c r="BB319" s="4">
        <f t="shared" si="172"/>
        <v>64.099999999999994</v>
      </c>
      <c r="BC319" s="82">
        <f t="shared" si="409"/>
        <v>-13</v>
      </c>
      <c r="BD319" s="36" t="s">
        <v>18</v>
      </c>
      <c r="BE319" s="4">
        <f>'[8]Gov 65 &amp; 70'!$J404</f>
        <v>83.5</v>
      </c>
      <c r="BF319" s="4">
        <f t="shared" si="173"/>
        <v>85.4</v>
      </c>
      <c r="BG319" s="83">
        <f t="shared" si="410"/>
        <v>1.9000000000000057</v>
      </c>
      <c r="BH319" s="36" t="s">
        <v>18</v>
      </c>
      <c r="BI319" s="273">
        <f t="shared" si="418"/>
        <v>-3281.3469000000005</v>
      </c>
      <c r="BJ319" s="270">
        <f t="shared" si="419"/>
        <v>105.81591150000031</v>
      </c>
      <c r="BK319" s="482">
        <f t="shared" ref="BK319" si="436">ROUND(BJ319+BI319,0)</f>
        <v>-3176</v>
      </c>
      <c r="BL319" s="276"/>
      <c r="BM319" s="36" t="s">
        <v>18</v>
      </c>
      <c r="BN319" s="4">
        <f t="shared" si="174"/>
        <v>2009</v>
      </c>
      <c r="BO319" s="4">
        <f t="shared" si="175"/>
        <v>3</v>
      </c>
      <c r="BP319" s="108">
        <f>(C319+[4]MWh!$AN153)</f>
        <v>257273.93064236219</v>
      </c>
      <c r="BQ319" s="108">
        <f t="shared" ref="BQ319" si="437">BP319/D319*1000</f>
        <v>11109.985345353984</v>
      </c>
      <c r="BR319" s="108">
        <f t="shared" ref="BR319" si="438">BT319/D319*1000</f>
        <v>10972.834591802142</v>
      </c>
      <c r="BS319" s="108">
        <f t="shared" ref="BS319" si="439">BR319-BR307</f>
        <v>-1139.2476892703016</v>
      </c>
      <c r="BT319" s="175">
        <f t="shared" ref="BT319" si="440">BK319+BP319</f>
        <v>254097.93064236219</v>
      </c>
      <c r="BU319" s="108">
        <f t="shared" ref="BU319" si="441">BT319-BT307</f>
        <v>-23559.443568942515</v>
      </c>
      <c r="BV319" s="4">
        <f t="shared" si="362"/>
        <v>-3176</v>
      </c>
      <c r="BW319" s="444">
        <f>BT319/[9]SPAMWh!$L199</f>
        <v>1.0609827036379442</v>
      </c>
    </row>
    <row r="320" spans="1:75">
      <c r="A320" s="4">
        <f t="shared" si="297"/>
        <v>2009</v>
      </c>
      <c r="B320" s="4">
        <f t="shared" si="298"/>
        <v>4</v>
      </c>
      <c r="C320" s="5">
        <f>'[2]FPC wSEB'!$J417</f>
        <v>252886</v>
      </c>
      <c r="D320" s="5">
        <f>'[2]FPC wSEB'!$AB417</f>
        <v>23437</v>
      </c>
      <c r="E320" s="73">
        <f t="shared" ref="E320" si="442">ROUND(C320/D320*1000,0)</f>
        <v>10790</v>
      </c>
      <c r="F320" s="540">
        <f t="shared" si="255"/>
        <v>23437</v>
      </c>
      <c r="H320" s="13" t="s">
        <v>18</v>
      </c>
      <c r="I320" s="76">
        <f>'[7]Gov 65 &amp; 70'!$S405</f>
        <v>98</v>
      </c>
      <c r="J320" s="76">
        <f t="shared" si="164"/>
        <v>87.7</v>
      </c>
      <c r="K320" s="362">
        <f t="shared" ref="K320" si="443">(J320-I320)</f>
        <v>-10.299999999999997</v>
      </c>
      <c r="L320" s="200" t="s">
        <v>18</v>
      </c>
      <c r="M320" s="76">
        <f>'[7]Gov 65 &amp; 70'!$J405</f>
        <v>42</v>
      </c>
      <c r="N320" s="76">
        <f t="shared" si="165"/>
        <v>60.3</v>
      </c>
      <c r="O320" s="363">
        <f t="shared" ref="O320" si="444">(N320-M320)</f>
        <v>18.299999999999997</v>
      </c>
      <c r="P320" s="13" t="s">
        <v>18</v>
      </c>
      <c r="Q320" s="321">
        <f t="shared" si="415"/>
        <v>-2631.2719899999993</v>
      </c>
      <c r="R320" s="78">
        <f t="shared" si="416"/>
        <v>1031.4975254999997</v>
      </c>
      <c r="S320" s="479">
        <f t="shared" ref="S320" si="445">ROUND((R320+Q320),0)</f>
        <v>-1600</v>
      </c>
      <c r="T320" s="13" t="s">
        <v>18</v>
      </c>
      <c r="U320" s="4">
        <f t="shared" si="166"/>
        <v>2009</v>
      </c>
      <c r="V320" s="4">
        <f t="shared" si="167"/>
        <v>4</v>
      </c>
      <c r="W320" s="153">
        <f t="shared" si="411"/>
        <v>10721.764730980927</v>
      </c>
      <c r="X320" s="153">
        <f t="shared" si="412"/>
        <v>-365.03116609834979</v>
      </c>
      <c r="Z320" s="98">
        <f t="shared" ref="Z320" si="446">S320+C320</f>
        <v>251286</v>
      </c>
      <c r="AA320" s="119">
        <f t="shared" ref="AA320" si="447">Z320-C320</f>
        <v>-1600</v>
      </c>
      <c r="AB320" s="512">
        <f>[9]SPAMWh!$L200</f>
        <v>247693</v>
      </c>
      <c r="AC320" s="4">
        <f t="shared" si="168"/>
        <v>2009</v>
      </c>
      <c r="AD320" s="4">
        <f t="shared" si="169"/>
        <v>4</v>
      </c>
      <c r="AE320" s="107">
        <f>RESID!AC320</f>
        <v>28.65</v>
      </c>
      <c r="AF320" s="40">
        <f t="shared" ref="AF320" si="448">AG320/D320*1000</f>
        <v>11384.13619490549</v>
      </c>
      <c r="AG320" s="4">
        <f t="shared" ref="AG320" si="449">ROUND(Z320/(AE320/30.42),0)</f>
        <v>266810</v>
      </c>
      <c r="AH320" s="4">
        <f t="shared" ref="AH320" si="450">Z320-Z308</f>
        <v>-3799</v>
      </c>
      <c r="AY320" s="4">
        <f t="shared" si="332"/>
        <v>2009</v>
      </c>
      <c r="AZ320" s="4">
        <f t="shared" si="333"/>
        <v>4</v>
      </c>
      <c r="BA320" s="4">
        <f>'[8]Gov 65 &amp; 70'!$S405</f>
        <v>126.9</v>
      </c>
      <c r="BB320" s="4">
        <f t="shared" si="172"/>
        <v>122</v>
      </c>
      <c r="BC320" s="82">
        <f t="shared" ref="BC320" si="451">BB320-BA320</f>
        <v>-4.9000000000000057</v>
      </c>
      <c r="BD320" s="36" t="s">
        <v>18</v>
      </c>
      <c r="BE320" s="4">
        <f>'[8]Gov 65 &amp; 70'!$J405</f>
        <v>30.2</v>
      </c>
      <c r="BF320" s="4">
        <f t="shared" si="173"/>
        <v>34.700000000000003</v>
      </c>
      <c r="BG320" s="83">
        <f t="shared" ref="BG320" si="452">BF320-BE320</f>
        <v>4.5000000000000036</v>
      </c>
      <c r="BH320" s="36" t="s">
        <v>18</v>
      </c>
      <c r="BI320" s="273">
        <f t="shared" si="418"/>
        <v>-1251.7701700000014</v>
      </c>
      <c r="BJ320" s="270">
        <f t="shared" si="419"/>
        <v>253.64693250000016</v>
      </c>
      <c r="BK320" s="482">
        <f t="shared" ref="BK320" si="453">ROUND(BJ320+BI320,0)</f>
        <v>-998</v>
      </c>
      <c r="BL320" s="276"/>
      <c r="BM320" s="36" t="s">
        <v>18</v>
      </c>
      <c r="BN320" s="4">
        <f t="shared" si="174"/>
        <v>2009</v>
      </c>
      <c r="BO320" s="4">
        <f t="shared" si="175"/>
        <v>4</v>
      </c>
      <c r="BP320" s="108">
        <f>(C320+[4]MWh!$AN154)</f>
        <v>265429.98044097715</v>
      </c>
      <c r="BQ320" s="108">
        <f t="shared" ref="BQ320" si="454">BP320/D320*1000</f>
        <v>11325.254104235915</v>
      </c>
      <c r="BR320" s="108">
        <f t="shared" ref="BR320" si="455">BT320/D320*1000</f>
        <v>11282.671862481424</v>
      </c>
      <c r="BS320" s="108">
        <f t="shared" ref="BS320" si="456">BR320-BR308</f>
        <v>292.73398447388718</v>
      </c>
      <c r="BT320" s="175">
        <f t="shared" ref="BT320" si="457">BK320+BP320</f>
        <v>264431.98044097715</v>
      </c>
      <c r="BU320" s="108">
        <f t="shared" ref="BU320" si="458">BT320-BT308</f>
        <v>11575.489743779734</v>
      </c>
      <c r="BV320" s="4">
        <f t="shared" si="362"/>
        <v>-998</v>
      </c>
      <c r="BW320" s="444">
        <f>BT320/[9]SPAMWh!$L200</f>
        <v>1.0675795458126678</v>
      </c>
    </row>
    <row r="321" spans="1:111">
      <c r="A321" s="4">
        <f t="shared" si="297"/>
        <v>2009</v>
      </c>
      <c r="B321" s="4">
        <f t="shared" si="298"/>
        <v>5</v>
      </c>
      <c r="C321" s="5">
        <f>'[2]FPC wSEB'!$J418</f>
        <v>261537</v>
      </c>
      <c r="D321" s="5">
        <f>'[2]FPC wSEB'!$AB418</f>
        <v>23156</v>
      </c>
      <c r="E321" s="73">
        <f t="shared" ref="E321" si="459">ROUND(C321/D321*1000,0)</f>
        <v>11295</v>
      </c>
      <c r="F321" s="540">
        <f t="shared" si="255"/>
        <v>23156</v>
      </c>
      <c r="H321" s="13" t="s">
        <v>18</v>
      </c>
      <c r="I321" s="76">
        <f>'[7]Gov 65 &amp; 70'!$S406</f>
        <v>180.5</v>
      </c>
      <c r="J321" s="76">
        <f t="shared" si="164"/>
        <v>157.69999999999999</v>
      </c>
      <c r="K321" s="362">
        <f t="shared" ref="K321" si="460">(J321-I321)</f>
        <v>-22.800000000000011</v>
      </c>
      <c r="L321" s="200" t="s">
        <v>18</v>
      </c>
      <c r="M321" s="76">
        <f>'[7]Gov 65 &amp; 70'!$J406</f>
        <v>16</v>
      </c>
      <c r="N321" s="76">
        <f t="shared" si="165"/>
        <v>18.600000000000001</v>
      </c>
      <c r="O321" s="363">
        <f t="shared" ref="O321" si="461">(N321-M321)</f>
        <v>2.6000000000000014</v>
      </c>
      <c r="P321" s="13" t="s">
        <v>18</v>
      </c>
      <c r="Q321" s="321">
        <f t="shared" si="415"/>
        <v>-5754.7291200000027</v>
      </c>
      <c r="R321" s="78">
        <f t="shared" si="416"/>
        <v>144.79446800000005</v>
      </c>
      <c r="S321" s="479">
        <f t="shared" ref="S321" si="462">ROUND((R321+Q321),0)</f>
        <v>-5610</v>
      </c>
      <c r="T321" s="13" t="s">
        <v>18</v>
      </c>
      <c r="U321" s="4">
        <f t="shared" si="166"/>
        <v>2009</v>
      </c>
      <c r="V321" s="4">
        <f t="shared" si="167"/>
        <v>5</v>
      </c>
      <c r="W321" s="153">
        <f t="shared" ref="W321" si="463">Z321/D321*1000</f>
        <v>11052.297460701331</v>
      </c>
      <c r="X321" s="153">
        <f t="shared" si="412"/>
        <v>-787.06153027098117</v>
      </c>
      <c r="Z321" s="98">
        <f t="shared" ref="Z321" si="464">S321+C321</f>
        <v>255927</v>
      </c>
      <c r="AA321" s="119">
        <f t="shared" ref="AA321" si="465">Z321-C321</f>
        <v>-5610</v>
      </c>
      <c r="AB321" s="512">
        <f>[9]SPAMWh!$L201</f>
        <v>257730</v>
      </c>
      <c r="AC321" s="4">
        <f t="shared" si="168"/>
        <v>2009</v>
      </c>
      <c r="AD321" s="4">
        <f t="shared" si="169"/>
        <v>5</v>
      </c>
      <c r="AE321" s="107">
        <f>RESID!AC321</f>
        <v>30.15</v>
      </c>
      <c r="AF321" s="40">
        <f t="shared" ref="AF321" si="466">AG321/D321*1000</f>
        <v>11151.278286405251</v>
      </c>
      <c r="AG321" s="4">
        <f t="shared" ref="AG321" si="467">ROUND(Z321/(AE321/30.42),0)</f>
        <v>258219</v>
      </c>
      <c r="AH321" s="4">
        <f t="shared" ref="AH321" si="468">Z321-Z309</f>
        <v>-18166</v>
      </c>
      <c r="AY321" s="4">
        <f t="shared" si="332"/>
        <v>2009</v>
      </c>
      <c r="AZ321" s="4">
        <f t="shared" si="333"/>
        <v>5</v>
      </c>
      <c r="BA321" s="4">
        <f>'[8]Gov 65 &amp; 70'!$S406</f>
        <v>254.5</v>
      </c>
      <c r="BB321" s="4">
        <f t="shared" si="172"/>
        <v>253</v>
      </c>
      <c r="BC321" s="82">
        <f t="shared" ref="BC321" si="469">BB321-BA321</f>
        <v>-1.5</v>
      </c>
      <c r="BD321" s="36" t="s">
        <v>18</v>
      </c>
      <c r="BE321" s="4">
        <f>'[8]Gov 65 &amp; 70'!$J406</f>
        <v>1.5</v>
      </c>
      <c r="BF321" s="4">
        <f t="shared" si="173"/>
        <v>4.3</v>
      </c>
      <c r="BG321" s="83">
        <f t="shared" ref="BG321" si="470">BF321-BE321</f>
        <v>2.8</v>
      </c>
      <c r="BH321" s="36" t="s">
        <v>18</v>
      </c>
      <c r="BI321" s="273">
        <f t="shared" si="418"/>
        <v>-378.60060000000004</v>
      </c>
      <c r="BJ321" s="270">
        <f t="shared" si="419"/>
        <v>155.93250399999999</v>
      </c>
      <c r="BK321" s="482">
        <f t="shared" ref="BK321" si="471">ROUND(BJ321+BI321,0)</f>
        <v>-223</v>
      </c>
      <c r="BL321" s="276"/>
      <c r="BM321" s="36" t="s">
        <v>18</v>
      </c>
      <c r="BN321" s="4">
        <f t="shared" si="174"/>
        <v>2009</v>
      </c>
      <c r="BO321" s="4">
        <f t="shared" si="175"/>
        <v>5</v>
      </c>
      <c r="BP321" s="108">
        <f>(C321+[4]MWh!$AN155)</f>
        <v>284436.12235595926</v>
      </c>
      <c r="BQ321" s="108">
        <f t="shared" ref="BQ321" si="472">BP321/D321*1000</f>
        <v>12283.473931419901</v>
      </c>
      <c r="BR321" s="108">
        <f t="shared" ref="BR321" si="473">BT321/D321*1000</f>
        <v>12273.843598028989</v>
      </c>
      <c r="BS321" s="108">
        <f t="shared" ref="BS321" si="474">BR321-BR309</f>
        <v>-1081.5789438659649</v>
      </c>
      <c r="BT321" s="175">
        <f t="shared" ref="BT321" si="475">BK321+BP321</f>
        <v>284213.12235595926</v>
      </c>
      <c r="BU321" s="108">
        <f t="shared" ref="BU321" si="476">BT321-BT309</f>
        <v>-24978.264911450795</v>
      </c>
      <c r="BV321" s="4">
        <f t="shared" si="362"/>
        <v>-223</v>
      </c>
      <c r="BW321" s="444">
        <f>BT321/[9]SPAMWh!$L201</f>
        <v>1.1027552956813691</v>
      </c>
    </row>
    <row r="322" spans="1:111">
      <c r="A322" s="4">
        <f t="shared" si="297"/>
        <v>2009</v>
      </c>
      <c r="B322" s="4">
        <f t="shared" si="298"/>
        <v>6</v>
      </c>
      <c r="C322" s="5">
        <f>'[2]FPC wSEB'!$J419</f>
        <v>283932</v>
      </c>
      <c r="D322" s="5">
        <f>'[2]FPC wSEB'!$AB419</f>
        <v>23513</v>
      </c>
      <c r="E322" s="73">
        <f t="shared" ref="E322" si="477">ROUND(C322/D322*1000,0)</f>
        <v>12076</v>
      </c>
      <c r="F322" s="540">
        <f t="shared" si="255"/>
        <v>23513</v>
      </c>
      <c r="H322" s="13" t="s">
        <v>18</v>
      </c>
      <c r="I322" s="76">
        <f>'[7]Gov 65 &amp; 70'!$S407</f>
        <v>277</v>
      </c>
      <c r="J322" s="76">
        <f t="shared" si="164"/>
        <v>295.39999999999998</v>
      </c>
      <c r="K322" s="362">
        <f t="shared" ref="K322" si="478">(J322-I322)</f>
        <v>18.399999999999977</v>
      </c>
      <c r="L322" s="200" t="s">
        <v>18</v>
      </c>
      <c r="M322" s="76">
        <f>'[7]Gov 65 &amp; 70'!$J407</f>
        <v>0.9</v>
      </c>
      <c r="N322" s="76">
        <f t="shared" si="165"/>
        <v>2.2000000000000002</v>
      </c>
      <c r="O322" s="363">
        <f t="shared" ref="O322" si="479">(N322-M322)</f>
        <v>1.3000000000000003</v>
      </c>
      <c r="P322" s="13" t="s">
        <v>18</v>
      </c>
      <c r="Q322" s="321">
        <f t="shared" si="415"/>
        <v>4715.7672799999937</v>
      </c>
      <c r="R322" s="78">
        <f t="shared" si="416"/>
        <v>73.513394500000004</v>
      </c>
      <c r="S322" s="479">
        <f t="shared" ref="S322" si="480">ROUND((R322+Q322),0)</f>
        <v>4789</v>
      </c>
      <c r="T322" s="13" t="s">
        <v>18</v>
      </c>
      <c r="U322" s="4">
        <f t="shared" si="166"/>
        <v>2009</v>
      </c>
      <c r="V322" s="4">
        <f t="shared" si="167"/>
        <v>6</v>
      </c>
      <c r="W322" s="153">
        <f t="shared" ref="W322" si="481">Z322/D322*1000</f>
        <v>12279.207247054821</v>
      </c>
      <c r="X322" s="153">
        <f t="shared" ref="X322" si="482">W322-W310</f>
        <v>867.78237100394836</v>
      </c>
      <c r="Z322" s="98">
        <f t="shared" ref="Z322" si="483">S322+C322</f>
        <v>288721</v>
      </c>
      <c r="AA322" s="119">
        <f t="shared" ref="AA322" si="484">Z322-C322</f>
        <v>4789</v>
      </c>
      <c r="AB322" s="512">
        <f>[9]SPAMWh!$L202</f>
        <v>286505</v>
      </c>
      <c r="AC322" s="4">
        <f t="shared" si="168"/>
        <v>2009</v>
      </c>
      <c r="AD322" s="4">
        <f t="shared" si="169"/>
        <v>6</v>
      </c>
      <c r="AE322" s="107">
        <f>RESID!AC322</f>
        <v>30.75</v>
      </c>
      <c r="AF322" s="40">
        <f t="shared" ref="AF322" si="485">AG322/D322*1000</f>
        <v>12147.450346616764</v>
      </c>
      <c r="AG322" s="4">
        <f t="shared" ref="AG322" si="486">ROUND(Z322/(AE322/30.42),0)</f>
        <v>285623</v>
      </c>
      <c r="AH322" s="4">
        <f t="shared" ref="AH322" si="487">Z322-Z310</f>
        <v>24033</v>
      </c>
      <c r="AY322" s="4">
        <f t="shared" si="332"/>
        <v>2009</v>
      </c>
      <c r="AZ322" s="4">
        <f t="shared" si="333"/>
        <v>6</v>
      </c>
      <c r="BA322" s="4">
        <f>'[8]Gov 65 &amp; 70'!$S407</f>
        <v>371.8</v>
      </c>
      <c r="BB322" s="4">
        <f t="shared" si="172"/>
        <v>336.1</v>
      </c>
      <c r="BC322" s="82">
        <f t="shared" ref="BC322" si="488">BB322-BA322</f>
        <v>-35.699999999999989</v>
      </c>
      <c r="BD322" s="36" t="s">
        <v>18</v>
      </c>
      <c r="BE322" s="4">
        <f>'[8]Gov 65 &amp; 70'!$J407</f>
        <v>0</v>
      </c>
      <c r="BF322" s="4">
        <f t="shared" si="173"/>
        <v>0</v>
      </c>
      <c r="BG322" s="83">
        <f t="shared" ref="BG322" si="489">BF322-BE322</f>
        <v>0</v>
      </c>
      <c r="BH322" s="36" t="s">
        <v>18</v>
      </c>
      <c r="BI322" s="273">
        <f t="shared" si="418"/>
        <v>-9149.6136899999983</v>
      </c>
      <c r="BJ322" s="270">
        <f t="shared" si="419"/>
        <v>0</v>
      </c>
      <c r="BK322" s="482">
        <f t="shared" ref="BK322" si="490">ROUND(BJ322+BI322,0)</f>
        <v>-9150</v>
      </c>
      <c r="BL322" s="276"/>
      <c r="BM322" s="36" t="s">
        <v>18</v>
      </c>
      <c r="BN322" s="4">
        <f t="shared" si="174"/>
        <v>2009</v>
      </c>
      <c r="BO322" s="4">
        <f t="shared" si="175"/>
        <v>6</v>
      </c>
      <c r="BP322" s="108">
        <f>(C322+[4]MWh!$AN156)</f>
        <v>296136.80990622158</v>
      </c>
      <c r="BQ322" s="108">
        <f t="shared" ref="BQ322" si="491">BP322/D322*1000</f>
        <v>12594.59915392428</v>
      </c>
      <c r="BR322" s="108">
        <f t="shared" ref="BR322" si="492">BT322/D322*1000</f>
        <v>12205.452724289609</v>
      </c>
      <c r="BS322" s="108">
        <f t="shared" ref="BS322" si="493">BR322-BR310</f>
        <v>2295.0484660090351</v>
      </c>
      <c r="BT322" s="175">
        <f t="shared" ref="BT322" si="494">BK322+BP322</f>
        <v>286986.80990622158</v>
      </c>
      <c r="BU322" s="108">
        <f t="shared" ref="BU322" si="495">BT322-BT310</f>
        <v>57114.983135403658</v>
      </c>
      <c r="BV322" s="4">
        <f t="shared" si="362"/>
        <v>-9150</v>
      </c>
      <c r="BW322" s="444">
        <f>BT322/[9]SPAMWh!$L202</f>
        <v>1.0016816806206579</v>
      </c>
    </row>
    <row r="323" spans="1:111" ht="15.75">
      <c r="A323" s="4">
        <f t="shared" si="297"/>
        <v>2009</v>
      </c>
      <c r="B323" s="4">
        <f t="shared" si="298"/>
        <v>7</v>
      </c>
      <c r="C323" s="5">
        <f>'[2]FPC wSEB'!$J420</f>
        <v>282035</v>
      </c>
      <c r="D323" s="5">
        <f>'[2]FPC wSEB'!$AB420</f>
        <v>23479</v>
      </c>
      <c r="E323" s="73">
        <f t="shared" ref="E323" si="496">ROUND(C323/D323*1000,0)</f>
        <v>12012</v>
      </c>
      <c r="F323" s="540">
        <f t="shared" si="255"/>
        <v>23479</v>
      </c>
      <c r="H323" s="13" t="s">
        <v>18</v>
      </c>
      <c r="I323" s="76">
        <f>'[7]Gov 65 &amp; 70'!$S408</f>
        <v>386.3</v>
      </c>
      <c r="J323" s="76">
        <f t="shared" si="164"/>
        <v>363.4</v>
      </c>
      <c r="K323" s="362">
        <f t="shared" ref="K323" si="497">(J323-I323)</f>
        <v>-22.900000000000034</v>
      </c>
      <c r="L323" s="200" t="s">
        <v>18</v>
      </c>
      <c r="M323" s="76">
        <f>'[7]Gov 65 &amp; 70'!$J408</f>
        <v>0</v>
      </c>
      <c r="N323" s="76">
        <f t="shared" si="165"/>
        <v>0</v>
      </c>
      <c r="O323" s="363">
        <f t="shared" ref="O323" si="498">(N323-M323)</f>
        <v>0</v>
      </c>
      <c r="P323" s="13" t="s">
        <v>18</v>
      </c>
      <c r="Q323" s="321">
        <f t="shared" ref="Q323" si="499">(K323*$F$10)*D323/1000</f>
        <v>-5860.5931900000087</v>
      </c>
      <c r="R323" s="78">
        <f t="shared" ref="R323" si="500">(O323*$F$9)*D323/1000</f>
        <v>0</v>
      </c>
      <c r="S323" s="479">
        <f t="shared" ref="S323" si="501">ROUND((R323+Q323),0)</f>
        <v>-5861</v>
      </c>
      <c r="T323" s="13" t="s">
        <v>18</v>
      </c>
      <c r="U323" s="4">
        <f t="shared" si="166"/>
        <v>2009</v>
      </c>
      <c r="V323" s="4">
        <f t="shared" si="167"/>
        <v>7</v>
      </c>
      <c r="W323" s="153">
        <f t="shared" ref="W323" si="502">Z323/D323*1000</f>
        <v>11762.5963627071</v>
      </c>
      <c r="X323" s="153">
        <f t="shared" ref="X323" si="503">W323-W311</f>
        <v>-767.10905667675434</v>
      </c>
      <c r="Z323" s="98">
        <f t="shared" ref="Z323" si="504">S323+C323</f>
        <v>276174</v>
      </c>
      <c r="AA323" s="119">
        <f t="shared" ref="AA323" si="505">Z323-C323</f>
        <v>-5861</v>
      </c>
      <c r="AB323" s="512">
        <f>[9]SPAMWh!$L203</f>
        <v>275311</v>
      </c>
      <c r="AC323" s="4">
        <f t="shared" si="168"/>
        <v>2009</v>
      </c>
      <c r="AD323" s="4">
        <f t="shared" si="169"/>
        <v>7</v>
      </c>
      <c r="AE323" s="107">
        <f>RESID!AC323</f>
        <v>30.45</v>
      </c>
      <c r="AF323" s="40">
        <f t="shared" ref="AF323" si="506">AG323/D323*1000</f>
        <v>11751.011542229227</v>
      </c>
      <c r="AG323" s="4">
        <f t="shared" ref="AG323" si="507">ROUND(Z323/(AE323/30.42),0)</f>
        <v>275902</v>
      </c>
      <c r="AH323" s="4">
        <f t="shared" ref="AH323" si="508">Z323-Z311</f>
        <v>-2424</v>
      </c>
      <c r="AY323" s="4">
        <f t="shared" si="332"/>
        <v>2009</v>
      </c>
      <c r="AZ323" s="4">
        <f t="shared" si="333"/>
        <v>7</v>
      </c>
      <c r="BA323" s="4">
        <f>'[8]Gov 65 &amp; 70'!$S408</f>
        <v>380.3</v>
      </c>
      <c r="BB323" s="4">
        <f t="shared" si="172"/>
        <v>391.2</v>
      </c>
      <c r="BC323" s="82">
        <f t="shared" ref="BC323" si="509">BB323-BA323</f>
        <v>10.899999999999977</v>
      </c>
      <c r="BD323" s="36" t="s">
        <v>18</v>
      </c>
      <c r="BE323" s="4">
        <f>'[8]Gov 65 &amp; 70'!$J408</f>
        <v>0</v>
      </c>
      <c r="BF323" s="4">
        <f t="shared" si="173"/>
        <v>0</v>
      </c>
      <c r="BG323" s="83">
        <f t="shared" ref="BG323" si="510">BF323-BE323</f>
        <v>0</v>
      </c>
      <c r="BH323" s="36" t="s">
        <v>18</v>
      </c>
      <c r="BI323" s="273">
        <f t="shared" ref="BI323" si="511">($F$10*BC323)*D323/1000</f>
        <v>2789.5399899999943</v>
      </c>
      <c r="BJ323" s="270">
        <f t="shared" ref="BJ323" si="512">($F$9*BG323)*D323/1000</f>
        <v>0</v>
      </c>
      <c r="BK323" s="482">
        <f t="shared" ref="BK323" si="513">ROUND(BJ323+BI323,0)</f>
        <v>2790</v>
      </c>
      <c r="BL323" s="276"/>
      <c r="BM323" s="36" t="s">
        <v>18</v>
      </c>
      <c r="BN323" s="4">
        <f t="shared" si="174"/>
        <v>2009</v>
      </c>
      <c r="BO323" s="4">
        <f t="shared" si="175"/>
        <v>7</v>
      </c>
      <c r="BP323" s="108">
        <f>(C323+[4]MWh!$AN157)</f>
        <v>269096.38219693955</v>
      </c>
      <c r="BQ323" s="108">
        <f t="shared" ref="BQ323" si="514">BP323/D323*1000</f>
        <v>11461.151761017911</v>
      </c>
      <c r="BR323" s="108">
        <f t="shared" ref="BR323" si="515">BT323/D323*1000</f>
        <v>11579.981353419633</v>
      </c>
      <c r="BS323" s="108">
        <f t="shared" ref="BS323" si="516">BR323-BR311</f>
        <v>-2357.0168426195723</v>
      </c>
      <c r="BT323" s="175">
        <f t="shared" ref="BT323" si="517">BK323+BP323</f>
        <v>271886.38219693955</v>
      </c>
      <c r="BU323" s="108">
        <f t="shared" ref="BU323" si="518">BT323-BT311</f>
        <v>-38002.77269199217</v>
      </c>
      <c r="BV323" s="4">
        <f t="shared" si="362"/>
        <v>2790</v>
      </c>
      <c r="BW323" s="444">
        <f>BT323/[9]SPAMWh!$L203</f>
        <v>0.98756091183040107</v>
      </c>
      <c r="DA323" s="502" t="s">
        <v>299</v>
      </c>
      <c r="DB323" s="503">
        <v>38.336963532739233</v>
      </c>
    </row>
    <row r="324" spans="1:111" ht="15.75">
      <c r="A324" s="4">
        <f t="shared" si="297"/>
        <v>2009</v>
      </c>
      <c r="B324" s="4">
        <f t="shared" si="298"/>
        <v>8</v>
      </c>
      <c r="C324" s="5">
        <f>'[2]FPC wSEB'!$J421</f>
        <v>275211</v>
      </c>
      <c r="D324" s="5">
        <f>'[2]FPC wSEB'!$AB421</f>
        <v>22818</v>
      </c>
      <c r="E324" s="73">
        <f t="shared" ref="E324" si="519">ROUND(C324/D324*1000,0)</f>
        <v>12061</v>
      </c>
      <c r="F324" s="540">
        <f t="shared" si="255"/>
        <v>22818</v>
      </c>
      <c r="H324" s="13" t="s">
        <v>18</v>
      </c>
      <c r="I324" s="76">
        <f>'[7]Gov 65 &amp; 70'!$S409</f>
        <v>382</v>
      </c>
      <c r="J324" s="76">
        <f t="shared" si="164"/>
        <v>390.1</v>
      </c>
      <c r="K324" s="362">
        <f t="shared" ref="K324" si="520">(J324-I324)</f>
        <v>8.1000000000000227</v>
      </c>
      <c r="L324" s="200" t="s">
        <v>18</v>
      </c>
      <c r="M324" s="76">
        <f>'[7]Gov 65 &amp; 70'!$J409</f>
        <v>0</v>
      </c>
      <c r="N324" s="76">
        <f t="shared" si="165"/>
        <v>0</v>
      </c>
      <c r="O324" s="363">
        <f t="shared" ref="O324" si="521">(N324-M324)</f>
        <v>0</v>
      </c>
      <c r="P324" s="13" t="s">
        <v>18</v>
      </c>
      <c r="Q324" s="321">
        <f t="shared" ref="Q324" si="522">(K324*$F$10)*D324/1000</f>
        <v>2014.6012200000055</v>
      </c>
      <c r="R324" s="78">
        <f t="shared" ref="R324" si="523">(O324*$F$9)*D324/1000</f>
        <v>0</v>
      </c>
      <c r="S324" s="479">
        <f t="shared" ref="S324" si="524">ROUND((R324+Q324),0)</f>
        <v>2015</v>
      </c>
      <c r="T324" s="13" t="s">
        <v>18</v>
      </c>
      <c r="U324" s="4">
        <f t="shared" si="166"/>
        <v>2009</v>
      </c>
      <c r="V324" s="4">
        <f t="shared" si="167"/>
        <v>8</v>
      </c>
      <c r="W324" s="153">
        <f t="shared" ref="W324" si="525">Z324/D324*1000</f>
        <v>12149.443421859934</v>
      </c>
      <c r="X324" s="153">
        <f t="shared" ref="X324" si="526">W324-W312</f>
        <v>-499.88420385892277</v>
      </c>
      <c r="Z324" s="98">
        <f t="shared" ref="Z324" si="527">S324+C324</f>
        <v>277226</v>
      </c>
      <c r="AA324" s="119">
        <f t="shared" ref="AA324" si="528">Z324-C324</f>
        <v>2015</v>
      </c>
      <c r="AB324" s="512">
        <f>[9]SPAMWh!$L204</f>
        <v>277144</v>
      </c>
      <c r="AC324" s="4">
        <f t="shared" si="168"/>
        <v>2009</v>
      </c>
      <c r="AD324" s="4">
        <f t="shared" si="169"/>
        <v>8</v>
      </c>
      <c r="AE324" s="107">
        <f>RESID!AC324</f>
        <v>29.75</v>
      </c>
      <c r="AF324" s="40">
        <f t="shared" ref="AF324" si="529">AG324/D324*1000</f>
        <v>12423.043211499695</v>
      </c>
      <c r="AG324" s="4">
        <f t="shared" ref="AG324" si="530">ROUND(Z324/(AE324/30.42),0)</f>
        <v>283469</v>
      </c>
      <c r="AH324" s="4">
        <f t="shared" ref="AH324" si="531">Z324-Z312</f>
        <v>-15315</v>
      </c>
      <c r="AY324" s="4">
        <f t="shared" si="332"/>
        <v>2009</v>
      </c>
      <c r="AZ324" s="4">
        <f t="shared" si="333"/>
        <v>8</v>
      </c>
      <c r="BA324" s="4">
        <f>'[8]Gov 65 &amp; 70'!$S409</f>
        <v>402.8</v>
      </c>
      <c r="BB324" s="4">
        <f t="shared" si="172"/>
        <v>394.4</v>
      </c>
      <c r="BC324" s="82">
        <f t="shared" ref="BC324" si="532">BB324-BA324</f>
        <v>-8.4000000000000341</v>
      </c>
      <c r="BD324" s="36" t="s">
        <v>18</v>
      </c>
      <c r="BE324" s="4">
        <f>'[8]Gov 65 &amp; 70'!$J409</f>
        <v>0</v>
      </c>
      <c r="BF324" s="4">
        <f t="shared" si="173"/>
        <v>0</v>
      </c>
      <c r="BG324" s="83">
        <f t="shared" ref="BG324" si="533">BF324-BE324</f>
        <v>0</v>
      </c>
      <c r="BH324" s="36" t="s">
        <v>18</v>
      </c>
      <c r="BI324" s="273">
        <f t="shared" ref="BI324" si="534">($F$10*BC324)*D324/1000</f>
        <v>-2089.2160800000083</v>
      </c>
      <c r="BJ324" s="270">
        <f t="shared" ref="BJ324" si="535">($F$9*BG324)*D324/1000</f>
        <v>0</v>
      </c>
      <c r="BK324" s="482">
        <f t="shared" ref="BK324" si="536">ROUND(BJ324+BI324,0)</f>
        <v>-2089</v>
      </c>
      <c r="BL324" s="276"/>
      <c r="BM324" s="36" t="s">
        <v>18</v>
      </c>
      <c r="BN324" s="4">
        <f t="shared" si="174"/>
        <v>2009</v>
      </c>
      <c r="BO324" s="4">
        <f t="shared" si="175"/>
        <v>8</v>
      </c>
      <c r="BP324" s="108">
        <f>(C324+[4]MWh!$AN158)</f>
        <v>299123.49401894282</v>
      </c>
      <c r="BQ324" s="108">
        <f t="shared" ref="BQ324" si="537">BP324/D324*1000</f>
        <v>13109.102200847699</v>
      </c>
      <c r="BR324" s="108">
        <f t="shared" ref="BR324" si="538">BT324/D324*1000</f>
        <v>13017.55167056459</v>
      </c>
      <c r="BS324" s="108">
        <f t="shared" ref="BS324" si="539">BR324-BR312</f>
        <v>662.1506529323342</v>
      </c>
      <c r="BT324" s="175">
        <f t="shared" ref="BT324" si="540">BK324+BP324</f>
        <v>297034.49401894282</v>
      </c>
      <c r="BU324" s="108">
        <f t="shared" ref="BU324" si="541">BT324-BT312</f>
        <v>11291.134684161632</v>
      </c>
      <c r="BV324" s="4">
        <f t="shared" si="362"/>
        <v>-2089</v>
      </c>
      <c r="BW324" s="444">
        <f>BT324/[9]SPAMWh!$L204</f>
        <v>1.0717695278228747</v>
      </c>
      <c r="DA324" s="504" t="s">
        <v>300</v>
      </c>
      <c r="DB324" s="503">
        <v>145.50185699721507</v>
      </c>
    </row>
    <row r="325" spans="1:111">
      <c r="A325" s="4">
        <f t="shared" si="297"/>
        <v>2009</v>
      </c>
      <c r="B325" s="4">
        <f t="shared" si="298"/>
        <v>9</v>
      </c>
      <c r="C325" s="5">
        <f>'[2]FPC wSEB'!$J422</f>
        <v>307957</v>
      </c>
      <c r="D325" s="5">
        <f>'[2]FPC wSEB'!$AB422</f>
        <v>23227</v>
      </c>
      <c r="E325" s="73">
        <f t="shared" ref="E325" si="542">ROUND(C325/D325*1000,0)</f>
        <v>13259</v>
      </c>
      <c r="F325" s="540">
        <f t="shared" si="255"/>
        <v>23227</v>
      </c>
      <c r="H325" s="13" t="s">
        <v>18</v>
      </c>
      <c r="I325" s="76">
        <f>'[7]Gov 65 &amp; 70'!$S410</f>
        <v>368.8</v>
      </c>
      <c r="J325" s="76">
        <f t="shared" si="164"/>
        <v>381.2</v>
      </c>
      <c r="K325" s="362">
        <f t="shared" ref="K325" si="543">(J325-I325)</f>
        <v>12.399999999999977</v>
      </c>
      <c r="L325" s="200" t="s">
        <v>18</v>
      </c>
      <c r="M325" s="76">
        <f>'[7]Gov 65 &amp; 70'!$J410</f>
        <v>0</v>
      </c>
      <c r="N325" s="76">
        <f t="shared" si="165"/>
        <v>0</v>
      </c>
      <c r="O325" s="363">
        <f t="shared" ref="O325" si="544">(N325-M325)</f>
        <v>0</v>
      </c>
      <c r="P325" s="13" t="s">
        <v>18</v>
      </c>
      <c r="Q325" s="321">
        <f t="shared" ref="Q325" si="545">(K325*$F$10)*D325/1000</f>
        <v>3139.3613199999945</v>
      </c>
      <c r="R325" s="78">
        <f t="shared" ref="R325" si="546">(O325*$F$9)*D325/1000</f>
        <v>0</v>
      </c>
      <c r="S325" s="479">
        <f t="shared" ref="S325" si="547">ROUND((R325+Q325),0)</f>
        <v>3139</v>
      </c>
      <c r="T325" s="13" t="s">
        <v>18</v>
      </c>
      <c r="U325" s="4">
        <f t="shared" si="166"/>
        <v>2009</v>
      </c>
      <c r="V325" s="4">
        <f t="shared" si="167"/>
        <v>9</v>
      </c>
      <c r="W325" s="153">
        <f t="shared" ref="W325" si="548">Z325/D325*1000</f>
        <v>13393.722822577172</v>
      </c>
      <c r="X325" s="153">
        <f t="shared" ref="X325" si="549">W325-W313</f>
        <v>-453.4213525465384</v>
      </c>
      <c r="Z325" s="98">
        <f t="shared" ref="Z325" si="550">S325+C325</f>
        <v>311096</v>
      </c>
      <c r="AA325" s="119">
        <f t="shared" ref="AA325" si="551">Z325-C325</f>
        <v>3139</v>
      </c>
      <c r="AB325" s="512">
        <f>[9]SPAMWh!$L205</f>
        <v>310618</v>
      </c>
      <c r="AC325" s="4">
        <f t="shared" si="168"/>
        <v>2009</v>
      </c>
      <c r="AD325" s="4">
        <f t="shared" si="169"/>
        <v>9</v>
      </c>
      <c r="AE325" s="107">
        <f>RESID!AC325</f>
        <v>30.2</v>
      </c>
      <c r="AF325" s="40">
        <f t="shared" ref="AF325" si="552">AG325/D325*1000</f>
        <v>13491.281698023851</v>
      </c>
      <c r="AG325" s="4">
        <f t="shared" ref="AG325" si="553">ROUND(Z325/(AE325/30.42),0)</f>
        <v>313362</v>
      </c>
      <c r="AH325" s="4">
        <f t="shared" ref="AH325" si="554">Z325-Z313</f>
        <v>-19103</v>
      </c>
      <c r="AY325" s="4">
        <f t="shared" si="332"/>
        <v>2009</v>
      </c>
      <c r="AZ325" s="4">
        <f t="shared" si="333"/>
        <v>9</v>
      </c>
      <c r="BA325" s="4">
        <f>'[8]Gov 65 &amp; 70'!$S410</f>
        <v>344.4</v>
      </c>
      <c r="BB325" s="4">
        <f t="shared" si="172"/>
        <v>339.3</v>
      </c>
      <c r="BC325" s="82">
        <f t="shared" ref="BC325" si="555">BB325-BA325</f>
        <v>-5.0999999999999659</v>
      </c>
      <c r="BD325" s="36" t="s">
        <v>18</v>
      </c>
      <c r="BE325" s="4">
        <f>'[8]Gov 65 &amp; 70'!$J410</f>
        <v>0.5</v>
      </c>
      <c r="BF325" s="4">
        <f t="shared" si="173"/>
        <v>0</v>
      </c>
      <c r="BG325" s="83">
        <f t="shared" ref="BG325" si="556">BF325-BE325</f>
        <v>-0.5</v>
      </c>
      <c r="BH325" s="36" t="s">
        <v>18</v>
      </c>
      <c r="BI325" s="273">
        <f t="shared" ref="BI325" si="557">($F$10*BC325)*D325/1000</f>
        <v>-1291.1889299999914</v>
      </c>
      <c r="BJ325" s="270">
        <f t="shared" ref="BJ325" si="558">($F$9*BG325)*D325/1000</f>
        <v>-27.930467499999999</v>
      </c>
      <c r="BK325" s="482">
        <f t="shared" ref="BK325" si="559">ROUND(BJ325+BI325,0)</f>
        <v>-1319</v>
      </c>
      <c r="BL325" s="276"/>
      <c r="BM325" s="36" t="s">
        <v>18</v>
      </c>
      <c r="BN325" s="4">
        <f t="shared" si="174"/>
        <v>2009</v>
      </c>
      <c r="BO325" s="4">
        <f t="shared" si="175"/>
        <v>9</v>
      </c>
      <c r="BP325" s="108">
        <f>(C325+[4]MWh!$AN159)</f>
        <v>302562.05871078046</v>
      </c>
      <c r="BQ325" s="108">
        <f t="shared" ref="BQ325" si="560">BP325/D325*1000</f>
        <v>13026.308120324644</v>
      </c>
      <c r="BR325" s="108">
        <f t="shared" ref="BR325" si="561">BT325/D325*1000</f>
        <v>12969.520760786174</v>
      </c>
      <c r="BS325" s="108">
        <f t="shared" ref="BS325" si="562">BR325-BR313</f>
        <v>-149.83392650630412</v>
      </c>
      <c r="BT325" s="175">
        <f t="shared" ref="BT325" si="563">BK325+BP325</f>
        <v>301243.05871078046</v>
      </c>
      <c r="BU325" s="108">
        <f t="shared" ref="BU325" si="564">BT325-BT313</f>
        <v>-11601.073162395973</v>
      </c>
      <c r="BV325" s="4">
        <f t="shared" si="362"/>
        <v>-1319</v>
      </c>
      <c r="BW325" s="444">
        <f>BT325/[9]SPAMWh!$L205</f>
        <v>0.96981842234120519</v>
      </c>
    </row>
    <row r="326" spans="1:111">
      <c r="A326" s="4">
        <f t="shared" si="297"/>
        <v>2009</v>
      </c>
      <c r="B326" s="4">
        <f t="shared" si="298"/>
        <v>10</v>
      </c>
      <c r="C326" s="5">
        <f>'[2]FPC wSEB'!$J423</f>
        <v>302056</v>
      </c>
      <c r="D326" s="5">
        <f>'[2]FPC wSEB'!$AB423</f>
        <v>23046</v>
      </c>
      <c r="E326" s="73">
        <f t="shared" ref="E326" si="565">ROUND(C326/D326*1000,0)</f>
        <v>13107</v>
      </c>
      <c r="F326" s="540">
        <f t="shared" si="255"/>
        <v>23046</v>
      </c>
      <c r="H326" s="13" t="s">
        <v>18</v>
      </c>
      <c r="I326" s="76">
        <f>'[7]Gov 65 &amp; 70'!$S411</f>
        <v>336.7</v>
      </c>
      <c r="J326" s="76">
        <f t="shared" si="164"/>
        <v>287.8</v>
      </c>
      <c r="K326" s="362">
        <f t="shared" ref="K326" si="566">(J326-I326)</f>
        <v>-48.899999999999977</v>
      </c>
      <c r="L326" s="200" t="s">
        <v>18</v>
      </c>
      <c r="M326" s="76">
        <f>'[7]Gov 65 &amp; 70'!$J411</f>
        <v>4.4000000000000004</v>
      </c>
      <c r="N326" s="76">
        <f t="shared" si="165"/>
        <v>2.5</v>
      </c>
      <c r="O326" s="363">
        <f t="shared" ref="O326" si="567">(N326-M326)</f>
        <v>-1.9000000000000004</v>
      </c>
      <c r="P326" s="13" t="s">
        <v>18</v>
      </c>
      <c r="Q326" s="321">
        <f t="shared" ref="Q326" si="568">(K326*$F$10)*D326/1000</f>
        <v>-12283.748459999995</v>
      </c>
      <c r="R326" s="78">
        <f t="shared" ref="R326" si="569">(O326*$F$9)*D326/1000</f>
        <v>-105.30869700000001</v>
      </c>
      <c r="S326" s="479">
        <f t="shared" ref="S326" si="570">ROUND((R326+Q326),0)</f>
        <v>-12389</v>
      </c>
      <c r="T326" s="13" t="s">
        <v>18</v>
      </c>
      <c r="U326" s="4">
        <f t="shared" si="166"/>
        <v>2009</v>
      </c>
      <c r="V326" s="4">
        <f t="shared" si="167"/>
        <v>10</v>
      </c>
      <c r="W326" s="153">
        <f t="shared" ref="W326" si="571">Z326/D326*1000</f>
        <v>12569.079232838671</v>
      </c>
      <c r="X326" s="153">
        <f t="shared" ref="X326" si="572">W326-W314</f>
        <v>-335.7816632646518</v>
      </c>
      <c r="Z326" s="98">
        <f t="shared" ref="Z326" si="573">S326+C326</f>
        <v>289667</v>
      </c>
      <c r="AA326" s="119">
        <f t="shared" ref="AA326" si="574">Z326-C326</f>
        <v>-12389</v>
      </c>
      <c r="AB326" s="512">
        <f>[9]SPAMWh!$L206</f>
        <v>291320</v>
      </c>
      <c r="AC326" s="4">
        <f t="shared" si="168"/>
        <v>2009</v>
      </c>
      <c r="AD326" s="4">
        <f t="shared" si="169"/>
        <v>10</v>
      </c>
      <c r="AE326" s="107">
        <f>RESID!AC326</f>
        <v>30</v>
      </c>
      <c r="AF326" s="40">
        <f t="shared" ref="AF326" si="575">AG326/D326*1000</f>
        <v>12745.031675778877</v>
      </c>
      <c r="AG326" s="4">
        <f t="shared" ref="AG326" si="576">ROUND(Z326/(AE326/30.42),0)</f>
        <v>293722</v>
      </c>
      <c r="AH326" s="4">
        <f t="shared" ref="AH326" si="577">Z326-Z314</f>
        <v>-2099</v>
      </c>
      <c r="AY326" s="4">
        <f t="shared" si="332"/>
        <v>2009</v>
      </c>
      <c r="AZ326" s="4">
        <f t="shared" si="333"/>
        <v>10</v>
      </c>
      <c r="BA326" s="4">
        <f>'[8]Gov 65 &amp; 70'!$S411</f>
        <v>266.89999999999998</v>
      </c>
      <c r="BB326" s="4">
        <f t="shared" si="172"/>
        <v>200.4</v>
      </c>
      <c r="BC326" s="82">
        <f t="shared" ref="BC326" si="578">BB326-BA326</f>
        <v>-66.499999999999972</v>
      </c>
      <c r="BD326" s="36" t="s">
        <v>18</v>
      </c>
      <c r="BE326" s="4">
        <f>'[8]Gov 65 &amp; 70'!$J411</f>
        <v>19.3</v>
      </c>
      <c r="BF326" s="4">
        <f t="shared" si="173"/>
        <v>15</v>
      </c>
      <c r="BG326" s="83">
        <f t="shared" ref="BG326" si="579">BF326-BE326</f>
        <v>-4.3000000000000007</v>
      </c>
      <c r="BH326" s="36" t="s">
        <v>18</v>
      </c>
      <c r="BI326" s="273">
        <f t="shared" ref="BI326" si="580">($F$10*BC326)*D326/1000</f>
        <v>-16704.893099999994</v>
      </c>
      <c r="BJ326" s="270">
        <f t="shared" ref="BJ326" si="581">($F$9*BG326)*D326/1000</f>
        <v>-238.33020900000002</v>
      </c>
      <c r="BK326" s="482">
        <f t="shared" ref="BK326" si="582">ROUND(BJ326+BI326,0)</f>
        <v>-16943</v>
      </c>
      <c r="BL326" s="276"/>
      <c r="BM326" s="36" t="s">
        <v>18</v>
      </c>
      <c r="BN326" s="4">
        <f t="shared" si="174"/>
        <v>2009</v>
      </c>
      <c r="BO326" s="4">
        <f t="shared" si="175"/>
        <v>10</v>
      </c>
      <c r="BP326" s="108">
        <f>(C326+[4]MWh!$AN160)</f>
        <v>298932.65470425761</v>
      </c>
      <c r="BQ326" s="108">
        <f t="shared" ref="BQ326" si="583">BP326/D326*1000</f>
        <v>12971.129684294785</v>
      </c>
      <c r="BR326" s="108">
        <f t="shared" ref="BR326" si="584">BT326/D326*1000</f>
        <v>12235.947874002326</v>
      </c>
      <c r="BS326" s="108">
        <f t="shared" ref="BS326" si="585">BR326-BR314</f>
        <v>-604.97462121715398</v>
      </c>
      <c r="BT326" s="175">
        <f t="shared" ref="BT326" si="586">BK326+BP326</f>
        <v>281989.65470425761</v>
      </c>
      <c r="BU326" s="108">
        <f t="shared" ref="BU326" si="587">BT326-BT314</f>
        <v>-8330.7619901596336</v>
      </c>
      <c r="BV326" s="4">
        <f t="shared" si="362"/>
        <v>-16943</v>
      </c>
      <c r="BW326" s="444">
        <f>BT326/[9]SPAMWh!$L206</f>
        <v>0.96797217734538521</v>
      </c>
    </row>
    <row r="327" spans="1:111">
      <c r="A327" s="4">
        <f t="shared" si="297"/>
        <v>2009</v>
      </c>
      <c r="B327" s="4">
        <f t="shared" si="298"/>
        <v>11</v>
      </c>
      <c r="C327" s="5">
        <f>'[2]FPC wSEB'!$J424</f>
        <v>291644</v>
      </c>
      <c r="D327" s="5">
        <f>'[2]FPC wSEB'!$AB424</f>
        <v>24582</v>
      </c>
      <c r="E327" s="73">
        <f t="shared" ref="E327" si="588">ROUND(C327/D327*1000,0)</f>
        <v>11864</v>
      </c>
      <c r="F327" s="540">
        <f t="shared" si="255"/>
        <v>24582</v>
      </c>
      <c r="H327" s="13" t="s">
        <v>18</v>
      </c>
      <c r="I327" s="76">
        <f>'[7]Gov 65 &amp; 70'!$S412</f>
        <v>194.6</v>
      </c>
      <c r="J327" s="76">
        <f t="shared" si="164"/>
        <v>140.19999999999999</v>
      </c>
      <c r="K327" s="362">
        <f t="shared" ref="K327" si="589">(J327-I327)</f>
        <v>-54.400000000000006</v>
      </c>
      <c r="L327" s="200" t="s">
        <v>18</v>
      </c>
      <c r="M327" s="76">
        <f>'[7]Gov 65 &amp; 70'!$J412</f>
        <v>25.1</v>
      </c>
      <c r="N327" s="76">
        <f t="shared" si="165"/>
        <v>38.6</v>
      </c>
      <c r="O327" s="363">
        <f t="shared" ref="O327" si="590">(N327-M327)</f>
        <v>13.5</v>
      </c>
      <c r="P327" s="13" t="s">
        <v>18</v>
      </c>
      <c r="Q327" s="321">
        <f t="shared" ref="Q327" si="591">(K327*$F$10)*D327/1000</f>
        <v>-14576.14272</v>
      </c>
      <c r="R327" s="78">
        <f t="shared" ref="R327" si="592">(O327*$F$9)*D327/1000</f>
        <v>798.11608499999988</v>
      </c>
      <c r="S327" s="479">
        <f t="shared" ref="S327" si="593">ROUND((R327+Q327),0)</f>
        <v>-13778</v>
      </c>
      <c r="T327" s="13" t="s">
        <v>18</v>
      </c>
      <c r="U327" s="4">
        <f t="shared" si="166"/>
        <v>2009</v>
      </c>
      <c r="V327" s="4">
        <f t="shared" si="167"/>
        <v>11</v>
      </c>
      <c r="W327" s="153">
        <f t="shared" ref="W327" si="594">Z327/D327*1000</f>
        <v>11303.636807420064</v>
      </c>
      <c r="X327" s="153">
        <f t="shared" ref="X327" si="595">W327-W315</f>
        <v>-1500.0819412712553</v>
      </c>
      <c r="Z327" s="98">
        <f t="shared" ref="Z327" si="596">S327+C327</f>
        <v>277866</v>
      </c>
      <c r="AA327" s="119">
        <f t="shared" ref="AA327" si="597">Z327-C327</f>
        <v>-13778</v>
      </c>
      <c r="AB327" s="512">
        <f>[9]SPAMWh!$L207</f>
        <v>273680</v>
      </c>
      <c r="AC327" s="4">
        <f t="shared" si="168"/>
        <v>2009</v>
      </c>
      <c r="AD327" s="4">
        <f t="shared" si="169"/>
        <v>11</v>
      </c>
      <c r="AE327" s="107">
        <f>RESID!AC327</f>
        <v>30</v>
      </c>
      <c r="AF327" s="40">
        <f t="shared" ref="AF327" si="598">AG327/D327*1000</f>
        <v>11461.882678382557</v>
      </c>
      <c r="AG327" s="4">
        <f t="shared" ref="AG327" si="599">ROUND(Z327/(AE327/30.42),0)</f>
        <v>281756</v>
      </c>
      <c r="AH327" s="4">
        <f t="shared" ref="AH327" si="600">Z327-Z315</f>
        <v>-27874</v>
      </c>
      <c r="AY327" s="4">
        <f t="shared" si="332"/>
        <v>2009</v>
      </c>
      <c r="AZ327" s="4">
        <f t="shared" si="333"/>
        <v>11</v>
      </c>
      <c r="BA327" s="4">
        <f>'[8]Gov 65 &amp; 70'!$S412</f>
        <v>68.7</v>
      </c>
      <c r="BB327" s="4">
        <f t="shared" si="172"/>
        <v>66.3</v>
      </c>
      <c r="BC327" s="82">
        <f t="shared" ref="BC327" si="601">BB327-BA327</f>
        <v>-2.4000000000000057</v>
      </c>
      <c r="BD327" s="36" t="s">
        <v>18</v>
      </c>
      <c r="BE327" s="4">
        <f>'[8]Gov 65 &amp; 70'!$J412</f>
        <v>58.7</v>
      </c>
      <c r="BF327" s="4">
        <f t="shared" si="173"/>
        <v>69.900000000000006</v>
      </c>
      <c r="BG327" s="83">
        <f t="shared" ref="BG327" si="602">BF327-BE327</f>
        <v>11.200000000000003</v>
      </c>
      <c r="BH327" s="36" t="s">
        <v>18</v>
      </c>
      <c r="BI327" s="273">
        <f t="shared" ref="BI327" si="603">($F$10*BC327)*D327/1000</f>
        <v>-643.06512000000157</v>
      </c>
      <c r="BJ327" s="270">
        <f t="shared" ref="BJ327" si="604">($F$9*BG327)*D327/1000</f>
        <v>662.14075200000013</v>
      </c>
      <c r="BK327" s="482">
        <f t="shared" ref="BK327" si="605">ROUND(BJ327+BI327,0)</f>
        <v>19</v>
      </c>
      <c r="BL327" s="276"/>
      <c r="BM327" s="36" t="s">
        <v>18</v>
      </c>
      <c r="BN327" s="4">
        <f t="shared" si="174"/>
        <v>2009</v>
      </c>
      <c r="BO327" s="4">
        <f t="shared" si="175"/>
        <v>11</v>
      </c>
      <c r="BP327" s="108">
        <f>(C327+[4]MWh!$AN161)</f>
        <v>247255.87846767274</v>
      </c>
      <c r="BQ327" s="108">
        <f t="shared" ref="BQ327" si="606">BP327/D327*1000</f>
        <v>10058.41178373089</v>
      </c>
      <c r="BR327" s="108">
        <f t="shared" ref="BR327" si="607">BT327/D327*1000</f>
        <v>10059.184707008084</v>
      </c>
      <c r="BS327" s="108">
        <f t="shared" ref="BS327" si="608">BR327-BR315</f>
        <v>-2045.5301198476191</v>
      </c>
      <c r="BT327" s="175">
        <f t="shared" ref="BT327" si="609">BK327+BP327</f>
        <v>247274.87846767274</v>
      </c>
      <c r="BU327" s="108">
        <f t="shared" ref="BU327" si="610">BT327-BT315</f>
        <v>-41773.606882814609</v>
      </c>
      <c r="BV327" s="4">
        <f t="shared" si="362"/>
        <v>19</v>
      </c>
      <c r="BW327" s="444">
        <f>BT327/[9]SPAMWh!$L207</f>
        <v>0.90351826391286438</v>
      </c>
    </row>
    <row r="328" spans="1:111" s="89" customFormat="1">
      <c r="A328" s="89">
        <f t="shared" si="297"/>
        <v>2009</v>
      </c>
      <c r="B328" s="89">
        <f t="shared" si="298"/>
        <v>12</v>
      </c>
      <c r="C328" s="103">
        <f>'[2]FPC wSEB'!$J425</f>
        <v>247135</v>
      </c>
      <c r="D328" s="103">
        <f>'[2]FPC wSEB'!$AB425</f>
        <v>23305</v>
      </c>
      <c r="E328" s="104">
        <f t="shared" ref="E328" si="611">ROUND(C328/D328*1000,0)</f>
        <v>10604</v>
      </c>
      <c r="F328" s="586">
        <f t="shared" si="255"/>
        <v>23305</v>
      </c>
      <c r="H328" s="90" t="s">
        <v>18</v>
      </c>
      <c r="I328" s="92">
        <f>'[7]Gov 65 &amp; 70'!$S413</f>
        <v>64.599999999999994</v>
      </c>
      <c r="J328" s="92">
        <f t="shared" si="164"/>
        <v>50.8</v>
      </c>
      <c r="K328" s="364">
        <f t="shared" ref="K328" si="612">(J328-I328)</f>
        <v>-13.799999999999997</v>
      </c>
      <c r="L328" s="210" t="s">
        <v>18</v>
      </c>
      <c r="M328" s="92">
        <f>'[7]Gov 65 &amp; 70'!$J413</f>
        <v>82.3</v>
      </c>
      <c r="N328" s="92">
        <f t="shared" si="165"/>
        <v>121.8</v>
      </c>
      <c r="O328" s="365">
        <f t="shared" ref="O328" si="613">(N328-M328)</f>
        <v>39.5</v>
      </c>
      <c r="P328" s="90" t="s">
        <v>18</v>
      </c>
      <c r="Q328" s="360">
        <f t="shared" ref="Q328" si="614">(K328*$F$10)*D328/1000</f>
        <v>-3505.5380999999998</v>
      </c>
      <c r="R328" s="95">
        <f t="shared" ref="R328" si="615">(O328*$F$9)*D328/1000</f>
        <v>2213.9167374999997</v>
      </c>
      <c r="S328" s="480">
        <f t="shared" ref="S328" si="616">ROUND((R328+Q328),0)</f>
        <v>-1292</v>
      </c>
      <c r="T328" s="90" t="s">
        <v>18</v>
      </c>
      <c r="U328" s="89">
        <f t="shared" si="166"/>
        <v>2009</v>
      </c>
      <c r="V328" s="89">
        <f t="shared" si="167"/>
        <v>12</v>
      </c>
      <c r="W328" s="154">
        <f t="shared" ref="W328" si="617">Z328/D328*1000</f>
        <v>10548.937996138167</v>
      </c>
      <c r="X328" s="154">
        <f t="shared" ref="X328" si="618">W328-W316</f>
        <v>324.37369521244364</v>
      </c>
      <c r="Z328" s="155">
        <f t="shared" ref="Z328" si="619">S328+C328</f>
        <v>245843</v>
      </c>
      <c r="AA328" s="156">
        <f t="shared" ref="AA328" si="620">Z328-C328</f>
        <v>-1292</v>
      </c>
      <c r="AB328" s="522">
        <f>[9]SPAMWh!$L208</f>
        <v>249662</v>
      </c>
      <c r="AC328" s="89">
        <f t="shared" si="168"/>
        <v>2009</v>
      </c>
      <c r="AD328" s="89">
        <f t="shared" si="169"/>
        <v>12</v>
      </c>
      <c r="AE328" s="110">
        <f>RESID!AC328</f>
        <v>31.4</v>
      </c>
      <c r="AF328" s="116">
        <f t="shared" ref="AF328" si="621">AG328/D328*1000</f>
        <v>10219.695344346708</v>
      </c>
      <c r="AG328" s="89">
        <f t="shared" ref="AG328" si="622">ROUND(Z328/(AE328/30.42),0)</f>
        <v>238170</v>
      </c>
      <c r="AH328" s="89">
        <f t="shared" ref="AH328" si="623">Z328-Z316</f>
        <v>10586</v>
      </c>
      <c r="AY328" s="89">
        <f t="shared" si="332"/>
        <v>2009</v>
      </c>
      <c r="AZ328" s="89">
        <f t="shared" si="333"/>
        <v>12</v>
      </c>
      <c r="BA328" s="89">
        <f>'[8]Gov 65 &amp; 70'!$S413</f>
        <v>33.4</v>
      </c>
      <c r="BB328" s="89">
        <f t="shared" si="172"/>
        <v>28.2</v>
      </c>
      <c r="BC328" s="111">
        <f t="shared" ref="BC328" si="624">BB328-BA328</f>
        <v>-5.1999999999999993</v>
      </c>
      <c r="BD328" s="113" t="s">
        <v>18</v>
      </c>
      <c r="BE328" s="89">
        <f>'[8]Gov 65 &amp; 70'!$J413</f>
        <v>164</v>
      </c>
      <c r="BF328" s="89">
        <f t="shared" si="173"/>
        <v>170</v>
      </c>
      <c r="BG328" s="112">
        <f t="shared" ref="BG328" si="625">BF328-BE328</f>
        <v>6</v>
      </c>
      <c r="BH328" s="113" t="s">
        <v>18</v>
      </c>
      <c r="BI328" s="274">
        <f t="shared" ref="BI328" si="626">($F$10*BC328)*D328/1000</f>
        <v>-1320.9273999999998</v>
      </c>
      <c r="BJ328" s="275">
        <f t="shared" ref="BJ328" si="627">($F$9*BG328)*D328/1000</f>
        <v>336.29114999999996</v>
      </c>
      <c r="BK328" s="483">
        <f t="shared" ref="BK328" si="628">ROUND(BJ328+BI328,0)</f>
        <v>-985</v>
      </c>
      <c r="BL328" s="277"/>
      <c r="BM328" s="113" t="s">
        <v>18</v>
      </c>
      <c r="BN328" s="89">
        <f t="shared" si="174"/>
        <v>2009</v>
      </c>
      <c r="BO328" s="89">
        <f t="shared" si="175"/>
        <v>12</v>
      </c>
      <c r="BP328" s="117">
        <f>(C328+[4]MWh!$AN162)</f>
        <v>261231.38558985587</v>
      </c>
      <c r="BQ328" s="117">
        <f t="shared" ref="BQ328" si="629">BP328/D328*1000</f>
        <v>11209.242033463028</v>
      </c>
      <c r="BR328" s="117">
        <f t="shared" ref="BR328" si="630">BT328/D328*1000</f>
        <v>11166.976425224453</v>
      </c>
      <c r="BS328" s="117">
        <f t="shared" ref="BS328" si="631">BR328-BR316</f>
        <v>1940.0814682918426</v>
      </c>
      <c r="BT328" s="176">
        <f t="shared" ref="BT328" si="632">BK328+BP328</f>
        <v>260246.38558985587</v>
      </c>
      <c r="BU328" s="117">
        <f t="shared" ref="BU328" si="633">BT328-BT316</f>
        <v>47944.759525793401</v>
      </c>
      <c r="BV328" s="89">
        <f t="shared" si="362"/>
        <v>-985</v>
      </c>
      <c r="BW328" s="533">
        <f>BT328/[9]SPAMWh!$L208</f>
        <v>1.042394860210428</v>
      </c>
    </row>
    <row r="329" spans="1:111">
      <c r="A329" s="4">
        <f t="shared" si="297"/>
        <v>2010</v>
      </c>
      <c r="B329" s="4">
        <f t="shared" si="298"/>
        <v>1</v>
      </c>
      <c r="C329" s="5">
        <f>'[2]FPC wSEB'!$J426</f>
        <v>253065</v>
      </c>
      <c r="D329" s="5">
        <f>'[2]FPC wSEB'!$AB426</f>
        <v>23259</v>
      </c>
      <c r="E329" s="73">
        <f t="shared" ref="E329" si="634">ROUND(C329/D329*1000,0)</f>
        <v>10880</v>
      </c>
      <c r="F329" s="540">
        <f t="shared" si="255"/>
        <v>23259</v>
      </c>
      <c r="H329" s="13" t="s">
        <v>18</v>
      </c>
      <c r="I329" s="76">
        <f>'[7]Gov 65 &amp; 70'!$S414</f>
        <v>18</v>
      </c>
      <c r="J329" s="76">
        <f t="shared" si="164"/>
        <v>28.7</v>
      </c>
      <c r="K329" s="362">
        <f t="shared" ref="K329" si="635">(J329-I329)</f>
        <v>10.7</v>
      </c>
      <c r="L329" s="200" t="s">
        <v>18</v>
      </c>
      <c r="M329" s="76">
        <f>'[7]Gov 65 &amp; 70'!$J414</f>
        <v>323.3</v>
      </c>
      <c r="N329" s="76">
        <f t="shared" si="165"/>
        <v>192.9</v>
      </c>
      <c r="O329" s="363">
        <f t="shared" ref="O329" si="636">(N329-M329)</f>
        <v>-130.4</v>
      </c>
      <c r="P329" s="13" t="s">
        <v>18</v>
      </c>
      <c r="Q329" s="321">
        <f t="shared" ref="Q329:Q334" si="637">(K329*$G$10)*D329/1000</f>
        <v>2216.6966690999998</v>
      </c>
      <c r="R329" s="78">
        <f t="shared" ref="R329:R334" si="638">(O329*$G$9)*D329/1000</f>
        <v>-3685.0629240000003</v>
      </c>
      <c r="S329" s="479">
        <f t="shared" ref="S329" si="639">ROUND((R329+Q329),0)</f>
        <v>-1468</v>
      </c>
      <c r="T329" s="13" t="s">
        <v>18</v>
      </c>
      <c r="U329" s="4">
        <f t="shared" si="166"/>
        <v>2010</v>
      </c>
      <c r="V329" s="4">
        <f t="shared" si="167"/>
        <v>1</v>
      </c>
      <c r="W329" s="153">
        <f t="shared" ref="W329" si="640">Z329/D329*1000</f>
        <v>10817.189045100822</v>
      </c>
      <c r="X329" s="153">
        <f t="shared" ref="X329" si="641">W329-W317</f>
        <v>176.53249029482322</v>
      </c>
      <c r="Z329" s="98">
        <f t="shared" ref="Z329" si="642">S329+C329</f>
        <v>251597</v>
      </c>
      <c r="AA329" s="119">
        <f t="shared" ref="AA329" si="643">Z329-C329</f>
        <v>-1468</v>
      </c>
      <c r="AB329" s="512">
        <f>[9]SPAMWh!$L209</f>
        <v>252820</v>
      </c>
      <c r="AC329" s="4">
        <f t="shared" si="168"/>
        <v>2010</v>
      </c>
      <c r="AD329" s="4">
        <f t="shared" si="169"/>
        <v>1</v>
      </c>
      <c r="AE329" s="107">
        <f>RESID!AC329</f>
        <v>32.200000000000003</v>
      </c>
      <c r="AF329" s="40">
        <f t="shared" ref="AF329" si="644">AG329/D329*1000</f>
        <v>10219.226965905671</v>
      </c>
      <c r="AG329" s="4">
        <f t="shared" ref="AG329" si="645">ROUND(Z329/(AE329/30.42),0)</f>
        <v>237689</v>
      </c>
      <c r="AH329" s="4">
        <f t="shared" ref="AH329" si="646">Z329-Z317</f>
        <v>3957</v>
      </c>
      <c r="AY329" s="4">
        <f t="shared" si="332"/>
        <v>2010</v>
      </c>
      <c r="AZ329" s="4">
        <f t="shared" si="333"/>
        <v>1</v>
      </c>
      <c r="BA329" s="4">
        <f>'[8]Gov 65 &amp; 70'!$S414</f>
        <v>8</v>
      </c>
      <c r="BB329" s="4">
        <f t="shared" si="172"/>
        <v>23.9</v>
      </c>
      <c r="BC329" s="82">
        <f t="shared" ref="BC329" si="647">BB329-BA329</f>
        <v>15.899999999999999</v>
      </c>
      <c r="BD329" s="36" t="s">
        <v>18</v>
      </c>
      <c r="BE329" s="4">
        <f>'[8]Gov 65 &amp; 70'!$J414</f>
        <v>376.6</v>
      </c>
      <c r="BF329" s="4">
        <f t="shared" si="173"/>
        <v>176.9</v>
      </c>
      <c r="BG329" s="83">
        <f t="shared" ref="BG329" si="648">BF329-BE329</f>
        <v>-199.70000000000002</v>
      </c>
      <c r="BH329" s="36" t="s">
        <v>18</v>
      </c>
      <c r="BI329" s="273">
        <f t="shared" ref="BI329:BI334" si="649">($G$10*BC329)*D329/1000</f>
        <v>3293.9698166999997</v>
      </c>
      <c r="BJ329" s="270">
        <f t="shared" ref="BJ329:BJ334" si="650">($G$9*BG329)*D329/1000</f>
        <v>-5643.4590945000009</v>
      </c>
      <c r="BK329" s="482">
        <f t="shared" ref="BK329" si="651">ROUND(BJ329+BI329,0)</f>
        <v>-2349</v>
      </c>
      <c r="BM329" s="36" t="s">
        <v>18</v>
      </c>
      <c r="BN329" s="4">
        <f t="shared" si="174"/>
        <v>2010</v>
      </c>
      <c r="BO329" s="4">
        <f t="shared" si="175"/>
        <v>1</v>
      </c>
      <c r="BP329" s="108">
        <f>(C329+[4]MWh!$AN163)</f>
        <v>240643.32806310517</v>
      </c>
      <c r="BQ329" s="108">
        <f t="shared" ref="BQ329" si="652">BP329/D329*1000</f>
        <v>10346.245671056588</v>
      </c>
      <c r="BR329" s="108">
        <f t="shared" ref="BR329" si="653">BT329/D329*1000</f>
        <v>10245.252507120047</v>
      </c>
      <c r="BS329" s="108">
        <f t="shared" ref="BS329" si="654">BR329-BR317</f>
        <v>-1027.5578157622112</v>
      </c>
      <c r="BT329" s="175">
        <f t="shared" ref="BT329" si="655">BK329+BP329</f>
        <v>238294.32806310517</v>
      </c>
      <c r="BU329" s="108">
        <f t="shared" ref="BU329" si="656">BT329-BT317</f>
        <v>-24057.78658133361</v>
      </c>
      <c r="BV329" s="4">
        <f t="shared" si="362"/>
        <v>-2349</v>
      </c>
      <c r="BW329" s="444">
        <f>BT329/[9]SPAMWh!$L209</f>
        <v>0.94254540013885446</v>
      </c>
      <c r="DA329" s="4">
        <f t="shared" ref="DA329:DA364" si="657">ROUND((145.502*K329)+(38.337*O329),0)</f>
        <v>-3442</v>
      </c>
      <c r="DB329" s="108">
        <f>[9]SPAMWh!$E209</f>
        <v>254288</v>
      </c>
      <c r="DG329" s="108">
        <f>DB329+DA329</f>
        <v>250846</v>
      </c>
    </row>
    <row r="330" spans="1:111">
      <c r="A330" s="4">
        <f t="shared" si="297"/>
        <v>2010</v>
      </c>
      <c r="B330" s="4">
        <f t="shared" si="298"/>
        <v>2</v>
      </c>
      <c r="C330" s="5">
        <f>'[2]FPC wSEB'!$J427</f>
        <v>236784</v>
      </c>
      <c r="D330" s="5">
        <f>'[2]FPC wSEB'!$AB427</f>
        <v>23104</v>
      </c>
      <c r="E330" s="73">
        <f t="shared" ref="E330" si="658">ROUND(C330/D330*1000,0)</f>
        <v>10249</v>
      </c>
      <c r="F330" s="540">
        <f t="shared" si="255"/>
        <v>23104</v>
      </c>
      <c r="H330" s="13" t="s">
        <v>18</v>
      </c>
      <c r="I330" s="76">
        <f>'[7]Gov 65 &amp; 70'!$S415</f>
        <v>7.9</v>
      </c>
      <c r="J330" s="76">
        <f t="shared" si="164"/>
        <v>22.6</v>
      </c>
      <c r="K330" s="362">
        <f t="shared" ref="K330" si="659">(J330-I330)</f>
        <v>14.700000000000001</v>
      </c>
      <c r="L330" s="200" t="s">
        <v>18</v>
      </c>
      <c r="M330" s="76">
        <f>'[7]Gov 65 &amp; 70'!$J415</f>
        <v>283.3</v>
      </c>
      <c r="N330" s="76">
        <f t="shared" si="165"/>
        <v>177.2</v>
      </c>
      <c r="O330" s="363">
        <f t="shared" ref="O330" si="660">(N330-M330)</f>
        <v>-106.10000000000002</v>
      </c>
      <c r="P330" s="13" t="s">
        <v>18</v>
      </c>
      <c r="Q330" s="321">
        <f t="shared" si="637"/>
        <v>3025.0737216000002</v>
      </c>
      <c r="R330" s="78">
        <f t="shared" si="638"/>
        <v>-2978.3712960000012</v>
      </c>
      <c r="S330" s="479">
        <f t="shared" ref="S330" si="661">ROUND((R330+Q330),0)</f>
        <v>47</v>
      </c>
      <c r="T330" s="13" t="s">
        <v>18</v>
      </c>
      <c r="U330" s="4">
        <f t="shared" si="166"/>
        <v>2010</v>
      </c>
      <c r="V330" s="4">
        <f t="shared" si="167"/>
        <v>2</v>
      </c>
      <c r="W330" s="153">
        <f t="shared" ref="W330" si="662">Z330/D330*1000</f>
        <v>10250.649238227148</v>
      </c>
      <c r="X330" s="153">
        <f t="shared" ref="X330" si="663">W330-W318</f>
        <v>-173.50551802312111</v>
      </c>
      <c r="Z330" s="98">
        <f t="shared" ref="Z330" si="664">S330+C330</f>
        <v>236831</v>
      </c>
      <c r="AA330" s="119">
        <f t="shared" ref="AA330" si="665">Z330-C330</f>
        <v>47</v>
      </c>
      <c r="AB330" s="512">
        <f>[9]SPAMWh!$L210</f>
        <v>239122</v>
      </c>
      <c r="AC330" s="4">
        <f t="shared" si="168"/>
        <v>2010</v>
      </c>
      <c r="AD330" s="4">
        <f t="shared" si="169"/>
        <v>2</v>
      </c>
      <c r="AE330" s="107">
        <f>RESID!AC330</f>
        <v>29.6</v>
      </c>
      <c r="AF330" s="40">
        <f t="shared" ref="AF330" si="666">AG330/D330*1000</f>
        <v>10534.626038781162</v>
      </c>
      <c r="AG330" s="4">
        <f t="shared" ref="AG330" si="667">ROUND(Z330/(AE330/30.42),0)</f>
        <v>243392</v>
      </c>
      <c r="AH330" s="4">
        <f t="shared" ref="AH330" si="668">Z330-Z318</f>
        <v>-4582</v>
      </c>
      <c r="AY330" s="4">
        <f t="shared" si="332"/>
        <v>2010</v>
      </c>
      <c r="AZ330" s="4">
        <f t="shared" si="333"/>
        <v>2</v>
      </c>
      <c r="BA330" s="4">
        <f>'[8]Gov 65 &amp; 70'!$S415</f>
        <v>2.5</v>
      </c>
      <c r="BB330" s="4">
        <f t="shared" si="172"/>
        <v>32.799999999999997</v>
      </c>
      <c r="BC330" s="82">
        <f t="shared" ref="BC330" si="669">BB330-BA330</f>
        <v>30.299999999999997</v>
      </c>
      <c r="BD330" s="36" t="s">
        <v>18</v>
      </c>
      <c r="BE330" s="4">
        <f>'[8]Gov 65 &amp; 70'!$J415</f>
        <v>318.89999999999998</v>
      </c>
      <c r="BF330" s="4">
        <f t="shared" si="173"/>
        <v>139.1</v>
      </c>
      <c r="BG330" s="83">
        <f t="shared" ref="BG330" si="670">BF330-BE330</f>
        <v>-179.79999999999998</v>
      </c>
      <c r="BH330" s="36" t="s">
        <v>18</v>
      </c>
      <c r="BI330" s="273">
        <f t="shared" si="649"/>
        <v>6235.3560384000002</v>
      </c>
      <c r="BJ330" s="270">
        <f t="shared" si="650"/>
        <v>-5047.230528</v>
      </c>
      <c r="BK330" s="482">
        <f t="shared" ref="BK330" si="671">ROUND(BJ330+BI330,0)</f>
        <v>1188</v>
      </c>
      <c r="BM330" s="36" t="s">
        <v>18</v>
      </c>
      <c r="BN330" s="4">
        <f t="shared" si="174"/>
        <v>2010</v>
      </c>
      <c r="BO330" s="4">
        <f t="shared" si="175"/>
        <v>2</v>
      </c>
      <c r="BP330" s="108">
        <f>(C330+[4]MWh!$AN164)</f>
        <v>243791.85604889065</v>
      </c>
      <c r="BQ330" s="108">
        <f t="shared" ref="BQ330" si="672">BP330/D330*1000</f>
        <v>10551.932827600876</v>
      </c>
      <c r="BR330" s="108">
        <f t="shared" ref="BR330" si="673">BT330/D330*1000</f>
        <v>10603.352495190904</v>
      </c>
      <c r="BS330" s="108">
        <f t="shared" ref="BS330" si="674">BR330-BR318</f>
        <v>1428.2690629322569</v>
      </c>
      <c r="BT330" s="175">
        <f t="shared" ref="BT330" si="675">BK330+BP330</f>
        <v>244979.85604889065</v>
      </c>
      <c r="BU330" s="108">
        <f t="shared" ref="BU330" si="676">BT330-BT318</f>
        <v>32494.098841212632</v>
      </c>
      <c r="BV330" s="4">
        <f t="shared" si="362"/>
        <v>1188</v>
      </c>
      <c r="BW330" s="444">
        <f>BT330/[9]SPAMWh!$L210</f>
        <v>1.0244973530201766</v>
      </c>
      <c r="DA330" s="4">
        <f t="shared" si="657"/>
        <v>-1929</v>
      </c>
      <c r="DB330" s="108">
        <f>[9]SPAMWh!$E210</f>
        <v>239075</v>
      </c>
      <c r="DG330" s="108">
        <f t="shared" ref="DG330:DG364" si="677">DB330+DA330</f>
        <v>237146</v>
      </c>
    </row>
    <row r="331" spans="1:111">
      <c r="A331" s="4">
        <f t="shared" si="297"/>
        <v>2010</v>
      </c>
      <c r="B331" s="4">
        <f t="shared" si="298"/>
        <v>3</v>
      </c>
      <c r="C331" s="5">
        <f>'[2]FPC wSEB'!$J428</f>
        <v>237457</v>
      </c>
      <c r="D331" s="5">
        <f>'[2]FPC wSEB'!$AB428</f>
        <v>23779</v>
      </c>
      <c r="E331" s="73">
        <f t="shared" ref="E331" si="678">ROUND(C331/D331*1000,0)</f>
        <v>9986</v>
      </c>
      <c r="F331" s="540">
        <f t="shared" si="255"/>
        <v>23779</v>
      </c>
      <c r="H331" s="13" t="s">
        <v>18</v>
      </c>
      <c r="I331" s="76">
        <f>'[7]Gov 65 &amp; 70'!$S416</f>
        <v>2.8</v>
      </c>
      <c r="J331" s="76">
        <f t="shared" si="164"/>
        <v>44.5</v>
      </c>
      <c r="K331" s="362">
        <f t="shared" ref="K331" si="679">(J331-I331)</f>
        <v>41.7</v>
      </c>
      <c r="L331" s="200" t="s">
        <v>18</v>
      </c>
      <c r="M331" s="76">
        <f>'[7]Gov 65 &amp; 70'!$J416</f>
        <v>302.2</v>
      </c>
      <c r="N331" s="76">
        <f t="shared" si="165"/>
        <v>119.5</v>
      </c>
      <c r="O331" s="363">
        <f t="shared" ref="O331" si="680">(N331-M331)</f>
        <v>-182.7</v>
      </c>
      <c r="P331" s="13" t="s">
        <v>18</v>
      </c>
      <c r="Q331" s="321">
        <f t="shared" si="637"/>
        <v>8832.0413601000018</v>
      </c>
      <c r="R331" s="78">
        <f t="shared" si="638"/>
        <v>-5278.4743095000003</v>
      </c>
      <c r="S331" s="479">
        <f t="shared" ref="S331" si="681">ROUND((R331+Q331),0)</f>
        <v>3554</v>
      </c>
      <c r="T331" s="13" t="s">
        <v>18</v>
      </c>
      <c r="U331" s="4">
        <f t="shared" si="166"/>
        <v>2010</v>
      </c>
      <c r="V331" s="4">
        <f t="shared" si="167"/>
        <v>3</v>
      </c>
      <c r="W331" s="153">
        <f t="shared" ref="W331" si="682">Z331/D331*1000</f>
        <v>10135.455654148618</v>
      </c>
      <c r="X331" s="153">
        <f t="shared" ref="X331" si="683">W331-W319</f>
        <v>-133.40473363909223</v>
      </c>
      <c r="Z331" s="98">
        <f t="shared" ref="Z331" si="684">S331+C331</f>
        <v>241011</v>
      </c>
      <c r="AA331" s="119">
        <f t="shared" ref="AA331" si="685">Z331-C331</f>
        <v>3554</v>
      </c>
      <c r="AB331" s="512">
        <f>[9]SPAMWh!$L211</f>
        <v>238499</v>
      </c>
      <c r="AC331" s="4">
        <f t="shared" si="168"/>
        <v>2010</v>
      </c>
      <c r="AD331" s="4">
        <f t="shared" si="169"/>
        <v>3</v>
      </c>
      <c r="AE331" s="107">
        <f>RESID!AC331</f>
        <v>29.4</v>
      </c>
      <c r="AF331" s="40">
        <f t="shared" ref="AF331" si="686">AG331/D331*1000</f>
        <v>10487.110475629757</v>
      </c>
      <c r="AG331" s="4">
        <f t="shared" ref="AG331" si="687">ROUND(Z331/(AE331/30.42),0)</f>
        <v>249373</v>
      </c>
      <c r="AH331" s="4">
        <f t="shared" ref="AH331" si="688">Z331-Z319</f>
        <v>3215</v>
      </c>
      <c r="AY331" s="4">
        <f t="shared" si="332"/>
        <v>2010</v>
      </c>
      <c r="AZ331" s="4">
        <f t="shared" si="333"/>
        <v>3</v>
      </c>
      <c r="BA331" s="4">
        <f>'[8]Gov 65 &amp; 70'!$S416</f>
        <v>8.6999999999999993</v>
      </c>
      <c r="BB331" s="4">
        <f t="shared" si="172"/>
        <v>64.099999999999994</v>
      </c>
      <c r="BC331" s="82">
        <f t="shared" ref="BC331" si="689">BB331-BA331</f>
        <v>55.399999999999991</v>
      </c>
      <c r="BD331" s="36" t="s">
        <v>18</v>
      </c>
      <c r="BE331" s="4">
        <f>'[8]Gov 65 &amp; 70'!$J416</f>
        <v>173.9</v>
      </c>
      <c r="BF331" s="4">
        <f t="shared" si="173"/>
        <v>85.4</v>
      </c>
      <c r="BG331" s="83">
        <f t="shared" ref="BG331" si="690">BF331-BE331</f>
        <v>-88.5</v>
      </c>
      <c r="BH331" s="36" t="s">
        <v>18</v>
      </c>
      <c r="BI331" s="273">
        <f t="shared" si="649"/>
        <v>11733.695236199997</v>
      </c>
      <c r="BJ331" s="270">
        <f t="shared" si="650"/>
        <v>-2556.8964225</v>
      </c>
      <c r="BK331" s="482">
        <f t="shared" ref="BK331" si="691">ROUND(BJ331+BI331,0)</f>
        <v>9177</v>
      </c>
      <c r="BM331" s="36" t="s">
        <v>18</v>
      </c>
      <c r="BN331" s="4">
        <f t="shared" si="174"/>
        <v>2010</v>
      </c>
      <c r="BO331" s="4">
        <f t="shared" si="175"/>
        <v>3</v>
      </c>
      <c r="BP331" s="108">
        <f>(C331+[4]MWh!$AN165)</f>
        <v>214399.26613713417</v>
      </c>
      <c r="BQ331" s="108">
        <f t="shared" ref="BQ331" si="692">BP331/D331*1000</f>
        <v>9016.328110397164</v>
      </c>
      <c r="BR331" s="108">
        <f t="shared" ref="BR331" si="693">BT331/D331*1000</f>
        <v>9402.2568710683445</v>
      </c>
      <c r="BS331" s="108">
        <f t="shared" ref="BS331" si="694">BR331-BR319</f>
        <v>-1570.5777207337978</v>
      </c>
      <c r="BT331" s="175">
        <f t="shared" ref="BT331" si="695">BK331+BP331</f>
        <v>223576.26613713417</v>
      </c>
      <c r="BU331" s="108">
        <f t="shared" ref="BU331" si="696">BT331-BT319</f>
        <v>-30521.664505228022</v>
      </c>
      <c r="BV331" s="4">
        <f t="shared" si="362"/>
        <v>9177</v>
      </c>
      <c r="BW331" s="444">
        <f>BT331/[9]SPAMWh!$L211</f>
        <v>0.9374306229256063</v>
      </c>
      <c r="DA331" s="4">
        <f t="shared" si="657"/>
        <v>-937</v>
      </c>
      <c r="DB331" s="108">
        <f>[9]SPAMWh!$E211</f>
        <v>234945</v>
      </c>
      <c r="DG331" s="108">
        <f t="shared" si="677"/>
        <v>234008</v>
      </c>
    </row>
    <row r="332" spans="1:111">
      <c r="A332" s="4">
        <f t="shared" si="297"/>
        <v>2010</v>
      </c>
      <c r="B332" s="4">
        <f t="shared" si="298"/>
        <v>4</v>
      </c>
      <c r="C332" s="5">
        <f>'[2]FPC wSEB'!$J429</f>
        <v>246118</v>
      </c>
      <c r="D332" s="5">
        <f>'[2]FPC wSEB'!$AB429</f>
        <v>23607</v>
      </c>
      <c r="E332" s="73">
        <f t="shared" ref="E332" si="697">ROUND(C332/D332*1000,0)</f>
        <v>10426</v>
      </c>
      <c r="F332" s="540">
        <f t="shared" si="255"/>
        <v>23607</v>
      </c>
      <c r="H332" s="13" t="s">
        <v>18</v>
      </c>
      <c r="I332" s="76">
        <f>'[7]Gov 65 &amp; 70'!$S417</f>
        <v>39.299999999999997</v>
      </c>
      <c r="J332" s="76">
        <f t="shared" si="164"/>
        <v>87.7</v>
      </c>
      <c r="K332" s="362">
        <f t="shared" ref="K332" si="698">(J332-I332)</f>
        <v>48.400000000000006</v>
      </c>
      <c r="L332" s="200" t="s">
        <v>18</v>
      </c>
      <c r="M332" s="76">
        <f>'[7]Gov 65 &amp; 70'!$J417</f>
        <v>98.2</v>
      </c>
      <c r="N332" s="76">
        <f t="shared" si="165"/>
        <v>60.3</v>
      </c>
      <c r="O332" s="363">
        <f t="shared" ref="O332" si="699">(N332-M332)</f>
        <v>-37.900000000000006</v>
      </c>
      <c r="P332" s="13" t="s">
        <v>18</v>
      </c>
      <c r="Q332" s="321">
        <f t="shared" si="637"/>
        <v>10176.9493716</v>
      </c>
      <c r="R332" s="78">
        <f t="shared" si="638"/>
        <v>-1087.0669395000002</v>
      </c>
      <c r="S332" s="479">
        <f t="shared" ref="S332" si="700">ROUND((R332+Q332),0)</f>
        <v>9090</v>
      </c>
      <c r="T332" s="13" t="s">
        <v>18</v>
      </c>
      <c r="U332" s="4">
        <f t="shared" si="166"/>
        <v>2010</v>
      </c>
      <c r="V332" s="4">
        <f t="shared" si="167"/>
        <v>4</v>
      </c>
      <c r="W332" s="153">
        <f t="shared" ref="W332" si="701">Z332/D332*1000</f>
        <v>10810.691743974245</v>
      </c>
      <c r="X332" s="153">
        <f t="shared" ref="X332" si="702">W332-W320</f>
        <v>88.927012993317476</v>
      </c>
      <c r="Z332" s="98">
        <f t="shared" ref="Z332" si="703">S332+C332</f>
        <v>255208</v>
      </c>
      <c r="AA332" s="119">
        <f t="shared" ref="AA332" si="704">Z332-C332</f>
        <v>9090</v>
      </c>
      <c r="AB332" s="512">
        <f>[9]SPAMWh!$L212</f>
        <v>253398</v>
      </c>
      <c r="AC332" s="4">
        <f t="shared" si="168"/>
        <v>2010</v>
      </c>
      <c r="AD332" s="4">
        <f t="shared" si="169"/>
        <v>4</v>
      </c>
      <c r="AE332" s="107">
        <f>RESID!AC332</f>
        <v>30.45</v>
      </c>
      <c r="AF332" s="40">
        <f t="shared" ref="AF332" si="705">AG332/D332*1000</f>
        <v>10800.059304443597</v>
      </c>
      <c r="AG332" s="4">
        <f t="shared" ref="AG332" si="706">ROUND(Z332/(AE332/30.42),0)</f>
        <v>254957</v>
      </c>
      <c r="AH332" s="4">
        <f t="shared" ref="AH332" si="707">Z332-Z320</f>
        <v>3922</v>
      </c>
      <c r="AY332" s="4">
        <f t="shared" si="332"/>
        <v>2010</v>
      </c>
      <c r="AZ332" s="4">
        <f t="shared" si="333"/>
        <v>4</v>
      </c>
      <c r="BA332" s="4">
        <f>'[8]Gov 65 &amp; 70'!$S417</f>
        <v>101</v>
      </c>
      <c r="BB332" s="4">
        <f t="shared" si="172"/>
        <v>122</v>
      </c>
      <c r="BC332" s="82">
        <f t="shared" ref="BC332" si="708">BB332-BA332</f>
        <v>21</v>
      </c>
      <c r="BD332" s="36" t="s">
        <v>18</v>
      </c>
      <c r="BE332" s="4">
        <f>'[8]Gov 65 &amp; 70'!$J417</f>
        <v>18.7</v>
      </c>
      <c r="BF332" s="4">
        <f t="shared" si="173"/>
        <v>34.700000000000003</v>
      </c>
      <c r="BG332" s="83">
        <f t="shared" ref="BG332" si="709">BF332-BE332</f>
        <v>16.000000000000004</v>
      </c>
      <c r="BH332" s="36" t="s">
        <v>18</v>
      </c>
      <c r="BI332" s="273">
        <f t="shared" si="649"/>
        <v>4415.6185290000003</v>
      </c>
      <c r="BJ332" s="270">
        <f t="shared" si="650"/>
        <v>458.92008000000015</v>
      </c>
      <c r="BK332" s="482">
        <f t="shared" ref="BK332" si="710">ROUND(BJ332+BI332,0)</f>
        <v>4875</v>
      </c>
      <c r="BM332" s="36" t="s">
        <v>18</v>
      </c>
      <c r="BN332" s="4">
        <f t="shared" si="174"/>
        <v>2010</v>
      </c>
      <c r="BO332" s="4">
        <f t="shared" si="175"/>
        <v>4</v>
      </c>
      <c r="BP332" s="108">
        <f>(C332+[4]MWh!$AN166)</f>
        <v>273586.29820132029</v>
      </c>
      <c r="BQ332" s="108">
        <f t="shared" ref="BQ332" si="711">BP332/D332*1000</f>
        <v>11589.202279040974</v>
      </c>
      <c r="BR332" s="108">
        <f t="shared" ref="BR332" si="712">BT332/D332*1000</f>
        <v>11795.708823709929</v>
      </c>
      <c r="BS332" s="108">
        <f t="shared" ref="BS332" si="713">BR332-BR320</f>
        <v>513.03696122850488</v>
      </c>
      <c r="BT332" s="175">
        <f t="shared" ref="BT332" si="714">BK332+BP332</f>
        <v>278461.29820132029</v>
      </c>
      <c r="BU332" s="108">
        <f t="shared" ref="BU332" si="715">BT332-BT320</f>
        <v>14029.31776034314</v>
      </c>
      <c r="BV332" s="4">
        <f t="shared" si="362"/>
        <v>4875</v>
      </c>
      <c r="BW332" s="444">
        <f>BT332/[9]SPAMWh!$L212</f>
        <v>1.0989088240685416</v>
      </c>
      <c r="DA332" s="4">
        <f t="shared" si="657"/>
        <v>5589</v>
      </c>
      <c r="DB332" s="108">
        <f>[9]SPAMWh!$E212</f>
        <v>244308</v>
      </c>
      <c r="DG332" s="108">
        <f t="shared" si="677"/>
        <v>249897</v>
      </c>
    </row>
    <row r="333" spans="1:111">
      <c r="A333" s="4">
        <f t="shared" si="297"/>
        <v>2010</v>
      </c>
      <c r="B333" s="4">
        <f t="shared" si="298"/>
        <v>5</v>
      </c>
      <c r="C333" s="5">
        <f>'[2]FPC wSEB'!$J430</f>
        <v>266042</v>
      </c>
      <c r="D333" s="5">
        <f>'[2]FPC wSEB'!$AB430</f>
        <v>23370</v>
      </c>
      <c r="E333" s="73">
        <f t="shared" ref="E333" si="716">ROUND(C333/D333*1000,0)</f>
        <v>11384</v>
      </c>
      <c r="F333" s="540">
        <f t="shared" si="255"/>
        <v>23370</v>
      </c>
      <c r="H333" s="13" t="s">
        <v>18</v>
      </c>
      <c r="I333" s="76">
        <f>'[7]Gov 65 &amp; 70'!$S418</f>
        <v>170.4</v>
      </c>
      <c r="J333" s="76">
        <f t="shared" si="164"/>
        <v>157.69999999999999</v>
      </c>
      <c r="K333" s="362">
        <f t="shared" ref="K333" si="717">(J333-I333)</f>
        <v>-12.700000000000017</v>
      </c>
      <c r="L333" s="200" t="s">
        <v>18</v>
      </c>
      <c r="M333" s="76">
        <f>'[7]Gov 65 &amp; 70'!$J418</f>
        <v>11.7</v>
      </c>
      <c r="N333" s="76">
        <f t="shared" si="165"/>
        <v>18.600000000000001</v>
      </c>
      <c r="O333" s="363">
        <f t="shared" ref="O333" si="718">(N333-M333)</f>
        <v>6.9000000000000021</v>
      </c>
      <c r="P333" s="13" t="s">
        <v>18</v>
      </c>
      <c r="Q333" s="321">
        <f t="shared" si="637"/>
        <v>-2643.5886930000038</v>
      </c>
      <c r="R333" s="78">
        <f t="shared" si="638"/>
        <v>195.92239500000008</v>
      </c>
      <c r="S333" s="479">
        <f t="shared" ref="S333" si="719">ROUND((R333+Q333),0)</f>
        <v>-2448</v>
      </c>
      <c r="T333" s="13" t="s">
        <v>18</v>
      </c>
      <c r="U333" s="4">
        <f t="shared" si="166"/>
        <v>2010</v>
      </c>
      <c r="V333" s="4">
        <f t="shared" si="167"/>
        <v>5</v>
      </c>
      <c r="W333" s="153">
        <f t="shared" ref="W333" si="720">Z333/D333*1000</f>
        <v>11279.161317928969</v>
      </c>
      <c r="X333" s="153">
        <f t="shared" ref="X333" si="721">W333-W321</f>
        <v>226.86385722763771</v>
      </c>
      <c r="Z333" s="98">
        <f t="shared" ref="Z333" si="722">S333+C333</f>
        <v>263594</v>
      </c>
      <c r="AA333" s="119">
        <f t="shared" ref="AA333" si="723">Z333-C333</f>
        <v>-2448</v>
      </c>
      <c r="AB333" s="512">
        <f>[9]SPAMWh!$L213</f>
        <v>262671</v>
      </c>
      <c r="AC333" s="4">
        <f t="shared" si="168"/>
        <v>2010</v>
      </c>
      <c r="AD333" s="4">
        <f t="shared" si="169"/>
        <v>5</v>
      </c>
      <c r="AE333" s="107">
        <f>RESID!AC333</f>
        <v>29.75</v>
      </c>
      <c r="AF333" s="40">
        <f t="shared" ref="AF333" si="724">AG333/D333*1000</f>
        <v>11533.162173727</v>
      </c>
      <c r="AG333" s="4">
        <f t="shared" ref="AG333" si="725">ROUND(Z333/(AE333/30.42),0)</f>
        <v>269530</v>
      </c>
      <c r="AH333" s="4">
        <f t="shared" ref="AH333" si="726">Z333-Z321</f>
        <v>7667</v>
      </c>
      <c r="AY333" s="4">
        <f t="shared" si="332"/>
        <v>2010</v>
      </c>
      <c r="AZ333" s="4">
        <f t="shared" si="333"/>
        <v>5</v>
      </c>
      <c r="BA333" s="4">
        <f>'[8]Gov 65 &amp; 70'!$S418</f>
        <v>309.7</v>
      </c>
      <c r="BB333" s="4">
        <f t="shared" si="172"/>
        <v>253</v>
      </c>
      <c r="BC333" s="82">
        <f t="shared" ref="BC333" si="727">BB333-BA333</f>
        <v>-56.699999999999989</v>
      </c>
      <c r="BD333" s="36" t="s">
        <v>18</v>
      </c>
      <c r="BE333" s="4">
        <f>'[8]Gov 65 &amp; 70'!$J418</f>
        <v>0.3</v>
      </c>
      <c r="BF333" s="4">
        <f t="shared" si="173"/>
        <v>4.3</v>
      </c>
      <c r="BG333" s="83">
        <f t="shared" ref="BG333" si="728">BF333-BE333</f>
        <v>4</v>
      </c>
      <c r="BH333" s="36" t="s">
        <v>18</v>
      </c>
      <c r="BI333" s="273">
        <f t="shared" si="649"/>
        <v>-11802.478652999996</v>
      </c>
      <c r="BJ333" s="270">
        <f t="shared" si="650"/>
        <v>113.57820000000001</v>
      </c>
      <c r="BK333" s="482">
        <f t="shared" ref="BK333" si="729">ROUND(BJ333+BI333,0)</f>
        <v>-11689</v>
      </c>
      <c r="BM333" s="36" t="s">
        <v>18</v>
      </c>
      <c r="BN333" s="4">
        <f t="shared" si="174"/>
        <v>2010</v>
      </c>
      <c r="BO333" s="4">
        <f t="shared" si="175"/>
        <v>5</v>
      </c>
      <c r="BP333" s="108">
        <f>(C333+[4]MWh!$AN167)</f>
        <v>307773.10936558945</v>
      </c>
      <c r="BQ333" s="108">
        <f t="shared" ref="BQ333" si="730">BP333/D333*1000</f>
        <v>13169.581059717135</v>
      </c>
      <c r="BR333" s="108">
        <f t="shared" ref="BR333" si="731">BT333/D333*1000</f>
        <v>12669.409900110802</v>
      </c>
      <c r="BS333" s="108">
        <f t="shared" ref="BS333" si="732">BR333-BR321</f>
        <v>395.56630208181377</v>
      </c>
      <c r="BT333" s="175">
        <f t="shared" ref="BT333" si="733">BK333+BP333</f>
        <v>296084.10936558945</v>
      </c>
      <c r="BU333" s="108">
        <f t="shared" ref="BU333" si="734">BT333-BT321</f>
        <v>11870.987009630189</v>
      </c>
      <c r="BV333" s="4">
        <f t="shared" ref="BV333:BV366" si="735">BT333-BP333</f>
        <v>-11689</v>
      </c>
      <c r="BW333" s="444">
        <f>BT333/[9]SPAMWh!$L213</f>
        <v>1.1272051705958763</v>
      </c>
      <c r="DA333" s="4">
        <f t="shared" si="657"/>
        <v>-1583</v>
      </c>
      <c r="DB333" s="108">
        <f>[9]SPAMWh!$E213</f>
        <v>265119</v>
      </c>
      <c r="DG333" s="108">
        <f t="shared" si="677"/>
        <v>263536</v>
      </c>
    </row>
    <row r="334" spans="1:111">
      <c r="A334" s="4">
        <f t="shared" si="297"/>
        <v>2010</v>
      </c>
      <c r="B334" s="4">
        <f t="shared" si="298"/>
        <v>6</v>
      </c>
      <c r="C334" s="5">
        <f>'[2]FPC wSEB'!$J431</f>
        <v>305479</v>
      </c>
      <c r="D334" s="5">
        <f>'[2]FPC wSEB'!$AB431</f>
        <v>23603</v>
      </c>
      <c r="E334" s="73">
        <f t="shared" ref="E334" si="736">ROUND(C334/D334*1000,0)</f>
        <v>12942</v>
      </c>
      <c r="F334" s="540">
        <f t="shared" si="255"/>
        <v>23603</v>
      </c>
      <c r="H334" s="13" t="s">
        <v>18</v>
      </c>
      <c r="I334" s="76">
        <f>'[7]Gov 65 &amp; 70'!$S419</f>
        <v>339</v>
      </c>
      <c r="J334" s="76">
        <f t="shared" si="164"/>
        <v>295.39999999999998</v>
      </c>
      <c r="K334" s="362">
        <f t="shared" ref="K334" si="737">(J334-I334)</f>
        <v>-43.600000000000023</v>
      </c>
      <c r="L334" s="200" t="s">
        <v>18</v>
      </c>
      <c r="M334" s="76">
        <f>'[7]Gov 65 &amp; 70'!$J419</f>
        <v>0.5</v>
      </c>
      <c r="N334" s="76">
        <f t="shared" si="165"/>
        <v>2.2000000000000002</v>
      </c>
      <c r="O334" s="363">
        <f t="shared" ref="O334" si="738">(N334-M334)</f>
        <v>1.7000000000000002</v>
      </c>
      <c r="P334" s="13" t="s">
        <v>18</v>
      </c>
      <c r="Q334" s="321">
        <f t="shared" si="637"/>
        <v>-9166.1117556000063</v>
      </c>
      <c r="R334" s="78">
        <f t="shared" si="638"/>
        <v>48.751996500000018</v>
      </c>
      <c r="S334" s="479">
        <f t="shared" ref="S334" si="739">ROUND((R334+Q334),0)</f>
        <v>-9117</v>
      </c>
      <c r="T334" s="13" t="s">
        <v>18</v>
      </c>
      <c r="U334" s="4">
        <f t="shared" si="166"/>
        <v>2010</v>
      </c>
      <c r="V334" s="4">
        <f t="shared" si="167"/>
        <v>6</v>
      </c>
      <c r="W334" s="153">
        <f t="shared" ref="W334" si="740">Z334/D334*1000</f>
        <v>12556.115747998136</v>
      </c>
      <c r="X334" s="153">
        <f t="shared" ref="X334" si="741">W334-W322</f>
        <v>276.90850094331472</v>
      </c>
      <c r="Z334" s="98">
        <f t="shared" ref="Z334" si="742">S334+C334</f>
        <v>296362</v>
      </c>
      <c r="AA334" s="119">
        <f t="shared" ref="AA334" si="743">Z334-C334</f>
        <v>-9117</v>
      </c>
      <c r="AB334" s="512">
        <f>[9]SPAMWh!$L214</f>
        <v>296772</v>
      </c>
      <c r="AC334" s="4">
        <f t="shared" si="168"/>
        <v>2010</v>
      </c>
      <c r="AD334" s="4">
        <f t="shared" si="169"/>
        <v>6</v>
      </c>
      <c r="AE334" s="107">
        <f>RESID!AC334</f>
        <v>30.55</v>
      </c>
      <c r="AF334" s="40">
        <f t="shared" ref="AF334" si="744">AG334/D334*1000</f>
        <v>12502.690335974239</v>
      </c>
      <c r="AG334" s="4">
        <f t="shared" ref="AG334" si="745">ROUND(Z334/(AE334/30.42),0)</f>
        <v>295101</v>
      </c>
      <c r="AH334" s="4">
        <f t="shared" ref="AH334" si="746">Z334-Z322</f>
        <v>7641</v>
      </c>
      <c r="AY334" s="4">
        <f t="shared" si="332"/>
        <v>2010</v>
      </c>
      <c r="AZ334" s="4">
        <f t="shared" si="333"/>
        <v>6</v>
      </c>
      <c r="BA334" s="4">
        <f>'[8]Gov 65 &amp; 70'!$S419</f>
        <v>426.5</v>
      </c>
      <c r="BB334" s="4">
        <f t="shared" si="172"/>
        <v>336.1</v>
      </c>
      <c r="BC334" s="82">
        <f t="shared" ref="BC334" si="747">BB334-BA334</f>
        <v>-90.399999999999977</v>
      </c>
      <c r="BD334" s="36" t="s">
        <v>18</v>
      </c>
      <c r="BE334" s="4">
        <f>'[8]Gov 65 &amp; 70'!$J419</f>
        <v>0</v>
      </c>
      <c r="BF334" s="4">
        <f t="shared" si="173"/>
        <v>0</v>
      </c>
      <c r="BG334" s="83">
        <f t="shared" ref="BG334" si="748">BF334-BE334</f>
        <v>0</v>
      </c>
      <c r="BH334" s="36" t="s">
        <v>18</v>
      </c>
      <c r="BI334" s="273">
        <f t="shared" si="649"/>
        <v>-19004.965658399997</v>
      </c>
      <c r="BJ334" s="270">
        <f t="shared" si="650"/>
        <v>0</v>
      </c>
      <c r="BK334" s="482">
        <f t="shared" ref="BK334" si="749">ROUND(BJ334+BI334,0)</f>
        <v>-19005</v>
      </c>
      <c r="BM334" s="36" t="s">
        <v>18</v>
      </c>
      <c r="BN334" s="4">
        <f t="shared" si="174"/>
        <v>2010</v>
      </c>
      <c r="BO334" s="4">
        <f t="shared" si="175"/>
        <v>6</v>
      </c>
      <c r="BP334" s="108">
        <f>(C334+[4]MWh!$AN168)</f>
        <v>309962.83092870354</v>
      </c>
      <c r="BQ334" s="108">
        <f t="shared" ref="BQ334" si="750">BP334/D334*1000</f>
        <v>13132.348893306085</v>
      </c>
      <c r="BR334" s="108">
        <f t="shared" ref="BR334" si="751">BT334/D334*1000</f>
        <v>12327.154638338498</v>
      </c>
      <c r="BS334" s="108">
        <f t="shared" ref="BS334" si="752">BR334-BR322</f>
        <v>121.70191404888828</v>
      </c>
      <c r="BT334" s="175">
        <f t="shared" ref="BT334" si="753">BK334+BP334</f>
        <v>290957.83092870354</v>
      </c>
      <c r="BU334" s="108">
        <f t="shared" ref="BU334" si="754">BT334-BT322</f>
        <v>3971.0210224819602</v>
      </c>
      <c r="BV334" s="4">
        <f t="shared" si="735"/>
        <v>-19005</v>
      </c>
      <c r="BW334" s="444">
        <f>BT334/[9]SPAMWh!$L214</f>
        <v>0.98040863332357342</v>
      </c>
      <c r="DA334" s="4">
        <f t="shared" si="657"/>
        <v>-6279</v>
      </c>
      <c r="DB334" s="108">
        <f>[9]SPAMWh!$E214</f>
        <v>305889</v>
      </c>
      <c r="DG334" s="108">
        <f t="shared" si="677"/>
        <v>299610</v>
      </c>
    </row>
    <row r="335" spans="1:111">
      <c r="A335" s="4">
        <f t="shared" si="297"/>
        <v>2010</v>
      </c>
      <c r="B335" s="4">
        <f t="shared" si="298"/>
        <v>7</v>
      </c>
      <c r="C335" s="5">
        <f>'[2]FPC wSEB'!$J432</f>
        <v>282721</v>
      </c>
      <c r="D335" s="5">
        <f>'[2]FPC wSEB'!$AB432</f>
        <v>23268</v>
      </c>
      <c r="E335" s="73">
        <f t="shared" ref="E335" si="755">ROUND(C335/D335*1000,0)</f>
        <v>12151</v>
      </c>
      <c r="F335" s="540">
        <f t="shared" si="255"/>
        <v>23268</v>
      </c>
      <c r="H335" s="13" t="s">
        <v>18</v>
      </c>
      <c r="I335" s="76">
        <f>'[7]Gov 65 &amp; 70'!$S420</f>
        <v>419.6</v>
      </c>
      <c r="J335" s="76">
        <f t="shared" si="164"/>
        <v>363.4</v>
      </c>
      <c r="K335" s="362">
        <f t="shared" ref="K335" si="756">(J335-I335)</f>
        <v>-56.200000000000045</v>
      </c>
      <c r="L335" s="200" t="s">
        <v>18</v>
      </c>
      <c r="M335" s="76">
        <f>'[7]Gov 65 &amp; 70'!$J420</f>
        <v>0</v>
      </c>
      <c r="N335" s="76">
        <f t="shared" si="165"/>
        <v>0</v>
      </c>
      <c r="O335" s="363">
        <f t="shared" ref="O335" si="757">(N335-M335)</f>
        <v>0</v>
      </c>
      <c r="P335" s="13" t="s">
        <v>18</v>
      </c>
      <c r="Q335" s="321">
        <f t="shared" ref="Q335" si="758">(K335*$G$10)*D335/1000</f>
        <v>-11647.341871200008</v>
      </c>
      <c r="R335" s="78">
        <f t="shared" ref="R335" si="759">(O335*$G$9)*D335/1000</f>
        <v>0</v>
      </c>
      <c r="S335" s="479">
        <f t="shared" ref="S335" si="760">ROUND((R335+Q335),0)</f>
        <v>-11647</v>
      </c>
      <c r="T335" s="13" t="s">
        <v>18</v>
      </c>
      <c r="U335" s="4">
        <f t="shared" si="166"/>
        <v>2010</v>
      </c>
      <c r="V335" s="4">
        <f t="shared" si="167"/>
        <v>7</v>
      </c>
      <c r="W335" s="153">
        <f t="shared" ref="W335" si="761">Z335/D335*1000</f>
        <v>11650.077359463641</v>
      </c>
      <c r="X335" s="153">
        <f t="shared" ref="X335" si="762">W335-W323</f>
        <v>-112.51900324345843</v>
      </c>
      <c r="Z335" s="98">
        <f t="shared" ref="Z335" si="763">S335+C335</f>
        <v>271074</v>
      </c>
      <c r="AA335" s="119">
        <f t="shared" ref="AA335" si="764">Z335-C335</f>
        <v>-11647</v>
      </c>
      <c r="AB335" s="512">
        <f>[9]SPAMWh!$L215</f>
        <v>273496</v>
      </c>
      <c r="AC335" s="4">
        <f t="shared" si="168"/>
        <v>2010</v>
      </c>
      <c r="AD335" s="4">
        <f t="shared" si="169"/>
        <v>7</v>
      </c>
      <c r="AE335" s="107">
        <f>RESID!AC335</f>
        <v>30.55</v>
      </c>
      <c r="AF335" s="40">
        <f t="shared" ref="AF335" si="765">AG335/D335*1000</f>
        <v>11600.481347773768</v>
      </c>
      <c r="AG335" s="4">
        <f t="shared" ref="AG335" si="766">ROUND(Z335/(AE335/30.42),0)</f>
        <v>269920</v>
      </c>
      <c r="AH335" s="4">
        <f t="shared" ref="AH335" si="767">Z335-Z323</f>
        <v>-5100</v>
      </c>
      <c r="AY335" s="4">
        <f t="shared" si="332"/>
        <v>2010</v>
      </c>
      <c r="AZ335" s="4">
        <f t="shared" si="333"/>
        <v>7</v>
      </c>
      <c r="BA335" s="4">
        <f>'[8]Gov 65 &amp; 70'!$S420</f>
        <v>440.9</v>
      </c>
      <c r="BB335" s="4">
        <f t="shared" si="172"/>
        <v>391.2</v>
      </c>
      <c r="BC335" s="82">
        <f t="shared" ref="BC335" si="768">BB335-BA335</f>
        <v>-49.699999999999989</v>
      </c>
      <c r="BD335" s="36" t="s">
        <v>18</v>
      </c>
      <c r="BE335" s="4">
        <f>'[8]Gov 65 &amp; 70'!$J420</f>
        <v>0</v>
      </c>
      <c r="BF335" s="4">
        <f t="shared" si="173"/>
        <v>0</v>
      </c>
      <c r="BG335" s="83">
        <f t="shared" ref="BG335" si="769">BF335-BE335</f>
        <v>0</v>
      </c>
      <c r="BH335" s="36" t="s">
        <v>18</v>
      </c>
      <c r="BI335" s="273">
        <f t="shared" ref="BI335" si="770">($G$10*BC335)*D335/1000</f>
        <v>-10300.229377199998</v>
      </c>
      <c r="BJ335" s="270">
        <f t="shared" ref="BJ335" si="771">($G$9*BG335)*D335/1000</f>
        <v>0</v>
      </c>
      <c r="BK335" s="482">
        <f t="shared" ref="BK335" si="772">ROUND(BJ335+BI335,0)</f>
        <v>-10300</v>
      </c>
      <c r="BM335" s="36" t="s">
        <v>18</v>
      </c>
      <c r="BN335" s="4">
        <f t="shared" si="174"/>
        <v>2010</v>
      </c>
      <c r="BO335" s="4">
        <f t="shared" si="175"/>
        <v>7</v>
      </c>
      <c r="BP335" s="108">
        <f>(C335+[4]MWh!$AN169)</f>
        <v>270157.46133897785</v>
      </c>
      <c r="BQ335" s="108">
        <f t="shared" ref="BQ335" si="773">BP335/D335*1000</f>
        <v>11610.686837673107</v>
      </c>
      <c r="BR335" s="108">
        <f t="shared" ref="BR335" si="774">BT335/D335*1000</f>
        <v>11168.018795727086</v>
      </c>
      <c r="BS335" s="108">
        <f t="shared" ref="BS335" si="775">BR335-BR323</f>
        <v>-411.9625576925464</v>
      </c>
      <c r="BT335" s="175">
        <f t="shared" ref="BT335" si="776">BK335+BP335</f>
        <v>259857.46133897785</v>
      </c>
      <c r="BU335" s="108">
        <f t="shared" ref="BU335" si="777">BT335-BT323</f>
        <v>-12028.920857961697</v>
      </c>
      <c r="BV335" s="4">
        <f t="shared" si="735"/>
        <v>-10300</v>
      </c>
      <c r="BW335" s="444">
        <f>BT335/[9]SPAMWh!$L215</f>
        <v>0.95013258453131988</v>
      </c>
      <c r="DA335" s="4">
        <f t="shared" si="657"/>
        <v>-8177</v>
      </c>
      <c r="DB335" s="108">
        <f>[9]SPAMWh!$E215</f>
        <v>285143</v>
      </c>
      <c r="DG335" s="108">
        <f t="shared" si="677"/>
        <v>276966</v>
      </c>
    </row>
    <row r="336" spans="1:111">
      <c r="A336" s="4">
        <f t="shared" si="297"/>
        <v>2010</v>
      </c>
      <c r="B336" s="4">
        <f t="shared" si="298"/>
        <v>8</v>
      </c>
      <c r="C336" s="5">
        <f>'[2]FPC wSEB'!$J433</f>
        <v>292566</v>
      </c>
      <c r="D336" s="5">
        <f>'[2]FPC wSEB'!$AB433</f>
        <v>23475</v>
      </c>
      <c r="E336" s="73">
        <f t="shared" ref="E336" si="778">ROUND(C336/D336*1000,0)</f>
        <v>12463</v>
      </c>
      <c r="F336" s="540">
        <f t="shared" si="255"/>
        <v>23475</v>
      </c>
      <c r="H336" s="13" t="s">
        <v>18</v>
      </c>
      <c r="I336" s="76">
        <f>'[7]Gov 65 &amp; 70'!$S421</f>
        <v>447.5</v>
      </c>
      <c r="J336" s="76">
        <f t="shared" si="164"/>
        <v>390.1</v>
      </c>
      <c r="K336" s="362">
        <f t="shared" ref="K336" si="779">(J336-I336)</f>
        <v>-57.399999999999977</v>
      </c>
      <c r="L336" s="200" t="s">
        <v>18</v>
      </c>
      <c r="M336" s="76">
        <f>'[7]Gov 65 &amp; 70'!$J421</f>
        <v>0</v>
      </c>
      <c r="N336" s="76">
        <f t="shared" si="165"/>
        <v>0</v>
      </c>
      <c r="O336" s="363">
        <f t="shared" ref="O336" si="780">(N336-M336)</f>
        <v>0</v>
      </c>
      <c r="P336" s="13" t="s">
        <v>18</v>
      </c>
      <c r="Q336" s="321">
        <f t="shared" ref="Q336" si="781">(K336*$G$10)*D336/1000</f>
        <v>-12001.870754999994</v>
      </c>
      <c r="R336" s="78">
        <f t="shared" ref="R336" si="782">(O336*$G$9)*D336/1000</f>
        <v>0</v>
      </c>
      <c r="S336" s="479">
        <f t="shared" ref="S336" si="783">ROUND((R336+Q336),0)</f>
        <v>-12002</v>
      </c>
      <c r="T336" s="13" t="s">
        <v>18</v>
      </c>
      <c r="U336" s="4">
        <f t="shared" si="166"/>
        <v>2010</v>
      </c>
      <c r="V336" s="4">
        <f t="shared" si="167"/>
        <v>8</v>
      </c>
      <c r="W336" s="153">
        <f t="shared" ref="W336" si="784">Z336/D336*1000</f>
        <v>11951.608093716721</v>
      </c>
      <c r="X336" s="153">
        <f t="shared" ref="X336" si="785">W336-W324</f>
        <v>-197.8353281432137</v>
      </c>
      <c r="Z336" s="98">
        <f t="shared" ref="Z336" si="786">S336+C336</f>
        <v>280564</v>
      </c>
      <c r="AA336" s="119">
        <f t="shared" ref="AA336" si="787">Z336-C336</f>
        <v>-12002</v>
      </c>
      <c r="AB336" s="512">
        <f>[9]SPAMWh!$L216</f>
        <v>278127</v>
      </c>
      <c r="AC336" s="4">
        <f t="shared" si="168"/>
        <v>2010</v>
      </c>
      <c r="AD336" s="4">
        <f t="shared" si="169"/>
        <v>8</v>
      </c>
      <c r="AE336" s="107">
        <f>RESID!AC336</f>
        <v>29.9</v>
      </c>
      <c r="AF336" s="40">
        <f t="shared" ref="AF336" si="788">AG336/D336*1000</f>
        <v>12159.446219382322</v>
      </c>
      <c r="AG336" s="4">
        <f t="shared" ref="AG336" si="789">ROUND(Z336/(AE336/30.42),0)</f>
        <v>285443</v>
      </c>
      <c r="AH336" s="4">
        <f t="shared" ref="AH336" si="790">Z336-Z324</f>
        <v>3338</v>
      </c>
      <c r="AY336" s="4">
        <f t="shared" si="332"/>
        <v>2010</v>
      </c>
      <c r="AZ336" s="4">
        <f t="shared" si="333"/>
        <v>8</v>
      </c>
      <c r="BA336" s="4">
        <f>'[8]Gov 65 &amp; 70'!$S421</f>
        <v>434.1</v>
      </c>
      <c r="BB336" s="4">
        <f t="shared" si="172"/>
        <v>394.4</v>
      </c>
      <c r="BC336" s="82">
        <f t="shared" ref="BC336" si="791">BB336-BA336</f>
        <v>-39.700000000000045</v>
      </c>
      <c r="BD336" s="36" t="s">
        <v>18</v>
      </c>
      <c r="BE336" s="4">
        <f>'[8]Gov 65 &amp; 70'!$J421</f>
        <v>0</v>
      </c>
      <c r="BF336" s="4">
        <f t="shared" si="173"/>
        <v>0</v>
      </c>
      <c r="BG336" s="83">
        <f t="shared" ref="BG336" si="792">BF336-BE336</f>
        <v>0</v>
      </c>
      <c r="BH336" s="36" t="s">
        <v>18</v>
      </c>
      <c r="BI336" s="273">
        <f t="shared" ref="BI336" si="793">($G$10*BC336)*D336/1000</f>
        <v>-8300.9454525000092</v>
      </c>
      <c r="BJ336" s="270">
        <f t="shared" ref="BJ336" si="794">($G$9*BG336)*D336/1000</f>
        <v>0</v>
      </c>
      <c r="BK336" s="482">
        <f t="shared" ref="BK336" si="795">ROUND(BJ336+BI336,0)</f>
        <v>-8301</v>
      </c>
      <c r="BM336" s="36" t="s">
        <v>18</v>
      </c>
      <c r="BN336" s="4">
        <f t="shared" si="174"/>
        <v>2010</v>
      </c>
      <c r="BO336" s="4">
        <f t="shared" si="175"/>
        <v>8</v>
      </c>
      <c r="BP336" s="108">
        <f>(C336+[4]MWh!$AN170)</f>
        <v>287986.28868140525</v>
      </c>
      <c r="BQ336" s="108">
        <f t="shared" ref="BQ336" si="796">BP336/D336*1000</f>
        <v>12267.786525299478</v>
      </c>
      <c r="BR336" s="108">
        <f t="shared" ref="BR336" si="797">BT336/D336*1000</f>
        <v>11914.176301657304</v>
      </c>
      <c r="BS336" s="108">
        <f t="shared" ref="BS336" si="798">BR336-BR324</f>
        <v>-1103.3753689072855</v>
      </c>
      <c r="BT336" s="175">
        <f t="shared" ref="BT336" si="799">BK336+BP336</f>
        <v>279685.28868140525</v>
      </c>
      <c r="BU336" s="108">
        <f t="shared" ref="BU336" si="800">BT336-BT324</f>
        <v>-17349.205337537569</v>
      </c>
      <c r="BV336" s="4">
        <f t="shared" si="735"/>
        <v>-8301</v>
      </c>
      <c r="BW336" s="444">
        <f>BT336/[9]SPAMWh!$L216</f>
        <v>1.0056027954186586</v>
      </c>
      <c r="DA336" s="4">
        <f t="shared" si="657"/>
        <v>-8352</v>
      </c>
      <c r="DB336" s="108">
        <f>[9]SPAMWh!$E216</f>
        <v>290129</v>
      </c>
      <c r="DG336" s="108">
        <f t="shared" si="677"/>
        <v>281777</v>
      </c>
    </row>
    <row r="337" spans="1:111">
      <c r="A337" s="4">
        <f t="shared" si="297"/>
        <v>2010</v>
      </c>
      <c r="B337" s="4">
        <f t="shared" si="298"/>
        <v>9</v>
      </c>
      <c r="C337" s="5">
        <f>'[2]FPC wSEB'!$J434</f>
        <v>310791</v>
      </c>
      <c r="D337" s="5">
        <f>'[2]FPC wSEB'!$AB434</f>
        <v>23496</v>
      </c>
      <c r="E337" s="73">
        <f t="shared" ref="E337" si="801">ROUND(C337/D337*1000,0)</f>
        <v>13227</v>
      </c>
      <c r="F337" s="540">
        <f t="shared" si="255"/>
        <v>23496</v>
      </c>
      <c r="H337" s="13" t="s">
        <v>18</v>
      </c>
      <c r="I337" s="76">
        <f>'[7]Gov 65 &amp; 70'!$S422</f>
        <v>409.8</v>
      </c>
      <c r="J337" s="76">
        <f t="shared" si="164"/>
        <v>381.2</v>
      </c>
      <c r="K337" s="362">
        <f t="shared" ref="K337" si="802">(J337-I337)</f>
        <v>-28.600000000000023</v>
      </c>
      <c r="L337" s="200" t="s">
        <v>18</v>
      </c>
      <c r="M337" s="76">
        <f>'[7]Gov 65 &amp; 70'!$J422</f>
        <v>0</v>
      </c>
      <c r="N337" s="76">
        <f t="shared" si="165"/>
        <v>0</v>
      </c>
      <c r="O337" s="363">
        <f t="shared" ref="O337" si="803">(N337-M337)</f>
        <v>0</v>
      </c>
      <c r="P337" s="13" t="s">
        <v>18</v>
      </c>
      <c r="Q337" s="321">
        <f t="shared" ref="Q337" si="804">(K337*$G$10)*D337/1000</f>
        <v>-5985.3757392000052</v>
      </c>
      <c r="R337" s="78">
        <f t="shared" ref="R337" si="805">(O337*$G$9)*D337/1000</f>
        <v>0</v>
      </c>
      <c r="S337" s="479">
        <f t="shared" ref="S337" si="806">ROUND((R337+Q337),0)</f>
        <v>-5985</v>
      </c>
      <c r="T337" s="13" t="s">
        <v>18</v>
      </c>
      <c r="U337" s="4">
        <f t="shared" si="166"/>
        <v>2010</v>
      </c>
      <c r="V337" s="4">
        <f t="shared" si="167"/>
        <v>9</v>
      </c>
      <c r="W337" s="153">
        <f t="shared" ref="W337" si="807">Z337/D337*1000</f>
        <v>12972.676200204291</v>
      </c>
      <c r="X337" s="153">
        <f t="shared" ref="X337" si="808">W337-W325</f>
        <v>-421.04662237288176</v>
      </c>
      <c r="Z337" s="98">
        <f t="shared" ref="Z337" si="809">S337+C337</f>
        <v>304806</v>
      </c>
      <c r="AA337" s="119">
        <f t="shared" ref="AA337" si="810">Z337-C337</f>
        <v>-5985</v>
      </c>
      <c r="AB337" s="512">
        <f>[9]SPAMWh!$L217</f>
        <v>304357</v>
      </c>
      <c r="AC337" s="4">
        <f t="shared" si="168"/>
        <v>2010</v>
      </c>
      <c r="AD337" s="4">
        <f t="shared" si="169"/>
        <v>9</v>
      </c>
      <c r="AE337" s="107">
        <f>RESID!AC337</f>
        <v>30.2</v>
      </c>
      <c r="AF337" s="40">
        <f t="shared" ref="AF337" si="811">AG337/D337*1000</f>
        <v>13067.160367722165</v>
      </c>
      <c r="AG337" s="4">
        <f t="shared" ref="AG337" si="812">ROUND(Z337/(AE337/30.42),0)</f>
        <v>307026</v>
      </c>
      <c r="AH337" s="4">
        <f t="shared" ref="AH337" si="813">Z337-Z325</f>
        <v>-6290</v>
      </c>
      <c r="AY337" s="4">
        <f t="shared" si="332"/>
        <v>2010</v>
      </c>
      <c r="AZ337" s="4">
        <f t="shared" si="333"/>
        <v>9</v>
      </c>
      <c r="BA337" s="4">
        <f>'[8]Gov 65 &amp; 70'!$S422</f>
        <v>369.6</v>
      </c>
      <c r="BB337" s="4">
        <f t="shared" si="172"/>
        <v>339.3</v>
      </c>
      <c r="BC337" s="82">
        <f t="shared" ref="BC337" si="814">BB337-BA337</f>
        <v>-30.300000000000011</v>
      </c>
      <c r="BD337" s="36" t="s">
        <v>18</v>
      </c>
      <c r="BE337" s="4">
        <f>'[8]Gov 65 &amp; 70'!$J422</f>
        <v>0.1</v>
      </c>
      <c r="BF337" s="4">
        <f t="shared" si="173"/>
        <v>0</v>
      </c>
      <c r="BG337" s="83">
        <f t="shared" ref="BG337" si="815">BF337-BE337</f>
        <v>-0.1</v>
      </c>
      <c r="BH337" s="36" t="s">
        <v>18</v>
      </c>
      <c r="BI337" s="273">
        <f t="shared" ref="BI337" si="816">($G$10*BC337)*D337/1000</f>
        <v>-6341.1498216000018</v>
      </c>
      <c r="BJ337" s="270">
        <f t="shared" ref="BJ337" si="817">($G$9*BG337)*D337/1000</f>
        <v>-2.8547640000000003</v>
      </c>
      <c r="BK337" s="482">
        <f t="shared" ref="BK337" si="818">ROUND(BJ337+BI337,0)</f>
        <v>-6344</v>
      </c>
      <c r="BM337" s="36" t="s">
        <v>18</v>
      </c>
      <c r="BN337" s="4">
        <f t="shared" si="174"/>
        <v>2010</v>
      </c>
      <c r="BO337" s="4">
        <f t="shared" si="175"/>
        <v>9</v>
      </c>
      <c r="BP337" s="108">
        <f>(C337+[4]MWh!$AN171)</f>
        <v>317573.49298606045</v>
      </c>
      <c r="BQ337" s="108">
        <f t="shared" ref="BQ337" si="819">BP337/D337*1000</f>
        <v>13516.066266005297</v>
      </c>
      <c r="BR337" s="108">
        <f t="shared" ref="BR337" si="820">BT337/D337*1000</f>
        <v>13246.062861170431</v>
      </c>
      <c r="BS337" s="108">
        <f t="shared" ref="BS337" si="821">BR337-BR325</f>
        <v>276.54210038425663</v>
      </c>
      <c r="BT337" s="175">
        <f t="shared" ref="BT337" si="822">BK337+BP337</f>
        <v>311229.49298606045</v>
      </c>
      <c r="BU337" s="108">
        <f t="shared" ref="BU337" si="823">BT337-BT325</f>
        <v>9986.4342752799857</v>
      </c>
      <c r="BV337" s="4">
        <f t="shared" si="735"/>
        <v>-6344</v>
      </c>
      <c r="BW337" s="444">
        <f>BT337/[9]SPAMWh!$L217</f>
        <v>1.0225803677459708</v>
      </c>
      <c r="DA337" s="4">
        <f t="shared" si="657"/>
        <v>-4161</v>
      </c>
      <c r="DB337" s="108">
        <f>[9]SPAMWh!$E217</f>
        <v>310342</v>
      </c>
      <c r="DG337" s="108">
        <f t="shared" si="677"/>
        <v>306181</v>
      </c>
    </row>
    <row r="338" spans="1:111">
      <c r="A338" s="4">
        <f t="shared" si="297"/>
        <v>2010</v>
      </c>
      <c r="B338" s="4">
        <f t="shared" si="298"/>
        <v>10</v>
      </c>
      <c r="C338" s="5">
        <f>'[2]FPC wSEB'!$J435</f>
        <v>298711</v>
      </c>
      <c r="D338" s="5">
        <f>'[2]FPC wSEB'!$AB435</f>
        <v>22744</v>
      </c>
      <c r="E338" s="73">
        <f t="shared" ref="E338" si="824">ROUND(C338/D338*1000,0)</f>
        <v>13134</v>
      </c>
      <c r="F338" s="540">
        <f t="shared" ref="F338:F370" si="825">D338</f>
        <v>22744</v>
      </c>
      <c r="H338" s="13" t="s">
        <v>18</v>
      </c>
      <c r="I338" s="76">
        <f>'[7]Gov 65 &amp; 70'!$S423</f>
        <v>306.7</v>
      </c>
      <c r="J338" s="76">
        <f t="shared" si="164"/>
        <v>287.8</v>
      </c>
      <c r="K338" s="362">
        <f t="shared" ref="K338" si="826">(J338-I338)</f>
        <v>-18.899999999999977</v>
      </c>
      <c r="L338" s="200" t="s">
        <v>18</v>
      </c>
      <c r="M338" s="76">
        <f>'[7]Gov 65 &amp; 70'!$J423</f>
        <v>4</v>
      </c>
      <c r="N338" s="76">
        <f t="shared" si="165"/>
        <v>2.5</v>
      </c>
      <c r="O338" s="363">
        <f t="shared" ref="O338" si="827">(N338-M338)</f>
        <v>-1.5</v>
      </c>
      <c r="P338" s="13" t="s">
        <v>18</v>
      </c>
      <c r="Q338" s="321">
        <f t="shared" ref="Q338" si="828">(K338*$G$10)*D338/1000</f>
        <v>-3828.7772711999951</v>
      </c>
      <c r="R338" s="78">
        <f t="shared" ref="R338" si="829">(O338*$G$9)*D338/1000</f>
        <v>-41.450940000000003</v>
      </c>
      <c r="S338" s="479">
        <f t="shared" ref="S338" si="830">ROUND((R338+Q338),0)</f>
        <v>-3870</v>
      </c>
      <c r="T338" s="13" t="s">
        <v>18</v>
      </c>
      <c r="U338" s="4">
        <f t="shared" si="166"/>
        <v>2010</v>
      </c>
      <c r="V338" s="4">
        <f t="shared" si="167"/>
        <v>10</v>
      </c>
      <c r="W338" s="153">
        <f t="shared" ref="W338" si="831">Z338/D338*1000</f>
        <v>12963.462891311994</v>
      </c>
      <c r="X338" s="153">
        <f t="shared" ref="X338" si="832">W338-W326</f>
        <v>394.38365847332352</v>
      </c>
      <c r="Z338" s="98">
        <f t="shared" ref="Z338" si="833">S338+C338</f>
        <v>294841</v>
      </c>
      <c r="AA338" s="119">
        <f t="shared" ref="AA338" si="834">Z338-C338</f>
        <v>-3870</v>
      </c>
      <c r="AB338" s="512">
        <f>[9]SPAMWh!$L218</f>
        <v>300505</v>
      </c>
      <c r="AC338" s="4">
        <f t="shared" si="168"/>
        <v>2010</v>
      </c>
      <c r="AD338" s="4">
        <f t="shared" si="169"/>
        <v>10</v>
      </c>
      <c r="AE338" s="107">
        <f>RESID!AC338</f>
        <v>30</v>
      </c>
      <c r="AF338" s="40">
        <f t="shared" ref="AF338" si="835">AG338/D338*1000</f>
        <v>13144.961308476961</v>
      </c>
      <c r="AG338" s="4">
        <f t="shared" ref="AG338" si="836">ROUND(Z338/(AE338/30.42),0)</f>
        <v>298969</v>
      </c>
      <c r="AH338" s="4">
        <f t="shared" ref="AH338" si="837">Z338-Z326</f>
        <v>5174</v>
      </c>
      <c r="AY338" s="4">
        <f t="shared" si="332"/>
        <v>2010</v>
      </c>
      <c r="AZ338" s="4">
        <f t="shared" si="333"/>
        <v>10</v>
      </c>
      <c r="BA338" s="4">
        <f>'[8]Gov 65 &amp; 70'!$S423</f>
        <v>196.1</v>
      </c>
      <c r="BB338" s="4">
        <f t="shared" si="172"/>
        <v>200.4</v>
      </c>
      <c r="BC338" s="82">
        <f t="shared" ref="BC338" si="838">BB338-BA338</f>
        <v>4.3000000000000114</v>
      </c>
      <c r="BD338" s="36" t="s">
        <v>18</v>
      </c>
      <c r="BE338" s="4">
        <f>'[8]Gov 65 &amp; 70'!$J423</f>
        <v>13.4</v>
      </c>
      <c r="BF338" s="4">
        <f t="shared" si="173"/>
        <v>15</v>
      </c>
      <c r="BG338" s="83">
        <f t="shared" ref="BG338" si="839">BF338-BE338</f>
        <v>1.5999999999999996</v>
      </c>
      <c r="BH338" s="36" t="s">
        <v>18</v>
      </c>
      <c r="BI338" s="273">
        <f t="shared" ref="BI338" si="840">($G$10*BC338)*D338/1000</f>
        <v>871.09747440000228</v>
      </c>
      <c r="BJ338" s="270">
        <f t="shared" ref="BJ338" si="841">($G$9*BG338)*D338/1000</f>
        <v>44.214335999999996</v>
      </c>
      <c r="BK338" s="482">
        <f t="shared" ref="BK338" si="842">ROUND(BJ338+BI338,0)</f>
        <v>915</v>
      </c>
      <c r="BM338" s="36" t="s">
        <v>18</v>
      </c>
      <c r="BN338" s="4">
        <f t="shared" si="174"/>
        <v>2010</v>
      </c>
      <c r="BO338" s="4">
        <f t="shared" si="175"/>
        <v>10</v>
      </c>
      <c r="BP338" s="108">
        <f>(C338+[4]MWh!$AN172)</f>
        <v>304173.73542973323</v>
      </c>
      <c r="BQ338" s="108">
        <f t="shared" ref="BQ338" si="843">BP338/D338*1000</f>
        <v>13373.801241194742</v>
      </c>
      <c r="BR338" s="108">
        <f t="shared" ref="BR338" si="844">BT338/D338*1000</f>
        <v>13414.031631627384</v>
      </c>
      <c r="BS338" s="108">
        <f t="shared" ref="BS338" si="845">BR338-BR326</f>
        <v>1178.0837576250578</v>
      </c>
      <c r="BT338" s="175">
        <f t="shared" ref="BT338" si="846">BK338+BP338</f>
        <v>305088.73542973323</v>
      </c>
      <c r="BU338" s="108">
        <f t="shared" ref="BU338" si="847">BT338-BT326</f>
        <v>23099.080725475622</v>
      </c>
      <c r="BV338" s="4">
        <f t="shared" si="735"/>
        <v>915</v>
      </c>
      <c r="BW338" s="444">
        <f>BT338/[9]SPAMWh!$L218</f>
        <v>1.0152534414726317</v>
      </c>
      <c r="DA338" s="4">
        <f t="shared" si="657"/>
        <v>-2807</v>
      </c>
      <c r="DB338" s="108">
        <f>[9]SPAMWh!$E218</f>
        <v>304375</v>
      </c>
      <c r="DG338" s="108">
        <f t="shared" si="677"/>
        <v>301568</v>
      </c>
    </row>
    <row r="339" spans="1:111">
      <c r="A339" s="4">
        <f t="shared" si="297"/>
        <v>2010</v>
      </c>
      <c r="B339" s="4">
        <f t="shared" si="298"/>
        <v>11</v>
      </c>
      <c r="C339" s="5">
        <f>'[2]FPC wSEB'!$J436</f>
        <v>275516</v>
      </c>
      <c r="D339" s="5">
        <f>'[2]FPC wSEB'!$AB436</f>
        <v>25135</v>
      </c>
      <c r="E339" s="73">
        <f t="shared" ref="E339" si="848">ROUND(C339/D339*1000,0)</f>
        <v>10961</v>
      </c>
      <c r="F339" s="540">
        <f t="shared" si="825"/>
        <v>25135</v>
      </c>
      <c r="H339" s="13" t="s">
        <v>18</v>
      </c>
      <c r="I339" s="76">
        <f>'[7]Gov 65 &amp; 70'!$S424</f>
        <v>164</v>
      </c>
      <c r="J339" s="76">
        <f t="shared" si="164"/>
        <v>140.19999999999999</v>
      </c>
      <c r="K339" s="362">
        <f t="shared" ref="K339" si="849">(J339-I339)</f>
        <v>-23.800000000000011</v>
      </c>
      <c r="L339" s="200" t="s">
        <v>18</v>
      </c>
      <c r="M339" s="76">
        <f>'[7]Gov 65 &amp; 70'!$J424</f>
        <v>33.1</v>
      </c>
      <c r="N339" s="76">
        <f t="shared" si="165"/>
        <v>38.6</v>
      </c>
      <c r="O339" s="363">
        <f t="shared" ref="O339" si="850">(N339-M339)</f>
        <v>5.5</v>
      </c>
      <c r="P339" s="13" t="s">
        <v>18</v>
      </c>
      <c r="Q339" s="321">
        <f t="shared" ref="Q339" si="851">(K339*$G$10)*D339/1000</f>
        <v>-5328.2831910000023</v>
      </c>
      <c r="R339" s="78">
        <f t="shared" ref="R339" si="852">(O339*$G$9)*D339/1000</f>
        <v>167.96463750000001</v>
      </c>
      <c r="S339" s="479">
        <f t="shared" ref="S339" si="853">ROUND((R339+Q339),0)</f>
        <v>-5160</v>
      </c>
      <c r="T339" s="13" t="s">
        <v>18</v>
      </c>
      <c r="U339" s="4">
        <f t="shared" si="166"/>
        <v>2010</v>
      </c>
      <c r="V339" s="4">
        <f t="shared" si="167"/>
        <v>11</v>
      </c>
      <c r="W339" s="153">
        <f t="shared" ref="W339" si="854">Z339/D339*1000</f>
        <v>10756.156753530933</v>
      </c>
      <c r="X339" s="153">
        <f t="shared" ref="X339" si="855">W339-W327</f>
        <v>-547.48005388913043</v>
      </c>
      <c r="Z339" s="98">
        <f t="shared" ref="Z339" si="856">S339+C339</f>
        <v>270356</v>
      </c>
      <c r="AA339" s="119">
        <f t="shared" ref="AA339" si="857">Z339-C339</f>
        <v>-5160</v>
      </c>
      <c r="AB339" s="512">
        <f>[9]SPAMWh!$L219</f>
        <v>264683</v>
      </c>
      <c r="AC339" s="4">
        <f t="shared" si="168"/>
        <v>2010</v>
      </c>
      <c r="AD339" s="4">
        <f t="shared" si="169"/>
        <v>11</v>
      </c>
      <c r="AE339" s="107">
        <f>RESID!AC339</f>
        <v>30.05</v>
      </c>
      <c r="AF339" s="40">
        <f t="shared" ref="AF339" si="858">AG339/D339*1000</f>
        <v>10888.601551621246</v>
      </c>
      <c r="AG339" s="4">
        <f t="shared" ref="AG339" si="859">ROUND(Z339/(AE339/30.42),0)</f>
        <v>273685</v>
      </c>
      <c r="AH339" s="4">
        <f t="shared" ref="AH339" si="860">Z339-Z327</f>
        <v>-7510</v>
      </c>
      <c r="AY339" s="4">
        <f t="shared" si="332"/>
        <v>2010</v>
      </c>
      <c r="AZ339" s="4">
        <f t="shared" si="333"/>
        <v>11</v>
      </c>
      <c r="BA339" s="4">
        <f>'[8]Gov 65 &amp; 70'!$S424</f>
        <v>69.400000000000006</v>
      </c>
      <c r="BB339" s="4">
        <f t="shared" si="172"/>
        <v>66.3</v>
      </c>
      <c r="BC339" s="82">
        <f t="shared" ref="BC339" si="861">BB339-BA339</f>
        <v>-3.1000000000000085</v>
      </c>
      <c r="BD339" s="36" t="s">
        <v>18</v>
      </c>
      <c r="BE339" s="4">
        <f>'[8]Gov 65 &amp; 70'!$J424</f>
        <v>68.8</v>
      </c>
      <c r="BF339" s="4">
        <f t="shared" si="173"/>
        <v>69.900000000000006</v>
      </c>
      <c r="BG339" s="83">
        <f t="shared" ref="BG339" si="862">BF339-BE339</f>
        <v>1.1000000000000085</v>
      </c>
      <c r="BH339" s="36" t="s">
        <v>18</v>
      </c>
      <c r="BI339" s="273">
        <f t="shared" ref="BI339" si="863">($G$10*BC339)*D339/1000</f>
        <v>-694.020079500002</v>
      </c>
      <c r="BJ339" s="270">
        <f t="shared" ref="BJ339" si="864">($G$9*BG339)*D339/1000</f>
        <v>33.592927500000258</v>
      </c>
      <c r="BK339" s="482">
        <f t="shared" ref="BK339" si="865">ROUND(BJ339+BI339,0)</f>
        <v>-660</v>
      </c>
      <c r="BM339" s="36" t="s">
        <v>18</v>
      </c>
      <c r="BN339" s="4">
        <f t="shared" si="174"/>
        <v>2010</v>
      </c>
      <c r="BO339" s="4">
        <f t="shared" si="175"/>
        <v>11</v>
      </c>
      <c r="BP339" s="108">
        <f>(C339+[4]MWh!$AN173)</f>
        <v>230363.13088281409</v>
      </c>
      <c r="BQ339" s="108">
        <f t="shared" ref="BQ339" si="866">BP339/D339*1000</f>
        <v>9165.0340514348154</v>
      </c>
      <c r="BR339" s="108">
        <f t="shared" ref="BR339" si="867">BT339/D339*1000</f>
        <v>9138.7758457455384</v>
      </c>
      <c r="BS339" s="108">
        <f t="shared" ref="BS339" si="868">BR339-BR327</f>
        <v>-920.40886126254554</v>
      </c>
      <c r="BT339" s="175">
        <f t="shared" ref="BT339" si="869">BK339+BP339</f>
        <v>229703.13088281409</v>
      </c>
      <c r="BU339" s="108">
        <f t="shared" ref="BU339" si="870">BT339-BT327</f>
        <v>-17571.747584858647</v>
      </c>
      <c r="BV339" s="4">
        <f t="shared" si="735"/>
        <v>-660</v>
      </c>
      <c r="BW339" s="444">
        <f>BT339/[9]SPAMWh!$L219</f>
        <v>0.86784240348951047</v>
      </c>
      <c r="DA339" s="4">
        <f t="shared" si="657"/>
        <v>-3252</v>
      </c>
      <c r="DB339" s="108">
        <f>[9]SPAMWh!$E219</f>
        <v>269843</v>
      </c>
      <c r="DG339" s="108">
        <f t="shared" si="677"/>
        <v>266591</v>
      </c>
    </row>
    <row r="340" spans="1:111" s="89" customFormat="1">
      <c r="A340" s="89">
        <f t="shared" si="297"/>
        <v>2010</v>
      </c>
      <c r="B340" s="89">
        <f t="shared" si="298"/>
        <v>12</v>
      </c>
      <c r="C340" s="103">
        <f>'[2]FPC wSEB'!$J437</f>
        <v>254735</v>
      </c>
      <c r="D340" s="103">
        <f>'[2]FPC wSEB'!$AB437</f>
        <v>24017</v>
      </c>
      <c r="E340" s="104">
        <f t="shared" ref="E340" si="871">ROUND(C340/D340*1000,0)</f>
        <v>10606</v>
      </c>
      <c r="F340" s="586">
        <f t="shared" si="825"/>
        <v>24017</v>
      </c>
      <c r="H340" s="90" t="s">
        <v>18</v>
      </c>
      <c r="I340" s="92">
        <f>'[7]Gov 65 &amp; 70'!$S425</f>
        <v>56.5</v>
      </c>
      <c r="J340" s="92">
        <f t="shared" si="164"/>
        <v>50.8</v>
      </c>
      <c r="K340" s="364">
        <f t="shared" ref="K340" si="872">(J340-I340)</f>
        <v>-5.7000000000000028</v>
      </c>
      <c r="L340" s="210" t="s">
        <v>18</v>
      </c>
      <c r="M340" s="92">
        <f>'[7]Gov 65 &amp; 70'!$J425</f>
        <v>163.5</v>
      </c>
      <c r="N340" s="92">
        <f t="shared" si="165"/>
        <v>121.8</v>
      </c>
      <c r="O340" s="365">
        <f t="shared" ref="O340" si="873">(N340-M340)</f>
        <v>-41.7</v>
      </c>
      <c r="P340" s="90" t="s">
        <v>18</v>
      </c>
      <c r="Q340" s="360">
        <f t="shared" ref="Q340" si="874">(K340*$G$10)*D340/1000</f>
        <v>-1219.3406883000007</v>
      </c>
      <c r="R340" s="95">
        <f t="shared" ref="R340" si="875">(O340*$G$9)*D340/1000</f>
        <v>-1216.8333135000003</v>
      </c>
      <c r="S340" s="480">
        <f t="shared" ref="S340" si="876">ROUND((R340+Q340),0)</f>
        <v>-2436</v>
      </c>
      <c r="T340" s="90" t="s">
        <v>18</v>
      </c>
      <c r="U340" s="89">
        <f t="shared" si="166"/>
        <v>2010</v>
      </c>
      <c r="V340" s="89">
        <f t="shared" si="167"/>
        <v>12</v>
      </c>
      <c r="W340" s="154">
        <f t="shared" ref="W340" si="877">Z340/D340*1000</f>
        <v>10505.017279427073</v>
      </c>
      <c r="X340" s="154">
        <f t="shared" ref="X340" si="878">W340-W328</f>
        <v>-43.920716711094428</v>
      </c>
      <c r="Z340" s="155">
        <f t="shared" ref="Z340" si="879">S340+C340</f>
        <v>252299</v>
      </c>
      <c r="AA340" s="156">
        <f t="shared" ref="AA340" si="880">Z340-C340</f>
        <v>-2436</v>
      </c>
      <c r="AB340" s="522">
        <f>[9]SPAMWh!$L220</f>
        <v>251627</v>
      </c>
      <c r="AC340" s="89">
        <f t="shared" si="168"/>
        <v>2010</v>
      </c>
      <c r="AD340" s="89">
        <f t="shared" si="169"/>
        <v>12</v>
      </c>
      <c r="AE340" s="110">
        <f>RESID!AC340</f>
        <v>31.35</v>
      </c>
      <c r="AF340" s="116">
        <f t="shared" ref="AF340" si="881">AG340/D340*1000</f>
        <v>10193.404671690885</v>
      </c>
      <c r="AG340" s="89">
        <f t="shared" ref="AG340" si="882">ROUND(Z340/(AE340/30.42),0)</f>
        <v>244815</v>
      </c>
      <c r="AH340" s="89">
        <f t="shared" ref="AH340" si="883">Z340-Z328</f>
        <v>6456</v>
      </c>
      <c r="AY340" s="89">
        <f t="shared" si="332"/>
        <v>2010</v>
      </c>
      <c r="AZ340" s="89">
        <f t="shared" si="333"/>
        <v>12</v>
      </c>
      <c r="BA340" s="89">
        <f>'[8]Gov 65 &amp; 70'!$S425</f>
        <v>1.9</v>
      </c>
      <c r="BB340" s="89">
        <f t="shared" si="172"/>
        <v>28.2</v>
      </c>
      <c r="BC340" s="111">
        <f t="shared" ref="BC340" si="884">BB340-BA340</f>
        <v>26.3</v>
      </c>
      <c r="BD340" s="113" t="s">
        <v>18</v>
      </c>
      <c r="BE340" s="89">
        <f>'[8]Gov 65 &amp; 70'!$J425</f>
        <v>396.1</v>
      </c>
      <c r="BF340" s="89">
        <f t="shared" si="173"/>
        <v>170</v>
      </c>
      <c r="BG340" s="112">
        <f t="shared" ref="BG340" si="885">BF340-BE340</f>
        <v>-226.10000000000002</v>
      </c>
      <c r="BH340" s="113" t="s">
        <v>18</v>
      </c>
      <c r="BI340" s="274">
        <f t="shared" ref="BI340" si="886">($G$10*BC340)*D340/1000</f>
        <v>5626.0807197000004</v>
      </c>
      <c r="BJ340" s="275">
        <f t="shared" ref="BJ340" si="887">($G$9*BG340)*D340/1000</f>
        <v>-6597.7460955000015</v>
      </c>
      <c r="BK340" s="483">
        <f t="shared" ref="BK340" si="888">ROUND(BJ340+BI340,0)</f>
        <v>-972</v>
      </c>
      <c r="BL340" s="438"/>
      <c r="BM340" s="113" t="s">
        <v>18</v>
      </c>
      <c r="BN340" s="89">
        <f t="shared" si="174"/>
        <v>2010</v>
      </c>
      <c r="BO340" s="89">
        <f t="shared" si="175"/>
        <v>12</v>
      </c>
      <c r="BP340" s="117">
        <f>(C340+[4]MWh!$AN174)</f>
        <v>288071.63289734552</v>
      </c>
      <c r="BQ340" s="117">
        <f t="shared" ref="BQ340" si="889">BP340/D340*1000</f>
        <v>11994.48860795876</v>
      </c>
      <c r="BR340" s="117">
        <f t="shared" ref="BR340" si="890">BT340/D340*1000</f>
        <v>11954.01727515283</v>
      </c>
      <c r="BS340" s="117">
        <f t="shared" ref="BS340" si="891">BR340-BR328</f>
        <v>787.0408499283767</v>
      </c>
      <c r="BT340" s="176">
        <f t="shared" ref="BT340" si="892">BK340+BP340</f>
        <v>287099.63289734552</v>
      </c>
      <c r="BU340" s="117">
        <f t="shared" ref="BU340" si="893">BT340-BT328</f>
        <v>26853.247307489655</v>
      </c>
      <c r="BV340" s="89">
        <f t="shared" si="735"/>
        <v>-972</v>
      </c>
      <c r="BW340" s="533">
        <f>BT340/[9]SPAMWh!$L220</f>
        <v>1.1409730787925998</v>
      </c>
      <c r="DA340" s="4">
        <f t="shared" si="657"/>
        <v>-2428</v>
      </c>
      <c r="DB340" s="108">
        <f>[9]SPAMWh!$E220</f>
        <v>254063</v>
      </c>
      <c r="DC340" s="4"/>
      <c r="DD340" s="4"/>
      <c r="DE340" s="4"/>
      <c r="DF340" s="4"/>
      <c r="DG340" s="108">
        <f t="shared" si="677"/>
        <v>251635</v>
      </c>
    </row>
    <row r="341" spans="1:111">
      <c r="A341" s="4">
        <f t="shared" si="297"/>
        <v>2011</v>
      </c>
      <c r="B341" s="4">
        <f t="shared" si="298"/>
        <v>1</v>
      </c>
      <c r="C341" s="5">
        <f>'[2]FPC wSEB'!$J438</f>
        <v>245270</v>
      </c>
      <c r="D341" s="5">
        <f>'[2]FPC wSEB'!$AB438</f>
        <v>23014</v>
      </c>
      <c r="E341" s="73">
        <f t="shared" ref="E341" si="894">ROUND(C341/D341*1000,0)</f>
        <v>10657</v>
      </c>
      <c r="F341" s="540">
        <f t="shared" si="825"/>
        <v>23014</v>
      </c>
      <c r="H341" s="13" t="s">
        <v>18</v>
      </c>
      <c r="I341" s="76">
        <f>'[7]Gov 65 &amp; 70'!$S426</f>
        <v>6.3</v>
      </c>
      <c r="J341" s="76">
        <f t="shared" si="164"/>
        <v>28.7</v>
      </c>
      <c r="K341" s="362">
        <f t="shared" ref="K341" si="895">(J341-I341)</f>
        <v>22.4</v>
      </c>
      <c r="L341" s="200" t="s">
        <v>18</v>
      </c>
      <c r="M341" s="76">
        <f>'[7]Gov 65 &amp; 70'!$J426</f>
        <v>345.3</v>
      </c>
      <c r="N341" s="76">
        <f t="shared" si="165"/>
        <v>192.9</v>
      </c>
      <c r="O341" s="363">
        <f t="shared" ref="O341" si="896">(N341-M341)</f>
        <v>-152.4</v>
      </c>
      <c r="P341" s="13" t="s">
        <v>18</v>
      </c>
      <c r="Q341" s="321">
        <f t="shared" ref="Q341" si="897">(K341*$G$10)*D341/1000</f>
        <v>4591.6796351999992</v>
      </c>
      <c r="R341" s="78">
        <f t="shared" ref="R341" si="898">(O341*$G$9)*D341/1000</f>
        <v>-4261.4103240000013</v>
      </c>
      <c r="S341" s="479">
        <f t="shared" ref="S341" si="899">ROUND((R341+Q341),0)</f>
        <v>330</v>
      </c>
      <c r="T341" s="13" t="s">
        <v>18</v>
      </c>
      <c r="U341" s="4">
        <f t="shared" si="166"/>
        <v>2011</v>
      </c>
      <c r="V341" s="4">
        <f t="shared" si="167"/>
        <v>1</v>
      </c>
      <c r="W341" s="153">
        <f t="shared" ref="W341" si="900">Z341/D341*1000</f>
        <v>10671.765012601025</v>
      </c>
      <c r="X341" s="153">
        <f t="shared" ref="X341" si="901">W341-W329</f>
        <v>-145.42403249979725</v>
      </c>
      <c r="Z341" s="98">
        <f t="shared" ref="Z341" si="902">S341+C341</f>
        <v>245600</v>
      </c>
      <c r="AA341" s="119">
        <f t="shared" ref="AA341" si="903">Z341-C341</f>
        <v>330</v>
      </c>
      <c r="AB341" s="512">
        <f>[9]SPAMWh!$L221</f>
        <v>250294</v>
      </c>
      <c r="AC341" s="4">
        <f t="shared" si="168"/>
        <v>2011</v>
      </c>
      <c r="AD341" s="4">
        <f t="shared" si="169"/>
        <v>1</v>
      </c>
      <c r="AE341" s="107">
        <f>RESID!AC341</f>
        <v>31.85</v>
      </c>
      <c r="AF341" s="40">
        <f t="shared" ref="AF341" si="904">AG341/D341*1000</f>
        <v>10192.621882332494</v>
      </c>
      <c r="AG341" s="4">
        <f t="shared" ref="AG341" si="905">ROUND(Z341/(AE341/30.42),0)</f>
        <v>234573</v>
      </c>
      <c r="AH341" s="4">
        <f t="shared" ref="AH341" si="906">Z341-Z329</f>
        <v>-5997</v>
      </c>
      <c r="AY341" s="4">
        <f t="shared" si="332"/>
        <v>2011</v>
      </c>
      <c r="AZ341" s="4">
        <f t="shared" si="333"/>
        <v>1</v>
      </c>
      <c r="BA341" s="4">
        <f>'[8]Gov 65 &amp; 70'!$S426</f>
        <v>6.9</v>
      </c>
      <c r="BB341" s="4">
        <f t="shared" si="172"/>
        <v>23.9</v>
      </c>
      <c r="BC341" s="82">
        <f t="shared" ref="BC341" si="907">BB341-BA341</f>
        <v>17</v>
      </c>
      <c r="BD341" s="36" t="s">
        <v>18</v>
      </c>
      <c r="BE341" s="4">
        <f>'[8]Gov 65 &amp; 70'!$J426</f>
        <v>250.6</v>
      </c>
      <c r="BF341" s="4">
        <f t="shared" si="173"/>
        <v>176.9</v>
      </c>
      <c r="BG341" s="83">
        <f t="shared" ref="BG341" si="908">BF341-BE341</f>
        <v>-73.699999999999989</v>
      </c>
      <c r="BH341" s="36" t="s">
        <v>18</v>
      </c>
      <c r="BI341" s="273">
        <f t="shared" ref="BI341" si="909">($G$10*BC341)*D341/1000</f>
        <v>3484.7568660000002</v>
      </c>
      <c r="BJ341" s="270">
        <f t="shared" ref="BJ341" si="910">($G$9*BG341)*D341/1000</f>
        <v>-2060.8001369999997</v>
      </c>
      <c r="BK341" s="482">
        <f t="shared" ref="BK341" si="911">ROUND(BJ341+BI341,0)</f>
        <v>1424</v>
      </c>
      <c r="BM341" s="36" t="s">
        <v>18</v>
      </c>
      <c r="BN341" s="4">
        <f t="shared" si="174"/>
        <v>2011</v>
      </c>
      <c r="BO341" s="4">
        <f t="shared" si="175"/>
        <v>1</v>
      </c>
      <c r="BP341" s="108">
        <f>(C341+[4]MWh!$AN175)</f>
        <v>200848.08205477428</v>
      </c>
      <c r="BQ341" s="108">
        <f t="shared" ref="BQ341" si="912">BP341/D341*1000</f>
        <v>8727.2130900657976</v>
      </c>
      <c r="BR341" s="108">
        <f t="shared" ref="BR341" si="913">BT341/D341*1000</f>
        <v>8789.0884702691528</v>
      </c>
      <c r="BS341" s="108">
        <f t="shared" ref="BS341" si="914">BR341-BR329</f>
        <v>-1456.1640368508943</v>
      </c>
      <c r="BT341" s="175">
        <f t="shared" ref="BT341" si="915">BK341+BP341</f>
        <v>202272.08205477428</v>
      </c>
      <c r="BU341" s="108">
        <f t="shared" ref="BU341" si="916">BT341-BT329</f>
        <v>-36022.246008330898</v>
      </c>
      <c r="BV341" s="4">
        <f t="shared" si="735"/>
        <v>1424</v>
      </c>
      <c r="BW341" s="444">
        <f>BT341/[9]SPAMWh!$L221</f>
        <v>0.80813795798051202</v>
      </c>
      <c r="DA341" s="4">
        <f t="shared" si="657"/>
        <v>-2583</v>
      </c>
      <c r="DB341" s="108">
        <f>[9]SPAMWh!$E221</f>
        <v>249964</v>
      </c>
      <c r="DG341" s="108">
        <f t="shared" si="677"/>
        <v>247381</v>
      </c>
    </row>
    <row r="342" spans="1:111">
      <c r="A342" s="4">
        <f t="shared" si="297"/>
        <v>2011</v>
      </c>
      <c r="B342" s="4">
        <f t="shared" si="298"/>
        <v>2</v>
      </c>
      <c r="C342" s="5">
        <f>'[2]FPC wSEB'!$J439</f>
        <v>234860</v>
      </c>
      <c r="D342" s="5">
        <f>'[2]FPC wSEB'!$AB439</f>
        <v>23721</v>
      </c>
      <c r="E342" s="73">
        <f t="shared" ref="E342" si="917">ROUND(C342/D342*1000,0)</f>
        <v>9901</v>
      </c>
      <c r="F342" s="540">
        <f t="shared" si="825"/>
        <v>23721</v>
      </c>
      <c r="H342" s="13" t="s">
        <v>18</v>
      </c>
      <c r="I342" s="76">
        <f>'[7]Gov 65 &amp; 70'!$S427</f>
        <v>12.6</v>
      </c>
      <c r="J342" s="76">
        <f t="shared" si="164"/>
        <v>22.6</v>
      </c>
      <c r="K342" s="362">
        <f t="shared" ref="K342" si="918">(J342-I342)</f>
        <v>10.000000000000002</v>
      </c>
      <c r="L342" s="200" t="s">
        <v>18</v>
      </c>
      <c r="M342" s="76">
        <f>'[7]Gov 65 &amp; 70'!$J427</f>
        <v>223.6</v>
      </c>
      <c r="N342" s="76">
        <f t="shared" si="165"/>
        <v>177.2</v>
      </c>
      <c r="O342" s="363">
        <f t="shared" ref="O342" si="919">(N342-M342)</f>
        <v>-46.400000000000006</v>
      </c>
      <c r="P342" s="13" t="s">
        <v>18</v>
      </c>
      <c r="Q342" s="321">
        <f t="shared" ref="Q342" si="920">(K342*$G$10)*D342/1000</f>
        <v>2112.8294700000006</v>
      </c>
      <c r="R342" s="78">
        <f t="shared" ref="R342" si="921">(O342*$G$9)*D342/1000</f>
        <v>-1337.2950960000003</v>
      </c>
      <c r="S342" s="479">
        <f t="shared" ref="S342" si="922">ROUND((R342+Q342),0)</f>
        <v>776</v>
      </c>
      <c r="T342" s="13" t="s">
        <v>18</v>
      </c>
      <c r="U342" s="4">
        <f t="shared" si="166"/>
        <v>2011</v>
      </c>
      <c r="V342" s="4">
        <f t="shared" si="167"/>
        <v>2</v>
      </c>
      <c r="W342" s="153">
        <f t="shared" ref="W342" si="923">Z342/D342*1000</f>
        <v>9933.6452932001193</v>
      </c>
      <c r="X342" s="153">
        <f t="shared" ref="X342" si="924">W342-W330</f>
        <v>-317.00394502702875</v>
      </c>
      <c r="Z342" s="98">
        <f t="shared" ref="Z342" si="925">S342+C342</f>
        <v>235636</v>
      </c>
      <c r="AA342" s="119">
        <f t="shared" ref="AA342" si="926">Z342-C342</f>
        <v>776</v>
      </c>
      <c r="AB342" s="512">
        <f>[9]SPAMWh!$L222</f>
        <v>236573</v>
      </c>
      <c r="AC342" s="4">
        <f t="shared" si="168"/>
        <v>2011</v>
      </c>
      <c r="AD342" s="4">
        <f t="shared" si="169"/>
        <v>2</v>
      </c>
      <c r="AE342" s="107">
        <f>RESID!AC342</f>
        <v>29.95</v>
      </c>
      <c r="AF342" s="40">
        <f t="shared" ref="AF342" si="927">AG342/D342*1000</f>
        <v>10089.540913114961</v>
      </c>
      <c r="AG342" s="4">
        <f t="shared" ref="AG342" si="928">ROUND(Z342/(AE342/30.42),0)</f>
        <v>239334</v>
      </c>
      <c r="AH342" s="4">
        <f t="shared" ref="AH342" si="929">Z342-Z330</f>
        <v>-1195</v>
      </c>
      <c r="AY342" s="4">
        <f t="shared" si="332"/>
        <v>2011</v>
      </c>
      <c r="AZ342" s="4">
        <f t="shared" si="333"/>
        <v>2</v>
      </c>
      <c r="BA342" s="4">
        <f>'[8]Gov 65 &amp; 70'!$S427</f>
        <v>44</v>
      </c>
      <c r="BB342" s="4">
        <f t="shared" si="172"/>
        <v>32.799999999999997</v>
      </c>
      <c r="BC342" s="82">
        <f t="shared" ref="BC342" si="930">BB342-BA342</f>
        <v>-11.200000000000003</v>
      </c>
      <c r="BD342" s="36" t="s">
        <v>18</v>
      </c>
      <c r="BE342" s="4">
        <f>'[8]Gov 65 &amp; 70'!$J427</f>
        <v>110.2</v>
      </c>
      <c r="BF342" s="4">
        <f t="shared" si="173"/>
        <v>139.1</v>
      </c>
      <c r="BG342" s="83">
        <f t="shared" ref="BG342" si="931">BF342-BE342</f>
        <v>28.899999999999991</v>
      </c>
      <c r="BH342" s="36" t="s">
        <v>18</v>
      </c>
      <c r="BI342" s="273">
        <f t="shared" ref="BI342" si="932">($G$10*BC342)*D342/1000</f>
        <v>-2366.3690064000007</v>
      </c>
      <c r="BJ342" s="270">
        <f t="shared" ref="BJ342" si="933">($G$9*BG342)*D342/1000</f>
        <v>832.9273334999998</v>
      </c>
      <c r="BK342" s="482">
        <f t="shared" ref="BK342" si="934">ROUND(BJ342+BI342,0)</f>
        <v>-1533</v>
      </c>
      <c r="BM342" s="36" t="s">
        <v>18</v>
      </c>
      <c r="BN342" s="4">
        <f t="shared" si="174"/>
        <v>2011</v>
      </c>
      <c r="BO342" s="4">
        <f t="shared" si="175"/>
        <v>2</v>
      </c>
      <c r="BP342" s="108">
        <f>(C342+[4]MWh!$AN176)</f>
        <v>229227.55616161972</v>
      </c>
      <c r="BQ342" s="108">
        <f t="shared" ref="BQ342" si="935">BP342/D342*1000</f>
        <v>9663.4862004814186</v>
      </c>
      <c r="BR342" s="108">
        <f t="shared" ref="BR342" si="936">BT342/D342*1000</f>
        <v>9598.8599199704786</v>
      </c>
      <c r="BS342" s="108">
        <f t="shared" ref="BS342" si="937">BR342-BR330</f>
        <v>-1004.4925752204254</v>
      </c>
      <c r="BT342" s="175">
        <f t="shared" ref="BT342" si="938">BK342+BP342</f>
        <v>227694.55616161972</v>
      </c>
      <c r="BU342" s="108">
        <f t="shared" ref="BU342" si="939">BT342-BT330</f>
        <v>-17285.299887270929</v>
      </c>
      <c r="BV342" s="4">
        <f t="shared" si="735"/>
        <v>-1533</v>
      </c>
      <c r="BW342" s="444">
        <f>BT342/[9]SPAMWh!$L222</f>
        <v>0.96247059538332658</v>
      </c>
      <c r="DA342" s="4">
        <f t="shared" si="657"/>
        <v>-324</v>
      </c>
      <c r="DB342" s="108">
        <f>[9]SPAMWh!$E222</f>
        <v>235797</v>
      </c>
      <c r="DG342" s="108">
        <f t="shared" si="677"/>
        <v>235473</v>
      </c>
    </row>
    <row r="343" spans="1:111">
      <c r="A343" s="4">
        <f t="shared" si="297"/>
        <v>2011</v>
      </c>
      <c r="B343" s="4">
        <f t="shared" si="298"/>
        <v>3</v>
      </c>
      <c r="C343" s="5">
        <f>'[2]FPC wSEB'!$J440</f>
        <v>240787</v>
      </c>
      <c r="D343" s="5">
        <f>'[2]FPC wSEB'!$AB440</f>
        <v>22993</v>
      </c>
      <c r="E343" s="73">
        <f t="shared" ref="E343" si="940">ROUND(C343/D343*1000,0)</f>
        <v>10472</v>
      </c>
      <c r="F343" s="540">
        <f t="shared" si="825"/>
        <v>22993</v>
      </c>
      <c r="H343" s="13" t="s">
        <v>18</v>
      </c>
      <c r="I343" s="76">
        <f>'[7]Gov 65 &amp; 70'!$S428</f>
        <v>50.4</v>
      </c>
      <c r="J343" s="76">
        <f t="shared" si="164"/>
        <v>44.5</v>
      </c>
      <c r="K343" s="362">
        <f t="shared" ref="K343" si="941">(J343-I343)</f>
        <v>-5.8999999999999986</v>
      </c>
      <c r="L343" s="200" t="s">
        <v>18</v>
      </c>
      <c r="M343" s="76">
        <f>'[7]Gov 65 &amp; 70'!$J428</f>
        <v>94.7</v>
      </c>
      <c r="N343" s="76">
        <f t="shared" si="165"/>
        <v>119.5</v>
      </c>
      <c r="O343" s="363">
        <f t="shared" ref="O343" si="942">(N343-M343)</f>
        <v>24.799999999999997</v>
      </c>
      <c r="P343" s="13" t="s">
        <v>18</v>
      </c>
      <c r="Q343" s="321">
        <f t="shared" ref="Q343" si="943">(K343*$G$10)*D343/1000</f>
        <v>-1208.3120408999996</v>
      </c>
      <c r="R343" s="78">
        <f t="shared" ref="R343" si="944">(O343*$G$9)*D343/1000</f>
        <v>692.82507599999997</v>
      </c>
      <c r="S343" s="479">
        <f t="shared" ref="S343" si="945">ROUND((R343+Q343),0)</f>
        <v>-515</v>
      </c>
      <c r="T343" s="13" t="s">
        <v>18</v>
      </c>
      <c r="U343" s="4">
        <f t="shared" si="166"/>
        <v>2011</v>
      </c>
      <c r="V343" s="4">
        <f t="shared" si="167"/>
        <v>3</v>
      </c>
      <c r="W343" s="153">
        <f t="shared" ref="W343" si="946">Z343/D343*1000</f>
        <v>10449.789066237552</v>
      </c>
      <c r="X343" s="153">
        <f t="shared" ref="X343" si="947">W343-W331</f>
        <v>314.33341208893398</v>
      </c>
      <c r="Z343" s="98">
        <f t="shared" ref="Z343" si="948">S343+C343</f>
        <v>240272</v>
      </c>
      <c r="AA343" s="119">
        <f t="shared" ref="AA343" si="949">Z343-C343</f>
        <v>-515</v>
      </c>
      <c r="AB343" s="512">
        <f>[9]SPAMWh!$L223</f>
        <v>241816</v>
      </c>
      <c r="AC343" s="4">
        <f t="shared" si="168"/>
        <v>2011</v>
      </c>
      <c r="AD343" s="4">
        <f t="shared" si="169"/>
        <v>3</v>
      </c>
      <c r="AE343" s="107">
        <f>RESID!AC343</f>
        <v>29.4</v>
      </c>
      <c r="AF343" s="40">
        <f t="shared" ref="AF343" si="950">AG343/D343*1000</f>
        <v>10812.334188666115</v>
      </c>
      <c r="AG343" s="4">
        <f t="shared" ref="AG343" si="951">ROUND(Z343/(AE343/30.42),0)</f>
        <v>248608</v>
      </c>
      <c r="AH343" s="4">
        <f t="shared" ref="AH343" si="952">Z343-Z331</f>
        <v>-739</v>
      </c>
      <c r="AY343" s="4">
        <f t="shared" si="332"/>
        <v>2011</v>
      </c>
      <c r="AZ343" s="4">
        <f t="shared" si="333"/>
        <v>3</v>
      </c>
      <c r="BA343" s="4">
        <f>'[8]Gov 65 &amp; 70'!$S428</f>
        <v>74.2</v>
      </c>
      <c r="BB343" s="4">
        <f t="shared" si="172"/>
        <v>64.099999999999994</v>
      </c>
      <c r="BC343" s="82">
        <f t="shared" ref="BC343" si="953">BB343-BA343</f>
        <v>-10.100000000000009</v>
      </c>
      <c r="BD343" s="36" t="s">
        <v>18</v>
      </c>
      <c r="BE343" s="4">
        <f>'[8]Gov 65 &amp; 70'!$J428</f>
        <v>57.8</v>
      </c>
      <c r="BF343" s="4">
        <f t="shared" si="173"/>
        <v>85.4</v>
      </c>
      <c r="BG343" s="83">
        <f t="shared" ref="BG343" si="954">BF343-BE343</f>
        <v>27.600000000000009</v>
      </c>
      <c r="BH343" s="36" t="s">
        <v>18</v>
      </c>
      <c r="BI343" s="273">
        <f t="shared" ref="BI343" si="955">($G$10*BC343)*D343/1000</f>
        <v>-2068.4663751000016</v>
      </c>
      <c r="BJ343" s="270">
        <f t="shared" ref="BJ343" si="956">($G$9*BG343)*D343/1000</f>
        <v>771.04726200000039</v>
      </c>
      <c r="BK343" s="482">
        <f t="shared" ref="BK343" si="957">ROUND(BJ343+BI343,0)</f>
        <v>-1297</v>
      </c>
      <c r="BM343" s="36" t="s">
        <v>18</v>
      </c>
      <c r="BN343" s="4">
        <f t="shared" si="174"/>
        <v>2011</v>
      </c>
      <c r="BO343" s="4">
        <f t="shared" si="175"/>
        <v>3</v>
      </c>
      <c r="BP343" s="108">
        <f>(C343+[4]MWh!$AN177)</f>
        <v>279292.77038287354</v>
      </c>
      <c r="BQ343" s="108">
        <f t="shared" ref="BQ343" si="958">BP343/D343*1000</f>
        <v>12146.860800368528</v>
      </c>
      <c r="BR343" s="108">
        <f t="shared" ref="BR343" si="959">BT343/D343*1000</f>
        <v>12090.452328224832</v>
      </c>
      <c r="BS343" s="108">
        <f t="shared" ref="BS343" si="960">BR343-BR331</f>
        <v>2688.1954571564875</v>
      </c>
      <c r="BT343" s="175">
        <f t="shared" ref="BT343" si="961">BK343+BP343</f>
        <v>277995.77038287354</v>
      </c>
      <c r="BU343" s="108">
        <f t="shared" ref="BU343" si="962">BT343-BT331</f>
        <v>54419.504245739372</v>
      </c>
      <c r="BV343" s="4">
        <f t="shared" si="735"/>
        <v>-1297</v>
      </c>
      <c r="BW343" s="444">
        <f>BT343/[9]SPAMWh!$L223</f>
        <v>1.1496169417361695</v>
      </c>
      <c r="DA343" s="4">
        <f t="shared" si="657"/>
        <v>92</v>
      </c>
      <c r="DB343" s="108">
        <f>[9]SPAMWh!$E223</f>
        <v>242331</v>
      </c>
      <c r="DG343" s="108">
        <f t="shared" si="677"/>
        <v>242423</v>
      </c>
    </row>
    <row r="344" spans="1:111">
      <c r="A344" s="4">
        <f t="shared" si="297"/>
        <v>2011</v>
      </c>
      <c r="B344" s="4">
        <f t="shared" si="298"/>
        <v>4</v>
      </c>
      <c r="C344" s="5">
        <f>'[2]FPC wSEB'!$J441</f>
        <v>251738</v>
      </c>
      <c r="D344" s="5">
        <f>'[2]FPC wSEB'!$AB441</f>
        <v>23644</v>
      </c>
      <c r="E344" s="73">
        <f t="shared" ref="E344" si="963">ROUND(C344/D344*1000,0)</f>
        <v>10647</v>
      </c>
      <c r="F344" s="540">
        <f t="shared" si="825"/>
        <v>23644</v>
      </c>
      <c r="H344" s="13" t="s">
        <v>18</v>
      </c>
      <c r="I344" s="76">
        <f>'[7]Gov 65 &amp; 70'!$S429</f>
        <v>100.1</v>
      </c>
      <c r="J344" s="76">
        <f t="shared" si="164"/>
        <v>87.7</v>
      </c>
      <c r="K344" s="362">
        <f t="shared" ref="K344" si="964">(J344-I344)</f>
        <v>-12.399999999999991</v>
      </c>
      <c r="L344" s="200" t="s">
        <v>18</v>
      </c>
      <c r="M344" s="76">
        <f>'[7]Gov 65 &amp; 70'!$J429</f>
        <v>39.6</v>
      </c>
      <c r="N344" s="76">
        <f t="shared" si="165"/>
        <v>60.3</v>
      </c>
      <c r="O344" s="363">
        <f t="shared" ref="O344" si="965">(N344-M344)</f>
        <v>20.699999999999996</v>
      </c>
      <c r="P344" s="13" t="s">
        <v>18</v>
      </c>
      <c r="Q344" s="321">
        <f t="shared" ref="Q344" si="966">(K344*$G$10)*D344/1000</f>
        <v>-2611.4041391999981</v>
      </c>
      <c r="R344" s="78">
        <f t="shared" ref="R344" si="967">(O344*$G$9)*D344/1000</f>
        <v>594.65842199999986</v>
      </c>
      <c r="S344" s="479">
        <f t="shared" ref="S344" si="968">ROUND((R344+Q344),0)</f>
        <v>-2017</v>
      </c>
      <c r="T344" s="13" t="s">
        <v>18</v>
      </c>
      <c r="U344" s="4">
        <f t="shared" si="166"/>
        <v>2011</v>
      </c>
      <c r="V344" s="4">
        <f t="shared" si="167"/>
        <v>4</v>
      </c>
      <c r="W344" s="153">
        <f t="shared" ref="W344" si="969">Z344/D344*1000</f>
        <v>10561.706986973439</v>
      </c>
      <c r="X344" s="153">
        <f t="shared" ref="X344" si="970">W344-W332</f>
        <v>-248.98475700080598</v>
      </c>
      <c r="Z344" s="98">
        <f t="shared" ref="Z344" si="971">S344+C344</f>
        <v>249721</v>
      </c>
      <c r="AA344" s="119">
        <f t="shared" ref="AA344" si="972">Z344-C344</f>
        <v>-2017</v>
      </c>
      <c r="AB344" s="512">
        <f>[9]SPAMWh!$L224</f>
        <v>247116</v>
      </c>
      <c r="AC344" s="4">
        <f t="shared" si="168"/>
        <v>2011</v>
      </c>
      <c r="AD344" s="4">
        <f t="shared" si="169"/>
        <v>4</v>
      </c>
      <c r="AE344" s="107">
        <f>RESID!AC344</f>
        <v>29.4</v>
      </c>
      <c r="AF344" s="40">
        <f t="shared" ref="AF344" si="973">AG344/D344*1000</f>
        <v>10928.142446286583</v>
      </c>
      <c r="AG344" s="4">
        <f t="shared" ref="AG344" si="974">ROUND(Z344/(AE344/30.42),0)</f>
        <v>258385</v>
      </c>
      <c r="AH344" s="4">
        <f t="shared" ref="AH344" si="975">Z344-Z332</f>
        <v>-5487</v>
      </c>
      <c r="AY344" s="4">
        <f t="shared" si="332"/>
        <v>2011</v>
      </c>
      <c r="AZ344" s="4">
        <f t="shared" si="333"/>
        <v>4</v>
      </c>
      <c r="BA344" s="4">
        <f>'[8]Gov 65 &amp; 70'!$S429</f>
        <v>196.9</v>
      </c>
      <c r="BB344" s="4">
        <f t="shared" si="172"/>
        <v>122</v>
      </c>
      <c r="BC344" s="82">
        <f t="shared" ref="BC344" si="976">BB344-BA344</f>
        <v>-74.900000000000006</v>
      </c>
      <c r="BD344" s="36" t="s">
        <v>18</v>
      </c>
      <c r="BE344" s="4">
        <f>'[8]Gov 65 &amp; 70'!$J429</f>
        <v>14.6</v>
      </c>
      <c r="BF344" s="4">
        <f t="shared" si="173"/>
        <v>34.700000000000003</v>
      </c>
      <c r="BG344" s="83">
        <f t="shared" ref="BG344" si="977">BF344-BE344</f>
        <v>20.100000000000001</v>
      </c>
      <c r="BH344" s="36" t="s">
        <v>18</v>
      </c>
      <c r="BI344" s="273">
        <f t="shared" ref="BI344" si="978">($G$10*BC344)*D344/1000</f>
        <v>-15773.723389200002</v>
      </c>
      <c r="BJ344" s="270">
        <f t="shared" ref="BJ344" si="979">($G$9*BG344)*D344/1000</f>
        <v>577.42194600000005</v>
      </c>
      <c r="BK344" s="482">
        <f t="shared" ref="BK344" si="980">ROUND(BJ344+BI344,0)</f>
        <v>-15196</v>
      </c>
      <c r="BM344" s="36" t="s">
        <v>18</v>
      </c>
      <c r="BN344" s="4">
        <f t="shared" si="174"/>
        <v>2011</v>
      </c>
      <c r="BO344" s="4">
        <f t="shared" si="175"/>
        <v>4</v>
      </c>
      <c r="BP344" s="108">
        <f>(C344+[4]MWh!$AN178)</f>
        <v>273823.43197739439</v>
      </c>
      <c r="BQ344" s="108">
        <f t="shared" ref="BQ344" si="981">BP344/D344*1000</f>
        <v>11581.09592189961</v>
      </c>
      <c r="BR344" s="108">
        <f t="shared" ref="BR344" si="982">BT344/D344*1000</f>
        <v>10938.395871146777</v>
      </c>
      <c r="BS344" s="108">
        <f t="shared" ref="BS344" si="983">BR344-BR332</f>
        <v>-857.31295256315207</v>
      </c>
      <c r="BT344" s="175">
        <f t="shared" ref="BT344" si="984">BK344+BP344</f>
        <v>258627.43197739439</v>
      </c>
      <c r="BU344" s="108">
        <f t="shared" ref="BU344" si="985">BT344-BT332</f>
        <v>-19833.866223925899</v>
      </c>
      <c r="BV344" s="4">
        <f t="shared" si="735"/>
        <v>-15196</v>
      </c>
      <c r="BW344" s="444">
        <f>BT344/[9]SPAMWh!$L224</f>
        <v>1.0465831106743164</v>
      </c>
      <c r="DA344" s="4">
        <f t="shared" si="657"/>
        <v>-1011</v>
      </c>
      <c r="DB344" s="108">
        <f>[9]SPAMWh!$E224</f>
        <v>249133</v>
      </c>
      <c r="DG344" s="108">
        <f t="shared" si="677"/>
        <v>248122</v>
      </c>
    </row>
    <row r="345" spans="1:111">
      <c r="A345" s="4">
        <f t="shared" si="297"/>
        <v>2011</v>
      </c>
      <c r="B345" s="4">
        <f t="shared" si="298"/>
        <v>5</v>
      </c>
      <c r="C345" s="5">
        <f>'[2]FPC wSEB'!$J442</f>
        <v>277889</v>
      </c>
      <c r="D345" s="5">
        <f>'[2]FPC wSEB'!$AB442</f>
        <v>23584</v>
      </c>
      <c r="E345" s="73">
        <f t="shared" ref="E345" si="986">ROUND(C345/D345*1000,0)</f>
        <v>11783</v>
      </c>
      <c r="F345" s="540">
        <f t="shared" si="825"/>
        <v>23584</v>
      </c>
      <c r="H345" s="13" t="s">
        <v>18</v>
      </c>
      <c r="I345" s="76">
        <f>'[7]Gov 65 &amp; 70'!$S430</f>
        <v>223.8</v>
      </c>
      <c r="J345" s="76">
        <f t="shared" si="164"/>
        <v>157.69999999999999</v>
      </c>
      <c r="K345" s="362">
        <f t="shared" ref="K345" si="987">(J345-I345)</f>
        <v>-66.100000000000023</v>
      </c>
      <c r="L345" s="200" t="s">
        <v>18</v>
      </c>
      <c r="M345" s="76">
        <f>'[7]Gov 65 &amp; 70'!$J430</f>
        <v>9</v>
      </c>
      <c r="N345" s="76">
        <f t="shared" si="165"/>
        <v>18.600000000000001</v>
      </c>
      <c r="O345" s="363">
        <f t="shared" ref="O345" si="988">(N345-M345)</f>
        <v>9.6000000000000014</v>
      </c>
      <c r="P345" s="13" t="s">
        <v>18</v>
      </c>
      <c r="Q345" s="321">
        <f t="shared" ref="Q345" si="989">(K345*$G$10)*D345/1000</f>
        <v>-13885.143676800006</v>
      </c>
      <c r="R345" s="78">
        <f t="shared" ref="R345" si="990">(O345*$G$9)*D345/1000</f>
        <v>275.08377600000006</v>
      </c>
      <c r="S345" s="479">
        <f t="shared" ref="S345" si="991">ROUND((R345+Q345),0)</f>
        <v>-13610</v>
      </c>
      <c r="T345" s="13" t="s">
        <v>18</v>
      </c>
      <c r="U345" s="4">
        <f t="shared" si="166"/>
        <v>2011</v>
      </c>
      <c r="V345" s="4">
        <f t="shared" si="167"/>
        <v>5</v>
      </c>
      <c r="W345" s="153">
        <f t="shared" ref="W345" si="992">Z345/D345*1000</f>
        <v>11205.859905020352</v>
      </c>
      <c r="X345" s="153">
        <f t="shared" ref="X345" si="993">W345-W333</f>
        <v>-73.30141290861684</v>
      </c>
      <c r="Z345" s="98">
        <f t="shared" ref="Z345" si="994">S345+C345</f>
        <v>264279</v>
      </c>
      <c r="AA345" s="119">
        <f t="shared" ref="AA345" si="995">Z345-C345</f>
        <v>-13610</v>
      </c>
      <c r="AB345" s="512">
        <f>[9]SPAMWh!$L225</f>
        <v>264534</v>
      </c>
      <c r="AC345" s="4">
        <f t="shared" si="168"/>
        <v>2011</v>
      </c>
      <c r="AD345" s="4">
        <f t="shared" si="169"/>
        <v>5</v>
      </c>
      <c r="AE345" s="107">
        <f>RESID!AC345</f>
        <v>30.8</v>
      </c>
      <c r="AF345" s="40">
        <f t="shared" ref="AF345" si="996">AG345/D345*1000</f>
        <v>11067.588195386703</v>
      </c>
      <c r="AG345" s="4">
        <f t="shared" ref="AG345" si="997">ROUND(Z345/(AE345/30.42),0)</f>
        <v>261018</v>
      </c>
      <c r="AH345" s="4">
        <f t="shared" ref="AH345" si="998">Z345-Z333</f>
        <v>685</v>
      </c>
      <c r="AY345" s="4">
        <f t="shared" si="332"/>
        <v>2011</v>
      </c>
      <c r="AZ345" s="4">
        <f t="shared" si="333"/>
        <v>5</v>
      </c>
      <c r="BA345" s="4">
        <f>'[8]Gov 65 &amp; 70'!$S430</f>
        <v>271.2</v>
      </c>
      <c r="BB345" s="4">
        <f t="shared" si="172"/>
        <v>253</v>
      </c>
      <c r="BC345" s="82">
        <f t="shared" ref="BC345" si="999">BB345-BA345</f>
        <v>-18.199999999999989</v>
      </c>
      <c r="BD345" s="36" t="s">
        <v>18</v>
      </c>
      <c r="BE345" s="4">
        <f>'[8]Gov 65 &amp; 70'!$J430</f>
        <v>4.3</v>
      </c>
      <c r="BF345" s="4">
        <f t="shared" si="173"/>
        <v>4.3</v>
      </c>
      <c r="BG345" s="83">
        <f t="shared" ref="BG345" si="1000">BF345-BE345</f>
        <v>0</v>
      </c>
      <c r="BH345" s="36" t="s">
        <v>18</v>
      </c>
      <c r="BI345" s="273">
        <f t="shared" ref="BI345" si="1001">($G$10*BC345)*D345/1000</f>
        <v>-3823.1409215999975</v>
      </c>
      <c r="BJ345" s="270">
        <f t="shared" ref="BJ345" si="1002">($G$9*BG345)*D345/1000</f>
        <v>0</v>
      </c>
      <c r="BK345" s="482">
        <f t="shared" ref="BK345" si="1003">ROUND(BJ345+BI345,0)</f>
        <v>-3823</v>
      </c>
      <c r="BM345" s="36" t="s">
        <v>18</v>
      </c>
      <c r="BN345" s="4">
        <f t="shared" si="174"/>
        <v>2011</v>
      </c>
      <c r="BO345" s="4">
        <f t="shared" si="175"/>
        <v>5</v>
      </c>
      <c r="BP345" s="108">
        <f>(C345+[4]MWh!$AN179)</f>
        <v>279647.62973740697</v>
      </c>
      <c r="BQ345" s="108">
        <f t="shared" ref="BQ345" si="1004">BP345/D345*1000</f>
        <v>11857.514829435506</v>
      </c>
      <c r="BR345" s="108">
        <f t="shared" ref="BR345" si="1005">BT345/D345*1000</f>
        <v>11695.413404740797</v>
      </c>
      <c r="BS345" s="108">
        <f t="shared" ref="BS345" si="1006">BR345-BR333</f>
        <v>-973.9964953700055</v>
      </c>
      <c r="BT345" s="175">
        <f t="shared" ref="BT345" si="1007">BK345+BP345</f>
        <v>275824.62973740697</v>
      </c>
      <c r="BU345" s="108">
        <f t="shared" ref="BU345" si="1008">BT345-BT333</f>
        <v>-20259.479628182482</v>
      </c>
      <c r="BV345" s="4">
        <f t="shared" si="735"/>
        <v>-3823</v>
      </c>
      <c r="BW345" s="444">
        <f>BT345/[9]SPAMWh!$L225</f>
        <v>1.0426812044478477</v>
      </c>
      <c r="DA345" s="4">
        <f t="shared" si="657"/>
        <v>-9250</v>
      </c>
      <c r="DB345" s="108">
        <f>[9]SPAMWh!$E225</f>
        <v>278144</v>
      </c>
      <c r="DG345" s="108">
        <f t="shared" si="677"/>
        <v>268894</v>
      </c>
    </row>
    <row r="346" spans="1:111">
      <c r="A346" s="4">
        <f t="shared" si="297"/>
        <v>2011</v>
      </c>
      <c r="B346" s="4">
        <f t="shared" si="298"/>
        <v>6</v>
      </c>
      <c r="C346" s="5">
        <f>'[2]FPC wSEB'!$J443</f>
        <v>286214</v>
      </c>
      <c r="D346" s="5">
        <f>'[2]FPC wSEB'!$AB443</f>
        <v>23570</v>
      </c>
      <c r="E346" s="73">
        <f t="shared" ref="E346" si="1009">ROUND(C346/D346*1000,0)</f>
        <v>12143</v>
      </c>
      <c r="F346" s="540">
        <f t="shared" si="825"/>
        <v>23570</v>
      </c>
      <c r="H346" s="13" t="s">
        <v>18</v>
      </c>
      <c r="I346" s="76">
        <f>'[7]Gov 65 &amp; 70'!$S431</f>
        <v>305.2</v>
      </c>
      <c r="J346" s="76">
        <f t="shared" si="164"/>
        <v>295.39999999999998</v>
      </c>
      <c r="K346" s="362">
        <f t="shared" ref="K346" si="1010">(J346-I346)</f>
        <v>-9.8000000000000114</v>
      </c>
      <c r="L346" s="200" t="s">
        <v>18</v>
      </c>
      <c r="M346" s="76">
        <f>'[7]Gov 65 &amp; 70'!$J431</f>
        <v>3.1</v>
      </c>
      <c r="N346" s="76">
        <f t="shared" si="165"/>
        <v>2.2000000000000002</v>
      </c>
      <c r="O346" s="363">
        <f t="shared" ref="O346" si="1011">(N346-M346)</f>
        <v>-0.89999999999999991</v>
      </c>
      <c r="P346" s="13" t="s">
        <v>18</v>
      </c>
      <c r="Q346" s="321">
        <f t="shared" ref="Q346" si="1012">(K346*$G$10)*D346/1000</f>
        <v>-2057.3923020000025</v>
      </c>
      <c r="R346" s="78">
        <f t="shared" ref="R346" si="1013">(O346*$G$9)*D346/1000</f>
        <v>-25.773795</v>
      </c>
      <c r="S346" s="479">
        <f t="shared" ref="S346" si="1014">ROUND((R346+Q346),0)</f>
        <v>-2083</v>
      </c>
      <c r="T346" s="13" t="s">
        <v>18</v>
      </c>
      <c r="U346" s="4">
        <f t="shared" si="166"/>
        <v>2011</v>
      </c>
      <c r="V346" s="4">
        <f t="shared" si="167"/>
        <v>6</v>
      </c>
      <c r="W346" s="153">
        <f t="shared" ref="W346" si="1015">Z346/D346*1000</f>
        <v>12054.773016546458</v>
      </c>
      <c r="X346" s="153">
        <f t="shared" ref="X346" si="1016">W346-W334</f>
        <v>-501.34273145167754</v>
      </c>
      <c r="Z346" s="98">
        <f t="shared" ref="Z346" si="1017">S346+C346</f>
        <v>284131</v>
      </c>
      <c r="AA346" s="119">
        <f t="shared" ref="AA346" si="1018">Z346-C346</f>
        <v>-2083</v>
      </c>
      <c r="AB346" s="512">
        <f>[9]SPAMWh!$L226</f>
        <v>283675</v>
      </c>
      <c r="AC346" s="4">
        <f t="shared" si="168"/>
        <v>2011</v>
      </c>
      <c r="AD346" s="4">
        <f t="shared" si="169"/>
        <v>6</v>
      </c>
      <c r="AE346" s="107">
        <f>RESID!AC346</f>
        <v>30.55</v>
      </c>
      <c r="AF346" s="40">
        <f t="shared" ref="AF346" si="1019">AG346/D346*1000</f>
        <v>12003.478998727196</v>
      </c>
      <c r="AG346" s="4">
        <f t="shared" ref="AG346" si="1020">ROUND(Z346/(AE346/30.42),0)</f>
        <v>282922</v>
      </c>
      <c r="AH346" s="4">
        <f t="shared" ref="AH346" si="1021">Z346-Z334</f>
        <v>-12231</v>
      </c>
      <c r="AY346" s="4">
        <f t="shared" si="332"/>
        <v>2011</v>
      </c>
      <c r="AZ346" s="4">
        <f t="shared" si="333"/>
        <v>6</v>
      </c>
      <c r="BA346" s="4">
        <f>'[8]Gov 65 &amp; 70'!$S431</f>
        <v>376.8</v>
      </c>
      <c r="BB346" s="4">
        <f t="shared" si="172"/>
        <v>336.1</v>
      </c>
      <c r="BC346" s="82">
        <f t="shared" ref="BC346" si="1022">BB346-BA346</f>
        <v>-40.699999999999989</v>
      </c>
      <c r="BD346" s="36" t="s">
        <v>18</v>
      </c>
      <c r="BE346" s="4">
        <f>'[8]Gov 65 &amp; 70'!$J431</f>
        <v>0.4</v>
      </c>
      <c r="BF346" s="4">
        <f t="shared" si="173"/>
        <v>0</v>
      </c>
      <c r="BG346" s="83">
        <f t="shared" ref="BG346" si="1023">BF346-BE346</f>
        <v>-0.4</v>
      </c>
      <c r="BH346" s="36" t="s">
        <v>18</v>
      </c>
      <c r="BI346" s="273">
        <f t="shared" ref="BI346" si="1024">($G$10*BC346)*D346/1000</f>
        <v>-8544.4761929999986</v>
      </c>
      <c r="BJ346" s="270">
        <f t="shared" ref="BJ346" si="1025">($G$9*BG346)*D346/1000</f>
        <v>-11.455020000000001</v>
      </c>
      <c r="BK346" s="482">
        <f t="shared" ref="BK346" si="1026">ROUND(BJ346+BI346,0)</f>
        <v>-8556</v>
      </c>
      <c r="BM346" s="36" t="s">
        <v>18</v>
      </c>
      <c r="BN346" s="4">
        <f t="shared" si="174"/>
        <v>2011</v>
      </c>
      <c r="BO346" s="4">
        <f t="shared" si="175"/>
        <v>6</v>
      </c>
      <c r="BP346" s="108">
        <f>(C346+[4]MWh!$AN180)</f>
        <v>288529.47435268189</v>
      </c>
      <c r="BQ346" s="108">
        <f t="shared" ref="BQ346" si="1027">BP346/D346*1000</f>
        <v>12241.386268675516</v>
      </c>
      <c r="BR346" s="108">
        <f t="shared" ref="BR346" si="1028">BT346/D346*1000</f>
        <v>11878.382450262277</v>
      </c>
      <c r="BS346" s="108">
        <f t="shared" ref="BS346" si="1029">BR346-BR334</f>
        <v>-448.77218807622012</v>
      </c>
      <c r="BT346" s="175">
        <f t="shared" ref="BT346" si="1030">BK346+BP346</f>
        <v>279973.47435268189</v>
      </c>
      <c r="BU346" s="108">
        <f t="shared" ref="BU346" si="1031">BT346-BT334</f>
        <v>-10984.356576021644</v>
      </c>
      <c r="BV346" s="4">
        <f t="shared" si="735"/>
        <v>-8556</v>
      </c>
      <c r="BW346" s="444">
        <f>BT346/[9]SPAMWh!$L226</f>
        <v>0.98695152675661191</v>
      </c>
      <c r="DA346" s="4">
        <f t="shared" si="657"/>
        <v>-1460</v>
      </c>
      <c r="DB346" s="108">
        <f>[9]SPAMWh!$E226</f>
        <v>285758</v>
      </c>
      <c r="DG346" s="108">
        <f t="shared" si="677"/>
        <v>284298</v>
      </c>
    </row>
    <row r="347" spans="1:111">
      <c r="A347" s="4">
        <f t="shared" si="297"/>
        <v>2011</v>
      </c>
      <c r="B347" s="4">
        <f t="shared" si="298"/>
        <v>7</v>
      </c>
      <c r="C347" s="5">
        <f>'[2]FPC wSEB'!$J444</f>
        <v>274724</v>
      </c>
      <c r="D347" s="5">
        <f>'[2]FPC wSEB'!$AB444</f>
        <v>23309</v>
      </c>
      <c r="E347" s="73">
        <f t="shared" ref="E347" si="1032">ROUND(C347/D347*1000,0)</f>
        <v>11786</v>
      </c>
      <c r="F347" s="540">
        <f t="shared" si="825"/>
        <v>23309</v>
      </c>
      <c r="H347" s="13" t="s">
        <v>18</v>
      </c>
      <c r="I347" s="76">
        <f>'[7]Gov 65 &amp; 70'!$S432</f>
        <v>390.7</v>
      </c>
      <c r="J347" s="76">
        <f t="shared" si="164"/>
        <v>363.4</v>
      </c>
      <c r="K347" s="362">
        <f t="shared" ref="K347" si="1033">(J347-I347)</f>
        <v>-27.300000000000011</v>
      </c>
      <c r="L347" s="200" t="s">
        <v>18</v>
      </c>
      <c r="M347" s="76">
        <f>'[7]Gov 65 &amp; 70'!$J432</f>
        <v>0.3</v>
      </c>
      <c r="N347" s="76">
        <f t="shared" si="165"/>
        <v>0</v>
      </c>
      <c r="O347" s="363">
        <f t="shared" ref="O347" si="1034">(N347-M347)</f>
        <v>-0.3</v>
      </c>
      <c r="P347" s="13" t="s">
        <v>18</v>
      </c>
      <c r="Q347" s="321">
        <f t="shared" ref="Q347" si="1035">(K347*$G$10)*D347/1000</f>
        <v>-5667.8420799000023</v>
      </c>
      <c r="R347" s="78">
        <f t="shared" ref="R347" si="1036">(O347*$G$9)*D347/1000</f>
        <v>-8.4961304999999996</v>
      </c>
      <c r="S347" s="479">
        <f t="shared" ref="S347" si="1037">ROUND((R347+Q347),0)</f>
        <v>-5676</v>
      </c>
      <c r="T347" s="13" t="s">
        <v>18</v>
      </c>
      <c r="U347" s="4">
        <f t="shared" si="166"/>
        <v>2011</v>
      </c>
      <c r="V347" s="4">
        <f t="shared" si="167"/>
        <v>7</v>
      </c>
      <c r="W347" s="153">
        <f t="shared" ref="W347" si="1038">Z347/D347*1000</f>
        <v>11542.665923034023</v>
      </c>
      <c r="X347" s="153">
        <f t="shared" ref="X347" si="1039">W347-W335</f>
        <v>-107.41143642961833</v>
      </c>
      <c r="Z347" s="98">
        <f t="shared" ref="Z347" si="1040">S347+C347</f>
        <v>269048</v>
      </c>
      <c r="AA347" s="119">
        <f t="shared" ref="AA347" si="1041">Z347-C347</f>
        <v>-5676</v>
      </c>
      <c r="AB347" s="512">
        <f>[9]SPAMWh!$L227</f>
        <v>274156</v>
      </c>
      <c r="AC347" s="4">
        <f t="shared" si="168"/>
        <v>2011</v>
      </c>
      <c r="AD347" s="4">
        <f t="shared" si="169"/>
        <v>7</v>
      </c>
      <c r="AE347" s="107">
        <f>RESID!AC347</f>
        <v>30.55</v>
      </c>
      <c r="AF347" s="40">
        <f t="shared" ref="AF347" si="1042">AG347/D347*1000</f>
        <v>11493.543266549403</v>
      </c>
      <c r="AG347" s="4">
        <f t="shared" ref="AG347" si="1043">ROUND(Z347/(AE347/30.42),0)</f>
        <v>267903</v>
      </c>
      <c r="AH347" s="4">
        <f t="shared" ref="AH347" si="1044">Z347-Z335</f>
        <v>-2026</v>
      </c>
      <c r="AY347" s="4">
        <f t="shared" si="332"/>
        <v>2011</v>
      </c>
      <c r="AZ347" s="4">
        <f t="shared" si="333"/>
        <v>7</v>
      </c>
      <c r="BA347" s="4">
        <f>'[8]Gov 65 &amp; 70'!$S432</f>
        <v>415</v>
      </c>
      <c r="BB347" s="4">
        <f t="shared" si="172"/>
        <v>391.2</v>
      </c>
      <c r="BC347" s="82">
        <f t="shared" ref="BC347" si="1045">BB347-BA347</f>
        <v>-23.800000000000011</v>
      </c>
      <c r="BD347" s="36" t="s">
        <v>18</v>
      </c>
      <c r="BE347" s="4">
        <f>'[8]Gov 65 &amp; 70'!$J432</f>
        <v>0</v>
      </c>
      <c r="BF347" s="4">
        <f t="shared" si="173"/>
        <v>0</v>
      </c>
      <c r="BG347" s="83">
        <f t="shared" ref="BG347" si="1046">BF347-BE347</f>
        <v>0</v>
      </c>
      <c r="BH347" s="36" t="s">
        <v>18</v>
      </c>
      <c r="BI347" s="273">
        <f t="shared" ref="BI347" si="1047">($G$10*BC347)*D347/1000</f>
        <v>-4941.1956594000021</v>
      </c>
      <c r="BJ347" s="270">
        <f t="shared" ref="BJ347" si="1048">($G$9*BG347)*D347/1000</f>
        <v>0</v>
      </c>
      <c r="BK347" s="482">
        <f t="shared" ref="BK347" si="1049">ROUND(BJ347+BI347,0)</f>
        <v>-4941</v>
      </c>
      <c r="BM347" s="36" t="s">
        <v>18</v>
      </c>
      <c r="BN347" s="4">
        <f t="shared" si="174"/>
        <v>2011</v>
      </c>
      <c r="BO347" s="4">
        <f t="shared" si="175"/>
        <v>7</v>
      </c>
      <c r="BP347" s="108">
        <f>(C347+[4]MWh!$AN181)</f>
        <v>269678.11162092217</v>
      </c>
      <c r="BQ347" s="108">
        <f t="shared" ref="BQ347" si="1050">BP347/D347*1000</f>
        <v>11569.698898319197</v>
      </c>
      <c r="BR347" s="108">
        <f t="shared" ref="BR347" si="1051">BT347/D347*1000</f>
        <v>11357.720692475959</v>
      </c>
      <c r="BS347" s="108">
        <f t="shared" ref="BS347" si="1052">BR347-BR335</f>
        <v>189.70189674887297</v>
      </c>
      <c r="BT347" s="175">
        <f t="shared" ref="BT347" si="1053">BK347+BP347</f>
        <v>264737.11162092217</v>
      </c>
      <c r="BU347" s="108">
        <f t="shared" ref="BU347" si="1054">BT347-BT335</f>
        <v>4879.6502819443122</v>
      </c>
      <c r="BV347" s="4">
        <f t="shared" si="735"/>
        <v>-4941</v>
      </c>
      <c r="BW347" s="444">
        <f>BT347/[9]SPAMWh!$L227</f>
        <v>0.96564405528575759</v>
      </c>
      <c r="DA347" s="4">
        <f t="shared" si="657"/>
        <v>-3984</v>
      </c>
      <c r="DB347" s="108">
        <f>[9]SPAMWh!$E227</f>
        <v>279832</v>
      </c>
      <c r="DG347" s="108">
        <f t="shared" si="677"/>
        <v>275848</v>
      </c>
    </row>
    <row r="348" spans="1:111">
      <c r="A348" s="4">
        <f t="shared" si="297"/>
        <v>2011</v>
      </c>
      <c r="B348" s="4">
        <f t="shared" si="298"/>
        <v>8</v>
      </c>
      <c r="C348" s="5">
        <f>'[2]FPC wSEB'!$J445</f>
        <v>281879</v>
      </c>
      <c r="D348" s="5">
        <f>'[2]FPC wSEB'!$AB445</f>
        <v>24441</v>
      </c>
      <c r="E348" s="73">
        <f t="shared" ref="E348" si="1055">ROUND(C348/D348*1000,0)</f>
        <v>11533</v>
      </c>
      <c r="F348" s="540">
        <f t="shared" si="825"/>
        <v>24441</v>
      </c>
      <c r="H348" s="13" t="s">
        <v>18</v>
      </c>
      <c r="I348" s="76">
        <f>'[7]Gov 65 &amp; 70'!$S433</f>
        <v>434.1</v>
      </c>
      <c r="J348" s="76">
        <f t="shared" si="164"/>
        <v>390.1</v>
      </c>
      <c r="K348" s="362">
        <f t="shared" ref="K348" si="1056">(J348-I348)</f>
        <v>-44</v>
      </c>
      <c r="L348" s="200" t="s">
        <v>18</v>
      </c>
      <c r="M348" s="76">
        <f>'[7]Gov 65 &amp; 70'!$J433</f>
        <v>0</v>
      </c>
      <c r="N348" s="76">
        <f t="shared" si="165"/>
        <v>0</v>
      </c>
      <c r="O348" s="363">
        <f t="shared" ref="O348" si="1057">(N348-M348)</f>
        <v>0</v>
      </c>
      <c r="P348" s="13" t="s">
        <v>18</v>
      </c>
      <c r="Q348" s="321">
        <f t="shared" ref="Q348" si="1058">(K348*$G$10)*D348/1000</f>
        <v>-9578.6234280000008</v>
      </c>
      <c r="R348" s="78">
        <f t="shared" ref="R348" si="1059">(O348*$G$9)*D348/1000</f>
        <v>0</v>
      </c>
      <c r="S348" s="479">
        <f t="shared" ref="S348" si="1060">ROUND((R348+Q348),0)</f>
        <v>-9579</v>
      </c>
      <c r="T348" s="13" t="s">
        <v>18</v>
      </c>
      <c r="U348" s="4">
        <f t="shared" si="166"/>
        <v>2011</v>
      </c>
      <c r="V348" s="4">
        <f t="shared" si="167"/>
        <v>8</v>
      </c>
      <c r="W348" s="153">
        <f t="shared" ref="W348" si="1061">Z348/D348*1000</f>
        <v>11141.115338979584</v>
      </c>
      <c r="X348" s="153">
        <f t="shared" ref="X348" si="1062">W348-W336</f>
        <v>-810.49275473713715</v>
      </c>
      <c r="Z348" s="98">
        <f t="shared" ref="Z348" si="1063">S348+C348</f>
        <v>272300</v>
      </c>
      <c r="AA348" s="119">
        <f t="shared" ref="AA348" si="1064">Z348-C348</f>
        <v>-9579</v>
      </c>
      <c r="AB348" s="512">
        <f>[9]SPAMWh!$L228</f>
        <v>265752</v>
      </c>
      <c r="AC348" s="4">
        <f t="shared" si="168"/>
        <v>2011</v>
      </c>
      <c r="AD348" s="4">
        <f t="shared" si="169"/>
        <v>8</v>
      </c>
      <c r="AE348" s="107">
        <f>RESID!AC348</f>
        <v>31.3</v>
      </c>
      <c r="AF348" s="40">
        <f t="shared" ref="AF348" si="1065">AG348/D348*1000</f>
        <v>10827.871200032732</v>
      </c>
      <c r="AG348" s="4">
        <f t="shared" ref="AG348" si="1066">ROUND(Z348/(AE348/30.42),0)</f>
        <v>264644</v>
      </c>
      <c r="AH348" s="4">
        <f t="shared" ref="AH348" si="1067">Z348-Z336</f>
        <v>-8264</v>
      </c>
      <c r="AY348" s="4">
        <f t="shared" si="332"/>
        <v>2011</v>
      </c>
      <c r="AZ348" s="4">
        <f t="shared" si="333"/>
        <v>8</v>
      </c>
      <c r="BA348" s="4">
        <f>'[8]Gov 65 &amp; 70'!$S433</f>
        <v>437.5</v>
      </c>
      <c r="BB348" s="4">
        <f t="shared" si="172"/>
        <v>394.4</v>
      </c>
      <c r="BC348" s="82">
        <f t="shared" ref="BC348" si="1068">BB348-BA348</f>
        <v>-43.100000000000023</v>
      </c>
      <c r="BD348" s="36" t="s">
        <v>18</v>
      </c>
      <c r="BE348" s="4">
        <f>'[8]Gov 65 &amp; 70'!$J433</f>
        <v>0</v>
      </c>
      <c r="BF348" s="4">
        <f t="shared" si="173"/>
        <v>0</v>
      </c>
      <c r="BG348" s="83">
        <f t="shared" ref="BG348" si="1069">BF348-BE348</f>
        <v>0</v>
      </c>
      <c r="BH348" s="36" t="s">
        <v>18</v>
      </c>
      <c r="BI348" s="273">
        <f t="shared" ref="BI348" si="1070">($G$10*BC348)*D348/1000</f>
        <v>-9382.6970397000059</v>
      </c>
      <c r="BJ348" s="270">
        <f t="shared" ref="BJ348" si="1071">($G$9*BG348)*D348/1000</f>
        <v>0</v>
      </c>
      <c r="BK348" s="482">
        <f t="shared" ref="BK348" si="1072">ROUND(BJ348+BI348,0)</f>
        <v>-9383</v>
      </c>
      <c r="BM348" s="36" t="s">
        <v>18</v>
      </c>
      <c r="BN348" s="4">
        <f t="shared" si="174"/>
        <v>2011</v>
      </c>
      <c r="BO348" s="4">
        <f t="shared" si="175"/>
        <v>8</v>
      </c>
      <c r="BP348" s="108">
        <f>(C348+[4]MWh!$AN182)</f>
        <v>269938.28536665806</v>
      </c>
      <c r="BQ348" s="108">
        <f t="shared" ref="BQ348" si="1073">BP348/D348*1000</f>
        <v>11044.486124408086</v>
      </c>
      <c r="BR348" s="108">
        <f t="shared" ref="BR348" si="1074">BT348/D348*1000</f>
        <v>10660.582028830984</v>
      </c>
      <c r="BS348" s="108">
        <f t="shared" ref="BS348" si="1075">BR348-BR336</f>
        <v>-1253.5942728263199</v>
      </c>
      <c r="BT348" s="175">
        <f t="shared" ref="BT348" si="1076">BK348+BP348</f>
        <v>260555.28536665806</v>
      </c>
      <c r="BU348" s="108">
        <f t="shared" ref="BU348" si="1077">BT348-BT336</f>
        <v>-19130.003314747184</v>
      </c>
      <c r="BV348" s="4">
        <f t="shared" si="735"/>
        <v>-9383</v>
      </c>
      <c r="BW348" s="444">
        <f>BT348/[9]SPAMWh!$L228</f>
        <v>0.98044524732328664</v>
      </c>
      <c r="DA348" s="4">
        <f t="shared" si="657"/>
        <v>-6402</v>
      </c>
      <c r="DB348" s="108">
        <f>[9]SPAMWh!$E228</f>
        <v>275331</v>
      </c>
      <c r="DG348" s="108">
        <f t="shared" si="677"/>
        <v>268929</v>
      </c>
    </row>
    <row r="349" spans="1:111">
      <c r="A349" s="4">
        <f t="shared" si="297"/>
        <v>2011</v>
      </c>
      <c r="B349" s="4">
        <f t="shared" si="298"/>
        <v>9</v>
      </c>
      <c r="C349" s="5">
        <f>'[2]FPC wSEB'!$J446</f>
        <v>306272</v>
      </c>
      <c r="D349" s="5">
        <f>'[2]FPC wSEB'!$AB446</f>
        <v>23508</v>
      </c>
      <c r="E349" s="73">
        <f t="shared" ref="E349" si="1078">ROUND(C349/D349*1000,0)</f>
        <v>13028</v>
      </c>
      <c r="F349" s="540">
        <f t="shared" si="825"/>
        <v>23508</v>
      </c>
      <c r="H349" s="13" t="s">
        <v>18</v>
      </c>
      <c r="I349" s="76">
        <f>'[7]Gov 65 &amp; 70'!$S434</f>
        <v>396.6</v>
      </c>
      <c r="J349" s="76">
        <f t="shared" si="164"/>
        <v>381.2</v>
      </c>
      <c r="K349" s="362">
        <f t="shared" ref="K349" si="1079">(J349-I349)</f>
        <v>-15.400000000000034</v>
      </c>
      <c r="L349" s="200" t="s">
        <v>18</v>
      </c>
      <c r="M349" s="76">
        <f>'[7]Gov 65 &amp; 70'!$J434</f>
        <v>0.2</v>
      </c>
      <c r="N349" s="76">
        <f t="shared" si="165"/>
        <v>0</v>
      </c>
      <c r="O349" s="363">
        <f t="shared" ref="O349" si="1080">(N349-M349)</f>
        <v>-0.2</v>
      </c>
      <c r="P349" s="13" t="s">
        <v>18</v>
      </c>
      <c r="Q349" s="321">
        <f t="shared" ref="Q349" si="1081">(K349*$G$10)*D349/1000</f>
        <v>-3224.5406424000071</v>
      </c>
      <c r="R349" s="78">
        <f t="shared" ref="R349" si="1082">(O349*$G$9)*D349/1000</f>
        <v>-5.7124440000000005</v>
      </c>
      <c r="S349" s="479">
        <f t="shared" ref="S349" si="1083">ROUND((R349+Q349),0)</f>
        <v>-3230</v>
      </c>
      <c r="T349" s="13" t="s">
        <v>18</v>
      </c>
      <c r="U349" s="4">
        <f t="shared" si="166"/>
        <v>2011</v>
      </c>
      <c r="V349" s="4">
        <f t="shared" si="167"/>
        <v>9</v>
      </c>
      <c r="W349" s="153">
        <f t="shared" ref="W349" si="1084">Z349/D349*1000</f>
        <v>12891.015824400205</v>
      </c>
      <c r="X349" s="153">
        <f t="shared" ref="X349" si="1085">W349-W337</f>
        <v>-81.660375804085561</v>
      </c>
      <c r="Z349" s="98">
        <f t="shared" ref="Z349" si="1086">S349+C349</f>
        <v>303042</v>
      </c>
      <c r="AA349" s="119">
        <f t="shared" ref="AA349" si="1087">Z349-C349</f>
        <v>-3230</v>
      </c>
      <c r="AB349" s="512">
        <f>[9]SPAMWh!$L229</f>
        <v>303420</v>
      </c>
      <c r="AC349" s="4">
        <f t="shared" si="168"/>
        <v>2011</v>
      </c>
      <c r="AD349" s="4">
        <f t="shared" si="169"/>
        <v>9</v>
      </c>
      <c r="AE349" s="107">
        <f>RESID!AC349</f>
        <v>30.25</v>
      </c>
      <c r="AF349" s="40">
        <f t="shared" ref="AF349" si="1088">AG349/D349*1000</f>
        <v>12963.459247915604</v>
      </c>
      <c r="AG349" s="4">
        <f t="shared" ref="AG349" si="1089">ROUND(Z349/(AE349/30.42),0)</f>
        <v>304745</v>
      </c>
      <c r="AH349" s="4">
        <f t="shared" ref="AH349" si="1090">Z349-Z337</f>
        <v>-1764</v>
      </c>
      <c r="AY349" s="4">
        <f t="shared" si="332"/>
        <v>2011</v>
      </c>
      <c r="AZ349" s="4">
        <f t="shared" si="333"/>
        <v>9</v>
      </c>
      <c r="BA349" s="4">
        <f>'[8]Gov 65 &amp; 70'!$S434</f>
        <v>340.2</v>
      </c>
      <c r="BB349" s="4">
        <f t="shared" si="172"/>
        <v>339.3</v>
      </c>
      <c r="BC349" s="82">
        <f t="shared" ref="BC349" si="1091">BB349-BA349</f>
        <v>-0.89999999999997726</v>
      </c>
      <c r="BD349" s="36" t="s">
        <v>18</v>
      </c>
      <c r="BE349" s="4">
        <f>'[8]Gov 65 &amp; 70'!$J434</f>
        <v>0.3</v>
      </c>
      <c r="BF349" s="4">
        <f t="shared" si="173"/>
        <v>0</v>
      </c>
      <c r="BG349" s="83">
        <f t="shared" ref="BG349" si="1092">BF349-BE349</f>
        <v>-0.3</v>
      </c>
      <c r="BH349" s="36" t="s">
        <v>18</v>
      </c>
      <c r="BI349" s="273">
        <f t="shared" ref="BI349" si="1093">($G$10*BC349)*D349/1000</f>
        <v>-188.4471803999952</v>
      </c>
      <c r="BJ349" s="270">
        <f t="shared" ref="BJ349" si="1094">($G$9*BG349)*D349/1000</f>
        <v>-8.5686659999999986</v>
      </c>
      <c r="BK349" s="482">
        <f t="shared" ref="BK349" si="1095">ROUND(BJ349+BI349,0)</f>
        <v>-197</v>
      </c>
      <c r="BM349" s="36" t="s">
        <v>18</v>
      </c>
      <c r="BN349" s="4">
        <f t="shared" si="174"/>
        <v>2011</v>
      </c>
      <c r="BO349" s="4">
        <f t="shared" si="175"/>
        <v>9</v>
      </c>
      <c r="BP349" s="108">
        <f>(C349+[4]MWh!$AN183)</f>
        <v>309009.26993377064</v>
      </c>
      <c r="BQ349" s="108">
        <f t="shared" ref="BQ349" si="1096">BP349/D349*1000</f>
        <v>13144.855790955022</v>
      </c>
      <c r="BR349" s="108">
        <f t="shared" ref="BR349" si="1097">BT349/D349*1000</f>
        <v>13136.47566504044</v>
      </c>
      <c r="BS349" s="108">
        <f t="shared" ref="BS349" si="1098">BR349-BR337</f>
        <v>-109.58719612999084</v>
      </c>
      <c r="BT349" s="175">
        <f t="shared" ref="BT349" si="1099">BK349+BP349</f>
        <v>308812.26993377064</v>
      </c>
      <c r="BU349" s="108">
        <f t="shared" ref="BU349" si="1100">BT349-BT337</f>
        <v>-2417.2230522898026</v>
      </c>
      <c r="BV349" s="4">
        <f t="shared" si="735"/>
        <v>-197</v>
      </c>
      <c r="BW349" s="444">
        <f>BT349/[9]SPAMWh!$L229</f>
        <v>1.0177716364569596</v>
      </c>
      <c r="DA349" s="4">
        <f t="shared" si="657"/>
        <v>-2248</v>
      </c>
      <c r="DB349" s="108">
        <f>[9]SPAMWh!$E229</f>
        <v>306650</v>
      </c>
      <c r="DG349" s="108">
        <f t="shared" si="677"/>
        <v>304402</v>
      </c>
    </row>
    <row r="350" spans="1:111">
      <c r="A350" s="4">
        <f t="shared" ref="A350:A377" si="1101">A338+1</f>
        <v>2011</v>
      </c>
      <c r="B350" s="4">
        <f t="shared" ref="B350:B377" si="1102">B338</f>
        <v>10</v>
      </c>
      <c r="C350" s="5">
        <f>'[2]FPC wSEB'!$J447</f>
        <v>291065</v>
      </c>
      <c r="D350" s="5">
        <f>'[2]FPC wSEB'!$AB447</f>
        <v>23200</v>
      </c>
      <c r="E350" s="73">
        <f t="shared" ref="E350" si="1103">ROUND(C350/D350*1000,0)</f>
        <v>12546</v>
      </c>
      <c r="F350" s="540">
        <f t="shared" si="825"/>
        <v>23200</v>
      </c>
      <c r="H350" s="13" t="s">
        <v>18</v>
      </c>
      <c r="I350" s="76">
        <f>'[7]Gov 65 &amp; 70'!$S435</f>
        <v>289.10000000000002</v>
      </c>
      <c r="J350" s="76">
        <f t="shared" si="164"/>
        <v>287.8</v>
      </c>
      <c r="K350" s="362">
        <f t="shared" ref="K350" si="1104">(J350-I350)</f>
        <v>-1.3000000000000114</v>
      </c>
      <c r="L350" s="200" t="s">
        <v>18</v>
      </c>
      <c r="M350" s="76">
        <f>'[7]Gov 65 &amp; 70'!$J435</f>
        <v>3.6</v>
      </c>
      <c r="N350" s="76">
        <f t="shared" si="165"/>
        <v>2.5</v>
      </c>
      <c r="O350" s="363">
        <f t="shared" ref="O350" si="1105">(N350-M350)</f>
        <v>-1.1000000000000001</v>
      </c>
      <c r="P350" s="13" t="s">
        <v>18</v>
      </c>
      <c r="Q350" s="321">
        <f t="shared" ref="Q350" si="1106">(K350*$G$10)*D350/1000</f>
        <v>-268.63512000000236</v>
      </c>
      <c r="R350" s="78">
        <f t="shared" ref="R350" si="1107">(O350*$G$9)*D350/1000</f>
        <v>-31.006800000000005</v>
      </c>
      <c r="S350" s="479">
        <f t="shared" ref="S350" si="1108">ROUND((R350+Q350),0)</f>
        <v>-300</v>
      </c>
      <c r="T350" s="13" t="s">
        <v>18</v>
      </c>
      <c r="U350" s="4">
        <f t="shared" si="166"/>
        <v>2011</v>
      </c>
      <c r="V350" s="4">
        <f t="shared" si="167"/>
        <v>10</v>
      </c>
      <c r="W350" s="153">
        <f t="shared" ref="W350" si="1109">Z350/D350*1000</f>
        <v>12532.974137931034</v>
      </c>
      <c r="X350" s="153">
        <f t="shared" ref="X350" si="1110">W350-W338</f>
        <v>-430.48875338095968</v>
      </c>
      <c r="Z350" s="98">
        <f t="shared" ref="Z350" si="1111">S350+C350</f>
        <v>290765</v>
      </c>
      <c r="AA350" s="119">
        <f t="shared" ref="AA350" si="1112">Z350-C350</f>
        <v>-300</v>
      </c>
      <c r="AB350" s="512">
        <f>[9]SPAMWh!$L230</f>
        <v>293227</v>
      </c>
      <c r="AC350" s="4">
        <f t="shared" si="168"/>
        <v>2011</v>
      </c>
      <c r="AD350" s="4">
        <f t="shared" si="169"/>
        <v>10</v>
      </c>
      <c r="AE350" s="107">
        <f>RESID!AC350</f>
        <v>29.95</v>
      </c>
      <c r="AF350" s="40">
        <f t="shared" ref="AF350" si="1113">AG350/D350*1000</f>
        <v>12729.655172413793</v>
      </c>
      <c r="AG350" s="4">
        <f t="shared" ref="AG350" si="1114">ROUND(Z350/(AE350/30.42),0)</f>
        <v>295328</v>
      </c>
      <c r="AH350" s="4">
        <f t="shared" ref="AH350" si="1115">Z350-Z338</f>
        <v>-4076</v>
      </c>
      <c r="AY350" s="4">
        <f t="shared" si="332"/>
        <v>2011</v>
      </c>
      <c r="AZ350" s="4">
        <f t="shared" si="333"/>
        <v>10</v>
      </c>
      <c r="BA350" s="4">
        <f>'[8]Gov 65 &amp; 70'!$S435</f>
        <v>127.9</v>
      </c>
      <c r="BB350" s="4">
        <f t="shared" si="172"/>
        <v>200.4</v>
      </c>
      <c r="BC350" s="82">
        <f t="shared" ref="BC350" si="1116">BB350-BA350</f>
        <v>72.5</v>
      </c>
      <c r="BD350" s="36" t="s">
        <v>18</v>
      </c>
      <c r="BE350" s="4">
        <f>'[8]Gov 65 &amp; 70'!$J435</f>
        <v>25.3</v>
      </c>
      <c r="BF350" s="4">
        <f t="shared" si="173"/>
        <v>15</v>
      </c>
      <c r="BG350" s="83">
        <f t="shared" ref="BG350" si="1117">BF350-BE350</f>
        <v>-10.3</v>
      </c>
      <c r="BH350" s="36" t="s">
        <v>18</v>
      </c>
      <c r="BI350" s="273">
        <f t="shared" ref="BI350" si="1118">($G$10*BC350)*D350/1000</f>
        <v>14981.574000000002</v>
      </c>
      <c r="BJ350" s="270">
        <f t="shared" ref="BJ350" si="1119">($G$9*BG350)*D350/1000</f>
        <v>-290.33640000000003</v>
      </c>
      <c r="BK350" s="482">
        <f t="shared" ref="BK350" si="1120">ROUND(BJ350+BI350,0)</f>
        <v>14691</v>
      </c>
      <c r="BM350" s="36" t="s">
        <v>18</v>
      </c>
      <c r="BN350" s="4">
        <f t="shared" si="174"/>
        <v>2011</v>
      </c>
      <c r="BO350" s="4">
        <f t="shared" si="175"/>
        <v>10</v>
      </c>
      <c r="BP350" s="108">
        <f>(C350+[4]MWh!$AN184)</f>
        <v>271661.46497491124</v>
      </c>
      <c r="BQ350" s="108">
        <f t="shared" ref="BQ350" si="1121">BP350/D350*1000</f>
        <v>11709.545904091001</v>
      </c>
      <c r="BR350" s="108">
        <f t="shared" ref="BR350" si="1122">BT350/D350*1000</f>
        <v>12342.778662711691</v>
      </c>
      <c r="BS350" s="108">
        <f t="shared" ref="BS350" si="1123">BR350-BR338</f>
        <v>-1071.2529689156927</v>
      </c>
      <c r="BT350" s="175">
        <f t="shared" ref="BT350" si="1124">BK350+BP350</f>
        <v>286352.46497491124</v>
      </c>
      <c r="BU350" s="108">
        <f t="shared" ref="BU350" si="1125">BT350-BT338</f>
        <v>-18736.270454821992</v>
      </c>
      <c r="BV350" s="4">
        <f t="shared" si="735"/>
        <v>14691</v>
      </c>
      <c r="BW350" s="444">
        <f>BT350/[9]SPAMWh!$L230</f>
        <v>0.97655558654186425</v>
      </c>
      <c r="DA350" s="4">
        <f t="shared" si="657"/>
        <v>-231</v>
      </c>
      <c r="DB350" s="108">
        <f>[9]SPAMWh!$E230</f>
        <v>293527</v>
      </c>
      <c r="DG350" s="108">
        <f t="shared" si="677"/>
        <v>293296</v>
      </c>
    </row>
    <row r="351" spans="1:111">
      <c r="A351" s="4">
        <f t="shared" si="1101"/>
        <v>2011</v>
      </c>
      <c r="B351" s="4">
        <f t="shared" si="1102"/>
        <v>11</v>
      </c>
      <c r="C351" s="5">
        <f>'[2]FPC wSEB'!$J448</f>
        <v>261712</v>
      </c>
      <c r="D351" s="5">
        <f>'[2]FPC wSEB'!$AB448</f>
        <v>24832</v>
      </c>
      <c r="E351" s="73">
        <f t="shared" ref="E351" si="1126">ROUND(C351/D351*1000,0)</f>
        <v>10539</v>
      </c>
      <c r="F351" s="540">
        <f t="shared" si="825"/>
        <v>24832</v>
      </c>
      <c r="H351" s="13" t="s">
        <v>18</v>
      </c>
      <c r="I351" s="76">
        <f>'[7]Gov 65 &amp; 70'!$S436</f>
        <v>98.7</v>
      </c>
      <c r="J351" s="76">
        <f t="shared" si="164"/>
        <v>140.19999999999999</v>
      </c>
      <c r="K351" s="362">
        <f t="shared" ref="K351" si="1127">(J351-I351)</f>
        <v>41.499999999999986</v>
      </c>
      <c r="L351" s="200" t="s">
        <v>18</v>
      </c>
      <c r="M351" s="76">
        <f>'[7]Gov 65 &amp; 70'!$J436</f>
        <v>35.6</v>
      </c>
      <c r="N351" s="76">
        <f t="shared" si="165"/>
        <v>38.6</v>
      </c>
      <c r="O351" s="363">
        <f t="shared" ref="O351" si="1128">(N351-M351)</f>
        <v>3</v>
      </c>
      <c r="P351" s="13" t="s">
        <v>18</v>
      </c>
      <c r="Q351" s="321">
        <f t="shared" ref="Q351" si="1129">(K351*$G$10)*D351/1000</f>
        <v>9178.9128959999962</v>
      </c>
      <c r="R351" s="78">
        <f t="shared" ref="R351" si="1130">(O351*$G$9)*D351/1000</f>
        <v>90.512640000000019</v>
      </c>
      <c r="S351" s="479">
        <f t="shared" ref="S351" si="1131">ROUND((R351+Q351),0)</f>
        <v>9269</v>
      </c>
      <c r="T351" s="13" t="s">
        <v>18</v>
      </c>
      <c r="U351" s="4">
        <f t="shared" si="166"/>
        <v>2011</v>
      </c>
      <c r="V351" s="4">
        <f t="shared" si="167"/>
        <v>11</v>
      </c>
      <c r="W351" s="153">
        <f t="shared" ref="W351" si="1132">Z351/D351*1000</f>
        <v>10912.572487113403</v>
      </c>
      <c r="X351" s="153">
        <f t="shared" ref="X351" si="1133">W351-W339</f>
        <v>156.41573358246933</v>
      </c>
      <c r="Z351" s="98">
        <f t="shared" ref="Z351" si="1134">S351+C351</f>
        <v>270981</v>
      </c>
      <c r="AA351" s="119">
        <f t="shared" ref="AA351" si="1135">Z351-C351</f>
        <v>9269</v>
      </c>
      <c r="AB351" s="512">
        <f>[9]SPAMWh!$L231</f>
        <v>267643</v>
      </c>
      <c r="AC351" s="4">
        <f t="shared" si="168"/>
        <v>2011</v>
      </c>
      <c r="AD351" s="4">
        <f t="shared" si="169"/>
        <v>11</v>
      </c>
      <c r="AE351" s="107">
        <f>RESID!AC351</f>
        <v>29.95</v>
      </c>
      <c r="AF351" s="40">
        <f t="shared" ref="AF351" si="1136">AG351/D351*1000</f>
        <v>11083.803157216495</v>
      </c>
      <c r="AG351" s="4">
        <f t="shared" ref="AG351" si="1137">ROUND(Z351/(AE351/30.42),0)</f>
        <v>275233</v>
      </c>
      <c r="AH351" s="4">
        <f t="shared" ref="AH351" si="1138">Z351-Z339</f>
        <v>625</v>
      </c>
      <c r="AY351" s="4">
        <f t="shared" si="332"/>
        <v>2011</v>
      </c>
      <c r="AZ351" s="4">
        <f t="shared" si="333"/>
        <v>11</v>
      </c>
      <c r="BA351" s="4">
        <f>'[8]Gov 65 &amp; 70'!$S436</f>
        <v>62.9</v>
      </c>
      <c r="BB351" s="4">
        <f t="shared" si="172"/>
        <v>66.3</v>
      </c>
      <c r="BC351" s="82">
        <f t="shared" ref="BC351" si="1139">BB351-BA351</f>
        <v>3.3999999999999986</v>
      </c>
      <c r="BD351" s="36" t="s">
        <v>18</v>
      </c>
      <c r="BE351" s="4">
        <f>'[8]Gov 65 &amp; 70'!$J436</f>
        <v>53</v>
      </c>
      <c r="BF351" s="4">
        <f t="shared" si="173"/>
        <v>69.900000000000006</v>
      </c>
      <c r="BG351" s="83">
        <f t="shared" ref="BG351" si="1140">BF351-BE351</f>
        <v>16.900000000000006</v>
      </c>
      <c r="BH351" s="36" t="s">
        <v>18</v>
      </c>
      <c r="BI351" s="273">
        <f t="shared" ref="BI351" si="1141">($G$10*BC351)*D351/1000</f>
        <v>752.00732159999973</v>
      </c>
      <c r="BJ351" s="270">
        <f t="shared" ref="BJ351" si="1142">($G$9*BG351)*D351/1000</f>
        <v>509.88787200000019</v>
      </c>
      <c r="BK351" s="482">
        <f t="shared" ref="BK351" si="1143">ROUND(BJ351+BI351,0)</f>
        <v>1262</v>
      </c>
      <c r="BM351" s="36" t="s">
        <v>18</v>
      </c>
      <c r="BN351" s="4">
        <f t="shared" si="174"/>
        <v>2011</v>
      </c>
      <c r="BO351" s="4">
        <f t="shared" si="175"/>
        <v>11</v>
      </c>
      <c r="BP351" s="108">
        <f>(C351+[4]MWh!$AN185)</f>
        <v>246253.32645671896</v>
      </c>
      <c r="BQ351" s="108">
        <f t="shared" ref="BQ351" si="1144">BP351/D351*1000</f>
        <v>9916.7737780573025</v>
      </c>
      <c r="BR351" s="108">
        <f t="shared" ref="BR351" si="1145">BT351/D351*1000</f>
        <v>9967.5952986758602</v>
      </c>
      <c r="BS351" s="108">
        <f t="shared" ref="BS351" si="1146">BR351-BR339</f>
        <v>828.81945293032186</v>
      </c>
      <c r="BT351" s="175">
        <f t="shared" ref="BT351" si="1147">BK351+BP351</f>
        <v>247515.32645671896</v>
      </c>
      <c r="BU351" s="108">
        <f t="shared" ref="BU351" si="1148">BT351-BT339</f>
        <v>17812.195573904872</v>
      </c>
      <c r="BV351" s="4">
        <f t="shared" si="735"/>
        <v>1262</v>
      </c>
      <c r="BW351" s="444">
        <f>BT351/[9]SPAMWh!$L231</f>
        <v>0.92479656279715505</v>
      </c>
      <c r="DA351" s="4">
        <f t="shared" si="657"/>
        <v>6153</v>
      </c>
      <c r="DB351" s="108">
        <f>[9]SPAMWh!$E231</f>
        <v>258374</v>
      </c>
      <c r="DG351" s="108">
        <f t="shared" si="677"/>
        <v>264527</v>
      </c>
    </row>
    <row r="352" spans="1:111" s="89" customFormat="1">
      <c r="A352" s="89">
        <f t="shared" si="1101"/>
        <v>2011</v>
      </c>
      <c r="B352" s="89">
        <f t="shared" si="1102"/>
        <v>12</v>
      </c>
      <c r="C352" s="103">
        <f>'[2]FPC wSEB'!$J449</f>
        <v>247261</v>
      </c>
      <c r="D352" s="103">
        <f>'[2]FPC wSEB'!$AB449</f>
        <v>23864</v>
      </c>
      <c r="E352" s="104">
        <f t="shared" ref="E352" si="1149">ROUND(C352/D352*1000,0)</f>
        <v>10361</v>
      </c>
      <c r="F352" s="586">
        <f t="shared" si="825"/>
        <v>23864</v>
      </c>
      <c r="H352" s="90" t="s">
        <v>18</v>
      </c>
      <c r="I352" s="92">
        <f>'[7]Gov 65 &amp; 70'!$S437</f>
        <v>59.2</v>
      </c>
      <c r="J352" s="92">
        <f t="shared" si="164"/>
        <v>50.8</v>
      </c>
      <c r="K352" s="364">
        <f t="shared" ref="K352" si="1150">(J352-I352)</f>
        <v>-8.4000000000000057</v>
      </c>
      <c r="L352" s="210" t="s">
        <v>18</v>
      </c>
      <c r="M352" s="92">
        <f>'[7]Gov 65 &amp; 70'!$J437</f>
        <v>67.8</v>
      </c>
      <c r="N352" s="92">
        <f t="shared" si="165"/>
        <v>121.8</v>
      </c>
      <c r="O352" s="365">
        <f t="shared" ref="O352" si="1151">(N352-M352)</f>
        <v>54</v>
      </c>
      <c r="P352" s="90" t="s">
        <v>18</v>
      </c>
      <c r="Q352" s="360">
        <f t="shared" ref="Q352" si="1152">(K352*$G$10)*D352/1000</f>
        <v>-1785.4758432000012</v>
      </c>
      <c r="R352" s="95">
        <f t="shared" ref="R352" si="1153">(O352*$G$9)*D352/1000</f>
        <v>1565.71704</v>
      </c>
      <c r="S352" s="480">
        <f t="shared" ref="S352" si="1154">ROUND((R352+Q352),0)</f>
        <v>-220</v>
      </c>
      <c r="T352" s="90" t="s">
        <v>18</v>
      </c>
      <c r="U352" s="89">
        <f t="shared" si="166"/>
        <v>2011</v>
      </c>
      <c r="V352" s="89">
        <f t="shared" si="167"/>
        <v>12</v>
      </c>
      <c r="W352" s="154">
        <f t="shared" ref="W352" si="1155">Z352/D352*1000</f>
        <v>10352.036540395575</v>
      </c>
      <c r="X352" s="154">
        <f t="shared" ref="X352" si="1156">W352-W340</f>
        <v>-152.98073903149816</v>
      </c>
      <c r="Z352" s="155">
        <f t="shared" ref="Z352" si="1157">S352+C352</f>
        <v>247041</v>
      </c>
      <c r="AA352" s="156">
        <f t="shared" ref="AA352" si="1158">Z352-C352</f>
        <v>-220</v>
      </c>
      <c r="AB352" s="522">
        <f>[9]SPAMWh!$L232</f>
        <v>249070</v>
      </c>
      <c r="AC352" s="89">
        <f t="shared" si="168"/>
        <v>2011</v>
      </c>
      <c r="AD352" s="89">
        <f t="shared" si="169"/>
        <v>12</v>
      </c>
      <c r="AE352" s="110">
        <f>RESID!AC352</f>
        <v>31.55</v>
      </c>
      <c r="AF352" s="116">
        <f t="shared" ref="AF352" si="1159">AG352/D352*1000</f>
        <v>9981.268856855515</v>
      </c>
      <c r="AG352" s="89">
        <f t="shared" ref="AG352" si="1160">ROUND(Z352/(AE352/30.42),0)</f>
        <v>238193</v>
      </c>
      <c r="AH352" s="89">
        <f t="shared" ref="AH352" si="1161">Z352-Z340</f>
        <v>-5258</v>
      </c>
      <c r="AY352" s="89">
        <f t="shared" si="332"/>
        <v>2011</v>
      </c>
      <c r="AZ352" s="89">
        <f t="shared" si="333"/>
        <v>12</v>
      </c>
      <c r="BA352" s="89">
        <f>'[8]Gov 65 &amp; 70'!$S437</f>
        <v>34.299999999999997</v>
      </c>
      <c r="BB352" s="89">
        <f t="shared" si="172"/>
        <v>28.2</v>
      </c>
      <c r="BC352" s="111">
        <f t="shared" ref="BC352" si="1162">BB352-BA352</f>
        <v>-6.0999999999999979</v>
      </c>
      <c r="BD352" s="113" t="s">
        <v>18</v>
      </c>
      <c r="BE352" s="89">
        <f>'[8]Gov 65 &amp; 70'!$J437</f>
        <v>94.2</v>
      </c>
      <c r="BF352" s="89">
        <f t="shared" si="173"/>
        <v>170</v>
      </c>
      <c r="BG352" s="112">
        <f t="shared" ref="BG352" si="1163">BF352-BE352</f>
        <v>75.8</v>
      </c>
      <c r="BH352" s="113" t="s">
        <v>18</v>
      </c>
      <c r="BI352" s="274">
        <f t="shared" ref="BI352" si="1164">($G$10*BC352)*D352/1000</f>
        <v>-1296.5955527999995</v>
      </c>
      <c r="BJ352" s="275">
        <f t="shared" ref="BJ352" si="1165">($G$9*BG352)*D352/1000</f>
        <v>2197.8028080000004</v>
      </c>
      <c r="BK352" s="483">
        <f t="shared" ref="BK352" si="1166">ROUND(BJ352+BI352,0)</f>
        <v>901</v>
      </c>
      <c r="BL352" s="438"/>
      <c r="BM352" s="113" t="s">
        <v>18</v>
      </c>
      <c r="BN352" s="89">
        <f t="shared" si="174"/>
        <v>2011</v>
      </c>
      <c r="BO352" s="89">
        <f t="shared" si="175"/>
        <v>12</v>
      </c>
      <c r="BP352" s="117">
        <f>(C352+[4]MWh!$AN186)</f>
        <v>240380.79416881257</v>
      </c>
      <c r="BQ352" s="117">
        <f t="shared" ref="BQ352" si="1167">BP352/D352*1000</f>
        <v>10072.946453604281</v>
      </c>
      <c r="BR352" s="117">
        <f t="shared" ref="BR352" si="1168">BT352/D352*1000</f>
        <v>10110.702068756811</v>
      </c>
      <c r="BS352" s="117">
        <f t="shared" ref="BS352" si="1169">BR352-BR340</f>
        <v>-1843.3152063960188</v>
      </c>
      <c r="BT352" s="176">
        <f t="shared" ref="BT352" si="1170">BK352+BP352</f>
        <v>241281.79416881257</v>
      </c>
      <c r="BU352" s="117">
        <f t="shared" ref="BU352" si="1171">BT352-BT340</f>
        <v>-45817.838728532952</v>
      </c>
      <c r="BV352" s="89">
        <f t="shared" si="735"/>
        <v>901</v>
      </c>
      <c r="BW352" s="533">
        <f>BT352/[9]SPAMWh!$L232</f>
        <v>0.96873085545755233</v>
      </c>
      <c r="BX352" s="539" t="s">
        <v>312</v>
      </c>
      <c r="DA352" s="4">
        <f t="shared" si="657"/>
        <v>848</v>
      </c>
      <c r="DB352" s="108">
        <f>[9]SPAMWh!$E232</f>
        <v>249290</v>
      </c>
      <c r="DC352" s="4"/>
      <c r="DD352" s="4"/>
      <c r="DE352" s="4"/>
      <c r="DF352" s="4"/>
      <c r="DG352" s="108">
        <f t="shared" si="677"/>
        <v>250138</v>
      </c>
    </row>
    <row r="353" spans="1:111">
      <c r="A353" s="4">
        <f t="shared" si="1101"/>
        <v>2012</v>
      </c>
      <c r="B353" s="4">
        <f t="shared" si="1102"/>
        <v>1</v>
      </c>
      <c r="C353" s="5">
        <f>'[2]FPC wSEB'!$J450</f>
        <v>236773</v>
      </c>
      <c r="D353" s="5">
        <f>'[2]FPC wSEB'!$AB450</f>
        <v>23241</v>
      </c>
      <c r="E353" s="73">
        <f t="shared" ref="E353" si="1172">ROUND(C353/D353*1000,0)</f>
        <v>10188</v>
      </c>
      <c r="F353" s="540">
        <f t="shared" si="825"/>
        <v>23241</v>
      </c>
      <c r="H353" s="13" t="s">
        <v>18</v>
      </c>
      <c r="I353" s="76">
        <f>'[7]Gov 65 &amp; 70'!$S438</f>
        <v>28.7</v>
      </c>
      <c r="J353" s="76">
        <f t="shared" si="164"/>
        <v>28.7</v>
      </c>
      <c r="K353" s="362">
        <f t="shared" ref="K353" si="1173">(J353-I353)</f>
        <v>0</v>
      </c>
      <c r="L353" s="200" t="s">
        <v>18</v>
      </c>
      <c r="M353" s="76">
        <f>'[7]Gov 65 &amp; 70'!$J438</f>
        <v>145.5</v>
      </c>
      <c r="N353" s="76">
        <f t="shared" si="165"/>
        <v>192.9</v>
      </c>
      <c r="O353" s="363">
        <f t="shared" ref="O353" si="1174">(N353-M353)</f>
        <v>47.400000000000006</v>
      </c>
      <c r="P353" s="13" t="s">
        <v>18</v>
      </c>
      <c r="Q353" s="321">
        <f t="shared" ref="Q353:Q358" si="1175">(K353*$H$10)*D353/1000</f>
        <v>0</v>
      </c>
      <c r="R353" s="78">
        <f t="shared" ref="R353:R358" si="1176">(O353*$H$9)*D353/1000</f>
        <v>2234.0922552000006</v>
      </c>
      <c r="S353" s="479">
        <f t="shared" ref="S353" si="1177">ROUND((R353+Q353),0)</f>
        <v>2234</v>
      </c>
      <c r="T353" s="13" t="s">
        <v>18</v>
      </c>
      <c r="U353" s="4">
        <f t="shared" si="166"/>
        <v>2012</v>
      </c>
      <c r="V353" s="4">
        <f t="shared" si="167"/>
        <v>1</v>
      </c>
      <c r="W353" s="153">
        <f t="shared" ref="W353" si="1178">Z353/D353*1000</f>
        <v>10283.851813605266</v>
      </c>
      <c r="X353" s="153">
        <f t="shared" ref="X353" si="1179">W353-W341</f>
        <v>-387.91319899575865</v>
      </c>
      <c r="Z353" s="98">
        <f t="shared" ref="Z353" si="1180">S353+C353</f>
        <v>239007</v>
      </c>
      <c r="AA353" s="119">
        <f t="shared" ref="AA353" si="1181">Z353-C353</f>
        <v>2234</v>
      </c>
      <c r="AB353" s="512">
        <f>[9]SPAMWh!$L233</f>
        <v>241060</v>
      </c>
      <c r="AC353" s="4">
        <f t="shared" si="168"/>
        <v>2012</v>
      </c>
      <c r="AD353" s="4">
        <f t="shared" si="169"/>
        <v>1</v>
      </c>
      <c r="AE353" s="107">
        <f>RESID!AC353</f>
        <v>31.7</v>
      </c>
      <c r="AF353" s="40">
        <f t="shared" ref="AF353" si="1182">AG353/D353*1000</f>
        <v>9868.594294565637</v>
      </c>
      <c r="AG353" s="4">
        <f t="shared" ref="AG353" si="1183">ROUND(Z353/(AE353/30.42),0)</f>
        <v>229356</v>
      </c>
      <c r="AH353" s="4">
        <f t="shared" ref="AH353" si="1184">Z353-Z341</f>
        <v>-6593</v>
      </c>
      <c r="AY353" s="4">
        <f t="shared" si="332"/>
        <v>2012</v>
      </c>
      <c r="AZ353" s="4">
        <f t="shared" si="333"/>
        <v>1</v>
      </c>
      <c r="BA353" s="4">
        <f>'[8]Gov 65 &amp; 70'!$S438</f>
        <v>20.6</v>
      </c>
      <c r="BB353" s="4">
        <f t="shared" si="172"/>
        <v>23.9</v>
      </c>
      <c r="BC353" s="82">
        <f t="shared" ref="BC353" si="1185">BB353-BA353</f>
        <v>3.2999999999999972</v>
      </c>
      <c r="BD353" s="36" t="s">
        <v>18</v>
      </c>
      <c r="BE353" s="4">
        <f>'[8]Gov 65 &amp; 70'!$J438</f>
        <v>183.5</v>
      </c>
      <c r="BF353" s="4">
        <f t="shared" si="173"/>
        <v>176.9</v>
      </c>
      <c r="BG353" s="83">
        <f t="shared" ref="BG353" si="1186">BF353-BE353</f>
        <v>-6.5999999999999943</v>
      </c>
      <c r="BH353" s="36" t="s">
        <v>18</v>
      </c>
      <c r="BI353" s="273">
        <f t="shared" ref="BI353:BI358" si="1187">($H$10*BC353)*D353/1000</f>
        <v>792.1090583999993</v>
      </c>
      <c r="BJ353" s="270">
        <f t="shared" ref="BJ353:BJ358" si="1188">($H$9*BG353)*D353/1000</f>
        <v>-311.07613679999974</v>
      </c>
      <c r="BK353" s="482">
        <f t="shared" ref="BK353" si="1189">ROUND(BJ353+BI353,0)</f>
        <v>481</v>
      </c>
      <c r="BM353" s="36" t="s">
        <v>18</v>
      </c>
      <c r="BN353" s="4">
        <f t="shared" si="174"/>
        <v>2012</v>
      </c>
      <c r="BO353" s="4">
        <f t="shared" si="175"/>
        <v>1</v>
      </c>
      <c r="BP353" s="108">
        <f>(C353+[4]MWh!$AN187)</f>
        <v>240663.80279041856</v>
      </c>
      <c r="BQ353" s="108">
        <f t="shared" ref="BQ353" si="1190">BP353/D353*1000</f>
        <v>10355.13974400493</v>
      </c>
      <c r="BR353" s="108">
        <f t="shared" ref="BR353" si="1191">BT353/D353*1000</f>
        <v>10375.8359274738</v>
      </c>
      <c r="BS353" s="108">
        <f t="shared" ref="BS353" si="1192">BR353-BR341</f>
        <v>1586.7474572046467</v>
      </c>
      <c r="BT353" s="175">
        <f t="shared" ref="BT353" si="1193">BK353+BP353</f>
        <v>241144.80279041856</v>
      </c>
      <c r="BU353" s="108">
        <f t="shared" ref="BU353" si="1194">BT353-BT341</f>
        <v>38872.720735644281</v>
      </c>
      <c r="BV353" s="4">
        <f t="shared" si="735"/>
        <v>481</v>
      </c>
      <c r="BW353" s="444">
        <f>BT353/[9]SPAMWh!$L233</f>
        <v>1.000351791215542</v>
      </c>
      <c r="BX353" s="537">
        <f>AVERAGE(BW353,BW341,BW329,BW317,BW305,BW293,BW281,BW269,BW257,BW245)</f>
        <v>0.9524392080587184</v>
      </c>
      <c r="DA353" s="4">
        <f t="shared" si="657"/>
        <v>1817</v>
      </c>
      <c r="DB353" s="108">
        <f>[9]SPAMWh!$E233</f>
        <v>238826</v>
      </c>
      <c r="DG353" s="108">
        <f t="shared" si="677"/>
        <v>240643</v>
      </c>
    </row>
    <row r="354" spans="1:111">
      <c r="A354" s="4">
        <f t="shared" si="1101"/>
        <v>2012</v>
      </c>
      <c r="B354" s="4">
        <f t="shared" si="1102"/>
        <v>2</v>
      </c>
      <c r="C354" s="5">
        <f>'[2]FPC wSEB'!$J451</f>
        <v>265269</v>
      </c>
      <c r="D354" s="5">
        <f>'[2]FPC wSEB'!$AB451</f>
        <v>23466</v>
      </c>
      <c r="E354" s="73">
        <f t="shared" ref="E354" si="1195">ROUND(C354/D354*1000,0)</f>
        <v>11304</v>
      </c>
      <c r="F354" s="540">
        <f t="shared" si="825"/>
        <v>23466</v>
      </c>
      <c r="H354" s="13" t="s">
        <v>18</v>
      </c>
      <c r="I354" s="76">
        <f>'[7]Gov 65 &amp; 70'!$S439</f>
        <v>29.4</v>
      </c>
      <c r="J354" s="76">
        <f t="shared" si="164"/>
        <v>22.6</v>
      </c>
      <c r="K354" s="362">
        <f t="shared" ref="K354" si="1196">(J354-I354)</f>
        <v>-6.7999999999999972</v>
      </c>
      <c r="L354" s="200" t="s">
        <v>18</v>
      </c>
      <c r="M354" s="76">
        <f>'[7]Gov 65 &amp; 70'!$J439</f>
        <v>130.30000000000001</v>
      </c>
      <c r="N354" s="76">
        <f t="shared" si="165"/>
        <v>177.2</v>
      </c>
      <c r="O354" s="363">
        <f t="shared" ref="O354" si="1197">(N354-M354)</f>
        <v>46.899999999999977</v>
      </c>
      <c r="P354" s="13" t="s">
        <v>18</v>
      </c>
      <c r="Q354" s="321">
        <f t="shared" si="1175"/>
        <v>-1648.026566399999</v>
      </c>
      <c r="R354" s="78">
        <f t="shared" si="1176"/>
        <v>2231.9263511999989</v>
      </c>
      <c r="S354" s="479">
        <f t="shared" ref="S354" si="1198">ROUND((R354+Q354),0)</f>
        <v>584</v>
      </c>
      <c r="T354" s="13" t="s">
        <v>18</v>
      </c>
      <c r="U354" s="4">
        <f t="shared" si="166"/>
        <v>2012</v>
      </c>
      <c r="V354" s="4">
        <f t="shared" si="167"/>
        <v>2</v>
      </c>
      <c r="W354" s="153">
        <f t="shared" ref="W354" si="1199">Z354/D354*1000</f>
        <v>11329.284922867126</v>
      </c>
      <c r="X354" s="153">
        <f t="shared" ref="X354" si="1200">W354-W342</f>
        <v>1395.6396296670064</v>
      </c>
      <c r="Z354" s="98">
        <f t="shared" ref="Z354" si="1201">S354+C354</f>
        <v>265853</v>
      </c>
      <c r="AA354" s="119">
        <f t="shared" ref="AA354" si="1202">Z354-C354</f>
        <v>584</v>
      </c>
      <c r="AB354" s="512">
        <f>[9]SPAMWh!$L234</f>
        <v>263351</v>
      </c>
      <c r="AC354" s="4">
        <f t="shared" si="168"/>
        <v>2012</v>
      </c>
      <c r="AD354" s="4">
        <f t="shared" si="169"/>
        <v>2</v>
      </c>
      <c r="AE354" s="107">
        <f>RESID!AC354</f>
        <v>30</v>
      </c>
      <c r="AF354" s="40">
        <f t="shared" ref="AF354" si="1203">AG354/D354*1000</f>
        <v>11487.897383448393</v>
      </c>
      <c r="AG354" s="4">
        <f t="shared" ref="AG354" si="1204">ROUND(Z354/(AE354/30.42),0)</f>
        <v>269575</v>
      </c>
      <c r="AH354" s="4">
        <f t="shared" ref="AH354" si="1205">Z354-Z342</f>
        <v>30217</v>
      </c>
      <c r="AY354" s="4">
        <f t="shared" si="332"/>
        <v>2012</v>
      </c>
      <c r="AZ354" s="4">
        <f t="shared" si="333"/>
        <v>2</v>
      </c>
      <c r="BA354" s="4">
        <f>'[8]Gov 65 &amp; 70'!$S439</f>
        <v>48</v>
      </c>
      <c r="BB354" s="4">
        <f t="shared" si="172"/>
        <v>32.799999999999997</v>
      </c>
      <c r="BC354" s="82">
        <f t="shared" ref="BC354" si="1206">BB354-BA354</f>
        <v>-15.200000000000003</v>
      </c>
      <c r="BD354" s="36" t="s">
        <v>18</v>
      </c>
      <c r="BE354" s="4">
        <f>'[8]Gov 65 &amp; 70'!$J439</f>
        <v>83.1</v>
      </c>
      <c r="BF354" s="4">
        <f t="shared" si="173"/>
        <v>139.1</v>
      </c>
      <c r="BG354" s="83">
        <f t="shared" ref="BG354" si="1207">BF354-BE354</f>
        <v>56</v>
      </c>
      <c r="BH354" s="36" t="s">
        <v>18</v>
      </c>
      <c r="BI354" s="273">
        <f t="shared" si="1187"/>
        <v>-3683.8240896000011</v>
      </c>
      <c r="BJ354" s="270">
        <f t="shared" si="1188"/>
        <v>2664.986688</v>
      </c>
      <c r="BK354" s="482">
        <f t="shared" ref="BK354" si="1208">ROUND(BJ354+BI354,0)</f>
        <v>-1019</v>
      </c>
      <c r="BM354" s="36" t="s">
        <v>18</v>
      </c>
      <c r="BN354" s="4">
        <f t="shared" si="174"/>
        <v>2012</v>
      </c>
      <c r="BO354" s="4">
        <f t="shared" si="175"/>
        <v>2</v>
      </c>
      <c r="BP354" s="108">
        <f>(C354+[4]MWh!$AN188)</f>
        <v>290585.01469116251</v>
      </c>
      <c r="BQ354" s="108">
        <f t="shared" ref="BQ354" si="1209">BP354/D354*1000</f>
        <v>12383.235945246846</v>
      </c>
      <c r="BR354" s="108">
        <f t="shared" ref="BR354" si="1210">BT354/D354*1000</f>
        <v>12339.811416140907</v>
      </c>
      <c r="BS354" s="108">
        <f t="shared" ref="BS354" si="1211">BR354-BR342</f>
        <v>2740.9514961704281</v>
      </c>
      <c r="BT354" s="175">
        <f t="shared" ref="BT354" si="1212">BK354+BP354</f>
        <v>289566.01469116251</v>
      </c>
      <c r="BU354" s="108">
        <f t="shared" ref="BU354" si="1213">BT354-BT342</f>
        <v>61871.458529542782</v>
      </c>
      <c r="BV354" s="4">
        <f t="shared" si="735"/>
        <v>-1019</v>
      </c>
      <c r="BW354" s="444">
        <f>BT354/[9]SPAMWh!$L234</f>
        <v>1.0995440104315628</v>
      </c>
      <c r="BX354" s="537">
        <f t="shared" ref="BX354:BX363" si="1214">AVERAGE(BW354,BW342,BW330,BW318,BW306,BW294,BW282,BW270,BW246)</f>
        <v>0.96454268401928067</v>
      </c>
      <c r="DA354" s="4">
        <f t="shared" si="657"/>
        <v>809</v>
      </c>
      <c r="DB354" s="108">
        <f>[9]SPAMWh!$E234</f>
        <v>262767</v>
      </c>
      <c r="DG354" s="108">
        <f t="shared" si="677"/>
        <v>263576</v>
      </c>
    </row>
    <row r="355" spans="1:111">
      <c r="A355" s="4">
        <f t="shared" si="1101"/>
        <v>2012</v>
      </c>
      <c r="B355" s="4">
        <f t="shared" si="1102"/>
        <v>3</v>
      </c>
      <c r="C355" s="5">
        <f>'[2]FPC wSEB'!$J452</f>
        <v>244338</v>
      </c>
      <c r="D355" s="5">
        <f>'[2]FPC wSEB'!$AB452</f>
        <v>23768</v>
      </c>
      <c r="E355" s="73">
        <f t="shared" ref="E355" si="1215">ROUND(C355/D355*1000,0)</f>
        <v>10280</v>
      </c>
      <c r="F355" s="540">
        <f t="shared" si="825"/>
        <v>23768</v>
      </c>
      <c r="H355" s="13" t="s">
        <v>18</v>
      </c>
      <c r="I355" s="76">
        <f>'[7]Gov 65 &amp; 70'!$S440</f>
        <v>67.3</v>
      </c>
      <c r="J355" s="76">
        <f t="shared" si="164"/>
        <v>44.5</v>
      </c>
      <c r="K355" s="362">
        <f t="shared" ref="K355" si="1216">(J355-I355)</f>
        <v>-22.799999999999997</v>
      </c>
      <c r="L355" s="200" t="s">
        <v>18</v>
      </c>
      <c r="M355" s="76">
        <f>'[7]Gov 65 &amp; 70'!$J440</f>
        <v>67.3</v>
      </c>
      <c r="N355" s="76">
        <f t="shared" si="165"/>
        <v>119.5</v>
      </c>
      <c r="O355" s="363">
        <f t="shared" ref="O355" si="1217">(N355-M355)</f>
        <v>52.2</v>
      </c>
      <c r="P355" s="13" t="s">
        <v>18</v>
      </c>
      <c r="Q355" s="321">
        <f t="shared" si="1175"/>
        <v>-5596.8506111999995</v>
      </c>
      <c r="R355" s="78">
        <f t="shared" si="1176"/>
        <v>2516.1185088000002</v>
      </c>
      <c r="S355" s="479">
        <f t="shared" ref="S355" si="1218">ROUND((R355+Q355),0)</f>
        <v>-3081</v>
      </c>
      <c r="T355" s="13" t="s">
        <v>18</v>
      </c>
      <c r="U355" s="4">
        <f t="shared" si="166"/>
        <v>2012</v>
      </c>
      <c r="V355" s="4">
        <f t="shared" si="167"/>
        <v>3</v>
      </c>
      <c r="W355" s="153">
        <f t="shared" ref="W355" si="1219">Z355/D355*1000</f>
        <v>10150.496465836419</v>
      </c>
      <c r="X355" s="153">
        <f t="shared" ref="X355" si="1220">W355-W343</f>
        <v>-299.29260040113331</v>
      </c>
      <c r="Z355" s="98">
        <f t="shared" ref="Z355" si="1221">S355+C355</f>
        <v>241257</v>
      </c>
      <c r="AA355" s="119">
        <f t="shared" ref="AA355" si="1222">Z355-C355</f>
        <v>-3081</v>
      </c>
      <c r="AB355" s="512">
        <f>[9]SPAMWh!$L235</f>
        <v>243933</v>
      </c>
      <c r="AC355" s="4">
        <f t="shared" si="168"/>
        <v>2012</v>
      </c>
      <c r="AD355" s="4">
        <f t="shared" si="169"/>
        <v>3</v>
      </c>
      <c r="AE355" s="107">
        <f>RESID!AC355</f>
        <v>29.4</v>
      </c>
      <c r="AF355" s="40">
        <f t="shared" ref="AF355" si="1223">AG355/D355*1000</f>
        <v>10502.650622685964</v>
      </c>
      <c r="AG355" s="4">
        <f t="shared" ref="AG355" si="1224">ROUND(Z355/(AE355/30.42),0)</f>
        <v>249627</v>
      </c>
      <c r="AH355" s="4">
        <f t="shared" ref="AH355" si="1225">Z355-Z343</f>
        <v>985</v>
      </c>
      <c r="AY355" s="4">
        <f t="shared" si="332"/>
        <v>2012</v>
      </c>
      <c r="AZ355" s="4">
        <f t="shared" si="333"/>
        <v>3</v>
      </c>
      <c r="BA355" s="4">
        <f>'[8]Gov 65 &amp; 70'!$S440</f>
        <v>126.9</v>
      </c>
      <c r="BB355" s="4">
        <f t="shared" si="172"/>
        <v>64.099999999999994</v>
      </c>
      <c r="BC355" s="82">
        <f t="shared" ref="BC355" si="1226">BB355-BA355</f>
        <v>-62.800000000000011</v>
      </c>
      <c r="BD355" s="36" t="s">
        <v>18</v>
      </c>
      <c r="BE355" s="4">
        <f>'[8]Gov 65 &amp; 70'!$J440</f>
        <v>22.1</v>
      </c>
      <c r="BF355" s="4">
        <f t="shared" si="173"/>
        <v>85.4</v>
      </c>
      <c r="BG355" s="83">
        <f t="shared" ref="BG355" si="1227">BF355-BE355</f>
        <v>63.300000000000004</v>
      </c>
      <c r="BH355" s="36" t="s">
        <v>18</v>
      </c>
      <c r="BI355" s="273">
        <f t="shared" si="1187"/>
        <v>-15415.886771200001</v>
      </c>
      <c r="BJ355" s="270">
        <f t="shared" si="1188"/>
        <v>3051.1552032</v>
      </c>
      <c r="BK355" s="482">
        <f t="shared" ref="BK355" si="1228">ROUND(BJ355+BI355,0)</f>
        <v>-12365</v>
      </c>
      <c r="BM355" s="36" t="s">
        <v>18</v>
      </c>
      <c r="BN355" s="4">
        <f t="shared" si="174"/>
        <v>2012</v>
      </c>
      <c r="BO355" s="4">
        <f t="shared" si="175"/>
        <v>3</v>
      </c>
      <c r="BP355" s="108">
        <f>(C355+[4]MWh!$AN189)</f>
        <v>242881.9425763558</v>
      </c>
      <c r="BQ355" s="108">
        <f t="shared" ref="BQ355" si="1229">BP355/D355*1000</f>
        <v>10218.863285777339</v>
      </c>
      <c r="BR355" s="108">
        <f t="shared" ref="BR355" si="1230">BT355/D355*1000</f>
        <v>9698.6259919368804</v>
      </c>
      <c r="BS355" s="108">
        <f t="shared" ref="BS355" si="1231">BR355-BR343</f>
        <v>-2391.8263362879516</v>
      </c>
      <c r="BT355" s="175">
        <f t="shared" ref="BT355" si="1232">BK355+BP355</f>
        <v>230516.9425763558</v>
      </c>
      <c r="BU355" s="108">
        <f t="shared" ref="BU355" si="1233">BT355-BT343</f>
        <v>-47478.827806517744</v>
      </c>
      <c r="BV355" s="4">
        <f t="shared" si="735"/>
        <v>-12365</v>
      </c>
      <c r="BW355" s="444">
        <f>BT355/[9]SPAMWh!$L235</f>
        <v>0.94500105593075068</v>
      </c>
      <c r="BX355" s="537">
        <f t="shared" si="1214"/>
        <v>1.0533157707670513</v>
      </c>
      <c r="DA355" s="4">
        <f t="shared" si="657"/>
        <v>-1316</v>
      </c>
      <c r="DB355" s="108">
        <f>[9]SPAMWh!$E235</f>
        <v>247014</v>
      </c>
      <c r="DG355" s="108">
        <f t="shared" si="677"/>
        <v>245698</v>
      </c>
    </row>
    <row r="356" spans="1:111">
      <c r="A356" s="4">
        <f t="shared" si="1101"/>
        <v>2012</v>
      </c>
      <c r="B356" s="4">
        <f t="shared" si="1102"/>
        <v>4</v>
      </c>
      <c r="C356" s="5">
        <f>'[2]FPC wSEB'!$J453</f>
        <v>260891</v>
      </c>
      <c r="D356" s="5">
        <f>'[2]FPC wSEB'!$AB453</f>
        <v>23640</v>
      </c>
      <c r="E356" s="73">
        <f t="shared" ref="E356" si="1234">ROUND(C356/D356*1000,0)</f>
        <v>11036</v>
      </c>
      <c r="F356" s="540">
        <f t="shared" si="825"/>
        <v>23640</v>
      </c>
      <c r="H356" s="13" t="s">
        <v>18</v>
      </c>
      <c r="I356" s="76">
        <f>'[7]Gov 65 &amp; 70'!$S441</f>
        <v>138.9</v>
      </c>
      <c r="J356" s="76">
        <f t="shared" si="164"/>
        <v>87.7</v>
      </c>
      <c r="K356" s="362">
        <f t="shared" ref="K356" si="1235">(J356-I356)</f>
        <v>-51.2</v>
      </c>
      <c r="L356" s="200" t="s">
        <v>18</v>
      </c>
      <c r="M356" s="76">
        <f>'[7]Gov 65 &amp; 70'!$J441</f>
        <v>14</v>
      </c>
      <c r="N356" s="76">
        <f t="shared" si="165"/>
        <v>60.3</v>
      </c>
      <c r="O356" s="363">
        <f t="shared" ref="O356" si="1236">(N356-M356)</f>
        <v>46.3</v>
      </c>
      <c r="P356" s="13" t="s">
        <v>18</v>
      </c>
      <c r="Q356" s="321">
        <f t="shared" si="1175"/>
        <v>-12500.680704</v>
      </c>
      <c r="R356" s="78">
        <f t="shared" si="1176"/>
        <v>2219.710896</v>
      </c>
      <c r="S356" s="479">
        <f t="shared" ref="S356" si="1237">ROUND((R356+Q356),0)</f>
        <v>-10281</v>
      </c>
      <c r="T356" s="13" t="s">
        <v>18</v>
      </c>
      <c r="U356" s="4">
        <f t="shared" si="166"/>
        <v>2012</v>
      </c>
      <c r="V356" s="4">
        <f t="shared" si="167"/>
        <v>4</v>
      </c>
      <c r="W356" s="153">
        <f t="shared" ref="W356" si="1238">Z356/D356*1000</f>
        <v>10601.099830795261</v>
      </c>
      <c r="X356" s="153">
        <f t="shared" ref="X356" si="1239">W356-W344</f>
        <v>39.39284382182268</v>
      </c>
      <c r="Z356" s="98">
        <f t="shared" ref="Z356" si="1240">S356+C356</f>
        <v>250610</v>
      </c>
      <c r="AA356" s="119">
        <f t="shared" ref="AA356" si="1241">Z356-C356</f>
        <v>-10281</v>
      </c>
      <c r="AB356" s="512">
        <f>[9]SPAMWh!$L236</f>
        <v>251535</v>
      </c>
      <c r="AC356" s="4">
        <f t="shared" si="168"/>
        <v>2012</v>
      </c>
      <c r="AD356" s="4">
        <f t="shared" si="169"/>
        <v>4</v>
      </c>
      <c r="AE356" s="107">
        <f>RESID!AC356</f>
        <v>30.25</v>
      </c>
      <c r="AF356" s="40">
        <f t="shared" ref="AF356" si="1242">AG356/D356*1000</f>
        <v>10660.659898477157</v>
      </c>
      <c r="AG356" s="4">
        <f t="shared" ref="AG356" si="1243">ROUND(Z356/(AE356/30.42),0)</f>
        <v>252018</v>
      </c>
      <c r="AH356" s="4">
        <f t="shared" ref="AH356" si="1244">Z356-Z344</f>
        <v>889</v>
      </c>
      <c r="AY356" s="4">
        <f t="shared" si="332"/>
        <v>2012</v>
      </c>
      <c r="AZ356" s="4">
        <f t="shared" si="333"/>
        <v>4</v>
      </c>
      <c r="BA356" s="4">
        <f>'[8]Gov 65 &amp; 70'!$S441</f>
        <v>142.1</v>
      </c>
      <c r="BB356" s="4">
        <f t="shared" si="172"/>
        <v>122</v>
      </c>
      <c r="BC356" s="82">
        <f t="shared" ref="BC356" si="1245">BB356-BA356</f>
        <v>-20.099999999999994</v>
      </c>
      <c r="BD356" s="36" t="s">
        <v>18</v>
      </c>
      <c r="BE356" s="4">
        <f>'[8]Gov 65 &amp; 70'!$J441</f>
        <v>17</v>
      </c>
      <c r="BF356" s="4">
        <f t="shared" si="173"/>
        <v>34.700000000000003</v>
      </c>
      <c r="BG356" s="83">
        <f t="shared" ref="BG356" si="1246">BF356-BE356</f>
        <v>17.700000000000003</v>
      </c>
      <c r="BH356" s="36" t="s">
        <v>18</v>
      </c>
      <c r="BI356" s="273">
        <f t="shared" si="1187"/>
        <v>-4907.4937919999984</v>
      </c>
      <c r="BJ356" s="270">
        <f t="shared" si="1188"/>
        <v>848.57198400000016</v>
      </c>
      <c r="BK356" s="482">
        <f t="shared" ref="BK356" si="1247">ROUND(BJ356+BI356,0)</f>
        <v>-4059</v>
      </c>
      <c r="BM356" s="36" t="s">
        <v>18</v>
      </c>
      <c r="BN356" s="4">
        <f t="shared" si="174"/>
        <v>2012</v>
      </c>
      <c r="BO356" s="4">
        <f t="shared" si="175"/>
        <v>4</v>
      </c>
      <c r="BP356" s="108">
        <f>(C356+[4]MWh!$AN190)</f>
        <v>264505.68902714364</v>
      </c>
      <c r="BQ356" s="108">
        <f t="shared" ref="BQ356" si="1248">BP356/D356*1000</f>
        <v>11188.903935158361</v>
      </c>
      <c r="BR356" s="108">
        <f t="shared" ref="BR356" si="1249">BT356/D356*1000</f>
        <v>11017.203427544147</v>
      </c>
      <c r="BS356" s="108">
        <f t="shared" ref="BS356" si="1250">BR356-BR344</f>
        <v>78.807556397370718</v>
      </c>
      <c r="BT356" s="175">
        <f t="shared" ref="BT356" si="1251">BK356+BP356</f>
        <v>260446.68902714364</v>
      </c>
      <c r="BU356" s="108">
        <f t="shared" ref="BU356" si="1252">BT356-BT344</f>
        <v>1819.2570497492561</v>
      </c>
      <c r="BV356" s="4">
        <f t="shared" si="735"/>
        <v>-4059</v>
      </c>
      <c r="BW356" s="444">
        <f>BT356/[9]SPAMWh!$L236</f>
        <v>1.0354292206935163</v>
      </c>
      <c r="BX356" s="537">
        <f t="shared" si="1214"/>
        <v>1.0418383964645213</v>
      </c>
      <c r="DA356" s="4">
        <f t="shared" si="657"/>
        <v>-5675</v>
      </c>
      <c r="DB356" s="108">
        <f>[9]SPAMWh!$E236</f>
        <v>261816</v>
      </c>
      <c r="DG356" s="108">
        <f t="shared" si="677"/>
        <v>256141</v>
      </c>
    </row>
    <row r="357" spans="1:111">
      <c r="A357" s="4">
        <f t="shared" si="1101"/>
        <v>2012</v>
      </c>
      <c r="B357" s="4">
        <f t="shared" si="1102"/>
        <v>5</v>
      </c>
      <c r="C357" s="5">
        <f>'[2]FPC wSEB'!$J454</f>
        <v>263795</v>
      </c>
      <c r="D357" s="5">
        <f>'[2]FPC wSEB'!$AB454</f>
        <v>23876</v>
      </c>
      <c r="E357" s="73">
        <f t="shared" ref="E357" si="1253">ROUND(C357/D357*1000,0)</f>
        <v>11049</v>
      </c>
      <c r="F357" s="540">
        <f t="shared" si="825"/>
        <v>23876</v>
      </c>
      <c r="H357" s="13" t="s">
        <v>18</v>
      </c>
      <c r="I357" s="76">
        <f>'[7]Gov 65 &amp; 70'!$S442</f>
        <v>170.6</v>
      </c>
      <c r="J357" s="76">
        <f t="shared" si="164"/>
        <v>157.69999999999999</v>
      </c>
      <c r="K357" s="362">
        <f t="shared" ref="K357" si="1254">(J357-I357)</f>
        <v>-12.900000000000006</v>
      </c>
      <c r="L357" s="200" t="s">
        <v>18</v>
      </c>
      <c r="M357" s="76">
        <f>'[7]Gov 65 &amp; 70'!$J442</f>
        <v>14.2</v>
      </c>
      <c r="N357" s="76">
        <f t="shared" si="165"/>
        <v>18.600000000000001</v>
      </c>
      <c r="O357" s="363">
        <f t="shared" ref="O357" si="1255">(N357-M357)</f>
        <v>4.4000000000000021</v>
      </c>
      <c r="P357" s="13" t="s">
        <v>18</v>
      </c>
      <c r="Q357" s="321">
        <f t="shared" si="1175"/>
        <v>-3181.0281312000016</v>
      </c>
      <c r="R357" s="78">
        <f t="shared" si="1176"/>
        <v>213.05032320000012</v>
      </c>
      <c r="S357" s="479">
        <f t="shared" ref="S357" si="1256">ROUND((R357+Q357),0)</f>
        <v>-2968</v>
      </c>
      <c r="T357" s="13" t="s">
        <v>18</v>
      </c>
      <c r="U357" s="4">
        <f t="shared" si="166"/>
        <v>2012</v>
      </c>
      <c r="V357" s="4">
        <f t="shared" si="167"/>
        <v>5</v>
      </c>
      <c r="W357" s="153">
        <f t="shared" ref="W357" si="1257">Z357/D357*1000</f>
        <v>10924.233539956442</v>
      </c>
      <c r="X357" s="153">
        <f t="shared" ref="X357" si="1258">W357-W345</f>
        <v>-281.62636506391027</v>
      </c>
      <c r="Z357" s="98">
        <f t="shared" ref="Z357" si="1259">S357+C357</f>
        <v>260827</v>
      </c>
      <c r="AA357" s="119">
        <f t="shared" ref="AA357" si="1260">Z357-C357</f>
        <v>-2968</v>
      </c>
      <c r="AB357" s="512">
        <f>[9]SPAMWh!$L237</f>
        <v>261583</v>
      </c>
      <c r="AC357" s="4">
        <f t="shared" si="168"/>
        <v>2012</v>
      </c>
      <c r="AD357" s="4">
        <f t="shared" si="169"/>
        <v>5</v>
      </c>
      <c r="AE357" s="107">
        <f>RESID!AC357</f>
        <v>29.95</v>
      </c>
      <c r="AF357" s="40">
        <f t="shared" ref="AF357" si="1261">AG357/D357*1000</f>
        <v>11095.660914726086</v>
      </c>
      <c r="AG357" s="4">
        <f t="shared" ref="AG357" si="1262">ROUND(Z357/(AE357/30.42),0)</f>
        <v>264920</v>
      </c>
      <c r="AH357" s="4">
        <f t="shared" ref="AH357" si="1263">Z357-Z345</f>
        <v>-3452</v>
      </c>
      <c r="AY357" s="4">
        <f t="shared" si="332"/>
        <v>2012</v>
      </c>
      <c r="AZ357" s="4">
        <f t="shared" si="333"/>
        <v>5</v>
      </c>
      <c r="BA357" s="4">
        <f>'[8]Gov 65 &amp; 70'!$S442</f>
        <v>284.2</v>
      </c>
      <c r="BB357" s="4">
        <f t="shared" si="172"/>
        <v>253</v>
      </c>
      <c r="BC357" s="82">
        <f t="shared" ref="BC357" si="1264">BB357-BA357</f>
        <v>-31.199999999999989</v>
      </c>
      <c r="BD357" s="36" t="s">
        <v>18</v>
      </c>
      <c r="BE357" s="4">
        <f>'[8]Gov 65 &amp; 70'!$J442</f>
        <v>0.8</v>
      </c>
      <c r="BF357" s="4">
        <f t="shared" si="173"/>
        <v>4.3</v>
      </c>
      <c r="BG357" s="83">
        <f t="shared" ref="BG357" si="1265">BF357-BE357</f>
        <v>3.5</v>
      </c>
      <c r="BH357" s="36" t="s">
        <v>18</v>
      </c>
      <c r="BI357" s="273">
        <f t="shared" si="1187"/>
        <v>-7693.649433599996</v>
      </c>
      <c r="BJ357" s="270">
        <f t="shared" si="1188"/>
        <v>169.47184799999999</v>
      </c>
      <c r="BK357" s="482">
        <f t="shared" ref="BK357" si="1266">ROUND(BJ357+BI357,0)</f>
        <v>-7524</v>
      </c>
      <c r="BM357" s="36" t="s">
        <v>18</v>
      </c>
      <c r="BN357" s="4">
        <f t="shared" si="174"/>
        <v>2012</v>
      </c>
      <c r="BO357" s="4">
        <f t="shared" si="175"/>
        <v>5</v>
      </c>
      <c r="BP357" s="108">
        <f>(C357+[4]MWh!$AN191)</f>
        <v>297244.38789329003</v>
      </c>
      <c r="BQ357" s="108">
        <f t="shared" ref="BQ357" si="1267">BP357/D357*1000</f>
        <v>12449.505272796532</v>
      </c>
      <c r="BR357" s="108">
        <f t="shared" ref="BR357" si="1268">BT357/D357*1000</f>
        <v>12134.377110625315</v>
      </c>
      <c r="BS357" s="108">
        <f t="shared" ref="BS357" si="1269">BR357-BR345</f>
        <v>438.96370588451828</v>
      </c>
      <c r="BT357" s="175">
        <f t="shared" ref="BT357" si="1270">BK357+BP357</f>
        <v>289720.38789329003</v>
      </c>
      <c r="BU357" s="108">
        <f t="shared" ref="BU357" si="1271">BT357-BT345</f>
        <v>13895.758155883057</v>
      </c>
      <c r="BV357" s="4">
        <f t="shared" si="735"/>
        <v>-7524</v>
      </c>
      <c r="BW357" s="444">
        <f>BT357/[9]SPAMWh!$L237</f>
        <v>1.1075658123551226</v>
      </c>
      <c r="BX357" s="537">
        <f t="shared" si="1214"/>
        <v>1.1148939213988764</v>
      </c>
      <c r="DA357" s="4">
        <f t="shared" si="657"/>
        <v>-1708</v>
      </c>
      <c r="DB357" s="108">
        <f>[9]SPAMWh!$E237</f>
        <v>264551</v>
      </c>
      <c r="DG357" s="108">
        <f t="shared" si="677"/>
        <v>262843</v>
      </c>
    </row>
    <row r="358" spans="1:111">
      <c r="A358" s="4">
        <f t="shared" si="1101"/>
        <v>2012</v>
      </c>
      <c r="B358" s="4">
        <f t="shared" si="1102"/>
        <v>6</v>
      </c>
      <c r="C358" s="5">
        <f>'[2]FPC wSEB'!$J455</f>
        <v>282117</v>
      </c>
      <c r="D358" s="5">
        <f>'[2]FPC wSEB'!$AB455</f>
        <v>23846</v>
      </c>
      <c r="E358" s="73">
        <f t="shared" ref="E358" si="1272">ROUND(C358/D358*1000,0)</f>
        <v>11831</v>
      </c>
      <c r="F358" s="540">
        <f t="shared" si="825"/>
        <v>23846</v>
      </c>
      <c r="H358" s="13" t="s">
        <v>18</v>
      </c>
      <c r="I358" s="76">
        <f>'[7]Gov 65 &amp; 70'!$S443</f>
        <v>291.60000000000002</v>
      </c>
      <c r="J358" s="76">
        <f t="shared" si="164"/>
        <v>295.39999999999998</v>
      </c>
      <c r="K358" s="362">
        <f t="shared" ref="K358" si="1273">(J358-I358)</f>
        <v>3.7999999999999545</v>
      </c>
      <c r="L358" s="200" t="s">
        <v>18</v>
      </c>
      <c r="M358" s="76">
        <f>'[7]Gov 65 &amp; 70'!$J443</f>
        <v>0.7</v>
      </c>
      <c r="N358" s="76">
        <f t="shared" si="165"/>
        <v>2.2000000000000002</v>
      </c>
      <c r="O358" s="363">
        <f t="shared" ref="O358" si="1274">(N358-M358)</f>
        <v>1.5000000000000002</v>
      </c>
      <c r="P358" s="13" t="s">
        <v>18</v>
      </c>
      <c r="Q358" s="321">
        <f t="shared" si="1175"/>
        <v>935.86965439998869</v>
      </c>
      <c r="R358" s="78">
        <f t="shared" si="1176"/>
        <v>72.539532000000023</v>
      </c>
      <c r="S358" s="479">
        <f t="shared" ref="S358" si="1275">ROUND((R358+Q358),0)</f>
        <v>1008</v>
      </c>
      <c r="T358" s="13" t="s">
        <v>18</v>
      </c>
      <c r="U358" s="4">
        <f t="shared" si="166"/>
        <v>2012</v>
      </c>
      <c r="V358" s="4">
        <f t="shared" si="167"/>
        <v>6</v>
      </c>
      <c r="W358" s="153">
        <f t="shared" ref="W358" si="1276">Z358/D358*1000</f>
        <v>11873.06047135788</v>
      </c>
      <c r="X358" s="153">
        <f t="shared" ref="X358" si="1277">W358-W346</f>
        <v>-181.71254518857859</v>
      </c>
      <c r="Z358" s="98">
        <f t="shared" ref="Z358" si="1278">S358+C358</f>
        <v>283125</v>
      </c>
      <c r="AA358" s="119">
        <f t="shared" ref="AA358" si="1279">Z358-C358</f>
        <v>1008</v>
      </c>
      <c r="AB358" s="512">
        <f>[9]SPAMWh!$L238</f>
        <v>282728</v>
      </c>
      <c r="AC358" s="4">
        <f t="shared" si="168"/>
        <v>2012</v>
      </c>
      <c r="AD358" s="4">
        <f t="shared" si="169"/>
        <v>6</v>
      </c>
      <c r="AE358" s="107">
        <f>RESID!AC358</f>
        <v>30.6</v>
      </c>
      <c r="AF358" s="40">
        <f t="shared" ref="AF358" si="1280">AG358/D358*1000</f>
        <v>11803.23744024155</v>
      </c>
      <c r="AG358" s="4">
        <f t="shared" ref="AG358" si="1281">ROUND(Z358/(AE358/30.42),0)</f>
        <v>281460</v>
      </c>
      <c r="AH358" s="4">
        <f t="shared" ref="AH358" si="1282">Z358-Z346</f>
        <v>-1006</v>
      </c>
      <c r="AY358" s="4">
        <f t="shared" si="332"/>
        <v>2012</v>
      </c>
      <c r="AZ358" s="4">
        <f t="shared" si="333"/>
        <v>6</v>
      </c>
      <c r="BA358" s="4">
        <f>'[8]Gov 65 &amp; 70'!$S443</f>
        <v>300.5</v>
      </c>
      <c r="BB358" s="4">
        <f t="shared" si="172"/>
        <v>336.1</v>
      </c>
      <c r="BC358" s="82">
        <f t="shared" ref="BC358:BC359" si="1283">BB358-BA358</f>
        <v>35.600000000000023</v>
      </c>
      <c r="BD358" s="36" t="s">
        <v>18</v>
      </c>
      <c r="BE358" s="4">
        <f>'[8]Gov 65 &amp; 70'!$J443</f>
        <v>0.1</v>
      </c>
      <c r="BF358" s="4">
        <f t="shared" si="173"/>
        <v>0</v>
      </c>
      <c r="BG358" s="83">
        <f t="shared" ref="BG358:BG359" si="1284">BF358-BE358</f>
        <v>-0.1</v>
      </c>
      <c r="BH358" s="36" t="s">
        <v>18</v>
      </c>
      <c r="BI358" s="273">
        <f t="shared" si="1187"/>
        <v>8767.6209728000049</v>
      </c>
      <c r="BJ358" s="270">
        <f t="shared" si="1188"/>
        <v>-4.8359688000000007</v>
      </c>
      <c r="BK358" s="482">
        <f t="shared" ref="BK358:BK359" si="1285">ROUND(BJ358+BI358,0)</f>
        <v>8763</v>
      </c>
      <c r="BM358" s="36" t="s">
        <v>18</v>
      </c>
      <c r="BN358" s="4">
        <f t="shared" si="174"/>
        <v>2012</v>
      </c>
      <c r="BO358" s="4">
        <f t="shared" si="175"/>
        <v>6</v>
      </c>
      <c r="BP358" s="108">
        <f>(C358+[4]MWh!$AN192)</f>
        <v>260705.19263802996</v>
      </c>
      <c r="BQ358" s="108">
        <f t="shared" ref="BQ358:BQ359" si="1286">BP358/D358*1000</f>
        <v>10932.868935587938</v>
      </c>
      <c r="BR358" s="108">
        <f t="shared" ref="BR358:BR359" si="1287">BT358/D358*1000</f>
        <v>11300.351951607394</v>
      </c>
      <c r="BS358" s="108">
        <f t="shared" ref="BS358:BS359" si="1288">BR358-BR346</f>
        <v>-578.03049865488356</v>
      </c>
      <c r="BT358" s="175">
        <f t="shared" ref="BT358:BT359" si="1289">BK358+BP358</f>
        <v>269468.19263802993</v>
      </c>
      <c r="BU358" s="108">
        <f t="shared" ref="BU358:BU359" si="1290">BT358-BT346</f>
        <v>-10505.281714651966</v>
      </c>
      <c r="BV358" s="4">
        <f t="shared" si="735"/>
        <v>8762.9999999999709</v>
      </c>
      <c r="BW358" s="444">
        <f>BT358/[9]SPAMWh!$L238</f>
        <v>0.95310048045481854</v>
      </c>
      <c r="BX358" s="537">
        <f t="shared" si="1214"/>
        <v>0.96421156722581403</v>
      </c>
      <c r="DA358" s="4">
        <f t="shared" si="657"/>
        <v>610</v>
      </c>
      <c r="DB358" s="108">
        <f>[9]SPAMWh!$E238</f>
        <v>281720</v>
      </c>
      <c r="DG358" s="108">
        <f t="shared" si="677"/>
        <v>282330</v>
      </c>
    </row>
    <row r="359" spans="1:111">
      <c r="A359" s="4">
        <f t="shared" si="1101"/>
        <v>2012</v>
      </c>
      <c r="B359" s="4">
        <f t="shared" si="1102"/>
        <v>7</v>
      </c>
      <c r="C359" s="5">
        <f>'[2]FPC wSEB'!$J456</f>
        <v>270716</v>
      </c>
      <c r="D359" s="5">
        <f>'[2]FPC wSEB'!$AB456</f>
        <v>23254</v>
      </c>
      <c r="E359" s="73">
        <f t="shared" ref="E359" si="1291">ROUND(C359/D359*1000,0)</f>
        <v>11642</v>
      </c>
      <c r="F359" s="540">
        <f t="shared" si="825"/>
        <v>23254</v>
      </c>
      <c r="H359" s="13" t="s">
        <v>18</v>
      </c>
      <c r="I359" s="76">
        <f>'[7]Gov 65 &amp; 70'!$S444</f>
        <v>334.5</v>
      </c>
      <c r="J359" s="76">
        <f t="shared" si="164"/>
        <v>363.4</v>
      </c>
      <c r="K359" s="362">
        <f t="shared" ref="K359" si="1292">(J359-I359)</f>
        <v>28.899999999999977</v>
      </c>
      <c r="L359" s="200" t="s">
        <v>18</v>
      </c>
      <c r="M359" s="76">
        <f>'[7]Gov 65 &amp; 70'!$J444</f>
        <v>0</v>
      </c>
      <c r="N359" s="76">
        <f t="shared" si="165"/>
        <v>0</v>
      </c>
      <c r="O359" s="363">
        <f t="shared" ref="O359" si="1293">(N359-M359)</f>
        <v>0</v>
      </c>
      <c r="P359" s="13" t="s">
        <v>18</v>
      </c>
      <c r="Q359" s="321">
        <f t="shared" ref="Q359" si="1294">(K359*$H$10)*D359/1000</f>
        <v>6940.8353167999949</v>
      </c>
      <c r="R359" s="78">
        <f t="shared" ref="R359" si="1295">(O359*$H$9)*D359/1000</f>
        <v>0</v>
      </c>
      <c r="S359" s="479">
        <f t="shared" ref="S359" si="1296">ROUND((R359+Q359),0)</f>
        <v>6941</v>
      </c>
      <c r="T359" s="13" t="s">
        <v>18</v>
      </c>
      <c r="U359" s="4">
        <f t="shared" si="166"/>
        <v>2012</v>
      </c>
      <c r="V359" s="4">
        <f t="shared" si="167"/>
        <v>7</v>
      </c>
      <c r="W359" s="153">
        <f t="shared" ref="W359" si="1297">Z359/D359*1000</f>
        <v>11940.182334222069</v>
      </c>
      <c r="X359" s="153">
        <f t="shared" ref="X359" si="1298">W359-W347</f>
        <v>397.51641118804582</v>
      </c>
      <c r="Z359" s="98">
        <f t="shared" ref="Z359" si="1299">S359+C359</f>
        <v>277657</v>
      </c>
      <c r="AA359" s="119">
        <f t="shared" ref="AA359" si="1300">Z359-C359</f>
        <v>6941</v>
      </c>
      <c r="AB359" s="512">
        <f>[9]SPAMWh!$L239</f>
        <v>277319</v>
      </c>
      <c r="AC359" s="4">
        <f t="shared" si="168"/>
        <v>2012</v>
      </c>
      <c r="AD359" s="4">
        <f t="shared" si="169"/>
        <v>7</v>
      </c>
      <c r="AE359" s="107">
        <f>RESID!AC359</f>
        <v>30.55</v>
      </c>
      <c r="AF359" s="40">
        <f t="shared" ref="AF359" si="1301">AG359/D359*1000</f>
        <v>11889.352369484821</v>
      </c>
      <c r="AG359" s="4">
        <f t="shared" ref="AG359" si="1302">ROUND(Z359/(AE359/30.42),0)</f>
        <v>276475</v>
      </c>
      <c r="AH359" s="4">
        <f t="shared" ref="AH359" si="1303">Z359-Z347</f>
        <v>8609</v>
      </c>
      <c r="AY359" s="4">
        <f t="shared" ref="AY359:AY376" si="1304">AY347+1</f>
        <v>2012</v>
      </c>
      <c r="AZ359" s="4">
        <f t="shared" ref="AZ359:AZ376" si="1305">AZ347</f>
        <v>7</v>
      </c>
      <c r="BA359" s="4">
        <f>'[8]Gov 65 &amp; 70'!$S444</f>
        <v>401.8</v>
      </c>
      <c r="BB359" s="4">
        <f t="shared" si="172"/>
        <v>391.2</v>
      </c>
      <c r="BC359" s="82">
        <f t="shared" si="1283"/>
        <v>-10.600000000000023</v>
      </c>
      <c r="BD359" s="36" t="s">
        <v>18</v>
      </c>
      <c r="BE359" s="4">
        <f>'[8]Gov 65 &amp; 70'!$J444</f>
        <v>0</v>
      </c>
      <c r="BF359" s="4">
        <f t="shared" si="173"/>
        <v>0</v>
      </c>
      <c r="BG359" s="83">
        <f t="shared" si="1284"/>
        <v>0</v>
      </c>
      <c r="BH359" s="36" t="s">
        <v>18</v>
      </c>
      <c r="BI359" s="273">
        <f t="shared" ref="BI359" si="1306">($H$10*BC359)*D359/1000</f>
        <v>-2545.773507200005</v>
      </c>
      <c r="BJ359" s="270">
        <f t="shared" ref="BJ359" si="1307">($H$9*BG359)*D359/1000</f>
        <v>0</v>
      </c>
      <c r="BK359" s="482">
        <f t="shared" si="1285"/>
        <v>-2546</v>
      </c>
      <c r="BM359" s="36" t="s">
        <v>18</v>
      </c>
      <c r="BN359" s="4">
        <f t="shared" si="174"/>
        <v>2012</v>
      </c>
      <c r="BO359" s="4">
        <f t="shared" si="175"/>
        <v>7</v>
      </c>
      <c r="BP359" s="108">
        <f>(C359+[4]MWh!$AN193)</f>
        <v>296339.7768558067</v>
      </c>
      <c r="BQ359" s="108">
        <f t="shared" si="1286"/>
        <v>12743.604405943352</v>
      </c>
      <c r="BR359" s="108">
        <f t="shared" si="1287"/>
        <v>12634.117865993236</v>
      </c>
      <c r="BS359" s="108">
        <f t="shared" si="1288"/>
        <v>1276.3971735172763</v>
      </c>
      <c r="BT359" s="175">
        <f t="shared" si="1289"/>
        <v>293793.7768558067</v>
      </c>
      <c r="BU359" s="108">
        <f t="shared" si="1290"/>
        <v>29056.665234884538</v>
      </c>
      <c r="BV359" s="4">
        <f t="shared" si="735"/>
        <v>-2546</v>
      </c>
      <c r="BW359" s="444">
        <f>BT359/[9]SPAMWh!$L239</f>
        <v>1.0594073138003768</v>
      </c>
      <c r="BX359" s="537">
        <f t="shared" si="1214"/>
        <v>1.0108570160050094</v>
      </c>
      <c r="DA359" s="4">
        <f t="shared" si="657"/>
        <v>4205</v>
      </c>
      <c r="DB359" s="108">
        <f>[9]SPAMWh!$E239</f>
        <v>270378</v>
      </c>
      <c r="DG359" s="108">
        <f t="shared" si="677"/>
        <v>274583</v>
      </c>
    </row>
    <row r="360" spans="1:111">
      <c r="A360" s="4">
        <f t="shared" si="1101"/>
        <v>2012</v>
      </c>
      <c r="B360" s="4">
        <f t="shared" si="1102"/>
        <v>8</v>
      </c>
      <c r="C360" s="5">
        <f>'[2]FPC wSEB'!$J457</f>
        <v>286653</v>
      </c>
      <c r="D360" s="5">
        <f>'[2]FPC wSEB'!$AB457</f>
        <v>24883</v>
      </c>
      <c r="E360" s="73">
        <f t="shared" ref="E360" si="1308">ROUND(C360/D360*1000,0)</f>
        <v>11520</v>
      </c>
      <c r="F360" s="540">
        <f t="shared" si="825"/>
        <v>24883</v>
      </c>
      <c r="H360" s="13" t="s">
        <v>18</v>
      </c>
      <c r="I360" s="76">
        <f>'[7]Gov 65 &amp; 70'!$S445</f>
        <v>401.8</v>
      </c>
      <c r="J360" s="76">
        <f t="shared" si="164"/>
        <v>390.1</v>
      </c>
      <c r="K360" s="362">
        <f t="shared" ref="K360" si="1309">(J360-I360)</f>
        <v>-11.699999999999989</v>
      </c>
      <c r="L360" s="200" t="s">
        <v>18</v>
      </c>
      <c r="M360" s="76">
        <f>'[7]Gov 65 &amp; 70'!$J445</f>
        <v>0</v>
      </c>
      <c r="N360" s="76">
        <f t="shared" si="165"/>
        <v>0</v>
      </c>
      <c r="O360" s="363">
        <f t="shared" ref="O360" si="1310">(N360-M360)</f>
        <v>0</v>
      </c>
      <c r="P360" s="13" t="s">
        <v>18</v>
      </c>
      <c r="Q360" s="321">
        <f t="shared" ref="Q360" si="1311">(K360*$H$10)*D360/1000</f>
        <v>-3006.8020007999971</v>
      </c>
      <c r="R360" s="78">
        <f t="shared" ref="R360" si="1312">(O360*$H$9)*D360/1000</f>
        <v>0</v>
      </c>
      <c r="S360" s="479">
        <f t="shared" ref="S360" si="1313">ROUND((R360+Q360),0)</f>
        <v>-3007</v>
      </c>
      <c r="T360" s="13" t="s">
        <v>18</v>
      </c>
      <c r="U360" s="4">
        <f t="shared" si="166"/>
        <v>2012</v>
      </c>
      <c r="V360" s="4">
        <f t="shared" si="167"/>
        <v>8</v>
      </c>
      <c r="W360" s="153">
        <f t="shared" ref="W360" si="1314">Z360/D360*1000</f>
        <v>11399.18820077965</v>
      </c>
      <c r="X360" s="153">
        <f t="shared" ref="X360" si="1315">W360-W348</f>
        <v>258.07286180006668</v>
      </c>
      <c r="Z360" s="98">
        <f t="shared" ref="Z360" si="1316">S360+C360</f>
        <v>283646</v>
      </c>
      <c r="AA360" s="119">
        <f t="shared" ref="AA360" si="1317">Z360-C360</f>
        <v>-3007</v>
      </c>
      <c r="AB360" s="512">
        <f>[9]SPAMWh!$L240</f>
        <v>283090</v>
      </c>
      <c r="AC360" s="4">
        <f t="shared" si="168"/>
        <v>2012</v>
      </c>
      <c r="AD360" s="4">
        <f t="shared" si="169"/>
        <v>8</v>
      </c>
      <c r="AE360" s="107">
        <f>RESID!AC360</f>
        <v>31.25</v>
      </c>
      <c r="AF360" s="40">
        <f t="shared" ref="AF360" si="1318">AG360/D360*1000</f>
        <v>11096.411204436765</v>
      </c>
      <c r="AG360" s="4">
        <f t="shared" ref="AG360" si="1319">ROUND(Z360/(AE360/30.42),0)</f>
        <v>276112</v>
      </c>
      <c r="AH360" s="4">
        <f t="shared" ref="AH360" si="1320">Z360-Z348</f>
        <v>11346</v>
      </c>
      <c r="AY360" s="4">
        <f t="shared" si="1304"/>
        <v>2012</v>
      </c>
      <c r="AZ360" s="4">
        <f t="shared" si="1305"/>
        <v>8</v>
      </c>
      <c r="BA360" s="4">
        <f>'[8]Gov 65 &amp; 70'!$S445</f>
        <v>385.4</v>
      </c>
      <c r="BB360" s="4">
        <f t="shared" si="172"/>
        <v>394.4</v>
      </c>
      <c r="BC360" s="82">
        <f t="shared" ref="BC360" si="1321">BB360-BA360</f>
        <v>9</v>
      </c>
      <c r="BD360" s="36" t="s">
        <v>18</v>
      </c>
      <c r="BE360" s="4">
        <f>'[8]Gov 65 &amp; 70'!$J445</f>
        <v>0</v>
      </c>
      <c r="BF360" s="4">
        <f t="shared" si="173"/>
        <v>0</v>
      </c>
      <c r="BG360" s="83">
        <f t="shared" ref="BG360" si="1322">BF360-BE360</f>
        <v>0</v>
      </c>
      <c r="BH360" s="36" t="s">
        <v>18</v>
      </c>
      <c r="BI360" s="273">
        <f t="shared" ref="BI360" si="1323">($H$10*BC360)*D360/1000</f>
        <v>2312.9246159999998</v>
      </c>
      <c r="BJ360" s="270">
        <f t="shared" ref="BJ360" si="1324">($H$9*BG360)*D360/1000</f>
        <v>0</v>
      </c>
      <c r="BK360" s="482">
        <f t="shared" ref="BK360" si="1325">ROUND(BJ360+BI360,0)</f>
        <v>2313</v>
      </c>
      <c r="BM360" s="36" t="s">
        <v>18</v>
      </c>
      <c r="BN360" s="4">
        <f t="shared" si="174"/>
        <v>2012</v>
      </c>
      <c r="BO360" s="4">
        <f t="shared" si="175"/>
        <v>8</v>
      </c>
      <c r="BP360" s="108">
        <f>(C360+[4]MWh!$AN194)</f>
        <v>259628.00541356247</v>
      </c>
      <c r="BQ360" s="108">
        <f t="shared" ref="BQ360" si="1326">BP360/D360*1000</f>
        <v>10433.95110772666</v>
      </c>
      <c r="BR360" s="108">
        <f t="shared" ref="BR360" si="1327">BT360/D360*1000</f>
        <v>10526.906137264898</v>
      </c>
      <c r="BS360" s="108">
        <f t="shared" ref="BS360" si="1328">BR360-BR348</f>
        <v>-133.67589156608665</v>
      </c>
      <c r="BT360" s="175">
        <f t="shared" ref="BT360" si="1329">BK360+BP360</f>
        <v>261941.00541356247</v>
      </c>
      <c r="BU360" s="108">
        <f t="shared" ref="BU360" si="1330">BT360-BT348</f>
        <v>1385.7200469044037</v>
      </c>
      <c r="BV360" s="4">
        <f t="shared" si="735"/>
        <v>2313</v>
      </c>
      <c r="BW360" s="444">
        <f>BT360/[9]SPAMWh!$L240</f>
        <v>0.92529232898923475</v>
      </c>
      <c r="BX360" s="537">
        <f t="shared" si="1214"/>
        <v>0.99592038468185207</v>
      </c>
      <c r="DA360" s="4">
        <f t="shared" si="657"/>
        <v>-1702</v>
      </c>
      <c r="DB360" s="108">
        <f>[9]SPAMWh!$E240</f>
        <v>286097</v>
      </c>
      <c r="DG360" s="108">
        <f t="shared" si="677"/>
        <v>284395</v>
      </c>
    </row>
    <row r="361" spans="1:111">
      <c r="A361" s="4">
        <f t="shared" si="1101"/>
        <v>2012</v>
      </c>
      <c r="B361" s="4">
        <f t="shared" si="1102"/>
        <v>9</v>
      </c>
      <c r="C361" s="5">
        <f>'[2]FPC wSEB'!$J458</f>
        <v>305309</v>
      </c>
      <c r="D361" s="5">
        <f>'[2]FPC wSEB'!$AB458</f>
        <v>23362</v>
      </c>
      <c r="E361" s="73">
        <f t="shared" ref="E361" si="1331">ROUND(C361/D361*1000,0)</f>
        <v>13069</v>
      </c>
      <c r="F361" s="540">
        <f t="shared" si="825"/>
        <v>23362</v>
      </c>
      <c r="H361" s="13" t="s">
        <v>18</v>
      </c>
      <c r="I361" s="76">
        <f>'[7]Gov 65 &amp; 70'!$S446</f>
        <v>365.7</v>
      </c>
      <c r="J361" s="76">
        <f t="shared" si="164"/>
        <v>381.2</v>
      </c>
      <c r="K361" s="362">
        <f t="shared" ref="K361" si="1332">(J361-I361)</f>
        <v>15.5</v>
      </c>
      <c r="L361" s="200" t="s">
        <v>18</v>
      </c>
      <c r="M361" s="76">
        <f>'[7]Gov 65 &amp; 70'!$J446</f>
        <v>0</v>
      </c>
      <c r="N361" s="76">
        <f t="shared" si="165"/>
        <v>0</v>
      </c>
      <c r="O361" s="363">
        <f t="shared" ref="O361" si="1333">(N361-M361)</f>
        <v>0</v>
      </c>
      <c r="P361" s="13" t="s">
        <v>18</v>
      </c>
      <c r="Q361" s="321">
        <f t="shared" ref="Q361" si="1334">(K361*$H$10)*D361/1000</f>
        <v>3739.8824080000004</v>
      </c>
      <c r="R361" s="78">
        <f t="shared" ref="R361" si="1335">(O361*$H$9)*D361/1000</f>
        <v>0</v>
      </c>
      <c r="S361" s="479">
        <f t="shared" ref="S361" si="1336">ROUND((R361+Q361),0)</f>
        <v>3740</v>
      </c>
      <c r="T361" s="13" t="s">
        <v>18</v>
      </c>
      <c r="U361" s="4">
        <f t="shared" si="166"/>
        <v>2012</v>
      </c>
      <c r="V361" s="4">
        <f t="shared" si="167"/>
        <v>9</v>
      </c>
      <c r="W361" s="153">
        <f t="shared" ref="W361" si="1337">Z361/D361*1000</f>
        <v>13228.704734183717</v>
      </c>
      <c r="X361" s="153">
        <f t="shared" ref="X361" si="1338">W361-W349</f>
        <v>337.68890978351192</v>
      </c>
      <c r="Z361" s="98">
        <f t="shared" ref="Z361" si="1339">S361+C361</f>
        <v>309049</v>
      </c>
      <c r="AA361" s="119">
        <f t="shared" ref="AA361" si="1340">Z361-C361</f>
        <v>3740</v>
      </c>
      <c r="AB361" s="512">
        <f>[9]SPAMWh!$L241</f>
        <v>309873</v>
      </c>
      <c r="AC361" s="4">
        <f t="shared" si="168"/>
        <v>2012</v>
      </c>
      <c r="AD361" s="4">
        <f t="shared" si="169"/>
        <v>9</v>
      </c>
      <c r="AE361" s="107">
        <f>RESID!AC361</f>
        <v>30.3</v>
      </c>
      <c r="AF361" s="40">
        <f t="shared" ref="AF361" si="1341">AG361/D361*1000</f>
        <v>13281.097508774934</v>
      </c>
      <c r="AG361" s="4">
        <f t="shared" ref="AG361" si="1342">ROUND(Z361/(AE361/30.42),0)</f>
        <v>310273</v>
      </c>
      <c r="AH361" s="4">
        <f t="shared" ref="AH361" si="1343">Z361-Z349</f>
        <v>6007</v>
      </c>
      <c r="AY361" s="4">
        <f t="shared" si="1304"/>
        <v>2012</v>
      </c>
      <c r="AZ361" s="4">
        <f t="shared" si="1305"/>
        <v>9</v>
      </c>
      <c r="BA361" s="4">
        <f>'[8]Gov 65 &amp; 70'!$S446</f>
        <v>329.6</v>
      </c>
      <c r="BB361" s="4">
        <f t="shared" si="172"/>
        <v>339.3</v>
      </c>
      <c r="BC361" s="82">
        <f t="shared" ref="BC361" si="1344">BB361-BA361</f>
        <v>9.6999999999999886</v>
      </c>
      <c r="BD361" s="36" t="s">
        <v>18</v>
      </c>
      <c r="BE361" s="4">
        <f>'[8]Gov 65 &amp; 70'!$J446</f>
        <v>0.1</v>
      </c>
      <c r="BF361" s="4">
        <f t="shared" si="173"/>
        <v>0</v>
      </c>
      <c r="BG361" s="83">
        <f t="shared" ref="BG361" si="1345">BF361-BE361</f>
        <v>-0.1</v>
      </c>
      <c r="BH361" s="36" t="s">
        <v>18</v>
      </c>
      <c r="BI361" s="273">
        <f t="shared" ref="BI361" si="1346">($H$10*BC361)*D361/1000</f>
        <v>2340.4425391999971</v>
      </c>
      <c r="BJ361" s="270">
        <f t="shared" ref="BJ361" si="1347">($H$9*BG361)*D361/1000</f>
        <v>-4.7378136000000008</v>
      </c>
      <c r="BK361" s="482">
        <f t="shared" ref="BK361" si="1348">ROUND(BJ361+BI361,0)</f>
        <v>2336</v>
      </c>
      <c r="BM361" s="36" t="s">
        <v>18</v>
      </c>
      <c r="BN361" s="4">
        <f t="shared" si="174"/>
        <v>2012</v>
      </c>
      <c r="BO361" s="4">
        <f t="shared" si="175"/>
        <v>9</v>
      </c>
      <c r="BP361" s="108">
        <f>(C361+[4]MWh!$AN195)</f>
        <v>320298.27863722073</v>
      </c>
      <c r="BQ361" s="108">
        <f t="shared" ref="BQ361" si="1349">BP361/D361*1000</f>
        <v>13710.225093623008</v>
      </c>
      <c r="BR361" s="108">
        <f t="shared" ref="BR361" si="1350">BT361/D361*1000</f>
        <v>13810.216532712127</v>
      </c>
      <c r="BS361" s="108">
        <f t="shared" ref="BS361" si="1351">BR361-BR349</f>
        <v>673.74086767168774</v>
      </c>
      <c r="BT361" s="175">
        <f t="shared" ref="BT361" si="1352">BK361+BP361</f>
        <v>322634.27863722073</v>
      </c>
      <c r="BU361" s="108">
        <f t="shared" ref="BU361" si="1353">BT361-BT349</f>
        <v>13822.00870345009</v>
      </c>
      <c r="BV361" s="4">
        <f t="shared" si="735"/>
        <v>2336</v>
      </c>
      <c r="BW361" s="444">
        <f>BT361/[9]SPAMWh!$L241</f>
        <v>1.0411822864115967</v>
      </c>
      <c r="BX361" s="537">
        <f t="shared" si="1214"/>
        <v>0.99908007578432623</v>
      </c>
      <c r="DA361" s="4">
        <f t="shared" si="657"/>
        <v>2255</v>
      </c>
      <c r="DB361" s="108">
        <f>[9]SPAMWh!$E241</f>
        <v>306133</v>
      </c>
      <c r="DG361" s="108">
        <f t="shared" si="677"/>
        <v>308388</v>
      </c>
    </row>
    <row r="362" spans="1:111">
      <c r="A362" s="4">
        <f t="shared" si="1101"/>
        <v>2012</v>
      </c>
      <c r="B362" s="4">
        <f t="shared" si="1102"/>
        <v>10</v>
      </c>
      <c r="C362" s="5">
        <f>'[2]FPC wSEB'!$J459</f>
        <v>287529</v>
      </c>
      <c r="D362" s="5">
        <f>'[2]FPC wSEB'!$AB459</f>
        <v>24168</v>
      </c>
      <c r="E362" s="73">
        <f t="shared" ref="E362" si="1354">ROUND(C362/D362*1000,0)</f>
        <v>11897</v>
      </c>
      <c r="F362" s="540">
        <f t="shared" si="825"/>
        <v>24168</v>
      </c>
      <c r="H362" s="13" t="s">
        <v>18</v>
      </c>
      <c r="I362" s="76">
        <f>'[7]Gov 65 &amp; 70'!$S447</f>
        <v>308.3</v>
      </c>
      <c r="J362" s="76">
        <f t="shared" si="164"/>
        <v>287.8</v>
      </c>
      <c r="K362" s="362">
        <f t="shared" ref="K362" si="1355">(J362-I362)</f>
        <v>-20.5</v>
      </c>
      <c r="L362" s="200" t="s">
        <v>18</v>
      </c>
      <c r="M362" s="76">
        <f>'[7]Gov 65 &amp; 70'!$J447</f>
        <v>0.4</v>
      </c>
      <c r="N362" s="76">
        <f t="shared" si="165"/>
        <v>2.5</v>
      </c>
      <c r="O362" s="363">
        <f t="shared" ref="O362" si="1356">(N362-M362)</f>
        <v>2.1</v>
      </c>
      <c r="P362" s="13" t="s">
        <v>18</v>
      </c>
      <c r="Q362" s="321">
        <f t="shared" ref="Q362" si="1357">(K362*$H$10)*D362/1000</f>
        <v>-5116.945631999999</v>
      </c>
      <c r="R362" s="78">
        <f t="shared" ref="R362" si="1358">(O362*$H$9)*D362/1000</f>
        <v>102.9266784</v>
      </c>
      <c r="S362" s="479">
        <f t="shared" ref="S362" si="1359">ROUND((R362+Q362),0)</f>
        <v>-5014</v>
      </c>
      <c r="T362" s="13" t="s">
        <v>18</v>
      </c>
      <c r="U362" s="4">
        <f t="shared" si="166"/>
        <v>2012</v>
      </c>
      <c r="V362" s="4">
        <f t="shared" si="167"/>
        <v>10</v>
      </c>
      <c r="W362" s="153">
        <f t="shared" ref="W362" si="1360">Z362/D362*1000</f>
        <v>11689.63091691493</v>
      </c>
      <c r="X362" s="153">
        <f t="shared" ref="X362" si="1361">W362-W350</f>
        <v>-843.34322101610451</v>
      </c>
      <c r="Z362" s="98">
        <f t="shared" ref="Z362" si="1362">S362+C362</f>
        <v>282515</v>
      </c>
      <c r="AA362" s="119">
        <f t="shared" ref="AA362" si="1363">Z362-C362</f>
        <v>-5014</v>
      </c>
      <c r="AB362" s="512">
        <f>[9]SPAMWh!$L242</f>
        <v>278934</v>
      </c>
      <c r="AC362" s="4">
        <f t="shared" si="168"/>
        <v>2012</v>
      </c>
      <c r="AD362" s="4">
        <f t="shared" si="169"/>
        <v>10</v>
      </c>
      <c r="AE362" s="107">
        <f>RESID!AC362</f>
        <v>29.9</v>
      </c>
      <c r="AF362" s="40">
        <f t="shared" ref="AF362" si="1364">AG362/D362*1000</f>
        <v>11892.916252896392</v>
      </c>
      <c r="AG362" s="4">
        <f t="shared" ref="AG362" si="1365">ROUND(Z362/(AE362/30.42),0)</f>
        <v>287428</v>
      </c>
      <c r="AH362" s="4">
        <f t="shared" ref="AH362" si="1366">Z362-Z350</f>
        <v>-8250</v>
      </c>
      <c r="AY362" s="4">
        <f t="shared" si="1304"/>
        <v>2012</v>
      </c>
      <c r="AZ362" s="4">
        <f t="shared" si="1305"/>
        <v>10</v>
      </c>
      <c r="BA362" s="4">
        <f>'[8]Gov 65 &amp; 70'!$S447</f>
        <v>210</v>
      </c>
      <c r="BB362" s="4">
        <f t="shared" si="172"/>
        <v>200.4</v>
      </c>
      <c r="BC362" s="82">
        <f t="shared" ref="BC362" si="1367">BB362-BA362</f>
        <v>-9.5999999999999943</v>
      </c>
      <c r="BD362" s="36" t="s">
        <v>18</v>
      </c>
      <c r="BE362" s="4">
        <f>'[8]Gov 65 &amp; 70'!$J447</f>
        <v>19.7</v>
      </c>
      <c r="BF362" s="4">
        <f t="shared" si="173"/>
        <v>15</v>
      </c>
      <c r="BG362" s="83">
        <f t="shared" ref="BG362" si="1368">BF362-BE362</f>
        <v>-4.6999999999999993</v>
      </c>
      <c r="BH362" s="36" t="s">
        <v>18</v>
      </c>
      <c r="BI362" s="273">
        <f t="shared" ref="BI362" si="1369">($H$10*BC362)*D362/1000</f>
        <v>-2396.2281983999987</v>
      </c>
      <c r="BJ362" s="270">
        <f t="shared" ref="BJ362" si="1370">($H$9*BG362)*D362/1000</f>
        <v>-230.35970879999999</v>
      </c>
      <c r="BK362" s="482">
        <f t="shared" ref="BK362" si="1371">ROUND(BJ362+BI362,0)</f>
        <v>-2627</v>
      </c>
      <c r="BM362" s="36" t="s">
        <v>18</v>
      </c>
      <c r="BN362" s="4">
        <f t="shared" si="174"/>
        <v>2012</v>
      </c>
      <c r="BO362" s="4">
        <f t="shared" si="175"/>
        <v>10</v>
      </c>
      <c r="BP362" s="108">
        <f>(C362+[4]MWh!$AN196)</f>
        <v>263050.38052959321</v>
      </c>
      <c r="BQ362" s="108">
        <f t="shared" ref="BQ362" si="1372">BP362/D362*1000</f>
        <v>10884.242822310211</v>
      </c>
      <c r="BR362" s="108">
        <f t="shared" ref="BR362" si="1373">BT362/D362*1000</f>
        <v>10775.545371135104</v>
      </c>
      <c r="BS362" s="108">
        <f t="shared" ref="BS362" si="1374">BR362-BR350</f>
        <v>-1567.2332915765874</v>
      </c>
      <c r="BT362" s="175">
        <f t="shared" ref="BT362" si="1375">BK362+BP362</f>
        <v>260423.38052959321</v>
      </c>
      <c r="BU362" s="108">
        <f t="shared" ref="BU362" si="1376">BT362-BT350</f>
        <v>-25929.084445318033</v>
      </c>
      <c r="BV362" s="4">
        <f t="shared" si="735"/>
        <v>-2627</v>
      </c>
      <c r="BW362" s="444">
        <f>BT362/[9]SPAMWh!$L242</f>
        <v>0.93363799511566614</v>
      </c>
      <c r="BX362" s="537">
        <f t="shared" si="1214"/>
        <v>0.97981949449264938</v>
      </c>
      <c r="DA362" s="4">
        <f t="shared" si="657"/>
        <v>-2902</v>
      </c>
      <c r="DB362" s="108">
        <f>[9]SPAMWh!$E242</f>
        <v>283948</v>
      </c>
      <c r="DG362" s="108">
        <f t="shared" si="677"/>
        <v>281046</v>
      </c>
    </row>
    <row r="363" spans="1:111">
      <c r="A363" s="4">
        <f t="shared" si="1101"/>
        <v>2012</v>
      </c>
      <c r="B363" s="4">
        <f t="shared" si="1102"/>
        <v>11</v>
      </c>
      <c r="C363" s="5">
        <f>'[2]FPC wSEB'!$J460</f>
        <v>273971</v>
      </c>
      <c r="D363" s="5">
        <f>'[2]FPC wSEB'!$AB460</f>
        <v>25479</v>
      </c>
      <c r="E363" s="73">
        <f t="shared" ref="E363" si="1377">ROUND(C363/D363*1000,0)</f>
        <v>10753</v>
      </c>
      <c r="F363" s="540">
        <f t="shared" si="825"/>
        <v>25479</v>
      </c>
      <c r="H363" s="13" t="s">
        <v>18</v>
      </c>
      <c r="I363" s="76">
        <f>'[7]Gov 65 &amp; 70'!$S448</f>
        <v>146.80000000000001</v>
      </c>
      <c r="J363" s="76">
        <f t="shared" si="164"/>
        <v>140.19999999999999</v>
      </c>
      <c r="K363" s="362">
        <f t="shared" ref="K363" si="1378">(J363-I363)</f>
        <v>-6.6000000000000227</v>
      </c>
      <c r="L363" s="200" t="s">
        <v>18</v>
      </c>
      <c r="M363" s="76">
        <f>'[7]Gov 65 &amp; 70'!$J448</f>
        <v>34.6</v>
      </c>
      <c r="N363" s="76">
        <f t="shared" si="165"/>
        <v>38.6</v>
      </c>
      <c r="O363" s="363">
        <f t="shared" ref="O363" si="1379">(N363-M363)</f>
        <v>4</v>
      </c>
      <c r="P363" s="13" t="s">
        <v>18</v>
      </c>
      <c r="Q363" s="321">
        <f t="shared" ref="Q363" si="1380">(K363*$H$10)*D363/1000</f>
        <v>-1736.7709392000056</v>
      </c>
      <c r="R363" s="78">
        <f t="shared" ref="R363" si="1381">(O363*$H$9)*D363/1000</f>
        <v>206.68564800000001</v>
      </c>
      <c r="S363" s="479">
        <f t="shared" ref="S363" si="1382">ROUND((R363+Q363),0)</f>
        <v>-1530</v>
      </c>
      <c r="T363" s="13" t="s">
        <v>18</v>
      </c>
      <c r="U363" s="4">
        <f t="shared" si="166"/>
        <v>2012</v>
      </c>
      <c r="V363" s="4">
        <f t="shared" si="167"/>
        <v>11</v>
      </c>
      <c r="W363" s="153">
        <f t="shared" ref="W363" si="1383">Z363/D363*1000</f>
        <v>10692.766592095451</v>
      </c>
      <c r="X363" s="153">
        <f t="shared" ref="X363" si="1384">W363-W351</f>
        <v>-219.80589501795112</v>
      </c>
      <c r="Z363" s="98">
        <f t="shared" ref="Z363" si="1385">S363+C363</f>
        <v>272441</v>
      </c>
      <c r="AA363" s="119">
        <f t="shared" ref="AA363" si="1386">Z363-C363</f>
        <v>-1530</v>
      </c>
      <c r="AB363" s="512">
        <f>[9]SPAMWh!$L243</f>
        <v>267960</v>
      </c>
      <c r="AC363" s="4">
        <f t="shared" si="168"/>
        <v>2012</v>
      </c>
      <c r="AD363" s="4">
        <f t="shared" si="169"/>
        <v>11</v>
      </c>
      <c r="AE363" s="107">
        <f>RESID!AC363</f>
        <v>29.85</v>
      </c>
      <c r="AF363" s="40">
        <f t="shared" ref="AF363" si="1387">AG363/D363*1000</f>
        <v>10896.934730562425</v>
      </c>
      <c r="AG363" s="4">
        <f t="shared" ref="AG363" si="1388">ROUND(Z363/(AE363/30.42),0)</f>
        <v>277643</v>
      </c>
      <c r="AH363" s="4">
        <f t="shared" ref="AH363" si="1389">Z363-Z351</f>
        <v>1460</v>
      </c>
      <c r="AY363" s="4">
        <f t="shared" si="1304"/>
        <v>2012</v>
      </c>
      <c r="AZ363" s="4">
        <f t="shared" si="1305"/>
        <v>11</v>
      </c>
      <c r="BA363" s="4">
        <f>'[8]Gov 65 &amp; 70'!$S448</f>
        <v>27</v>
      </c>
      <c r="BB363" s="4">
        <f t="shared" si="172"/>
        <v>66.3</v>
      </c>
      <c r="BC363" s="82">
        <f t="shared" ref="BC363" si="1390">BB363-BA363</f>
        <v>39.299999999999997</v>
      </c>
      <c r="BD363" s="36" t="s">
        <v>18</v>
      </c>
      <c r="BE363" s="4">
        <f>'[8]Gov 65 &amp; 70'!$J448</f>
        <v>94.9</v>
      </c>
      <c r="BF363" s="4">
        <f t="shared" si="173"/>
        <v>69.900000000000006</v>
      </c>
      <c r="BG363" s="83">
        <f t="shared" ref="BG363" si="1391">BF363-BE363</f>
        <v>-25</v>
      </c>
      <c r="BH363" s="36" t="s">
        <v>18</v>
      </c>
      <c r="BI363" s="273">
        <f t="shared" ref="BI363" si="1392">($H$10*BC363)*D363/1000</f>
        <v>10341.6815016</v>
      </c>
      <c r="BJ363" s="270">
        <f t="shared" ref="BJ363" si="1393">($H$9*BG363)*D363/1000</f>
        <v>-1291.7853</v>
      </c>
      <c r="BK363" s="482">
        <f t="shared" ref="BK363" si="1394">ROUND(BJ363+BI363,0)</f>
        <v>9050</v>
      </c>
      <c r="BM363" s="36" t="s">
        <v>18</v>
      </c>
      <c r="BN363" s="4">
        <f t="shared" si="174"/>
        <v>2012</v>
      </c>
      <c r="BO363" s="4">
        <f t="shared" si="175"/>
        <v>11</v>
      </c>
      <c r="BP363" s="108">
        <f>(C363+[4]MWh!$AN197)</f>
        <v>245494.68740925676</v>
      </c>
      <c r="BQ363" s="108">
        <f t="shared" ref="BQ363" si="1395">BP363/D363*1000</f>
        <v>9635.1774955554283</v>
      </c>
      <c r="BR363" s="108">
        <f t="shared" ref="BR363" si="1396">BT363/D363*1000</f>
        <v>9990.3719694358788</v>
      </c>
      <c r="BS363" s="108">
        <f t="shared" ref="BS363" si="1397">BR363-BR351</f>
        <v>22.776670760018533</v>
      </c>
      <c r="BT363" s="175">
        <f t="shared" ref="BT363" si="1398">BK363+BP363</f>
        <v>254544.68740925676</v>
      </c>
      <c r="BU363" s="108">
        <f t="shared" ref="BU363" si="1399">BT363-BT351</f>
        <v>7029.3609525377979</v>
      </c>
      <c r="BV363" s="4">
        <f t="shared" si="735"/>
        <v>9050</v>
      </c>
      <c r="BW363" s="444">
        <f>BT363/[9]SPAMWh!$L243</f>
        <v>0.94993539113769498</v>
      </c>
      <c r="BX363" s="537">
        <f t="shared" si="1214"/>
        <v>0.92047691817472554</v>
      </c>
      <c r="DA363" s="4">
        <f t="shared" si="657"/>
        <v>-807</v>
      </c>
      <c r="DB363" s="108">
        <f>[9]SPAMWh!$E243</f>
        <v>269490</v>
      </c>
      <c r="DG363" s="108">
        <f t="shared" si="677"/>
        <v>268683</v>
      </c>
    </row>
    <row r="364" spans="1:111" s="89" customFormat="1">
      <c r="A364" s="89">
        <f t="shared" si="1101"/>
        <v>2012</v>
      </c>
      <c r="B364" s="89">
        <f t="shared" si="1102"/>
        <v>12</v>
      </c>
      <c r="C364" s="103">
        <f>'[2]FPC wSEB'!$J461</f>
        <v>244027</v>
      </c>
      <c r="D364" s="103">
        <f>'[2]FPC wSEB'!$AB461</f>
        <v>23870</v>
      </c>
      <c r="E364" s="104">
        <f t="shared" ref="E364" si="1400">ROUND(C364/D364*1000,0)</f>
        <v>10223</v>
      </c>
      <c r="F364" s="586">
        <f t="shared" si="825"/>
        <v>23870</v>
      </c>
      <c r="H364" s="90" t="s">
        <v>18</v>
      </c>
      <c r="I364" s="92">
        <f>'[7]Gov 65 &amp; 70'!$S449</f>
        <v>35.700000000000003</v>
      </c>
      <c r="J364" s="92">
        <f t="shared" si="164"/>
        <v>50.8</v>
      </c>
      <c r="K364" s="364">
        <f t="shared" ref="K364" si="1401">(J364-I364)</f>
        <v>15.099999999999994</v>
      </c>
      <c r="L364" s="210" t="s">
        <v>18</v>
      </c>
      <c r="M364" s="92">
        <f>'[7]Gov 65 &amp; 70'!$J449</f>
        <v>89.5</v>
      </c>
      <c r="N364" s="92">
        <f t="shared" si="165"/>
        <v>121.8</v>
      </c>
      <c r="O364" s="365">
        <f t="shared" ref="O364" si="1402">(N364-M364)</f>
        <v>32.299999999999997</v>
      </c>
      <c r="P364" s="90" t="s">
        <v>18</v>
      </c>
      <c r="Q364" s="360">
        <f t="shared" ref="Q364" si="1403">(K364*$H$10)*D364/1000</f>
        <v>3722.5933359999985</v>
      </c>
      <c r="R364" s="95">
        <f t="shared" ref="R364" si="1404">(O364*$H$9)*D364/1000</f>
        <v>1563.5900279999996</v>
      </c>
      <c r="S364" s="480">
        <f t="shared" ref="S364:S365" si="1405">ROUND((R364+Q364),0)</f>
        <v>5286</v>
      </c>
      <c r="T364" s="90" t="s">
        <v>18</v>
      </c>
      <c r="U364" s="89">
        <f t="shared" si="166"/>
        <v>2012</v>
      </c>
      <c r="V364" s="89">
        <f t="shared" si="167"/>
        <v>12</v>
      </c>
      <c r="W364" s="154">
        <f t="shared" ref="W364" si="1406">Z364/D364*1000</f>
        <v>10444.616673648932</v>
      </c>
      <c r="X364" s="154">
        <f t="shared" ref="X364" si="1407">W364-W352</f>
        <v>92.580133253357417</v>
      </c>
      <c r="Z364" s="155">
        <f t="shared" ref="Z364" si="1408">S364+C364</f>
        <v>249313</v>
      </c>
      <c r="AA364" s="156">
        <f t="shared" ref="AA364" si="1409">Z364-C364</f>
        <v>5286</v>
      </c>
      <c r="AB364" s="522">
        <f>[9]SPAMWh!$L244</f>
        <v>252550</v>
      </c>
      <c r="AC364" s="89">
        <f t="shared" si="168"/>
        <v>2012</v>
      </c>
      <c r="AD364" s="89">
        <f t="shared" si="169"/>
        <v>12</v>
      </c>
      <c r="AE364" s="110">
        <f>RESID!AC364</f>
        <v>31.75</v>
      </c>
      <c r="AF364" s="116">
        <f t="shared" ref="AF364" si="1410">AG364/D364*1000</f>
        <v>10007.080016757436</v>
      </c>
      <c r="AG364" s="89">
        <f t="shared" ref="AG364" si="1411">ROUND(Z364/(AE364/30.42),0)</f>
        <v>238869</v>
      </c>
      <c r="AH364" s="89">
        <f t="shared" ref="AH364" si="1412">Z364-Z352</f>
        <v>2272</v>
      </c>
      <c r="AY364" s="89">
        <f t="shared" si="1304"/>
        <v>2012</v>
      </c>
      <c r="AZ364" s="89">
        <f t="shared" si="1305"/>
        <v>12</v>
      </c>
      <c r="BA364" s="89">
        <f>'[8]Gov 65 &amp; 70'!$S449</f>
        <v>40.700000000000003</v>
      </c>
      <c r="BB364" s="89">
        <f t="shared" si="172"/>
        <v>28.2</v>
      </c>
      <c r="BC364" s="111">
        <f t="shared" ref="BC364" si="1413">BB364-BA364</f>
        <v>-12.500000000000004</v>
      </c>
      <c r="BD364" s="113" t="s">
        <v>18</v>
      </c>
      <c r="BE364" s="89">
        <f>'[8]Gov 65 &amp; 70'!$J449</f>
        <v>123.3</v>
      </c>
      <c r="BF364" s="89">
        <f t="shared" si="173"/>
        <v>170</v>
      </c>
      <c r="BG364" s="112">
        <f t="shared" ref="BG364" si="1414">BF364-BE364</f>
        <v>46.7</v>
      </c>
      <c r="BH364" s="113" t="s">
        <v>18</v>
      </c>
      <c r="BI364" s="274">
        <f t="shared" ref="BI364" si="1415">($H$10*BC364)*D364/1000</f>
        <v>-3081.6170000000006</v>
      </c>
      <c r="BJ364" s="275">
        <f t="shared" ref="BJ364" si="1416">($H$9*BG364)*D364/1000</f>
        <v>2260.6704120000004</v>
      </c>
      <c r="BK364" s="483">
        <f t="shared" ref="BK364" si="1417">ROUND(BJ364+BI364,0)</f>
        <v>-821</v>
      </c>
      <c r="BL364" s="438"/>
      <c r="BM364" s="113" t="s">
        <v>18</v>
      </c>
      <c r="BN364" s="89">
        <f t="shared" si="174"/>
        <v>2012</v>
      </c>
      <c r="BO364" s="89">
        <f t="shared" si="175"/>
        <v>12</v>
      </c>
      <c r="BP364" s="117">
        <f>(C364+[4]MWh!$AN198)</f>
        <v>270121.03153241507</v>
      </c>
      <c r="BQ364" s="117">
        <f t="shared" ref="BQ364" si="1418">BP364/D364*1000</f>
        <v>11316.339821215546</v>
      </c>
      <c r="BR364" s="117">
        <f t="shared" ref="BR364" si="1419">BT364/D364*1000</f>
        <v>11281.945183595102</v>
      </c>
      <c r="BS364" s="117">
        <f t="shared" ref="BS364" si="1420">BR364-BR352</f>
        <v>1171.2431148382911</v>
      </c>
      <c r="BT364" s="176">
        <f t="shared" ref="BT364" si="1421">BK364+BP364</f>
        <v>269300.03153241507</v>
      </c>
      <c r="BU364" s="117">
        <f t="shared" ref="BU364" si="1422">BT364-BT352</f>
        <v>28018.2373636025</v>
      </c>
      <c r="BV364" s="89">
        <f t="shared" si="735"/>
        <v>-821</v>
      </c>
      <c r="BW364" s="533">
        <f>BT364/[9]SPAMWh!$L244</f>
        <v>1.0663236251530988</v>
      </c>
      <c r="BX364" s="443">
        <f>AVERAGE(BW364,BW352,BW340,BW328,BW316,BW304,BW292,BW280,BW256)-0.0057</f>
        <v>1.0028563615810941</v>
      </c>
      <c r="DA364" s="89">
        <f t="shared" si="657"/>
        <v>3435</v>
      </c>
      <c r="DB364" s="117">
        <f>[9]SPAMWh!$E244</f>
        <v>247264</v>
      </c>
      <c r="DG364" s="117">
        <f t="shared" si="677"/>
        <v>250699</v>
      </c>
    </row>
    <row r="365" spans="1:111">
      <c r="A365" s="4">
        <f t="shared" si="1101"/>
        <v>2013</v>
      </c>
      <c r="B365" s="4">
        <f t="shared" si="1102"/>
        <v>1</v>
      </c>
      <c r="C365" s="5">
        <f>'[2]FPC wSEB'!$J462</f>
        <v>232131</v>
      </c>
      <c r="D365" s="5">
        <f>'[2]FPC wSEB'!$AB462</f>
        <v>23462</v>
      </c>
      <c r="E365" s="73">
        <f t="shared" ref="E365" si="1423">ROUND(C365/D365*1000,0)</f>
        <v>9894</v>
      </c>
      <c r="F365" s="540">
        <f t="shared" si="825"/>
        <v>23462</v>
      </c>
      <c r="H365" s="13" t="s">
        <v>18</v>
      </c>
      <c r="I365" s="76">
        <f>'[7]Gov 65 &amp; 70'!$S450</f>
        <v>40.4</v>
      </c>
      <c r="J365" s="76">
        <f t="shared" si="164"/>
        <v>28.7</v>
      </c>
      <c r="K365" s="362">
        <f t="shared" ref="K365" si="1424">(J365-I365)</f>
        <v>-11.7</v>
      </c>
      <c r="L365" s="200" t="s">
        <v>18</v>
      </c>
      <c r="M365" s="76">
        <f>'[7]Gov 65 &amp; 70'!$J450</f>
        <v>130.1</v>
      </c>
      <c r="N365" s="76">
        <f t="shared" si="165"/>
        <v>192.9</v>
      </c>
      <c r="O365" s="363">
        <f t="shared" ref="O365" si="1425">(N365-M365)</f>
        <v>62.800000000000011</v>
      </c>
      <c r="P365" s="13" t="s">
        <v>18</v>
      </c>
      <c r="Q365" s="77">
        <f t="shared" ref="Q365:Q370" si="1426">K365*$I$10</f>
        <v>-2691.8774999999996</v>
      </c>
      <c r="R365" s="78">
        <f t="shared" ref="R365:R370" si="1427">O365*$I$9</f>
        <v>3602.4592000000007</v>
      </c>
      <c r="S365" s="479">
        <f t="shared" si="1405"/>
        <v>911</v>
      </c>
      <c r="T365" s="13" t="s">
        <v>18</v>
      </c>
      <c r="U365" s="4">
        <f t="shared" si="166"/>
        <v>2013</v>
      </c>
      <c r="V365" s="4">
        <f t="shared" si="167"/>
        <v>1</v>
      </c>
      <c r="W365" s="153">
        <f t="shared" ref="W365" si="1428">Z365/D365*1000</f>
        <v>9932.7423067087202</v>
      </c>
      <c r="X365" s="153">
        <f t="shared" ref="X365" si="1429">W365-W353</f>
        <v>-351.10950689654601</v>
      </c>
      <c r="Z365" s="98">
        <f t="shared" ref="Z365" si="1430">S365+C365</f>
        <v>233042</v>
      </c>
      <c r="AA365" s="119">
        <f t="shared" ref="AA365" si="1431">Z365-C365</f>
        <v>911</v>
      </c>
      <c r="AB365" s="512">
        <f>[9]SPAMWh!$L245</f>
        <v>235414</v>
      </c>
      <c r="AC365" s="4">
        <f t="shared" si="168"/>
        <v>2013</v>
      </c>
      <c r="AD365" s="4">
        <f t="shared" si="169"/>
        <v>1</v>
      </c>
      <c r="AE365" s="107">
        <f>RESID!AC365</f>
        <v>31.9</v>
      </c>
      <c r="AF365" s="40">
        <f t="shared" ref="AF365" si="1432">AG365/D365*1000</f>
        <v>9471.9120279601048</v>
      </c>
      <c r="AG365" s="4">
        <f t="shared" ref="AG365" si="1433">ROUND(Z365/(AE365/30.42),0)</f>
        <v>222230</v>
      </c>
      <c r="AH365" s="4">
        <f t="shared" ref="AH365" si="1434">Z365-Z353</f>
        <v>-5965</v>
      </c>
      <c r="AY365" s="4">
        <f t="shared" si="1304"/>
        <v>2013</v>
      </c>
      <c r="AZ365" s="4">
        <f t="shared" si="1305"/>
        <v>1</v>
      </c>
      <c r="BA365" s="4">
        <f>'[8]Gov 65 &amp; 70'!$S450</f>
        <v>48.5</v>
      </c>
      <c r="BB365" s="4">
        <f t="shared" si="172"/>
        <v>23.9</v>
      </c>
      <c r="BC365" s="82">
        <f t="shared" ref="BC365" si="1435">BB365-BA365</f>
        <v>-24.6</v>
      </c>
      <c r="BD365" s="36" t="s">
        <v>18</v>
      </c>
      <c r="BE365" s="4">
        <f>'[8]Gov 65 &amp; 70'!$J450</f>
        <v>87.4</v>
      </c>
      <c r="BF365" s="4">
        <f t="shared" si="173"/>
        <v>176.9</v>
      </c>
      <c r="BG365" s="83">
        <f t="shared" ref="BG365" si="1436">BF365-BE365</f>
        <v>89.5</v>
      </c>
      <c r="BH365" s="36" t="s">
        <v>18</v>
      </c>
      <c r="BI365" s="271">
        <f t="shared" ref="BI365:BI370" si="1437">$I$10*BC365</f>
        <v>-5659.8450000000003</v>
      </c>
      <c r="BJ365" s="272">
        <f t="shared" ref="BJ365:BJ370" si="1438">$I$9*BG365</f>
        <v>5134.0779999999995</v>
      </c>
      <c r="BK365" s="481">
        <f t="shared" ref="BK365:BK370" si="1439">ROUND(BJ365+BI365,0)</f>
        <v>-526</v>
      </c>
      <c r="BM365" s="36" t="s">
        <v>18</v>
      </c>
      <c r="BN365" s="4">
        <f t="shared" ref="BN365:BN376" si="1440">BN353+1</f>
        <v>2013</v>
      </c>
      <c r="BO365" s="4">
        <f t="shared" ref="BO365:BO376" si="1441">BO353</f>
        <v>1</v>
      </c>
      <c r="BP365" s="108">
        <f>(C365+[4]MWh!$AN199)</f>
        <v>215427.33029663429</v>
      </c>
      <c r="BQ365" s="108">
        <f t="shared" ref="BQ365" si="1442">BP365/D365*1000</f>
        <v>9181.9678755704663</v>
      </c>
      <c r="BR365" s="108">
        <f t="shared" ref="BR365" si="1443">BT365/D365*1000</f>
        <v>9159.5486444733742</v>
      </c>
      <c r="BS365" s="108">
        <f t="shared" ref="BS365" si="1444">BR365-BR353</f>
        <v>-1216.2872830004253</v>
      </c>
      <c r="BT365" s="175">
        <f t="shared" ref="BT365" si="1445">BK365+BP365</f>
        <v>214901.33029663429</v>
      </c>
      <c r="BU365" s="108">
        <f t="shared" ref="BU365" si="1446">BT365-BT353</f>
        <v>-26243.472493784269</v>
      </c>
      <c r="BV365" s="4">
        <f t="shared" si="735"/>
        <v>-526</v>
      </c>
      <c r="BW365" s="444">
        <f>BT365/[9]SPAMWh!$L245</f>
        <v>0.91286554876360071</v>
      </c>
      <c r="BX365" s="538">
        <f>SUM(BX353:BX364)</f>
        <v>12.000251798653917</v>
      </c>
      <c r="DB365" s="108"/>
      <c r="DG365" s="108"/>
    </row>
    <row r="366" spans="1:111">
      <c r="A366" s="4">
        <f t="shared" si="1101"/>
        <v>2013</v>
      </c>
      <c r="B366" s="4">
        <f t="shared" si="1102"/>
        <v>2</v>
      </c>
      <c r="C366" s="5">
        <f>'[2]FPC wSEB'!$J463</f>
        <v>235165</v>
      </c>
      <c r="D366" s="5">
        <f>'[2]FPC wSEB'!$AB463</f>
        <v>23937</v>
      </c>
      <c r="E366" s="73">
        <f t="shared" ref="E366" si="1447">ROUND(C366/D366*1000,0)</f>
        <v>9824</v>
      </c>
      <c r="F366" s="540">
        <f t="shared" si="825"/>
        <v>23937</v>
      </c>
      <c r="H366" s="13" t="s">
        <v>18</v>
      </c>
      <c r="I366" s="76">
        <f>'[7]Gov 65 &amp; 70'!$S451</f>
        <v>38.700000000000003</v>
      </c>
      <c r="J366" s="76">
        <f t="shared" si="164"/>
        <v>22.6</v>
      </c>
      <c r="K366" s="362">
        <f t="shared" ref="K366" si="1448">(J366-I366)</f>
        <v>-16.100000000000001</v>
      </c>
      <c r="L366" s="200" t="s">
        <v>18</v>
      </c>
      <c r="M366" s="76">
        <f>'[7]Gov 65 &amp; 70'!$J451</f>
        <v>113.1</v>
      </c>
      <c r="N366" s="76">
        <f t="shared" si="165"/>
        <v>177.2</v>
      </c>
      <c r="O366" s="363">
        <f t="shared" ref="O366" si="1449">(N366-M366)</f>
        <v>64.099999999999994</v>
      </c>
      <c r="P366" s="13" t="s">
        <v>18</v>
      </c>
      <c r="Q366" s="77">
        <f t="shared" si="1426"/>
        <v>-3704.2075</v>
      </c>
      <c r="R366" s="78">
        <f t="shared" si="1427"/>
        <v>3677.0323999999996</v>
      </c>
      <c r="S366" s="479">
        <f t="shared" ref="S366" si="1450">ROUND((R366+Q366),0)</f>
        <v>-27</v>
      </c>
      <c r="T366" s="13" t="s">
        <v>18</v>
      </c>
      <c r="U366" s="4">
        <f t="shared" si="166"/>
        <v>2013</v>
      </c>
      <c r="V366" s="4">
        <f t="shared" si="167"/>
        <v>2</v>
      </c>
      <c r="W366" s="153">
        <f t="shared" ref="W366" si="1451">Z366/D366*1000</f>
        <v>9823.2025734218987</v>
      </c>
      <c r="X366" s="153">
        <f t="shared" ref="X366" si="1452">W366-W354</f>
        <v>-1506.082349445227</v>
      </c>
      <c r="Z366" s="98">
        <f t="shared" ref="Z366" si="1453">S366+C366</f>
        <v>235138</v>
      </c>
      <c r="AA366" s="119">
        <f t="shared" ref="AA366" si="1454">Z366-C366</f>
        <v>-27</v>
      </c>
      <c r="AB366" s="512">
        <f>[9]SPAMWh!$L246</f>
        <v>234924</v>
      </c>
      <c r="AC366" s="4">
        <f t="shared" si="168"/>
        <v>2013</v>
      </c>
      <c r="AD366" s="4">
        <f t="shared" si="169"/>
        <v>2</v>
      </c>
      <c r="AE366" s="107">
        <f>RESID!AC366</f>
        <v>29.7</v>
      </c>
      <c r="AF366" s="40">
        <f t="shared" ref="AF366" si="1455">AG366/D366*1000</f>
        <v>10061.327651752517</v>
      </c>
      <c r="AG366" s="4">
        <f t="shared" ref="AG366" si="1456">ROUND(Z366/(AE366/30.42),0)</f>
        <v>240838</v>
      </c>
      <c r="AH366" s="4">
        <f t="shared" ref="AH366" si="1457">Z366-Z354</f>
        <v>-30715</v>
      </c>
      <c r="AY366" s="4">
        <f t="shared" si="1304"/>
        <v>2013</v>
      </c>
      <c r="AZ366" s="4">
        <f t="shared" si="1305"/>
        <v>2</v>
      </c>
      <c r="BA366" s="4">
        <f>'[8]Gov 65 &amp; 70'!$S451</f>
        <v>39.4</v>
      </c>
      <c r="BB366" s="4">
        <f t="shared" si="172"/>
        <v>32.799999999999997</v>
      </c>
      <c r="BC366" s="82">
        <f t="shared" ref="BC366" si="1458">BB366-BA366</f>
        <v>-6.6000000000000014</v>
      </c>
      <c r="BD366" s="36" t="s">
        <v>18</v>
      </c>
      <c r="BE366" s="4">
        <f>'[8]Gov 65 &amp; 70'!$J451</f>
        <v>115</v>
      </c>
      <c r="BF366" s="4">
        <f t="shared" si="173"/>
        <v>139.1</v>
      </c>
      <c r="BG366" s="83">
        <f t="shared" ref="BG366" si="1459">BF366-BE366</f>
        <v>24.099999999999994</v>
      </c>
      <c r="BH366" s="36" t="s">
        <v>18</v>
      </c>
      <c r="BI366" s="271">
        <f t="shared" si="1437"/>
        <v>-1518.4950000000003</v>
      </c>
      <c r="BJ366" s="272">
        <f t="shared" si="1438"/>
        <v>1382.4723999999997</v>
      </c>
      <c r="BK366" s="481">
        <f t="shared" si="1439"/>
        <v>-136</v>
      </c>
      <c r="BM366" s="36" t="s">
        <v>18</v>
      </c>
      <c r="BN366" s="4">
        <f t="shared" si="1440"/>
        <v>2013</v>
      </c>
      <c r="BO366" s="4">
        <f t="shared" si="1441"/>
        <v>2</v>
      </c>
      <c r="BP366" s="108">
        <f>(C366+[4]MWh!$AN200)</f>
        <v>227334.41128281329</v>
      </c>
      <c r="BQ366" s="108">
        <f t="shared" ref="BQ366" si="1460">BP366/D366*1000</f>
        <v>9497.1972796429509</v>
      </c>
      <c r="BR366" s="108">
        <f t="shared" ref="BR366" si="1461">BT366/D366*1000</f>
        <v>9491.5156988266408</v>
      </c>
      <c r="BS366" s="108">
        <f t="shared" ref="BS366" si="1462">BR366-BR354</f>
        <v>-2848.2957173142659</v>
      </c>
      <c r="BT366" s="175">
        <f t="shared" ref="BT366" si="1463">BK366+BP366</f>
        <v>227198.41128281329</v>
      </c>
      <c r="BU366" s="108">
        <f t="shared" ref="BU366" si="1464">BT366-BT354</f>
        <v>-62367.603408349212</v>
      </c>
      <c r="BV366" s="4">
        <f t="shared" si="735"/>
        <v>-136</v>
      </c>
      <c r="BW366" s="444">
        <f>BT366/[9]SPAMWh!$L246</f>
        <v>0.96711451909048585</v>
      </c>
    </row>
    <row r="367" spans="1:111">
      <c r="A367" s="4">
        <f t="shared" si="1101"/>
        <v>2013</v>
      </c>
      <c r="B367" s="4">
        <f t="shared" si="1102"/>
        <v>3</v>
      </c>
      <c r="C367" s="5">
        <f>'[2]FPC wSEB'!$J464</f>
        <v>234415</v>
      </c>
      <c r="D367" s="5">
        <f>'[2]FPC wSEB'!$AB464</f>
        <v>23481</v>
      </c>
      <c r="E367" s="73">
        <f t="shared" ref="E367" si="1465">ROUND(C367/D367*1000,0)</f>
        <v>9983</v>
      </c>
      <c r="F367" s="540">
        <f t="shared" si="825"/>
        <v>23481</v>
      </c>
      <c r="H367" s="13" t="s">
        <v>18</v>
      </c>
      <c r="I367" s="76">
        <f>'[7]Gov 65 &amp; 70'!$S452</f>
        <v>35.700000000000003</v>
      </c>
      <c r="J367" s="76">
        <f t="shared" si="164"/>
        <v>44.5</v>
      </c>
      <c r="K367" s="362">
        <f t="shared" ref="K367" si="1466">(J367-I367)</f>
        <v>8.7999999999999972</v>
      </c>
      <c r="L367" s="200" t="s">
        <v>18</v>
      </c>
      <c r="M367" s="76">
        <f>'[7]Gov 65 &amp; 70'!$J452</f>
        <v>149.30000000000001</v>
      </c>
      <c r="N367" s="76">
        <f t="shared" si="165"/>
        <v>119.5</v>
      </c>
      <c r="O367" s="363">
        <f t="shared" ref="O367" si="1467">(N367-M367)</f>
        <v>-29.800000000000011</v>
      </c>
      <c r="P367" s="13" t="s">
        <v>18</v>
      </c>
      <c r="Q367" s="77">
        <f t="shared" si="1426"/>
        <v>2024.6599999999992</v>
      </c>
      <c r="R367" s="78">
        <f t="shared" si="1427"/>
        <v>-1709.4472000000005</v>
      </c>
      <c r="S367" s="479">
        <f t="shared" ref="S367" si="1468">ROUND((R367+Q367),0)</f>
        <v>315</v>
      </c>
      <c r="T367" s="13" t="s">
        <v>18</v>
      </c>
      <c r="U367" s="4">
        <f t="shared" si="166"/>
        <v>2013</v>
      </c>
      <c r="V367" s="4">
        <f t="shared" si="167"/>
        <v>3</v>
      </c>
      <c r="W367" s="153">
        <f t="shared" ref="W367" si="1469">Z367/D367*1000</f>
        <v>9996.5929900770825</v>
      </c>
      <c r="X367" s="153">
        <f t="shared" ref="X367" si="1470">W367-W355</f>
        <v>-153.90347575933629</v>
      </c>
      <c r="Z367" s="98">
        <f t="shared" ref="Z367" si="1471">S367+C367</f>
        <v>234730</v>
      </c>
      <c r="AA367" s="119">
        <f t="shared" ref="AA367" si="1472">Z367-C367</f>
        <v>315</v>
      </c>
      <c r="AB367" s="512">
        <f>[9]SPAMWh!$L247</f>
        <v>234752</v>
      </c>
      <c r="AC367" s="4">
        <f t="shared" si="168"/>
        <v>2013</v>
      </c>
      <c r="AD367" s="4">
        <f t="shared" si="169"/>
        <v>3</v>
      </c>
      <c r="AE367" s="107">
        <f>RESID!AC367</f>
        <v>29.4</v>
      </c>
      <c r="AF367" s="40">
        <f t="shared" ref="AF367" si="1473">AG367/D367*1000</f>
        <v>10343.426600229974</v>
      </c>
      <c r="AG367" s="4">
        <f t="shared" ref="AG367" si="1474">ROUND(Z367/(AE367/30.42),0)</f>
        <v>242874</v>
      </c>
      <c r="AH367" s="4">
        <f t="shared" ref="AH367" si="1475">Z367-Z355</f>
        <v>-6527</v>
      </c>
      <c r="AY367" s="4">
        <f t="shared" si="1304"/>
        <v>2013</v>
      </c>
      <c r="AZ367" s="4">
        <f t="shared" si="1305"/>
        <v>3</v>
      </c>
      <c r="BA367" s="4">
        <f>'[8]Gov 65 &amp; 70'!$S452</f>
        <v>22.3</v>
      </c>
      <c r="BB367" s="4">
        <f t="shared" si="172"/>
        <v>64.099999999999994</v>
      </c>
      <c r="BC367" s="82">
        <f t="shared" ref="BC367" si="1476">BB367-BA367</f>
        <v>41.8</v>
      </c>
      <c r="BD367" s="36" t="s">
        <v>18</v>
      </c>
      <c r="BE367" s="4">
        <f>'[8]Gov 65 &amp; 70'!$J452</f>
        <v>193.5</v>
      </c>
      <c r="BF367" s="4">
        <f t="shared" si="173"/>
        <v>85.4</v>
      </c>
      <c r="BG367" s="83">
        <f t="shared" ref="BG367" si="1477">BF367-BE367</f>
        <v>-108.1</v>
      </c>
      <c r="BH367" s="36" t="s">
        <v>18</v>
      </c>
      <c r="BI367" s="271">
        <f t="shared" si="1437"/>
        <v>9617.1349999999984</v>
      </c>
      <c r="BJ367" s="272">
        <f t="shared" si="1438"/>
        <v>-6201.0483999999997</v>
      </c>
      <c r="BK367" s="481">
        <f t="shared" si="1439"/>
        <v>3416</v>
      </c>
      <c r="BM367" s="36" t="s">
        <v>18</v>
      </c>
      <c r="BN367" s="4">
        <f t="shared" si="1440"/>
        <v>2013</v>
      </c>
      <c r="BO367" s="4">
        <f t="shared" si="1441"/>
        <v>3</v>
      </c>
      <c r="BP367" s="108">
        <f>(C367+[4]MWh!$AN201)</f>
        <v>253825.28813468086</v>
      </c>
      <c r="BQ367" s="108">
        <f t="shared" ref="BQ367" si="1478">BP367/D367*1000</f>
        <v>10809.815942024652</v>
      </c>
      <c r="BR367" s="108">
        <f t="shared" ref="BR367" si="1479">BT367/D367*1000</f>
        <v>10955.295265733183</v>
      </c>
      <c r="BS367" s="108">
        <f t="shared" ref="BS367" si="1480">BR367-BR355</f>
        <v>1256.6692737963022</v>
      </c>
      <c r="BT367" s="175">
        <f t="shared" ref="BT367" si="1481">BK367+BP367</f>
        <v>257241.28813468086</v>
      </c>
      <c r="BU367" s="108">
        <f t="shared" ref="BU367" si="1482">BT367-BT355</f>
        <v>26724.345558325062</v>
      </c>
      <c r="BV367" s="4">
        <f t="shared" ref="BV367" si="1483">BT367-BP367</f>
        <v>3416</v>
      </c>
      <c r="BW367" s="444">
        <f>BT367/[9]SPAMWh!$L247</f>
        <v>1.0958001982291135</v>
      </c>
    </row>
    <row r="368" spans="1:111">
      <c r="A368" s="4">
        <f t="shared" si="1101"/>
        <v>2013</v>
      </c>
      <c r="B368" s="4">
        <f t="shared" si="1102"/>
        <v>4</v>
      </c>
      <c r="C368" s="5">
        <f>'[2]FPC wSEB'!$J465</f>
        <v>236540</v>
      </c>
      <c r="D368" s="5">
        <f>'[2]FPC wSEB'!$AB465</f>
        <v>23662</v>
      </c>
      <c r="E368" s="73">
        <f t="shared" ref="E368" si="1484">ROUND(C368/D368*1000,0)</f>
        <v>9997</v>
      </c>
      <c r="F368" s="540">
        <f t="shared" si="825"/>
        <v>23662</v>
      </c>
      <c r="H368" s="13" t="s">
        <v>18</v>
      </c>
      <c r="I368" s="76">
        <f>'[7]Gov 65 &amp; 70'!$S453</f>
        <v>61.9</v>
      </c>
      <c r="J368" s="76">
        <f t="shared" si="164"/>
        <v>87.7</v>
      </c>
      <c r="K368" s="362">
        <f t="shared" ref="K368" si="1485">(J368-I368)</f>
        <v>25.800000000000004</v>
      </c>
      <c r="L368" s="200" t="s">
        <v>18</v>
      </c>
      <c r="M368" s="76">
        <f>'[7]Gov 65 &amp; 70'!$J453</f>
        <v>119</v>
      </c>
      <c r="N368" s="76">
        <f t="shared" si="165"/>
        <v>60.3</v>
      </c>
      <c r="O368" s="363">
        <f t="shared" ref="O368" si="1486">(N368-M368)</f>
        <v>-58.7</v>
      </c>
      <c r="P368" s="13" t="s">
        <v>18</v>
      </c>
      <c r="Q368" s="77">
        <f t="shared" si="1426"/>
        <v>5935.9350000000004</v>
      </c>
      <c r="R368" s="78">
        <f t="shared" si="1427"/>
        <v>-3367.2667999999999</v>
      </c>
      <c r="S368" s="479">
        <f t="shared" ref="S368" si="1487">ROUND((R368+Q368),0)</f>
        <v>2569</v>
      </c>
      <c r="T368" s="13" t="s">
        <v>18</v>
      </c>
      <c r="U368" s="4">
        <f t="shared" si="166"/>
        <v>2013</v>
      </c>
      <c r="V368" s="4">
        <f t="shared" si="167"/>
        <v>4</v>
      </c>
      <c r="W368" s="153">
        <f t="shared" ref="W368" si="1488">Z368/D368*1000</f>
        <v>10105.189755726482</v>
      </c>
      <c r="X368" s="153">
        <f t="shared" ref="X368" si="1489">W368-W356</f>
        <v>-495.91007506877941</v>
      </c>
      <c r="Z368" s="98">
        <f t="shared" ref="Z368" si="1490">S368+C368</f>
        <v>239109</v>
      </c>
      <c r="AA368" s="119">
        <f t="shared" ref="AA368" si="1491">Z368-C368</f>
        <v>2569</v>
      </c>
      <c r="AB368" s="512">
        <f>[9]SPAMWh!$L248</f>
        <v>241212</v>
      </c>
      <c r="AC368" s="4">
        <f t="shared" si="168"/>
        <v>2013</v>
      </c>
      <c r="AD368" s="4">
        <f t="shared" si="169"/>
        <v>4</v>
      </c>
      <c r="AE368" s="107">
        <f>RESID!AC368</f>
        <v>30.65</v>
      </c>
      <c r="AF368" s="40">
        <f t="shared" ref="AF368" si="1492">AG368/D368*1000</f>
        <v>10029.37198884287</v>
      </c>
      <c r="AG368" s="4">
        <f t="shared" ref="AG368" si="1493">ROUND(Z368/(AE368/30.42),0)</f>
        <v>237315</v>
      </c>
      <c r="AH368" s="4">
        <f t="shared" ref="AH368" si="1494">Z368-Z356</f>
        <v>-11501</v>
      </c>
      <c r="AY368" s="4">
        <f t="shared" si="1304"/>
        <v>2013</v>
      </c>
      <c r="AZ368" s="4">
        <f t="shared" si="1305"/>
        <v>4</v>
      </c>
      <c r="BA368" s="4">
        <f>'[8]Gov 65 &amp; 70'!$S453</f>
        <v>158.19999999999999</v>
      </c>
      <c r="BB368" s="4">
        <f t="shared" si="172"/>
        <v>122</v>
      </c>
      <c r="BC368" s="82">
        <f t="shared" ref="BC368" si="1495">BB368-BA368</f>
        <v>-36.199999999999989</v>
      </c>
      <c r="BD368" s="36" t="s">
        <v>18</v>
      </c>
      <c r="BE368" s="4">
        <f>'[8]Gov 65 &amp; 70'!$J453</f>
        <v>12.7</v>
      </c>
      <c r="BF368" s="4">
        <f t="shared" si="173"/>
        <v>34.700000000000003</v>
      </c>
      <c r="BG368" s="83">
        <f t="shared" ref="BG368" si="1496">BF368-BE368</f>
        <v>22.000000000000004</v>
      </c>
      <c r="BH368" s="36" t="s">
        <v>18</v>
      </c>
      <c r="BI368" s="271">
        <f t="shared" si="1437"/>
        <v>-8328.7149999999965</v>
      </c>
      <c r="BJ368" s="272">
        <f t="shared" si="1438"/>
        <v>1262.008</v>
      </c>
      <c r="BK368" s="481">
        <f t="shared" si="1439"/>
        <v>-7067</v>
      </c>
      <c r="BM368" s="36" t="s">
        <v>18</v>
      </c>
      <c r="BN368" s="4">
        <f t="shared" si="1440"/>
        <v>2013</v>
      </c>
      <c r="BO368" s="4">
        <f t="shared" si="1441"/>
        <v>4</v>
      </c>
      <c r="BP368" s="108">
        <f>(C368+[4]MWh!$AN202)</f>
        <v>240240.71555234276</v>
      </c>
      <c r="BQ368" s="108">
        <f t="shared" ref="BQ368" si="1497">BP368/D368*1000</f>
        <v>10153.018153678589</v>
      </c>
      <c r="BR368" s="108">
        <f t="shared" ref="BR368" si="1498">BT368/D368*1000</f>
        <v>9854.3536282792138</v>
      </c>
      <c r="BS368" s="108">
        <f t="shared" ref="BS368" si="1499">BR368-BR356</f>
        <v>-1162.8497992649336</v>
      </c>
      <c r="BT368" s="175">
        <f t="shared" ref="BT368" si="1500">BK368+BP368</f>
        <v>233173.71555234276</v>
      </c>
      <c r="BU368" s="108">
        <f t="shared" ref="BU368" si="1501">BT368-BT356</f>
        <v>-27272.973474800878</v>
      </c>
      <c r="BV368" s="4">
        <f t="shared" ref="BV368" si="1502">BT368-BP368</f>
        <v>-7067</v>
      </c>
      <c r="BW368" s="444">
        <f>BT368/[9]SPAMWh!$L248</f>
        <v>0.96667543717701754</v>
      </c>
    </row>
    <row r="369" spans="1:75">
      <c r="A369" s="4">
        <f t="shared" si="1101"/>
        <v>2013</v>
      </c>
      <c r="B369" s="4">
        <f t="shared" si="1102"/>
        <v>5</v>
      </c>
      <c r="C369" s="5">
        <f>'[2]FPC wSEB'!$J466</f>
        <v>266787</v>
      </c>
      <c r="D369" s="5">
        <f>'[2]FPC wSEB'!$AB466</f>
        <v>24897</v>
      </c>
      <c r="E369" s="73">
        <f t="shared" ref="E369" si="1503">ROUND(C369/D369*1000,0)</f>
        <v>10716</v>
      </c>
      <c r="F369" s="540">
        <f t="shared" si="825"/>
        <v>24897</v>
      </c>
      <c r="H369" s="13" t="s">
        <v>18</v>
      </c>
      <c r="I369" s="76">
        <f>'[7]Gov 65 &amp; 70'!$S454</f>
        <v>161.69999999999999</v>
      </c>
      <c r="J369" s="76">
        <f t="shared" si="164"/>
        <v>157.69999999999999</v>
      </c>
      <c r="K369" s="362">
        <f t="shared" ref="K369" si="1504">(J369-I369)</f>
        <v>-4</v>
      </c>
      <c r="L369" s="200" t="s">
        <v>18</v>
      </c>
      <c r="M369" s="76">
        <f>'[7]Gov 65 &amp; 70'!$J454</f>
        <v>14.2</v>
      </c>
      <c r="N369" s="76">
        <f t="shared" si="165"/>
        <v>18.600000000000001</v>
      </c>
      <c r="O369" s="363">
        <f t="shared" ref="O369" si="1505">(N369-M369)</f>
        <v>4.4000000000000021</v>
      </c>
      <c r="P369" s="13" t="s">
        <v>18</v>
      </c>
      <c r="Q369" s="77">
        <f t="shared" si="1426"/>
        <v>-920.3</v>
      </c>
      <c r="R369" s="78">
        <f t="shared" si="1427"/>
        <v>252.40160000000012</v>
      </c>
      <c r="S369" s="479">
        <f t="shared" ref="S369" si="1506">ROUND((R369+Q369),0)</f>
        <v>-668</v>
      </c>
      <c r="T369" s="13" t="s">
        <v>18</v>
      </c>
      <c r="U369" s="4">
        <f t="shared" si="166"/>
        <v>2013</v>
      </c>
      <c r="V369" s="4">
        <f t="shared" si="167"/>
        <v>5</v>
      </c>
      <c r="W369" s="153">
        <f t="shared" ref="W369" si="1507">Z369/D369*1000</f>
        <v>10688.797847130178</v>
      </c>
      <c r="X369" s="153">
        <f t="shared" ref="X369" si="1508">W369-W357</f>
        <v>-235.43569282626413</v>
      </c>
      <c r="Z369" s="98">
        <f t="shared" ref="Z369" si="1509">S369+C369</f>
        <v>266119</v>
      </c>
      <c r="AA369" s="119">
        <f t="shared" ref="AA369" si="1510">Z369-C369</f>
        <v>-668</v>
      </c>
      <c r="AB369" s="512">
        <f>[9]SPAMWh!$L249</f>
        <v>262855</v>
      </c>
      <c r="AC369" s="4">
        <f t="shared" si="168"/>
        <v>2013</v>
      </c>
      <c r="AD369" s="4">
        <f t="shared" si="169"/>
        <v>5</v>
      </c>
      <c r="AE369" s="107">
        <f>RESID!AC369</f>
        <v>30.95</v>
      </c>
      <c r="AF369" s="40">
        <f t="shared" ref="AF369" si="1511">AG369/D369*1000</f>
        <v>10505.763746636141</v>
      </c>
      <c r="AG369" s="4">
        <f t="shared" ref="AG369" si="1512">ROUND(Z369/(AE369/30.42),0)</f>
        <v>261562</v>
      </c>
      <c r="AH369" s="4">
        <f t="shared" ref="AH369" si="1513">Z369-Z357</f>
        <v>5292</v>
      </c>
      <c r="AY369" s="4">
        <f t="shared" si="1304"/>
        <v>2013</v>
      </c>
      <c r="AZ369" s="4">
        <f t="shared" si="1305"/>
        <v>5</v>
      </c>
      <c r="BA369" s="4">
        <f>'[8]Gov 65 &amp; 70'!$S454</f>
        <v>210.2</v>
      </c>
      <c r="BB369" s="4">
        <f t="shared" si="172"/>
        <v>253</v>
      </c>
      <c r="BC369" s="82">
        <f t="shared" ref="BC369" si="1514">BB369-BA369</f>
        <v>42.800000000000011</v>
      </c>
      <c r="BD369" s="36" t="s">
        <v>18</v>
      </c>
      <c r="BE369" s="4">
        <f>'[8]Gov 65 &amp; 70'!$J454</f>
        <v>7.2</v>
      </c>
      <c r="BF369" s="4">
        <f t="shared" si="173"/>
        <v>4.3</v>
      </c>
      <c r="BG369" s="83">
        <f t="shared" ref="BG369" si="1515">BF369-BE369</f>
        <v>-2.9000000000000004</v>
      </c>
      <c r="BH369" s="36" t="s">
        <v>18</v>
      </c>
      <c r="BI369" s="271">
        <f t="shared" si="1437"/>
        <v>9847.2100000000028</v>
      </c>
      <c r="BJ369" s="272">
        <f t="shared" si="1438"/>
        <v>-166.35560000000001</v>
      </c>
      <c r="BK369" s="481">
        <f t="shared" si="1439"/>
        <v>9681</v>
      </c>
      <c r="BM369" s="36" t="s">
        <v>18</v>
      </c>
      <c r="BN369" s="4">
        <f t="shared" si="1440"/>
        <v>2013</v>
      </c>
      <c r="BO369" s="4">
        <f t="shared" si="1441"/>
        <v>5</v>
      </c>
      <c r="BP369" s="108">
        <f>(C369+[4]MWh!$AN203)</f>
        <v>277178.60282103147</v>
      </c>
      <c r="BQ369" s="108">
        <f t="shared" ref="BQ369" si="1516">BP369/D369*1000</f>
        <v>11133.01212278714</v>
      </c>
      <c r="BR369" s="108">
        <f t="shared" ref="BR369" si="1517">BT369/D369*1000</f>
        <v>11521.85415194728</v>
      </c>
      <c r="BS369" s="108">
        <f t="shared" ref="BS369" si="1518">BR369-BR357</f>
        <v>-612.52295867803514</v>
      </c>
      <c r="BT369" s="175">
        <f t="shared" ref="BT369" si="1519">BK369+BP369</f>
        <v>286859.60282103147</v>
      </c>
      <c r="BU369" s="108">
        <f t="shared" ref="BU369" si="1520">BT369-BT357</f>
        <v>-2860.7850722585572</v>
      </c>
      <c r="BV369" s="4">
        <f t="shared" ref="BV369" si="1521">BT369-BP369</f>
        <v>9681</v>
      </c>
      <c r="BW369" s="444">
        <f>BT369/[9]SPAMWh!$L249</f>
        <v>1.0913226030360141</v>
      </c>
    </row>
    <row r="370" spans="1:75">
      <c r="A370" s="4">
        <f t="shared" si="1101"/>
        <v>2013</v>
      </c>
      <c r="B370" s="4">
        <f t="shared" si="1102"/>
        <v>6</v>
      </c>
      <c r="C370" s="5">
        <f>'[2]FPC wSEB'!$J467</f>
        <v>281072</v>
      </c>
      <c r="D370" s="5">
        <f>'[2]FPC wSEB'!$AB467</f>
        <v>24008</v>
      </c>
      <c r="E370" s="73">
        <f t="shared" ref="E370" si="1522">ROUND(C370/D370*1000,0)</f>
        <v>11707</v>
      </c>
      <c r="F370" s="540">
        <f t="shared" si="825"/>
        <v>24008</v>
      </c>
      <c r="H370" s="13" t="s">
        <v>18</v>
      </c>
      <c r="I370" s="76">
        <f>'[7]Gov 65 &amp; 70'!$S455</f>
        <v>274.60000000000002</v>
      </c>
      <c r="J370" s="76">
        <f t="shared" si="164"/>
        <v>295.39999999999998</v>
      </c>
      <c r="K370" s="362">
        <f t="shared" ref="K370" si="1523">(J370-I370)</f>
        <v>20.799999999999955</v>
      </c>
      <c r="L370" s="200" t="s">
        <v>18</v>
      </c>
      <c r="M370" s="76">
        <f>'[7]Gov 65 &amp; 70'!$J455</f>
        <v>3.6</v>
      </c>
      <c r="N370" s="76">
        <f t="shared" si="165"/>
        <v>2.2000000000000002</v>
      </c>
      <c r="O370" s="363">
        <f t="shared" ref="O370" si="1524">(N370-M370)</f>
        <v>-1.4</v>
      </c>
      <c r="P370" s="13" t="s">
        <v>18</v>
      </c>
      <c r="Q370" s="77">
        <f t="shared" si="1426"/>
        <v>4785.5599999999895</v>
      </c>
      <c r="R370" s="78">
        <f t="shared" si="1427"/>
        <v>-80.309599999999989</v>
      </c>
      <c r="S370" s="479">
        <f t="shared" ref="S370" si="1525">ROUND((R370+Q370),0)</f>
        <v>4705</v>
      </c>
      <c r="T370" s="13" t="s">
        <v>18</v>
      </c>
      <c r="U370" s="4">
        <f t="shared" si="166"/>
        <v>2013</v>
      </c>
      <c r="V370" s="4">
        <f t="shared" si="167"/>
        <v>6</v>
      </c>
      <c r="W370" s="153">
        <f t="shared" ref="W370" si="1526">Z370/D370*1000</f>
        <v>11903.4071976008</v>
      </c>
      <c r="X370" s="153">
        <f t="shared" ref="X370" si="1527">W370-W358</f>
        <v>30.34672624292034</v>
      </c>
      <c r="Z370" s="98">
        <f t="shared" ref="Z370" si="1528">S370+C370</f>
        <v>285777</v>
      </c>
      <c r="AA370" s="119">
        <f t="shared" ref="AA370" si="1529">Z370-C370</f>
        <v>4705</v>
      </c>
      <c r="AB370" s="512">
        <f>[9]SPAMWh!$L250</f>
        <v>286206</v>
      </c>
      <c r="AC370" s="4">
        <f t="shared" si="168"/>
        <v>2013</v>
      </c>
      <c r="AD370" s="4">
        <f t="shared" si="169"/>
        <v>6</v>
      </c>
      <c r="AE370" s="107">
        <f>RESID!AC370</f>
        <v>30.8</v>
      </c>
      <c r="AF370" s="40">
        <f t="shared" ref="AF370" si="1530">AG370/D370*1000</f>
        <v>11756.539486837721</v>
      </c>
      <c r="AG370" s="4">
        <f t="shared" ref="AG370" si="1531">ROUND(Z370/(AE370/30.42),0)</f>
        <v>282251</v>
      </c>
      <c r="AH370" s="4">
        <f t="shared" ref="AH370" si="1532">Z370-Z358</f>
        <v>2652</v>
      </c>
      <c r="AY370" s="4">
        <f t="shared" si="1304"/>
        <v>2013</v>
      </c>
      <c r="AZ370" s="4">
        <f t="shared" si="1305"/>
        <v>6</v>
      </c>
      <c r="BA370" s="4">
        <f>'[8]Gov 65 &amp; 70'!$S455</f>
        <v>357.9</v>
      </c>
      <c r="BB370" s="4">
        <f t="shared" si="172"/>
        <v>336.1</v>
      </c>
      <c r="BC370" s="82">
        <f t="shared" ref="BC370" si="1533">BB370-BA370</f>
        <v>-21.799999999999955</v>
      </c>
      <c r="BD370" s="36" t="s">
        <v>18</v>
      </c>
      <c r="BE370" s="4">
        <f>'[8]Gov 65 &amp; 70'!$J455</f>
        <v>0</v>
      </c>
      <c r="BF370" s="4">
        <f t="shared" si="173"/>
        <v>0</v>
      </c>
      <c r="BG370" s="83">
        <f t="shared" ref="BG370" si="1534">BF370-BE370</f>
        <v>0</v>
      </c>
      <c r="BH370" s="36" t="s">
        <v>18</v>
      </c>
      <c r="BI370" s="271">
        <f t="shared" si="1437"/>
        <v>-5015.6349999999893</v>
      </c>
      <c r="BJ370" s="272">
        <f t="shared" si="1438"/>
        <v>0</v>
      </c>
      <c r="BK370" s="481">
        <f t="shared" si="1439"/>
        <v>-5016</v>
      </c>
      <c r="BM370" s="36" t="s">
        <v>18</v>
      </c>
      <c r="BN370" s="4">
        <f t="shared" si="1440"/>
        <v>2013</v>
      </c>
      <c r="BO370" s="4">
        <f t="shared" si="1441"/>
        <v>6</v>
      </c>
      <c r="BP370" s="108">
        <f>(C370+[4]MWh!$AN204)</f>
        <v>285368.30235269328</v>
      </c>
      <c r="BQ370" s="108">
        <f t="shared" ref="BQ370" si="1535">BP370/D370*1000</f>
        <v>11886.383803427745</v>
      </c>
      <c r="BR370" s="108">
        <f t="shared" ref="BR370" si="1536">BT370/D370*1000</f>
        <v>11677.453446879927</v>
      </c>
      <c r="BS370" s="108">
        <f t="shared" ref="BS370" si="1537">BR370-BR358</f>
        <v>377.1014952725327</v>
      </c>
      <c r="BT370" s="175">
        <f t="shared" ref="BT370" si="1538">BK370+BP370</f>
        <v>280352.30235269328</v>
      </c>
      <c r="BU370" s="108">
        <f t="shared" ref="BU370" si="1539">BT370-BT358</f>
        <v>10884.109714663355</v>
      </c>
      <c r="BV370" s="4">
        <f t="shared" ref="BV370" si="1540">BT370-BP370</f>
        <v>-5016</v>
      </c>
      <c r="BW370" s="444">
        <f>BT370/[9]SPAMWh!$L250</f>
        <v>0.97954725740443349</v>
      </c>
    </row>
    <row r="371" spans="1:75">
      <c r="A371" s="4">
        <f t="shared" si="1101"/>
        <v>2013</v>
      </c>
      <c r="B371" s="4">
        <f t="shared" si="1102"/>
        <v>7</v>
      </c>
      <c r="C371" s="5">
        <f>'[2]FPC wSEB'!$J468</f>
        <v>269906</v>
      </c>
      <c r="D371" s="5">
        <f>'[2]FPC wSEB'!$AB468</f>
        <v>24336</v>
      </c>
      <c r="E371" s="73">
        <f t="shared" ref="E371" si="1541">ROUND(C371/D371*1000,0)</f>
        <v>11091</v>
      </c>
      <c r="F371" s="540">
        <f t="shared" ref="F371" si="1542">D371</f>
        <v>24336</v>
      </c>
      <c r="H371" s="13" t="s">
        <v>18</v>
      </c>
      <c r="I371" s="76">
        <f>'[7]Gov 65 &amp; 70'!$S456</f>
        <v>363.4</v>
      </c>
      <c r="J371" s="76">
        <f t="shared" si="164"/>
        <v>363.4</v>
      </c>
      <c r="K371" s="362">
        <f t="shared" ref="K371" si="1543">(J371-I371)</f>
        <v>0</v>
      </c>
      <c r="L371" s="200" t="s">
        <v>18</v>
      </c>
      <c r="M371" s="76">
        <f>'[7]Gov 65 &amp; 70'!$J456</f>
        <v>0</v>
      </c>
      <c r="N371" s="76">
        <f t="shared" si="165"/>
        <v>0</v>
      </c>
      <c r="O371" s="363">
        <f t="shared" ref="O371" si="1544">(N371-M371)</f>
        <v>0</v>
      </c>
      <c r="P371" s="13" t="s">
        <v>18</v>
      </c>
      <c r="Q371" s="77">
        <f t="shared" ref="Q371" si="1545">K371*$I$10</f>
        <v>0</v>
      </c>
      <c r="R371" s="78">
        <f t="shared" ref="R371" si="1546">O371*$I$9</f>
        <v>0</v>
      </c>
      <c r="S371" s="479">
        <f t="shared" ref="S371" si="1547">ROUND((R371+Q371),0)</f>
        <v>0</v>
      </c>
      <c r="T371" s="13" t="s">
        <v>18</v>
      </c>
      <c r="U371" s="4">
        <f t="shared" si="166"/>
        <v>2013</v>
      </c>
      <c r="V371" s="4">
        <f t="shared" si="167"/>
        <v>7</v>
      </c>
      <c r="W371" s="153">
        <f t="shared" ref="W371" si="1548">Z371/D371*1000</f>
        <v>11090.811965811967</v>
      </c>
      <c r="X371" s="153">
        <f t="shared" ref="X371" si="1549">W371-W359</f>
        <v>-849.37036841010195</v>
      </c>
      <c r="Z371" s="98">
        <f t="shared" ref="Z371" si="1550">S371+C371</f>
        <v>269906</v>
      </c>
      <c r="AA371" s="119">
        <f t="shared" ref="AA371" si="1551">Z371-C371</f>
        <v>0</v>
      </c>
      <c r="AB371" s="512">
        <f>[9]SPAMWh!$L251</f>
        <v>268194</v>
      </c>
      <c r="AC371" s="4">
        <f t="shared" si="168"/>
        <v>2013</v>
      </c>
      <c r="AD371" s="4">
        <f t="shared" si="169"/>
        <v>7</v>
      </c>
      <c r="AE371" s="107">
        <f>RESID!AC371</f>
        <v>30.4</v>
      </c>
      <c r="AF371" s="40">
        <f t="shared" ref="AF371" si="1552">AG371/D371*1000</f>
        <v>11098.126232741617</v>
      </c>
      <c r="AG371" s="4">
        <f t="shared" ref="AG371" si="1553">ROUND(Z371/(AE371/30.42),0)</f>
        <v>270084</v>
      </c>
      <c r="AH371" s="4">
        <f t="shared" ref="AH371" si="1554">Z371-Z359</f>
        <v>-7751</v>
      </c>
      <c r="AY371" s="4">
        <f t="shared" si="1304"/>
        <v>2013</v>
      </c>
      <c r="AZ371" s="4">
        <f t="shared" si="1305"/>
        <v>7</v>
      </c>
      <c r="BA371" s="4">
        <f>'[8]Gov 65 &amp; 70'!$S456</f>
        <v>370.5</v>
      </c>
      <c r="BB371" s="4">
        <f t="shared" si="172"/>
        <v>391.2</v>
      </c>
      <c r="BC371" s="82">
        <f t="shared" ref="BC371" si="1555">BB371-BA371</f>
        <v>20.699999999999989</v>
      </c>
      <c r="BD371" s="36" t="s">
        <v>18</v>
      </c>
      <c r="BE371" s="4">
        <f>'[8]Gov 65 &amp; 70'!$J456</f>
        <v>0</v>
      </c>
      <c r="BF371" s="4">
        <f t="shared" si="173"/>
        <v>0</v>
      </c>
      <c r="BG371" s="83">
        <f t="shared" ref="BG371" si="1556">BF371-BE371</f>
        <v>0</v>
      </c>
      <c r="BH371" s="36" t="s">
        <v>18</v>
      </c>
      <c r="BI371" s="271">
        <f t="shared" ref="BI371" si="1557">$I$10*BC371</f>
        <v>4762.5524999999971</v>
      </c>
      <c r="BJ371" s="272">
        <f t="shared" ref="BJ371" si="1558">$I$9*BG371</f>
        <v>0</v>
      </c>
      <c r="BK371" s="481">
        <f t="shared" ref="BK371" si="1559">ROUND(BJ371+BI371,0)</f>
        <v>4763</v>
      </c>
      <c r="BM371" s="36" t="s">
        <v>18</v>
      </c>
      <c r="BN371" s="4">
        <f t="shared" si="1440"/>
        <v>2013</v>
      </c>
      <c r="BO371" s="4">
        <f t="shared" si="1441"/>
        <v>7</v>
      </c>
      <c r="BP371" s="108">
        <f>(C371+[4]MWh!$AN205)</f>
        <v>253559.48322972716</v>
      </c>
      <c r="BQ371" s="108">
        <f t="shared" ref="BQ371" si="1560">BP371/D371*1000</f>
        <v>10419.110915093983</v>
      </c>
      <c r="BR371" s="108">
        <f t="shared" ref="BR371" si="1561">BT371/D371*1000</f>
        <v>10614.829192543029</v>
      </c>
      <c r="BS371" s="108">
        <f t="shared" ref="BS371" si="1562">BR371-BR359</f>
        <v>-2019.2886734502063</v>
      </c>
      <c r="BT371" s="175">
        <f t="shared" ref="BT371" si="1563">BK371+BP371</f>
        <v>258322.48322972716</v>
      </c>
      <c r="BU371" s="108">
        <f t="shared" ref="BU371" si="1564">BT371-BT359</f>
        <v>-35471.29362607954</v>
      </c>
      <c r="BV371" s="4">
        <f t="shared" ref="BV371" si="1565">BT371-BP371</f>
        <v>4763</v>
      </c>
      <c r="BW371" s="444">
        <f>BT371/[9]SPAMWh!$L251</f>
        <v>0.96319262634409109</v>
      </c>
    </row>
    <row r="372" spans="1:75">
      <c r="A372" s="4">
        <f t="shared" si="1101"/>
        <v>2013</v>
      </c>
      <c r="B372" s="4">
        <f t="shared" si="1102"/>
        <v>8</v>
      </c>
      <c r="C372" s="5">
        <f>'[2]FPC wSEB'!$J469</f>
        <v>278261</v>
      </c>
      <c r="D372" s="5">
        <f>'[2]FPC wSEB'!$AB469</f>
        <v>23404</v>
      </c>
      <c r="E372" s="73">
        <f t="shared" ref="E372" si="1566">ROUND(C372/D372*1000,0)</f>
        <v>11889</v>
      </c>
      <c r="F372" s="540">
        <f t="shared" ref="F372" si="1567">D372</f>
        <v>23404</v>
      </c>
      <c r="H372" s="13" t="s">
        <v>18</v>
      </c>
      <c r="I372" s="76">
        <f>'[7]Gov 65 &amp; 70'!$S457</f>
        <v>383.8</v>
      </c>
      <c r="J372" s="76">
        <f t="shared" si="164"/>
        <v>390.1</v>
      </c>
      <c r="K372" s="362">
        <f t="shared" ref="K372" si="1568">(J372-I372)</f>
        <v>6.3000000000000114</v>
      </c>
      <c r="L372" s="200" t="s">
        <v>18</v>
      </c>
      <c r="M372" s="76">
        <f>'[7]Gov 65 &amp; 70'!$J457</f>
        <v>0</v>
      </c>
      <c r="N372" s="76">
        <f t="shared" si="165"/>
        <v>0</v>
      </c>
      <c r="O372" s="363">
        <f t="shared" ref="O372" si="1569">(N372-M372)</f>
        <v>0</v>
      </c>
      <c r="P372" s="13" t="s">
        <v>18</v>
      </c>
      <c r="Q372" s="77">
        <f t="shared" ref="Q372" si="1570">K372*$I$10</f>
        <v>1449.4725000000026</v>
      </c>
      <c r="R372" s="78">
        <f t="shared" ref="R372" si="1571">O372*$I$9</f>
        <v>0</v>
      </c>
      <c r="S372" s="479">
        <f t="shared" ref="S372" si="1572">ROUND((R372+Q372),0)</f>
        <v>1449</v>
      </c>
      <c r="T372" s="13" t="s">
        <v>18</v>
      </c>
      <c r="U372" s="4">
        <f t="shared" si="166"/>
        <v>2013</v>
      </c>
      <c r="V372" s="4">
        <f t="shared" si="167"/>
        <v>8</v>
      </c>
      <c r="W372" s="153">
        <f t="shared" ref="W372" si="1573">Z372/D372*1000</f>
        <v>11951.375833190907</v>
      </c>
      <c r="X372" s="153">
        <f t="shared" ref="X372" si="1574">W372-W360</f>
        <v>552.18763241125635</v>
      </c>
      <c r="Z372" s="98">
        <f t="shared" ref="Z372" si="1575">S372+C372</f>
        <v>279710</v>
      </c>
      <c r="AA372" s="119">
        <f t="shared" ref="AA372" si="1576">Z372-C372</f>
        <v>1449</v>
      </c>
      <c r="AB372" s="512">
        <f>[9]SPAMWh!$L252</f>
        <v>280359</v>
      </c>
      <c r="AC372" s="4">
        <f t="shared" si="168"/>
        <v>2013</v>
      </c>
      <c r="AD372" s="4">
        <f t="shared" si="169"/>
        <v>8</v>
      </c>
      <c r="AE372" s="107">
        <f>RESID!AC372</f>
        <v>29.8</v>
      </c>
      <c r="AF372" s="40">
        <f t="shared" ref="AF372" si="1577">AG372/D372*1000</f>
        <v>12200.008545547769</v>
      </c>
      <c r="AG372" s="4">
        <f t="shared" ref="AG372" si="1578">ROUND(Z372/(AE372/30.42),0)</f>
        <v>285529</v>
      </c>
      <c r="AH372" s="4">
        <f t="shared" ref="AH372" si="1579">Z372-Z360</f>
        <v>-3936</v>
      </c>
      <c r="AY372" s="4">
        <f t="shared" si="1304"/>
        <v>2013</v>
      </c>
      <c r="AZ372" s="4">
        <f t="shared" si="1305"/>
        <v>8</v>
      </c>
      <c r="BA372" s="4">
        <f>'[8]Gov 65 &amp; 70'!$S457</f>
        <v>425.5</v>
      </c>
      <c r="BB372" s="4">
        <f t="shared" si="172"/>
        <v>394.4</v>
      </c>
      <c r="BC372" s="82">
        <f t="shared" ref="BC372" si="1580">BB372-BA372</f>
        <v>-31.100000000000023</v>
      </c>
      <c r="BD372" s="36" t="s">
        <v>18</v>
      </c>
      <c r="BE372" s="4">
        <f>'[8]Gov 65 &amp; 70'!$J457</f>
        <v>0</v>
      </c>
      <c r="BF372" s="4">
        <f t="shared" si="173"/>
        <v>0</v>
      </c>
      <c r="BG372" s="83">
        <f t="shared" ref="BG372" si="1581">BF372-BE372</f>
        <v>0</v>
      </c>
      <c r="BH372" s="36" t="s">
        <v>18</v>
      </c>
      <c r="BI372" s="271">
        <f t="shared" ref="BI372" si="1582">$I$10*BC372</f>
        <v>-7155.332500000005</v>
      </c>
      <c r="BJ372" s="272">
        <f t="shared" ref="BJ372" si="1583">$I$9*BG372</f>
        <v>0</v>
      </c>
      <c r="BK372" s="481">
        <f t="shared" ref="BK372" si="1584">ROUND(BJ372+BI372,0)</f>
        <v>-7155</v>
      </c>
      <c r="BM372" s="36" t="s">
        <v>18</v>
      </c>
      <c r="BN372" s="4">
        <f t="shared" si="1440"/>
        <v>2013</v>
      </c>
      <c r="BO372" s="4">
        <f t="shared" si="1441"/>
        <v>8</v>
      </c>
      <c r="BP372" s="108">
        <f>(C372+[4]MWh!$AN206)</f>
        <v>312664.44707848993</v>
      </c>
      <c r="BQ372" s="108">
        <f t="shared" ref="BQ372" si="1585">BP372/D372*1000</f>
        <v>13359.444841842844</v>
      </c>
      <c r="BR372" s="108">
        <f t="shared" ref="BR372" si="1586">BT372/D372*1000</f>
        <v>13053.727870384973</v>
      </c>
      <c r="BS372" s="108">
        <f t="shared" ref="BS372" si="1587">BR372-BR360</f>
        <v>2526.8217331200758</v>
      </c>
      <c r="BT372" s="175">
        <f t="shared" ref="BT372" si="1588">BK372+BP372</f>
        <v>305509.44707848993</v>
      </c>
      <c r="BU372" s="108">
        <f t="shared" ref="BU372" si="1589">BT372-BT360</f>
        <v>43568.441664927464</v>
      </c>
      <c r="BV372" s="4">
        <f t="shared" ref="BV372" si="1590">BT372-BP372</f>
        <v>-7155</v>
      </c>
      <c r="BW372" s="444">
        <f>BT372/[9]SPAMWh!$L252</f>
        <v>1.0897080068001739</v>
      </c>
    </row>
    <row r="373" spans="1:75">
      <c r="A373" s="4">
        <f t="shared" si="1101"/>
        <v>2013</v>
      </c>
      <c r="B373" s="4">
        <f t="shared" si="1102"/>
        <v>9</v>
      </c>
      <c r="C373" s="5">
        <f>'[2]FPC wSEB'!$J470</f>
        <v>310836</v>
      </c>
      <c r="D373" s="5">
        <f>'[2]FPC wSEB'!$AB470</f>
        <v>24074</v>
      </c>
      <c r="E373" s="73">
        <f t="shared" ref="E373" si="1591">ROUND(C373/D373*1000,0)</f>
        <v>12912</v>
      </c>
      <c r="F373" s="540">
        <f t="shared" ref="F373" si="1592">D373</f>
        <v>24074</v>
      </c>
      <c r="H373" s="13" t="s">
        <v>18</v>
      </c>
      <c r="I373" s="76">
        <f>'[7]Gov 65 &amp; 70'!$S458</f>
        <v>401.9</v>
      </c>
      <c r="J373" s="76">
        <f t="shared" si="164"/>
        <v>381.2</v>
      </c>
      <c r="K373" s="362">
        <f t="shared" ref="K373" si="1593">(J373-I373)</f>
        <v>-20.699999999999989</v>
      </c>
      <c r="L373" s="200" t="s">
        <v>18</v>
      </c>
      <c r="M373" s="76">
        <f>'[7]Gov 65 &amp; 70'!$J458</f>
        <v>0</v>
      </c>
      <c r="N373" s="76">
        <f t="shared" si="165"/>
        <v>0</v>
      </c>
      <c r="O373" s="363">
        <f t="shared" ref="O373" si="1594">(N373-M373)</f>
        <v>0</v>
      </c>
      <c r="P373" s="13" t="s">
        <v>18</v>
      </c>
      <c r="Q373" s="77">
        <f t="shared" ref="Q373" si="1595">K373*$I$10</f>
        <v>-4762.5524999999971</v>
      </c>
      <c r="R373" s="78">
        <f t="shared" ref="R373" si="1596">O373*$I$9</f>
        <v>0</v>
      </c>
      <c r="S373" s="479">
        <f t="shared" ref="S373" si="1597">ROUND((R373+Q373),0)</f>
        <v>-4763</v>
      </c>
      <c r="T373" s="13" t="s">
        <v>18</v>
      </c>
      <c r="U373" s="4">
        <f t="shared" si="166"/>
        <v>2013</v>
      </c>
      <c r="V373" s="4">
        <f t="shared" si="167"/>
        <v>9</v>
      </c>
      <c r="W373" s="153">
        <f t="shared" ref="W373" si="1598">Z373/D373*1000</f>
        <v>12713.840657971255</v>
      </c>
      <c r="X373" s="153">
        <f t="shared" ref="X373" si="1599">W373-W361</f>
        <v>-514.86407621246144</v>
      </c>
      <c r="Z373" s="98">
        <f t="shared" ref="Z373" si="1600">S373+C373</f>
        <v>306073</v>
      </c>
      <c r="AA373" s="119">
        <f t="shared" ref="AA373" si="1601">Z373-C373</f>
        <v>-4763</v>
      </c>
      <c r="AB373" s="512">
        <f>[9]SPAMWh!$L253</f>
        <v>305798</v>
      </c>
      <c r="AC373" s="4">
        <f t="shared" si="168"/>
        <v>2013</v>
      </c>
      <c r="AD373" s="4">
        <f t="shared" si="169"/>
        <v>9</v>
      </c>
      <c r="AE373" s="107">
        <f>RESID!AC373</f>
        <v>30.45</v>
      </c>
      <c r="AF373" s="40">
        <f t="shared" ref="AF373" si="1602">AG373/D373*1000</f>
        <v>12701.296003987705</v>
      </c>
      <c r="AG373" s="4">
        <f t="shared" ref="AG373" si="1603">ROUND(Z373/(AE373/30.42),0)</f>
        <v>305771</v>
      </c>
      <c r="AH373" s="4">
        <f t="shared" ref="AH373" si="1604">Z373-Z361</f>
        <v>-2976</v>
      </c>
      <c r="AY373" s="4">
        <f t="shared" si="1304"/>
        <v>2013</v>
      </c>
      <c r="AZ373" s="4">
        <f t="shared" si="1305"/>
        <v>9</v>
      </c>
      <c r="BA373" s="4">
        <f>'[8]Gov 65 &amp; 70'!$S458</f>
        <v>337.2</v>
      </c>
      <c r="BB373" s="4">
        <f t="shared" si="172"/>
        <v>339.3</v>
      </c>
      <c r="BC373" s="82">
        <f t="shared" ref="BC373" si="1605">BB373-BA373</f>
        <v>2.1000000000000227</v>
      </c>
      <c r="BD373" s="36" t="s">
        <v>18</v>
      </c>
      <c r="BE373" s="4">
        <f>'[8]Gov 65 &amp; 70'!$J458</f>
        <v>0</v>
      </c>
      <c r="BF373" s="4">
        <f t="shared" si="173"/>
        <v>0</v>
      </c>
      <c r="BG373" s="83">
        <f t="shared" ref="BG373" si="1606">BF373-BE373</f>
        <v>0</v>
      </c>
      <c r="BH373" s="36" t="s">
        <v>18</v>
      </c>
      <c r="BI373" s="271">
        <f t="shared" ref="BI373" si="1607">$I$10*BC373</f>
        <v>483.1575000000052</v>
      </c>
      <c r="BJ373" s="272">
        <f t="shared" ref="BJ373" si="1608">$I$9*BG373</f>
        <v>0</v>
      </c>
      <c r="BK373" s="481">
        <f t="shared" ref="BK373" si="1609">ROUND(BJ373+BI373,0)</f>
        <v>483</v>
      </c>
      <c r="BM373" s="36" t="s">
        <v>18</v>
      </c>
      <c r="BN373" s="4">
        <f t="shared" si="1440"/>
        <v>2013</v>
      </c>
      <c r="BO373" s="4">
        <f t="shared" si="1441"/>
        <v>9</v>
      </c>
      <c r="BP373" s="108">
        <f>(C373+[4]MWh!$AN207)</f>
        <v>297906.11211706861</v>
      </c>
      <c r="BQ373" s="108">
        <f t="shared" ref="BQ373" si="1610">BP373/D373*1000</f>
        <v>12374.599655938715</v>
      </c>
      <c r="BR373" s="108">
        <f t="shared" ref="BR373" si="1611">BT373/D373*1000</f>
        <v>12394.662794594526</v>
      </c>
      <c r="BS373" s="108">
        <f t="shared" ref="BS373" si="1612">BR373-BR361</f>
        <v>-1415.5537381176018</v>
      </c>
      <c r="BT373" s="175">
        <f t="shared" ref="BT373" si="1613">BK373+BP373</f>
        <v>298389.11211706861</v>
      </c>
      <c r="BU373" s="108">
        <f t="shared" ref="BU373" si="1614">BT373-BT361</f>
        <v>-24245.166520152125</v>
      </c>
      <c r="BV373" s="4">
        <f t="shared" ref="BV373" si="1615">BT373-BP373</f>
        <v>483</v>
      </c>
      <c r="BW373" s="444">
        <f>BT373/[9]SPAMWh!$L253</f>
        <v>0.97577195441784648</v>
      </c>
    </row>
    <row r="374" spans="1:75">
      <c r="A374" s="4">
        <f t="shared" si="1101"/>
        <v>2013</v>
      </c>
      <c r="B374" s="4">
        <f t="shared" si="1102"/>
        <v>10</v>
      </c>
      <c r="C374" s="5">
        <f>'[2]FPC wSEB'!$J471</f>
        <v>289227</v>
      </c>
      <c r="D374" s="5">
        <f>'[2]FPC wSEB'!$AB471</f>
        <v>24302</v>
      </c>
      <c r="E374" s="73">
        <f t="shared" ref="E374" si="1616">ROUND(C374/D374*1000,0)</f>
        <v>11901</v>
      </c>
      <c r="F374" s="540">
        <f t="shared" ref="F374" si="1617">D374</f>
        <v>24302</v>
      </c>
      <c r="H374" s="13" t="s">
        <v>18</v>
      </c>
      <c r="I374" s="76">
        <f>'[7]Gov 65 &amp; 70'!$S459</f>
        <v>306.5</v>
      </c>
      <c r="J374" s="76">
        <f t="shared" si="164"/>
        <v>287.8</v>
      </c>
      <c r="K374" s="362">
        <f t="shared" ref="K374" si="1618">(J374-I374)</f>
        <v>-18.699999999999989</v>
      </c>
      <c r="L374" s="200" t="s">
        <v>18</v>
      </c>
      <c r="M374" s="76">
        <f>'[7]Gov 65 &amp; 70'!$J459</f>
        <v>0.3</v>
      </c>
      <c r="N374" s="76">
        <f t="shared" si="165"/>
        <v>2.5</v>
      </c>
      <c r="O374" s="363">
        <f t="shared" ref="O374" si="1619">(N374-M374)</f>
        <v>2.2000000000000002</v>
      </c>
      <c r="P374" s="13" t="s">
        <v>18</v>
      </c>
      <c r="Q374" s="77">
        <f t="shared" ref="Q374" si="1620">K374*$I$10</f>
        <v>-4302.4024999999974</v>
      </c>
      <c r="R374" s="78">
        <f t="shared" ref="R374" si="1621">O374*$I$9</f>
        <v>126.2008</v>
      </c>
      <c r="S374" s="479">
        <f t="shared" ref="S374" si="1622">ROUND((R374+Q374),0)</f>
        <v>-4176</v>
      </c>
      <c r="T374" s="13" t="s">
        <v>18</v>
      </c>
      <c r="U374" s="4">
        <f t="shared" si="166"/>
        <v>2013</v>
      </c>
      <c r="V374" s="4">
        <f t="shared" si="167"/>
        <v>10</v>
      </c>
      <c r="W374" s="153">
        <f t="shared" ref="W374" si="1623">Z374/D374*1000</f>
        <v>11729.528433873755</v>
      </c>
      <c r="X374" s="153">
        <f t="shared" ref="X374" si="1624">W374-W362</f>
        <v>39.897516958824781</v>
      </c>
      <c r="Z374" s="98">
        <f t="shared" ref="Z374" si="1625">S374+C374</f>
        <v>285051</v>
      </c>
      <c r="AA374" s="119">
        <f t="shared" ref="AA374" si="1626">Z374-C374</f>
        <v>-4176</v>
      </c>
      <c r="AB374" s="512">
        <f>[9]SPAMWh!$L254</f>
        <v>284498</v>
      </c>
      <c r="AC374" s="4">
        <f t="shared" si="168"/>
        <v>2013</v>
      </c>
      <c r="AD374" s="4">
        <f t="shared" si="169"/>
        <v>10</v>
      </c>
      <c r="AE374" s="107">
        <f>RESID!AC374</f>
        <v>29.75</v>
      </c>
      <c r="AF374" s="40">
        <f t="shared" ref="AF374" si="1627">AG374/D374*1000</f>
        <v>11993.704221874743</v>
      </c>
      <c r="AG374" s="4">
        <f t="shared" ref="AG374" si="1628">ROUND(Z374/(AE374/30.42),0)</f>
        <v>291471</v>
      </c>
      <c r="AH374" s="4">
        <f t="shared" ref="AH374" si="1629">Z374-Z362</f>
        <v>2536</v>
      </c>
      <c r="AY374" s="4">
        <f t="shared" si="1304"/>
        <v>2013</v>
      </c>
      <c r="AZ374" s="4">
        <f t="shared" si="1305"/>
        <v>10</v>
      </c>
      <c r="BA374" s="4">
        <f>'[8]Gov 65 &amp; 70'!$S459</f>
        <v>228.3</v>
      </c>
      <c r="BB374" s="4">
        <f t="shared" si="172"/>
        <v>200.4</v>
      </c>
      <c r="BC374" s="82">
        <f t="shared" ref="BC374" si="1630">BB374-BA374</f>
        <v>-27.900000000000006</v>
      </c>
      <c r="BD374" s="36" t="s">
        <v>18</v>
      </c>
      <c r="BE374" s="4">
        <f>'[8]Gov 65 &amp; 70'!$J459</f>
        <v>9.4</v>
      </c>
      <c r="BF374" s="4">
        <f t="shared" si="173"/>
        <v>15</v>
      </c>
      <c r="BG374" s="83">
        <f t="shared" ref="BG374" si="1631">BF374-BE374</f>
        <v>5.6</v>
      </c>
      <c r="BH374" s="36" t="s">
        <v>18</v>
      </c>
      <c r="BI374" s="271">
        <f t="shared" ref="BI374" si="1632">$I$10*BC374</f>
        <v>-6419.0925000000007</v>
      </c>
      <c r="BJ374" s="272">
        <f t="shared" ref="BJ374" si="1633">$I$9*BG374</f>
        <v>321.23839999999996</v>
      </c>
      <c r="BK374" s="481">
        <f t="shared" ref="BK374" si="1634">ROUND(BJ374+BI374,0)</f>
        <v>-6098</v>
      </c>
      <c r="BM374" s="36" t="s">
        <v>18</v>
      </c>
      <c r="BN374" s="4">
        <f t="shared" si="1440"/>
        <v>2013</v>
      </c>
      <c r="BO374" s="4">
        <f t="shared" si="1441"/>
        <v>10</v>
      </c>
      <c r="BP374" s="108">
        <f>(C374+[4]MWh!$AN208)</f>
        <v>271926.57671659742</v>
      </c>
      <c r="BQ374" s="108">
        <f t="shared" ref="BQ374" si="1635">BP374/D374*1000</f>
        <v>11189.473159270736</v>
      </c>
      <c r="BR374" s="108">
        <f t="shared" ref="BR374" si="1636">BT374/D374*1000</f>
        <v>10938.547309546433</v>
      </c>
      <c r="BS374" s="108">
        <f t="shared" ref="BS374" si="1637">BR374-BR362</f>
        <v>163.00193841132932</v>
      </c>
      <c r="BT374" s="175">
        <f t="shared" ref="BT374" si="1638">BK374+BP374</f>
        <v>265828.57671659742</v>
      </c>
      <c r="BU374" s="108">
        <f t="shared" ref="BU374" si="1639">BT374-BT362</f>
        <v>5405.1961870042142</v>
      </c>
      <c r="BV374" s="4">
        <f t="shared" ref="BV374" si="1640">BT374-BP374</f>
        <v>-6098</v>
      </c>
      <c r="BW374" s="444">
        <f>BT374/[9]SPAMWh!$L254</f>
        <v>0.93437766422469548</v>
      </c>
    </row>
    <row r="375" spans="1:75">
      <c r="A375" s="4">
        <f t="shared" si="1101"/>
        <v>2013</v>
      </c>
      <c r="B375" s="4">
        <f t="shared" si="1102"/>
        <v>11</v>
      </c>
      <c r="C375" s="5">
        <f>'[2]FPC wSEB'!$J472</f>
        <v>272013</v>
      </c>
      <c r="D375" s="5">
        <f>'[2]FPC wSEB'!$AB472</f>
        <v>25319</v>
      </c>
      <c r="E375" s="73">
        <f t="shared" ref="E375" si="1641">ROUND(C375/D375*1000,0)</f>
        <v>10743</v>
      </c>
      <c r="F375" s="540">
        <f t="shared" ref="F375" si="1642">D375</f>
        <v>25319</v>
      </c>
      <c r="H375" s="13" t="s">
        <v>18</v>
      </c>
      <c r="I375" s="76">
        <f>'[7]Gov 65 &amp; 70'!$S460</f>
        <v>178</v>
      </c>
      <c r="J375" s="76">
        <f t="shared" si="164"/>
        <v>140.19999999999999</v>
      </c>
      <c r="K375" s="362">
        <f t="shared" ref="K375" si="1643">(J375-I375)</f>
        <v>-37.800000000000011</v>
      </c>
      <c r="L375" s="200" t="s">
        <v>18</v>
      </c>
      <c r="M375" s="76">
        <f>'[7]Gov 65 &amp; 70'!$J460</f>
        <v>14.2</v>
      </c>
      <c r="N375" s="76">
        <f t="shared" si="165"/>
        <v>38.6</v>
      </c>
      <c r="O375" s="363">
        <f t="shared" ref="O375" si="1644">(N375-M375)</f>
        <v>24.400000000000002</v>
      </c>
      <c r="P375" s="13" t="s">
        <v>18</v>
      </c>
      <c r="Q375" s="77">
        <f t="shared" ref="Q375" si="1645">K375*$I$10</f>
        <v>-8696.8350000000028</v>
      </c>
      <c r="R375" s="78">
        <f t="shared" ref="R375" si="1646">O375*$I$9</f>
        <v>1399.6816000000001</v>
      </c>
      <c r="S375" s="479">
        <f t="shared" ref="S375" si="1647">ROUND((R375+Q375),0)</f>
        <v>-7297</v>
      </c>
      <c r="T375" s="13" t="s">
        <v>18</v>
      </c>
      <c r="U375" s="4">
        <f t="shared" si="166"/>
        <v>2013</v>
      </c>
      <c r="V375" s="4">
        <f t="shared" si="167"/>
        <v>11</v>
      </c>
      <c r="W375" s="153">
        <f t="shared" ref="W375" si="1648">Z375/D375*1000</f>
        <v>10455.23124925945</v>
      </c>
      <c r="X375" s="153">
        <f t="shared" ref="X375" si="1649">W375-W363</f>
        <v>-237.53534283600129</v>
      </c>
      <c r="Z375" s="98">
        <f t="shared" ref="Z375" si="1650">S375+C375</f>
        <v>264716</v>
      </c>
      <c r="AA375" s="119">
        <f t="shared" ref="AA375" si="1651">Z375-C375</f>
        <v>-7297</v>
      </c>
      <c r="AB375" s="512">
        <f>[9]SPAMWh!$L255</f>
        <v>258315</v>
      </c>
      <c r="AC375" s="4">
        <f t="shared" si="168"/>
        <v>2013</v>
      </c>
      <c r="AD375" s="4">
        <f t="shared" si="169"/>
        <v>11</v>
      </c>
      <c r="AE375" s="107">
        <f>RESID!AC375</f>
        <v>30.05</v>
      </c>
      <c r="AF375" s="40">
        <f t="shared" ref="AF375" si="1652">AG375/D375*1000</f>
        <v>10583.948813144278</v>
      </c>
      <c r="AG375" s="4">
        <f t="shared" ref="AG375" si="1653">ROUND(Z375/(AE375/30.42),0)</f>
        <v>267975</v>
      </c>
      <c r="AH375" s="4">
        <f t="shared" ref="AH375" si="1654">Z375-Z363</f>
        <v>-7725</v>
      </c>
      <c r="AY375" s="4">
        <f t="shared" si="1304"/>
        <v>2013</v>
      </c>
      <c r="AZ375" s="4">
        <f t="shared" si="1305"/>
        <v>11</v>
      </c>
      <c r="BA375" s="4">
        <f>'[8]Gov 65 &amp; 70'!$S460</f>
        <v>89.9</v>
      </c>
      <c r="BB375" s="4">
        <f t="shared" si="172"/>
        <v>66.3</v>
      </c>
      <c r="BC375" s="82">
        <f t="shared" ref="BC375" si="1655">BB375-BA375</f>
        <v>-23.600000000000009</v>
      </c>
      <c r="BD375" s="36" t="s">
        <v>18</v>
      </c>
      <c r="BE375" s="4">
        <f>'[8]Gov 65 &amp; 70'!$J460</f>
        <v>48.6</v>
      </c>
      <c r="BF375" s="4">
        <f t="shared" si="173"/>
        <v>69.900000000000006</v>
      </c>
      <c r="BG375" s="83">
        <f t="shared" ref="BG375" si="1656">BF375-BE375</f>
        <v>21.300000000000004</v>
      </c>
      <c r="BH375" s="36" t="s">
        <v>18</v>
      </c>
      <c r="BI375" s="271">
        <f t="shared" ref="BI375" si="1657">$I$10*BC375</f>
        <v>-5429.7700000000013</v>
      </c>
      <c r="BJ375" s="272">
        <f t="shared" ref="BJ375" si="1658">$I$9*BG375</f>
        <v>1221.8532000000002</v>
      </c>
      <c r="BK375" s="481">
        <f t="shared" ref="BK375" si="1659">ROUND(BJ375+BI375,0)</f>
        <v>-4208</v>
      </c>
      <c r="BM375" s="36" t="s">
        <v>18</v>
      </c>
      <c r="BN375" s="4">
        <f t="shared" si="1440"/>
        <v>2013</v>
      </c>
      <c r="BO375" s="4">
        <f t="shared" si="1441"/>
        <v>11</v>
      </c>
      <c r="BP375" s="108">
        <f>(C375+[4]MWh!$AN209)</f>
        <v>260561.78467865547</v>
      </c>
      <c r="BQ375" s="108">
        <f t="shared" ref="BQ375" si="1660">BP375/D375*1000</f>
        <v>10291.156233605414</v>
      </c>
      <c r="BR375" s="108">
        <f t="shared" ref="BR375" si="1661">BT375/D375*1000</f>
        <v>10124.95693663476</v>
      </c>
      <c r="BS375" s="108">
        <f t="shared" ref="BS375" si="1662">BR375-BR363</f>
        <v>134.58496719888171</v>
      </c>
      <c r="BT375" s="175">
        <f t="shared" ref="BT375" si="1663">BK375+BP375</f>
        <v>256353.78467865547</v>
      </c>
      <c r="BU375" s="108">
        <f t="shared" ref="BU375" si="1664">BT375-BT363</f>
        <v>1809.0972693987133</v>
      </c>
      <c r="BV375" s="4">
        <f t="shared" ref="BV375" si="1665">BT375-BP375</f>
        <v>-4208</v>
      </c>
      <c r="BW375" s="444">
        <f>BT375/[9]SPAMWh!$L255</f>
        <v>0.99240765994485602</v>
      </c>
    </row>
    <row r="376" spans="1:75">
      <c r="A376" s="4">
        <f t="shared" si="1101"/>
        <v>2013</v>
      </c>
      <c r="B376" s="4">
        <f t="shared" si="1102"/>
        <v>12</v>
      </c>
      <c r="C376" s="5">
        <f>'[2]FPC wSEB'!$J473</f>
        <v>252543</v>
      </c>
      <c r="D376" s="5">
        <f>'[2]FPC wSEB'!$AB473</f>
        <v>25281</v>
      </c>
      <c r="E376" s="73">
        <f t="shared" ref="E376" si="1666">ROUND(C376/D376*1000,0)</f>
        <v>9989</v>
      </c>
      <c r="F376" s="540">
        <f t="shared" ref="F376" si="1667">D376</f>
        <v>25281</v>
      </c>
      <c r="H376" s="13" t="s">
        <v>18</v>
      </c>
      <c r="I376" s="76">
        <f>'[7]Gov 65 &amp; 70'!$S461</f>
        <v>87.7</v>
      </c>
      <c r="J376" s="76">
        <f t="shared" si="164"/>
        <v>50.8</v>
      </c>
      <c r="K376" s="362">
        <f t="shared" ref="K376" si="1668">(J376-I376)</f>
        <v>-36.900000000000006</v>
      </c>
      <c r="L376" s="200" t="s">
        <v>18</v>
      </c>
      <c r="M376" s="76">
        <f>'[7]Gov 65 &amp; 70'!$J461</f>
        <v>54.7</v>
      </c>
      <c r="N376" s="76">
        <f t="shared" si="165"/>
        <v>121.8</v>
      </c>
      <c r="O376" s="363">
        <f t="shared" ref="O376" si="1669">(N376-M376)</f>
        <v>67.099999999999994</v>
      </c>
      <c r="P376" s="13" t="s">
        <v>18</v>
      </c>
      <c r="Q376" s="77">
        <f t="shared" ref="Q376" si="1670">K376*$I$10</f>
        <v>-8489.7675000000017</v>
      </c>
      <c r="R376" s="78">
        <f t="shared" ref="R376" si="1671">O376*$I$9</f>
        <v>3849.1243999999997</v>
      </c>
      <c r="S376" s="479">
        <f t="shared" ref="S376" si="1672">ROUND((R376+Q376),0)</f>
        <v>-4641</v>
      </c>
      <c r="T376" s="13" t="s">
        <v>18</v>
      </c>
      <c r="U376" s="4">
        <f t="shared" si="166"/>
        <v>2013</v>
      </c>
      <c r="V376" s="4">
        <f t="shared" si="167"/>
        <v>12</v>
      </c>
      <c r="W376" s="153">
        <f t="shared" ref="W376" si="1673">Z376/D376*1000</f>
        <v>9805.8621098848944</v>
      </c>
      <c r="X376" s="153">
        <f t="shared" ref="X376" si="1674">W376-W364</f>
        <v>-638.75456376403781</v>
      </c>
      <c r="Z376" s="98">
        <f t="shared" ref="Z376" si="1675">S376+C376</f>
        <v>247902</v>
      </c>
      <c r="AA376" s="119">
        <f t="shared" ref="AA376" si="1676">Z376-C376</f>
        <v>-4641</v>
      </c>
      <c r="AB376" s="512">
        <f>[9]SPAMWh!$L256</f>
        <v>248032</v>
      </c>
      <c r="AC376" s="4">
        <f t="shared" si="168"/>
        <v>2013</v>
      </c>
      <c r="AD376" s="4">
        <f t="shared" si="169"/>
        <v>12</v>
      </c>
      <c r="AE376" s="107">
        <f>RESID!AC376</f>
        <v>31.05</v>
      </c>
      <c r="AF376" s="40">
        <f t="shared" ref="AF376" si="1677">AG376/D376*1000</f>
        <v>9606.8984612950444</v>
      </c>
      <c r="AG376" s="4">
        <f t="shared" ref="AG376" si="1678">ROUND(Z376/(AE376/30.42),0)</f>
        <v>242872</v>
      </c>
      <c r="AH376" s="4">
        <f t="shared" ref="AH376" si="1679">Z376-Z364</f>
        <v>-1411</v>
      </c>
      <c r="AY376" s="4">
        <f t="shared" si="1304"/>
        <v>2013</v>
      </c>
      <c r="AZ376" s="4">
        <f t="shared" si="1305"/>
        <v>12</v>
      </c>
      <c r="BA376" s="4">
        <f>'[8]Gov 65 &amp; 70'!$S461</f>
        <v>63.1</v>
      </c>
      <c r="BB376" s="4">
        <f t="shared" si="172"/>
        <v>28.2</v>
      </c>
      <c r="BC376" s="82">
        <f t="shared" ref="BC376" si="1680">BB376-BA376</f>
        <v>-34.900000000000006</v>
      </c>
      <c r="BD376" s="36" t="s">
        <v>18</v>
      </c>
      <c r="BE376" s="4">
        <f>'[8]Gov 65 &amp; 70'!$J461</f>
        <v>75.599999999999994</v>
      </c>
      <c r="BF376" s="4">
        <f t="shared" si="173"/>
        <v>170</v>
      </c>
      <c r="BG376" s="83">
        <f t="shared" ref="BG376" si="1681">BF376-BE376</f>
        <v>94.4</v>
      </c>
      <c r="BH376" s="36" t="s">
        <v>18</v>
      </c>
      <c r="BI376" s="271">
        <f t="shared" ref="BI376" si="1682">$I$10*BC376</f>
        <v>-8029.6175000000012</v>
      </c>
      <c r="BJ376" s="272">
        <f t="shared" ref="BJ376" si="1683">$I$9*BG376</f>
        <v>5415.1616000000004</v>
      </c>
      <c r="BK376" s="481">
        <f t="shared" ref="BK376" si="1684">ROUND(BJ376+BI376,0)</f>
        <v>-2614</v>
      </c>
      <c r="BM376" s="36" t="s">
        <v>18</v>
      </c>
      <c r="BN376" s="4">
        <f t="shared" si="1440"/>
        <v>2013</v>
      </c>
      <c r="BO376" s="4">
        <f t="shared" si="1441"/>
        <v>12</v>
      </c>
      <c r="BP376" s="108">
        <f>(C376+[4]MWh!$AN210)</f>
        <v>236569.13677364914</v>
      </c>
      <c r="BQ376" s="108">
        <f t="shared" ref="BQ376" si="1685">BP376/D376*1000</f>
        <v>9357.5862020350905</v>
      </c>
      <c r="BR376" s="108">
        <f t="shared" ref="BR376" si="1686">BT376/D376*1000</f>
        <v>9254.1883934041034</v>
      </c>
      <c r="BS376" s="108">
        <f t="shared" ref="BS376" si="1687">BR376-BR364</f>
        <v>-2027.7567901909988</v>
      </c>
      <c r="BT376" s="175">
        <f t="shared" ref="BT376" si="1688">BK376+BP376</f>
        <v>233955.13677364914</v>
      </c>
      <c r="BU376" s="108">
        <f t="shared" ref="BU376" si="1689">BT376-BT364</f>
        <v>-35344.894758765935</v>
      </c>
      <c r="BV376" s="4">
        <f t="shared" ref="BV376" si="1690">BT376-BP376</f>
        <v>-2614</v>
      </c>
      <c r="BW376" s="444">
        <f>BT376/[9]SPAMWh!$L256</f>
        <v>0.94324577785789387</v>
      </c>
    </row>
    <row r="377" spans="1:75">
      <c r="A377" s="4">
        <f t="shared" si="1101"/>
        <v>2014</v>
      </c>
      <c r="B377" s="4">
        <f t="shared" si="1102"/>
        <v>1</v>
      </c>
    </row>
  </sheetData>
  <mergeCells count="4">
    <mergeCell ref="AK1:AU1"/>
    <mergeCell ref="AK2:AU2"/>
    <mergeCell ref="DA8:DG8"/>
    <mergeCell ref="DA9:DG9"/>
  </mergeCells>
  <phoneticPr fontId="4" type="noConversion"/>
  <pageMargins left="0.75" right="0.75" top="1" bottom="1" header="0.5" footer="0.5"/>
  <pageSetup orientation="portrait" r:id="rId1"/>
  <headerFooter alignWithMargins="0">
    <oddFooter>&amp;R14LGBRA-NRGPOD1-6-DOC 33
14BGBRA-STAFFROG1-19A-DOC 33</oddFooter>
  </headerFooter>
  <ignoredErrors>
    <ignoredError sqref="K257" unlockedFormula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5:CK377"/>
  <sheetViews>
    <sheetView tabSelected="1" zoomScale="80" zoomScaleNormal="80" workbookViewId="0">
      <selection activeCell="AW37" sqref="AW37"/>
    </sheetView>
  </sheetViews>
  <sheetFormatPr defaultColWidth="8.88671875" defaultRowHeight="12.75"/>
  <cols>
    <col min="1" max="1" width="6.77734375" style="4" customWidth="1"/>
    <col min="2" max="2" width="4" style="4" customWidth="1"/>
    <col min="3" max="3" width="8.88671875" style="4"/>
    <col min="4" max="4" width="10.5546875" style="4" bestFit="1" customWidth="1"/>
    <col min="5" max="9" width="0.77734375" style="4" customWidth="1"/>
    <col min="10" max="10" width="8.33203125" style="4" customWidth="1"/>
    <col min="11" max="24" width="0.77734375" style="4" customWidth="1"/>
    <col min="25" max="25" width="5.6640625" style="4" customWidth="1"/>
    <col min="26" max="26" width="9" style="6" customWidth="1"/>
    <col min="27" max="27" width="1.109375" style="4" customWidth="1"/>
    <col min="28" max="28" width="5.88671875" style="4" customWidth="1"/>
    <col min="29" max="37" width="1.109375" style="4" customWidth="1"/>
    <col min="38" max="38" width="5.5546875" style="4" customWidth="1"/>
    <col min="39" max="39" width="7.44140625" style="4" bestFit="1" customWidth="1"/>
    <col min="40" max="43" width="1.109375" style="4" customWidth="1"/>
    <col min="44" max="44" width="7.5546875" style="4" bestFit="1" customWidth="1"/>
    <col min="45" max="45" width="6" style="4" customWidth="1"/>
    <col min="46" max="46" width="1.109375" style="4" customWidth="1"/>
    <col min="47" max="47" width="8.5546875" style="4" customWidth="1"/>
    <col min="48" max="65" width="1.109375" style="4" customWidth="1"/>
    <col min="66" max="66" width="6" style="4" bestFit="1" customWidth="1"/>
    <col min="67" max="67" width="3.21875" style="4" bestFit="1" customWidth="1"/>
    <col min="68" max="68" width="8.88671875" style="4"/>
    <col min="69" max="71" width="2.88671875" style="4" customWidth="1"/>
    <col min="72" max="72" width="8.88671875" style="6"/>
    <col min="73" max="73" width="7.44140625" style="4" bestFit="1" customWidth="1"/>
    <col min="74" max="74" width="7.44140625" style="4" customWidth="1"/>
    <col min="75" max="75" width="7.6640625" style="4" customWidth="1"/>
    <col min="76" max="76" width="8.77734375" style="4" customWidth="1"/>
    <col min="77" max="84" width="2.21875" style="4" customWidth="1"/>
    <col min="85" max="85" width="8.88671875" style="4"/>
    <col min="86" max="86" width="10.21875" style="4" bestFit="1" customWidth="1"/>
    <col min="87" max="87" width="8.88671875" style="4"/>
    <col min="88" max="88" width="10.21875" style="4" bestFit="1" customWidth="1"/>
    <col min="89" max="16384" width="8.88671875" style="4"/>
  </cols>
  <sheetData>
    <row r="5" spans="1:89" ht="18">
      <c r="A5" s="428" t="s">
        <v>115</v>
      </c>
      <c r="B5" s="3"/>
      <c r="C5" s="3"/>
      <c r="D5" s="3"/>
      <c r="AR5" s="13" t="s">
        <v>197</v>
      </c>
      <c r="CG5" s="22" t="s">
        <v>130</v>
      </c>
      <c r="CH5" s="23"/>
      <c r="CJ5" s="13" t="s">
        <v>157</v>
      </c>
    </row>
    <row r="6" spans="1:89">
      <c r="AM6" s="122" t="s">
        <v>4</v>
      </c>
      <c r="AR6" s="556" t="s">
        <v>316</v>
      </c>
      <c r="AU6" s="58" t="s">
        <v>4</v>
      </c>
      <c r="CH6" s="29" t="s">
        <v>40</v>
      </c>
      <c r="CJ6" s="30" t="s">
        <v>3</v>
      </c>
    </row>
    <row r="7" spans="1:89">
      <c r="AL7" s="15" t="s">
        <v>8</v>
      </c>
      <c r="AM7" s="308" t="s">
        <v>198</v>
      </c>
      <c r="AR7" s="128" t="s">
        <v>128</v>
      </c>
      <c r="AS7" s="13"/>
      <c r="AU7" s="128" t="s">
        <v>159</v>
      </c>
      <c r="CG7" s="34" t="s">
        <v>8</v>
      </c>
      <c r="CH7" s="123" t="s">
        <v>117</v>
      </c>
      <c r="CI7" s="36" t="s">
        <v>42</v>
      </c>
      <c r="CJ7" s="124" t="str">
        <f>CH7</f>
        <v>SHLSALES</v>
      </c>
      <c r="CK7" s="36" t="s">
        <v>42</v>
      </c>
    </row>
    <row r="8" spans="1:89">
      <c r="AL8" s="4">
        <v>1984</v>
      </c>
      <c r="AM8" s="181">
        <f>ROUND(SUM(C17:C28),0)</f>
        <v>16218</v>
      </c>
      <c r="AR8" s="50">
        <f>ROUND(SUM(Z17:Z28),0)</f>
        <v>16218</v>
      </c>
      <c r="AU8" s="50">
        <f>ROUND(AVERAGE(D17:D28),0)</f>
        <v>1503</v>
      </c>
      <c r="CG8" s="22">
        <v>1984</v>
      </c>
    </row>
    <row r="9" spans="1:89">
      <c r="AL9" s="4">
        <v>1985</v>
      </c>
      <c r="AM9" s="181">
        <f>ROUND(SUM(C29:C40),0)</f>
        <v>17069</v>
      </c>
      <c r="AR9" s="50">
        <f>ROUND(SUM(Z29:Z40),0)</f>
        <v>17069</v>
      </c>
      <c r="AU9" s="50">
        <f>ROUND(AVERAGE(D29:D40),0)</f>
        <v>1666</v>
      </c>
      <c r="CG9" s="22">
        <v>1985</v>
      </c>
    </row>
    <row r="10" spans="1:89">
      <c r="AL10" s="4">
        <v>1986</v>
      </c>
      <c r="AM10" s="181">
        <f>ROUND(SUM(C41:C52),0)</f>
        <v>18076</v>
      </c>
      <c r="AR10" s="50">
        <f>ROUND(SUM(Z41:Z52),0)</f>
        <v>18076</v>
      </c>
      <c r="AU10" s="50">
        <f>ROUND(AVERAGE(D41:D52),0)</f>
        <v>1822</v>
      </c>
      <c r="CG10" s="22">
        <v>1986</v>
      </c>
    </row>
    <row r="11" spans="1:89">
      <c r="AL11" s="4">
        <v>1987</v>
      </c>
      <c r="AM11" s="181">
        <f>ROUND(SUM(C53:C64),0)</f>
        <v>19105</v>
      </c>
      <c r="AR11" s="50">
        <f>ROUND(SUM(Z53:Z64),0)</f>
        <v>19105</v>
      </c>
      <c r="AU11" s="50">
        <f>ROUND(AVERAGE(D53:D64),0)</f>
        <v>1935</v>
      </c>
      <c r="CG11" s="22">
        <v>1987</v>
      </c>
    </row>
    <row r="12" spans="1:89">
      <c r="AB12" s="507" t="s">
        <v>305</v>
      </c>
      <c r="AL12" s="4">
        <v>1988</v>
      </c>
      <c r="AM12" s="181">
        <f>ROUND(SUM(C65:C76),0)</f>
        <v>18639</v>
      </c>
      <c r="AR12" s="50">
        <f>ROUND(SUM(Z65:Z76),0)</f>
        <v>18639</v>
      </c>
      <c r="AU12" s="50">
        <f>ROUND(AVERAGE(D65:D76),0)</f>
        <v>2038</v>
      </c>
      <c r="CG12" s="22">
        <v>1988</v>
      </c>
    </row>
    <row r="13" spans="1:89">
      <c r="AB13" s="491" t="s">
        <v>304</v>
      </c>
      <c r="AL13" s="4">
        <v>1989</v>
      </c>
      <c r="AM13" s="181">
        <f>ROUND(SUM(C77:C88),0)</f>
        <v>19681</v>
      </c>
      <c r="AR13" s="50">
        <f>ROUND(SUM(Z77:Z88),0)</f>
        <v>19681</v>
      </c>
      <c r="AU13" s="50">
        <f>ROUND(AVERAGE(D77:D88),0)</f>
        <v>2145</v>
      </c>
      <c r="BP13" s="4" t="s">
        <v>64</v>
      </c>
      <c r="CG13" s="51">
        <v>1989</v>
      </c>
    </row>
    <row r="14" spans="1:89" ht="13.5" thickBot="1">
      <c r="C14" s="52" t="s">
        <v>12</v>
      </c>
      <c r="D14" s="52" t="s">
        <v>12</v>
      </c>
      <c r="Z14" s="58"/>
      <c r="AB14" s="508" t="s">
        <v>306</v>
      </c>
      <c r="AL14" s="4">
        <v>1990</v>
      </c>
      <c r="AM14" s="181">
        <f>ROUND(SUM(C89:C100),0)</f>
        <v>20783</v>
      </c>
      <c r="AR14" s="50">
        <f>ROUND(SUM(Z89:Z100),0)</f>
        <v>20783</v>
      </c>
      <c r="AU14" s="50">
        <f>ROUND(AVERAGE(D89:D100),0)</f>
        <v>2255</v>
      </c>
      <c r="BP14" s="15" t="s">
        <v>12</v>
      </c>
      <c r="BT14" s="58" t="s">
        <v>17</v>
      </c>
      <c r="CG14" s="22">
        <v>1990</v>
      </c>
    </row>
    <row r="15" spans="1:89">
      <c r="C15" s="52" t="s">
        <v>4</v>
      </c>
      <c r="D15" s="52" t="s">
        <v>4</v>
      </c>
      <c r="E15" s="15"/>
      <c r="J15" s="582" t="s">
        <v>328</v>
      </c>
      <c r="Z15" s="58" t="s">
        <v>4</v>
      </c>
      <c r="AB15" s="508" t="s">
        <v>4</v>
      </c>
      <c r="AL15" s="4">
        <v>1991</v>
      </c>
      <c r="AM15" s="181">
        <f>ROUND(SUM(C101:C112),0)</f>
        <v>23006</v>
      </c>
      <c r="AR15" s="50">
        <f>ROUND(SUM(Z101:Z112),0)</f>
        <v>23006</v>
      </c>
      <c r="AU15" s="50">
        <f>ROUND(AVERAGE(D101:D112),0)</f>
        <v>2344</v>
      </c>
      <c r="BP15" s="15" t="s">
        <v>28</v>
      </c>
      <c r="BT15" s="287" t="s">
        <v>28</v>
      </c>
      <c r="BW15" s="374" t="s">
        <v>311</v>
      </c>
      <c r="CG15" s="22">
        <v>1991</v>
      </c>
    </row>
    <row r="16" spans="1:89" ht="13.5" thickBot="1">
      <c r="A16" s="31" t="s">
        <v>8</v>
      </c>
      <c r="B16" s="31" t="s">
        <v>29</v>
      </c>
      <c r="C16" s="66" t="s">
        <v>105</v>
      </c>
      <c r="D16" s="66" t="s">
        <v>106</v>
      </c>
      <c r="E16" s="31"/>
      <c r="J16" s="585" t="s">
        <v>335</v>
      </c>
      <c r="Z16" s="128" t="s">
        <v>117</v>
      </c>
      <c r="AB16" s="513" t="s">
        <v>107</v>
      </c>
      <c r="AL16" s="4">
        <v>1992</v>
      </c>
      <c r="AM16" s="181">
        <f>ROUND(SUM(C113:C124),0)</f>
        <v>24220</v>
      </c>
      <c r="AR16" s="50">
        <f>ROUND(SUM(Z113:Z124),0)</f>
        <v>24220</v>
      </c>
      <c r="AU16" s="50">
        <f>ROUND(AVERAGE(D113:D124),0)</f>
        <v>2378</v>
      </c>
      <c r="BN16" s="31" t="s">
        <v>8</v>
      </c>
      <c r="BO16" s="31" t="s">
        <v>29</v>
      </c>
      <c r="BP16" s="38" t="s">
        <v>105</v>
      </c>
      <c r="BT16" s="128" t="s">
        <v>105</v>
      </c>
      <c r="BU16" s="15" t="s">
        <v>127</v>
      </c>
      <c r="BV16" s="15"/>
      <c r="BW16" s="229" t="s">
        <v>310</v>
      </c>
      <c r="CG16" s="22">
        <v>1992</v>
      </c>
    </row>
    <row r="17" spans="1:89">
      <c r="A17" s="4">
        <v>1984</v>
      </c>
      <c r="B17" s="4">
        <v>1</v>
      </c>
      <c r="C17" s="4">
        <f>'[2]FPC wSEB'!$I114</f>
        <v>1351</v>
      </c>
      <c r="D17" s="4">
        <f>'[2]FPC wSEB'!$AA114</f>
        <v>1439</v>
      </c>
      <c r="Z17" s="6">
        <f>C17</f>
        <v>1351</v>
      </c>
      <c r="AB17" s="4">
        <f>Z17</f>
        <v>1351</v>
      </c>
      <c r="AL17" s="4">
        <v>1993</v>
      </c>
      <c r="AM17" s="181">
        <f>ROUND(SUM(C125:C136),0)</f>
        <v>25294</v>
      </c>
      <c r="AR17" s="50">
        <f>ROUND(SUM(Z125:Z136),0)</f>
        <v>25294</v>
      </c>
      <c r="AU17" s="50">
        <f>ROUND(AVERAGE(D125:D136),0)</f>
        <v>2394</v>
      </c>
      <c r="BN17" s="4">
        <v>1984</v>
      </c>
      <c r="BO17" s="4">
        <v>1</v>
      </c>
      <c r="CG17" s="22">
        <v>1993</v>
      </c>
    </row>
    <row r="18" spans="1:89">
      <c r="A18" s="4">
        <v>1984</v>
      </c>
      <c r="B18" s="4">
        <v>2</v>
      </c>
      <c r="C18" s="4">
        <f>'[2]FPC wSEB'!$I115</f>
        <v>1299</v>
      </c>
      <c r="D18" s="4">
        <f>'[2]FPC wSEB'!$AA115</f>
        <v>1448</v>
      </c>
      <c r="Z18" s="6">
        <f t="shared" ref="Z18:Z81" si="0">C18</f>
        <v>1299</v>
      </c>
      <c r="AB18" s="4">
        <f t="shared" ref="AB18:AB81" si="1">Z18</f>
        <v>1299</v>
      </c>
      <c r="AL18" s="23">
        <v>1994</v>
      </c>
      <c r="AM18" s="181">
        <f>ROUND(SUM(C137:C148),0)</f>
        <v>26316</v>
      </c>
      <c r="AR18" s="50">
        <f>ROUND(SUM(Z137:Z148),0)</f>
        <v>26316</v>
      </c>
      <c r="AU18" s="50">
        <f>ROUND(AVERAGE(D137:D148),0)</f>
        <v>2421</v>
      </c>
      <c r="BN18" s="4">
        <v>1984</v>
      </c>
      <c r="BO18" s="4">
        <v>2</v>
      </c>
      <c r="CG18" s="51">
        <v>1994</v>
      </c>
    </row>
    <row r="19" spans="1:89">
      <c r="A19" s="4">
        <v>1984</v>
      </c>
      <c r="B19" s="4">
        <v>3</v>
      </c>
      <c r="C19" s="4">
        <f>'[2]FPC wSEB'!$I116</f>
        <v>1344</v>
      </c>
      <c r="D19" s="4">
        <f>'[2]FPC wSEB'!$AA116</f>
        <v>1458</v>
      </c>
      <c r="Z19" s="6">
        <f t="shared" si="0"/>
        <v>1344</v>
      </c>
      <c r="AB19" s="4">
        <f t="shared" si="1"/>
        <v>1344</v>
      </c>
      <c r="AL19" s="4">
        <v>1995</v>
      </c>
      <c r="AM19" s="181">
        <f>ROUND(SUM(C149:C160),0)</f>
        <v>27222</v>
      </c>
      <c r="AR19" s="50">
        <f>ROUND(SUM(Z149:Z160),0)</f>
        <v>27222</v>
      </c>
      <c r="AU19" s="50">
        <f>ROUND(AVERAGE(D149:D160),0)</f>
        <v>2432</v>
      </c>
      <c r="BN19" s="4">
        <v>1984</v>
      </c>
      <c r="BO19" s="4">
        <v>3</v>
      </c>
      <c r="CG19" s="22">
        <v>1995</v>
      </c>
    </row>
    <row r="20" spans="1:89">
      <c r="A20" s="4">
        <v>1984</v>
      </c>
      <c r="B20" s="4">
        <v>4</v>
      </c>
      <c r="C20" s="4">
        <f>'[2]FPC wSEB'!$I117</f>
        <v>1347</v>
      </c>
      <c r="D20" s="4">
        <f>'[2]FPC wSEB'!$AA117</f>
        <v>1469</v>
      </c>
      <c r="Z20" s="6">
        <f t="shared" si="0"/>
        <v>1347</v>
      </c>
      <c r="AB20" s="4">
        <f t="shared" si="1"/>
        <v>1347</v>
      </c>
      <c r="AL20" s="23">
        <v>1996</v>
      </c>
      <c r="AM20" s="181">
        <f>ROUND(SUM(C161:C172),0)</f>
        <v>26289</v>
      </c>
      <c r="AR20" s="50">
        <f>ROUND(SUM(Z161:Z172),0)</f>
        <v>26289</v>
      </c>
      <c r="AU20" s="50">
        <f>ROUND(AVERAGE(D161:D172),0)</f>
        <v>2321</v>
      </c>
      <c r="BN20" s="4">
        <v>1984</v>
      </c>
      <c r="BO20" s="4">
        <v>4</v>
      </c>
      <c r="CG20" s="51">
        <v>1996</v>
      </c>
    </row>
    <row r="21" spans="1:89">
      <c r="A21" s="4">
        <v>1984</v>
      </c>
      <c r="B21" s="4">
        <v>5</v>
      </c>
      <c r="C21" s="4">
        <f>'[2]FPC wSEB'!$I118</f>
        <v>1379</v>
      </c>
      <c r="D21" s="4">
        <f>'[2]FPC wSEB'!$AA118</f>
        <v>1485</v>
      </c>
      <c r="Z21" s="6">
        <f t="shared" si="0"/>
        <v>1379</v>
      </c>
      <c r="AB21" s="4">
        <f t="shared" si="1"/>
        <v>1379</v>
      </c>
      <c r="AL21" s="4">
        <v>1997</v>
      </c>
      <c r="AM21" s="181">
        <f>ROUND(SUM(C173:C184),0)</f>
        <v>26883</v>
      </c>
      <c r="AR21" s="50">
        <f>ROUND(SUM(Z173:Z184),0)</f>
        <v>26883</v>
      </c>
      <c r="AU21" s="50">
        <f>ROUND(AVERAGE(D173:D184),0)</f>
        <v>2216</v>
      </c>
      <c r="BN21" s="4">
        <v>1984</v>
      </c>
      <c r="BO21" s="4">
        <v>5</v>
      </c>
      <c r="CG21" s="22">
        <v>1997</v>
      </c>
      <c r="CH21" s="84">
        <f>ROUND(SUM(BP173:BP184),0)</f>
        <v>27156</v>
      </c>
      <c r="CI21" s="47"/>
      <c r="CJ21" s="84">
        <f>ROUND(SUM(BT173:BT184),0)</f>
        <v>27156</v>
      </c>
    </row>
    <row r="22" spans="1:89">
      <c r="A22" s="4">
        <v>1984</v>
      </c>
      <c r="B22" s="4">
        <v>6</v>
      </c>
      <c r="C22" s="4">
        <f>'[2]FPC wSEB'!$I119</f>
        <v>1347</v>
      </c>
      <c r="D22" s="4">
        <f>'[2]FPC wSEB'!$AA119</f>
        <v>1500</v>
      </c>
      <c r="Z22" s="6">
        <f t="shared" si="0"/>
        <v>1347</v>
      </c>
      <c r="AB22" s="4">
        <f t="shared" si="1"/>
        <v>1347</v>
      </c>
      <c r="AL22" s="23">
        <v>1998</v>
      </c>
      <c r="AM22" s="181">
        <f>ROUND(SUM(C185:C196),0)</f>
        <v>26875</v>
      </c>
      <c r="AR22" s="50">
        <f>ROUND(SUM(Z185:Z196),0)</f>
        <v>26875</v>
      </c>
      <c r="AU22" s="50">
        <f>ROUND(AVERAGE(D185:D196),0)</f>
        <v>2127</v>
      </c>
      <c r="BN22" s="4">
        <v>1984</v>
      </c>
      <c r="BO22" s="4">
        <v>6</v>
      </c>
      <c r="CG22" s="51">
        <v>1998</v>
      </c>
      <c r="CH22" s="84">
        <f>ROUND(SUM(BP185:BP196),0)</f>
        <v>26737</v>
      </c>
      <c r="CI22" s="47">
        <f t="shared" ref="CI22:CI27" si="2">(CH22/CH21-1)*100</f>
        <v>-1.5429371041390527</v>
      </c>
      <c r="CJ22" s="84">
        <f>ROUND(SUM(BT185:BT196),0)</f>
        <v>26737</v>
      </c>
      <c r="CK22" s="47">
        <f t="shared" ref="CK22:CK27" si="3">(CJ22/CJ21-1)*100</f>
        <v>-1.5429371041390527</v>
      </c>
    </row>
    <row r="23" spans="1:89">
      <c r="A23" s="4">
        <v>1984</v>
      </c>
      <c r="B23" s="4">
        <v>7</v>
      </c>
      <c r="C23" s="4">
        <f>'[2]FPC wSEB'!$I120</f>
        <v>1368</v>
      </c>
      <c r="D23" s="4">
        <f>'[2]FPC wSEB'!$AA120</f>
        <v>1514</v>
      </c>
      <c r="Z23" s="6">
        <f t="shared" si="0"/>
        <v>1368</v>
      </c>
      <c r="AB23" s="4">
        <f t="shared" si="1"/>
        <v>1368</v>
      </c>
      <c r="AL23" s="4">
        <v>1999</v>
      </c>
      <c r="AM23" s="181">
        <f>ROUND(SUM(C197:C208),0)</f>
        <v>26669</v>
      </c>
      <c r="AR23" s="50">
        <f>ROUND(SUM(Z197:Z208),0)</f>
        <v>26669</v>
      </c>
      <c r="AU23" s="50">
        <f>ROUND(AVERAGE(D197:D208),0)</f>
        <v>2079</v>
      </c>
      <c r="BN23" s="4">
        <v>1984</v>
      </c>
      <c r="BO23" s="4">
        <v>7</v>
      </c>
      <c r="CG23" s="22">
        <v>1999</v>
      </c>
      <c r="CH23" s="84">
        <f>ROUND(SUM(BP197:BP208),0)</f>
        <v>26869</v>
      </c>
      <c r="CI23" s="47">
        <f t="shared" si="2"/>
        <v>0.49369787186295255</v>
      </c>
      <c r="CJ23" s="84">
        <f>ROUND(SUM(BT197:BT208),0)</f>
        <v>26869</v>
      </c>
      <c r="CK23" s="47">
        <f t="shared" si="3"/>
        <v>0.49369787186295255</v>
      </c>
    </row>
    <row r="24" spans="1:89">
      <c r="A24" s="4">
        <v>1984</v>
      </c>
      <c r="B24" s="4">
        <v>8</v>
      </c>
      <c r="C24" s="4">
        <f>'[2]FPC wSEB'!$I121</f>
        <v>1351</v>
      </c>
      <c r="D24" s="4">
        <f>'[2]FPC wSEB'!$AA121</f>
        <v>1528</v>
      </c>
      <c r="Z24" s="6">
        <f t="shared" si="0"/>
        <v>1351</v>
      </c>
      <c r="AB24" s="4">
        <f t="shared" si="1"/>
        <v>1351</v>
      </c>
      <c r="AL24" s="23">
        <v>2000</v>
      </c>
      <c r="AM24" s="181">
        <f>ROUND(SUM(C209:C220),0)</f>
        <v>27916</v>
      </c>
      <c r="AR24" s="549">
        <f>ROUND(SUM(AB209:AB220),0)</f>
        <v>27921</v>
      </c>
      <c r="AU24" s="50">
        <f>ROUND(AVERAGE(D209:D220),0)</f>
        <v>2070</v>
      </c>
      <c r="BN24" s="4">
        <v>1984</v>
      </c>
      <c r="BO24" s="4">
        <v>8</v>
      </c>
      <c r="CG24" s="51">
        <v>2000</v>
      </c>
      <c r="CH24" s="84">
        <f>ROUND(SUM(BP209:BP220),0)</f>
        <v>28064</v>
      </c>
      <c r="CI24" s="47">
        <f t="shared" si="2"/>
        <v>4.4475045591573892</v>
      </c>
      <c r="CJ24" s="84">
        <f>ROUND(SUM(BT209:BT220),0)</f>
        <v>28064</v>
      </c>
      <c r="CK24" s="47">
        <f t="shared" si="3"/>
        <v>4.4475045591573892</v>
      </c>
    </row>
    <row r="25" spans="1:89">
      <c r="A25" s="4">
        <v>1984</v>
      </c>
      <c r="B25" s="4">
        <v>9</v>
      </c>
      <c r="C25" s="4">
        <f>'[2]FPC wSEB'!$I122</f>
        <v>1350</v>
      </c>
      <c r="D25" s="4">
        <f>'[2]FPC wSEB'!$AA122</f>
        <v>1531</v>
      </c>
      <c r="Z25" s="6">
        <f t="shared" si="0"/>
        <v>1350</v>
      </c>
      <c r="AB25" s="4">
        <f t="shared" si="1"/>
        <v>1350</v>
      </c>
      <c r="AL25" s="4">
        <v>2001</v>
      </c>
      <c r="AM25" s="181">
        <f>ROUND(SUM(C221:C232),0)</f>
        <v>28139</v>
      </c>
      <c r="AR25" s="549">
        <f>ROUND(SUM(AB221:AB232),0)</f>
        <v>28139</v>
      </c>
      <c r="AU25" s="50">
        <f>ROUND(AVERAGE(D221:D232),0)</f>
        <v>2015</v>
      </c>
      <c r="BN25" s="4">
        <v>1984</v>
      </c>
      <c r="BO25" s="4">
        <v>9</v>
      </c>
      <c r="CG25" s="22">
        <v>2001</v>
      </c>
      <c r="CH25" s="84">
        <f>ROUND(SUM(BP221:BP232),0)</f>
        <v>27806</v>
      </c>
      <c r="CI25" s="47">
        <f t="shared" si="2"/>
        <v>-0.91932725199543874</v>
      </c>
      <c r="CJ25" s="84">
        <f>ROUND(SUM(BT221:BT232),0)</f>
        <v>27806</v>
      </c>
      <c r="CK25" s="47">
        <f t="shared" si="3"/>
        <v>-0.91932725199543874</v>
      </c>
    </row>
    <row r="26" spans="1:89">
      <c r="A26" s="4">
        <v>1984</v>
      </c>
      <c r="B26" s="4">
        <v>10</v>
      </c>
      <c r="C26" s="4">
        <f>'[2]FPC wSEB'!$I123</f>
        <v>1366</v>
      </c>
      <c r="D26" s="4">
        <f>'[2]FPC wSEB'!$AA123</f>
        <v>1539</v>
      </c>
      <c r="Z26" s="6">
        <f t="shared" si="0"/>
        <v>1366</v>
      </c>
      <c r="AB26" s="4">
        <f t="shared" si="1"/>
        <v>1366</v>
      </c>
      <c r="AL26" s="23">
        <v>2002</v>
      </c>
      <c r="AM26" s="181">
        <f>ROUND(SUM(C233:C244),0)</f>
        <v>28297</v>
      </c>
      <c r="AR26" s="549">
        <f>ROUND(SUM(AB233:AB244),0)</f>
        <v>28297</v>
      </c>
      <c r="AU26" s="50">
        <f>ROUND(AVERAGE(D233:D244),0)</f>
        <v>1965</v>
      </c>
      <c r="BN26" s="4">
        <v>1984</v>
      </c>
      <c r="BO26" s="4">
        <v>10</v>
      </c>
      <c r="CG26" s="22">
        <v>2002</v>
      </c>
      <c r="CH26" s="84">
        <f>ROUND(SUM(BP233:BP244),0)</f>
        <v>28359</v>
      </c>
      <c r="CI26" s="47">
        <f t="shared" si="2"/>
        <v>1.9887794001294701</v>
      </c>
      <c r="CJ26" s="84">
        <f>ROUND(SUM(BT233:BT244),0)</f>
        <v>28359</v>
      </c>
      <c r="CK26" s="47">
        <f t="shared" si="3"/>
        <v>1.9887794001294701</v>
      </c>
    </row>
    <row r="27" spans="1:89">
      <c r="A27" s="4">
        <v>1984</v>
      </c>
      <c r="B27" s="4">
        <v>11</v>
      </c>
      <c r="C27" s="4">
        <f>'[2]FPC wSEB'!$I124</f>
        <v>1362</v>
      </c>
      <c r="D27" s="4">
        <f>'[2]FPC wSEB'!$AA124</f>
        <v>1553</v>
      </c>
      <c r="Z27" s="6">
        <f t="shared" si="0"/>
        <v>1362</v>
      </c>
      <c r="AB27" s="4">
        <f t="shared" si="1"/>
        <v>1362</v>
      </c>
      <c r="AL27" s="23">
        <v>2003</v>
      </c>
      <c r="AM27" s="181">
        <f>ROUND(SUM(C245:C256),0)</f>
        <v>28627</v>
      </c>
      <c r="AR27" s="549">
        <f>ROUND(SUM(AB245:AB256),0)</f>
        <v>28627</v>
      </c>
      <c r="AU27" s="50">
        <f>ROUND(AVERAGE(D245:D256),0)</f>
        <v>1917</v>
      </c>
      <c r="BN27" s="4">
        <v>1984</v>
      </c>
      <c r="BO27" s="4">
        <v>11</v>
      </c>
      <c r="CG27" s="22">
        <v>2003</v>
      </c>
      <c r="CH27" s="84">
        <f>ROUND(SUM(BP245:BP256),0)</f>
        <v>28685</v>
      </c>
      <c r="CI27" s="47">
        <f t="shared" si="2"/>
        <v>1.1495468810606813</v>
      </c>
      <c r="CJ27" s="84">
        <f>ROUND(SUM(BT245:BT256),0)</f>
        <v>28685</v>
      </c>
      <c r="CK27" s="47">
        <f t="shared" si="3"/>
        <v>1.1495468810606813</v>
      </c>
    </row>
    <row r="28" spans="1:89">
      <c r="A28" s="4">
        <v>1984</v>
      </c>
      <c r="B28" s="4">
        <v>12</v>
      </c>
      <c r="C28" s="4">
        <f>'[2]FPC wSEB'!$I125</f>
        <v>1354</v>
      </c>
      <c r="D28" s="4">
        <f>'[2]FPC wSEB'!$AA125</f>
        <v>1570</v>
      </c>
      <c r="Z28" s="6">
        <f t="shared" si="0"/>
        <v>1354</v>
      </c>
      <c r="AB28" s="4">
        <f t="shared" si="1"/>
        <v>1354</v>
      </c>
      <c r="AL28" s="23">
        <v>2004</v>
      </c>
      <c r="AM28" s="181">
        <f>ROUND(SUM(C257:C268),0)</f>
        <v>27927</v>
      </c>
      <c r="AR28" s="549">
        <f>ROUND(SUM(AB257:AB268),0)</f>
        <v>28115</v>
      </c>
      <c r="AU28" s="50">
        <f>ROUND(AVERAGE(D257:D268),0)</f>
        <v>1856</v>
      </c>
      <c r="BN28" s="4">
        <v>1984</v>
      </c>
      <c r="BO28" s="4">
        <v>12</v>
      </c>
      <c r="CG28" s="22">
        <v>2004</v>
      </c>
      <c r="CH28" s="84">
        <f>ROUND(SUM(BP257:BP268),0)</f>
        <v>28096</v>
      </c>
      <c r="CI28" s="47">
        <f t="shared" ref="CI28:CI33" si="4">(CH28/CH27-1)*100</f>
        <v>-2.0533379815234398</v>
      </c>
      <c r="CJ28" s="84">
        <f>ROUND(SUM(BT257:BT268),0)</f>
        <v>28284</v>
      </c>
      <c r="CK28" s="47">
        <f t="shared" ref="CK28:CK33" si="5">(CJ28/CJ27-1)*100</f>
        <v>-1.3979431758758931</v>
      </c>
    </row>
    <row r="29" spans="1:89">
      <c r="A29" s="4">
        <v>1985</v>
      </c>
      <c r="B29" s="4">
        <v>1</v>
      </c>
      <c r="C29" s="4">
        <f>'[2]FPC wSEB'!$I126</f>
        <v>1361</v>
      </c>
      <c r="D29" s="4">
        <f>'[2]FPC wSEB'!$AA126</f>
        <v>1580</v>
      </c>
      <c r="Z29" s="6">
        <f t="shared" si="0"/>
        <v>1361</v>
      </c>
      <c r="AB29" s="4">
        <f t="shared" si="1"/>
        <v>1361</v>
      </c>
      <c r="AL29" s="23">
        <v>2005</v>
      </c>
      <c r="AM29" s="181">
        <f>ROUND(SUM(C269:C280),0)</f>
        <v>27389</v>
      </c>
      <c r="AR29" s="549">
        <f>ROUND(SUM(AB269:AB280),0)</f>
        <v>27389</v>
      </c>
      <c r="AU29" s="50">
        <f>ROUND(AVERAGE(D269:D280),0)</f>
        <v>1795</v>
      </c>
      <c r="BN29" s="4">
        <v>1985</v>
      </c>
      <c r="BO29" s="4">
        <v>1</v>
      </c>
      <c r="CG29" s="22">
        <v>2005</v>
      </c>
      <c r="CH29" s="84">
        <f>ROUND(SUM(BP269:BP280),0)</f>
        <v>27113</v>
      </c>
      <c r="CI29" s="47">
        <f t="shared" si="4"/>
        <v>-3.4987186788154934</v>
      </c>
      <c r="CJ29" s="84">
        <f>ROUND(SUM(BT269:BT280),0)</f>
        <v>27113</v>
      </c>
      <c r="CK29" s="47">
        <f t="shared" si="5"/>
        <v>-4.1401499080752409</v>
      </c>
    </row>
    <row r="30" spans="1:89">
      <c r="A30" s="4">
        <v>1985</v>
      </c>
      <c r="B30" s="4">
        <v>2</v>
      </c>
      <c r="C30" s="4">
        <f>'[2]FPC wSEB'!$I127</f>
        <v>1387</v>
      </c>
      <c r="D30" s="4">
        <f>'[2]FPC wSEB'!$AA127</f>
        <v>1594</v>
      </c>
      <c r="Z30" s="6">
        <f t="shared" si="0"/>
        <v>1387</v>
      </c>
      <c r="AB30" s="4">
        <f t="shared" si="1"/>
        <v>1387</v>
      </c>
      <c r="AL30" s="23">
        <v>2006</v>
      </c>
      <c r="AM30" s="181">
        <f>ROUND(SUM(C281:C292),0)</f>
        <v>26650</v>
      </c>
      <c r="AR30" s="549">
        <f>ROUND(SUM(AB281:AB292),0)</f>
        <v>26650</v>
      </c>
      <c r="AU30" s="50">
        <f>ROUND(AVERAGE(D281:D292),0)</f>
        <v>1748</v>
      </c>
      <c r="BN30" s="4">
        <v>1985</v>
      </c>
      <c r="BO30" s="4">
        <v>2</v>
      </c>
      <c r="CG30" s="22">
        <v>2006</v>
      </c>
      <c r="CH30" s="84">
        <f>ROUND(SUM(BP281:BP292),0)</f>
        <v>26495</v>
      </c>
      <c r="CI30" s="47">
        <f t="shared" si="4"/>
        <v>-2.2793493895917116</v>
      </c>
      <c r="CJ30" s="84">
        <f>ROUND(SUM(BT281:BT292),0)</f>
        <v>26495</v>
      </c>
      <c r="CK30" s="47">
        <f t="shared" si="5"/>
        <v>-2.2793493895917116</v>
      </c>
    </row>
    <row r="31" spans="1:89">
      <c r="A31" s="4">
        <v>1985</v>
      </c>
      <c r="B31" s="4">
        <v>3</v>
      </c>
      <c r="C31" s="4">
        <f>'[2]FPC wSEB'!$I128</f>
        <v>1381</v>
      </c>
      <c r="D31" s="4">
        <f>'[2]FPC wSEB'!$AA128</f>
        <v>1613</v>
      </c>
      <c r="Z31" s="6">
        <f t="shared" si="0"/>
        <v>1381</v>
      </c>
      <c r="AB31" s="4">
        <f t="shared" si="1"/>
        <v>1381</v>
      </c>
      <c r="AL31" s="23">
        <v>2007</v>
      </c>
      <c r="AM31" s="181">
        <f>ROUND(SUM(C293:C304),0)</f>
        <v>26102</v>
      </c>
      <c r="AR31" s="549">
        <f>ROUND(SUM(AB293:AB304),0)</f>
        <v>26102</v>
      </c>
      <c r="AU31" s="50">
        <f>ROUND(AVERAGE(D293:D304),0)</f>
        <v>1692</v>
      </c>
      <c r="BN31" s="4">
        <v>1985</v>
      </c>
      <c r="BO31" s="4">
        <v>3</v>
      </c>
      <c r="CG31" s="22">
        <v>2007</v>
      </c>
      <c r="CH31" s="84">
        <f>ROUND(SUM(BP293:BP304),0)</f>
        <v>26110</v>
      </c>
      <c r="CI31" s="47">
        <f t="shared" si="4"/>
        <v>-1.4531043593130732</v>
      </c>
      <c r="CJ31" s="84">
        <f>ROUND(SUM(BT293:BT304),0)</f>
        <v>26110</v>
      </c>
      <c r="CK31" s="47">
        <f t="shared" si="5"/>
        <v>-1.4531043593130732</v>
      </c>
    </row>
    <row r="32" spans="1:89">
      <c r="A32" s="4">
        <v>1985</v>
      </c>
      <c r="B32" s="4">
        <v>4</v>
      </c>
      <c r="C32" s="4">
        <f>'[2]FPC wSEB'!$I129</f>
        <v>1398</v>
      </c>
      <c r="D32" s="4">
        <f>'[2]FPC wSEB'!$AA129</f>
        <v>1630</v>
      </c>
      <c r="Z32" s="6">
        <f t="shared" si="0"/>
        <v>1398</v>
      </c>
      <c r="AB32" s="4">
        <f t="shared" si="1"/>
        <v>1398</v>
      </c>
      <c r="AL32" s="23">
        <v>2008</v>
      </c>
      <c r="AM32" s="181">
        <f>ROUND(SUM(C305:C316),0)</f>
        <v>26270</v>
      </c>
      <c r="AR32" s="549">
        <f>ROUND(SUM(AB305:AB316),0)</f>
        <v>26264</v>
      </c>
      <c r="AU32" s="50">
        <f>ROUND(AVERAGE(D305:D316),0)</f>
        <v>1652</v>
      </c>
      <c r="BN32" s="4">
        <v>1985</v>
      </c>
      <c r="BO32" s="4">
        <v>4</v>
      </c>
      <c r="CG32" s="22">
        <v>2008</v>
      </c>
      <c r="CH32" s="84">
        <f>ROUND(SUM(BP305:BP316),0)</f>
        <v>26229</v>
      </c>
      <c r="CI32" s="47">
        <f t="shared" si="4"/>
        <v>0.45576407506702221</v>
      </c>
      <c r="CJ32" s="84">
        <f>ROUND(SUM(BT305:BT316),0)</f>
        <v>26229</v>
      </c>
      <c r="CK32" s="47">
        <f t="shared" si="5"/>
        <v>0.45576407506702221</v>
      </c>
    </row>
    <row r="33" spans="1:89">
      <c r="A33" s="4">
        <v>1985</v>
      </c>
      <c r="B33" s="4">
        <v>5</v>
      </c>
      <c r="C33" s="4">
        <f>'[2]FPC wSEB'!$I130</f>
        <v>1402</v>
      </c>
      <c r="D33" s="4">
        <f>'[2]FPC wSEB'!$AA130</f>
        <v>1638</v>
      </c>
      <c r="Z33" s="6">
        <f t="shared" si="0"/>
        <v>1402</v>
      </c>
      <c r="AB33" s="4">
        <f t="shared" si="1"/>
        <v>1402</v>
      </c>
      <c r="AL33" s="23">
        <v>2009</v>
      </c>
      <c r="AM33" s="181">
        <f>ROUND(SUM(C317:C328),0)</f>
        <v>25966</v>
      </c>
      <c r="AR33" s="549">
        <f>ROUND(SUM(AB317:AB328),0)</f>
        <v>25954</v>
      </c>
      <c r="AU33" s="50">
        <f>ROUND(AVERAGE(D317:D328),0)</f>
        <v>1624</v>
      </c>
      <c r="BN33" s="4">
        <v>1985</v>
      </c>
      <c r="BO33" s="4">
        <v>5</v>
      </c>
      <c r="CG33" s="22">
        <v>2009</v>
      </c>
      <c r="CH33" s="84">
        <f>ROUND(SUM(BP317:BP328),0)</f>
        <v>26125</v>
      </c>
      <c r="CI33" s="47">
        <f t="shared" si="4"/>
        <v>-0.39650768233634448</v>
      </c>
      <c r="CJ33" s="84">
        <f>ROUND(SUM(BT317:BT328),0)</f>
        <v>26125</v>
      </c>
      <c r="CK33" s="47">
        <f t="shared" si="5"/>
        <v>-0.39650768233634448</v>
      </c>
    </row>
    <row r="34" spans="1:89">
      <c r="A34" s="4">
        <v>1985</v>
      </c>
      <c r="B34" s="4">
        <v>6</v>
      </c>
      <c r="C34" s="4">
        <f>'[2]FPC wSEB'!$I131</f>
        <v>1422</v>
      </c>
      <c r="D34" s="4">
        <f>'[2]FPC wSEB'!$AA131</f>
        <v>1659</v>
      </c>
      <c r="Z34" s="6">
        <f t="shared" si="0"/>
        <v>1422</v>
      </c>
      <c r="AB34" s="4">
        <f t="shared" si="1"/>
        <v>1422</v>
      </c>
      <c r="AL34" s="23">
        <v>2010</v>
      </c>
      <c r="AM34" s="181">
        <f>ROUND(SUM(C329:C340),0)</f>
        <v>25787</v>
      </c>
      <c r="AR34" s="549">
        <f>ROUND(SUM(AB329:AB340),0)</f>
        <v>25784</v>
      </c>
      <c r="AU34" s="50">
        <f>ROUND(AVERAGE(D329:D340),0)</f>
        <v>1621</v>
      </c>
      <c r="BN34" s="4">
        <v>1985</v>
      </c>
      <c r="BO34" s="4">
        <v>6</v>
      </c>
      <c r="CG34" s="22">
        <v>2010</v>
      </c>
      <c r="CH34" s="84">
        <f>ROUND(SUM(BP329:BP340),0)</f>
        <v>25981</v>
      </c>
      <c r="CI34" s="47">
        <f t="shared" ref="CI34" si="6">(CH34/CH33-1)*100</f>
        <v>-0.55119617224880235</v>
      </c>
      <c r="CJ34" s="84">
        <f>ROUND(SUM(BT329:BT340),0)</f>
        <v>25981</v>
      </c>
      <c r="CK34" s="47">
        <f t="shared" ref="CK34" si="7">(CJ34/CJ33-1)*100</f>
        <v>-0.55119617224880235</v>
      </c>
    </row>
    <row r="35" spans="1:89">
      <c r="A35" s="4">
        <v>1985</v>
      </c>
      <c r="B35" s="4">
        <v>7</v>
      </c>
      <c r="C35" s="4">
        <f>'[2]FPC wSEB'!$I132</f>
        <v>1424</v>
      </c>
      <c r="D35" s="4">
        <f>'[2]FPC wSEB'!$AA132</f>
        <v>1689</v>
      </c>
      <c r="Z35" s="6">
        <f t="shared" si="0"/>
        <v>1424</v>
      </c>
      <c r="AB35" s="4">
        <f t="shared" si="1"/>
        <v>1424</v>
      </c>
      <c r="AL35" s="23">
        <v>2011</v>
      </c>
      <c r="AM35" s="181">
        <f>ROUND(SUM(C341:C352),0)</f>
        <v>24883</v>
      </c>
      <c r="AR35" s="549">
        <f>ROUND(SUM(AB341:AB352),0)</f>
        <v>24895</v>
      </c>
      <c r="AU35" s="50">
        <f>ROUND(AVERAGE(D341:D352),0)</f>
        <v>1572</v>
      </c>
      <c r="BN35" s="4">
        <v>1985</v>
      </c>
      <c r="BO35" s="4">
        <v>7</v>
      </c>
      <c r="CG35" s="22">
        <v>2011</v>
      </c>
      <c r="CH35" s="84">
        <f>ROUND(SUM(BP341:BP352),0)</f>
        <v>24514</v>
      </c>
      <c r="CI35" s="47">
        <f t="shared" ref="CI35" si="8">(CH35/CH34-1)*100</f>
        <v>-5.646433932489126</v>
      </c>
      <c r="CJ35" s="84">
        <f>ROUND(SUM(BT341:BT352),0)</f>
        <v>24514</v>
      </c>
      <c r="CK35" s="47">
        <f t="shared" ref="CK35" si="9">(CJ35/CJ34-1)*100</f>
        <v>-5.646433932489126</v>
      </c>
    </row>
    <row r="36" spans="1:89">
      <c r="A36" s="4">
        <v>1985</v>
      </c>
      <c r="B36" s="4">
        <v>8</v>
      </c>
      <c r="C36" s="4">
        <f>'[2]FPC wSEB'!$I133</f>
        <v>1421</v>
      </c>
      <c r="D36" s="4">
        <f>'[2]FPC wSEB'!$AA133</f>
        <v>1704</v>
      </c>
      <c r="Z36" s="6">
        <f t="shared" si="0"/>
        <v>1421</v>
      </c>
      <c r="AB36" s="4">
        <f t="shared" si="1"/>
        <v>1421</v>
      </c>
      <c r="AL36" s="23">
        <v>2012</v>
      </c>
      <c r="AM36" s="181">
        <f>ROUND(SUM(C353:C364),0)</f>
        <v>25024</v>
      </c>
      <c r="AR36" s="549">
        <f>ROUND(SUM(AB353:AB364),0)</f>
        <v>25001</v>
      </c>
      <c r="AU36" s="50">
        <f>ROUND(AVERAGE(D353:D364),0)</f>
        <v>1561</v>
      </c>
      <c r="BN36" s="4">
        <v>1985</v>
      </c>
      <c r="BO36" s="4">
        <v>8</v>
      </c>
      <c r="CG36" s="22">
        <v>2012</v>
      </c>
      <c r="CH36" s="84">
        <f>ROUND(SUM(BP353:BP364),0)</f>
        <v>25325</v>
      </c>
      <c r="CI36" s="47">
        <f t="shared" ref="CI36" si="10">(CH36/CH35-1)*100</f>
        <v>3.3083136167088245</v>
      </c>
      <c r="CJ36" s="84">
        <f>ROUND(SUM(BT353:BT364),0)</f>
        <v>25325</v>
      </c>
      <c r="CK36" s="47">
        <f t="shared" ref="CK36" si="11">(CJ36/CJ35-1)*100</f>
        <v>3.3083136167088245</v>
      </c>
    </row>
    <row r="37" spans="1:89">
      <c r="A37" s="4">
        <v>1985</v>
      </c>
      <c r="B37" s="4">
        <v>9</v>
      </c>
      <c r="C37" s="4">
        <f>'[2]FPC wSEB'!$I134</f>
        <v>1428</v>
      </c>
      <c r="D37" s="4">
        <f>'[2]FPC wSEB'!$AA134</f>
        <v>1719</v>
      </c>
      <c r="Z37" s="6">
        <f t="shared" si="0"/>
        <v>1428</v>
      </c>
      <c r="AB37" s="4">
        <f t="shared" si="1"/>
        <v>1428</v>
      </c>
      <c r="AL37" s="23">
        <v>2013</v>
      </c>
      <c r="AM37" s="181">
        <f>ROUND(SUM(C365:C376),0)</f>
        <v>24890</v>
      </c>
      <c r="AR37" s="549">
        <f>ROUND(SUM(AB365:AB376),0)</f>
        <v>24886</v>
      </c>
      <c r="AU37" s="50">
        <f>ROUND(AVERAGE(D365:D376),0)</f>
        <v>1564</v>
      </c>
      <c r="BN37" s="4">
        <v>1985</v>
      </c>
      <c r="BO37" s="4">
        <v>9</v>
      </c>
    </row>
    <row r="38" spans="1:89">
      <c r="A38" s="4">
        <v>1985</v>
      </c>
      <c r="B38" s="4">
        <v>10</v>
      </c>
      <c r="C38" s="4">
        <f>'[2]FPC wSEB'!$I135</f>
        <v>1428</v>
      </c>
      <c r="D38" s="4">
        <f>'[2]FPC wSEB'!$AA135</f>
        <v>1715</v>
      </c>
      <c r="Z38" s="6">
        <f t="shared" si="0"/>
        <v>1428</v>
      </c>
      <c r="AB38" s="4">
        <f t="shared" si="1"/>
        <v>1428</v>
      </c>
      <c r="BN38" s="4">
        <v>1985</v>
      </c>
      <c r="BO38" s="4">
        <v>10</v>
      </c>
    </row>
    <row r="39" spans="1:89">
      <c r="A39" s="4">
        <v>1985</v>
      </c>
      <c r="B39" s="4">
        <v>11</v>
      </c>
      <c r="C39" s="4">
        <f>'[2]FPC wSEB'!$I136</f>
        <v>1424</v>
      </c>
      <c r="D39" s="4">
        <f>'[2]FPC wSEB'!$AA136</f>
        <v>1717</v>
      </c>
      <c r="Z39" s="6">
        <f t="shared" si="0"/>
        <v>1424</v>
      </c>
      <c r="AB39" s="4">
        <f t="shared" si="1"/>
        <v>1424</v>
      </c>
      <c r="BN39" s="4">
        <v>1985</v>
      </c>
      <c r="BO39" s="4">
        <v>11</v>
      </c>
    </row>
    <row r="40" spans="1:89">
      <c r="A40" s="4">
        <v>1985</v>
      </c>
      <c r="B40" s="4">
        <v>12</v>
      </c>
      <c r="C40" s="4">
        <f>'[2]FPC wSEB'!$I137</f>
        <v>1593</v>
      </c>
      <c r="D40" s="4">
        <f>'[2]FPC wSEB'!$AA137</f>
        <v>1737</v>
      </c>
      <c r="Z40" s="6">
        <f t="shared" si="0"/>
        <v>1593</v>
      </c>
      <c r="AB40" s="4">
        <f t="shared" si="1"/>
        <v>1593</v>
      </c>
      <c r="BN40" s="4">
        <v>1985</v>
      </c>
      <c r="BO40" s="4">
        <v>12</v>
      </c>
    </row>
    <row r="41" spans="1:89">
      <c r="A41" s="4">
        <v>1986</v>
      </c>
      <c r="B41" s="4">
        <v>1</v>
      </c>
      <c r="C41" s="4">
        <f>'[2]FPC wSEB'!$I138</f>
        <v>1449</v>
      </c>
      <c r="D41" s="4">
        <f>'[2]FPC wSEB'!$AA138</f>
        <v>1750</v>
      </c>
      <c r="Z41" s="6">
        <f t="shared" si="0"/>
        <v>1449</v>
      </c>
      <c r="AB41" s="4">
        <f t="shared" si="1"/>
        <v>1449</v>
      </c>
      <c r="BN41" s="4">
        <v>1986</v>
      </c>
      <c r="BO41" s="4">
        <v>1</v>
      </c>
    </row>
    <row r="42" spans="1:89">
      <c r="A42" s="4">
        <v>1986</v>
      </c>
      <c r="B42" s="4">
        <v>2</v>
      </c>
      <c r="C42" s="4">
        <f>'[2]FPC wSEB'!$I139</f>
        <v>1470</v>
      </c>
      <c r="D42" s="4">
        <f>'[2]FPC wSEB'!$AA139</f>
        <v>1765</v>
      </c>
      <c r="Z42" s="6">
        <f t="shared" si="0"/>
        <v>1470</v>
      </c>
      <c r="AB42" s="4">
        <f t="shared" si="1"/>
        <v>1470</v>
      </c>
      <c r="BN42" s="4">
        <v>1986</v>
      </c>
      <c r="BO42" s="4">
        <v>2</v>
      </c>
    </row>
    <row r="43" spans="1:89">
      <c r="A43" s="4">
        <v>1986</v>
      </c>
      <c r="B43" s="4">
        <v>3</v>
      </c>
      <c r="C43" s="4">
        <f>'[2]FPC wSEB'!$I140</f>
        <v>1465</v>
      </c>
      <c r="D43" s="4">
        <f>'[2]FPC wSEB'!$AA140</f>
        <v>1780</v>
      </c>
      <c r="Z43" s="6">
        <f t="shared" si="0"/>
        <v>1465</v>
      </c>
      <c r="AB43" s="4">
        <f t="shared" si="1"/>
        <v>1465</v>
      </c>
      <c r="BN43" s="4">
        <v>1986</v>
      </c>
      <c r="BO43" s="4">
        <v>3</v>
      </c>
    </row>
    <row r="44" spans="1:89">
      <c r="A44" s="4">
        <v>1986</v>
      </c>
      <c r="B44" s="4">
        <v>4</v>
      </c>
      <c r="C44" s="4">
        <f>'[2]FPC wSEB'!$I141</f>
        <v>1480</v>
      </c>
      <c r="D44" s="4">
        <f>'[2]FPC wSEB'!$AA141</f>
        <v>1797</v>
      </c>
      <c r="Z44" s="6">
        <f t="shared" si="0"/>
        <v>1480</v>
      </c>
      <c r="AB44" s="4">
        <f t="shared" si="1"/>
        <v>1480</v>
      </c>
      <c r="BN44" s="4">
        <v>1986</v>
      </c>
      <c r="BO44" s="4">
        <v>4</v>
      </c>
    </row>
    <row r="45" spans="1:89">
      <c r="A45" s="4">
        <v>1986</v>
      </c>
      <c r="B45" s="4">
        <v>5</v>
      </c>
      <c r="C45" s="4">
        <f>'[2]FPC wSEB'!$I142</f>
        <v>1495</v>
      </c>
      <c r="D45" s="4">
        <f>'[2]FPC wSEB'!$AA142</f>
        <v>1811</v>
      </c>
      <c r="Z45" s="6">
        <f t="shared" si="0"/>
        <v>1495</v>
      </c>
      <c r="AB45" s="4">
        <f t="shared" si="1"/>
        <v>1495</v>
      </c>
      <c r="BN45" s="4">
        <v>1986</v>
      </c>
      <c r="BO45" s="4">
        <v>5</v>
      </c>
    </row>
    <row r="46" spans="1:89">
      <c r="A46" s="4">
        <v>1986</v>
      </c>
      <c r="B46" s="4">
        <v>6</v>
      </c>
      <c r="C46" s="4">
        <f>'[2]FPC wSEB'!$I143</f>
        <v>1489</v>
      </c>
      <c r="D46" s="4">
        <f>'[2]FPC wSEB'!$AA143</f>
        <v>1813</v>
      </c>
      <c r="Z46" s="6">
        <f t="shared" si="0"/>
        <v>1489</v>
      </c>
      <c r="AB46" s="4">
        <f t="shared" si="1"/>
        <v>1489</v>
      </c>
      <c r="BN46" s="4">
        <v>1986</v>
      </c>
      <c r="BO46" s="4">
        <v>6</v>
      </c>
    </row>
    <row r="47" spans="1:89">
      <c r="A47" s="4">
        <v>1986</v>
      </c>
      <c r="B47" s="4">
        <v>7</v>
      </c>
      <c r="C47" s="4">
        <f>'[2]FPC wSEB'!$I144</f>
        <v>1524</v>
      </c>
      <c r="D47" s="4">
        <f>'[2]FPC wSEB'!$AA144</f>
        <v>1819</v>
      </c>
      <c r="Z47" s="6">
        <f t="shared" si="0"/>
        <v>1524</v>
      </c>
      <c r="AB47" s="4">
        <f t="shared" si="1"/>
        <v>1524</v>
      </c>
      <c r="BN47" s="4">
        <v>1986</v>
      </c>
      <c r="BO47" s="4">
        <v>7</v>
      </c>
    </row>
    <row r="48" spans="1:89">
      <c r="A48" s="4">
        <v>1986</v>
      </c>
      <c r="B48" s="4">
        <v>8</v>
      </c>
      <c r="C48" s="4">
        <f>'[2]FPC wSEB'!$I145</f>
        <v>1522</v>
      </c>
      <c r="D48" s="4">
        <f>'[2]FPC wSEB'!$AA145</f>
        <v>1832</v>
      </c>
      <c r="Z48" s="6">
        <f t="shared" si="0"/>
        <v>1522</v>
      </c>
      <c r="AB48" s="4">
        <f t="shared" si="1"/>
        <v>1522</v>
      </c>
      <c r="BN48" s="4">
        <v>1986</v>
      </c>
      <c r="BO48" s="4">
        <v>8</v>
      </c>
    </row>
    <row r="49" spans="1:67">
      <c r="A49" s="4">
        <v>1986</v>
      </c>
      <c r="B49" s="4">
        <v>9</v>
      </c>
      <c r="C49" s="4">
        <f>'[2]FPC wSEB'!$I146</f>
        <v>1509</v>
      </c>
      <c r="D49" s="4">
        <f>'[2]FPC wSEB'!$AA146</f>
        <v>1856</v>
      </c>
      <c r="Z49" s="6">
        <f t="shared" si="0"/>
        <v>1509</v>
      </c>
      <c r="AB49" s="4">
        <f t="shared" si="1"/>
        <v>1509</v>
      </c>
      <c r="BN49" s="4">
        <v>1986</v>
      </c>
      <c r="BO49" s="4">
        <v>9</v>
      </c>
    </row>
    <row r="50" spans="1:67">
      <c r="A50" s="4">
        <v>1986</v>
      </c>
      <c r="B50" s="4">
        <v>10</v>
      </c>
      <c r="C50" s="4">
        <f>'[2]FPC wSEB'!$I147</f>
        <v>1555</v>
      </c>
      <c r="D50" s="4">
        <f>'[2]FPC wSEB'!$AA147</f>
        <v>1873</v>
      </c>
      <c r="Z50" s="6">
        <f t="shared" si="0"/>
        <v>1555</v>
      </c>
      <c r="AB50" s="4">
        <f t="shared" si="1"/>
        <v>1555</v>
      </c>
      <c r="BN50" s="4">
        <v>1986</v>
      </c>
      <c r="BO50" s="4">
        <v>10</v>
      </c>
    </row>
    <row r="51" spans="1:67">
      <c r="A51" s="4">
        <v>1986</v>
      </c>
      <c r="B51" s="4">
        <v>11</v>
      </c>
      <c r="C51" s="4">
        <f>'[2]FPC wSEB'!$I148</f>
        <v>1550</v>
      </c>
      <c r="D51" s="4">
        <f>'[2]FPC wSEB'!$AA148</f>
        <v>1876</v>
      </c>
      <c r="Z51" s="6">
        <f t="shared" si="0"/>
        <v>1550</v>
      </c>
      <c r="AB51" s="4">
        <f t="shared" si="1"/>
        <v>1550</v>
      </c>
      <c r="BN51" s="4">
        <v>1986</v>
      </c>
      <c r="BO51" s="4">
        <v>11</v>
      </c>
    </row>
    <row r="52" spans="1:67">
      <c r="A52" s="4">
        <v>1986</v>
      </c>
      <c r="B52" s="4">
        <v>12</v>
      </c>
      <c r="C52" s="4">
        <f>'[2]FPC wSEB'!$I149</f>
        <v>1568</v>
      </c>
      <c r="D52" s="4">
        <f>'[2]FPC wSEB'!$AA149</f>
        <v>1888</v>
      </c>
      <c r="Z52" s="6">
        <f t="shared" si="0"/>
        <v>1568</v>
      </c>
      <c r="AB52" s="4">
        <f t="shared" si="1"/>
        <v>1568</v>
      </c>
      <c r="BN52" s="4">
        <v>1986</v>
      </c>
      <c r="BO52" s="4">
        <v>12</v>
      </c>
    </row>
    <row r="53" spans="1:67">
      <c r="A53" s="4">
        <v>1987</v>
      </c>
      <c r="B53" s="4">
        <v>1</v>
      </c>
      <c r="C53" s="4">
        <f>'[2]FPC wSEB'!$I150</f>
        <v>1608</v>
      </c>
      <c r="D53" s="4">
        <f>'[2]FPC wSEB'!$AA150</f>
        <v>1899</v>
      </c>
      <c r="Z53" s="6">
        <f t="shared" si="0"/>
        <v>1608</v>
      </c>
      <c r="AB53" s="4">
        <f t="shared" si="1"/>
        <v>1608</v>
      </c>
      <c r="BN53" s="4">
        <v>1987</v>
      </c>
      <c r="BO53" s="4">
        <v>1</v>
      </c>
    </row>
    <row r="54" spans="1:67">
      <c r="A54" s="4">
        <v>1987</v>
      </c>
      <c r="B54" s="4">
        <v>2</v>
      </c>
      <c r="C54" s="4">
        <f>'[2]FPC wSEB'!$I151</f>
        <v>1540</v>
      </c>
      <c r="D54" s="4">
        <f>'[2]FPC wSEB'!$AA151</f>
        <v>1914</v>
      </c>
      <c r="Z54" s="6">
        <f t="shared" si="0"/>
        <v>1540</v>
      </c>
      <c r="AB54" s="4">
        <f t="shared" si="1"/>
        <v>1540</v>
      </c>
      <c r="BN54" s="4">
        <v>1987</v>
      </c>
      <c r="BO54" s="4">
        <v>2</v>
      </c>
    </row>
    <row r="55" spans="1:67">
      <c r="A55" s="4">
        <v>1987</v>
      </c>
      <c r="B55" s="4">
        <v>3</v>
      </c>
      <c r="C55" s="4">
        <f>'[2]FPC wSEB'!$I152</f>
        <v>1512</v>
      </c>
      <c r="D55" s="4">
        <f>'[2]FPC wSEB'!$AA152</f>
        <v>1910</v>
      </c>
      <c r="Z55" s="6">
        <f t="shared" si="0"/>
        <v>1512</v>
      </c>
      <c r="AB55" s="4">
        <f t="shared" si="1"/>
        <v>1512</v>
      </c>
      <c r="BN55" s="4">
        <v>1987</v>
      </c>
      <c r="BO55" s="4">
        <v>3</v>
      </c>
    </row>
    <row r="56" spans="1:67">
      <c r="A56" s="4">
        <v>1987</v>
      </c>
      <c r="B56" s="4">
        <v>4</v>
      </c>
      <c r="C56" s="4">
        <f>'[2]FPC wSEB'!$I153</f>
        <v>1560</v>
      </c>
      <c r="D56" s="4">
        <f>'[2]FPC wSEB'!$AA153</f>
        <v>1917</v>
      </c>
      <c r="Z56" s="6">
        <f t="shared" si="0"/>
        <v>1560</v>
      </c>
      <c r="AB56" s="4">
        <f t="shared" si="1"/>
        <v>1560</v>
      </c>
      <c r="BN56" s="4">
        <v>1987</v>
      </c>
      <c r="BO56" s="4">
        <v>4</v>
      </c>
    </row>
    <row r="57" spans="1:67">
      <c r="A57" s="4">
        <v>1987</v>
      </c>
      <c r="B57" s="4">
        <v>5</v>
      </c>
      <c r="C57" s="4">
        <f>'[2]FPC wSEB'!$I154</f>
        <v>1749</v>
      </c>
      <c r="D57" s="4">
        <f>'[2]FPC wSEB'!$AA154</f>
        <v>1922</v>
      </c>
      <c r="Z57" s="6">
        <f t="shared" si="0"/>
        <v>1749</v>
      </c>
      <c r="AB57" s="4">
        <f t="shared" si="1"/>
        <v>1749</v>
      </c>
      <c r="BN57" s="4">
        <v>1987</v>
      </c>
      <c r="BO57" s="4">
        <v>5</v>
      </c>
    </row>
    <row r="58" spans="1:67">
      <c r="A58" s="4">
        <v>1987</v>
      </c>
      <c r="B58" s="4">
        <v>6</v>
      </c>
      <c r="C58" s="4">
        <f>'[2]FPC wSEB'!$I155</f>
        <v>1585</v>
      </c>
      <c r="D58" s="4">
        <f>'[2]FPC wSEB'!$AA155</f>
        <v>1936</v>
      </c>
      <c r="Z58" s="6">
        <f t="shared" si="0"/>
        <v>1585</v>
      </c>
      <c r="AB58" s="4">
        <f t="shared" si="1"/>
        <v>1585</v>
      </c>
      <c r="BN58" s="4">
        <v>1987</v>
      </c>
      <c r="BO58" s="4">
        <v>6</v>
      </c>
    </row>
    <row r="59" spans="1:67">
      <c r="A59" s="4">
        <v>1987</v>
      </c>
      <c r="B59" s="4">
        <v>7</v>
      </c>
      <c r="C59" s="4">
        <f>'[2]FPC wSEB'!$I156</f>
        <v>1592</v>
      </c>
      <c r="D59" s="4">
        <f>'[2]FPC wSEB'!$AA156</f>
        <v>1938</v>
      </c>
      <c r="Z59" s="6">
        <f t="shared" si="0"/>
        <v>1592</v>
      </c>
      <c r="AB59" s="4">
        <f t="shared" si="1"/>
        <v>1592</v>
      </c>
      <c r="BN59" s="4">
        <v>1987</v>
      </c>
      <c r="BO59" s="4">
        <v>7</v>
      </c>
    </row>
    <row r="60" spans="1:67">
      <c r="A60" s="4">
        <v>1987</v>
      </c>
      <c r="B60" s="4">
        <v>8</v>
      </c>
      <c r="C60" s="4">
        <f>'[2]FPC wSEB'!$I157</f>
        <v>1600</v>
      </c>
      <c r="D60" s="4">
        <f>'[2]FPC wSEB'!$AA157</f>
        <v>1944</v>
      </c>
      <c r="Z60" s="6">
        <f t="shared" si="0"/>
        <v>1600</v>
      </c>
      <c r="AB60" s="4">
        <f t="shared" si="1"/>
        <v>1600</v>
      </c>
      <c r="BN60" s="4">
        <v>1987</v>
      </c>
      <c r="BO60" s="4">
        <v>8</v>
      </c>
    </row>
    <row r="61" spans="1:67">
      <c r="A61" s="4">
        <v>1987</v>
      </c>
      <c r="B61" s="4">
        <v>9</v>
      </c>
      <c r="C61" s="4">
        <f>'[2]FPC wSEB'!$I158</f>
        <v>1590</v>
      </c>
      <c r="D61" s="4">
        <f>'[2]FPC wSEB'!$AA158</f>
        <v>1950</v>
      </c>
      <c r="Z61" s="6">
        <f t="shared" si="0"/>
        <v>1590</v>
      </c>
      <c r="AB61" s="4">
        <f t="shared" si="1"/>
        <v>1590</v>
      </c>
      <c r="BN61" s="4">
        <v>1987</v>
      </c>
      <c r="BO61" s="4">
        <v>9</v>
      </c>
    </row>
    <row r="62" spans="1:67">
      <c r="A62" s="4">
        <v>1987</v>
      </c>
      <c r="B62" s="4">
        <v>10</v>
      </c>
      <c r="C62" s="4">
        <f>'[2]FPC wSEB'!$I159</f>
        <v>1610</v>
      </c>
      <c r="D62" s="4">
        <f>'[2]FPC wSEB'!$AA159</f>
        <v>1951</v>
      </c>
      <c r="Z62" s="6">
        <f t="shared" si="0"/>
        <v>1610</v>
      </c>
      <c r="AB62" s="4">
        <f t="shared" si="1"/>
        <v>1610</v>
      </c>
      <c r="BN62" s="4">
        <v>1987</v>
      </c>
      <c r="BO62" s="4">
        <v>10</v>
      </c>
    </row>
    <row r="63" spans="1:67">
      <c r="A63" s="4">
        <v>1987</v>
      </c>
      <c r="B63" s="4">
        <v>11</v>
      </c>
      <c r="C63" s="4">
        <f>'[2]FPC wSEB'!$I160</f>
        <v>1585</v>
      </c>
      <c r="D63" s="4">
        <f>'[2]FPC wSEB'!$AA160</f>
        <v>1954</v>
      </c>
      <c r="Z63" s="6">
        <f t="shared" si="0"/>
        <v>1585</v>
      </c>
      <c r="AB63" s="4">
        <f t="shared" si="1"/>
        <v>1585</v>
      </c>
      <c r="BN63" s="4">
        <v>1987</v>
      </c>
      <c r="BO63" s="4">
        <v>11</v>
      </c>
    </row>
    <row r="64" spans="1:67">
      <c r="A64" s="4">
        <v>1987</v>
      </c>
      <c r="B64" s="4">
        <v>12</v>
      </c>
      <c r="C64" s="4">
        <f>'[2]FPC wSEB'!$I161</f>
        <v>1574</v>
      </c>
      <c r="D64" s="4">
        <f>'[2]FPC wSEB'!$AA161</f>
        <v>1986</v>
      </c>
      <c r="Z64" s="6">
        <f t="shared" si="0"/>
        <v>1574</v>
      </c>
      <c r="AB64" s="4">
        <f t="shared" si="1"/>
        <v>1574</v>
      </c>
      <c r="BN64" s="4">
        <v>1987</v>
      </c>
      <c r="BO64" s="4">
        <v>12</v>
      </c>
    </row>
    <row r="65" spans="1:67">
      <c r="A65" s="4">
        <v>1988</v>
      </c>
      <c r="B65" s="4">
        <v>1</v>
      </c>
      <c r="C65" s="4">
        <f>'[2]FPC wSEB'!$I162</f>
        <v>1549</v>
      </c>
      <c r="D65" s="4">
        <f>'[2]FPC wSEB'!$AA162</f>
        <v>1968</v>
      </c>
      <c r="Z65" s="6">
        <f t="shared" si="0"/>
        <v>1549</v>
      </c>
      <c r="AB65" s="4">
        <f t="shared" si="1"/>
        <v>1549</v>
      </c>
      <c r="BN65" s="4">
        <v>1988</v>
      </c>
      <c r="BO65" s="4">
        <v>1</v>
      </c>
    </row>
    <row r="66" spans="1:67">
      <c r="A66" s="4">
        <v>1988</v>
      </c>
      <c r="B66" s="4">
        <v>2</v>
      </c>
      <c r="C66" s="4">
        <f>'[2]FPC wSEB'!$I163</f>
        <v>1483</v>
      </c>
      <c r="D66" s="4">
        <f>'[2]FPC wSEB'!$AA163</f>
        <v>1984</v>
      </c>
      <c r="Z66" s="6">
        <f t="shared" si="0"/>
        <v>1483</v>
      </c>
      <c r="AB66" s="4">
        <f t="shared" si="1"/>
        <v>1483</v>
      </c>
      <c r="BN66" s="4">
        <v>1988</v>
      </c>
      <c r="BO66" s="4">
        <v>2</v>
      </c>
    </row>
    <row r="67" spans="1:67">
      <c r="A67" s="4">
        <v>1988</v>
      </c>
      <c r="B67" s="4">
        <v>3</v>
      </c>
      <c r="C67" s="4">
        <f>'[2]FPC wSEB'!$I164</f>
        <v>1587</v>
      </c>
      <c r="D67" s="4">
        <f>'[2]FPC wSEB'!$AA164</f>
        <v>2007</v>
      </c>
      <c r="Z67" s="6">
        <f t="shared" si="0"/>
        <v>1587</v>
      </c>
      <c r="AB67" s="4">
        <f t="shared" si="1"/>
        <v>1587</v>
      </c>
      <c r="BN67" s="4">
        <v>1988</v>
      </c>
      <c r="BO67" s="4">
        <v>3</v>
      </c>
    </row>
    <row r="68" spans="1:67">
      <c r="A68" s="4">
        <v>1988</v>
      </c>
      <c r="B68" s="4">
        <v>4</v>
      </c>
      <c r="C68" s="4">
        <f>'[2]FPC wSEB'!$I165</f>
        <v>1566</v>
      </c>
      <c r="D68" s="4">
        <f>'[2]FPC wSEB'!$AA165</f>
        <v>2021</v>
      </c>
      <c r="Z68" s="6">
        <f t="shared" si="0"/>
        <v>1566</v>
      </c>
      <c r="AB68" s="4">
        <f t="shared" si="1"/>
        <v>1566</v>
      </c>
      <c r="BN68" s="4">
        <v>1988</v>
      </c>
      <c r="BO68" s="4">
        <v>4</v>
      </c>
    </row>
    <row r="69" spans="1:67">
      <c r="A69" s="4">
        <v>1988</v>
      </c>
      <c r="B69" s="4">
        <v>5</v>
      </c>
      <c r="C69" s="4">
        <f>'[2]FPC wSEB'!$I166</f>
        <v>1563</v>
      </c>
      <c r="D69" s="4">
        <f>'[2]FPC wSEB'!$AA166</f>
        <v>2037</v>
      </c>
      <c r="Z69" s="6">
        <f t="shared" si="0"/>
        <v>1563</v>
      </c>
      <c r="AB69" s="4">
        <f t="shared" si="1"/>
        <v>1563</v>
      </c>
      <c r="BN69" s="4">
        <v>1988</v>
      </c>
      <c r="BO69" s="4">
        <v>5</v>
      </c>
    </row>
    <row r="70" spans="1:67">
      <c r="A70" s="4">
        <v>1988</v>
      </c>
      <c r="B70" s="4">
        <v>6</v>
      </c>
      <c r="C70" s="4">
        <f>'[2]FPC wSEB'!$I167</f>
        <v>1548</v>
      </c>
      <c r="D70" s="4">
        <f>'[2]FPC wSEB'!$AA167</f>
        <v>2036</v>
      </c>
      <c r="Z70" s="6">
        <f t="shared" si="0"/>
        <v>1548</v>
      </c>
      <c r="AB70" s="4">
        <f t="shared" si="1"/>
        <v>1548</v>
      </c>
      <c r="BN70" s="4">
        <v>1988</v>
      </c>
      <c r="BO70" s="4">
        <v>6</v>
      </c>
    </row>
    <row r="71" spans="1:67">
      <c r="A71" s="4">
        <v>1988</v>
      </c>
      <c r="B71" s="4">
        <v>7</v>
      </c>
      <c r="C71" s="4">
        <f>'[2]FPC wSEB'!$I168</f>
        <v>1599</v>
      </c>
      <c r="D71" s="4">
        <f>'[2]FPC wSEB'!$AA168</f>
        <v>2056</v>
      </c>
      <c r="Z71" s="6">
        <f t="shared" si="0"/>
        <v>1599</v>
      </c>
      <c r="AB71" s="4">
        <f t="shared" si="1"/>
        <v>1599</v>
      </c>
      <c r="BN71" s="4">
        <v>1988</v>
      </c>
      <c r="BO71" s="4">
        <v>7</v>
      </c>
    </row>
    <row r="72" spans="1:67">
      <c r="A72" s="4">
        <v>1988</v>
      </c>
      <c r="B72" s="4">
        <v>8</v>
      </c>
      <c r="C72" s="4">
        <f>'[2]FPC wSEB'!$I169</f>
        <v>1563</v>
      </c>
      <c r="D72" s="4">
        <f>'[2]FPC wSEB'!$AA169</f>
        <v>2069</v>
      </c>
      <c r="Z72" s="6">
        <f t="shared" si="0"/>
        <v>1563</v>
      </c>
      <c r="AB72" s="4">
        <f t="shared" si="1"/>
        <v>1563</v>
      </c>
      <c r="BN72" s="4">
        <v>1988</v>
      </c>
      <c r="BO72" s="4">
        <v>8</v>
      </c>
    </row>
    <row r="73" spans="1:67">
      <c r="A73" s="4">
        <v>1988</v>
      </c>
      <c r="B73" s="4">
        <v>9</v>
      </c>
      <c r="C73" s="4">
        <f>'[2]FPC wSEB'!$I170</f>
        <v>1548</v>
      </c>
      <c r="D73" s="4">
        <f>'[2]FPC wSEB'!$AA170</f>
        <v>2067</v>
      </c>
      <c r="Z73" s="6">
        <f t="shared" si="0"/>
        <v>1548</v>
      </c>
      <c r="AB73" s="4">
        <f t="shared" si="1"/>
        <v>1548</v>
      </c>
      <c r="BN73" s="4">
        <v>1988</v>
      </c>
      <c r="BO73" s="4">
        <v>9</v>
      </c>
    </row>
    <row r="74" spans="1:67">
      <c r="A74" s="4">
        <v>1988</v>
      </c>
      <c r="B74" s="4">
        <v>10</v>
      </c>
      <c r="C74" s="4">
        <f>'[2]FPC wSEB'!$I171</f>
        <v>1542</v>
      </c>
      <c r="D74" s="4">
        <f>'[2]FPC wSEB'!$AA171</f>
        <v>2074</v>
      </c>
      <c r="Z74" s="6">
        <f t="shared" si="0"/>
        <v>1542</v>
      </c>
      <c r="AB74" s="4">
        <f t="shared" si="1"/>
        <v>1542</v>
      </c>
      <c r="BN74" s="4">
        <v>1988</v>
      </c>
      <c r="BO74" s="4">
        <v>10</v>
      </c>
    </row>
    <row r="75" spans="1:67">
      <c r="A75" s="4">
        <v>1988</v>
      </c>
      <c r="B75" s="4">
        <v>11</v>
      </c>
      <c r="C75" s="4">
        <f>'[2]FPC wSEB'!$I172</f>
        <v>1538</v>
      </c>
      <c r="D75" s="4">
        <f>'[2]FPC wSEB'!$AA172</f>
        <v>2074</v>
      </c>
      <c r="Z75" s="6">
        <f t="shared" si="0"/>
        <v>1538</v>
      </c>
      <c r="AB75" s="4">
        <f t="shared" si="1"/>
        <v>1538</v>
      </c>
      <c r="BN75" s="4">
        <v>1988</v>
      </c>
      <c r="BO75" s="4">
        <v>11</v>
      </c>
    </row>
    <row r="76" spans="1:67">
      <c r="A76" s="4">
        <v>1988</v>
      </c>
      <c r="B76" s="4">
        <v>12</v>
      </c>
      <c r="C76" s="4">
        <f>'[2]FPC wSEB'!$I173</f>
        <v>1553</v>
      </c>
      <c r="D76" s="4">
        <f>'[2]FPC wSEB'!$AA173</f>
        <v>2068</v>
      </c>
      <c r="Z76" s="6">
        <f t="shared" si="0"/>
        <v>1553</v>
      </c>
      <c r="AB76" s="4">
        <f t="shared" si="1"/>
        <v>1553</v>
      </c>
      <c r="BN76" s="4">
        <v>1988</v>
      </c>
      <c r="BO76" s="4">
        <v>12</v>
      </c>
    </row>
    <row r="77" spans="1:67">
      <c r="A77" s="4">
        <v>1989</v>
      </c>
      <c r="B77" s="4">
        <v>1</v>
      </c>
      <c r="C77" s="4">
        <f>'[2]FPC wSEB'!$I174</f>
        <v>1570</v>
      </c>
      <c r="D77" s="4">
        <f>'[2]FPC wSEB'!$AA174</f>
        <v>2086</v>
      </c>
      <c r="Z77" s="6">
        <f t="shared" si="0"/>
        <v>1570</v>
      </c>
      <c r="AB77" s="4">
        <f t="shared" si="1"/>
        <v>1570</v>
      </c>
      <c r="BN77" s="4">
        <v>1989</v>
      </c>
      <c r="BO77" s="4">
        <v>1</v>
      </c>
    </row>
    <row r="78" spans="1:67">
      <c r="A78" s="4">
        <v>1989</v>
      </c>
      <c r="B78" s="4">
        <v>2</v>
      </c>
      <c r="C78" s="4">
        <f>'[2]FPC wSEB'!$I175</f>
        <v>1579</v>
      </c>
      <c r="D78" s="4">
        <f>'[2]FPC wSEB'!$AA175</f>
        <v>2097</v>
      </c>
      <c r="Z78" s="6">
        <f t="shared" si="0"/>
        <v>1579</v>
      </c>
      <c r="AB78" s="4">
        <f t="shared" si="1"/>
        <v>1579</v>
      </c>
      <c r="BN78" s="4">
        <v>1989</v>
      </c>
      <c r="BO78" s="4">
        <v>2</v>
      </c>
    </row>
    <row r="79" spans="1:67">
      <c r="A79" s="4">
        <v>1989</v>
      </c>
      <c r="B79" s="4">
        <v>3</v>
      </c>
      <c r="C79" s="4">
        <f>'[2]FPC wSEB'!$I176</f>
        <v>1586</v>
      </c>
      <c r="D79" s="4">
        <f>'[2]FPC wSEB'!$AA176</f>
        <v>2106</v>
      </c>
      <c r="Z79" s="6">
        <f t="shared" si="0"/>
        <v>1586</v>
      </c>
      <c r="AB79" s="4">
        <f t="shared" si="1"/>
        <v>1586</v>
      </c>
      <c r="BN79" s="4">
        <v>1989</v>
      </c>
      <c r="BO79" s="4">
        <v>3</v>
      </c>
    </row>
    <row r="80" spans="1:67">
      <c r="A80" s="4">
        <v>1989</v>
      </c>
      <c r="B80" s="4">
        <v>4</v>
      </c>
      <c r="C80" s="4">
        <f>'[2]FPC wSEB'!$I177</f>
        <v>1626</v>
      </c>
      <c r="D80" s="4">
        <f>'[2]FPC wSEB'!$AA177</f>
        <v>2123</v>
      </c>
      <c r="Z80" s="6">
        <f t="shared" si="0"/>
        <v>1626</v>
      </c>
      <c r="AB80" s="4">
        <f t="shared" si="1"/>
        <v>1626</v>
      </c>
      <c r="BN80" s="4">
        <v>1989</v>
      </c>
      <c r="BO80" s="4">
        <v>4</v>
      </c>
    </row>
    <row r="81" spans="1:67">
      <c r="A81" s="4">
        <v>1989</v>
      </c>
      <c r="B81" s="4">
        <v>5</v>
      </c>
      <c r="C81" s="4">
        <f>'[2]FPC wSEB'!$I178</f>
        <v>1599</v>
      </c>
      <c r="D81" s="4">
        <f>'[2]FPC wSEB'!$AA178</f>
        <v>2131</v>
      </c>
      <c r="Z81" s="6">
        <f t="shared" si="0"/>
        <v>1599</v>
      </c>
      <c r="AB81" s="4">
        <f t="shared" si="1"/>
        <v>1599</v>
      </c>
      <c r="BN81" s="4">
        <v>1989</v>
      </c>
      <c r="BO81" s="4">
        <v>5</v>
      </c>
    </row>
    <row r="82" spans="1:67">
      <c r="A82" s="4">
        <v>1989</v>
      </c>
      <c r="B82" s="4">
        <v>6</v>
      </c>
      <c r="C82" s="4">
        <f>'[2]FPC wSEB'!$I179</f>
        <v>1600</v>
      </c>
      <c r="D82" s="4">
        <f>'[2]FPC wSEB'!$AA179</f>
        <v>2144</v>
      </c>
      <c r="Z82" s="6">
        <f t="shared" ref="Z82:Z145" si="12">C82</f>
        <v>1600</v>
      </c>
      <c r="AB82" s="4">
        <f t="shared" ref="AB82:AB145" si="13">Z82</f>
        <v>1600</v>
      </c>
      <c r="BN82" s="4">
        <v>1989</v>
      </c>
      <c r="BO82" s="4">
        <v>6</v>
      </c>
    </row>
    <row r="83" spans="1:67">
      <c r="A83" s="4">
        <v>1989</v>
      </c>
      <c r="B83" s="4">
        <v>7</v>
      </c>
      <c r="C83" s="4">
        <f>'[2]FPC wSEB'!$I180</f>
        <v>1605</v>
      </c>
      <c r="D83" s="4">
        <f>'[2]FPC wSEB'!$AA180</f>
        <v>2158</v>
      </c>
      <c r="Z83" s="6">
        <f t="shared" si="12"/>
        <v>1605</v>
      </c>
      <c r="AB83" s="4">
        <f t="shared" si="13"/>
        <v>1605</v>
      </c>
      <c r="BN83" s="4">
        <v>1989</v>
      </c>
      <c r="BO83" s="4">
        <v>7</v>
      </c>
    </row>
    <row r="84" spans="1:67">
      <c r="A84" s="4">
        <v>1989</v>
      </c>
      <c r="B84" s="4">
        <v>8</v>
      </c>
      <c r="C84" s="4">
        <f>'[2]FPC wSEB'!$I181</f>
        <v>1704</v>
      </c>
      <c r="D84" s="4">
        <f>'[2]FPC wSEB'!$AA181</f>
        <v>2168</v>
      </c>
      <c r="Z84" s="6">
        <f t="shared" si="12"/>
        <v>1704</v>
      </c>
      <c r="AB84" s="4">
        <f t="shared" si="13"/>
        <v>1704</v>
      </c>
      <c r="BN84" s="4">
        <v>1989</v>
      </c>
      <c r="BO84" s="4">
        <v>8</v>
      </c>
    </row>
    <row r="85" spans="1:67">
      <c r="A85" s="4">
        <v>1989</v>
      </c>
      <c r="B85" s="4">
        <v>9</v>
      </c>
      <c r="C85" s="4">
        <f>'[2]FPC wSEB'!$I182</f>
        <v>1652</v>
      </c>
      <c r="D85" s="4">
        <f>'[2]FPC wSEB'!$AA182</f>
        <v>2175</v>
      </c>
      <c r="Z85" s="6">
        <f t="shared" si="12"/>
        <v>1652</v>
      </c>
      <c r="AB85" s="4">
        <f t="shared" si="13"/>
        <v>1652</v>
      </c>
      <c r="BN85" s="4">
        <v>1989</v>
      </c>
      <c r="BO85" s="4">
        <v>9</v>
      </c>
    </row>
    <row r="86" spans="1:67">
      <c r="A86" s="4">
        <v>1989</v>
      </c>
      <c r="B86" s="4">
        <v>10</v>
      </c>
      <c r="C86" s="4">
        <f>'[2]FPC wSEB'!$I183</f>
        <v>1645</v>
      </c>
      <c r="D86" s="4">
        <f>'[2]FPC wSEB'!$AA183</f>
        <v>2178</v>
      </c>
      <c r="Z86" s="6">
        <f t="shared" si="12"/>
        <v>1645</v>
      </c>
      <c r="AB86" s="4">
        <f t="shared" si="13"/>
        <v>1645</v>
      </c>
      <c r="BN86" s="4">
        <v>1989</v>
      </c>
      <c r="BO86" s="4">
        <v>10</v>
      </c>
    </row>
    <row r="87" spans="1:67">
      <c r="A87" s="4">
        <v>1989</v>
      </c>
      <c r="B87" s="4">
        <v>11</v>
      </c>
      <c r="C87" s="4">
        <f>'[2]FPC wSEB'!$I184</f>
        <v>1833</v>
      </c>
      <c r="D87" s="4">
        <f>'[2]FPC wSEB'!$AA184</f>
        <v>2185</v>
      </c>
      <c r="Z87" s="6">
        <f t="shared" si="12"/>
        <v>1833</v>
      </c>
      <c r="AB87" s="4">
        <f t="shared" si="13"/>
        <v>1833</v>
      </c>
      <c r="BN87" s="4">
        <v>1989</v>
      </c>
      <c r="BO87" s="4">
        <v>11</v>
      </c>
    </row>
    <row r="88" spans="1:67">
      <c r="A88" s="85">
        <v>1989</v>
      </c>
      <c r="B88" s="85">
        <v>12</v>
      </c>
      <c r="C88" s="4">
        <f>'[2]FPC wSEB'!$I185</f>
        <v>1682</v>
      </c>
      <c r="D88" s="4">
        <f>'[2]FPC wSEB'!$AA185</f>
        <v>2187</v>
      </c>
      <c r="Z88" s="6">
        <f t="shared" si="12"/>
        <v>1682</v>
      </c>
      <c r="AB88" s="4">
        <f t="shared" si="13"/>
        <v>1682</v>
      </c>
      <c r="BN88" s="4">
        <v>1989</v>
      </c>
      <c r="BO88" s="4">
        <v>12</v>
      </c>
    </row>
    <row r="89" spans="1:67">
      <c r="A89" s="4">
        <v>1990</v>
      </c>
      <c r="B89" s="4">
        <v>1</v>
      </c>
      <c r="C89" s="4">
        <f>'[2]FPC wSEB'!$I186</f>
        <v>1679</v>
      </c>
      <c r="D89" s="4">
        <f>'[2]FPC wSEB'!$AA186</f>
        <v>2190</v>
      </c>
      <c r="Z89" s="6">
        <f t="shared" si="12"/>
        <v>1679</v>
      </c>
      <c r="AB89" s="4">
        <f t="shared" si="13"/>
        <v>1679</v>
      </c>
      <c r="BN89" s="4">
        <v>1990</v>
      </c>
      <c r="BO89" s="4">
        <v>1</v>
      </c>
    </row>
    <row r="90" spans="1:67">
      <c r="A90" s="4">
        <v>1990</v>
      </c>
      <c r="B90" s="4">
        <v>2</v>
      </c>
      <c r="C90" s="4">
        <f>'[2]FPC wSEB'!$I187</f>
        <v>1678</v>
      </c>
      <c r="D90" s="4">
        <f>'[2]FPC wSEB'!$AA187</f>
        <v>2202</v>
      </c>
      <c r="Z90" s="6">
        <f t="shared" si="12"/>
        <v>1678</v>
      </c>
      <c r="AB90" s="4">
        <f t="shared" si="13"/>
        <v>1678</v>
      </c>
      <c r="BN90" s="4">
        <v>1990</v>
      </c>
      <c r="BO90" s="4">
        <v>2</v>
      </c>
    </row>
    <row r="91" spans="1:67">
      <c r="A91" s="4">
        <v>1990</v>
      </c>
      <c r="B91" s="4">
        <v>3</v>
      </c>
      <c r="C91" s="4">
        <f>'[2]FPC wSEB'!$I188</f>
        <v>1520</v>
      </c>
      <c r="D91" s="4">
        <f>'[2]FPC wSEB'!$AA188</f>
        <v>2217</v>
      </c>
      <c r="Z91" s="6">
        <f t="shared" si="12"/>
        <v>1520</v>
      </c>
      <c r="AB91" s="4">
        <f t="shared" si="13"/>
        <v>1520</v>
      </c>
      <c r="BN91" s="4">
        <v>1990</v>
      </c>
      <c r="BO91" s="4">
        <v>3</v>
      </c>
    </row>
    <row r="92" spans="1:67">
      <c r="A92" s="4">
        <v>1990</v>
      </c>
      <c r="B92" s="4">
        <v>4</v>
      </c>
      <c r="C92" s="4">
        <f>'[2]FPC wSEB'!$I189</f>
        <v>1714</v>
      </c>
      <c r="D92" s="4">
        <f>'[2]FPC wSEB'!$AA189</f>
        <v>2229</v>
      </c>
      <c r="Z92" s="6">
        <f t="shared" si="12"/>
        <v>1714</v>
      </c>
      <c r="AB92" s="4">
        <f t="shared" si="13"/>
        <v>1714</v>
      </c>
      <c r="BN92" s="4">
        <v>1990</v>
      </c>
      <c r="BO92" s="4">
        <v>4</v>
      </c>
    </row>
    <row r="93" spans="1:67">
      <c r="A93" s="4">
        <v>1990</v>
      </c>
      <c r="B93" s="4">
        <v>5</v>
      </c>
      <c r="C93" s="4">
        <f>'[2]FPC wSEB'!$I190</f>
        <v>1755</v>
      </c>
      <c r="D93" s="4">
        <f>'[2]FPC wSEB'!$AA190</f>
        <v>2252</v>
      </c>
      <c r="Z93" s="6">
        <f t="shared" si="12"/>
        <v>1755</v>
      </c>
      <c r="AB93" s="4">
        <f t="shared" si="13"/>
        <v>1755</v>
      </c>
      <c r="BN93" s="4">
        <v>1990</v>
      </c>
      <c r="BO93" s="4">
        <v>5</v>
      </c>
    </row>
    <row r="94" spans="1:67">
      <c r="A94" s="4">
        <v>1990</v>
      </c>
      <c r="B94" s="4">
        <v>6</v>
      </c>
      <c r="C94" s="4">
        <f>'[2]FPC wSEB'!$I191</f>
        <v>1771</v>
      </c>
      <c r="D94" s="4">
        <f>'[2]FPC wSEB'!$AA191</f>
        <v>2266</v>
      </c>
      <c r="Z94" s="6">
        <f t="shared" si="12"/>
        <v>1771</v>
      </c>
      <c r="AB94" s="4">
        <f t="shared" si="13"/>
        <v>1771</v>
      </c>
      <c r="BN94" s="4">
        <v>1990</v>
      </c>
      <c r="BO94" s="4">
        <v>6</v>
      </c>
    </row>
    <row r="95" spans="1:67">
      <c r="A95" s="4">
        <v>1990</v>
      </c>
      <c r="B95" s="4">
        <v>7</v>
      </c>
      <c r="C95" s="4">
        <f>'[2]FPC wSEB'!$I192</f>
        <v>1736</v>
      </c>
      <c r="D95" s="4">
        <f>'[2]FPC wSEB'!$AA192</f>
        <v>2280</v>
      </c>
      <c r="Z95" s="6">
        <f t="shared" si="12"/>
        <v>1736</v>
      </c>
      <c r="AB95" s="4">
        <f t="shared" si="13"/>
        <v>1736</v>
      </c>
      <c r="BN95" s="4">
        <v>1990</v>
      </c>
      <c r="BO95" s="4">
        <v>7</v>
      </c>
    </row>
    <row r="96" spans="1:67">
      <c r="A96" s="4">
        <v>1990</v>
      </c>
      <c r="B96" s="4">
        <v>8</v>
      </c>
      <c r="C96" s="4">
        <f>'[2]FPC wSEB'!$I193</f>
        <v>1777</v>
      </c>
      <c r="D96" s="4">
        <f>'[2]FPC wSEB'!$AA193</f>
        <v>2285</v>
      </c>
      <c r="Z96" s="6">
        <f t="shared" si="12"/>
        <v>1777</v>
      </c>
      <c r="AB96" s="4">
        <f t="shared" si="13"/>
        <v>1777</v>
      </c>
      <c r="BN96" s="4">
        <v>1990</v>
      </c>
      <c r="BO96" s="4">
        <v>8</v>
      </c>
    </row>
    <row r="97" spans="1:67">
      <c r="A97" s="4">
        <v>1990</v>
      </c>
      <c r="B97" s="4">
        <v>9</v>
      </c>
      <c r="C97" s="4">
        <f>'[2]FPC wSEB'!$I194</f>
        <v>1761</v>
      </c>
      <c r="D97" s="4">
        <f>'[2]FPC wSEB'!$AA194</f>
        <v>2285</v>
      </c>
      <c r="Z97" s="6">
        <f t="shared" si="12"/>
        <v>1761</v>
      </c>
      <c r="AB97" s="4">
        <f t="shared" si="13"/>
        <v>1761</v>
      </c>
      <c r="BN97" s="4">
        <v>1990</v>
      </c>
      <c r="BO97" s="4">
        <v>9</v>
      </c>
    </row>
    <row r="98" spans="1:67">
      <c r="A98" s="4">
        <v>1990</v>
      </c>
      <c r="B98" s="4">
        <v>10</v>
      </c>
      <c r="C98" s="4">
        <f>'[2]FPC wSEB'!$I195</f>
        <v>1781</v>
      </c>
      <c r="D98" s="4">
        <f>'[2]FPC wSEB'!$AA195</f>
        <v>2281</v>
      </c>
      <c r="Z98" s="6">
        <f t="shared" si="12"/>
        <v>1781</v>
      </c>
      <c r="AB98" s="4">
        <f t="shared" si="13"/>
        <v>1781</v>
      </c>
      <c r="BN98" s="4">
        <v>1990</v>
      </c>
      <c r="BO98" s="4">
        <v>10</v>
      </c>
    </row>
    <row r="99" spans="1:67">
      <c r="A99" s="4">
        <v>1990</v>
      </c>
      <c r="B99" s="4">
        <v>11</v>
      </c>
      <c r="C99" s="4">
        <f>'[2]FPC wSEB'!$I196</f>
        <v>1788</v>
      </c>
      <c r="D99" s="4">
        <f>'[2]FPC wSEB'!$AA196</f>
        <v>2282</v>
      </c>
      <c r="Z99" s="6">
        <f t="shared" si="12"/>
        <v>1788</v>
      </c>
      <c r="AB99" s="4">
        <f t="shared" si="13"/>
        <v>1788</v>
      </c>
      <c r="BN99" s="4">
        <v>1990</v>
      </c>
      <c r="BO99" s="4">
        <v>11</v>
      </c>
    </row>
    <row r="100" spans="1:67">
      <c r="A100" s="85">
        <v>1990</v>
      </c>
      <c r="B100" s="85">
        <v>12</v>
      </c>
      <c r="C100" s="4">
        <f>'[2]FPC wSEB'!$I197</f>
        <v>1823</v>
      </c>
      <c r="D100" s="4">
        <f>'[2]FPC wSEB'!$AA197</f>
        <v>2291</v>
      </c>
      <c r="Z100" s="6">
        <f t="shared" si="12"/>
        <v>1823</v>
      </c>
      <c r="AB100" s="4">
        <f t="shared" si="13"/>
        <v>1823</v>
      </c>
      <c r="BN100" s="4">
        <v>1990</v>
      </c>
      <c r="BO100" s="4">
        <v>12</v>
      </c>
    </row>
    <row r="101" spans="1:67">
      <c r="A101" s="4">
        <v>1991</v>
      </c>
      <c r="B101" s="4">
        <v>1</v>
      </c>
      <c r="C101" s="4">
        <f>'[2]FPC wSEB'!$I198</f>
        <v>1844</v>
      </c>
      <c r="D101" s="4">
        <f>'[2]FPC wSEB'!$AA198</f>
        <v>2299</v>
      </c>
      <c r="Z101" s="6">
        <f t="shared" si="12"/>
        <v>1844</v>
      </c>
      <c r="AB101" s="4">
        <f t="shared" si="13"/>
        <v>1844</v>
      </c>
      <c r="BN101" s="4">
        <v>1991</v>
      </c>
      <c r="BO101" s="4">
        <v>1</v>
      </c>
    </row>
    <row r="102" spans="1:67">
      <c r="A102" s="4">
        <v>1991</v>
      </c>
      <c r="B102" s="4">
        <v>2</v>
      </c>
      <c r="C102" s="4">
        <f>'[2]FPC wSEB'!$I199</f>
        <v>1863</v>
      </c>
      <c r="D102" s="4">
        <f>'[2]FPC wSEB'!$AA199</f>
        <v>2312</v>
      </c>
      <c r="Z102" s="6">
        <f t="shared" si="12"/>
        <v>1863</v>
      </c>
      <c r="AB102" s="4">
        <f t="shared" si="13"/>
        <v>1863</v>
      </c>
      <c r="BN102" s="4">
        <v>1991</v>
      </c>
      <c r="BO102" s="4">
        <v>2</v>
      </c>
    </row>
    <row r="103" spans="1:67">
      <c r="A103" s="4">
        <v>1991</v>
      </c>
      <c r="B103" s="4">
        <v>3</v>
      </c>
      <c r="C103" s="4">
        <f>'[2]FPC wSEB'!$I200</f>
        <v>1867</v>
      </c>
      <c r="D103" s="4">
        <f>'[2]FPC wSEB'!$AA200</f>
        <v>2324</v>
      </c>
      <c r="Z103" s="6">
        <f t="shared" si="12"/>
        <v>1867</v>
      </c>
      <c r="AB103" s="4">
        <f t="shared" si="13"/>
        <v>1867</v>
      </c>
      <c r="BN103" s="4">
        <v>1991</v>
      </c>
      <c r="BO103" s="4">
        <v>3</v>
      </c>
    </row>
    <row r="104" spans="1:67">
      <c r="A104" s="4">
        <v>1991</v>
      </c>
      <c r="B104" s="4">
        <v>4</v>
      </c>
      <c r="C104" s="4">
        <f>'[2]FPC wSEB'!$I201</f>
        <v>1861</v>
      </c>
      <c r="D104" s="4">
        <f>'[2]FPC wSEB'!$AA201</f>
        <v>2338</v>
      </c>
      <c r="Z104" s="6">
        <f t="shared" si="12"/>
        <v>1861</v>
      </c>
      <c r="AB104" s="4">
        <f t="shared" si="13"/>
        <v>1861</v>
      </c>
      <c r="BN104" s="4">
        <v>1991</v>
      </c>
      <c r="BO104" s="4">
        <v>4</v>
      </c>
    </row>
    <row r="105" spans="1:67">
      <c r="A105" s="4">
        <v>1991</v>
      </c>
      <c r="B105" s="4">
        <v>5</v>
      </c>
      <c r="C105" s="4">
        <f>'[2]FPC wSEB'!$I202</f>
        <v>1902</v>
      </c>
      <c r="D105" s="4">
        <f>'[2]FPC wSEB'!$AA202</f>
        <v>2347</v>
      </c>
      <c r="Z105" s="6">
        <f t="shared" si="12"/>
        <v>1902</v>
      </c>
      <c r="AB105" s="4">
        <f t="shared" si="13"/>
        <v>1902</v>
      </c>
      <c r="BN105" s="4">
        <v>1991</v>
      </c>
      <c r="BO105" s="4">
        <v>5</v>
      </c>
    </row>
    <row r="106" spans="1:67">
      <c r="A106" s="4">
        <v>1991</v>
      </c>
      <c r="B106" s="4">
        <v>6</v>
      </c>
      <c r="C106" s="4">
        <f>'[2]FPC wSEB'!$I203</f>
        <v>1933</v>
      </c>
      <c r="D106" s="4">
        <f>'[2]FPC wSEB'!$AA203</f>
        <v>2350</v>
      </c>
      <c r="Z106" s="6">
        <f t="shared" si="12"/>
        <v>1933</v>
      </c>
      <c r="AB106" s="4">
        <f t="shared" si="13"/>
        <v>1933</v>
      </c>
      <c r="BN106" s="4">
        <v>1991</v>
      </c>
      <c r="BO106" s="4">
        <v>6</v>
      </c>
    </row>
    <row r="107" spans="1:67">
      <c r="A107" s="4">
        <v>1991</v>
      </c>
      <c r="B107" s="4">
        <v>7</v>
      </c>
      <c r="C107" s="4">
        <f>'[2]FPC wSEB'!$I204</f>
        <v>1959</v>
      </c>
      <c r="D107" s="4">
        <f>'[2]FPC wSEB'!$AA204</f>
        <v>2358</v>
      </c>
      <c r="Z107" s="6">
        <f t="shared" si="12"/>
        <v>1959</v>
      </c>
      <c r="AB107" s="4">
        <f t="shared" si="13"/>
        <v>1959</v>
      </c>
      <c r="BN107" s="4">
        <v>1991</v>
      </c>
      <c r="BO107" s="4">
        <v>7</v>
      </c>
    </row>
    <row r="108" spans="1:67">
      <c r="A108" s="4">
        <v>1991</v>
      </c>
      <c r="B108" s="4">
        <v>8</v>
      </c>
      <c r="C108" s="4">
        <f>'[2]FPC wSEB'!$I205</f>
        <v>1937</v>
      </c>
      <c r="D108" s="4">
        <f>'[2]FPC wSEB'!$AA205</f>
        <v>2373</v>
      </c>
      <c r="Z108" s="6">
        <f t="shared" si="12"/>
        <v>1937</v>
      </c>
      <c r="AB108" s="4">
        <f t="shared" si="13"/>
        <v>1937</v>
      </c>
      <c r="BN108" s="4">
        <v>1991</v>
      </c>
      <c r="BO108" s="4">
        <v>8</v>
      </c>
    </row>
    <row r="109" spans="1:67">
      <c r="A109" s="4">
        <v>1991</v>
      </c>
      <c r="B109" s="4">
        <v>9</v>
      </c>
      <c r="C109" s="4">
        <f>'[2]FPC wSEB'!$I206</f>
        <v>1945</v>
      </c>
      <c r="D109" s="4">
        <f>'[2]FPC wSEB'!$AA206</f>
        <v>2376</v>
      </c>
      <c r="Z109" s="6">
        <f t="shared" si="12"/>
        <v>1945</v>
      </c>
      <c r="AB109" s="4">
        <f t="shared" si="13"/>
        <v>1945</v>
      </c>
      <c r="BN109" s="4">
        <v>1991</v>
      </c>
      <c r="BO109" s="4">
        <v>9</v>
      </c>
    </row>
    <row r="110" spans="1:67">
      <c r="A110" s="4">
        <v>1991</v>
      </c>
      <c r="B110" s="4">
        <v>10</v>
      </c>
      <c r="C110" s="4">
        <f>'[2]FPC wSEB'!$I207</f>
        <v>1956</v>
      </c>
      <c r="D110" s="4">
        <f>'[2]FPC wSEB'!$AA207</f>
        <v>2360</v>
      </c>
      <c r="Z110" s="6">
        <f t="shared" si="12"/>
        <v>1956</v>
      </c>
      <c r="AB110" s="4">
        <f t="shared" si="13"/>
        <v>1956</v>
      </c>
      <c r="BN110" s="4">
        <v>1991</v>
      </c>
      <c r="BO110" s="4">
        <v>10</v>
      </c>
    </row>
    <row r="111" spans="1:67">
      <c r="A111" s="4">
        <v>1991</v>
      </c>
      <c r="B111" s="4">
        <v>11</v>
      </c>
      <c r="C111" s="4">
        <f>'[2]FPC wSEB'!$I208</f>
        <v>1964</v>
      </c>
      <c r="D111" s="4">
        <f>'[2]FPC wSEB'!$AA208</f>
        <v>2347</v>
      </c>
      <c r="Z111" s="6">
        <f t="shared" si="12"/>
        <v>1964</v>
      </c>
      <c r="AB111" s="4">
        <f t="shared" si="13"/>
        <v>1964</v>
      </c>
      <c r="BN111" s="4">
        <v>1991</v>
      </c>
      <c r="BO111" s="4">
        <v>11</v>
      </c>
    </row>
    <row r="112" spans="1:67">
      <c r="A112" s="85">
        <v>1991</v>
      </c>
      <c r="B112" s="85">
        <v>12</v>
      </c>
      <c r="C112" s="4">
        <f>'[2]FPC wSEB'!$I209</f>
        <v>1975</v>
      </c>
      <c r="D112" s="4">
        <f>'[2]FPC wSEB'!$AA209</f>
        <v>2346</v>
      </c>
      <c r="Z112" s="6">
        <f t="shared" si="12"/>
        <v>1975</v>
      </c>
      <c r="AB112" s="4">
        <f t="shared" si="13"/>
        <v>1975</v>
      </c>
      <c r="BN112" s="4">
        <v>1991</v>
      </c>
      <c r="BO112" s="4">
        <v>12</v>
      </c>
    </row>
    <row r="113" spans="1:67">
      <c r="A113" s="4">
        <v>1992</v>
      </c>
      <c r="B113" s="4">
        <v>1</v>
      </c>
      <c r="C113" s="4">
        <f>'[2]FPC wSEB'!$I210</f>
        <v>1978</v>
      </c>
      <c r="D113" s="4">
        <f>'[2]FPC wSEB'!$AA210</f>
        <v>2346</v>
      </c>
      <c r="Z113" s="6">
        <f t="shared" si="12"/>
        <v>1978</v>
      </c>
      <c r="AB113" s="4">
        <f t="shared" si="13"/>
        <v>1978</v>
      </c>
      <c r="BN113" s="4">
        <v>1992</v>
      </c>
      <c r="BO113" s="4">
        <v>1</v>
      </c>
    </row>
    <row r="114" spans="1:67">
      <c r="A114" s="4">
        <v>1992</v>
      </c>
      <c r="B114" s="4">
        <v>2</v>
      </c>
      <c r="C114" s="4">
        <f>'[2]FPC wSEB'!$I211</f>
        <v>1967</v>
      </c>
      <c r="D114" s="4">
        <f>'[2]FPC wSEB'!$AA211</f>
        <v>2352</v>
      </c>
      <c r="Z114" s="6">
        <f t="shared" si="12"/>
        <v>1967</v>
      </c>
      <c r="AB114" s="4">
        <f t="shared" si="13"/>
        <v>1967</v>
      </c>
      <c r="BN114" s="4">
        <v>1992</v>
      </c>
      <c r="BO114" s="4">
        <v>2</v>
      </c>
    </row>
    <row r="115" spans="1:67">
      <c r="A115" s="4">
        <v>1992</v>
      </c>
      <c r="B115" s="4">
        <v>3</v>
      </c>
      <c r="C115" s="4">
        <f>'[2]FPC wSEB'!$I212</f>
        <v>1951</v>
      </c>
      <c r="D115" s="4">
        <f>'[2]FPC wSEB'!$AA212</f>
        <v>2361</v>
      </c>
      <c r="Z115" s="6">
        <f t="shared" si="12"/>
        <v>1951</v>
      </c>
      <c r="AB115" s="4">
        <f t="shared" si="13"/>
        <v>1951</v>
      </c>
      <c r="BN115" s="4">
        <v>1992</v>
      </c>
      <c r="BO115" s="4">
        <v>3</v>
      </c>
    </row>
    <row r="116" spans="1:67">
      <c r="A116" s="4">
        <v>1992</v>
      </c>
      <c r="B116" s="4">
        <v>4</v>
      </c>
      <c r="C116" s="4">
        <f>'[2]FPC wSEB'!$I213</f>
        <v>2006</v>
      </c>
      <c r="D116" s="4">
        <f>'[2]FPC wSEB'!$AA213</f>
        <v>2374</v>
      </c>
      <c r="Z116" s="6">
        <f t="shared" si="12"/>
        <v>2006</v>
      </c>
      <c r="AB116" s="4">
        <f t="shared" si="13"/>
        <v>2006</v>
      </c>
      <c r="BN116" s="4">
        <v>1992</v>
      </c>
      <c r="BO116" s="4">
        <v>4</v>
      </c>
    </row>
    <row r="117" spans="1:67">
      <c r="A117" s="4">
        <v>1992</v>
      </c>
      <c r="B117" s="4">
        <v>5</v>
      </c>
      <c r="C117" s="4">
        <f>'[2]FPC wSEB'!$I214</f>
        <v>2021</v>
      </c>
      <c r="D117" s="4">
        <f>'[2]FPC wSEB'!$AA214</f>
        <v>2374</v>
      </c>
      <c r="Z117" s="6">
        <f t="shared" si="12"/>
        <v>2021</v>
      </c>
      <c r="AB117" s="4">
        <f t="shared" si="13"/>
        <v>2021</v>
      </c>
      <c r="BN117" s="4">
        <v>1992</v>
      </c>
      <c r="BO117" s="4">
        <v>5</v>
      </c>
    </row>
    <row r="118" spans="1:67">
      <c r="A118" s="4">
        <v>1992</v>
      </c>
      <c r="B118" s="4">
        <v>6</v>
      </c>
      <c r="C118" s="4">
        <f>'[2]FPC wSEB'!$I215</f>
        <v>2010</v>
      </c>
      <c r="D118" s="4">
        <f>'[2]FPC wSEB'!$AA215</f>
        <v>2379</v>
      </c>
      <c r="Z118" s="6">
        <f t="shared" si="12"/>
        <v>2010</v>
      </c>
      <c r="AB118" s="4">
        <f t="shared" si="13"/>
        <v>2010</v>
      </c>
      <c r="BN118" s="4">
        <v>1992</v>
      </c>
      <c r="BO118" s="4">
        <v>6</v>
      </c>
    </row>
    <row r="119" spans="1:67">
      <c r="A119" s="4">
        <v>1992</v>
      </c>
      <c r="B119" s="4">
        <v>7</v>
      </c>
      <c r="C119" s="4">
        <f>'[2]FPC wSEB'!$I216</f>
        <v>2022</v>
      </c>
      <c r="D119" s="4">
        <f>'[2]FPC wSEB'!$AA216</f>
        <v>2385</v>
      </c>
      <c r="Z119" s="6">
        <f t="shared" si="12"/>
        <v>2022</v>
      </c>
      <c r="AB119" s="4">
        <f t="shared" si="13"/>
        <v>2022</v>
      </c>
      <c r="BN119" s="4">
        <v>1992</v>
      </c>
      <c r="BO119" s="4">
        <v>7</v>
      </c>
    </row>
    <row r="120" spans="1:67">
      <c r="A120" s="4">
        <v>1992</v>
      </c>
      <c r="B120" s="4">
        <v>8</v>
      </c>
      <c r="C120" s="4">
        <f>'[2]FPC wSEB'!$I217</f>
        <v>2037</v>
      </c>
      <c r="D120" s="4">
        <f>'[2]FPC wSEB'!$AA217</f>
        <v>2390</v>
      </c>
      <c r="Z120" s="6">
        <f t="shared" si="12"/>
        <v>2037</v>
      </c>
      <c r="AB120" s="4">
        <f t="shared" si="13"/>
        <v>2037</v>
      </c>
      <c r="BN120" s="4">
        <v>1992</v>
      </c>
      <c r="BO120" s="4">
        <v>8</v>
      </c>
    </row>
    <row r="121" spans="1:67">
      <c r="A121" s="4">
        <v>1992</v>
      </c>
      <c r="B121" s="4">
        <v>9</v>
      </c>
      <c r="C121" s="4">
        <f>'[2]FPC wSEB'!$I218</f>
        <v>2051</v>
      </c>
      <c r="D121" s="4">
        <f>'[2]FPC wSEB'!$AA218</f>
        <v>2401</v>
      </c>
      <c r="Z121" s="6">
        <f t="shared" si="12"/>
        <v>2051</v>
      </c>
      <c r="AB121" s="4">
        <f t="shared" si="13"/>
        <v>2051</v>
      </c>
      <c r="BN121" s="4">
        <v>1992</v>
      </c>
      <c r="BO121" s="4">
        <v>9</v>
      </c>
    </row>
    <row r="122" spans="1:67">
      <c r="A122" s="4">
        <v>1992</v>
      </c>
      <c r="B122" s="4">
        <v>10</v>
      </c>
      <c r="C122" s="4">
        <f>'[2]FPC wSEB'!$I219</f>
        <v>2055</v>
      </c>
      <c r="D122" s="4">
        <f>'[2]FPC wSEB'!$AA219</f>
        <v>2404</v>
      </c>
      <c r="Z122" s="6">
        <f t="shared" si="12"/>
        <v>2055</v>
      </c>
      <c r="AB122" s="4">
        <f t="shared" si="13"/>
        <v>2055</v>
      </c>
      <c r="BN122" s="4">
        <v>1992</v>
      </c>
      <c r="BO122" s="4">
        <v>10</v>
      </c>
    </row>
    <row r="123" spans="1:67">
      <c r="A123" s="4">
        <v>1992</v>
      </c>
      <c r="B123" s="4">
        <v>11</v>
      </c>
      <c r="C123" s="4">
        <f>'[2]FPC wSEB'!$I220</f>
        <v>2085</v>
      </c>
      <c r="D123" s="4">
        <f>'[2]FPC wSEB'!$AA220</f>
        <v>2389</v>
      </c>
      <c r="Z123" s="6">
        <f t="shared" si="12"/>
        <v>2085</v>
      </c>
      <c r="AB123" s="4">
        <f t="shared" si="13"/>
        <v>2085</v>
      </c>
      <c r="BN123" s="4">
        <v>1992</v>
      </c>
      <c r="BO123" s="4">
        <v>11</v>
      </c>
    </row>
    <row r="124" spans="1:67">
      <c r="A124" s="85">
        <v>1992</v>
      </c>
      <c r="B124" s="85">
        <v>12</v>
      </c>
      <c r="C124" s="4">
        <f>'[2]FPC wSEB'!$I221</f>
        <v>2037</v>
      </c>
      <c r="D124" s="4">
        <f>'[2]FPC wSEB'!$AA221</f>
        <v>2385</v>
      </c>
      <c r="Z124" s="6">
        <f t="shared" si="12"/>
        <v>2037</v>
      </c>
      <c r="AB124" s="4">
        <f t="shared" si="13"/>
        <v>2037</v>
      </c>
      <c r="BN124" s="4">
        <v>1992</v>
      </c>
      <c r="BO124" s="4">
        <v>12</v>
      </c>
    </row>
    <row r="125" spans="1:67">
      <c r="A125" s="4">
        <v>1993</v>
      </c>
      <c r="B125" s="4">
        <v>1</v>
      </c>
      <c r="C125" s="4">
        <f>'[2]FPC wSEB'!$I222</f>
        <v>2082</v>
      </c>
      <c r="D125" s="4">
        <f>'[2]FPC wSEB'!$AA222</f>
        <v>2382</v>
      </c>
      <c r="Z125" s="6">
        <f t="shared" si="12"/>
        <v>2082</v>
      </c>
      <c r="AB125" s="4">
        <f t="shared" si="13"/>
        <v>2082</v>
      </c>
      <c r="BN125" s="4">
        <v>1993</v>
      </c>
      <c r="BO125" s="4">
        <v>1</v>
      </c>
    </row>
    <row r="126" spans="1:67">
      <c r="A126" s="4">
        <v>1993</v>
      </c>
      <c r="B126" s="4">
        <v>2</v>
      </c>
      <c r="C126" s="4">
        <f>'[2]FPC wSEB'!$I223</f>
        <v>2061</v>
      </c>
      <c r="D126" s="4">
        <f>'[2]FPC wSEB'!$AA223</f>
        <v>2382</v>
      </c>
      <c r="Z126" s="6">
        <f t="shared" si="12"/>
        <v>2061</v>
      </c>
      <c r="AB126" s="4">
        <f t="shared" si="13"/>
        <v>2061</v>
      </c>
      <c r="BN126" s="4">
        <v>1993</v>
      </c>
      <c r="BO126" s="4">
        <v>2</v>
      </c>
    </row>
    <row r="127" spans="1:67">
      <c r="A127" s="4">
        <v>1993</v>
      </c>
      <c r="B127" s="4">
        <v>3</v>
      </c>
      <c r="C127" s="4">
        <f>'[2]FPC wSEB'!$I224</f>
        <v>2061</v>
      </c>
      <c r="D127" s="4">
        <f>'[2]FPC wSEB'!$AA224</f>
        <v>2386</v>
      </c>
      <c r="Z127" s="6">
        <f t="shared" si="12"/>
        <v>2061</v>
      </c>
      <c r="AB127" s="4">
        <f t="shared" si="13"/>
        <v>2061</v>
      </c>
      <c r="BN127" s="4">
        <v>1993</v>
      </c>
      <c r="BO127" s="4">
        <v>3</v>
      </c>
    </row>
    <row r="128" spans="1:67">
      <c r="A128" s="4">
        <v>1993</v>
      </c>
      <c r="B128" s="4">
        <v>4</v>
      </c>
      <c r="C128" s="4">
        <f>'[2]FPC wSEB'!$I225</f>
        <v>2080</v>
      </c>
      <c r="D128" s="4">
        <f>'[2]FPC wSEB'!$AA225</f>
        <v>2387</v>
      </c>
      <c r="Z128" s="6">
        <f t="shared" si="12"/>
        <v>2080</v>
      </c>
      <c r="AB128" s="4">
        <f t="shared" si="13"/>
        <v>2080</v>
      </c>
      <c r="BN128" s="4">
        <v>1993</v>
      </c>
      <c r="BO128" s="4">
        <v>4</v>
      </c>
    </row>
    <row r="129" spans="1:67">
      <c r="A129" s="4">
        <v>1993</v>
      </c>
      <c r="B129" s="4">
        <v>5</v>
      </c>
      <c r="C129" s="4">
        <f>'[2]FPC wSEB'!$I226</f>
        <v>2076</v>
      </c>
      <c r="D129" s="4">
        <f>'[2]FPC wSEB'!$AA226</f>
        <v>2380</v>
      </c>
      <c r="Z129" s="6">
        <f t="shared" si="12"/>
        <v>2076</v>
      </c>
      <c r="AB129" s="4">
        <f t="shared" si="13"/>
        <v>2076</v>
      </c>
      <c r="BN129" s="4">
        <v>1993</v>
      </c>
      <c r="BO129" s="4">
        <v>5</v>
      </c>
    </row>
    <row r="130" spans="1:67">
      <c r="A130" s="4">
        <v>1993</v>
      </c>
      <c r="B130" s="4">
        <v>6</v>
      </c>
      <c r="C130" s="4">
        <f>'[2]FPC wSEB'!$I227</f>
        <v>2097</v>
      </c>
      <c r="D130" s="4">
        <f>'[2]FPC wSEB'!$AA227</f>
        <v>2399</v>
      </c>
      <c r="Z130" s="6">
        <f t="shared" si="12"/>
        <v>2097</v>
      </c>
      <c r="AB130" s="4">
        <f t="shared" si="13"/>
        <v>2097</v>
      </c>
      <c r="BN130" s="4">
        <v>1993</v>
      </c>
      <c r="BO130" s="4">
        <v>6</v>
      </c>
    </row>
    <row r="131" spans="1:67">
      <c r="A131" s="4">
        <v>1993</v>
      </c>
      <c r="B131" s="4">
        <v>7</v>
      </c>
      <c r="C131" s="4">
        <f>'[2]FPC wSEB'!$I228</f>
        <v>2136</v>
      </c>
      <c r="D131" s="4">
        <f>'[2]FPC wSEB'!$AA228</f>
        <v>2406</v>
      </c>
      <c r="Z131" s="6">
        <f t="shared" si="12"/>
        <v>2136</v>
      </c>
      <c r="AB131" s="4">
        <f t="shared" si="13"/>
        <v>2136</v>
      </c>
      <c r="BN131" s="4">
        <v>1993</v>
      </c>
      <c r="BO131" s="4">
        <v>7</v>
      </c>
    </row>
    <row r="132" spans="1:67">
      <c r="A132" s="4">
        <v>1993</v>
      </c>
      <c r="B132" s="4">
        <v>8</v>
      </c>
      <c r="C132" s="4">
        <f>'[2]FPC wSEB'!$I229</f>
        <v>2111</v>
      </c>
      <c r="D132" s="4">
        <f>'[2]FPC wSEB'!$AA229</f>
        <v>2405</v>
      </c>
      <c r="Z132" s="6">
        <f t="shared" si="12"/>
        <v>2111</v>
      </c>
      <c r="AB132" s="4">
        <f t="shared" si="13"/>
        <v>2111</v>
      </c>
      <c r="BN132" s="4">
        <v>1993</v>
      </c>
      <c r="BO132" s="4">
        <v>8</v>
      </c>
    </row>
    <row r="133" spans="1:67">
      <c r="A133" s="4">
        <v>1993</v>
      </c>
      <c r="B133" s="4">
        <v>9</v>
      </c>
      <c r="C133" s="4">
        <f>'[2]FPC wSEB'!$I230</f>
        <v>2125</v>
      </c>
      <c r="D133" s="4">
        <f>'[2]FPC wSEB'!$AA230</f>
        <v>2408</v>
      </c>
      <c r="Z133" s="6">
        <f t="shared" si="12"/>
        <v>2125</v>
      </c>
      <c r="AB133" s="4">
        <f t="shared" si="13"/>
        <v>2125</v>
      </c>
      <c r="BN133" s="4">
        <v>1993</v>
      </c>
      <c r="BO133" s="4">
        <v>9</v>
      </c>
    </row>
    <row r="134" spans="1:67">
      <c r="A134" s="4">
        <v>1993</v>
      </c>
      <c r="B134" s="4">
        <v>10</v>
      </c>
      <c r="C134" s="4">
        <f>'[2]FPC wSEB'!$I231</f>
        <v>2173</v>
      </c>
      <c r="D134" s="4">
        <f>'[2]FPC wSEB'!$AA231</f>
        <v>2408</v>
      </c>
      <c r="Z134" s="6">
        <f t="shared" si="12"/>
        <v>2173</v>
      </c>
      <c r="AB134" s="4">
        <f t="shared" si="13"/>
        <v>2173</v>
      </c>
      <c r="BN134" s="4">
        <v>1993</v>
      </c>
      <c r="BO134" s="4">
        <v>10</v>
      </c>
    </row>
    <row r="135" spans="1:67">
      <c r="A135" s="4">
        <v>1993</v>
      </c>
      <c r="B135" s="4">
        <v>11</v>
      </c>
      <c r="C135" s="4">
        <f>'[2]FPC wSEB'!$I232</f>
        <v>2121</v>
      </c>
      <c r="D135" s="4">
        <f>'[2]FPC wSEB'!$AA232</f>
        <v>2389</v>
      </c>
      <c r="Z135" s="6">
        <f t="shared" si="12"/>
        <v>2121</v>
      </c>
      <c r="AB135" s="4">
        <f t="shared" si="13"/>
        <v>2121</v>
      </c>
      <c r="BN135" s="4">
        <v>1993</v>
      </c>
      <c r="BO135" s="4">
        <v>11</v>
      </c>
    </row>
    <row r="136" spans="1:67">
      <c r="A136" s="85">
        <v>1993</v>
      </c>
      <c r="B136" s="85">
        <v>12</v>
      </c>
      <c r="C136" s="4">
        <f>'[2]FPC wSEB'!$I233</f>
        <v>2171</v>
      </c>
      <c r="D136" s="4">
        <f>'[2]FPC wSEB'!$AA233</f>
        <v>2397</v>
      </c>
      <c r="Z136" s="6">
        <f t="shared" si="12"/>
        <v>2171</v>
      </c>
      <c r="AB136" s="4">
        <f t="shared" si="13"/>
        <v>2171</v>
      </c>
      <c r="BN136" s="4">
        <v>1993</v>
      </c>
      <c r="BO136" s="4">
        <v>12</v>
      </c>
    </row>
    <row r="137" spans="1:67">
      <c r="A137" s="4">
        <v>1994</v>
      </c>
      <c r="B137" s="4">
        <v>1</v>
      </c>
      <c r="C137" s="4">
        <f>'[2]FPC wSEB'!$I234</f>
        <v>2158</v>
      </c>
      <c r="D137" s="4">
        <f>'[2]FPC wSEB'!$AA234</f>
        <v>2385</v>
      </c>
      <c r="Z137" s="6">
        <f t="shared" si="12"/>
        <v>2158</v>
      </c>
      <c r="AB137" s="4">
        <f t="shared" si="13"/>
        <v>2158</v>
      </c>
      <c r="BN137" s="4">
        <v>1994</v>
      </c>
      <c r="BO137" s="4">
        <v>1</v>
      </c>
    </row>
    <row r="138" spans="1:67">
      <c r="A138" s="4">
        <v>1994</v>
      </c>
      <c r="B138" s="4">
        <v>2</v>
      </c>
      <c r="C138" s="4">
        <f>'[2]FPC wSEB'!$I235</f>
        <v>2114</v>
      </c>
      <c r="D138" s="4">
        <f>'[2]FPC wSEB'!$AA235</f>
        <v>2401</v>
      </c>
      <c r="Z138" s="6">
        <f t="shared" si="12"/>
        <v>2114</v>
      </c>
      <c r="AB138" s="4">
        <f t="shared" si="13"/>
        <v>2114</v>
      </c>
      <c r="BN138" s="4">
        <v>1994</v>
      </c>
      <c r="BO138" s="4">
        <v>2</v>
      </c>
    </row>
    <row r="139" spans="1:67">
      <c r="A139" s="4">
        <v>1994</v>
      </c>
      <c r="B139" s="4">
        <v>3</v>
      </c>
      <c r="C139" s="4">
        <f>'[2]FPC wSEB'!$I236</f>
        <v>2166</v>
      </c>
      <c r="D139" s="4">
        <f>'[2]FPC wSEB'!$AA236</f>
        <v>2396</v>
      </c>
      <c r="Z139" s="6">
        <f t="shared" si="12"/>
        <v>2166</v>
      </c>
      <c r="AB139" s="4">
        <f t="shared" si="13"/>
        <v>2166</v>
      </c>
      <c r="BN139" s="4">
        <v>1994</v>
      </c>
      <c r="BO139" s="4">
        <v>3</v>
      </c>
    </row>
    <row r="140" spans="1:67">
      <c r="A140" s="4">
        <v>1994</v>
      </c>
      <c r="B140" s="4">
        <v>4</v>
      </c>
      <c r="C140" s="4">
        <f>'[2]FPC wSEB'!$I237</f>
        <v>2189</v>
      </c>
      <c r="D140" s="4">
        <f>'[2]FPC wSEB'!$AA237</f>
        <v>2394</v>
      </c>
      <c r="Z140" s="6">
        <f t="shared" si="12"/>
        <v>2189</v>
      </c>
      <c r="AB140" s="4">
        <f t="shared" si="13"/>
        <v>2189</v>
      </c>
      <c r="BN140" s="4">
        <v>1994</v>
      </c>
      <c r="BO140" s="4">
        <v>4</v>
      </c>
    </row>
    <row r="141" spans="1:67">
      <c r="A141" s="4">
        <v>1994</v>
      </c>
      <c r="B141" s="4">
        <v>5</v>
      </c>
      <c r="C141" s="4">
        <f>'[2]FPC wSEB'!$I238</f>
        <v>2186</v>
      </c>
      <c r="D141" s="4">
        <f>'[2]FPC wSEB'!$AA238</f>
        <v>2435</v>
      </c>
      <c r="Z141" s="6">
        <f t="shared" si="12"/>
        <v>2186</v>
      </c>
      <c r="AB141" s="4">
        <f t="shared" si="13"/>
        <v>2186</v>
      </c>
      <c r="BN141" s="4">
        <v>1994</v>
      </c>
      <c r="BO141" s="4">
        <v>5</v>
      </c>
    </row>
    <row r="142" spans="1:67">
      <c r="A142" s="4">
        <v>1994</v>
      </c>
      <c r="B142" s="4">
        <v>6</v>
      </c>
      <c r="C142" s="4">
        <f>'[2]FPC wSEB'!$I239</f>
        <v>2190</v>
      </c>
      <c r="D142" s="4">
        <f>'[2]FPC wSEB'!$AA239</f>
        <v>2434</v>
      </c>
      <c r="Z142" s="6">
        <f t="shared" si="12"/>
        <v>2190</v>
      </c>
      <c r="AB142" s="4">
        <f t="shared" si="13"/>
        <v>2190</v>
      </c>
      <c r="BN142" s="4">
        <v>1994</v>
      </c>
      <c r="BO142" s="4">
        <v>6</v>
      </c>
    </row>
    <row r="143" spans="1:67">
      <c r="A143" s="4">
        <v>1994</v>
      </c>
      <c r="B143" s="4">
        <v>7</v>
      </c>
      <c r="C143" s="4">
        <f>'[2]FPC wSEB'!$I240</f>
        <v>2207</v>
      </c>
      <c r="D143" s="4">
        <f>'[2]FPC wSEB'!$AA240</f>
        <v>2438</v>
      </c>
      <c r="Z143" s="6">
        <f t="shared" si="12"/>
        <v>2207</v>
      </c>
      <c r="AB143" s="4">
        <f t="shared" si="13"/>
        <v>2207</v>
      </c>
      <c r="BN143" s="4">
        <v>1994</v>
      </c>
      <c r="BO143" s="4">
        <v>7</v>
      </c>
    </row>
    <row r="144" spans="1:67">
      <c r="A144" s="4">
        <v>1994</v>
      </c>
      <c r="B144" s="4">
        <v>8</v>
      </c>
      <c r="C144" s="4">
        <f>'[2]FPC wSEB'!$I241</f>
        <v>2214</v>
      </c>
      <c r="D144" s="4">
        <f>'[2]FPC wSEB'!$AA241</f>
        <v>2443</v>
      </c>
      <c r="Z144" s="6">
        <f t="shared" si="12"/>
        <v>2214</v>
      </c>
      <c r="AB144" s="4">
        <f t="shared" si="13"/>
        <v>2214</v>
      </c>
      <c r="BN144" s="4">
        <v>1994</v>
      </c>
      <c r="BO144" s="4">
        <v>8</v>
      </c>
    </row>
    <row r="145" spans="1:67">
      <c r="A145" s="4">
        <v>1994</v>
      </c>
      <c r="B145" s="4">
        <v>9</v>
      </c>
      <c r="C145" s="4">
        <f>'[2]FPC wSEB'!$I242</f>
        <v>2201</v>
      </c>
      <c r="D145" s="4">
        <f>'[2]FPC wSEB'!$AA242</f>
        <v>2445</v>
      </c>
      <c r="Z145" s="6">
        <f t="shared" si="12"/>
        <v>2201</v>
      </c>
      <c r="AB145" s="4">
        <f t="shared" si="13"/>
        <v>2201</v>
      </c>
      <c r="BN145" s="4">
        <v>1994</v>
      </c>
      <c r="BO145" s="4">
        <v>9</v>
      </c>
    </row>
    <row r="146" spans="1:67">
      <c r="A146" s="4">
        <v>1994</v>
      </c>
      <c r="B146" s="4">
        <v>10</v>
      </c>
      <c r="C146" s="4">
        <f>'[2]FPC wSEB'!$I243</f>
        <v>2224</v>
      </c>
      <c r="D146" s="4">
        <f>'[2]FPC wSEB'!$AA243</f>
        <v>2437</v>
      </c>
      <c r="Z146" s="6">
        <f t="shared" ref="Z146:Z209" si="14">C146</f>
        <v>2224</v>
      </c>
      <c r="AB146" s="4">
        <f t="shared" ref="AB146:AB208" si="15">Z146</f>
        <v>2224</v>
      </c>
      <c r="BN146" s="4">
        <v>1994</v>
      </c>
      <c r="BO146" s="4">
        <v>10</v>
      </c>
    </row>
    <row r="147" spans="1:67">
      <c r="A147" s="4">
        <v>1994</v>
      </c>
      <c r="B147" s="4">
        <v>11</v>
      </c>
      <c r="C147" s="4">
        <f>'[2]FPC wSEB'!$I244</f>
        <v>2238</v>
      </c>
      <c r="D147" s="4">
        <f>'[2]FPC wSEB'!$AA244</f>
        <v>2427</v>
      </c>
      <c r="Z147" s="6">
        <f t="shared" si="14"/>
        <v>2238</v>
      </c>
      <c r="AB147" s="4">
        <f t="shared" si="15"/>
        <v>2238</v>
      </c>
      <c r="BN147" s="4">
        <v>1994</v>
      </c>
      <c r="BO147" s="4">
        <v>11</v>
      </c>
    </row>
    <row r="148" spans="1:67">
      <c r="A148" s="85">
        <v>1994</v>
      </c>
      <c r="B148" s="85">
        <v>12</v>
      </c>
      <c r="C148" s="4">
        <f>'[2]FPC wSEB'!$I245</f>
        <v>2229</v>
      </c>
      <c r="D148" s="4">
        <f>'[2]FPC wSEB'!$AA245</f>
        <v>2420</v>
      </c>
      <c r="Z148" s="6">
        <f t="shared" si="14"/>
        <v>2229</v>
      </c>
      <c r="AB148" s="4">
        <f t="shared" si="15"/>
        <v>2229</v>
      </c>
      <c r="BN148" s="4">
        <v>1994</v>
      </c>
      <c r="BO148" s="4">
        <v>12</v>
      </c>
    </row>
    <row r="149" spans="1:67">
      <c r="A149" s="4">
        <v>1995</v>
      </c>
      <c r="B149" s="4">
        <v>1</v>
      </c>
      <c r="C149" s="4">
        <f>'[2]FPC wSEB'!$I246</f>
        <v>2234</v>
      </c>
      <c r="D149" s="4">
        <f>'[2]FPC wSEB'!$AA246</f>
        <v>2417</v>
      </c>
      <c r="Z149" s="6">
        <f t="shared" si="14"/>
        <v>2234</v>
      </c>
      <c r="AB149" s="4">
        <f t="shared" si="15"/>
        <v>2234</v>
      </c>
      <c r="BN149" s="4">
        <v>1995</v>
      </c>
      <c r="BO149" s="4">
        <v>1</v>
      </c>
    </row>
    <row r="150" spans="1:67">
      <c r="A150" s="4">
        <v>1995</v>
      </c>
      <c r="B150" s="4">
        <v>2</v>
      </c>
      <c r="C150" s="4">
        <f>'[2]FPC wSEB'!$I247</f>
        <v>2278</v>
      </c>
      <c r="D150" s="4">
        <f>'[2]FPC wSEB'!$AA247</f>
        <v>2420</v>
      </c>
      <c r="Z150" s="6">
        <f t="shared" si="14"/>
        <v>2278</v>
      </c>
      <c r="AB150" s="4">
        <f t="shared" si="15"/>
        <v>2278</v>
      </c>
      <c r="BN150" s="4">
        <v>1995</v>
      </c>
      <c r="BO150" s="4">
        <v>2</v>
      </c>
    </row>
    <row r="151" spans="1:67">
      <c r="A151" s="4">
        <v>1995</v>
      </c>
      <c r="B151" s="4">
        <v>3</v>
      </c>
      <c r="C151" s="4">
        <f>'[2]FPC wSEB'!$I248</f>
        <v>2184</v>
      </c>
      <c r="D151" s="4">
        <f>'[2]FPC wSEB'!$AA248</f>
        <v>2240</v>
      </c>
      <c r="Z151" s="6">
        <f t="shared" si="14"/>
        <v>2184</v>
      </c>
      <c r="AB151" s="4">
        <f t="shared" si="15"/>
        <v>2184</v>
      </c>
      <c r="BN151" s="4">
        <v>1995</v>
      </c>
      <c r="BO151" s="4">
        <v>3</v>
      </c>
    </row>
    <row r="152" spans="1:67">
      <c r="A152" s="4">
        <v>1995</v>
      </c>
      <c r="B152" s="4">
        <v>4</v>
      </c>
      <c r="C152" s="4">
        <f>'[2]FPC wSEB'!$I249</f>
        <v>2281</v>
      </c>
      <c r="D152" s="4">
        <f>'[2]FPC wSEB'!$AA249</f>
        <v>2574</v>
      </c>
      <c r="Z152" s="6">
        <f t="shared" si="14"/>
        <v>2281</v>
      </c>
      <c r="AB152" s="4">
        <f t="shared" si="15"/>
        <v>2281</v>
      </c>
      <c r="BN152" s="4">
        <v>1995</v>
      </c>
      <c r="BO152" s="4">
        <v>4</v>
      </c>
    </row>
    <row r="153" spans="1:67">
      <c r="A153" s="4">
        <v>1995</v>
      </c>
      <c r="B153" s="4">
        <v>5</v>
      </c>
      <c r="C153" s="4">
        <f>'[2]FPC wSEB'!$I250</f>
        <v>2266</v>
      </c>
      <c r="D153" s="4">
        <f>'[2]FPC wSEB'!$AA250</f>
        <v>2436</v>
      </c>
      <c r="Z153" s="6">
        <f t="shared" si="14"/>
        <v>2266</v>
      </c>
      <c r="AB153" s="4">
        <f t="shared" si="15"/>
        <v>2266</v>
      </c>
      <c r="BN153" s="4">
        <v>1995</v>
      </c>
      <c r="BO153" s="4">
        <v>5</v>
      </c>
    </row>
    <row r="154" spans="1:67">
      <c r="A154" s="4">
        <v>1995</v>
      </c>
      <c r="B154" s="4">
        <v>6</v>
      </c>
      <c r="C154" s="4">
        <f>'[2]FPC wSEB'!$I251</f>
        <v>2291</v>
      </c>
      <c r="D154" s="4">
        <f>'[2]FPC wSEB'!$AA251</f>
        <v>2447</v>
      </c>
      <c r="Z154" s="6">
        <f t="shared" si="14"/>
        <v>2291</v>
      </c>
      <c r="AB154" s="4">
        <f t="shared" si="15"/>
        <v>2291</v>
      </c>
      <c r="BN154" s="4">
        <v>1995</v>
      </c>
      <c r="BO154" s="4">
        <v>6</v>
      </c>
    </row>
    <row r="155" spans="1:67">
      <c r="A155" s="4">
        <v>1995</v>
      </c>
      <c r="B155" s="4">
        <v>7</v>
      </c>
      <c r="C155" s="4">
        <f>'[2]FPC wSEB'!$I252</f>
        <v>2283</v>
      </c>
      <c r="D155" s="4">
        <f>'[2]FPC wSEB'!$AA252</f>
        <v>2424</v>
      </c>
      <c r="Z155" s="6">
        <f t="shared" si="14"/>
        <v>2283</v>
      </c>
      <c r="AB155" s="4">
        <f t="shared" si="15"/>
        <v>2283</v>
      </c>
      <c r="BN155" s="4">
        <v>1995</v>
      </c>
      <c r="BO155" s="4">
        <v>7</v>
      </c>
    </row>
    <row r="156" spans="1:67">
      <c r="A156" s="4">
        <v>1995</v>
      </c>
      <c r="B156" s="4">
        <v>8</v>
      </c>
      <c r="C156" s="4">
        <f>'[2]FPC wSEB'!$I253</f>
        <v>2243</v>
      </c>
      <c r="D156" s="4">
        <f>'[2]FPC wSEB'!$AA253</f>
        <v>2432</v>
      </c>
      <c r="Z156" s="6">
        <f t="shared" si="14"/>
        <v>2243</v>
      </c>
      <c r="AB156" s="4">
        <f t="shared" si="15"/>
        <v>2243</v>
      </c>
      <c r="BN156" s="4">
        <v>1995</v>
      </c>
      <c r="BO156" s="4">
        <v>8</v>
      </c>
    </row>
    <row r="157" spans="1:67">
      <c r="A157" s="4">
        <v>1995</v>
      </c>
      <c r="B157" s="4">
        <v>9</v>
      </c>
      <c r="C157" s="4">
        <f>'[2]FPC wSEB'!$I254</f>
        <v>2248</v>
      </c>
      <c r="D157" s="4">
        <f>'[2]FPC wSEB'!$AA254</f>
        <v>2470</v>
      </c>
      <c r="Z157" s="6">
        <f t="shared" si="14"/>
        <v>2248</v>
      </c>
      <c r="AB157" s="4">
        <f t="shared" si="15"/>
        <v>2248</v>
      </c>
      <c r="BN157" s="4">
        <v>1995</v>
      </c>
      <c r="BO157" s="4">
        <v>9</v>
      </c>
    </row>
    <row r="158" spans="1:67">
      <c r="A158" s="4">
        <v>1995</v>
      </c>
      <c r="B158" s="4">
        <v>10</v>
      </c>
      <c r="C158" s="4">
        <f>'[2]FPC wSEB'!$I255</f>
        <v>2330</v>
      </c>
      <c r="D158" s="4">
        <f>'[2]FPC wSEB'!$AA255</f>
        <v>2482</v>
      </c>
      <c r="Z158" s="6">
        <f t="shared" si="14"/>
        <v>2330</v>
      </c>
      <c r="AB158" s="4">
        <f t="shared" si="15"/>
        <v>2330</v>
      </c>
      <c r="BN158" s="4">
        <v>1995</v>
      </c>
      <c r="BO158" s="4">
        <v>10</v>
      </c>
    </row>
    <row r="159" spans="1:67">
      <c r="A159" s="4">
        <v>1995</v>
      </c>
      <c r="B159" s="4">
        <v>11</v>
      </c>
      <c r="C159" s="4">
        <f>'[2]FPC wSEB'!$I256</f>
        <v>2354</v>
      </c>
      <c r="D159" s="4">
        <f>'[2]FPC wSEB'!$AA256</f>
        <v>2443</v>
      </c>
      <c r="Z159" s="6">
        <f t="shared" si="14"/>
        <v>2354</v>
      </c>
      <c r="AB159" s="4">
        <f t="shared" si="15"/>
        <v>2354</v>
      </c>
      <c r="BN159" s="4">
        <v>1995</v>
      </c>
      <c r="BO159" s="4">
        <v>11</v>
      </c>
    </row>
    <row r="160" spans="1:67">
      <c r="A160" s="89">
        <v>1995</v>
      </c>
      <c r="B160" s="89">
        <v>12</v>
      </c>
      <c r="C160" s="4">
        <f>'[2]FPC wSEB'!$I257</f>
        <v>2230</v>
      </c>
      <c r="D160" s="4">
        <f>'[2]FPC wSEB'!$AA257</f>
        <v>2395</v>
      </c>
      <c r="Z160" s="6">
        <f t="shared" si="14"/>
        <v>2230</v>
      </c>
      <c r="AB160" s="4">
        <f t="shared" si="15"/>
        <v>2230</v>
      </c>
      <c r="BN160" s="4">
        <v>1995</v>
      </c>
      <c r="BO160" s="4">
        <v>12</v>
      </c>
    </row>
    <row r="161" spans="1:74">
      <c r="A161" s="4">
        <v>1996</v>
      </c>
      <c r="B161" s="4">
        <v>1</v>
      </c>
      <c r="C161" s="4">
        <f>'[2]FPC wSEB'!$I258</f>
        <v>2252</v>
      </c>
      <c r="D161" s="4">
        <f>'[2]FPC wSEB'!$AA258</f>
        <v>2385</v>
      </c>
      <c r="Z161" s="6">
        <f t="shared" si="14"/>
        <v>2252</v>
      </c>
      <c r="AB161" s="4">
        <f t="shared" si="15"/>
        <v>2252</v>
      </c>
      <c r="BN161" s="4">
        <v>1996</v>
      </c>
      <c r="BO161" s="4">
        <v>1</v>
      </c>
    </row>
    <row r="162" spans="1:74">
      <c r="A162" s="4">
        <v>1996</v>
      </c>
      <c r="B162" s="4">
        <v>2</v>
      </c>
      <c r="C162" s="4">
        <f>'[2]FPC wSEB'!$I259</f>
        <v>2257</v>
      </c>
      <c r="D162" s="4">
        <f>'[2]FPC wSEB'!$AA259</f>
        <v>2362</v>
      </c>
      <c r="Z162" s="6">
        <f t="shared" si="14"/>
        <v>2257</v>
      </c>
      <c r="AB162" s="4">
        <f t="shared" si="15"/>
        <v>2257</v>
      </c>
      <c r="BN162" s="4">
        <v>1996</v>
      </c>
      <c r="BO162" s="4">
        <v>2</v>
      </c>
      <c r="BU162" s="108"/>
      <c r="BV162" s="108"/>
    </row>
    <row r="163" spans="1:74">
      <c r="A163" s="4">
        <v>1996</v>
      </c>
      <c r="B163" s="4">
        <v>3</v>
      </c>
      <c r="C163" s="4">
        <f>'[2]FPC wSEB'!$I260</f>
        <v>2207</v>
      </c>
      <c r="D163" s="4">
        <f>'[2]FPC wSEB'!$AA260</f>
        <v>2384</v>
      </c>
      <c r="Z163" s="6">
        <f t="shared" si="14"/>
        <v>2207</v>
      </c>
      <c r="AB163" s="4">
        <f t="shared" si="15"/>
        <v>2207</v>
      </c>
      <c r="BN163" s="4">
        <v>1996</v>
      </c>
      <c r="BO163" s="4">
        <v>3</v>
      </c>
      <c r="BU163" s="108"/>
      <c r="BV163" s="108"/>
    </row>
    <row r="164" spans="1:74">
      <c r="A164" s="4">
        <v>1996</v>
      </c>
      <c r="B164" s="4">
        <v>4</v>
      </c>
      <c r="C164" s="4">
        <f>'[2]FPC wSEB'!$I261</f>
        <v>2219</v>
      </c>
      <c r="D164" s="4">
        <f>'[2]FPC wSEB'!$AA261</f>
        <v>2341</v>
      </c>
      <c r="Z164" s="6">
        <f t="shared" si="14"/>
        <v>2219</v>
      </c>
      <c r="AB164" s="4">
        <f t="shared" si="15"/>
        <v>2219</v>
      </c>
      <c r="BN164" s="4">
        <v>1996</v>
      </c>
      <c r="BO164" s="4">
        <v>4</v>
      </c>
      <c r="BU164" s="108"/>
      <c r="BV164" s="108"/>
    </row>
    <row r="165" spans="1:74">
      <c r="A165" s="4">
        <v>1996</v>
      </c>
      <c r="B165" s="4">
        <v>5</v>
      </c>
      <c r="C165" s="4">
        <f>'[2]FPC wSEB'!$I262</f>
        <v>2245</v>
      </c>
      <c r="D165" s="4">
        <f>'[2]FPC wSEB'!$AA262</f>
        <v>2320</v>
      </c>
      <c r="Z165" s="6">
        <f t="shared" si="14"/>
        <v>2245</v>
      </c>
      <c r="AB165" s="4">
        <f t="shared" si="15"/>
        <v>2245</v>
      </c>
      <c r="BN165" s="4">
        <v>1996</v>
      </c>
      <c r="BO165" s="4">
        <v>5</v>
      </c>
      <c r="BU165" s="108"/>
      <c r="BV165" s="108"/>
    </row>
    <row r="166" spans="1:74">
      <c r="A166" s="4">
        <v>1996</v>
      </c>
      <c r="B166" s="4">
        <v>6</v>
      </c>
      <c r="C166" s="4">
        <f>'[2]FPC wSEB'!$I263</f>
        <v>2281</v>
      </c>
      <c r="D166" s="4">
        <f>'[2]FPC wSEB'!$AA263</f>
        <v>2312</v>
      </c>
      <c r="Z166" s="6">
        <f t="shared" si="14"/>
        <v>2281</v>
      </c>
      <c r="AB166" s="4">
        <f t="shared" si="15"/>
        <v>2281</v>
      </c>
      <c r="BN166" s="4">
        <v>1996</v>
      </c>
      <c r="BO166" s="4">
        <v>6</v>
      </c>
      <c r="BU166" s="108"/>
      <c r="BV166" s="108"/>
    </row>
    <row r="167" spans="1:74">
      <c r="A167" s="4">
        <v>1996</v>
      </c>
      <c r="B167" s="4">
        <v>7</v>
      </c>
      <c r="C167" s="4">
        <f>'[2]FPC wSEB'!$I264</f>
        <v>2232</v>
      </c>
      <c r="D167" s="4">
        <f>'[2]FPC wSEB'!$AA264</f>
        <v>2312</v>
      </c>
      <c r="Z167" s="6">
        <f t="shared" si="14"/>
        <v>2232</v>
      </c>
      <c r="AB167" s="4">
        <f t="shared" si="15"/>
        <v>2232</v>
      </c>
      <c r="BN167" s="4">
        <v>1996</v>
      </c>
      <c r="BO167" s="4">
        <v>7</v>
      </c>
      <c r="BU167" s="108"/>
      <c r="BV167" s="108"/>
    </row>
    <row r="168" spans="1:74">
      <c r="A168" s="4">
        <v>1996</v>
      </c>
      <c r="B168" s="4">
        <v>8</v>
      </c>
      <c r="C168" s="4">
        <f>'[2]FPC wSEB'!$I265</f>
        <v>2212</v>
      </c>
      <c r="D168" s="4">
        <f>'[2]FPC wSEB'!$AA265</f>
        <v>2311</v>
      </c>
      <c r="Z168" s="6">
        <f t="shared" si="14"/>
        <v>2212</v>
      </c>
      <c r="AB168" s="4">
        <f t="shared" si="15"/>
        <v>2212</v>
      </c>
      <c r="BN168" s="4">
        <v>1996</v>
      </c>
      <c r="BO168" s="4">
        <v>8</v>
      </c>
      <c r="BU168" s="108"/>
      <c r="BV168" s="108"/>
    </row>
    <row r="169" spans="1:74">
      <c r="A169" s="4">
        <v>1996</v>
      </c>
      <c r="B169" s="4">
        <v>9</v>
      </c>
      <c r="C169" s="4">
        <f>'[2]FPC wSEB'!$I266</f>
        <v>2169</v>
      </c>
      <c r="D169" s="4">
        <f>'[2]FPC wSEB'!$AA266</f>
        <v>2303</v>
      </c>
      <c r="Z169" s="6">
        <f t="shared" si="14"/>
        <v>2169</v>
      </c>
      <c r="AB169" s="4">
        <f t="shared" si="15"/>
        <v>2169</v>
      </c>
      <c r="BN169" s="4">
        <v>1996</v>
      </c>
      <c r="BO169" s="4">
        <v>9</v>
      </c>
      <c r="BU169" s="108"/>
      <c r="BV169" s="108"/>
    </row>
    <row r="170" spans="1:74">
      <c r="A170" s="4">
        <v>1996</v>
      </c>
      <c r="B170" s="4">
        <v>10</v>
      </c>
      <c r="C170" s="4">
        <f>'[2]FPC wSEB'!$I267</f>
        <v>2236</v>
      </c>
      <c r="D170" s="4">
        <f>'[2]FPC wSEB'!$AA267</f>
        <v>2279</v>
      </c>
      <c r="Z170" s="6">
        <f t="shared" si="14"/>
        <v>2236</v>
      </c>
      <c r="AB170" s="4">
        <f t="shared" si="15"/>
        <v>2236</v>
      </c>
      <c r="BN170" s="4">
        <v>1996</v>
      </c>
      <c r="BO170" s="4">
        <v>10</v>
      </c>
      <c r="BU170" s="108"/>
      <c r="BV170" s="108"/>
    </row>
    <row r="171" spans="1:74">
      <c r="A171" s="4">
        <v>1996</v>
      </c>
      <c r="B171" s="4">
        <v>11</v>
      </c>
      <c r="C171" s="4">
        <f>'[2]FPC wSEB'!$I268</f>
        <v>2164</v>
      </c>
      <c r="D171" s="4">
        <f>'[2]FPC wSEB'!$AA268</f>
        <v>2273</v>
      </c>
      <c r="Z171" s="6">
        <f t="shared" si="14"/>
        <v>2164</v>
      </c>
      <c r="AB171" s="4">
        <f t="shared" si="15"/>
        <v>2164</v>
      </c>
      <c r="BN171" s="4">
        <v>1996</v>
      </c>
      <c r="BO171" s="4">
        <v>11</v>
      </c>
      <c r="BU171" s="108"/>
      <c r="BV171" s="108"/>
    </row>
    <row r="172" spans="1:74" s="89" customFormat="1">
      <c r="A172" s="89">
        <v>1996</v>
      </c>
      <c r="B172" s="89">
        <v>12</v>
      </c>
      <c r="C172" s="89">
        <f>'[2]FPC wSEB'!$I269</f>
        <v>1815</v>
      </c>
      <c r="D172" s="89">
        <f>'[2]FPC wSEB'!$AA269</f>
        <v>2265</v>
      </c>
      <c r="Z172" s="96">
        <f t="shared" si="14"/>
        <v>1815</v>
      </c>
      <c r="AB172" s="89">
        <f t="shared" si="15"/>
        <v>1815</v>
      </c>
      <c r="BN172" s="89">
        <v>1996</v>
      </c>
      <c r="BO172" s="89">
        <v>12</v>
      </c>
      <c r="BT172" s="96"/>
      <c r="BU172" s="117"/>
      <c r="BV172" s="117"/>
    </row>
    <row r="173" spans="1:74">
      <c r="A173" s="23">
        <v>1997</v>
      </c>
      <c r="B173" s="4">
        <v>1</v>
      </c>
      <c r="C173" s="4">
        <f>'[2]FPC wSEB'!$I270</f>
        <v>2191</v>
      </c>
      <c r="D173" s="4">
        <f>'[2]FPC wSEB'!$AA270</f>
        <v>2253</v>
      </c>
      <c r="Z173" s="6">
        <f t="shared" si="14"/>
        <v>2191</v>
      </c>
      <c r="AB173" s="4">
        <f t="shared" si="15"/>
        <v>2191</v>
      </c>
      <c r="BN173" s="4">
        <v>1997</v>
      </c>
      <c r="BO173" s="4">
        <v>1</v>
      </c>
      <c r="BP173" s="108">
        <f>(C173+[4]MWh!$AM7)</f>
        <v>2278.2947444050646</v>
      </c>
      <c r="BT173" s="175">
        <f t="shared" ref="BT173:BT233" si="16">BP173</f>
        <v>2278.2947444050646</v>
      </c>
      <c r="BU173" s="108"/>
      <c r="BV173" s="108"/>
    </row>
    <row r="174" spans="1:74">
      <c r="A174" s="23">
        <v>1997</v>
      </c>
      <c r="B174" s="4">
        <v>2</v>
      </c>
      <c r="C174" s="4">
        <f>'[2]FPC wSEB'!$I271</f>
        <v>2084</v>
      </c>
      <c r="D174" s="4">
        <f>'[2]FPC wSEB'!$AA271</f>
        <v>2261</v>
      </c>
      <c r="Z174" s="6">
        <f t="shared" si="14"/>
        <v>2084</v>
      </c>
      <c r="AB174" s="4">
        <f t="shared" si="15"/>
        <v>2084</v>
      </c>
      <c r="BN174" s="4">
        <v>1997</v>
      </c>
      <c r="BO174" s="4">
        <v>2</v>
      </c>
      <c r="BP174" s="108">
        <f>(C174+[4]MWh!$AM8)</f>
        <v>1930.6046414891871</v>
      </c>
      <c r="BT174" s="175">
        <f t="shared" si="16"/>
        <v>1930.6046414891871</v>
      </c>
      <c r="BU174" s="108"/>
      <c r="BV174" s="108"/>
    </row>
    <row r="175" spans="1:74">
      <c r="A175" s="23">
        <v>1997</v>
      </c>
      <c r="B175" s="4">
        <v>3</v>
      </c>
      <c r="C175" s="4">
        <f>'[2]FPC wSEB'!$I272</f>
        <v>2448</v>
      </c>
      <c r="D175" s="4">
        <f>'[2]FPC wSEB'!$AA272</f>
        <v>2254</v>
      </c>
      <c r="Z175" s="6">
        <f t="shared" si="14"/>
        <v>2448</v>
      </c>
      <c r="AB175" s="4">
        <f t="shared" si="15"/>
        <v>2448</v>
      </c>
      <c r="BN175" s="4">
        <v>1997</v>
      </c>
      <c r="BO175" s="4">
        <v>3</v>
      </c>
      <c r="BP175" s="108">
        <f>(C175+[4]MWh!$AM9)</f>
        <v>2861.5116135540898</v>
      </c>
      <c r="BT175" s="175">
        <f t="shared" si="16"/>
        <v>2861.5116135540898</v>
      </c>
      <c r="BU175" s="108"/>
      <c r="BV175" s="108"/>
    </row>
    <row r="176" spans="1:74">
      <c r="A176" s="23">
        <v>1997</v>
      </c>
      <c r="B176" s="4">
        <v>4</v>
      </c>
      <c r="C176" s="4">
        <f>'[2]FPC wSEB'!$I273</f>
        <v>2085</v>
      </c>
      <c r="D176" s="4">
        <f>'[2]FPC wSEB'!$AA273</f>
        <v>2242</v>
      </c>
      <c r="Z176" s="6">
        <f t="shared" si="14"/>
        <v>2085</v>
      </c>
      <c r="AB176" s="4">
        <f t="shared" si="15"/>
        <v>2085</v>
      </c>
      <c r="BN176" s="4">
        <v>1997</v>
      </c>
      <c r="BO176" s="4">
        <v>4</v>
      </c>
      <c r="BP176" s="108">
        <f>(C176+[4]MWh!$AM10)</f>
        <v>1728.8377633040316</v>
      </c>
      <c r="BT176" s="175">
        <f t="shared" si="16"/>
        <v>1728.8377633040316</v>
      </c>
      <c r="BU176" s="108"/>
      <c r="BV176" s="108"/>
    </row>
    <row r="177" spans="1:74">
      <c r="A177" s="23">
        <v>1997</v>
      </c>
      <c r="B177" s="4">
        <v>5</v>
      </c>
      <c r="C177" s="4">
        <f>'[2]FPC wSEB'!$I274</f>
        <v>2262</v>
      </c>
      <c r="D177" s="4">
        <f>'[2]FPC wSEB'!$AA274</f>
        <v>2216</v>
      </c>
      <c r="Z177" s="6">
        <f t="shared" si="14"/>
        <v>2262</v>
      </c>
      <c r="AB177" s="4">
        <f t="shared" si="15"/>
        <v>2262</v>
      </c>
      <c r="BN177" s="4">
        <v>1997</v>
      </c>
      <c r="BO177" s="4">
        <v>5</v>
      </c>
      <c r="BP177" s="108">
        <f>(C177+[4]MWh!$AM11)</f>
        <v>2765.0798422043877</v>
      </c>
      <c r="BT177" s="175">
        <f t="shared" si="16"/>
        <v>2765.0798422043877</v>
      </c>
      <c r="BU177" s="108"/>
      <c r="BV177" s="108"/>
    </row>
    <row r="178" spans="1:74">
      <c r="A178" s="23">
        <v>1997</v>
      </c>
      <c r="B178" s="4">
        <v>6</v>
      </c>
      <c r="C178" s="4">
        <f>'[2]FPC wSEB'!$I275</f>
        <v>2239</v>
      </c>
      <c r="D178" s="4">
        <f>'[2]FPC wSEB'!$AA275</f>
        <v>2204</v>
      </c>
      <c r="Z178" s="6">
        <f t="shared" si="14"/>
        <v>2239</v>
      </c>
      <c r="AB178" s="4">
        <f t="shared" si="15"/>
        <v>2239</v>
      </c>
      <c r="BN178" s="4">
        <v>1997</v>
      </c>
      <c r="BO178" s="4">
        <v>6</v>
      </c>
      <c r="BP178" s="108">
        <f>(C178+[4]MWh!$AM12)</f>
        <v>2062.6923650961744</v>
      </c>
      <c r="BT178" s="175">
        <f t="shared" si="16"/>
        <v>2062.6923650961744</v>
      </c>
      <c r="BU178" s="108"/>
      <c r="BV178" s="108"/>
    </row>
    <row r="179" spans="1:74">
      <c r="A179" s="23">
        <v>1997</v>
      </c>
      <c r="B179" s="4">
        <v>7</v>
      </c>
      <c r="C179" s="4">
        <f>'[2]FPC wSEB'!$I276</f>
        <v>2242</v>
      </c>
      <c r="D179" s="4">
        <f>'[2]FPC wSEB'!$AA276</f>
        <v>2186</v>
      </c>
      <c r="Z179" s="6">
        <f t="shared" si="14"/>
        <v>2242</v>
      </c>
      <c r="AB179" s="4">
        <f t="shared" si="15"/>
        <v>2242</v>
      </c>
      <c r="BN179" s="4">
        <v>1997</v>
      </c>
      <c r="BO179" s="4">
        <v>7</v>
      </c>
      <c r="BP179" s="108">
        <f>(C179+[4]MWh!$AM13)</f>
        <v>2134.7681447174518</v>
      </c>
      <c r="BT179" s="175">
        <f t="shared" si="16"/>
        <v>2134.7681447174518</v>
      </c>
      <c r="BU179" s="108"/>
      <c r="BV179" s="108"/>
    </row>
    <row r="180" spans="1:74">
      <c r="A180" s="23">
        <v>1997</v>
      </c>
      <c r="B180" s="4">
        <v>8</v>
      </c>
      <c r="C180" s="4">
        <f>'[2]FPC wSEB'!$I277</f>
        <v>2269</v>
      </c>
      <c r="D180" s="4">
        <f>'[2]FPC wSEB'!$AA277</f>
        <v>2203</v>
      </c>
      <c r="Z180" s="6">
        <f t="shared" si="14"/>
        <v>2269</v>
      </c>
      <c r="AB180" s="4">
        <f t="shared" si="15"/>
        <v>2269</v>
      </c>
      <c r="BN180" s="4">
        <v>1997</v>
      </c>
      <c r="BO180" s="4">
        <v>8</v>
      </c>
      <c r="BP180" s="108">
        <f>(C180+[4]MWh!$AM14)</f>
        <v>2420.5005031748074</v>
      </c>
      <c r="BT180" s="175">
        <f t="shared" si="16"/>
        <v>2420.5005031748074</v>
      </c>
      <c r="BU180" s="108"/>
      <c r="BV180" s="108"/>
    </row>
    <row r="181" spans="1:74">
      <c r="A181" s="23">
        <v>1997</v>
      </c>
      <c r="B181" s="4">
        <v>9</v>
      </c>
      <c r="C181" s="4">
        <f>'[2]FPC wSEB'!$I278</f>
        <v>2260</v>
      </c>
      <c r="D181" s="4">
        <f>'[2]FPC wSEB'!$AA278</f>
        <v>2206</v>
      </c>
      <c r="Z181" s="6">
        <f t="shared" si="14"/>
        <v>2260</v>
      </c>
      <c r="AB181" s="4">
        <f t="shared" si="15"/>
        <v>2260</v>
      </c>
      <c r="BN181" s="4">
        <v>1997</v>
      </c>
      <c r="BO181" s="4">
        <v>9</v>
      </c>
      <c r="BP181" s="108">
        <f>(C181+[4]MWh!$AM15)</f>
        <v>2119.205352830626</v>
      </c>
      <c r="BT181" s="175">
        <f t="shared" si="16"/>
        <v>2119.205352830626</v>
      </c>
      <c r="BU181" s="108"/>
      <c r="BV181" s="108"/>
    </row>
    <row r="182" spans="1:74">
      <c r="A182" s="23">
        <v>1997</v>
      </c>
      <c r="B182" s="4">
        <v>10</v>
      </c>
      <c r="C182" s="4">
        <f>'[2]FPC wSEB'!$I279</f>
        <v>2279</v>
      </c>
      <c r="D182" s="4">
        <f>'[2]FPC wSEB'!$AA279</f>
        <v>2197</v>
      </c>
      <c r="Z182" s="6">
        <f t="shared" si="14"/>
        <v>2279</v>
      </c>
      <c r="AB182" s="4">
        <f t="shared" si="15"/>
        <v>2279</v>
      </c>
      <c r="BN182" s="4">
        <v>1997</v>
      </c>
      <c r="BO182" s="4">
        <v>10</v>
      </c>
      <c r="BP182" s="108">
        <f>(C182+[4]MWh!$AM16)</f>
        <v>2078.7075887813617</v>
      </c>
      <c r="BT182" s="175">
        <f t="shared" si="16"/>
        <v>2078.7075887813617</v>
      </c>
      <c r="BU182" s="108"/>
      <c r="BV182" s="108"/>
    </row>
    <row r="183" spans="1:74">
      <c r="A183" s="23">
        <v>1997</v>
      </c>
      <c r="B183" s="4">
        <v>11</v>
      </c>
      <c r="C183" s="4">
        <f>'[2]FPC wSEB'!$I280</f>
        <v>2247</v>
      </c>
      <c r="D183" s="4">
        <f>'[2]FPC wSEB'!$AA280</f>
        <v>2183</v>
      </c>
      <c r="Z183" s="6">
        <f t="shared" si="14"/>
        <v>2247</v>
      </c>
      <c r="AB183" s="4">
        <f t="shared" si="15"/>
        <v>2247</v>
      </c>
      <c r="BN183" s="4">
        <v>1997</v>
      </c>
      <c r="BO183" s="4">
        <v>11</v>
      </c>
      <c r="BP183" s="108">
        <f>(C183+[4]MWh!$AM17)</f>
        <v>2330.2911116455716</v>
      </c>
      <c r="BT183" s="175">
        <f t="shared" si="16"/>
        <v>2330.2911116455716</v>
      </c>
      <c r="BU183" s="108"/>
      <c r="BV183" s="108"/>
    </row>
    <row r="184" spans="1:74" s="89" customFormat="1">
      <c r="A184" s="89">
        <v>1997</v>
      </c>
      <c r="B184" s="89">
        <v>12</v>
      </c>
      <c r="C184" s="89">
        <f>'[2]FPC wSEB'!$I281</f>
        <v>2277</v>
      </c>
      <c r="D184" s="89">
        <f>'[2]FPC wSEB'!$AA281</f>
        <v>2182</v>
      </c>
      <c r="Z184" s="96">
        <f t="shared" si="14"/>
        <v>2277</v>
      </c>
      <c r="AB184" s="89">
        <f t="shared" si="15"/>
        <v>2277</v>
      </c>
      <c r="BN184" s="89">
        <v>1997</v>
      </c>
      <c r="BO184" s="89">
        <v>12</v>
      </c>
      <c r="BP184" s="117">
        <f>(C184+[4]MWh!$AM18)</f>
        <v>2445.9029983633136</v>
      </c>
      <c r="BT184" s="176">
        <f t="shared" si="16"/>
        <v>2445.9029983633136</v>
      </c>
      <c r="BU184" s="117"/>
      <c r="BV184" s="117"/>
    </row>
    <row r="185" spans="1:74">
      <c r="A185" s="4">
        <v>1998</v>
      </c>
      <c r="B185" s="4">
        <v>1</v>
      </c>
      <c r="C185" s="4">
        <f>'[2]FPC wSEB'!$I282</f>
        <v>2173</v>
      </c>
      <c r="D185" s="4">
        <f>'[2]FPC wSEB'!$AA282</f>
        <v>2170</v>
      </c>
      <c r="Z185" s="6">
        <f t="shared" si="14"/>
        <v>2173</v>
      </c>
      <c r="AB185" s="4">
        <f t="shared" si="15"/>
        <v>2173</v>
      </c>
      <c r="BN185" s="4">
        <v>1998</v>
      </c>
      <c r="BO185" s="4">
        <v>1</v>
      </c>
      <c r="BP185" s="108">
        <f>(C185+[4]MWh!$AM19)</f>
        <v>1892.0054408342414</v>
      </c>
      <c r="BT185" s="175">
        <f t="shared" si="16"/>
        <v>1892.0054408342414</v>
      </c>
      <c r="BU185" s="108">
        <f t="shared" ref="BU185:BU248" si="17">BT185-BT173</f>
        <v>-386.28930357082322</v>
      </c>
      <c r="BV185" s="108"/>
    </row>
    <row r="186" spans="1:74">
      <c r="A186" s="4">
        <v>1998</v>
      </c>
      <c r="B186" s="4">
        <v>2</v>
      </c>
      <c r="C186" s="4">
        <f>'[2]FPC wSEB'!$I283</f>
        <v>2338</v>
      </c>
      <c r="D186" s="4">
        <f>'[2]FPC wSEB'!$AA283</f>
        <v>2160</v>
      </c>
      <c r="Z186" s="6">
        <f t="shared" si="14"/>
        <v>2338</v>
      </c>
      <c r="AB186" s="4">
        <f t="shared" si="15"/>
        <v>2338</v>
      </c>
      <c r="BN186" s="4">
        <v>1998</v>
      </c>
      <c r="BO186" s="4">
        <v>2</v>
      </c>
      <c r="BP186" s="108">
        <f>(C186+[4]MWh!$AM20)</f>
        <v>2469.6587118096813</v>
      </c>
      <c r="BT186" s="175">
        <f t="shared" si="16"/>
        <v>2469.6587118096813</v>
      </c>
      <c r="BU186" s="108">
        <f t="shared" si="17"/>
        <v>539.05407032049425</v>
      </c>
      <c r="BV186" s="108"/>
    </row>
    <row r="187" spans="1:74">
      <c r="A187" s="4">
        <v>1998</v>
      </c>
      <c r="B187" s="4">
        <v>3</v>
      </c>
      <c r="C187" s="4">
        <f>'[2]FPC wSEB'!$I284</f>
        <v>2273</v>
      </c>
      <c r="D187" s="4">
        <f>'[2]FPC wSEB'!$AA284</f>
        <v>2157</v>
      </c>
      <c r="Z187" s="6">
        <f t="shared" si="14"/>
        <v>2273</v>
      </c>
      <c r="AB187" s="4">
        <f t="shared" si="15"/>
        <v>2273</v>
      </c>
      <c r="BN187" s="4">
        <v>1998</v>
      </c>
      <c r="BO187" s="4">
        <v>3</v>
      </c>
      <c r="BP187" s="108">
        <f>(C187+[4]MWh!$AM21)</f>
        <v>2408.0345038300275</v>
      </c>
      <c r="BT187" s="175">
        <f t="shared" si="16"/>
        <v>2408.0345038300275</v>
      </c>
      <c r="BU187" s="108">
        <f t="shared" si="17"/>
        <v>-453.4771097240623</v>
      </c>
      <c r="BV187" s="108"/>
    </row>
    <row r="188" spans="1:74">
      <c r="A188" s="4">
        <v>1998</v>
      </c>
      <c r="B188" s="4">
        <v>4</v>
      </c>
      <c r="C188" s="4">
        <f>'[2]FPC wSEB'!$I285</f>
        <v>2317</v>
      </c>
      <c r="D188" s="4">
        <f>'[2]FPC wSEB'!$AA285</f>
        <v>2157</v>
      </c>
      <c r="Z188" s="6">
        <f t="shared" si="14"/>
        <v>2317</v>
      </c>
      <c r="AB188" s="4">
        <f t="shared" si="15"/>
        <v>2317</v>
      </c>
      <c r="BN188" s="4">
        <v>1998</v>
      </c>
      <c r="BO188" s="4">
        <v>4</v>
      </c>
      <c r="BP188" s="108">
        <f>(C188+[4]MWh!$AM22)</f>
        <v>2203.4942094221378</v>
      </c>
      <c r="BT188" s="175">
        <f t="shared" si="16"/>
        <v>2203.4942094221378</v>
      </c>
      <c r="BU188" s="108">
        <f t="shared" si="17"/>
        <v>474.65644611810626</v>
      </c>
      <c r="BV188" s="108"/>
    </row>
    <row r="189" spans="1:74">
      <c r="A189" s="4">
        <v>1998</v>
      </c>
      <c r="B189" s="4">
        <v>5</v>
      </c>
      <c r="C189" s="4">
        <f>'[2]FPC wSEB'!$I286</f>
        <v>2246</v>
      </c>
      <c r="D189" s="4">
        <f>'[2]FPC wSEB'!$AA286</f>
        <v>2149</v>
      </c>
      <c r="Z189" s="6">
        <f t="shared" si="14"/>
        <v>2246</v>
      </c>
      <c r="AB189" s="4">
        <f t="shared" si="15"/>
        <v>2246</v>
      </c>
      <c r="BN189" s="4">
        <v>1998</v>
      </c>
      <c r="BO189" s="4">
        <v>5</v>
      </c>
      <c r="BP189" s="108">
        <f>(C189+[4]MWh!$AM23)</f>
        <v>2555.027968121085</v>
      </c>
      <c r="BT189" s="175">
        <f t="shared" si="16"/>
        <v>2555.027968121085</v>
      </c>
      <c r="BU189" s="108">
        <f t="shared" si="17"/>
        <v>-210.05187408330266</v>
      </c>
      <c r="BV189" s="108"/>
    </row>
    <row r="190" spans="1:74">
      <c r="A190" s="4">
        <v>1998</v>
      </c>
      <c r="B190" s="4">
        <v>6</v>
      </c>
      <c r="C190" s="4">
        <f>'[2]FPC wSEB'!$I287</f>
        <v>2237</v>
      </c>
      <c r="D190" s="4">
        <f>'[2]FPC wSEB'!$AA287</f>
        <v>2138</v>
      </c>
      <c r="Z190" s="6">
        <f t="shared" si="14"/>
        <v>2237</v>
      </c>
      <c r="AB190" s="4">
        <f t="shared" si="15"/>
        <v>2237</v>
      </c>
      <c r="BN190" s="4">
        <v>1998</v>
      </c>
      <c r="BO190" s="4">
        <v>6</v>
      </c>
      <c r="BP190" s="108">
        <f>(C190+[4]MWh!$AM24)</f>
        <v>2108.6449070016888</v>
      </c>
      <c r="BT190" s="175">
        <f t="shared" si="16"/>
        <v>2108.6449070016888</v>
      </c>
      <c r="BU190" s="108">
        <f t="shared" si="17"/>
        <v>45.952541905514408</v>
      </c>
      <c r="BV190" s="108"/>
    </row>
    <row r="191" spans="1:74">
      <c r="A191" s="4">
        <v>1998</v>
      </c>
      <c r="B191" s="4">
        <v>7</v>
      </c>
      <c r="C191" s="4">
        <f>'[2]FPC wSEB'!$I288</f>
        <v>2243</v>
      </c>
      <c r="D191" s="4">
        <f>'[2]FPC wSEB'!$AA288</f>
        <v>2125</v>
      </c>
      <c r="Z191" s="6">
        <f t="shared" si="14"/>
        <v>2243</v>
      </c>
      <c r="AB191" s="4">
        <f t="shared" si="15"/>
        <v>2243</v>
      </c>
      <c r="BN191" s="4">
        <v>1998</v>
      </c>
      <c r="BO191" s="4">
        <v>7</v>
      </c>
      <c r="BP191" s="108">
        <f>(C191+[4]MWh!$AM25)</f>
        <v>2103.7269430008701</v>
      </c>
      <c r="BT191" s="175">
        <f t="shared" si="16"/>
        <v>2103.7269430008701</v>
      </c>
      <c r="BU191" s="108">
        <f t="shared" si="17"/>
        <v>-31.041201716581782</v>
      </c>
      <c r="BV191" s="108"/>
    </row>
    <row r="192" spans="1:74">
      <c r="A192" s="4">
        <v>1998</v>
      </c>
      <c r="B192" s="4">
        <v>8</v>
      </c>
      <c r="C192" s="4">
        <f>'[2]FPC wSEB'!$I289</f>
        <v>2203</v>
      </c>
      <c r="D192" s="4">
        <f>'[2]FPC wSEB'!$AA289</f>
        <v>2101</v>
      </c>
      <c r="Z192" s="6">
        <f t="shared" si="14"/>
        <v>2203</v>
      </c>
      <c r="AB192" s="4">
        <f t="shared" si="15"/>
        <v>2203</v>
      </c>
      <c r="BN192" s="4">
        <v>1998</v>
      </c>
      <c r="BO192" s="4">
        <v>8</v>
      </c>
      <c r="BP192" s="108">
        <f>(C192+[4]MWh!$AM26)</f>
        <v>2246.2718485978021</v>
      </c>
      <c r="BT192" s="175">
        <f t="shared" si="16"/>
        <v>2246.2718485978021</v>
      </c>
      <c r="BU192" s="108">
        <f t="shared" si="17"/>
        <v>-174.22865457700527</v>
      </c>
      <c r="BV192" s="108"/>
    </row>
    <row r="193" spans="1:74">
      <c r="A193" s="4">
        <v>1998</v>
      </c>
      <c r="B193" s="4">
        <v>9</v>
      </c>
      <c r="C193" s="4">
        <f>'[2]FPC wSEB'!$I290</f>
        <v>2202</v>
      </c>
      <c r="D193" s="4">
        <f>'[2]FPC wSEB'!$AA290</f>
        <v>2093</v>
      </c>
      <c r="Z193" s="6">
        <f t="shared" si="14"/>
        <v>2202</v>
      </c>
      <c r="AB193" s="4">
        <f t="shared" si="15"/>
        <v>2202</v>
      </c>
      <c r="BN193" s="4">
        <v>1998</v>
      </c>
      <c r="BO193" s="4">
        <v>9</v>
      </c>
      <c r="BP193" s="108">
        <f>(C193+[4]MWh!$AM27)</f>
        <v>2208.2405456375109</v>
      </c>
      <c r="BT193" s="175">
        <f t="shared" si="16"/>
        <v>2208.2405456375109</v>
      </c>
      <c r="BU193" s="108">
        <f t="shared" si="17"/>
        <v>89.035192806884879</v>
      </c>
      <c r="BV193" s="108"/>
    </row>
    <row r="194" spans="1:74">
      <c r="A194" s="4">
        <v>1998</v>
      </c>
      <c r="B194" s="4">
        <v>10</v>
      </c>
      <c r="C194" s="4">
        <f>'[2]FPC wSEB'!$I291</f>
        <v>2205</v>
      </c>
      <c r="D194" s="4">
        <f>'[2]FPC wSEB'!$AA291</f>
        <v>2090</v>
      </c>
      <c r="Z194" s="6">
        <f t="shared" si="14"/>
        <v>2205</v>
      </c>
      <c r="AB194" s="4">
        <f t="shared" si="15"/>
        <v>2205</v>
      </c>
      <c r="BN194" s="4">
        <v>1998</v>
      </c>
      <c r="BO194" s="4">
        <v>10</v>
      </c>
      <c r="BP194" s="108">
        <f>(C194+[4]MWh!$AM28)</f>
        <v>2103.1447135393901</v>
      </c>
      <c r="BT194" s="175">
        <f t="shared" si="16"/>
        <v>2103.1447135393901</v>
      </c>
      <c r="BU194" s="108">
        <f t="shared" si="17"/>
        <v>24.437124758028403</v>
      </c>
      <c r="BV194" s="108"/>
    </row>
    <row r="195" spans="1:74">
      <c r="A195" s="4">
        <v>1998</v>
      </c>
      <c r="B195" s="4">
        <v>11</v>
      </c>
      <c r="C195" s="4">
        <f>'[2]FPC wSEB'!$I292</f>
        <v>2219</v>
      </c>
      <c r="D195" s="4">
        <f>'[2]FPC wSEB'!$AA292</f>
        <v>2095</v>
      </c>
      <c r="Z195" s="6">
        <f t="shared" si="14"/>
        <v>2219</v>
      </c>
      <c r="AB195" s="4">
        <f t="shared" si="15"/>
        <v>2219</v>
      </c>
      <c r="BN195" s="4">
        <v>1998</v>
      </c>
      <c r="BO195" s="4">
        <v>11</v>
      </c>
      <c r="BP195" s="108">
        <f>(C195+[4]MWh!$AM29)</f>
        <v>2299.2328370601599</v>
      </c>
      <c r="BT195" s="175">
        <f t="shared" si="16"/>
        <v>2299.2328370601599</v>
      </c>
      <c r="BU195" s="108">
        <f t="shared" si="17"/>
        <v>-31.058274585411709</v>
      </c>
      <c r="BV195" s="108"/>
    </row>
    <row r="196" spans="1:74" s="89" customFormat="1">
      <c r="A196" s="89">
        <v>1998</v>
      </c>
      <c r="B196" s="89">
        <v>12</v>
      </c>
      <c r="C196" s="89">
        <f>'[2]FPC wSEB'!$I293</f>
        <v>2219</v>
      </c>
      <c r="D196" s="89">
        <f>'[2]FPC wSEB'!$AA293</f>
        <v>2084</v>
      </c>
      <c r="Z196" s="96">
        <f t="shared" si="14"/>
        <v>2219</v>
      </c>
      <c r="AB196" s="89">
        <f t="shared" si="15"/>
        <v>2219</v>
      </c>
      <c r="BN196" s="89">
        <v>1998</v>
      </c>
      <c r="BO196" s="89">
        <v>12</v>
      </c>
      <c r="BP196" s="117">
        <f>(C196+[4]MWh!$AM30)</f>
        <v>2139.5621910330592</v>
      </c>
      <c r="BT196" s="176">
        <f t="shared" si="16"/>
        <v>2139.5621910330592</v>
      </c>
      <c r="BU196" s="117">
        <f t="shared" si="17"/>
        <v>-306.34080733025439</v>
      </c>
      <c r="BV196" s="117"/>
    </row>
    <row r="197" spans="1:74">
      <c r="A197" s="4">
        <v>1999</v>
      </c>
      <c r="B197" s="4">
        <v>1</v>
      </c>
      <c r="C197" s="4">
        <f>'[2]FPC wSEB'!$I294</f>
        <v>2220</v>
      </c>
      <c r="D197" s="4">
        <f>'[2]FPC wSEB'!$AA294</f>
        <v>2072</v>
      </c>
      <c r="Z197" s="6">
        <f t="shared" si="14"/>
        <v>2220</v>
      </c>
      <c r="AB197" s="4">
        <f t="shared" si="15"/>
        <v>2220</v>
      </c>
      <c r="BN197" s="4">
        <v>1999</v>
      </c>
      <c r="BO197" s="4">
        <v>1</v>
      </c>
      <c r="BP197" s="108">
        <f>(C197+[4]MWh!$AM31)</f>
        <v>2238.2418105685529</v>
      </c>
      <c r="BT197" s="175">
        <f t="shared" si="16"/>
        <v>2238.2418105685529</v>
      </c>
      <c r="BU197" s="108">
        <f t="shared" si="17"/>
        <v>346.23636973431144</v>
      </c>
      <c r="BV197" s="108"/>
    </row>
    <row r="198" spans="1:74">
      <c r="A198" s="4">
        <v>1999</v>
      </c>
      <c r="B198" s="4">
        <v>2</v>
      </c>
      <c r="C198" s="4">
        <f>'[2]FPC wSEB'!$I295</f>
        <v>2222</v>
      </c>
      <c r="D198" s="4">
        <f>'[2]FPC wSEB'!$AA295</f>
        <v>2077</v>
      </c>
      <c r="Z198" s="6">
        <f t="shared" si="14"/>
        <v>2222</v>
      </c>
      <c r="AB198" s="4">
        <f t="shared" si="15"/>
        <v>2222</v>
      </c>
      <c r="BN198" s="4">
        <v>1999</v>
      </c>
      <c r="BO198" s="4">
        <v>2</v>
      </c>
      <c r="BP198" s="108">
        <f>(C198+[4]MWh!$AM32)</f>
        <v>2345.9638775902549</v>
      </c>
      <c r="BT198" s="175">
        <f t="shared" si="16"/>
        <v>2345.9638775902549</v>
      </c>
      <c r="BU198" s="108">
        <f t="shared" si="17"/>
        <v>-123.69483421942641</v>
      </c>
      <c r="BV198" s="108"/>
    </row>
    <row r="199" spans="1:74">
      <c r="A199" s="4">
        <v>1999</v>
      </c>
      <c r="B199" s="4">
        <v>3</v>
      </c>
      <c r="C199" s="4">
        <f>'[2]FPC wSEB'!$I296</f>
        <v>2231</v>
      </c>
      <c r="D199" s="4">
        <f>'[2]FPC wSEB'!$AA296</f>
        <v>2079</v>
      </c>
      <c r="Z199" s="6">
        <f t="shared" si="14"/>
        <v>2231</v>
      </c>
      <c r="AB199" s="4">
        <f t="shared" si="15"/>
        <v>2231</v>
      </c>
      <c r="BN199" s="4">
        <v>1999</v>
      </c>
      <c r="BO199" s="4">
        <v>3</v>
      </c>
      <c r="BP199" s="108">
        <f>(C199+[4]MWh!$AM33)</f>
        <v>2253.7718641350675</v>
      </c>
      <c r="BT199" s="175">
        <f t="shared" si="16"/>
        <v>2253.7718641350675</v>
      </c>
      <c r="BU199" s="108">
        <f t="shared" si="17"/>
        <v>-154.26263969495994</v>
      </c>
      <c r="BV199" s="108"/>
    </row>
    <row r="200" spans="1:74">
      <c r="A200" s="4">
        <v>1999</v>
      </c>
      <c r="B200" s="4">
        <v>4</v>
      </c>
      <c r="C200" s="4">
        <f>'[2]FPC wSEB'!$I297</f>
        <v>2202</v>
      </c>
      <c r="D200" s="4">
        <f>'[2]FPC wSEB'!$AA297</f>
        <v>2074</v>
      </c>
      <c r="Z200" s="6">
        <f t="shared" si="14"/>
        <v>2202</v>
      </c>
      <c r="AB200" s="4">
        <f t="shared" si="15"/>
        <v>2202</v>
      </c>
      <c r="BN200" s="4">
        <v>1999</v>
      </c>
      <c r="BO200" s="4">
        <v>4</v>
      </c>
      <c r="BP200" s="108">
        <f>(C200+[4]MWh!$AM34)</f>
        <v>2188.6760790249673</v>
      </c>
      <c r="BT200" s="175">
        <f t="shared" si="16"/>
        <v>2188.6760790249673</v>
      </c>
      <c r="BU200" s="108">
        <f t="shared" si="17"/>
        <v>-14.818130397170535</v>
      </c>
      <c r="BV200" s="108"/>
    </row>
    <row r="201" spans="1:74">
      <c r="A201" s="4">
        <v>1999</v>
      </c>
      <c r="B201" s="4">
        <v>5</v>
      </c>
      <c r="C201" s="4">
        <f>'[2]FPC wSEB'!$I298</f>
        <v>2215</v>
      </c>
      <c r="D201" s="4">
        <f>'[2]FPC wSEB'!$AA298</f>
        <v>2077</v>
      </c>
      <c r="Z201" s="6">
        <f t="shared" si="14"/>
        <v>2215</v>
      </c>
      <c r="AB201" s="4">
        <f t="shared" si="15"/>
        <v>2215</v>
      </c>
      <c r="BN201" s="4">
        <v>1999</v>
      </c>
      <c r="BO201" s="4">
        <v>5</v>
      </c>
      <c r="BP201" s="108">
        <f>(C201+[4]MWh!$AM35)</f>
        <v>2332.9084752639524</v>
      </c>
      <c r="BT201" s="175">
        <f t="shared" si="16"/>
        <v>2332.9084752639524</v>
      </c>
      <c r="BU201" s="108">
        <f t="shared" si="17"/>
        <v>-222.11949285713263</v>
      </c>
      <c r="BV201" s="108"/>
    </row>
    <row r="202" spans="1:74">
      <c r="A202" s="4">
        <v>1999</v>
      </c>
      <c r="B202" s="4">
        <v>6</v>
      </c>
      <c r="C202" s="4">
        <f>'[2]FPC wSEB'!$I299</f>
        <v>2201</v>
      </c>
      <c r="D202" s="4">
        <f>'[2]FPC wSEB'!$AA299</f>
        <v>2082</v>
      </c>
      <c r="Z202" s="6">
        <f t="shared" si="14"/>
        <v>2201</v>
      </c>
      <c r="AB202" s="4">
        <f t="shared" si="15"/>
        <v>2201</v>
      </c>
      <c r="BN202" s="4">
        <v>1999</v>
      </c>
      <c r="BO202" s="4">
        <v>6</v>
      </c>
      <c r="BP202" s="108">
        <f>(C202+[4]MWh!$AM36)</f>
        <v>2128.1926030896548</v>
      </c>
      <c r="BT202" s="175">
        <f t="shared" si="16"/>
        <v>2128.1926030896548</v>
      </c>
      <c r="BU202" s="108">
        <f t="shared" si="17"/>
        <v>19.54769608796596</v>
      </c>
      <c r="BV202" s="108"/>
    </row>
    <row r="203" spans="1:74">
      <c r="A203" s="4">
        <v>1999</v>
      </c>
      <c r="B203" s="4">
        <v>7</v>
      </c>
      <c r="C203" s="4">
        <f>'[2]FPC wSEB'!$I300</f>
        <v>2226</v>
      </c>
      <c r="D203" s="4">
        <f>'[2]FPC wSEB'!$AA300</f>
        <v>2089</v>
      </c>
      <c r="Z203" s="6">
        <f t="shared" si="14"/>
        <v>2226</v>
      </c>
      <c r="AB203" s="4">
        <f t="shared" si="15"/>
        <v>2226</v>
      </c>
      <c r="BN203" s="4">
        <v>1999</v>
      </c>
      <c r="BO203" s="4">
        <v>7</v>
      </c>
      <c r="BP203" s="108">
        <f>(C203+[4]MWh!$AM37)</f>
        <v>2335.6211653877672</v>
      </c>
      <c r="BT203" s="175">
        <f t="shared" si="16"/>
        <v>2335.6211653877672</v>
      </c>
      <c r="BU203" s="108">
        <f t="shared" si="17"/>
        <v>231.89422238689713</v>
      </c>
      <c r="BV203" s="108"/>
    </row>
    <row r="204" spans="1:74">
      <c r="A204" s="4">
        <v>1999</v>
      </c>
      <c r="B204" s="4">
        <v>8</v>
      </c>
      <c r="C204" s="4">
        <f>'[2]FPC wSEB'!$I301</f>
        <v>2227</v>
      </c>
      <c r="D204" s="4">
        <f>'[2]FPC wSEB'!$AA301</f>
        <v>2088</v>
      </c>
      <c r="Z204" s="6">
        <f t="shared" si="14"/>
        <v>2227</v>
      </c>
      <c r="AB204" s="4">
        <f t="shared" si="15"/>
        <v>2227</v>
      </c>
      <c r="BN204" s="4">
        <v>1999</v>
      </c>
      <c r="BO204" s="4">
        <v>8</v>
      </c>
      <c r="BP204" s="108">
        <f>(C204+[4]MWh!$AM38)</f>
        <v>1955.816362785238</v>
      </c>
      <c r="BT204" s="175">
        <f t="shared" si="16"/>
        <v>1955.816362785238</v>
      </c>
      <c r="BU204" s="108">
        <f t="shared" si="17"/>
        <v>-290.45548581256412</v>
      </c>
      <c r="BV204" s="108"/>
    </row>
    <row r="205" spans="1:74">
      <c r="A205" s="4">
        <v>1999</v>
      </c>
      <c r="B205" s="4">
        <v>9</v>
      </c>
      <c r="C205" s="4">
        <f>'[2]FPC wSEB'!$I302</f>
        <v>2217</v>
      </c>
      <c r="D205" s="4">
        <f>'[2]FPC wSEB'!$AA302</f>
        <v>2082</v>
      </c>
      <c r="Z205" s="6">
        <f t="shared" si="14"/>
        <v>2217</v>
      </c>
      <c r="AB205" s="4">
        <f t="shared" si="15"/>
        <v>2217</v>
      </c>
      <c r="BN205" s="4">
        <v>1999</v>
      </c>
      <c r="BO205" s="4">
        <v>9</v>
      </c>
      <c r="BP205" s="108">
        <f>(C205+[4]MWh!$AM39)</f>
        <v>2137.3855937146072</v>
      </c>
      <c r="BT205" s="175">
        <f t="shared" si="16"/>
        <v>2137.3855937146072</v>
      </c>
      <c r="BU205" s="108">
        <f t="shared" si="17"/>
        <v>-70.854951922903638</v>
      </c>
      <c r="BV205" s="108"/>
    </row>
    <row r="206" spans="1:74">
      <c r="A206" s="4">
        <v>1999</v>
      </c>
      <c r="B206" s="4">
        <v>10</v>
      </c>
      <c r="C206" s="4">
        <f>'[2]FPC wSEB'!$I303</f>
        <v>2217</v>
      </c>
      <c r="D206" s="4">
        <f>'[2]FPC wSEB'!$AA303</f>
        <v>2086</v>
      </c>
      <c r="Z206" s="6">
        <f t="shared" si="14"/>
        <v>2217</v>
      </c>
      <c r="AB206" s="4">
        <f t="shared" si="15"/>
        <v>2217</v>
      </c>
      <c r="BN206" s="4">
        <v>1999</v>
      </c>
      <c r="BO206" s="4">
        <v>10</v>
      </c>
      <c r="BP206" s="108">
        <f>(C206+[4]MWh!$AM40)</f>
        <v>2243.3768517060053</v>
      </c>
      <c r="BT206" s="175">
        <f t="shared" si="16"/>
        <v>2243.3768517060053</v>
      </c>
      <c r="BU206" s="108">
        <f t="shared" si="17"/>
        <v>140.23213816661519</v>
      </c>
      <c r="BV206" s="108"/>
    </row>
    <row r="207" spans="1:74">
      <c r="A207" s="4">
        <v>1999</v>
      </c>
      <c r="B207" s="4">
        <v>11</v>
      </c>
      <c r="C207" s="4">
        <f>'[2]FPC wSEB'!$I304</f>
        <v>2228</v>
      </c>
      <c r="D207" s="4">
        <f>'[2]FPC wSEB'!$AA304</f>
        <v>2071</v>
      </c>
      <c r="Z207" s="6">
        <f t="shared" si="14"/>
        <v>2228</v>
      </c>
      <c r="AB207" s="4">
        <f t="shared" si="15"/>
        <v>2228</v>
      </c>
      <c r="BN207" s="4">
        <v>1999</v>
      </c>
      <c r="BO207" s="4">
        <v>11</v>
      </c>
      <c r="BP207" s="108">
        <f>(C207+[4]MWh!$AM41)</f>
        <v>2239.9542905251301</v>
      </c>
      <c r="BT207" s="175">
        <f t="shared" si="16"/>
        <v>2239.9542905251301</v>
      </c>
      <c r="BU207" s="108">
        <f t="shared" si="17"/>
        <v>-59.278546535029818</v>
      </c>
      <c r="BV207" s="108"/>
    </row>
    <row r="208" spans="1:74" s="89" customFormat="1">
      <c r="A208" s="89">
        <v>1999</v>
      </c>
      <c r="B208" s="89">
        <v>12</v>
      </c>
      <c r="C208" s="89">
        <f>'[2]FPC wSEB'!$I305</f>
        <v>2263</v>
      </c>
      <c r="D208" s="89">
        <f>'[2]FPC wSEB'!$AA305</f>
        <v>2076</v>
      </c>
      <c r="Z208" s="96">
        <f t="shared" si="14"/>
        <v>2263</v>
      </c>
      <c r="AB208" s="89">
        <f t="shared" si="15"/>
        <v>2263</v>
      </c>
      <c r="BN208" s="89">
        <v>1999</v>
      </c>
      <c r="BO208" s="89">
        <v>12</v>
      </c>
      <c r="BP208" s="117">
        <f>(C208+[4]MWh!$AM42)</f>
        <v>2469.2903005986154</v>
      </c>
      <c r="BT208" s="176">
        <f t="shared" si="16"/>
        <v>2469.2903005986154</v>
      </c>
      <c r="BU208" s="117">
        <f t="shared" si="17"/>
        <v>329.72810956555622</v>
      </c>
      <c r="BV208" s="117"/>
    </row>
    <row r="209" spans="1:74">
      <c r="A209" s="4">
        <v>2000</v>
      </c>
      <c r="B209" s="4">
        <v>1</v>
      </c>
      <c r="C209" s="4">
        <f>'[2]FPC wSEB'!$I306</f>
        <v>2255</v>
      </c>
      <c r="D209" s="4">
        <f>'[2]FPC wSEB'!$AA306</f>
        <v>2082</v>
      </c>
      <c r="Z209" s="6">
        <f t="shared" si="14"/>
        <v>2255</v>
      </c>
      <c r="AB209" s="4">
        <f>[9]SHLMWh!$E89</f>
        <v>2259</v>
      </c>
      <c r="BN209" s="4">
        <v>2000</v>
      </c>
      <c r="BO209" s="4">
        <v>1</v>
      </c>
      <c r="BP209" s="108">
        <f>(C209+[4]MWh!$AM43)</f>
        <v>2466.1796275093729</v>
      </c>
      <c r="BT209" s="175">
        <f t="shared" si="16"/>
        <v>2466.1796275093729</v>
      </c>
      <c r="BU209" s="108">
        <f t="shared" si="17"/>
        <v>227.93781694082008</v>
      </c>
      <c r="BV209" s="108"/>
    </row>
    <row r="210" spans="1:74">
      <c r="A210" s="4">
        <v>2000</v>
      </c>
      <c r="B210" s="4">
        <v>2</v>
      </c>
      <c r="C210" s="4">
        <f>'[2]FPC wSEB'!$I307</f>
        <v>2197</v>
      </c>
      <c r="D210" s="4">
        <f>'[2]FPC wSEB'!$AA307</f>
        <v>2085</v>
      </c>
      <c r="Z210" s="6">
        <f t="shared" ref="Z210:Z232" si="18">C210</f>
        <v>2197</v>
      </c>
      <c r="AB210" s="4">
        <f>[9]SHLMWh!$E90</f>
        <v>2197</v>
      </c>
      <c r="BN210" s="4">
        <v>2000</v>
      </c>
      <c r="BO210" s="4">
        <v>2</v>
      </c>
      <c r="BP210" s="108">
        <f>(C210+[4]MWh!$AM44)</f>
        <v>1585.0597775990559</v>
      </c>
      <c r="BT210" s="175">
        <f t="shared" si="16"/>
        <v>1585.0597775990559</v>
      </c>
      <c r="BU210" s="108">
        <f t="shared" si="17"/>
        <v>-760.90409999119902</v>
      </c>
      <c r="BV210" s="108"/>
    </row>
    <row r="211" spans="1:74">
      <c r="A211" s="4">
        <v>2000</v>
      </c>
      <c r="B211" s="4">
        <v>3</v>
      </c>
      <c r="C211" s="4">
        <f>'[2]FPC wSEB'!$I308</f>
        <v>2219</v>
      </c>
      <c r="D211" s="4">
        <f>'[2]FPC wSEB'!$AA308</f>
        <v>2076</v>
      </c>
      <c r="Z211" s="6">
        <f t="shared" si="18"/>
        <v>2219</v>
      </c>
      <c r="AB211" s="4">
        <f>[9]SHLMWh!$E91</f>
        <v>2219</v>
      </c>
      <c r="BN211" s="4">
        <v>2000</v>
      </c>
      <c r="BO211" s="4">
        <v>3</v>
      </c>
      <c r="BP211" s="108">
        <f>(C211+[4]MWh!$AM45)</f>
        <v>2633.2980347351281</v>
      </c>
      <c r="BT211" s="175">
        <f t="shared" si="16"/>
        <v>2633.2980347351281</v>
      </c>
      <c r="BU211" s="108">
        <f t="shared" si="17"/>
        <v>379.5261706000606</v>
      </c>
      <c r="BV211" s="108"/>
    </row>
    <row r="212" spans="1:74">
      <c r="A212" s="4">
        <v>2000</v>
      </c>
      <c r="B212" s="4">
        <v>4</v>
      </c>
      <c r="C212" s="4">
        <f>'[2]FPC wSEB'!$I309</f>
        <v>3007</v>
      </c>
      <c r="D212" s="4">
        <f>'[2]FPC wSEB'!$AA309</f>
        <v>2080</v>
      </c>
      <c r="Z212" s="6">
        <f t="shared" si="18"/>
        <v>3007</v>
      </c>
      <c r="AB212" s="4">
        <f>[9]SHLMWh!$E92</f>
        <v>3008</v>
      </c>
      <c r="BN212" s="4">
        <v>2000</v>
      </c>
      <c r="BO212" s="4">
        <v>4</v>
      </c>
      <c r="BP212" s="108">
        <f>(C212+[4]MWh!$AM46)</f>
        <v>3287.816243240195</v>
      </c>
      <c r="BT212" s="175">
        <f t="shared" si="16"/>
        <v>3287.816243240195</v>
      </c>
      <c r="BU212" s="108">
        <f t="shared" si="17"/>
        <v>1099.1401642152277</v>
      </c>
      <c r="BV212" s="108"/>
    </row>
    <row r="213" spans="1:74">
      <c r="A213" s="4">
        <v>2000</v>
      </c>
      <c r="B213" s="4">
        <v>5</v>
      </c>
      <c r="C213" s="4">
        <f>'[2]FPC wSEB'!$I310</f>
        <v>2258</v>
      </c>
      <c r="D213" s="4">
        <f>'[2]FPC wSEB'!$AA310</f>
        <v>2080</v>
      </c>
      <c r="Z213" s="6">
        <f t="shared" si="18"/>
        <v>2258</v>
      </c>
      <c r="AB213" s="4">
        <f>[9]SHLMWh!$E93</f>
        <v>2258</v>
      </c>
      <c r="BN213" s="4">
        <v>2000</v>
      </c>
      <c r="BO213" s="4">
        <v>5</v>
      </c>
      <c r="BP213" s="108">
        <f>(C213+[4]MWh!$AM47)</f>
        <v>2203.2952278339426</v>
      </c>
      <c r="BT213" s="175">
        <f t="shared" si="16"/>
        <v>2203.2952278339426</v>
      </c>
      <c r="BU213" s="108">
        <f t="shared" si="17"/>
        <v>-129.61324743000978</v>
      </c>
      <c r="BV213" s="108"/>
    </row>
    <row r="214" spans="1:74">
      <c r="A214" s="4">
        <v>2000</v>
      </c>
      <c r="B214" s="4">
        <v>6</v>
      </c>
      <c r="C214" s="4">
        <f>'[2]FPC wSEB'!$I311</f>
        <v>2292</v>
      </c>
      <c r="D214" s="4">
        <f>'[2]FPC wSEB'!$AA311</f>
        <v>2080</v>
      </c>
      <c r="Z214" s="6">
        <f t="shared" si="18"/>
        <v>2292</v>
      </c>
      <c r="AB214" s="4">
        <f>[9]SHLMWh!$E94</f>
        <v>2292</v>
      </c>
      <c r="BN214" s="4">
        <v>2000</v>
      </c>
      <c r="BO214" s="4">
        <v>6</v>
      </c>
      <c r="BP214" s="108">
        <f>(C214+[4]MWh!$AM48)</f>
        <v>1896.8508349517451</v>
      </c>
      <c r="BT214" s="175">
        <f t="shared" si="16"/>
        <v>1896.8508349517451</v>
      </c>
      <c r="BU214" s="108">
        <f t="shared" si="17"/>
        <v>-231.34176813790964</v>
      </c>
      <c r="BV214" s="108"/>
    </row>
    <row r="215" spans="1:74">
      <c r="A215" s="4">
        <v>2000</v>
      </c>
      <c r="B215" s="4">
        <v>7</v>
      </c>
      <c r="C215" s="4">
        <f>'[2]FPC wSEB'!$I312</f>
        <v>2184</v>
      </c>
      <c r="D215" s="4">
        <f>'[2]FPC wSEB'!$AA312</f>
        <v>2066</v>
      </c>
      <c r="Z215" s="6">
        <f t="shared" si="18"/>
        <v>2184</v>
      </c>
      <c r="AB215" s="4">
        <f>[9]SHLMWh!$E95</f>
        <v>2181</v>
      </c>
      <c r="BN215" s="4">
        <v>2000</v>
      </c>
      <c r="BO215" s="4">
        <v>7</v>
      </c>
      <c r="BP215" s="108">
        <f>(C215+[4]MWh!$AM49)</f>
        <v>2003.1393014985695</v>
      </c>
      <c r="BT215" s="175">
        <f t="shared" si="16"/>
        <v>2003.1393014985695</v>
      </c>
      <c r="BU215" s="108">
        <f t="shared" si="17"/>
        <v>-332.48186388919771</v>
      </c>
      <c r="BV215" s="108"/>
    </row>
    <row r="216" spans="1:74">
      <c r="A216" s="4">
        <v>2000</v>
      </c>
      <c r="B216" s="4">
        <v>8</v>
      </c>
      <c r="C216" s="4">
        <f>'[2]FPC wSEB'!$I313</f>
        <v>2254</v>
      </c>
      <c r="D216" s="4">
        <f>'[2]FPC wSEB'!$AA313</f>
        <v>2065</v>
      </c>
      <c r="Z216" s="6">
        <f t="shared" si="18"/>
        <v>2254</v>
      </c>
      <c r="AB216" s="4">
        <f>[9]SHLMWh!$E96</f>
        <v>2255</v>
      </c>
      <c r="BN216" s="4">
        <v>2000</v>
      </c>
      <c r="BO216" s="4">
        <v>8</v>
      </c>
      <c r="BP216" s="108">
        <f>(C216+[4]MWh!$AM50)</f>
        <v>2490.5917003103377</v>
      </c>
      <c r="BT216" s="175">
        <f t="shared" si="16"/>
        <v>2490.5917003103377</v>
      </c>
      <c r="BU216" s="108">
        <f t="shared" si="17"/>
        <v>534.77533752509976</v>
      </c>
      <c r="BV216" s="108"/>
    </row>
    <row r="217" spans="1:74">
      <c r="A217" s="4">
        <v>2000</v>
      </c>
      <c r="B217" s="4">
        <v>9</v>
      </c>
      <c r="C217" s="4">
        <f>'[2]FPC wSEB'!$I314</f>
        <v>2317</v>
      </c>
      <c r="D217" s="4">
        <f>'[2]FPC wSEB'!$AA314</f>
        <v>2064</v>
      </c>
      <c r="Z217" s="6">
        <f t="shared" si="18"/>
        <v>2317</v>
      </c>
      <c r="AB217" s="4">
        <f>[9]SHLMWh!$E97</f>
        <v>2318</v>
      </c>
      <c r="BN217" s="4">
        <v>2000</v>
      </c>
      <c r="BO217" s="4">
        <v>9</v>
      </c>
      <c r="BP217" s="108">
        <f>(C217+[4]MWh!$AM51)</f>
        <v>2062.4599077852872</v>
      </c>
      <c r="BT217" s="175">
        <f t="shared" si="16"/>
        <v>2062.4599077852872</v>
      </c>
      <c r="BU217" s="108">
        <f t="shared" si="17"/>
        <v>-74.925685929320025</v>
      </c>
      <c r="BV217" s="108"/>
    </row>
    <row r="218" spans="1:74">
      <c r="A218" s="4">
        <v>2000</v>
      </c>
      <c r="B218" s="4">
        <v>10</v>
      </c>
      <c r="C218" s="4">
        <f>'[2]FPC wSEB'!$I315</f>
        <v>2310</v>
      </c>
      <c r="D218" s="4">
        <f>'[2]FPC wSEB'!$AA315</f>
        <v>2055</v>
      </c>
      <c r="Z218" s="6">
        <f t="shared" si="18"/>
        <v>2310</v>
      </c>
      <c r="AB218" s="4">
        <f>[9]SHLMWh!$E98</f>
        <v>2311</v>
      </c>
      <c r="BN218" s="4">
        <v>2000</v>
      </c>
      <c r="BO218" s="4">
        <v>10</v>
      </c>
      <c r="BP218" s="108">
        <f>(C218+[4]MWh!$AM52)</f>
        <v>2312.2934468665999</v>
      </c>
      <c r="BT218" s="175">
        <f t="shared" si="16"/>
        <v>2312.2934468665999</v>
      </c>
      <c r="BU218" s="108">
        <f t="shared" si="17"/>
        <v>68.916595160594625</v>
      </c>
      <c r="BV218" s="108"/>
    </row>
    <row r="219" spans="1:74">
      <c r="A219" s="4">
        <v>2000</v>
      </c>
      <c r="B219" s="4">
        <v>11</v>
      </c>
      <c r="C219" s="4">
        <f>'[2]FPC wSEB'!$I316</f>
        <v>2319</v>
      </c>
      <c r="D219" s="4">
        <f>'[2]FPC wSEB'!$AA316</f>
        <v>2059</v>
      </c>
      <c r="Z219" s="6">
        <f t="shared" si="18"/>
        <v>2319</v>
      </c>
      <c r="AB219" s="4">
        <f>[9]SHLMWh!$E99</f>
        <v>2319</v>
      </c>
      <c r="BN219" s="4">
        <v>2000</v>
      </c>
      <c r="BO219" s="4">
        <v>11</v>
      </c>
      <c r="BP219" s="108">
        <f>(C219+[4]MWh!$AM53)</f>
        <v>2523.777680982882</v>
      </c>
      <c r="BT219" s="175">
        <f t="shared" si="16"/>
        <v>2523.777680982882</v>
      </c>
      <c r="BU219" s="108">
        <f t="shared" si="17"/>
        <v>283.82339045775188</v>
      </c>
      <c r="BV219" s="108"/>
    </row>
    <row r="220" spans="1:74" s="89" customFormat="1">
      <c r="A220" s="89">
        <v>2000</v>
      </c>
      <c r="B220" s="89">
        <v>12</v>
      </c>
      <c r="C220" s="89">
        <f>'[2]FPC wSEB'!$I317</f>
        <v>2304</v>
      </c>
      <c r="D220" s="89">
        <f>'[2]FPC wSEB'!$AA317</f>
        <v>2050</v>
      </c>
      <c r="Z220" s="96">
        <f t="shared" si="18"/>
        <v>2304</v>
      </c>
      <c r="AB220" s="89">
        <f>[9]SHLMWh!$E100</f>
        <v>2304</v>
      </c>
      <c r="BN220" s="89">
        <v>2000</v>
      </c>
      <c r="BO220" s="89">
        <v>12</v>
      </c>
      <c r="BP220" s="117">
        <f>(C220+[4]MWh!$AM54)</f>
        <v>2598.9550259140851</v>
      </c>
      <c r="BT220" s="176">
        <f t="shared" si="16"/>
        <v>2598.9550259140851</v>
      </c>
      <c r="BU220" s="117">
        <f t="shared" si="17"/>
        <v>129.6647253154697</v>
      </c>
      <c r="BV220" s="117"/>
    </row>
    <row r="221" spans="1:74">
      <c r="A221" s="4">
        <f>A209+1</f>
        <v>2001</v>
      </c>
      <c r="B221" s="4">
        <f>B209</f>
        <v>1</v>
      </c>
      <c r="C221" s="4">
        <f>'[2]FPC wSEB'!$I318</f>
        <v>2330</v>
      </c>
      <c r="D221" s="4">
        <f>'[2]FPC wSEB'!$AA318</f>
        <v>2046</v>
      </c>
      <c r="Z221" s="6">
        <f t="shared" si="18"/>
        <v>2330</v>
      </c>
      <c r="AB221" s="4">
        <f>[9]SHLMWh!$E101</f>
        <v>2330</v>
      </c>
      <c r="BN221" s="4">
        <v>2001</v>
      </c>
      <c r="BO221" s="4">
        <v>1</v>
      </c>
      <c r="BP221" s="108">
        <f>(C221+[4]MWh!$AM55)</f>
        <v>1824.1610873548757</v>
      </c>
      <c r="BT221" s="175">
        <f t="shared" si="16"/>
        <v>1824.1610873548757</v>
      </c>
      <c r="BU221" s="108">
        <f t="shared" si="17"/>
        <v>-642.01854015449726</v>
      </c>
      <c r="BV221" s="108"/>
    </row>
    <row r="222" spans="1:74">
      <c r="A222" s="4">
        <f t="shared" ref="A222:A285" si="19">A210+1</f>
        <v>2001</v>
      </c>
      <c r="B222" s="4">
        <f t="shared" ref="B222:B285" si="20">B210</f>
        <v>2</v>
      </c>
      <c r="C222" s="4">
        <f>'[2]FPC wSEB'!$I319</f>
        <v>2358</v>
      </c>
      <c r="D222" s="4">
        <f>'[2]FPC wSEB'!$AA319</f>
        <v>2036</v>
      </c>
      <c r="Z222" s="6">
        <f t="shared" si="18"/>
        <v>2358</v>
      </c>
      <c r="AB222" s="4">
        <f>[9]SHLMWh!$E102</f>
        <v>2358</v>
      </c>
      <c r="BN222" s="4">
        <v>2001</v>
      </c>
      <c r="BO222" s="4">
        <v>2</v>
      </c>
      <c r="BP222" s="108">
        <f>(C222+[4]MWh!$AM56)</f>
        <v>2421.9232564341928</v>
      </c>
      <c r="BT222" s="175">
        <f t="shared" si="16"/>
        <v>2421.9232564341928</v>
      </c>
      <c r="BU222" s="108">
        <f t="shared" si="17"/>
        <v>836.8634788351369</v>
      </c>
      <c r="BV222" s="108"/>
    </row>
    <row r="223" spans="1:74">
      <c r="A223" s="4">
        <f t="shared" si="19"/>
        <v>2001</v>
      </c>
      <c r="B223" s="4">
        <f t="shared" si="20"/>
        <v>3</v>
      </c>
      <c r="C223" s="4">
        <f>'[2]FPC wSEB'!$I320</f>
        <v>2228</v>
      </c>
      <c r="D223" s="4">
        <f>'[2]FPC wSEB'!$AA320</f>
        <v>2031</v>
      </c>
      <c r="Z223" s="6">
        <f t="shared" si="18"/>
        <v>2228</v>
      </c>
      <c r="AB223" s="4">
        <f>[9]SHLMWh!$E103</f>
        <v>2228</v>
      </c>
      <c r="BN223" s="4">
        <v>2001</v>
      </c>
      <c r="BO223" s="4">
        <v>3</v>
      </c>
      <c r="BP223" s="108">
        <f>(C223+[4]MWh!$AM57)</f>
        <v>2374.1110231033581</v>
      </c>
      <c r="BT223" s="175">
        <f t="shared" si="16"/>
        <v>2374.1110231033581</v>
      </c>
      <c r="BU223" s="108">
        <f t="shared" si="17"/>
        <v>-259.18701163177002</v>
      </c>
      <c r="BV223" s="108"/>
    </row>
    <row r="224" spans="1:74">
      <c r="A224" s="4">
        <f t="shared" si="19"/>
        <v>2001</v>
      </c>
      <c r="B224" s="4">
        <f t="shared" si="20"/>
        <v>4</v>
      </c>
      <c r="C224" s="4">
        <f>'[2]FPC wSEB'!$I321</f>
        <v>2546</v>
      </c>
      <c r="D224" s="4">
        <f>'[2]FPC wSEB'!$AA321</f>
        <v>2028</v>
      </c>
      <c r="Z224" s="6">
        <f t="shared" si="18"/>
        <v>2546</v>
      </c>
      <c r="AB224" s="4">
        <f>[9]SHLMWh!$E104</f>
        <v>2546</v>
      </c>
      <c r="BN224" s="4">
        <v>2001</v>
      </c>
      <c r="BO224" s="4">
        <v>4</v>
      </c>
      <c r="BP224" s="108">
        <f>(C224+[4]MWh!$AM58)</f>
        <v>2661.8500478491787</v>
      </c>
      <c r="BT224" s="175">
        <f t="shared" si="16"/>
        <v>2661.8500478491787</v>
      </c>
      <c r="BU224" s="108">
        <f t="shared" si="17"/>
        <v>-625.9661953910163</v>
      </c>
      <c r="BV224" s="108"/>
    </row>
    <row r="225" spans="1:75">
      <c r="A225" s="4">
        <f t="shared" si="19"/>
        <v>2001</v>
      </c>
      <c r="B225" s="4">
        <f t="shared" si="20"/>
        <v>5</v>
      </c>
      <c r="C225" s="4">
        <f>'[2]FPC wSEB'!$I322</f>
        <v>2208</v>
      </c>
      <c r="D225" s="4">
        <f>'[2]FPC wSEB'!$AA322</f>
        <v>2022</v>
      </c>
      <c r="Z225" s="6">
        <f t="shared" si="18"/>
        <v>2208</v>
      </c>
      <c r="AB225" s="4">
        <f>[9]SHLMWh!$E105</f>
        <v>2208</v>
      </c>
      <c r="BN225" s="4">
        <v>2001</v>
      </c>
      <c r="BO225" s="4">
        <v>5</v>
      </c>
      <c r="BP225" s="108">
        <f>(C225+[4]MWh!$AM59)</f>
        <v>2286.7670224997023</v>
      </c>
      <c r="BT225" s="175">
        <f t="shared" si="16"/>
        <v>2286.7670224997023</v>
      </c>
      <c r="BU225" s="108">
        <f t="shared" si="17"/>
        <v>83.471794665759717</v>
      </c>
      <c r="BV225" s="108"/>
    </row>
    <row r="226" spans="1:75">
      <c r="A226" s="4">
        <f t="shared" si="19"/>
        <v>2001</v>
      </c>
      <c r="B226" s="4">
        <f t="shared" si="20"/>
        <v>6</v>
      </c>
      <c r="C226" s="4">
        <f>'[2]FPC wSEB'!$I323</f>
        <v>2458</v>
      </c>
      <c r="D226" s="4">
        <f>'[2]FPC wSEB'!$AA323</f>
        <v>2011</v>
      </c>
      <c r="Z226" s="6">
        <f t="shared" si="18"/>
        <v>2458</v>
      </c>
      <c r="AB226" s="4">
        <f>[9]SHLMWh!$E106</f>
        <v>2458</v>
      </c>
      <c r="BN226" s="4">
        <v>2001</v>
      </c>
      <c r="BO226" s="4">
        <v>6</v>
      </c>
      <c r="BP226" s="108">
        <f>(C226+[4]MWh!$AM60)</f>
        <v>2326.6457144652695</v>
      </c>
      <c r="BT226" s="175">
        <f t="shared" si="16"/>
        <v>2326.6457144652695</v>
      </c>
      <c r="BU226" s="108">
        <f t="shared" si="17"/>
        <v>429.79487951352439</v>
      </c>
      <c r="BV226" s="108"/>
    </row>
    <row r="227" spans="1:75">
      <c r="A227" s="4">
        <f t="shared" si="19"/>
        <v>2001</v>
      </c>
      <c r="B227" s="4">
        <f t="shared" si="20"/>
        <v>7</v>
      </c>
      <c r="C227" s="4">
        <f>'[2]FPC wSEB'!$I324</f>
        <v>2350</v>
      </c>
      <c r="D227" s="4">
        <f>'[2]FPC wSEB'!$AA324</f>
        <v>2009</v>
      </c>
      <c r="Z227" s="6">
        <f t="shared" si="18"/>
        <v>2350</v>
      </c>
      <c r="AB227" s="4">
        <f>[9]SHLMWh!$E107</f>
        <v>2350</v>
      </c>
      <c r="BN227" s="4">
        <v>2001</v>
      </c>
      <c r="BO227" s="4">
        <v>7</v>
      </c>
      <c r="BP227" s="108">
        <f>(C227+[4]MWh!$AM61)</f>
        <v>2330.3309540093351</v>
      </c>
      <c r="BT227" s="175">
        <f t="shared" si="16"/>
        <v>2330.3309540093351</v>
      </c>
      <c r="BU227" s="108">
        <f t="shared" si="17"/>
        <v>327.19165251076561</v>
      </c>
      <c r="BV227" s="108"/>
    </row>
    <row r="228" spans="1:75">
      <c r="A228" s="4">
        <f t="shared" si="19"/>
        <v>2001</v>
      </c>
      <c r="B228" s="4">
        <f t="shared" si="20"/>
        <v>8</v>
      </c>
      <c r="C228" s="4">
        <f>'[2]FPC wSEB'!$I325</f>
        <v>2297</v>
      </c>
      <c r="D228" s="4">
        <f>'[2]FPC wSEB'!$AA325</f>
        <v>2004</v>
      </c>
      <c r="Z228" s="6">
        <f t="shared" si="18"/>
        <v>2297</v>
      </c>
      <c r="AB228" s="4">
        <f>[9]SHLMWh!$E108</f>
        <v>2297</v>
      </c>
      <c r="BN228" s="4">
        <v>2001</v>
      </c>
      <c r="BO228" s="4">
        <v>8</v>
      </c>
      <c r="BP228" s="108">
        <f>(C228+[4]MWh!$AM62)</f>
        <v>2451.6314636450343</v>
      </c>
      <c r="BT228" s="175">
        <f t="shared" si="16"/>
        <v>2451.6314636450343</v>
      </c>
      <c r="BU228" s="108">
        <f t="shared" si="17"/>
        <v>-38.960236665303455</v>
      </c>
      <c r="BV228" s="108"/>
    </row>
    <row r="229" spans="1:75">
      <c r="A229" s="4">
        <f t="shared" si="19"/>
        <v>2001</v>
      </c>
      <c r="B229" s="4">
        <f t="shared" si="20"/>
        <v>9</v>
      </c>
      <c r="C229" s="4">
        <f>'[2]FPC wSEB'!$I326</f>
        <v>2397</v>
      </c>
      <c r="D229" s="4">
        <f>'[2]FPC wSEB'!$AA326</f>
        <v>2004</v>
      </c>
      <c r="Z229" s="6">
        <f t="shared" si="18"/>
        <v>2397</v>
      </c>
      <c r="AB229" s="4">
        <f>[9]SHLMWh!$E109</f>
        <v>2397</v>
      </c>
      <c r="BN229" s="4">
        <v>2001</v>
      </c>
      <c r="BO229" s="4">
        <v>9</v>
      </c>
      <c r="BP229" s="108">
        <f>(C229+[4]MWh!$AM63)</f>
        <v>2008.5687059142938</v>
      </c>
      <c r="BT229" s="175">
        <f t="shared" si="16"/>
        <v>2008.5687059142938</v>
      </c>
      <c r="BU229" s="108">
        <f t="shared" si="17"/>
        <v>-53.891201870993427</v>
      </c>
      <c r="BV229" s="108"/>
    </row>
    <row r="230" spans="1:75">
      <c r="A230" s="4">
        <f t="shared" si="19"/>
        <v>2001</v>
      </c>
      <c r="B230" s="4">
        <f t="shared" si="20"/>
        <v>10</v>
      </c>
      <c r="C230" s="4">
        <f>'[2]FPC wSEB'!$I327</f>
        <v>2353</v>
      </c>
      <c r="D230" s="4">
        <f>'[2]FPC wSEB'!$AA327</f>
        <v>2004</v>
      </c>
      <c r="Z230" s="6">
        <f t="shared" si="18"/>
        <v>2353</v>
      </c>
      <c r="AB230" s="4">
        <f>[9]SHLMWh!$E110</f>
        <v>2352</v>
      </c>
      <c r="BN230" s="4">
        <v>2001</v>
      </c>
      <c r="BO230" s="4">
        <v>10</v>
      </c>
      <c r="BP230" s="108">
        <f>(C230+[4]MWh!$AM64)</f>
        <v>2584.3269762342716</v>
      </c>
      <c r="BT230" s="175">
        <f t="shared" si="16"/>
        <v>2584.3269762342716</v>
      </c>
      <c r="BU230" s="108">
        <f t="shared" si="17"/>
        <v>272.03352936767169</v>
      </c>
      <c r="BV230" s="108"/>
    </row>
    <row r="231" spans="1:75" s="23" customFormat="1">
      <c r="A231" s="23">
        <f t="shared" si="19"/>
        <v>2001</v>
      </c>
      <c r="B231" s="23">
        <f t="shared" si="20"/>
        <v>11</v>
      </c>
      <c r="C231" s="23">
        <f>'[2]FPC wSEB'!$I328</f>
        <v>2349</v>
      </c>
      <c r="D231" s="23">
        <f>'[2]FPC wSEB'!$AA328</f>
        <v>2005</v>
      </c>
      <c r="Z231" s="46">
        <f t="shared" si="18"/>
        <v>2349</v>
      </c>
      <c r="AB231" s="23">
        <f>[9]SHLMWh!$E111</f>
        <v>2348</v>
      </c>
      <c r="BN231" s="23">
        <v>2001</v>
      </c>
      <c r="BO231" s="23">
        <v>11</v>
      </c>
      <c r="BP231" s="50">
        <f>(C231+[4]MWh!$AM65)</f>
        <v>2209.2609080235202</v>
      </c>
      <c r="BT231" s="178">
        <f t="shared" si="16"/>
        <v>2209.2609080235202</v>
      </c>
      <c r="BU231" s="50">
        <f t="shared" si="17"/>
        <v>-314.51677295936179</v>
      </c>
      <c r="BV231" s="50"/>
    </row>
    <row r="232" spans="1:75" s="89" customFormat="1">
      <c r="A232" s="89">
        <f t="shared" si="19"/>
        <v>2001</v>
      </c>
      <c r="B232" s="89">
        <f t="shared" si="20"/>
        <v>12</v>
      </c>
      <c r="C232" s="89">
        <f>'[2]FPC wSEB'!$I329</f>
        <v>2265</v>
      </c>
      <c r="D232" s="89">
        <f>'[2]FPC wSEB'!$AA329</f>
        <v>1980</v>
      </c>
      <c r="Z232" s="96">
        <f t="shared" si="18"/>
        <v>2265</v>
      </c>
      <c r="AB232" s="89">
        <f>[9]SHLMWh!$E112</f>
        <v>2267</v>
      </c>
      <c r="BN232" s="89">
        <v>2001</v>
      </c>
      <c r="BO232" s="89">
        <v>12</v>
      </c>
      <c r="BP232" s="117">
        <f>(C232+[4]MWh!$AM66)</f>
        <v>2326.0096192830606</v>
      </c>
      <c r="BT232" s="176">
        <f t="shared" si="16"/>
        <v>2326.0096192830606</v>
      </c>
      <c r="BU232" s="117">
        <f t="shared" si="17"/>
        <v>-272.94540663102453</v>
      </c>
      <c r="BV232" s="117"/>
    </row>
    <row r="233" spans="1:75">
      <c r="A233" s="4">
        <f t="shared" si="19"/>
        <v>2002</v>
      </c>
      <c r="B233" s="4">
        <f t="shared" si="20"/>
        <v>1</v>
      </c>
      <c r="C233" s="4">
        <f>'[2]FPC wSEB'!$I330</f>
        <v>2348</v>
      </c>
      <c r="D233" s="4">
        <f>'[2]FPC wSEB'!$AA330</f>
        <v>1983</v>
      </c>
      <c r="Z233" s="6">
        <f t="shared" ref="Z233:Z238" si="21">C233</f>
        <v>2348</v>
      </c>
      <c r="AB233" s="4">
        <f>[9]SHLMWh!$E113</f>
        <v>2348</v>
      </c>
      <c r="BN233" s="4">
        <v>2002</v>
      </c>
      <c r="BO233" s="4">
        <v>1</v>
      </c>
      <c r="BP233" s="569">
        <f>(C233+[4]MWh!$AM67)</f>
        <v>2192.4678378497356</v>
      </c>
      <c r="BQ233" s="168"/>
      <c r="BR233" s="168"/>
      <c r="BS233" s="168"/>
      <c r="BT233" s="571">
        <f t="shared" si="16"/>
        <v>2192.4678378497356</v>
      </c>
      <c r="BU233" s="108">
        <f t="shared" si="17"/>
        <v>368.3067504948599</v>
      </c>
      <c r="BV233" s="108"/>
      <c r="BW233" s="319"/>
    </row>
    <row r="234" spans="1:75">
      <c r="A234" s="4">
        <f t="shared" si="19"/>
        <v>2002</v>
      </c>
      <c r="B234" s="4">
        <f t="shared" si="20"/>
        <v>2</v>
      </c>
      <c r="C234" s="4">
        <f>'[2]FPC wSEB'!$I331</f>
        <v>2351</v>
      </c>
      <c r="D234" s="4">
        <f>'[2]FPC wSEB'!$AA331</f>
        <v>1981</v>
      </c>
      <c r="Z234" s="6">
        <f t="shared" si="21"/>
        <v>2351</v>
      </c>
      <c r="AB234" s="4">
        <f>[9]SHLMWh!$E114</f>
        <v>2351</v>
      </c>
      <c r="BN234" s="4">
        <v>2002</v>
      </c>
      <c r="BO234" s="4">
        <v>2</v>
      </c>
      <c r="BP234" s="569">
        <f>(C234+[4]MWh!$AM68)</f>
        <v>2416.1050679267664</v>
      </c>
      <c r="BQ234" s="168"/>
      <c r="BR234" s="168"/>
      <c r="BS234" s="168"/>
      <c r="BT234" s="571">
        <f t="shared" ref="BT234:BT239" si="22">BP234</f>
        <v>2416.1050679267664</v>
      </c>
      <c r="BU234" s="108">
        <f t="shared" si="17"/>
        <v>-5.8181885074263846</v>
      </c>
      <c r="BV234" s="108"/>
      <c r="BW234" s="319"/>
    </row>
    <row r="235" spans="1:75">
      <c r="A235" s="4">
        <f t="shared" si="19"/>
        <v>2002</v>
      </c>
      <c r="B235" s="4">
        <f t="shared" si="20"/>
        <v>3</v>
      </c>
      <c r="C235" s="4">
        <f>'[2]FPC wSEB'!$I332</f>
        <v>2394</v>
      </c>
      <c r="D235" s="4">
        <f>'[2]FPC wSEB'!$AA332</f>
        <v>1971</v>
      </c>
      <c r="Z235" s="6">
        <f t="shared" si="21"/>
        <v>2394</v>
      </c>
      <c r="AB235" s="4">
        <f>[9]SHLMWh!$E115</f>
        <v>2394</v>
      </c>
      <c r="BN235" s="4">
        <v>2002</v>
      </c>
      <c r="BO235" s="4">
        <v>3</v>
      </c>
      <c r="BP235" s="569">
        <f>(C235+[4]MWh!$AM69)</f>
        <v>2578.7069650370918</v>
      </c>
      <c r="BQ235" s="168"/>
      <c r="BR235" s="168"/>
      <c r="BS235" s="168"/>
      <c r="BT235" s="571">
        <f t="shared" si="22"/>
        <v>2578.7069650370918</v>
      </c>
      <c r="BU235" s="108">
        <f t="shared" si="17"/>
        <v>204.59594193373368</v>
      </c>
      <c r="BV235" s="108"/>
      <c r="BW235" s="319"/>
    </row>
    <row r="236" spans="1:75">
      <c r="A236" s="4">
        <f t="shared" si="19"/>
        <v>2002</v>
      </c>
      <c r="B236" s="4">
        <f t="shared" si="20"/>
        <v>4</v>
      </c>
      <c r="C236" s="4">
        <f>'[2]FPC wSEB'!$I333</f>
        <v>1721</v>
      </c>
      <c r="D236" s="4">
        <f>'[2]FPC wSEB'!$AA333</f>
        <v>1969</v>
      </c>
      <c r="Z236" s="6">
        <f t="shared" si="21"/>
        <v>1721</v>
      </c>
      <c r="AB236" s="4">
        <f>[9]SHLMWh!$E116</f>
        <v>1721</v>
      </c>
      <c r="BN236" s="4">
        <v>2002</v>
      </c>
      <c r="BO236" s="4">
        <v>4</v>
      </c>
      <c r="BP236" s="569">
        <f>(C236+[4]MWh!$AM70)</f>
        <v>1428.0109411203853</v>
      </c>
      <c r="BQ236" s="168"/>
      <c r="BR236" s="168"/>
      <c r="BS236" s="168"/>
      <c r="BT236" s="571">
        <f t="shared" si="22"/>
        <v>1428.0109411203853</v>
      </c>
      <c r="BU236" s="108">
        <f t="shared" si="17"/>
        <v>-1233.8391067287935</v>
      </c>
      <c r="BV236" s="108"/>
      <c r="BW236" s="319"/>
    </row>
    <row r="237" spans="1:75">
      <c r="A237" s="4">
        <f t="shared" si="19"/>
        <v>2002</v>
      </c>
      <c r="B237" s="4">
        <f t="shared" si="20"/>
        <v>5</v>
      </c>
      <c r="C237" s="4">
        <f>'[2]FPC wSEB'!$I334</f>
        <v>2953</v>
      </c>
      <c r="D237" s="4">
        <f>'[2]FPC wSEB'!$AA334</f>
        <v>1963</v>
      </c>
      <c r="Z237" s="6">
        <f t="shared" si="21"/>
        <v>2953</v>
      </c>
      <c r="AB237" s="4">
        <f>[9]SHLMWh!$E117</f>
        <v>2953</v>
      </c>
      <c r="BN237" s="4">
        <v>2002</v>
      </c>
      <c r="BO237" s="4">
        <v>5</v>
      </c>
      <c r="BP237" s="569">
        <f>(C237+[4]MWh!$AM71)</f>
        <v>3378.3351677201999</v>
      </c>
      <c r="BQ237" s="168"/>
      <c r="BR237" s="168"/>
      <c r="BS237" s="168"/>
      <c r="BT237" s="571">
        <f t="shared" si="22"/>
        <v>3378.3351677201999</v>
      </c>
      <c r="BU237" s="108">
        <f t="shared" si="17"/>
        <v>1091.5681452204976</v>
      </c>
      <c r="BV237" s="108"/>
      <c r="BW237" s="319"/>
    </row>
    <row r="238" spans="1:75">
      <c r="A238" s="4">
        <f t="shared" si="19"/>
        <v>2002</v>
      </c>
      <c r="B238" s="4">
        <f t="shared" si="20"/>
        <v>6</v>
      </c>
      <c r="C238" s="4">
        <f>'[2]FPC wSEB'!$I335</f>
        <v>2338</v>
      </c>
      <c r="D238" s="4">
        <f>'[2]FPC wSEB'!$AA335</f>
        <v>1969</v>
      </c>
      <c r="Z238" s="6">
        <f t="shared" si="21"/>
        <v>2338</v>
      </c>
      <c r="AB238" s="4">
        <f>[9]SHLMWh!$E118</f>
        <v>2338</v>
      </c>
      <c r="BN238" s="4">
        <v>2002</v>
      </c>
      <c r="BO238" s="4">
        <v>6</v>
      </c>
      <c r="BP238" s="569">
        <f>(C238+[4]MWh!$AM72)</f>
        <v>2226.8557093717977</v>
      </c>
      <c r="BQ238" s="168"/>
      <c r="BR238" s="168"/>
      <c r="BS238" s="168"/>
      <c r="BT238" s="571">
        <f t="shared" si="22"/>
        <v>2226.8557093717977</v>
      </c>
      <c r="BU238" s="108">
        <f t="shared" si="17"/>
        <v>-99.790005093471791</v>
      </c>
      <c r="BV238" s="108"/>
      <c r="BW238" s="319"/>
    </row>
    <row r="239" spans="1:75">
      <c r="A239" s="4">
        <f t="shared" si="19"/>
        <v>2002</v>
      </c>
      <c r="B239" s="4">
        <f t="shared" si="20"/>
        <v>7</v>
      </c>
      <c r="C239" s="4">
        <f>'[2]FPC wSEB'!$I336</f>
        <v>2489</v>
      </c>
      <c r="D239" s="4">
        <f>'[2]FPC wSEB'!$AA336</f>
        <v>1965</v>
      </c>
      <c r="Z239" s="6">
        <f t="shared" ref="Z239:Z244" si="23">C239</f>
        <v>2489</v>
      </c>
      <c r="AB239" s="4">
        <f>[9]SHLMWh!$E119</f>
        <v>2489</v>
      </c>
      <c r="BN239" s="4">
        <v>2002</v>
      </c>
      <c r="BO239" s="4">
        <v>7</v>
      </c>
      <c r="BP239" s="569">
        <f>(C239+[4]MWh!$AM73)</f>
        <v>2519.9975548360139</v>
      </c>
      <c r="BQ239" s="168"/>
      <c r="BR239" s="168"/>
      <c r="BS239" s="168"/>
      <c r="BT239" s="571">
        <f t="shared" si="22"/>
        <v>2519.9975548360139</v>
      </c>
      <c r="BU239" s="108">
        <f t="shared" si="17"/>
        <v>189.66660082667886</v>
      </c>
      <c r="BV239" s="108"/>
      <c r="BW239" s="319"/>
    </row>
    <row r="240" spans="1:75">
      <c r="A240" s="4">
        <f t="shared" si="19"/>
        <v>2002</v>
      </c>
      <c r="B240" s="4">
        <f t="shared" si="20"/>
        <v>8</v>
      </c>
      <c r="C240" s="4">
        <f>'[2]FPC wSEB'!$I337</f>
        <v>2305</v>
      </c>
      <c r="D240" s="4">
        <f>'[2]FPC wSEB'!$AA337</f>
        <v>1961</v>
      </c>
      <c r="Z240" s="6">
        <f t="shared" si="23"/>
        <v>2305</v>
      </c>
      <c r="AB240" s="4">
        <f>[9]SHLMWh!$E120</f>
        <v>2305</v>
      </c>
      <c r="BN240" s="4">
        <v>2002</v>
      </c>
      <c r="BO240" s="4">
        <v>8</v>
      </c>
      <c r="BP240" s="569">
        <f>(C240+[4]MWh!$AM74)</f>
        <v>2291.6916327741305</v>
      </c>
      <c r="BQ240" s="168"/>
      <c r="BR240" s="168"/>
      <c r="BS240" s="168"/>
      <c r="BT240" s="571">
        <f t="shared" ref="BT240:BT245" si="24">BP240</f>
        <v>2291.6916327741305</v>
      </c>
      <c r="BU240" s="108">
        <f t="shared" si="17"/>
        <v>-159.93983087090373</v>
      </c>
      <c r="BV240" s="108"/>
      <c r="BW240" s="319"/>
    </row>
    <row r="241" spans="1:75">
      <c r="A241" s="4">
        <f t="shared" si="19"/>
        <v>2002</v>
      </c>
      <c r="B241" s="4">
        <f t="shared" si="20"/>
        <v>9</v>
      </c>
      <c r="C241" s="4">
        <f>'[2]FPC wSEB'!$I338</f>
        <v>2342</v>
      </c>
      <c r="D241" s="4">
        <f>'[2]FPC wSEB'!$AA338</f>
        <v>1964</v>
      </c>
      <c r="Z241" s="6">
        <f t="shared" si="23"/>
        <v>2342</v>
      </c>
      <c r="AB241" s="4">
        <f>[9]SHLMWh!$E121</f>
        <v>2342</v>
      </c>
      <c r="BN241" s="4">
        <v>2002</v>
      </c>
      <c r="BO241" s="4">
        <v>9</v>
      </c>
      <c r="BP241" s="569">
        <f>(C241+[4]MWh!$AM75)</f>
        <v>2258.0650804745646</v>
      </c>
      <c r="BQ241" s="168"/>
      <c r="BR241" s="168"/>
      <c r="BS241" s="168"/>
      <c r="BT241" s="571">
        <f t="shared" si="24"/>
        <v>2258.0650804745646</v>
      </c>
      <c r="BU241" s="108">
        <f t="shared" si="17"/>
        <v>249.49637456027085</v>
      </c>
      <c r="BV241" s="108"/>
      <c r="BW241" s="319"/>
    </row>
    <row r="242" spans="1:75">
      <c r="A242" s="4">
        <f t="shared" si="19"/>
        <v>2002</v>
      </c>
      <c r="B242" s="4">
        <f t="shared" si="20"/>
        <v>10</v>
      </c>
      <c r="C242" s="4">
        <f>'[2]FPC wSEB'!$I339</f>
        <v>2309</v>
      </c>
      <c r="D242" s="4">
        <f>'[2]FPC wSEB'!$AA339</f>
        <v>1956</v>
      </c>
      <c r="Z242" s="6">
        <f t="shared" si="23"/>
        <v>2309</v>
      </c>
      <c r="AB242" s="4">
        <f>[9]SHLMWh!$E122</f>
        <v>2309</v>
      </c>
      <c r="BN242" s="4">
        <v>2002</v>
      </c>
      <c r="BO242" s="4">
        <v>10</v>
      </c>
      <c r="BP242" s="569">
        <f>(C242+[4]MWh!$AM76)</f>
        <v>2403.9019124905653</v>
      </c>
      <c r="BQ242" s="168"/>
      <c r="BR242" s="168"/>
      <c r="BS242" s="168"/>
      <c r="BT242" s="571">
        <f t="shared" si="24"/>
        <v>2403.9019124905653</v>
      </c>
      <c r="BU242" s="108">
        <f t="shared" si="17"/>
        <v>-180.42506374370623</v>
      </c>
      <c r="BV242" s="108"/>
      <c r="BW242" s="319"/>
    </row>
    <row r="243" spans="1:75">
      <c r="A243" s="4">
        <f t="shared" si="19"/>
        <v>2002</v>
      </c>
      <c r="B243" s="4">
        <f t="shared" si="20"/>
        <v>11</v>
      </c>
      <c r="C243" s="4">
        <f>'[2]FPC wSEB'!$I340</f>
        <v>2086</v>
      </c>
      <c r="D243" s="4">
        <f>'[2]FPC wSEB'!$AA340</f>
        <v>1950</v>
      </c>
      <c r="Z243" s="6">
        <f t="shared" si="23"/>
        <v>2086</v>
      </c>
      <c r="AB243" s="4">
        <f>[9]SHLMWh!$E123</f>
        <v>2086</v>
      </c>
      <c r="BN243" s="4">
        <v>2002</v>
      </c>
      <c r="BO243" s="4">
        <v>11</v>
      </c>
      <c r="BP243" s="569">
        <f>(C243+[4]MWh!$AM77)</f>
        <v>1645.7321340174253</v>
      </c>
      <c r="BQ243" s="168"/>
      <c r="BR243" s="168"/>
      <c r="BS243" s="168"/>
      <c r="BT243" s="571">
        <f t="shared" si="24"/>
        <v>1645.7321340174253</v>
      </c>
      <c r="BU243" s="108">
        <f t="shared" si="17"/>
        <v>-563.52877400609486</v>
      </c>
      <c r="BV243" s="108"/>
      <c r="BW243" s="319"/>
    </row>
    <row r="244" spans="1:75" s="89" customFormat="1">
      <c r="A244" s="89">
        <f t="shared" si="19"/>
        <v>2002</v>
      </c>
      <c r="B244" s="89">
        <f t="shared" si="20"/>
        <v>12</v>
      </c>
      <c r="C244" s="89">
        <f>'[2]FPC wSEB'!$I341</f>
        <v>2661</v>
      </c>
      <c r="D244" s="89">
        <f>'[2]FPC wSEB'!$AA341</f>
        <v>1944</v>
      </c>
      <c r="Z244" s="96">
        <f t="shared" si="23"/>
        <v>2661</v>
      </c>
      <c r="AB244" s="89">
        <f>[9]SHLMWh!$E124</f>
        <v>2661</v>
      </c>
      <c r="BN244" s="89">
        <v>2002</v>
      </c>
      <c r="BO244" s="89">
        <v>12</v>
      </c>
      <c r="BP244" s="570">
        <f>(C244+[4]MWh!$AM78)</f>
        <v>3019.3985508213113</v>
      </c>
      <c r="BQ244" s="169"/>
      <c r="BR244" s="169"/>
      <c r="BS244" s="169"/>
      <c r="BT244" s="572">
        <f t="shared" si="24"/>
        <v>3019.3985508213113</v>
      </c>
      <c r="BU244" s="117">
        <f t="shared" si="17"/>
        <v>693.38893153825074</v>
      </c>
      <c r="BV244" s="117"/>
      <c r="BW244" s="320"/>
    </row>
    <row r="245" spans="1:75">
      <c r="A245" s="4">
        <f t="shared" si="19"/>
        <v>2003</v>
      </c>
      <c r="B245" s="4">
        <f t="shared" si="20"/>
        <v>1</v>
      </c>
      <c r="C245" s="4">
        <f>'[2]FPC wSEB'!$I342</f>
        <v>2355</v>
      </c>
      <c r="D245" s="4">
        <f>'[2]FPC wSEB'!$AA342</f>
        <v>1933</v>
      </c>
      <c r="Z245" s="6">
        <f t="shared" ref="Z245:Z250" si="25">C245</f>
        <v>2355</v>
      </c>
      <c r="AB245" s="4">
        <f>[9]SHLMWh!$E125</f>
        <v>2355</v>
      </c>
      <c r="BN245" s="4">
        <f>BN233+1</f>
        <v>2003</v>
      </c>
      <c r="BO245" s="4">
        <f>BO233</f>
        <v>1</v>
      </c>
      <c r="BP245" s="569">
        <f>(C245+[4]MWh!$AM79)</f>
        <v>2292.3866560291899</v>
      </c>
      <c r="BQ245" s="168"/>
      <c r="BR245" s="168"/>
      <c r="BS245" s="168"/>
      <c r="BT245" s="571">
        <f t="shared" si="24"/>
        <v>2292.3866560291899</v>
      </c>
      <c r="BU245" s="108">
        <f t="shared" si="17"/>
        <v>99.91881817945432</v>
      </c>
      <c r="BV245" s="108"/>
      <c r="BW245" s="319">
        <f>BT245/[9]SHLMWh!$E125</f>
        <v>0.97341259279371117</v>
      </c>
    </row>
    <row r="246" spans="1:75">
      <c r="A246" s="4">
        <f t="shared" si="19"/>
        <v>2003</v>
      </c>
      <c r="B246" s="4">
        <f t="shared" si="20"/>
        <v>2</v>
      </c>
      <c r="C246" s="4">
        <f>'[2]FPC wSEB'!$I343</f>
        <v>2465</v>
      </c>
      <c r="D246" s="4">
        <f>'[2]FPC wSEB'!$AA343</f>
        <v>1935</v>
      </c>
      <c r="Z246" s="6">
        <f t="shared" si="25"/>
        <v>2465</v>
      </c>
      <c r="AB246" s="4">
        <f>[9]SHLMWh!$E126</f>
        <v>2465</v>
      </c>
      <c r="BN246" s="4">
        <f t="shared" ref="BN246:BN335" si="26">BN234+1</f>
        <v>2003</v>
      </c>
      <c r="BO246" s="4">
        <f t="shared" ref="BO246:BO335" si="27">BO234</f>
        <v>2</v>
      </c>
      <c r="BP246" s="569">
        <f>(C246+[4]MWh!$AM80)</f>
        <v>2209.3271838043502</v>
      </c>
      <c r="BQ246" s="168"/>
      <c r="BR246" s="168"/>
      <c r="BS246" s="168"/>
      <c r="BT246" s="571">
        <f t="shared" ref="BT246:BT251" si="28">BP246</f>
        <v>2209.3271838043502</v>
      </c>
      <c r="BU246" s="108">
        <f t="shared" si="17"/>
        <v>-206.77788412241625</v>
      </c>
      <c r="BV246" s="108"/>
      <c r="BW246" s="319">
        <f>BT246/[9]SHLMWh!$E126</f>
        <v>0.89627877639121711</v>
      </c>
    </row>
    <row r="247" spans="1:75">
      <c r="A247" s="4">
        <f t="shared" si="19"/>
        <v>2003</v>
      </c>
      <c r="B247" s="4">
        <f t="shared" si="20"/>
        <v>3</v>
      </c>
      <c r="C247" s="4">
        <f>'[2]FPC wSEB'!$I344</f>
        <v>2286</v>
      </c>
      <c r="D247" s="4">
        <f>'[2]FPC wSEB'!$AA344</f>
        <v>1941</v>
      </c>
      <c r="Z247" s="6">
        <f t="shared" si="25"/>
        <v>2286</v>
      </c>
      <c r="AB247" s="4">
        <f>[9]SHLMWh!$E127</f>
        <v>2286</v>
      </c>
      <c r="BN247" s="4">
        <f t="shared" si="26"/>
        <v>2003</v>
      </c>
      <c r="BO247" s="4">
        <f t="shared" si="27"/>
        <v>3</v>
      </c>
      <c r="BP247" s="569">
        <f>(C247+[4]MWh!$AM81)</f>
        <v>2571.4626859399368</v>
      </c>
      <c r="BQ247" s="168"/>
      <c r="BR247" s="168"/>
      <c r="BS247" s="168"/>
      <c r="BT247" s="571">
        <f t="shared" si="28"/>
        <v>2571.4626859399368</v>
      </c>
      <c r="BU247" s="108">
        <f t="shared" si="17"/>
        <v>-7.2442790971549584</v>
      </c>
      <c r="BV247" s="108"/>
      <c r="BW247" s="319">
        <f>BT247/[9]SHLMWh!$E127</f>
        <v>1.1248743158092462</v>
      </c>
    </row>
    <row r="248" spans="1:75">
      <c r="A248" s="4">
        <f t="shared" si="19"/>
        <v>2003</v>
      </c>
      <c r="B248" s="4">
        <f t="shared" si="20"/>
        <v>4</v>
      </c>
      <c r="C248" s="4">
        <f>'[2]FPC wSEB'!$I345</f>
        <v>2430</v>
      </c>
      <c r="D248" s="4">
        <f>'[2]FPC wSEB'!$AA345</f>
        <v>1928</v>
      </c>
      <c r="Z248" s="6">
        <f t="shared" si="25"/>
        <v>2430</v>
      </c>
      <c r="AB248" s="4">
        <f>[9]SHLMWh!$E128</f>
        <v>2430</v>
      </c>
      <c r="BN248" s="4">
        <f t="shared" si="26"/>
        <v>2003</v>
      </c>
      <c r="BO248" s="4">
        <f t="shared" si="27"/>
        <v>4</v>
      </c>
      <c r="BP248" s="569">
        <f>(C248+[4]MWh!$AM82)</f>
        <v>2447.3201952492764</v>
      </c>
      <c r="BQ248" s="168"/>
      <c r="BR248" s="168"/>
      <c r="BS248" s="168"/>
      <c r="BT248" s="571">
        <f t="shared" si="28"/>
        <v>2447.3201952492764</v>
      </c>
      <c r="BU248" s="108">
        <f t="shared" si="17"/>
        <v>1019.3092541288911</v>
      </c>
      <c r="BV248" s="108"/>
      <c r="BW248" s="319">
        <f>BT248/[9]SHLMWh!$E128</f>
        <v>1.0071276523659574</v>
      </c>
    </row>
    <row r="249" spans="1:75">
      <c r="A249" s="4">
        <f t="shared" si="19"/>
        <v>2003</v>
      </c>
      <c r="B249" s="4">
        <f t="shared" si="20"/>
        <v>5</v>
      </c>
      <c r="C249" s="4">
        <f>'[2]FPC wSEB'!$I346</f>
        <v>2365</v>
      </c>
      <c r="D249" s="4">
        <f>'[2]FPC wSEB'!$AA346</f>
        <v>1924</v>
      </c>
      <c r="Z249" s="6">
        <f t="shared" si="25"/>
        <v>2365</v>
      </c>
      <c r="AB249" s="4">
        <f>[9]SHLMWh!$E129</f>
        <v>2365</v>
      </c>
      <c r="BN249" s="4">
        <f t="shared" si="26"/>
        <v>2003</v>
      </c>
      <c r="BO249" s="4">
        <f t="shared" si="27"/>
        <v>5</v>
      </c>
      <c r="BP249" s="569">
        <f>(C249+[4]MWh!$AM83)</f>
        <v>2531.3300394842063</v>
      </c>
      <c r="BQ249" s="168"/>
      <c r="BR249" s="168"/>
      <c r="BS249" s="168"/>
      <c r="BT249" s="571">
        <f t="shared" si="28"/>
        <v>2531.3300394842063</v>
      </c>
      <c r="BU249" s="108">
        <f t="shared" ref="BU249:BU254" si="29">BT249-BT237</f>
        <v>-847.00512823599365</v>
      </c>
      <c r="BV249" s="108"/>
      <c r="BW249" s="319">
        <f>BT249/[9]SHLMWh!$E129</f>
        <v>1.0703298264203831</v>
      </c>
    </row>
    <row r="250" spans="1:75">
      <c r="A250" s="4">
        <f t="shared" si="19"/>
        <v>2003</v>
      </c>
      <c r="B250" s="4">
        <f t="shared" si="20"/>
        <v>6</v>
      </c>
      <c r="C250" s="4">
        <f>'[2]FPC wSEB'!$I347</f>
        <v>2395</v>
      </c>
      <c r="D250" s="4">
        <f>'[2]FPC wSEB'!$AA347</f>
        <v>1923</v>
      </c>
      <c r="Z250" s="6">
        <f t="shared" si="25"/>
        <v>2395</v>
      </c>
      <c r="AB250" s="4">
        <f>[9]SHLMWh!$E130</f>
        <v>2393</v>
      </c>
      <c r="BN250" s="4">
        <f t="shared" si="26"/>
        <v>2003</v>
      </c>
      <c r="BO250" s="4">
        <f t="shared" si="27"/>
        <v>6</v>
      </c>
      <c r="BP250" s="569">
        <f>(C250+[4]MWh!$AM84)</f>
        <v>2155.866555537179</v>
      </c>
      <c r="BQ250" s="168"/>
      <c r="BR250" s="168"/>
      <c r="BS250" s="168"/>
      <c r="BT250" s="571">
        <f t="shared" si="28"/>
        <v>2155.866555537179</v>
      </c>
      <c r="BU250" s="108">
        <f t="shared" si="29"/>
        <v>-70.989153834618719</v>
      </c>
      <c r="BV250" s="108"/>
      <c r="BW250" s="319">
        <f>BT250/[9]SHLMWh!$E130</f>
        <v>0.90090537214257371</v>
      </c>
    </row>
    <row r="251" spans="1:75">
      <c r="A251" s="4">
        <f t="shared" si="19"/>
        <v>2003</v>
      </c>
      <c r="B251" s="4">
        <f t="shared" si="20"/>
        <v>7</v>
      </c>
      <c r="C251" s="4">
        <f>'[2]FPC wSEB'!$I348</f>
        <v>2376</v>
      </c>
      <c r="D251" s="4">
        <f>'[2]FPC wSEB'!$AA348</f>
        <v>1922</v>
      </c>
      <c r="Z251" s="6">
        <f t="shared" ref="Z251:Z256" si="30">C251</f>
        <v>2376</v>
      </c>
      <c r="AB251" s="4">
        <f>[9]SHLMWh!$E131</f>
        <v>2378</v>
      </c>
      <c r="BN251" s="4">
        <f t="shared" si="26"/>
        <v>2003</v>
      </c>
      <c r="BO251" s="4">
        <f t="shared" si="27"/>
        <v>7</v>
      </c>
      <c r="BP251" s="569">
        <f>(C251+[4]MWh!$AM85)</f>
        <v>2466.2889599942664</v>
      </c>
      <c r="BQ251" s="168"/>
      <c r="BR251" s="168"/>
      <c r="BS251" s="168"/>
      <c r="BT251" s="571">
        <f t="shared" si="28"/>
        <v>2466.2889599942664</v>
      </c>
      <c r="BU251" s="108">
        <f t="shared" si="29"/>
        <v>-53.708594841747527</v>
      </c>
      <c r="BV251" s="108"/>
      <c r="BW251" s="319">
        <f>BT251/[9]SHLMWh!$E131</f>
        <v>1.0371274011750489</v>
      </c>
    </row>
    <row r="252" spans="1:75">
      <c r="A252" s="4">
        <f t="shared" si="19"/>
        <v>2003</v>
      </c>
      <c r="B252" s="4">
        <f t="shared" si="20"/>
        <v>8</v>
      </c>
      <c r="C252" s="4">
        <f>'[2]FPC wSEB'!$I349</f>
        <v>2443</v>
      </c>
      <c r="D252" s="4">
        <f>'[2]FPC wSEB'!$AA349</f>
        <v>1914</v>
      </c>
      <c r="Z252" s="6">
        <f t="shared" si="30"/>
        <v>2443</v>
      </c>
      <c r="AB252" s="4">
        <f>[9]SHLMWh!$E132</f>
        <v>2443</v>
      </c>
      <c r="BN252" s="4">
        <f t="shared" si="26"/>
        <v>2003</v>
      </c>
      <c r="BO252" s="4">
        <f t="shared" si="27"/>
        <v>8</v>
      </c>
      <c r="BP252" s="569">
        <f>(C252+[4]MWh!$AM86)</f>
        <v>2565.8156275110105</v>
      </c>
      <c r="BQ252" s="168"/>
      <c r="BR252" s="168"/>
      <c r="BS252" s="168"/>
      <c r="BT252" s="571">
        <f t="shared" ref="BT252:BT257" si="31">BP252</f>
        <v>2565.8156275110105</v>
      </c>
      <c r="BU252" s="108">
        <f t="shared" si="29"/>
        <v>274.12399473687992</v>
      </c>
      <c r="BV252" s="108"/>
      <c r="BW252" s="319">
        <f>BT252/[9]SHLMWh!$E132</f>
        <v>1.0502724631645561</v>
      </c>
    </row>
    <row r="253" spans="1:75">
      <c r="A253" s="4">
        <f t="shared" si="19"/>
        <v>2003</v>
      </c>
      <c r="B253" s="4">
        <f t="shared" si="20"/>
        <v>9</v>
      </c>
      <c r="C253" s="4">
        <f>'[2]FPC wSEB'!$I350</f>
        <v>2421</v>
      </c>
      <c r="D253" s="4">
        <f>'[2]FPC wSEB'!$AA350</f>
        <v>1905</v>
      </c>
      <c r="Z253" s="6">
        <f t="shared" si="30"/>
        <v>2421</v>
      </c>
      <c r="AB253" s="4">
        <f>[9]SHLMWh!$E133</f>
        <v>2421</v>
      </c>
      <c r="BN253" s="4">
        <f t="shared" si="26"/>
        <v>2003</v>
      </c>
      <c r="BO253" s="4">
        <f t="shared" si="27"/>
        <v>9</v>
      </c>
      <c r="BP253" s="569">
        <f>(C253+[4]MWh!$AM87)</f>
        <v>2065.4454410012795</v>
      </c>
      <c r="BQ253" s="168"/>
      <c r="BR253" s="168"/>
      <c r="BS253" s="168"/>
      <c r="BT253" s="571">
        <f t="shared" si="31"/>
        <v>2065.4454410012795</v>
      </c>
      <c r="BU253" s="108">
        <f t="shared" si="29"/>
        <v>-192.61963947328513</v>
      </c>
      <c r="BV253" s="108"/>
      <c r="BW253" s="319">
        <f>BT253/[9]SHLMWh!$E133</f>
        <v>0.85313731557260619</v>
      </c>
    </row>
    <row r="254" spans="1:75">
      <c r="A254" s="4">
        <f t="shared" si="19"/>
        <v>2003</v>
      </c>
      <c r="B254" s="4">
        <f t="shared" si="20"/>
        <v>10</v>
      </c>
      <c r="C254" s="4">
        <f>'[2]FPC wSEB'!$I351</f>
        <v>2317</v>
      </c>
      <c r="D254" s="4">
        <f>'[2]FPC wSEB'!$AA351</f>
        <v>1899</v>
      </c>
      <c r="Z254" s="6">
        <f t="shared" si="30"/>
        <v>2317</v>
      </c>
      <c r="AB254" s="4">
        <f>[9]SHLMWh!$E134</f>
        <v>2317</v>
      </c>
      <c r="BN254" s="4">
        <f t="shared" si="26"/>
        <v>2003</v>
      </c>
      <c r="BO254" s="4">
        <f t="shared" si="27"/>
        <v>10</v>
      </c>
      <c r="BP254" s="569">
        <f>(C254+[4]MWh!$AM88)</f>
        <v>2488.0238613924453</v>
      </c>
      <c r="BQ254" s="168"/>
      <c r="BR254" s="168"/>
      <c r="BS254" s="168"/>
      <c r="BT254" s="571">
        <f t="shared" si="31"/>
        <v>2488.0238613924453</v>
      </c>
      <c r="BU254" s="108">
        <f t="shared" si="29"/>
        <v>84.121948901879932</v>
      </c>
      <c r="BV254" s="108"/>
      <c r="BW254" s="319">
        <f>BT254/[9]SHLMWh!$E134</f>
        <v>1.0738126289997605</v>
      </c>
    </row>
    <row r="255" spans="1:75">
      <c r="A255" s="4">
        <f t="shared" si="19"/>
        <v>2003</v>
      </c>
      <c r="B255" s="4">
        <f t="shared" si="20"/>
        <v>11</v>
      </c>
      <c r="C255" s="4">
        <f>'[2]FPC wSEB'!$I352</f>
        <v>2267</v>
      </c>
      <c r="D255" s="4">
        <f>'[2]FPC wSEB'!$AA352</f>
        <v>1895</v>
      </c>
      <c r="Z255" s="6">
        <f t="shared" si="30"/>
        <v>2267</v>
      </c>
      <c r="AB255" s="4">
        <f>[9]SHLMWh!$E135</f>
        <v>2267</v>
      </c>
      <c r="BN255" s="4">
        <f t="shared" si="26"/>
        <v>2003</v>
      </c>
      <c r="BO255" s="4">
        <f t="shared" si="27"/>
        <v>11</v>
      </c>
      <c r="BP255" s="569">
        <f>(C255+[4]MWh!$AM89)</f>
        <v>2035.0169156540678</v>
      </c>
      <c r="BQ255" s="168"/>
      <c r="BR255" s="168"/>
      <c r="BS255" s="168"/>
      <c r="BT255" s="571">
        <f t="shared" si="31"/>
        <v>2035.0169156540678</v>
      </c>
      <c r="BU255" s="108">
        <f t="shared" ref="BU255:BU260" si="32">BT255-BT243</f>
        <v>389.28478163664249</v>
      </c>
      <c r="BV255" s="108"/>
      <c r="BW255" s="319">
        <f>BT255/[9]SHLMWh!$E135</f>
        <v>0.89766957020470572</v>
      </c>
    </row>
    <row r="256" spans="1:75" s="89" customFormat="1">
      <c r="A256" s="89">
        <f t="shared" si="19"/>
        <v>2003</v>
      </c>
      <c r="B256" s="89">
        <f t="shared" si="20"/>
        <v>12</v>
      </c>
      <c r="C256" s="89">
        <f>'[2]FPC wSEB'!$I353</f>
        <v>2507</v>
      </c>
      <c r="D256" s="89">
        <f>'[2]FPC wSEB'!$AA353</f>
        <v>1890</v>
      </c>
      <c r="Z256" s="96">
        <f t="shared" si="30"/>
        <v>2507</v>
      </c>
      <c r="AB256" s="89">
        <f>[9]SHLMWh!$E136</f>
        <v>2507</v>
      </c>
      <c r="BN256" s="89">
        <f t="shared" si="26"/>
        <v>2003</v>
      </c>
      <c r="BO256" s="89">
        <f t="shared" si="27"/>
        <v>12</v>
      </c>
      <c r="BP256" s="570">
        <f>(C256+[4]MWh!$AM90)</f>
        <v>2856.7747746314708</v>
      </c>
      <c r="BQ256" s="169"/>
      <c r="BR256" s="169"/>
      <c r="BS256" s="169"/>
      <c r="BT256" s="572">
        <f t="shared" si="31"/>
        <v>2856.7747746314708</v>
      </c>
      <c r="BU256" s="117">
        <f t="shared" si="32"/>
        <v>-162.62377618984056</v>
      </c>
      <c r="BV256" s="117"/>
      <c r="BW256" s="320">
        <f>BT256/[9]SHLMWh!$E136</f>
        <v>1.1395192559359677</v>
      </c>
    </row>
    <row r="257" spans="1:75">
      <c r="A257" s="4">
        <f t="shared" si="19"/>
        <v>2004</v>
      </c>
      <c r="B257" s="4">
        <f t="shared" si="20"/>
        <v>1</v>
      </c>
      <c r="C257" s="4">
        <f>'[2]FPC wSEB'!$I354</f>
        <v>2340</v>
      </c>
      <c r="D257" s="4">
        <f>'[2]FPC wSEB'!$AA354</f>
        <v>1886</v>
      </c>
      <c r="Z257" s="6">
        <f t="shared" ref="Z257:Z262" si="33">C257</f>
        <v>2340</v>
      </c>
      <c r="AB257" s="4">
        <f>[9]SHLMWh!$E137</f>
        <v>2340</v>
      </c>
      <c r="BN257" s="4">
        <f t="shared" si="26"/>
        <v>2004</v>
      </c>
      <c r="BO257" s="4">
        <f t="shared" si="27"/>
        <v>1</v>
      </c>
      <c r="BP257" s="569">
        <f>(C257+[4]MWh!$AM91)</f>
        <v>2067.0649287076585</v>
      </c>
      <c r="BQ257" s="168"/>
      <c r="BR257" s="168"/>
      <c r="BS257" s="168"/>
      <c r="BT257" s="571">
        <f t="shared" si="31"/>
        <v>2067.0649287076585</v>
      </c>
      <c r="BU257" s="108">
        <f t="shared" si="32"/>
        <v>-225.3217273215314</v>
      </c>
      <c r="BV257" s="108"/>
      <c r="BW257" s="319">
        <f>BT257/[9]SHLMWh!$E137</f>
        <v>0.88336108064429852</v>
      </c>
    </row>
    <row r="258" spans="1:75">
      <c r="A258" s="4">
        <f t="shared" si="19"/>
        <v>2004</v>
      </c>
      <c r="B258" s="4">
        <f t="shared" si="20"/>
        <v>2</v>
      </c>
      <c r="C258" s="4">
        <f>'[2]FPC wSEB'!$I355</f>
        <v>2180</v>
      </c>
      <c r="D258" s="4">
        <f>'[2]FPC wSEB'!$AA355</f>
        <v>1881</v>
      </c>
      <c r="Z258" s="6">
        <f t="shared" si="33"/>
        <v>2180</v>
      </c>
      <c r="AB258" s="4">
        <f>[9]SHLMWh!$E138</f>
        <v>2180</v>
      </c>
      <c r="BN258" s="4">
        <f t="shared" si="26"/>
        <v>2004</v>
      </c>
      <c r="BO258" s="4">
        <f t="shared" si="27"/>
        <v>2</v>
      </c>
      <c r="BP258" s="569">
        <f>(C258+[4]MWh!$AM92)</f>
        <v>2202.4987164986596</v>
      </c>
      <c r="BQ258" s="168"/>
      <c r="BR258" s="168"/>
      <c r="BS258" s="168"/>
      <c r="BT258" s="571">
        <f t="shared" ref="BT258:BT263" si="34">BP258</f>
        <v>2202.4987164986596</v>
      </c>
      <c r="BU258" s="108">
        <f t="shared" si="32"/>
        <v>-6.8284673056905376</v>
      </c>
      <c r="BV258" s="108"/>
      <c r="BW258" s="319">
        <f>BT258/[9]SHLMWh!$E138</f>
        <v>1.0103205121553485</v>
      </c>
    </row>
    <row r="259" spans="1:75">
      <c r="A259" s="4">
        <f t="shared" si="19"/>
        <v>2004</v>
      </c>
      <c r="B259" s="4">
        <f t="shared" si="20"/>
        <v>3</v>
      </c>
      <c r="C259" s="4">
        <f>'[2]FPC wSEB'!$I356</f>
        <v>2532</v>
      </c>
      <c r="D259" s="4">
        <f>'[2]FPC wSEB'!$AA356</f>
        <v>1872</v>
      </c>
      <c r="Z259" s="6">
        <f t="shared" si="33"/>
        <v>2532</v>
      </c>
      <c r="AB259" s="4">
        <f>[9]SHLMWh!$E139</f>
        <v>2532</v>
      </c>
      <c r="BN259" s="4">
        <f t="shared" si="26"/>
        <v>2004</v>
      </c>
      <c r="BO259" s="4">
        <f t="shared" si="27"/>
        <v>3</v>
      </c>
      <c r="BP259" s="569">
        <f>(C259+[4]MWh!$AM93)</f>
        <v>2713.0591646401617</v>
      </c>
      <c r="BQ259" s="168"/>
      <c r="BR259" s="168"/>
      <c r="BS259" s="168"/>
      <c r="BT259" s="571">
        <f t="shared" si="34"/>
        <v>2713.0591646401617</v>
      </c>
      <c r="BU259" s="108">
        <f t="shared" si="32"/>
        <v>141.59647870022491</v>
      </c>
      <c r="BV259" s="108"/>
      <c r="BW259" s="319">
        <f>BT259/[9]SHLMWh!$E139</f>
        <v>1.0715083588626231</v>
      </c>
    </row>
    <row r="260" spans="1:75">
      <c r="A260" s="4">
        <f t="shared" si="19"/>
        <v>2004</v>
      </c>
      <c r="B260" s="4">
        <f t="shared" si="20"/>
        <v>4</v>
      </c>
      <c r="C260" s="4">
        <f>'[2]FPC wSEB'!$I357</f>
        <v>2353</v>
      </c>
      <c r="D260" s="4">
        <f>'[2]FPC wSEB'!$AA357</f>
        <v>1868</v>
      </c>
      <c r="Z260" s="6">
        <f t="shared" si="33"/>
        <v>2353</v>
      </c>
      <c r="AB260" s="4">
        <f>[9]SHLMWh!$E140</f>
        <v>2353</v>
      </c>
      <c r="BN260" s="4">
        <f t="shared" si="26"/>
        <v>2004</v>
      </c>
      <c r="BO260" s="4">
        <f t="shared" si="27"/>
        <v>4</v>
      </c>
      <c r="BP260" s="569">
        <f>(C260+[4]MWh!$AM94)</f>
        <v>2347.280698970615</v>
      </c>
      <c r="BQ260" s="168"/>
      <c r="BR260" s="168"/>
      <c r="BS260" s="168"/>
      <c r="BT260" s="571">
        <f t="shared" si="34"/>
        <v>2347.280698970615</v>
      </c>
      <c r="BU260" s="108">
        <f t="shared" si="32"/>
        <v>-100.03949627866132</v>
      </c>
      <c r="BV260" s="108"/>
      <c r="BW260" s="319">
        <f>BT260/[9]SHLMWh!$E140</f>
        <v>0.99756935782856571</v>
      </c>
    </row>
    <row r="261" spans="1:75">
      <c r="A261" s="4">
        <f t="shared" si="19"/>
        <v>2004</v>
      </c>
      <c r="B261" s="4">
        <f t="shared" si="20"/>
        <v>5</v>
      </c>
      <c r="C261" s="4">
        <f>'[2]FPC wSEB'!$I358</f>
        <v>2216</v>
      </c>
      <c r="D261" s="4">
        <f>'[2]FPC wSEB'!$AA358</f>
        <v>1860</v>
      </c>
      <c r="Z261" s="6">
        <f t="shared" si="33"/>
        <v>2216</v>
      </c>
      <c r="AB261" s="4">
        <f>[9]SHLMWh!$E141</f>
        <v>2216</v>
      </c>
      <c r="BN261" s="4">
        <f t="shared" si="26"/>
        <v>2004</v>
      </c>
      <c r="BO261" s="4">
        <f t="shared" si="27"/>
        <v>5</v>
      </c>
      <c r="BP261" s="569">
        <f>(C261+[4]MWh!$AM95)</f>
        <v>2299.903326613382</v>
      </c>
      <c r="BQ261" s="168"/>
      <c r="BR261" s="168"/>
      <c r="BS261" s="168"/>
      <c r="BT261" s="571">
        <f t="shared" si="34"/>
        <v>2299.903326613382</v>
      </c>
      <c r="BU261" s="108">
        <f t="shared" ref="BU261:BU266" si="35">BT261-BT249</f>
        <v>-231.4267128708243</v>
      </c>
      <c r="BV261" s="108"/>
      <c r="BW261" s="319">
        <f>BT261/[9]SHLMWh!$E141</f>
        <v>1.037862512009649</v>
      </c>
    </row>
    <row r="262" spans="1:75">
      <c r="A262" s="4">
        <f t="shared" si="19"/>
        <v>2004</v>
      </c>
      <c r="B262" s="4">
        <f t="shared" si="20"/>
        <v>6</v>
      </c>
      <c r="C262" s="4">
        <f>'[2]FPC wSEB'!$I359</f>
        <v>2396</v>
      </c>
      <c r="D262" s="4">
        <f>'[2]FPC wSEB'!$AA359</f>
        <v>1856</v>
      </c>
      <c r="Z262" s="6">
        <f t="shared" si="33"/>
        <v>2396</v>
      </c>
      <c r="AB262" s="4">
        <f>[9]SHLMWh!$E142</f>
        <v>2396</v>
      </c>
      <c r="BN262" s="4">
        <f t="shared" si="26"/>
        <v>2004</v>
      </c>
      <c r="BO262" s="4">
        <f t="shared" si="27"/>
        <v>6</v>
      </c>
      <c r="BP262" s="569">
        <f>(C262+[4]MWh!$AM96)</f>
        <v>2346.5278498528673</v>
      </c>
      <c r="BQ262" s="168"/>
      <c r="BR262" s="168"/>
      <c r="BS262" s="168"/>
      <c r="BT262" s="571">
        <f t="shared" si="34"/>
        <v>2346.5278498528673</v>
      </c>
      <c r="BU262" s="108">
        <f t="shared" si="35"/>
        <v>190.66129431568834</v>
      </c>
      <c r="BV262" s="108"/>
      <c r="BW262" s="319">
        <f>BT262/[9]SHLMWh!$E142</f>
        <v>0.9793521910905123</v>
      </c>
    </row>
    <row r="263" spans="1:75">
      <c r="A263" s="4">
        <f t="shared" si="19"/>
        <v>2004</v>
      </c>
      <c r="B263" s="4">
        <f t="shared" si="20"/>
        <v>7</v>
      </c>
      <c r="C263" s="4">
        <f>'[2]FPC wSEB'!$I360</f>
        <v>2351</v>
      </c>
      <c r="D263" s="4">
        <f>'[2]FPC wSEB'!$AA360</f>
        <v>1853</v>
      </c>
      <c r="Z263" s="6">
        <f t="shared" ref="Z263:Z268" si="36">C263</f>
        <v>2351</v>
      </c>
      <c r="AB263" s="4">
        <f>[9]SHLMWh!$E143</f>
        <v>2351</v>
      </c>
      <c r="BN263" s="4">
        <f t="shared" si="26"/>
        <v>2004</v>
      </c>
      <c r="BO263" s="4">
        <f t="shared" si="27"/>
        <v>7</v>
      </c>
      <c r="BP263" s="569">
        <f>(C263+[4]MWh!$AM97)</f>
        <v>2283.7156156994324</v>
      </c>
      <c r="BQ263" s="168"/>
      <c r="BR263" s="168"/>
      <c r="BS263" s="168"/>
      <c r="BT263" s="571">
        <f t="shared" si="34"/>
        <v>2283.7156156994324</v>
      </c>
      <c r="BU263" s="108">
        <f t="shared" si="35"/>
        <v>-182.57334429483399</v>
      </c>
      <c r="BV263" s="108"/>
      <c r="BW263" s="319">
        <f>BT263/[9]SHLMWh!$E143</f>
        <v>0.97138052560588362</v>
      </c>
    </row>
    <row r="264" spans="1:75">
      <c r="A264" s="4">
        <f t="shared" si="19"/>
        <v>2004</v>
      </c>
      <c r="B264" s="4">
        <f t="shared" si="20"/>
        <v>8</v>
      </c>
      <c r="C264" s="4">
        <f>'[2]FPC wSEB'!$I361</f>
        <v>2310</v>
      </c>
      <c r="D264" s="4">
        <f>'[2]FPC wSEB'!$AA361</f>
        <v>1842</v>
      </c>
      <c r="Z264" s="506">
        <f>C264+70</f>
        <v>2380</v>
      </c>
      <c r="AB264" s="515">
        <f>[9]SHLMWh!$E144+70</f>
        <v>2379</v>
      </c>
      <c r="BN264" s="3">
        <f t="shared" si="26"/>
        <v>2004</v>
      </c>
      <c r="BO264" s="3">
        <f t="shared" si="27"/>
        <v>8</v>
      </c>
      <c r="BP264" s="569">
        <f>(C264+[4]MWh!$AM98)</f>
        <v>2354.4946894703371</v>
      </c>
      <c r="BQ264" s="168"/>
      <c r="BR264" s="168"/>
      <c r="BS264" s="168"/>
      <c r="BT264" s="571">
        <f>BP264+70</f>
        <v>2424.4946894703371</v>
      </c>
      <c r="BU264" s="108">
        <f t="shared" si="35"/>
        <v>-141.32093804067335</v>
      </c>
      <c r="BV264" s="108"/>
      <c r="BW264" s="319">
        <f>BT264/[9]SHLMWh!$E144</f>
        <v>1.0500193544696133</v>
      </c>
    </row>
    <row r="265" spans="1:75">
      <c r="A265" s="4">
        <f t="shared" si="19"/>
        <v>2004</v>
      </c>
      <c r="B265" s="4">
        <f t="shared" si="20"/>
        <v>9</v>
      </c>
      <c r="C265" s="4">
        <f>'[2]FPC wSEB'!$I362</f>
        <v>2313</v>
      </c>
      <c r="D265" s="4">
        <f>'[2]FPC wSEB'!$AA362</f>
        <v>1848</v>
      </c>
      <c r="Z265" s="506">
        <f>C265+118</f>
        <v>2431</v>
      </c>
      <c r="AB265" s="515">
        <f>[9]SHLMWh!$E145+118</f>
        <v>2431</v>
      </c>
      <c r="BN265" s="3">
        <f t="shared" si="26"/>
        <v>2004</v>
      </c>
      <c r="BO265" s="3">
        <f t="shared" si="27"/>
        <v>9</v>
      </c>
      <c r="BP265" s="569">
        <f>(C265+[4]MWh!$AM99)</f>
        <v>2197.356027308414</v>
      </c>
      <c r="BQ265" s="168"/>
      <c r="BR265" s="168"/>
      <c r="BS265" s="168"/>
      <c r="BT265" s="571">
        <f>BP265+118</f>
        <v>2315.356027308414</v>
      </c>
      <c r="BU265" s="108">
        <f t="shared" si="35"/>
        <v>249.91058630713451</v>
      </c>
      <c r="BV265" s="108"/>
      <c r="BW265" s="319">
        <f>BT265/[9]SHLMWh!$E145</f>
        <v>1.001018602381502</v>
      </c>
    </row>
    <row r="266" spans="1:75">
      <c r="A266" s="4">
        <f t="shared" si="19"/>
        <v>2004</v>
      </c>
      <c r="B266" s="4">
        <f t="shared" si="20"/>
        <v>10</v>
      </c>
      <c r="C266" s="4">
        <f>'[2]FPC wSEB'!$I363</f>
        <v>2300</v>
      </c>
      <c r="D266" s="4">
        <f>'[2]FPC wSEB'!$AA363</f>
        <v>1840</v>
      </c>
      <c r="Z266" s="6">
        <f t="shared" si="36"/>
        <v>2300</v>
      </c>
      <c r="AB266" s="4">
        <f>[9]SHLMWh!$E146</f>
        <v>2301</v>
      </c>
      <c r="BN266" s="4">
        <f t="shared" si="26"/>
        <v>2004</v>
      </c>
      <c r="BO266" s="4">
        <f t="shared" si="27"/>
        <v>10</v>
      </c>
      <c r="BP266" s="569">
        <f>(C266+[4]MWh!$AM100)</f>
        <v>2359.5995624096822</v>
      </c>
      <c r="BQ266" s="168"/>
      <c r="BR266" s="168"/>
      <c r="BS266" s="168"/>
      <c r="BT266" s="571">
        <f>BP266</f>
        <v>2359.5995624096822</v>
      </c>
      <c r="BU266" s="108">
        <f t="shared" si="35"/>
        <v>-128.42429898276305</v>
      </c>
      <c r="BV266" s="108"/>
      <c r="BW266" s="319">
        <f>BT266/[9]SHLMWh!$E146</f>
        <v>1.025466998005077</v>
      </c>
    </row>
    <row r="267" spans="1:75">
      <c r="A267" s="4">
        <f t="shared" si="19"/>
        <v>2004</v>
      </c>
      <c r="B267" s="4">
        <f t="shared" si="20"/>
        <v>11</v>
      </c>
      <c r="C267" s="4">
        <f>'[2]FPC wSEB'!$I364</f>
        <v>2179</v>
      </c>
      <c r="D267" s="4">
        <f>'[2]FPC wSEB'!$AA364</f>
        <v>1835</v>
      </c>
      <c r="Z267" s="6">
        <f t="shared" si="36"/>
        <v>2179</v>
      </c>
      <c r="AB267" s="4">
        <f>[9]SHLMWh!$E147</f>
        <v>2179</v>
      </c>
      <c r="BN267" s="4">
        <f t="shared" si="26"/>
        <v>2004</v>
      </c>
      <c r="BO267" s="4">
        <f t="shared" si="27"/>
        <v>11</v>
      </c>
      <c r="BP267" s="569">
        <f>(C267+[4]MWh!$AM101)</f>
        <v>2052.6514945455237</v>
      </c>
      <c r="BQ267" s="168"/>
      <c r="BR267" s="168"/>
      <c r="BS267" s="168"/>
      <c r="BT267" s="571">
        <f>BP267</f>
        <v>2052.6514945455237</v>
      </c>
      <c r="BU267" s="108">
        <f t="shared" ref="BU267:BU272" si="37">BT267-BT255</f>
        <v>17.634578891455931</v>
      </c>
      <c r="BV267" s="108"/>
      <c r="BW267" s="319">
        <f>BT267/[9]SHLMWh!$E147</f>
        <v>0.94201537152158044</v>
      </c>
    </row>
    <row r="268" spans="1:75" s="89" customFormat="1">
      <c r="A268" s="89">
        <f t="shared" si="19"/>
        <v>2004</v>
      </c>
      <c r="B268" s="89">
        <f t="shared" si="20"/>
        <v>12</v>
      </c>
      <c r="C268" s="89">
        <f>'[2]FPC wSEB'!$I365</f>
        <v>2457</v>
      </c>
      <c r="D268" s="89">
        <f>'[2]FPC wSEB'!$AA365</f>
        <v>1828</v>
      </c>
      <c r="Z268" s="96">
        <f t="shared" si="36"/>
        <v>2457</v>
      </c>
      <c r="AB268" s="89">
        <f>[9]SHLMWh!$E148</f>
        <v>2457</v>
      </c>
      <c r="BN268" s="89">
        <f t="shared" si="26"/>
        <v>2004</v>
      </c>
      <c r="BO268" s="89">
        <f t="shared" si="27"/>
        <v>12</v>
      </c>
      <c r="BP268" s="570">
        <f>(C268+[4]MWh!$AM102)</f>
        <v>2871.5731559335441</v>
      </c>
      <c r="BQ268" s="169"/>
      <c r="BR268" s="169"/>
      <c r="BS268" s="169"/>
      <c r="BT268" s="572">
        <f>BP268</f>
        <v>2871.5731559335441</v>
      </c>
      <c r="BU268" s="117">
        <f t="shared" si="37"/>
        <v>14.798381302073267</v>
      </c>
      <c r="BV268" s="117"/>
      <c r="BW268" s="320">
        <f>BT268/[9]SHLMWh!$E148</f>
        <v>1.1687314431963955</v>
      </c>
    </row>
    <row r="269" spans="1:75">
      <c r="A269" s="4">
        <f t="shared" si="19"/>
        <v>2005</v>
      </c>
      <c r="B269" s="4">
        <f t="shared" si="20"/>
        <v>1</v>
      </c>
      <c r="C269" s="4">
        <f>'[2]FPC wSEB'!$I366</f>
        <v>1620</v>
      </c>
      <c r="D269" s="4">
        <f>'[2]FPC wSEB'!$AA366</f>
        <v>1824</v>
      </c>
      <c r="Z269" s="6">
        <f t="shared" ref="Z269:Z274" si="38">C269</f>
        <v>1620</v>
      </c>
      <c r="AB269" s="4">
        <f>[9]SHLMWh!$E149</f>
        <v>1620</v>
      </c>
      <c r="BN269" s="4">
        <f t="shared" si="26"/>
        <v>2005</v>
      </c>
      <c r="BO269" s="4">
        <f t="shared" si="27"/>
        <v>1</v>
      </c>
      <c r="BP269" s="569">
        <f>(C269+[4]MWh!$AM103)</f>
        <v>955.74785198094128</v>
      </c>
      <c r="BQ269" s="168"/>
      <c r="BR269" s="168"/>
      <c r="BS269" s="168"/>
      <c r="BT269" s="571">
        <f>BP269</f>
        <v>955.74785198094128</v>
      </c>
      <c r="BU269" s="108">
        <f t="shared" si="37"/>
        <v>-1111.3170767267172</v>
      </c>
      <c r="BV269" s="108"/>
      <c r="BW269" s="319">
        <f>BT269/[9]SHLMWh!$E149</f>
        <v>0.58996780986477859</v>
      </c>
    </row>
    <row r="270" spans="1:75">
      <c r="A270" s="4">
        <f t="shared" si="19"/>
        <v>2005</v>
      </c>
      <c r="B270" s="4">
        <f t="shared" si="20"/>
        <v>2</v>
      </c>
      <c r="C270" s="4">
        <f>'[2]FPC wSEB'!$I367</f>
        <v>2981</v>
      </c>
      <c r="D270" s="4">
        <f>'[2]FPC wSEB'!$AA367</f>
        <v>1826</v>
      </c>
      <c r="Z270" s="6">
        <f t="shared" si="38"/>
        <v>2981</v>
      </c>
      <c r="AB270" s="4">
        <f>[9]SHLMWh!$E150</f>
        <v>2981</v>
      </c>
      <c r="BN270" s="4">
        <f t="shared" si="26"/>
        <v>2005</v>
      </c>
      <c r="BO270" s="4">
        <f t="shared" si="27"/>
        <v>2</v>
      </c>
      <c r="BP270" s="569">
        <f>(C270+[4]MWh!$AM104)</f>
        <v>3570.5156987560326</v>
      </c>
      <c r="BQ270" s="168"/>
      <c r="BR270" s="168"/>
      <c r="BS270" s="168"/>
      <c r="BT270" s="571">
        <f t="shared" ref="BT270:BT275" si="39">BP270</f>
        <v>3570.5156987560326</v>
      </c>
      <c r="BU270" s="108">
        <f t="shared" si="37"/>
        <v>1368.016982257373</v>
      </c>
      <c r="BV270" s="108"/>
      <c r="BW270" s="319">
        <f>BT270/[9]SHLMWh!$E150</f>
        <v>1.197757698341507</v>
      </c>
    </row>
    <row r="271" spans="1:75">
      <c r="A271" s="4">
        <f t="shared" si="19"/>
        <v>2005</v>
      </c>
      <c r="B271" s="4">
        <f t="shared" si="20"/>
        <v>3</v>
      </c>
      <c r="C271" s="4">
        <f>'[2]FPC wSEB'!$I368</f>
        <v>2330</v>
      </c>
      <c r="D271" s="4">
        <f>'[2]FPC wSEB'!$AA368</f>
        <v>1818</v>
      </c>
      <c r="Z271" s="6">
        <f t="shared" si="38"/>
        <v>2330</v>
      </c>
      <c r="AB271" s="4">
        <f>[9]SHLMWh!$E151</f>
        <v>2330</v>
      </c>
      <c r="BN271" s="4">
        <f t="shared" si="26"/>
        <v>2005</v>
      </c>
      <c r="BO271" s="4">
        <f t="shared" si="27"/>
        <v>3</v>
      </c>
      <c r="BP271" s="569">
        <f>(C271+[4]MWh!$AM105)</f>
        <v>2219.6935838095742</v>
      </c>
      <c r="BQ271" s="168"/>
      <c r="BR271" s="168"/>
      <c r="BS271" s="168"/>
      <c r="BT271" s="571">
        <f t="shared" si="39"/>
        <v>2219.6935838095742</v>
      </c>
      <c r="BU271" s="108">
        <f t="shared" si="37"/>
        <v>-493.36558083058753</v>
      </c>
      <c r="BV271" s="108"/>
      <c r="BW271" s="319">
        <f>BT271/[9]SHLMWh!$E151</f>
        <v>0.95265819047621214</v>
      </c>
    </row>
    <row r="272" spans="1:75">
      <c r="A272" s="4">
        <f t="shared" si="19"/>
        <v>2005</v>
      </c>
      <c r="B272" s="4">
        <f t="shared" si="20"/>
        <v>4</v>
      </c>
      <c r="C272" s="4">
        <f>'[2]FPC wSEB'!$I369</f>
        <v>2300</v>
      </c>
      <c r="D272" s="4">
        <f>'[2]FPC wSEB'!$AA369</f>
        <v>1814</v>
      </c>
      <c r="Z272" s="6">
        <f t="shared" si="38"/>
        <v>2300</v>
      </c>
      <c r="AB272" s="4">
        <f>[9]SHLMWh!$E152</f>
        <v>2300</v>
      </c>
      <c r="BN272" s="4">
        <f t="shared" si="26"/>
        <v>2005</v>
      </c>
      <c r="BO272" s="4">
        <f t="shared" si="27"/>
        <v>4</v>
      </c>
      <c r="BP272" s="569">
        <f>(C272+[4]MWh!$AM106)</f>
        <v>2147.2258077556044</v>
      </c>
      <c r="BQ272" s="168"/>
      <c r="BR272" s="168"/>
      <c r="BS272" s="168"/>
      <c r="BT272" s="571">
        <f t="shared" si="39"/>
        <v>2147.2258077556044</v>
      </c>
      <c r="BU272" s="108">
        <f t="shared" si="37"/>
        <v>-200.05489121501068</v>
      </c>
      <c r="BV272" s="108"/>
      <c r="BW272" s="319">
        <f>BT272/[9]SHLMWh!$E152</f>
        <v>0.93357643815461056</v>
      </c>
    </row>
    <row r="273" spans="1:75">
      <c r="A273" s="4">
        <f t="shared" si="19"/>
        <v>2005</v>
      </c>
      <c r="B273" s="4">
        <f t="shared" si="20"/>
        <v>5</v>
      </c>
      <c r="C273" s="4">
        <f>'[2]FPC wSEB'!$I370</f>
        <v>2288</v>
      </c>
      <c r="D273" s="4">
        <f>'[2]FPC wSEB'!$AA370</f>
        <v>1808</v>
      </c>
      <c r="Z273" s="6">
        <f t="shared" si="38"/>
        <v>2288</v>
      </c>
      <c r="AB273" s="4">
        <f>[9]SHLMWh!$E153</f>
        <v>2284</v>
      </c>
      <c r="BN273" s="4">
        <f t="shared" si="26"/>
        <v>2005</v>
      </c>
      <c r="BO273" s="4">
        <f t="shared" si="27"/>
        <v>5</v>
      </c>
      <c r="BP273" s="569">
        <f>(C273+[4]MWh!$AM107)</f>
        <v>2662.0631393720023</v>
      </c>
      <c r="BQ273" s="168"/>
      <c r="BR273" s="168"/>
      <c r="BS273" s="168"/>
      <c r="BT273" s="571">
        <f t="shared" si="39"/>
        <v>2662.0631393720023</v>
      </c>
      <c r="BU273" s="108">
        <f t="shared" ref="BU273:BU278" si="40">BT273-BT261</f>
        <v>362.15981275862032</v>
      </c>
      <c r="BV273" s="108"/>
      <c r="BW273" s="319">
        <f>BT273/[9]SHLMWh!$E153</f>
        <v>1.1655267685516648</v>
      </c>
    </row>
    <row r="274" spans="1:75">
      <c r="A274" s="4">
        <f t="shared" si="19"/>
        <v>2005</v>
      </c>
      <c r="B274" s="4">
        <f t="shared" si="20"/>
        <v>6</v>
      </c>
      <c r="C274" s="4">
        <f>'[2]FPC wSEB'!$I371</f>
        <v>2267</v>
      </c>
      <c r="D274" s="4">
        <f>'[2]FPC wSEB'!$AA371</f>
        <v>1790</v>
      </c>
      <c r="Z274" s="6">
        <f t="shared" si="38"/>
        <v>2267</v>
      </c>
      <c r="AB274" s="4">
        <f>[9]SHLMWh!$E154</f>
        <v>2271</v>
      </c>
      <c r="BN274" s="4">
        <f t="shared" si="26"/>
        <v>2005</v>
      </c>
      <c r="BO274" s="4">
        <f t="shared" si="27"/>
        <v>6</v>
      </c>
      <c r="BP274" s="569">
        <f>(C274+[4]MWh!$AM108)</f>
        <v>2110.3739931085902</v>
      </c>
      <c r="BQ274" s="168"/>
      <c r="BR274" s="168"/>
      <c r="BS274" s="168"/>
      <c r="BT274" s="571">
        <f t="shared" si="39"/>
        <v>2110.3739931085902</v>
      </c>
      <c r="BU274" s="108">
        <f t="shared" si="40"/>
        <v>-236.15385674427716</v>
      </c>
      <c r="BV274" s="108"/>
      <c r="BW274" s="319">
        <f>BT274/[9]SHLMWh!$E154</f>
        <v>0.92927080277789087</v>
      </c>
    </row>
    <row r="275" spans="1:75">
      <c r="A275" s="4">
        <f t="shared" si="19"/>
        <v>2005</v>
      </c>
      <c r="B275" s="4">
        <f t="shared" si="20"/>
        <v>7</v>
      </c>
      <c r="C275" s="4">
        <f>'[2]FPC wSEB'!$I372</f>
        <v>2284</v>
      </c>
      <c r="D275" s="4">
        <f>'[2]FPC wSEB'!$AA372</f>
        <v>1789</v>
      </c>
      <c r="Z275" s="6">
        <f t="shared" ref="Z275:Z280" si="41">C275</f>
        <v>2284</v>
      </c>
      <c r="AB275" s="4">
        <f>[9]SHLMWh!$E155</f>
        <v>2284</v>
      </c>
      <c r="BN275" s="4">
        <f t="shared" si="26"/>
        <v>2005</v>
      </c>
      <c r="BO275" s="4">
        <f t="shared" si="27"/>
        <v>7</v>
      </c>
      <c r="BP275" s="569">
        <f>(C275+[4]MWh!$AM109)</f>
        <v>2225.6221098581836</v>
      </c>
      <c r="BQ275" s="168"/>
      <c r="BR275" s="168"/>
      <c r="BS275" s="168"/>
      <c r="BT275" s="571">
        <f t="shared" si="39"/>
        <v>2225.6221098581836</v>
      </c>
      <c r="BU275" s="108">
        <f t="shared" si="40"/>
        <v>-58.093505841248771</v>
      </c>
      <c r="BV275" s="108"/>
      <c r="BW275" s="319">
        <f>BT275/[9]SHLMWh!$E155</f>
        <v>0.97444050344053579</v>
      </c>
    </row>
    <row r="276" spans="1:75">
      <c r="A276" s="4">
        <f t="shared" si="19"/>
        <v>2005</v>
      </c>
      <c r="B276" s="4">
        <f t="shared" si="20"/>
        <v>8</v>
      </c>
      <c r="C276" s="4">
        <f>'[2]FPC wSEB'!$I373</f>
        <v>2269</v>
      </c>
      <c r="D276" s="4">
        <f>'[2]FPC wSEB'!$AA373</f>
        <v>1786</v>
      </c>
      <c r="Z276" s="6">
        <f t="shared" si="41"/>
        <v>2269</v>
      </c>
      <c r="AB276" s="4">
        <f>[9]SHLMWh!$E156</f>
        <v>2268</v>
      </c>
      <c r="BN276" s="4">
        <f t="shared" si="26"/>
        <v>2005</v>
      </c>
      <c r="BO276" s="4">
        <f t="shared" si="27"/>
        <v>8</v>
      </c>
      <c r="BP276" s="569">
        <f>(C276+[4]MWh!$AM110)</f>
        <v>2267.2207694403014</v>
      </c>
      <c r="BQ276" s="168"/>
      <c r="BR276" s="168"/>
      <c r="BS276" s="168"/>
      <c r="BT276" s="571">
        <f t="shared" ref="BT276:BT281" si="42">BP276</f>
        <v>2267.2207694403014</v>
      </c>
      <c r="BU276" s="108">
        <f t="shared" si="40"/>
        <v>-157.2739200300357</v>
      </c>
      <c r="BV276" s="108"/>
      <c r="BW276" s="319">
        <f>BT276/[9]SHLMWh!$E156</f>
        <v>0.99965642391547682</v>
      </c>
    </row>
    <row r="277" spans="1:75">
      <c r="A277" s="4">
        <f t="shared" si="19"/>
        <v>2005</v>
      </c>
      <c r="B277" s="4">
        <f t="shared" si="20"/>
        <v>9</v>
      </c>
      <c r="C277" s="4">
        <f>'[2]FPC wSEB'!$I374</f>
        <v>2269</v>
      </c>
      <c r="D277" s="4">
        <f>'[2]FPC wSEB'!$AA374</f>
        <v>1778</v>
      </c>
      <c r="Z277" s="6">
        <f t="shared" si="41"/>
        <v>2269</v>
      </c>
      <c r="AB277" s="4">
        <f>[9]SHLMWh!$E157</f>
        <v>2270</v>
      </c>
      <c r="BN277" s="4">
        <f t="shared" si="26"/>
        <v>2005</v>
      </c>
      <c r="BO277" s="4">
        <f t="shared" si="27"/>
        <v>9</v>
      </c>
      <c r="BP277" s="569">
        <f>(C277+[4]MWh!$AM111)</f>
        <v>2079.0785767068687</v>
      </c>
      <c r="BQ277" s="168"/>
      <c r="BR277" s="168"/>
      <c r="BS277" s="168"/>
      <c r="BT277" s="571">
        <f t="shared" si="42"/>
        <v>2079.0785767068687</v>
      </c>
      <c r="BU277" s="108">
        <f t="shared" si="40"/>
        <v>-236.2774506015453</v>
      </c>
      <c r="BV277" s="108"/>
      <c r="BW277" s="319">
        <f>BT277/[9]SHLMWh!$E157</f>
        <v>0.91589364612637392</v>
      </c>
    </row>
    <row r="278" spans="1:75">
      <c r="A278" s="4">
        <f t="shared" si="19"/>
        <v>2005</v>
      </c>
      <c r="B278" s="4">
        <f t="shared" si="20"/>
        <v>10</v>
      </c>
      <c r="C278" s="4">
        <f>'[2]FPC wSEB'!$I375</f>
        <v>2259</v>
      </c>
      <c r="D278" s="4">
        <f>'[2]FPC wSEB'!$AA375</f>
        <v>1772</v>
      </c>
      <c r="Z278" s="6">
        <f t="shared" si="41"/>
        <v>2259</v>
      </c>
      <c r="AB278" s="4">
        <f>[9]SHLMWh!$E158</f>
        <v>2259</v>
      </c>
      <c r="BN278" s="4">
        <f t="shared" si="26"/>
        <v>2005</v>
      </c>
      <c r="BO278" s="4">
        <f t="shared" si="27"/>
        <v>10</v>
      </c>
      <c r="BP278" s="569">
        <f>(C278+[4]MWh!$AM112)</f>
        <v>2265.9128108727591</v>
      </c>
      <c r="BQ278" s="168"/>
      <c r="BR278" s="168"/>
      <c r="BS278" s="168"/>
      <c r="BT278" s="571">
        <f t="shared" si="42"/>
        <v>2265.9128108727591</v>
      </c>
      <c r="BU278" s="108">
        <f t="shared" si="40"/>
        <v>-93.686751536923111</v>
      </c>
      <c r="BV278" s="108"/>
      <c r="BW278" s="319">
        <f>BT278/[9]SHLMWh!$E158</f>
        <v>1.0030601199082598</v>
      </c>
    </row>
    <row r="279" spans="1:75">
      <c r="A279" s="4">
        <f t="shared" si="19"/>
        <v>2005</v>
      </c>
      <c r="B279" s="4">
        <f t="shared" si="20"/>
        <v>11</v>
      </c>
      <c r="C279" s="4">
        <f>'[2]FPC wSEB'!$I376</f>
        <v>2264</v>
      </c>
      <c r="D279" s="4">
        <f>'[2]FPC wSEB'!$AA376</f>
        <v>1773</v>
      </c>
      <c r="Z279" s="6">
        <f t="shared" si="41"/>
        <v>2264</v>
      </c>
      <c r="AB279" s="4">
        <f>[9]SHLMWh!$E159</f>
        <v>2264</v>
      </c>
      <c r="BN279" s="4">
        <f t="shared" si="26"/>
        <v>2005</v>
      </c>
      <c r="BO279" s="4">
        <f t="shared" si="27"/>
        <v>11</v>
      </c>
      <c r="BP279" s="569">
        <f>(C279+[4]MWh!$AM113)</f>
        <v>2175.4213745204574</v>
      </c>
      <c r="BQ279" s="168"/>
      <c r="BR279" s="168"/>
      <c r="BS279" s="168"/>
      <c r="BT279" s="571">
        <f t="shared" si="42"/>
        <v>2175.4213745204574</v>
      </c>
      <c r="BU279" s="108">
        <f t="shared" ref="BU279:BU284" si="43">BT279-BT267</f>
        <v>122.7698799749337</v>
      </c>
      <c r="BV279" s="108"/>
      <c r="BW279" s="319">
        <f>BT279/[9]SHLMWh!$E159</f>
        <v>0.96087516542423035</v>
      </c>
    </row>
    <row r="280" spans="1:75" s="89" customFormat="1">
      <c r="A280" s="89">
        <f t="shared" si="19"/>
        <v>2005</v>
      </c>
      <c r="B280" s="89">
        <f t="shared" si="20"/>
        <v>12</v>
      </c>
      <c r="C280" s="89">
        <f>'[2]FPC wSEB'!$I377</f>
        <v>2258</v>
      </c>
      <c r="D280" s="89">
        <f>'[2]FPC wSEB'!$AA377</f>
        <v>1759</v>
      </c>
      <c r="Z280" s="96">
        <f t="shared" si="41"/>
        <v>2258</v>
      </c>
      <c r="AB280" s="89">
        <f>[9]SHLMWh!$E160</f>
        <v>2258</v>
      </c>
      <c r="BN280" s="89">
        <f t="shared" si="26"/>
        <v>2005</v>
      </c>
      <c r="BO280" s="89">
        <f t="shared" si="27"/>
        <v>12</v>
      </c>
      <c r="BP280" s="570">
        <f>(C280+[4]MWh!$AM114)</f>
        <v>2434.1509342372692</v>
      </c>
      <c r="BQ280" s="169"/>
      <c r="BR280" s="169"/>
      <c r="BS280" s="169"/>
      <c r="BT280" s="572">
        <f t="shared" si="42"/>
        <v>2434.1509342372692</v>
      </c>
      <c r="BU280" s="117">
        <f t="shared" si="43"/>
        <v>-437.42222169627485</v>
      </c>
      <c r="BV280" s="117"/>
      <c r="BW280" s="320">
        <f>BT280/[9]SHLMWh!$E160</f>
        <v>1.0780119283601723</v>
      </c>
    </row>
    <row r="281" spans="1:75">
      <c r="A281" s="4">
        <f t="shared" si="19"/>
        <v>2006</v>
      </c>
      <c r="B281" s="4">
        <f t="shared" si="20"/>
        <v>1</v>
      </c>
      <c r="C281" s="4">
        <f>'[2]FPC wSEB'!$I378</f>
        <v>2292</v>
      </c>
      <c r="D281" s="4">
        <f>'[2]FPC wSEB'!$AA378</f>
        <v>1766</v>
      </c>
      <c r="Z281" s="6">
        <f t="shared" ref="Z281:Z286" si="44">C281</f>
        <v>2292</v>
      </c>
      <c r="AB281" s="4">
        <f>[9]SHLMWh!$E161</f>
        <v>2290</v>
      </c>
      <c r="BN281" s="4">
        <f t="shared" si="26"/>
        <v>2006</v>
      </c>
      <c r="BO281" s="4">
        <f t="shared" si="27"/>
        <v>1</v>
      </c>
      <c r="BP281" s="569">
        <f>(C281+[4]MWh!$AM115)</f>
        <v>2205.4532644274818</v>
      </c>
      <c r="BQ281" s="168"/>
      <c r="BR281" s="168"/>
      <c r="BS281" s="168"/>
      <c r="BT281" s="571">
        <f t="shared" si="42"/>
        <v>2205.4532644274818</v>
      </c>
      <c r="BU281" s="108">
        <f t="shared" si="43"/>
        <v>1249.7054124465405</v>
      </c>
      <c r="BV281" s="108"/>
      <c r="BW281" s="319">
        <f>BT281/[9]SHLMWh!$E161</f>
        <v>0.96308002813427152</v>
      </c>
    </row>
    <row r="282" spans="1:75">
      <c r="A282" s="4">
        <f t="shared" si="19"/>
        <v>2006</v>
      </c>
      <c r="B282" s="4">
        <f t="shared" si="20"/>
        <v>2</v>
      </c>
      <c r="C282" s="4">
        <f>'[2]FPC wSEB'!$I379</f>
        <v>2117</v>
      </c>
      <c r="D282" s="4">
        <f>'[2]FPC wSEB'!$AA379</f>
        <v>1756</v>
      </c>
      <c r="Z282" s="6">
        <f t="shared" si="44"/>
        <v>2117</v>
      </c>
      <c r="AB282" s="4">
        <f>[9]SHLMWh!$E162</f>
        <v>2119</v>
      </c>
      <c r="BN282" s="4">
        <f t="shared" si="26"/>
        <v>2006</v>
      </c>
      <c r="BO282" s="4">
        <f t="shared" si="27"/>
        <v>2</v>
      </c>
      <c r="BP282" s="569">
        <f>(C282+[4]MWh!$AM116)</f>
        <v>2050.4190134397986</v>
      </c>
      <c r="BQ282" s="168"/>
      <c r="BR282" s="168"/>
      <c r="BS282" s="168"/>
      <c r="BT282" s="571">
        <f t="shared" ref="BT282:BT287" si="45">BP282</f>
        <v>2050.4190134397986</v>
      </c>
      <c r="BU282" s="108">
        <f t="shared" si="43"/>
        <v>-1520.096685316234</v>
      </c>
      <c r="BV282" s="108"/>
      <c r="BW282" s="319">
        <f>BT282/[9]SHLMWh!$E162</f>
        <v>0.96763521162803146</v>
      </c>
    </row>
    <row r="283" spans="1:75">
      <c r="A283" s="4">
        <f t="shared" si="19"/>
        <v>2006</v>
      </c>
      <c r="B283" s="4">
        <f t="shared" si="20"/>
        <v>3</v>
      </c>
      <c r="C283" s="4">
        <f>'[2]FPC wSEB'!$I380</f>
        <v>2245</v>
      </c>
      <c r="D283" s="4">
        <f>'[2]FPC wSEB'!$AA380</f>
        <v>1758</v>
      </c>
      <c r="Z283" s="6">
        <f t="shared" si="44"/>
        <v>2245</v>
      </c>
      <c r="AB283" s="4">
        <f>[9]SHLMWh!$E163</f>
        <v>2244</v>
      </c>
      <c r="BN283" s="4">
        <f t="shared" si="26"/>
        <v>2006</v>
      </c>
      <c r="BO283" s="4">
        <f t="shared" si="27"/>
        <v>3</v>
      </c>
      <c r="BP283" s="569">
        <f>(C283+[4]MWh!$AM117)</f>
        <v>2407.440856871192</v>
      </c>
      <c r="BQ283" s="168"/>
      <c r="BR283" s="168"/>
      <c r="BS283" s="168"/>
      <c r="BT283" s="571">
        <f t="shared" si="45"/>
        <v>2407.440856871192</v>
      </c>
      <c r="BU283" s="108">
        <f t="shared" si="43"/>
        <v>187.74727306161776</v>
      </c>
      <c r="BV283" s="108"/>
      <c r="BW283" s="319">
        <f>BT283/[9]SHLMWh!$E163</f>
        <v>1.0728346064488379</v>
      </c>
    </row>
    <row r="284" spans="1:75">
      <c r="A284" s="4">
        <f t="shared" si="19"/>
        <v>2006</v>
      </c>
      <c r="B284" s="4">
        <f t="shared" si="20"/>
        <v>4</v>
      </c>
      <c r="C284" s="4">
        <f>'[2]FPC wSEB'!$I381</f>
        <v>2224</v>
      </c>
      <c r="D284" s="4">
        <f>'[2]FPC wSEB'!$AA381</f>
        <v>1755</v>
      </c>
      <c r="Z284" s="6">
        <f t="shared" si="44"/>
        <v>2224</v>
      </c>
      <c r="AB284" s="4">
        <f>[9]SHLMWh!$E164</f>
        <v>2225</v>
      </c>
      <c r="BN284" s="4">
        <f t="shared" si="26"/>
        <v>2006</v>
      </c>
      <c r="BO284" s="4">
        <f t="shared" si="27"/>
        <v>4</v>
      </c>
      <c r="BP284" s="569">
        <f>(C284+[4]MWh!$AM118)</f>
        <v>2418.4433790305288</v>
      </c>
      <c r="BQ284" s="168"/>
      <c r="BR284" s="168"/>
      <c r="BS284" s="168"/>
      <c r="BT284" s="571">
        <f t="shared" si="45"/>
        <v>2418.4433790305288</v>
      </c>
      <c r="BU284" s="108">
        <f t="shared" si="43"/>
        <v>271.21757127492447</v>
      </c>
      <c r="BV284" s="108"/>
      <c r="BW284" s="319">
        <f>BT284/[9]SHLMWh!$E164</f>
        <v>1.0869408445081028</v>
      </c>
    </row>
    <row r="285" spans="1:75">
      <c r="A285" s="4">
        <f t="shared" si="19"/>
        <v>2006</v>
      </c>
      <c r="B285" s="4">
        <f t="shared" si="20"/>
        <v>5</v>
      </c>
      <c r="C285" s="4">
        <f>'[2]FPC wSEB'!$I382</f>
        <v>2219</v>
      </c>
      <c r="D285" s="4">
        <f>'[2]FPC wSEB'!$AA382</f>
        <v>1765</v>
      </c>
      <c r="Z285" s="6">
        <f t="shared" si="44"/>
        <v>2219</v>
      </c>
      <c r="AB285" s="4">
        <f>[9]SHLMWh!$E165</f>
        <v>2219</v>
      </c>
      <c r="BN285" s="4">
        <f t="shared" si="26"/>
        <v>2006</v>
      </c>
      <c r="BO285" s="4">
        <f t="shared" si="27"/>
        <v>5</v>
      </c>
      <c r="BP285" s="569">
        <f>(C285+[4]MWh!$AM119)</f>
        <v>2172.9672692516633</v>
      </c>
      <c r="BQ285" s="168"/>
      <c r="BR285" s="168"/>
      <c r="BS285" s="168"/>
      <c r="BT285" s="571">
        <f t="shared" si="45"/>
        <v>2172.9672692516633</v>
      </c>
      <c r="BU285" s="108">
        <f t="shared" ref="BU285:BU290" si="46">BT285-BT273</f>
        <v>-489.09587012033899</v>
      </c>
      <c r="BV285" s="108"/>
      <c r="BW285" s="319">
        <f>BT285/[9]SHLMWh!$E165</f>
        <v>0.97925519119047466</v>
      </c>
    </row>
    <row r="286" spans="1:75">
      <c r="A286" s="4">
        <f t="shared" ref="A286:A335" si="47">A274+1</f>
        <v>2006</v>
      </c>
      <c r="B286" s="4">
        <f t="shared" ref="B286:B335" si="48">B274</f>
        <v>6</v>
      </c>
      <c r="C286" s="4">
        <f>'[2]FPC wSEB'!$I383</f>
        <v>2199</v>
      </c>
      <c r="D286" s="4">
        <f>'[2]FPC wSEB'!$AA383</f>
        <v>1747</v>
      </c>
      <c r="Z286" s="6">
        <f t="shared" si="44"/>
        <v>2199</v>
      </c>
      <c r="AB286" s="4">
        <f>[9]SHLMWh!$E166</f>
        <v>2199</v>
      </c>
      <c r="BN286" s="4">
        <f t="shared" si="26"/>
        <v>2006</v>
      </c>
      <c r="BO286" s="4">
        <f t="shared" si="27"/>
        <v>6</v>
      </c>
      <c r="BP286" s="569">
        <f>(C286+[4]MWh!$AM120)</f>
        <v>2092.2330862369299</v>
      </c>
      <c r="BQ286" s="168"/>
      <c r="BR286" s="168"/>
      <c r="BS286" s="168"/>
      <c r="BT286" s="571">
        <f t="shared" si="45"/>
        <v>2092.2330862369299</v>
      </c>
      <c r="BU286" s="108">
        <f t="shared" si="46"/>
        <v>-18.140906871660263</v>
      </c>
      <c r="BV286" s="108"/>
      <c r="BW286" s="319">
        <f>BT286/[9]SHLMWh!$E166</f>
        <v>0.95144751534194172</v>
      </c>
    </row>
    <row r="287" spans="1:75">
      <c r="A287" s="4">
        <f t="shared" si="47"/>
        <v>2006</v>
      </c>
      <c r="B287" s="4">
        <f t="shared" si="48"/>
        <v>7</v>
      </c>
      <c r="C287" s="4">
        <f>'[2]FPC wSEB'!$I384</f>
        <v>2237</v>
      </c>
      <c r="D287" s="4">
        <f>'[2]FPC wSEB'!$AA384</f>
        <v>1747</v>
      </c>
      <c r="Z287" s="6">
        <f t="shared" ref="Z287:Z292" si="49">C287</f>
        <v>2237</v>
      </c>
      <c r="AB287" s="4">
        <f>[9]SHLMWh!$E167</f>
        <v>2237</v>
      </c>
      <c r="BN287" s="4">
        <f t="shared" si="26"/>
        <v>2006</v>
      </c>
      <c r="BO287" s="4">
        <f t="shared" si="27"/>
        <v>7</v>
      </c>
      <c r="BP287" s="569">
        <f>(C287+[4]MWh!$AM121)</f>
        <v>2378.487399049387</v>
      </c>
      <c r="BQ287" s="168"/>
      <c r="BR287" s="168"/>
      <c r="BS287" s="168"/>
      <c r="BT287" s="571">
        <f t="shared" si="45"/>
        <v>2378.487399049387</v>
      </c>
      <c r="BU287" s="108">
        <f t="shared" si="46"/>
        <v>152.86528919120337</v>
      </c>
      <c r="BV287" s="108"/>
      <c r="BW287" s="319">
        <f>BT287/[9]SHLMWh!$E167</f>
        <v>1.0632487255473344</v>
      </c>
    </row>
    <row r="288" spans="1:75">
      <c r="A288" s="4">
        <f t="shared" si="47"/>
        <v>2006</v>
      </c>
      <c r="B288" s="4">
        <f t="shared" si="48"/>
        <v>8</v>
      </c>
      <c r="C288" s="4">
        <f>'[2]FPC wSEB'!$I385</f>
        <v>2222</v>
      </c>
      <c r="D288" s="4">
        <f>'[2]FPC wSEB'!$AA385</f>
        <v>1747</v>
      </c>
      <c r="Z288" s="6">
        <f t="shared" si="49"/>
        <v>2222</v>
      </c>
      <c r="AB288" s="4">
        <f>[9]SHLMWh!$E168</f>
        <v>2221</v>
      </c>
      <c r="BN288" s="4">
        <f t="shared" si="26"/>
        <v>2006</v>
      </c>
      <c r="BO288" s="4">
        <f t="shared" si="27"/>
        <v>8</v>
      </c>
      <c r="BP288" s="569">
        <f>(C288+[4]MWh!$AM122)</f>
        <v>2019.9348727612683</v>
      </c>
      <c r="BQ288" s="168"/>
      <c r="BR288" s="168"/>
      <c r="BS288" s="168"/>
      <c r="BT288" s="571">
        <f t="shared" ref="BT288:BT293" si="50">BP288</f>
        <v>2019.9348727612683</v>
      </c>
      <c r="BU288" s="108">
        <f t="shared" si="46"/>
        <v>-247.28589667903316</v>
      </c>
      <c r="BV288" s="108"/>
      <c r="BW288" s="319">
        <f>BT288/[9]SHLMWh!$E168</f>
        <v>0.90947090173852685</v>
      </c>
    </row>
    <row r="289" spans="1:75">
      <c r="A289" s="4">
        <f t="shared" si="47"/>
        <v>2006</v>
      </c>
      <c r="B289" s="4">
        <f t="shared" si="48"/>
        <v>9</v>
      </c>
      <c r="C289" s="4">
        <f>'[2]FPC wSEB'!$I386</f>
        <v>2064</v>
      </c>
      <c r="D289" s="4">
        <f>'[2]FPC wSEB'!$AA386</f>
        <v>1739</v>
      </c>
      <c r="Z289" s="6">
        <f t="shared" si="49"/>
        <v>2064</v>
      </c>
      <c r="AB289" s="4">
        <f>[9]SHLMWh!$E169</f>
        <v>2128</v>
      </c>
      <c r="BN289" s="4">
        <f t="shared" si="26"/>
        <v>2006</v>
      </c>
      <c r="BO289" s="4">
        <f t="shared" si="27"/>
        <v>9</v>
      </c>
      <c r="BP289" s="569">
        <f>(C289+[4]MWh!$AM123)</f>
        <v>1875.2076909344619</v>
      </c>
      <c r="BQ289" s="168"/>
      <c r="BR289" s="168"/>
      <c r="BS289" s="168"/>
      <c r="BT289" s="571">
        <f t="shared" si="50"/>
        <v>1875.2076909344619</v>
      </c>
      <c r="BU289" s="108">
        <f t="shared" si="46"/>
        <v>-203.87088577240684</v>
      </c>
      <c r="BV289" s="108"/>
      <c r="BW289" s="319">
        <f>BT289/[9]SHLMWh!$E169</f>
        <v>0.8812066216797283</v>
      </c>
    </row>
    <row r="290" spans="1:75">
      <c r="A290" s="4">
        <f t="shared" si="47"/>
        <v>2006</v>
      </c>
      <c r="B290" s="4">
        <f t="shared" si="48"/>
        <v>10</v>
      </c>
      <c r="C290" s="4">
        <f>'[2]FPC wSEB'!$I387</f>
        <v>2410</v>
      </c>
      <c r="D290" s="4">
        <f>'[2]FPC wSEB'!$AA387</f>
        <v>1737</v>
      </c>
      <c r="Z290" s="6">
        <f t="shared" si="49"/>
        <v>2410</v>
      </c>
      <c r="AB290" s="4">
        <f>[9]SHLMWh!$E170</f>
        <v>2347</v>
      </c>
      <c r="BN290" s="4">
        <f t="shared" si="26"/>
        <v>2006</v>
      </c>
      <c r="BO290" s="4">
        <f t="shared" si="27"/>
        <v>10</v>
      </c>
      <c r="BP290" s="569">
        <f>(C290+[4]MWh!$AM124)</f>
        <v>2701.2603994917927</v>
      </c>
      <c r="BQ290" s="168"/>
      <c r="BR290" s="168"/>
      <c r="BS290" s="168"/>
      <c r="BT290" s="571">
        <f t="shared" si="50"/>
        <v>2701.2603994917927</v>
      </c>
      <c r="BU290" s="108">
        <f t="shared" si="46"/>
        <v>435.34758861903356</v>
      </c>
      <c r="BV290" s="108"/>
      <c r="BW290" s="319">
        <f>BT290/[9]SHLMWh!$E170</f>
        <v>1.1509417978235164</v>
      </c>
    </row>
    <row r="291" spans="1:75">
      <c r="A291" s="4">
        <f t="shared" si="47"/>
        <v>2006</v>
      </c>
      <c r="B291" s="4">
        <f t="shared" si="48"/>
        <v>11</v>
      </c>
      <c r="C291" s="4">
        <f>'[2]FPC wSEB'!$I388</f>
        <v>2208</v>
      </c>
      <c r="D291" s="4">
        <f>'[2]FPC wSEB'!$AA388</f>
        <v>1732</v>
      </c>
      <c r="Z291" s="6">
        <f t="shared" si="49"/>
        <v>2208</v>
      </c>
      <c r="AB291" s="4">
        <f>[9]SHLMWh!$E171</f>
        <v>2206</v>
      </c>
      <c r="BN291" s="4">
        <f t="shared" si="26"/>
        <v>2006</v>
      </c>
      <c r="BO291" s="4">
        <f t="shared" si="27"/>
        <v>11</v>
      </c>
      <c r="BP291" s="569">
        <f>(C291+[4]MWh!$AM125)</f>
        <v>1941.8977925189874</v>
      </c>
      <c r="BQ291" s="168"/>
      <c r="BR291" s="168"/>
      <c r="BS291" s="168"/>
      <c r="BT291" s="571">
        <f t="shared" si="50"/>
        <v>1941.8977925189874</v>
      </c>
      <c r="BU291" s="108">
        <f t="shared" ref="BU291:BU296" si="51">BT291-BT279</f>
        <v>-233.52358200147</v>
      </c>
      <c r="BV291" s="108"/>
      <c r="BW291" s="319">
        <f>BT291/[9]SHLMWh!$E171</f>
        <v>0.88028005100588735</v>
      </c>
    </row>
    <row r="292" spans="1:75" s="89" customFormat="1">
      <c r="A292" s="89">
        <f t="shared" si="47"/>
        <v>2006</v>
      </c>
      <c r="B292" s="89">
        <f t="shared" si="48"/>
        <v>12</v>
      </c>
      <c r="C292" s="89">
        <f>'[2]FPC wSEB'!$I389</f>
        <v>2213</v>
      </c>
      <c r="D292" s="89">
        <f>'[2]FPC wSEB'!$AA389</f>
        <v>1721</v>
      </c>
      <c r="Z292" s="96">
        <f t="shared" si="49"/>
        <v>2213</v>
      </c>
      <c r="AB292" s="89">
        <f>[9]SHLMWh!$E172</f>
        <v>2215</v>
      </c>
      <c r="BN292" s="89">
        <f t="shared" si="26"/>
        <v>2006</v>
      </c>
      <c r="BO292" s="89">
        <f t="shared" si="27"/>
        <v>12</v>
      </c>
      <c r="BP292" s="570">
        <f>(C292+[4]MWh!$AM126)</f>
        <v>2231.2330010161404</v>
      </c>
      <c r="BQ292" s="169"/>
      <c r="BR292" s="169"/>
      <c r="BS292" s="169"/>
      <c r="BT292" s="572">
        <f t="shared" si="50"/>
        <v>2231.2330010161404</v>
      </c>
      <c r="BU292" s="117">
        <f t="shared" si="51"/>
        <v>-202.91793322112881</v>
      </c>
      <c r="BV292" s="117"/>
      <c r="BW292" s="320">
        <f>BT292/[9]SHLMWh!$E172</f>
        <v>1.0073286686303118</v>
      </c>
    </row>
    <row r="293" spans="1:75">
      <c r="A293" s="4">
        <f t="shared" si="47"/>
        <v>2007</v>
      </c>
      <c r="B293" s="4">
        <f t="shared" si="48"/>
        <v>1</v>
      </c>
      <c r="C293" s="4">
        <f>'[2]FPC wSEB'!$I390</f>
        <v>2201</v>
      </c>
      <c r="D293" s="4">
        <f>'[2]FPC wSEB'!$AA390</f>
        <v>1714</v>
      </c>
      <c r="Z293" s="6">
        <f t="shared" ref="Z293:Z298" si="52">C293</f>
        <v>2201</v>
      </c>
      <c r="AB293" s="4">
        <f>[9]SHLMWh!$E173</f>
        <v>2200</v>
      </c>
      <c r="BN293" s="4">
        <f t="shared" si="26"/>
        <v>2007</v>
      </c>
      <c r="BO293" s="4">
        <f t="shared" si="27"/>
        <v>1</v>
      </c>
      <c r="BP293" s="569">
        <f>(C293+[4]MWh!$AM127)</f>
        <v>2355.0803184397791</v>
      </c>
      <c r="BQ293" s="168"/>
      <c r="BR293" s="168"/>
      <c r="BS293" s="168"/>
      <c r="BT293" s="571">
        <f t="shared" si="50"/>
        <v>2355.0803184397791</v>
      </c>
      <c r="BU293" s="108">
        <f t="shared" si="51"/>
        <v>149.62705401229732</v>
      </c>
      <c r="BV293" s="108"/>
      <c r="BW293" s="319">
        <f>BT293/[9]SHLMWh!$E173</f>
        <v>1.0704910538362633</v>
      </c>
    </row>
    <row r="294" spans="1:75">
      <c r="A294" s="4">
        <f t="shared" si="47"/>
        <v>2007</v>
      </c>
      <c r="B294" s="4">
        <f t="shared" si="48"/>
        <v>2</v>
      </c>
      <c r="C294" s="4">
        <f>'[2]FPC wSEB'!$I391</f>
        <v>2189</v>
      </c>
      <c r="D294" s="4">
        <f>'[2]FPC wSEB'!$AA391</f>
        <v>1713</v>
      </c>
      <c r="Z294" s="6">
        <f t="shared" si="52"/>
        <v>2189</v>
      </c>
      <c r="AB294" s="4">
        <f>[9]SHLMWh!$E174</f>
        <v>2189</v>
      </c>
      <c r="BN294" s="4">
        <f t="shared" si="26"/>
        <v>2007</v>
      </c>
      <c r="BO294" s="4">
        <f t="shared" si="27"/>
        <v>2</v>
      </c>
      <c r="BP294" s="569">
        <f>(C294+[4]MWh!$AM128)</f>
        <v>1972.9685096197854</v>
      </c>
      <c r="BQ294" s="168"/>
      <c r="BR294" s="168"/>
      <c r="BS294" s="168"/>
      <c r="BT294" s="571">
        <f t="shared" ref="BT294:BT299" si="53">BP294</f>
        <v>1972.9685096197854</v>
      </c>
      <c r="BU294" s="108">
        <f t="shared" si="51"/>
        <v>-77.450503820013182</v>
      </c>
      <c r="BV294" s="108"/>
      <c r="BW294" s="319">
        <f>BT294/[9]SHLMWh!$E174</f>
        <v>0.9013104201095411</v>
      </c>
    </row>
    <row r="295" spans="1:75">
      <c r="A295" s="4">
        <f t="shared" si="47"/>
        <v>2007</v>
      </c>
      <c r="B295" s="4">
        <f t="shared" si="48"/>
        <v>3</v>
      </c>
      <c r="C295" s="4">
        <f>'[2]FPC wSEB'!$I392</f>
        <v>2188</v>
      </c>
      <c r="D295" s="4">
        <f>'[2]FPC wSEB'!$AA392</f>
        <v>1709</v>
      </c>
      <c r="Z295" s="6">
        <f t="shared" si="52"/>
        <v>2188</v>
      </c>
      <c r="AB295" s="4">
        <f>[9]SHLMWh!$E175</f>
        <v>2188</v>
      </c>
      <c r="BN295" s="4">
        <f t="shared" si="26"/>
        <v>2007</v>
      </c>
      <c r="BO295" s="4">
        <f t="shared" si="27"/>
        <v>3</v>
      </c>
      <c r="BP295" s="569">
        <f>(C295+[4]MWh!$AM129)</f>
        <v>2350.6822776810504</v>
      </c>
      <c r="BQ295" s="168"/>
      <c r="BR295" s="168"/>
      <c r="BS295" s="168"/>
      <c r="BT295" s="571">
        <f t="shared" si="53"/>
        <v>2350.6822776810504</v>
      </c>
      <c r="BU295" s="108">
        <f t="shared" si="51"/>
        <v>-56.758579190141518</v>
      </c>
      <c r="BV295" s="108"/>
      <c r="BW295" s="319">
        <f>BT295/[9]SHLMWh!$E175</f>
        <v>1.0743520464721437</v>
      </c>
    </row>
    <row r="296" spans="1:75">
      <c r="A296" s="4">
        <f t="shared" si="47"/>
        <v>2007</v>
      </c>
      <c r="B296" s="4">
        <f t="shared" si="48"/>
        <v>4</v>
      </c>
      <c r="C296" s="4">
        <f>'[2]FPC wSEB'!$I393</f>
        <v>2195</v>
      </c>
      <c r="D296" s="4">
        <f>'[2]FPC wSEB'!$AA393</f>
        <v>1707</v>
      </c>
      <c r="Z296" s="6">
        <f t="shared" si="52"/>
        <v>2195</v>
      </c>
      <c r="AB296" s="4">
        <f>[9]SHLMWh!$E176</f>
        <v>2196</v>
      </c>
      <c r="BN296" s="4">
        <f t="shared" si="26"/>
        <v>2007</v>
      </c>
      <c r="BO296" s="4">
        <f t="shared" si="27"/>
        <v>4</v>
      </c>
      <c r="BP296" s="569">
        <f>(C296+[4]MWh!$AM130)</f>
        <v>2225.5846516896604</v>
      </c>
      <c r="BQ296" s="168"/>
      <c r="BR296" s="168"/>
      <c r="BS296" s="168"/>
      <c r="BT296" s="571">
        <f t="shared" si="53"/>
        <v>2225.5846516896604</v>
      </c>
      <c r="BU296" s="108">
        <f t="shared" si="51"/>
        <v>-192.85872734086843</v>
      </c>
      <c r="BV296" s="108"/>
      <c r="BW296" s="319">
        <f>BT296/[9]SHLMWh!$E176</f>
        <v>1.0134720636109564</v>
      </c>
    </row>
    <row r="297" spans="1:75">
      <c r="A297" s="4">
        <f t="shared" si="47"/>
        <v>2007</v>
      </c>
      <c r="B297" s="4">
        <f t="shared" si="48"/>
        <v>5</v>
      </c>
      <c r="C297" s="4">
        <f>'[2]FPC wSEB'!$I394</f>
        <v>2184</v>
      </c>
      <c r="D297" s="4">
        <f>'[2]FPC wSEB'!$AA394</f>
        <v>1711</v>
      </c>
      <c r="Z297" s="6">
        <f t="shared" si="52"/>
        <v>2184</v>
      </c>
      <c r="AB297" s="4">
        <f>[9]SHLMWh!$E177</f>
        <v>2181</v>
      </c>
      <c r="BN297" s="4">
        <f t="shared" si="26"/>
        <v>2007</v>
      </c>
      <c r="BO297" s="4">
        <f t="shared" si="27"/>
        <v>5</v>
      </c>
      <c r="BP297" s="569">
        <f>(C297+[4]MWh!$AM131)</f>
        <v>2326.9574721068425</v>
      </c>
      <c r="BQ297" s="168"/>
      <c r="BR297" s="168"/>
      <c r="BS297" s="168"/>
      <c r="BT297" s="571">
        <f t="shared" si="53"/>
        <v>2326.9574721068425</v>
      </c>
      <c r="BU297" s="108">
        <f t="shared" ref="BU297:BU302" si="54">BT297-BT285</f>
        <v>153.99020285517918</v>
      </c>
      <c r="BV297" s="108"/>
      <c r="BW297" s="319">
        <f>BT297/[9]SHLMWh!$E177</f>
        <v>1.0669222705670989</v>
      </c>
    </row>
    <row r="298" spans="1:75">
      <c r="A298" s="4">
        <f t="shared" si="47"/>
        <v>2007</v>
      </c>
      <c r="B298" s="4">
        <f t="shared" si="48"/>
        <v>6</v>
      </c>
      <c r="C298" s="4">
        <f>'[2]FPC wSEB'!$I395</f>
        <v>2192</v>
      </c>
      <c r="D298" s="4">
        <f>'[2]FPC wSEB'!$AA395</f>
        <v>1700</v>
      </c>
      <c r="Z298" s="6">
        <f t="shared" si="52"/>
        <v>2192</v>
      </c>
      <c r="AB298" s="4">
        <f>[9]SHLMWh!$E178</f>
        <v>2194</v>
      </c>
      <c r="BN298" s="4">
        <f t="shared" si="26"/>
        <v>2007</v>
      </c>
      <c r="BO298" s="4">
        <f t="shared" si="27"/>
        <v>6</v>
      </c>
      <c r="BP298" s="569">
        <f>(C298+[4]MWh!$AM132)</f>
        <v>2235.8950556076061</v>
      </c>
      <c r="BQ298" s="168"/>
      <c r="BR298" s="168"/>
      <c r="BS298" s="168"/>
      <c r="BT298" s="571">
        <f t="shared" si="53"/>
        <v>2235.8950556076061</v>
      </c>
      <c r="BU298" s="108">
        <f t="shared" si="54"/>
        <v>143.66196937067616</v>
      </c>
      <c r="BV298" s="108"/>
      <c r="BW298" s="319">
        <f>BT298/[9]SHLMWh!$E178</f>
        <v>1.0190952851447612</v>
      </c>
    </row>
    <row r="299" spans="1:75">
      <c r="A299" s="4">
        <f t="shared" si="47"/>
        <v>2007</v>
      </c>
      <c r="B299" s="4">
        <f t="shared" si="48"/>
        <v>7</v>
      </c>
      <c r="C299" s="4">
        <f>'[2]FPC wSEB'!$I396</f>
        <v>2003</v>
      </c>
      <c r="D299" s="4">
        <f>'[2]FPC wSEB'!$AA396</f>
        <v>1685</v>
      </c>
      <c r="Z299" s="6">
        <f t="shared" ref="Z299:Z304" si="55">C299</f>
        <v>2003</v>
      </c>
      <c r="AB299" s="4">
        <f>[9]SHLMWh!$E179</f>
        <v>2004</v>
      </c>
      <c r="BN299" s="4">
        <f t="shared" si="26"/>
        <v>2007</v>
      </c>
      <c r="BO299" s="4">
        <f t="shared" si="27"/>
        <v>7</v>
      </c>
      <c r="BP299" s="569">
        <f>(C299+[4]MWh!$AM133)</f>
        <v>1879.9697042244334</v>
      </c>
      <c r="BQ299" s="168"/>
      <c r="BR299" s="168"/>
      <c r="BS299" s="168"/>
      <c r="BT299" s="571">
        <f t="shared" si="53"/>
        <v>1879.9697042244334</v>
      </c>
      <c r="BU299" s="108">
        <f t="shared" si="54"/>
        <v>-498.51769482495365</v>
      </c>
      <c r="BV299" s="108"/>
      <c r="BW299" s="319">
        <f>BT299/[9]SHLMWh!$E179</f>
        <v>0.9381086348425316</v>
      </c>
    </row>
    <row r="300" spans="1:75">
      <c r="A300" s="4">
        <f t="shared" si="47"/>
        <v>2007</v>
      </c>
      <c r="B300" s="4">
        <f t="shared" si="48"/>
        <v>8</v>
      </c>
      <c r="C300" s="4">
        <f>'[2]FPC wSEB'!$I397</f>
        <v>2331</v>
      </c>
      <c r="D300" s="4">
        <f>'[2]FPC wSEB'!$AA397</f>
        <v>1688</v>
      </c>
      <c r="Z300" s="6">
        <f t="shared" si="55"/>
        <v>2331</v>
      </c>
      <c r="AB300" s="4">
        <f>[9]SHLMWh!$E180</f>
        <v>2330</v>
      </c>
      <c r="BN300" s="4">
        <f t="shared" si="26"/>
        <v>2007</v>
      </c>
      <c r="BO300" s="4">
        <f t="shared" si="27"/>
        <v>8</v>
      </c>
      <c r="BP300" s="569">
        <f>(C300+[4]MWh!$AM134)</f>
        <v>2346.0384305358571</v>
      </c>
      <c r="BQ300" s="168"/>
      <c r="BR300" s="168"/>
      <c r="BS300" s="168"/>
      <c r="BT300" s="571">
        <f t="shared" ref="BT300:BT305" si="56">BP300</f>
        <v>2346.0384305358571</v>
      </c>
      <c r="BU300" s="108">
        <f t="shared" si="54"/>
        <v>326.10355777458881</v>
      </c>
      <c r="BV300" s="108"/>
      <c r="BW300" s="319">
        <f>BT300/[9]SHLMWh!$E180</f>
        <v>1.006883446581913</v>
      </c>
    </row>
    <row r="301" spans="1:75">
      <c r="A301" s="4">
        <f t="shared" si="47"/>
        <v>2007</v>
      </c>
      <c r="B301" s="4">
        <f t="shared" si="48"/>
        <v>9</v>
      </c>
      <c r="C301" s="4">
        <f>'[2]FPC wSEB'!$I398</f>
        <v>2141</v>
      </c>
      <c r="D301" s="4">
        <f>'[2]FPC wSEB'!$AA398</f>
        <v>1678</v>
      </c>
      <c r="Z301" s="6">
        <f t="shared" si="55"/>
        <v>2141</v>
      </c>
      <c r="AB301" s="4">
        <f>[9]SHLMWh!$E181</f>
        <v>2142</v>
      </c>
      <c r="BN301" s="4">
        <f t="shared" si="26"/>
        <v>2007</v>
      </c>
      <c r="BO301" s="4">
        <f t="shared" si="27"/>
        <v>9</v>
      </c>
      <c r="BP301" s="569">
        <f>(C301+[4]MWh!$AM135)</f>
        <v>1956.1193246648456</v>
      </c>
      <c r="BQ301" s="168"/>
      <c r="BR301" s="168"/>
      <c r="BS301" s="168"/>
      <c r="BT301" s="571">
        <f t="shared" si="56"/>
        <v>1956.1193246648456</v>
      </c>
      <c r="BU301" s="108">
        <f t="shared" si="54"/>
        <v>80.911633730383755</v>
      </c>
      <c r="BV301" s="108"/>
      <c r="BW301" s="319">
        <f>BT301/[9]SHLMWh!$E181</f>
        <v>0.91322097323288776</v>
      </c>
    </row>
    <row r="302" spans="1:75">
      <c r="A302" s="4">
        <f t="shared" si="47"/>
        <v>2007</v>
      </c>
      <c r="B302" s="4">
        <f t="shared" si="48"/>
        <v>10</v>
      </c>
      <c r="C302" s="4">
        <f>'[2]FPC wSEB'!$I399</f>
        <v>2191</v>
      </c>
      <c r="D302" s="4">
        <f>'[2]FPC wSEB'!$AA399</f>
        <v>1668</v>
      </c>
      <c r="Z302" s="6">
        <f t="shared" si="55"/>
        <v>2191</v>
      </c>
      <c r="AB302" s="4">
        <f>[9]SHLMWh!$E182</f>
        <v>2191</v>
      </c>
      <c r="BN302" s="4">
        <f t="shared" si="26"/>
        <v>2007</v>
      </c>
      <c r="BO302" s="4">
        <f t="shared" si="27"/>
        <v>10</v>
      </c>
      <c r="BP302" s="569">
        <f>(C302+[4]MWh!$AM136)</f>
        <v>2261.5470077456807</v>
      </c>
      <c r="BQ302" s="168"/>
      <c r="BR302" s="168"/>
      <c r="BS302" s="168"/>
      <c r="BT302" s="571">
        <f t="shared" si="56"/>
        <v>2261.5470077456807</v>
      </c>
      <c r="BU302" s="108">
        <f t="shared" si="54"/>
        <v>-439.71339174611194</v>
      </c>
      <c r="BV302" s="108"/>
      <c r="BW302" s="319">
        <f>BT302/[9]SHLMWh!$E182</f>
        <v>1.0321985430149159</v>
      </c>
    </row>
    <row r="303" spans="1:75">
      <c r="A303" s="4">
        <f t="shared" si="47"/>
        <v>2007</v>
      </c>
      <c r="B303" s="4">
        <f t="shared" si="48"/>
        <v>11</v>
      </c>
      <c r="C303" s="4">
        <f>'[2]FPC wSEB'!$I400</f>
        <v>2088</v>
      </c>
      <c r="D303" s="4">
        <f>'[2]FPC wSEB'!$AA400</f>
        <v>1666</v>
      </c>
      <c r="Z303" s="6">
        <f t="shared" si="55"/>
        <v>2088</v>
      </c>
      <c r="AB303" s="4">
        <f>[9]SHLMWh!$E183</f>
        <v>2088</v>
      </c>
      <c r="BN303" s="4">
        <f t="shared" si="26"/>
        <v>2007</v>
      </c>
      <c r="BO303" s="4">
        <f t="shared" si="27"/>
        <v>11</v>
      </c>
      <c r="BP303" s="569">
        <f>(C303+[4]MWh!$AM137)</f>
        <v>1872.5192944259668</v>
      </c>
      <c r="BQ303" s="168"/>
      <c r="BR303" s="168"/>
      <c r="BS303" s="168"/>
      <c r="BT303" s="571">
        <f t="shared" si="56"/>
        <v>1872.5192944259668</v>
      </c>
      <c r="BU303" s="108">
        <f t="shared" ref="BU303:BU308" si="57">BT303-BT291</f>
        <v>-69.378498093020653</v>
      </c>
      <c r="BV303" s="108"/>
      <c r="BW303" s="319">
        <f>BT303/[9]SHLMWh!$E183</f>
        <v>0.89680042836492657</v>
      </c>
    </row>
    <row r="304" spans="1:75" s="89" customFormat="1">
      <c r="A304" s="89">
        <f t="shared" si="47"/>
        <v>2007</v>
      </c>
      <c r="B304" s="89">
        <f t="shared" si="48"/>
        <v>12</v>
      </c>
      <c r="C304" s="89">
        <f>'[2]FPC wSEB'!$I401</f>
        <v>2199</v>
      </c>
      <c r="D304" s="89">
        <f>'[2]FPC wSEB'!$AA401</f>
        <v>1660</v>
      </c>
      <c r="Z304" s="96">
        <f t="shared" si="55"/>
        <v>2199</v>
      </c>
      <c r="AB304" s="89">
        <f>[9]SHLMWh!$E184</f>
        <v>2199</v>
      </c>
      <c r="BN304" s="89">
        <f t="shared" si="26"/>
        <v>2007</v>
      </c>
      <c r="BO304" s="89">
        <f t="shared" si="27"/>
        <v>12</v>
      </c>
      <c r="BP304" s="570">
        <f>(C304+[4]MWh!$AM138)</f>
        <v>2326.7096005828171</v>
      </c>
      <c r="BQ304" s="169"/>
      <c r="BR304" s="169"/>
      <c r="BS304" s="169"/>
      <c r="BT304" s="572">
        <f t="shared" si="56"/>
        <v>2326.7096005828171</v>
      </c>
      <c r="BU304" s="117">
        <f t="shared" si="57"/>
        <v>95.476599566676668</v>
      </c>
      <c r="BV304" s="117"/>
      <c r="BW304" s="320">
        <f>BT304/[9]SHLMWh!$E184</f>
        <v>1.0580762167270654</v>
      </c>
    </row>
    <row r="305" spans="1:75">
      <c r="A305" s="4">
        <f t="shared" si="47"/>
        <v>2008</v>
      </c>
      <c r="B305" s="4">
        <f t="shared" si="48"/>
        <v>1</v>
      </c>
      <c r="C305" s="4">
        <f>'[2]FPC wSEB'!$I402</f>
        <v>2171</v>
      </c>
      <c r="D305" s="4">
        <f>'[2]FPC wSEB'!$AA402</f>
        <v>1664</v>
      </c>
      <c r="Z305" s="6">
        <f t="shared" ref="Z305:Z310" si="58">C305</f>
        <v>2171</v>
      </c>
      <c r="AB305" s="4">
        <f>[9]SHLMWh!$E185</f>
        <v>2170</v>
      </c>
      <c r="BN305" s="4">
        <f t="shared" si="26"/>
        <v>2008</v>
      </c>
      <c r="BO305" s="4">
        <f t="shared" si="27"/>
        <v>1</v>
      </c>
      <c r="BP305" s="569">
        <f>(C305+[4]MWh!$AM139)</f>
        <v>2241.3533521943414</v>
      </c>
      <c r="BQ305" s="168"/>
      <c r="BR305" s="168"/>
      <c r="BS305" s="168"/>
      <c r="BT305" s="571">
        <f t="shared" si="56"/>
        <v>2241.3533521943414</v>
      </c>
      <c r="BU305" s="108">
        <f t="shared" si="57"/>
        <v>-113.72696624543778</v>
      </c>
      <c r="BV305" s="108"/>
      <c r="BW305" s="319">
        <f>BT305/[9]SHLMWh!$E185</f>
        <v>1.0328817291218162</v>
      </c>
    </row>
    <row r="306" spans="1:75">
      <c r="A306" s="4">
        <f t="shared" si="47"/>
        <v>2008</v>
      </c>
      <c r="B306" s="4">
        <f t="shared" si="48"/>
        <v>2</v>
      </c>
      <c r="C306" s="4">
        <f>'[2]FPC wSEB'!$I403</f>
        <v>2168</v>
      </c>
      <c r="D306" s="4">
        <f>'[2]FPC wSEB'!$AA403</f>
        <v>1670</v>
      </c>
      <c r="Z306" s="6">
        <f t="shared" si="58"/>
        <v>2168</v>
      </c>
      <c r="AB306" s="4">
        <f>[9]SHLMWh!$E186</f>
        <v>2166</v>
      </c>
      <c r="BN306" s="4">
        <f t="shared" si="26"/>
        <v>2008</v>
      </c>
      <c r="BO306" s="4">
        <f t="shared" si="27"/>
        <v>2</v>
      </c>
      <c r="BP306" s="569">
        <f>(C306+[4]MWh!$AM140)</f>
        <v>2160.5477577029451</v>
      </c>
      <c r="BQ306" s="168"/>
      <c r="BR306" s="168"/>
      <c r="BS306" s="168"/>
      <c r="BT306" s="571">
        <f t="shared" ref="BT306:BT311" si="59">BP306</f>
        <v>2160.5477577029451</v>
      </c>
      <c r="BU306" s="108">
        <f t="shared" si="57"/>
        <v>187.57924808315965</v>
      </c>
      <c r="BV306" s="108"/>
      <c r="BW306" s="319">
        <f>BT306/[9]SHLMWh!$E186</f>
        <v>0.99748280595703831</v>
      </c>
    </row>
    <row r="307" spans="1:75">
      <c r="A307" s="4">
        <f t="shared" si="47"/>
        <v>2008</v>
      </c>
      <c r="B307" s="4">
        <f t="shared" si="48"/>
        <v>3</v>
      </c>
      <c r="C307" s="4">
        <f>'[2]FPC wSEB'!$I404</f>
        <v>2286</v>
      </c>
      <c r="D307" s="4">
        <f>'[2]FPC wSEB'!$AA404</f>
        <v>1666</v>
      </c>
      <c r="Z307" s="6">
        <f t="shared" si="58"/>
        <v>2286</v>
      </c>
      <c r="AB307" s="4">
        <f>[9]SHLMWh!$E187</f>
        <v>2286</v>
      </c>
      <c r="BN307" s="4">
        <f t="shared" si="26"/>
        <v>2008</v>
      </c>
      <c r="BO307" s="4">
        <f t="shared" si="27"/>
        <v>3</v>
      </c>
      <c r="BP307" s="569">
        <f>(C307+[4]MWh!$AM141)</f>
        <v>2407.9522170482524</v>
      </c>
      <c r="BQ307" s="168"/>
      <c r="BR307" s="168"/>
      <c r="BS307" s="168"/>
      <c r="BT307" s="571">
        <f t="shared" si="59"/>
        <v>2407.9522170482524</v>
      </c>
      <c r="BU307" s="108">
        <f t="shared" si="57"/>
        <v>57.269939367201914</v>
      </c>
      <c r="BV307" s="108"/>
      <c r="BW307" s="319">
        <f>BT307/[9]SHLMWh!$E187</f>
        <v>1.053347426530294</v>
      </c>
    </row>
    <row r="308" spans="1:75">
      <c r="A308" s="4">
        <f t="shared" si="47"/>
        <v>2008</v>
      </c>
      <c r="B308" s="4">
        <f t="shared" si="48"/>
        <v>4</v>
      </c>
      <c r="C308" s="4">
        <f>'[2]FPC wSEB'!$I405</f>
        <v>2195</v>
      </c>
      <c r="D308" s="4">
        <f>'[2]FPC wSEB'!$AA405</f>
        <v>1666</v>
      </c>
      <c r="Z308" s="6">
        <f t="shared" si="58"/>
        <v>2195</v>
      </c>
      <c r="AB308" s="4">
        <f>[9]SHLMWh!$E188</f>
        <v>2197</v>
      </c>
      <c r="BN308" s="4">
        <f t="shared" si="26"/>
        <v>2008</v>
      </c>
      <c r="BO308" s="4">
        <f t="shared" si="27"/>
        <v>4</v>
      </c>
      <c r="BP308" s="569">
        <f>(C308+[4]MWh!$AM142)</f>
        <v>2172.5467122576342</v>
      </c>
      <c r="BQ308" s="168"/>
      <c r="BR308" s="168"/>
      <c r="BS308" s="168"/>
      <c r="BT308" s="571">
        <f t="shared" si="59"/>
        <v>2172.5467122576342</v>
      </c>
      <c r="BU308" s="108">
        <f t="shared" si="57"/>
        <v>-53.037939432026178</v>
      </c>
      <c r="BV308" s="108"/>
      <c r="BW308" s="319">
        <f>BT308/[9]SHLMWh!$E188</f>
        <v>0.98886969151462645</v>
      </c>
    </row>
    <row r="309" spans="1:75">
      <c r="A309" s="4">
        <f t="shared" si="47"/>
        <v>2008</v>
      </c>
      <c r="B309" s="4">
        <f t="shared" si="48"/>
        <v>5</v>
      </c>
      <c r="C309" s="4">
        <f>'[2]FPC wSEB'!$I406</f>
        <v>2135</v>
      </c>
      <c r="D309" s="4">
        <f>'[2]FPC wSEB'!$AA406</f>
        <v>1653</v>
      </c>
      <c r="Z309" s="6">
        <f t="shared" si="58"/>
        <v>2135</v>
      </c>
      <c r="AB309" s="4">
        <f>[9]SHLMWh!$E189</f>
        <v>2132</v>
      </c>
      <c r="BN309" s="4">
        <f t="shared" si="26"/>
        <v>2008</v>
      </c>
      <c r="BO309" s="4">
        <f t="shared" si="27"/>
        <v>5</v>
      </c>
      <c r="BP309" s="569">
        <f>(C309+[4]MWh!$AM143)</f>
        <v>2337.0665252214812</v>
      </c>
      <c r="BQ309" s="168"/>
      <c r="BR309" s="168"/>
      <c r="BS309" s="168"/>
      <c r="BT309" s="571">
        <f t="shared" si="59"/>
        <v>2337.0665252214812</v>
      </c>
      <c r="BU309" s="108">
        <f t="shared" ref="BU309:BU314" si="60">BT309-BT297</f>
        <v>10.109053114638755</v>
      </c>
      <c r="BV309" s="108"/>
      <c r="BW309" s="319">
        <f>BT309/[9]SHLMWh!$E189</f>
        <v>1.0961850493534153</v>
      </c>
    </row>
    <row r="310" spans="1:75">
      <c r="A310" s="4">
        <f t="shared" si="47"/>
        <v>2008</v>
      </c>
      <c r="B310" s="4">
        <f t="shared" si="48"/>
        <v>6</v>
      </c>
      <c r="C310" s="4">
        <f>'[2]FPC wSEB'!$I407</f>
        <v>2218</v>
      </c>
      <c r="D310" s="4">
        <f>'[2]FPC wSEB'!$AA407</f>
        <v>1652</v>
      </c>
      <c r="Z310" s="6">
        <f t="shared" si="58"/>
        <v>2218</v>
      </c>
      <c r="AB310" s="4">
        <f>[9]SHLMWh!$E190</f>
        <v>2216</v>
      </c>
      <c r="BN310" s="4">
        <f t="shared" si="26"/>
        <v>2008</v>
      </c>
      <c r="BO310" s="4">
        <f t="shared" si="27"/>
        <v>6</v>
      </c>
      <c r="BP310" s="569">
        <f>(C310+[4]MWh!$AM144)</f>
        <v>2006.4653713060579</v>
      </c>
      <c r="BQ310" s="168"/>
      <c r="BR310" s="168"/>
      <c r="BS310" s="168"/>
      <c r="BT310" s="571">
        <f t="shared" si="59"/>
        <v>2006.4653713060579</v>
      </c>
      <c r="BU310" s="108">
        <f t="shared" si="60"/>
        <v>-229.42968430154815</v>
      </c>
      <c r="BV310" s="108"/>
      <c r="BW310" s="319">
        <f>BT310/[9]SHLMWh!$E190</f>
        <v>0.90544466214172292</v>
      </c>
    </row>
    <row r="311" spans="1:75">
      <c r="A311" s="4">
        <f t="shared" si="47"/>
        <v>2008</v>
      </c>
      <c r="B311" s="4">
        <f t="shared" si="48"/>
        <v>7</v>
      </c>
      <c r="C311" s="4">
        <f>'[2]FPC wSEB'!$I408</f>
        <v>2174</v>
      </c>
      <c r="D311" s="4">
        <f>'[2]FPC wSEB'!$AA408</f>
        <v>1641</v>
      </c>
      <c r="Z311" s="6">
        <f t="shared" ref="Z311:Z316" si="61">C311</f>
        <v>2174</v>
      </c>
      <c r="AB311" s="4">
        <f>[9]SHLMWh!$E191</f>
        <v>2174</v>
      </c>
      <c r="BN311" s="4">
        <f t="shared" si="26"/>
        <v>2008</v>
      </c>
      <c r="BO311" s="4">
        <f t="shared" si="27"/>
        <v>7</v>
      </c>
      <c r="BP311" s="569">
        <f>(C311+[4]MWh!$AM145)</f>
        <v>2352.8837421242833</v>
      </c>
      <c r="BQ311" s="168"/>
      <c r="BR311" s="168"/>
      <c r="BS311" s="168"/>
      <c r="BT311" s="571">
        <f t="shared" si="59"/>
        <v>2352.8837421242833</v>
      </c>
      <c r="BU311" s="108">
        <f t="shared" si="60"/>
        <v>472.91403789984997</v>
      </c>
      <c r="BV311" s="108"/>
      <c r="BW311" s="319">
        <f>BT311/[9]SHLMWh!$E191</f>
        <v>1.0822832300479683</v>
      </c>
    </row>
    <row r="312" spans="1:75">
      <c r="A312" s="4">
        <f t="shared" si="47"/>
        <v>2008</v>
      </c>
      <c r="B312" s="4">
        <f t="shared" si="48"/>
        <v>8</v>
      </c>
      <c r="C312" s="4">
        <f>'[2]FPC wSEB'!$I409</f>
        <v>2180</v>
      </c>
      <c r="D312" s="4">
        <f>'[2]FPC wSEB'!$AA409</f>
        <v>1642</v>
      </c>
      <c r="Z312" s="6">
        <f t="shared" si="61"/>
        <v>2180</v>
      </c>
      <c r="AB312" s="4">
        <f>[9]SHLMWh!$E192</f>
        <v>2186</v>
      </c>
      <c r="BN312" s="4">
        <f t="shared" si="26"/>
        <v>2008</v>
      </c>
      <c r="BO312" s="4">
        <f t="shared" si="27"/>
        <v>8</v>
      </c>
      <c r="BP312" s="569">
        <f>(C312+[4]MWh!$AM146)</f>
        <v>2040.531995800402</v>
      </c>
      <c r="BQ312" s="168"/>
      <c r="BR312" s="168"/>
      <c r="BS312" s="168"/>
      <c r="BT312" s="571">
        <f t="shared" ref="BT312:BT317" si="62">BP312</f>
        <v>2040.531995800402</v>
      </c>
      <c r="BU312" s="108">
        <f t="shared" si="60"/>
        <v>-305.50643473545506</v>
      </c>
      <c r="BV312" s="108"/>
      <c r="BW312" s="319">
        <f>BT312/[9]SHLMWh!$E192</f>
        <v>0.93345470988124524</v>
      </c>
    </row>
    <row r="313" spans="1:75">
      <c r="A313" s="4">
        <f t="shared" si="47"/>
        <v>2008</v>
      </c>
      <c r="B313" s="4">
        <f t="shared" si="48"/>
        <v>9</v>
      </c>
      <c r="C313" s="4">
        <f>'[2]FPC wSEB'!$I410</f>
        <v>2171</v>
      </c>
      <c r="D313" s="4">
        <f>'[2]FPC wSEB'!$AA410</f>
        <v>1651</v>
      </c>
      <c r="Z313" s="6">
        <f t="shared" si="61"/>
        <v>2171</v>
      </c>
      <c r="AB313" s="4">
        <f>[9]SHLMWh!$E193</f>
        <v>2166</v>
      </c>
      <c r="BN313" s="4">
        <f t="shared" si="26"/>
        <v>2008</v>
      </c>
      <c r="BO313" s="4">
        <f t="shared" si="27"/>
        <v>9</v>
      </c>
      <c r="BP313" s="569">
        <f>(C313+[4]MWh!$AM147)</f>
        <v>1864.8241164279075</v>
      </c>
      <c r="BQ313" s="168"/>
      <c r="BR313" s="168"/>
      <c r="BS313" s="168"/>
      <c r="BT313" s="571">
        <f t="shared" si="62"/>
        <v>1864.8241164279075</v>
      </c>
      <c r="BU313" s="108">
        <f t="shared" si="60"/>
        <v>-91.295208236938151</v>
      </c>
      <c r="BV313" s="108"/>
      <c r="BW313" s="319">
        <f>BT313/[9]SHLMWh!$E193</f>
        <v>0.86095296233975416</v>
      </c>
    </row>
    <row r="314" spans="1:75">
      <c r="A314" s="4">
        <f t="shared" si="47"/>
        <v>2008</v>
      </c>
      <c r="B314" s="4">
        <f t="shared" si="48"/>
        <v>10</v>
      </c>
      <c r="C314" s="4">
        <f>'[2]FPC wSEB'!$I411</f>
        <v>2176</v>
      </c>
      <c r="D314" s="4">
        <f>'[2]FPC wSEB'!$AA411</f>
        <v>1635</v>
      </c>
      <c r="Z314" s="6">
        <f t="shared" si="61"/>
        <v>2176</v>
      </c>
      <c r="AB314" s="4">
        <f>[9]SHLMWh!$E194</f>
        <v>2181</v>
      </c>
      <c r="BN314" s="4">
        <f t="shared" si="26"/>
        <v>2008</v>
      </c>
      <c r="BO314" s="4">
        <f t="shared" si="27"/>
        <v>10</v>
      </c>
      <c r="BP314" s="569">
        <f>(C314+[4]MWh!$AM148)</f>
        <v>2284.9010513500393</v>
      </c>
      <c r="BQ314" s="168"/>
      <c r="BR314" s="168"/>
      <c r="BS314" s="168"/>
      <c r="BT314" s="571">
        <f t="shared" si="62"/>
        <v>2284.9010513500393</v>
      </c>
      <c r="BU314" s="108">
        <f t="shared" si="60"/>
        <v>23.354043604358594</v>
      </c>
      <c r="BV314" s="108"/>
      <c r="BW314" s="319">
        <f>BT314/[9]SHLMWh!$E194</f>
        <v>1.0476391798945619</v>
      </c>
    </row>
    <row r="315" spans="1:75">
      <c r="A315" s="4">
        <f t="shared" si="47"/>
        <v>2008</v>
      </c>
      <c r="B315" s="4">
        <f t="shared" si="48"/>
        <v>11</v>
      </c>
      <c r="C315" s="4">
        <f>'[2]FPC wSEB'!$I412</f>
        <v>2211</v>
      </c>
      <c r="D315" s="4">
        <f>'[2]FPC wSEB'!$AA412</f>
        <v>1648</v>
      </c>
      <c r="Z315" s="6">
        <f t="shared" si="61"/>
        <v>2211</v>
      </c>
      <c r="AB315" s="4">
        <f>[9]SHLMWh!$E195</f>
        <v>2203</v>
      </c>
      <c r="BN315" s="4">
        <f t="shared" si="26"/>
        <v>2008</v>
      </c>
      <c r="BO315" s="4">
        <f t="shared" si="27"/>
        <v>11</v>
      </c>
      <c r="BP315" s="569">
        <f>(C315+[4]MWh!$AM149)</f>
        <v>2082.9518846053224</v>
      </c>
      <c r="BQ315" s="168"/>
      <c r="BR315" s="168"/>
      <c r="BS315" s="168"/>
      <c r="BT315" s="571">
        <f t="shared" si="62"/>
        <v>2082.9518846053224</v>
      </c>
      <c r="BU315" s="108">
        <f t="shared" ref="BU315:BU320" si="63">BT315-BT303</f>
        <v>210.43259017935566</v>
      </c>
      <c r="BV315" s="108"/>
      <c r="BW315" s="319">
        <f>BT315/[9]SHLMWh!$E195</f>
        <v>0.94550698347949269</v>
      </c>
    </row>
    <row r="316" spans="1:75" s="89" customFormat="1">
      <c r="A316" s="89">
        <f t="shared" si="47"/>
        <v>2008</v>
      </c>
      <c r="B316" s="89">
        <f t="shared" si="48"/>
        <v>12</v>
      </c>
      <c r="C316" s="89">
        <f>'[2]FPC wSEB'!$I413</f>
        <v>2185</v>
      </c>
      <c r="D316" s="89">
        <f>'[2]FPC wSEB'!$AA413</f>
        <v>1636</v>
      </c>
      <c r="Z316" s="96">
        <f t="shared" si="61"/>
        <v>2185</v>
      </c>
      <c r="AB316" s="89">
        <f>[9]SHLMWh!$E196</f>
        <v>2187</v>
      </c>
      <c r="BN316" s="89">
        <f t="shared" si="26"/>
        <v>2008</v>
      </c>
      <c r="BO316" s="89">
        <f t="shared" si="27"/>
        <v>12</v>
      </c>
      <c r="BP316" s="570">
        <f>(C316+[4]MWh!$AM150)</f>
        <v>2276.9713815828418</v>
      </c>
      <c r="BQ316" s="169"/>
      <c r="BR316" s="169"/>
      <c r="BS316" s="169"/>
      <c r="BT316" s="572">
        <f t="shared" si="62"/>
        <v>2276.9713815828418</v>
      </c>
      <c r="BU316" s="117">
        <f t="shared" si="63"/>
        <v>-49.738218999975288</v>
      </c>
      <c r="BV316" s="117"/>
      <c r="BW316" s="320">
        <f>BT316/[9]SHLMWh!$E196</f>
        <v>1.0411391776784829</v>
      </c>
    </row>
    <row r="317" spans="1:75">
      <c r="A317" s="4">
        <f t="shared" si="47"/>
        <v>2009</v>
      </c>
      <c r="B317" s="4">
        <f t="shared" si="48"/>
        <v>1</v>
      </c>
      <c r="C317" s="4">
        <f>'[2]FPC wSEB'!$I414</f>
        <v>2207</v>
      </c>
      <c r="D317" s="4">
        <f>'[2]FPC wSEB'!$AA414</f>
        <v>1642</v>
      </c>
      <c r="Z317" s="6">
        <f t="shared" ref="Z317" si="64">C317</f>
        <v>2207</v>
      </c>
      <c r="AB317" s="4">
        <f>[9]SHLMWh!$E197</f>
        <v>2206</v>
      </c>
      <c r="BN317" s="4">
        <f t="shared" si="26"/>
        <v>2009</v>
      </c>
      <c r="BO317" s="4">
        <f t="shared" si="27"/>
        <v>1</v>
      </c>
      <c r="BP317" s="569">
        <f>(C317+[4]MWh!$AM151)</f>
        <v>2325.1698004810132</v>
      </c>
      <c r="BQ317" s="168"/>
      <c r="BR317" s="168"/>
      <c r="BS317" s="168"/>
      <c r="BT317" s="571">
        <f t="shared" si="62"/>
        <v>2325.1698004810132</v>
      </c>
      <c r="BU317" s="108">
        <f t="shared" si="63"/>
        <v>83.816448286671857</v>
      </c>
      <c r="BV317" s="108"/>
      <c r="BW317" s="319">
        <f>BT317/[9]SHLMWh!$E197</f>
        <v>1.0540207617774311</v>
      </c>
    </row>
    <row r="318" spans="1:75">
      <c r="A318" s="4">
        <f t="shared" si="47"/>
        <v>2009</v>
      </c>
      <c r="B318" s="4">
        <f t="shared" si="48"/>
        <v>2</v>
      </c>
      <c r="C318" s="4">
        <f>'[2]FPC wSEB'!$I415</f>
        <v>2143</v>
      </c>
      <c r="D318" s="4">
        <f>'[2]FPC wSEB'!$AA415</f>
        <v>1651</v>
      </c>
      <c r="Z318" s="6">
        <f t="shared" ref="Z318" si="65">C318</f>
        <v>2143</v>
      </c>
      <c r="AB318" s="4">
        <f>[9]SHLMWh!$E198</f>
        <v>2143</v>
      </c>
      <c r="BN318" s="4">
        <f t="shared" si="26"/>
        <v>2009</v>
      </c>
      <c r="BO318" s="4">
        <f t="shared" si="27"/>
        <v>2</v>
      </c>
      <c r="BP318" s="569">
        <f>(C318+[4]MWh!$AM152)</f>
        <v>1829.463475013185</v>
      </c>
      <c r="BQ318" s="168"/>
      <c r="BR318" s="168"/>
      <c r="BS318" s="168"/>
      <c r="BT318" s="571">
        <f t="shared" ref="BT318" si="66">BP318</f>
        <v>1829.463475013185</v>
      </c>
      <c r="BU318" s="108">
        <f t="shared" si="63"/>
        <v>-331.08428268976013</v>
      </c>
      <c r="BV318" s="108"/>
      <c r="BW318" s="319">
        <f>BT318/[9]SHLMWh!$E198</f>
        <v>0.85369270882556458</v>
      </c>
    </row>
    <row r="319" spans="1:75">
      <c r="A319" s="4">
        <f t="shared" si="47"/>
        <v>2009</v>
      </c>
      <c r="B319" s="4">
        <f t="shared" si="48"/>
        <v>3</v>
      </c>
      <c r="C319" s="4">
        <f>'[2]FPC wSEB'!$I416</f>
        <v>2202</v>
      </c>
      <c r="D319" s="4">
        <f>'[2]FPC wSEB'!$AA416</f>
        <v>1631</v>
      </c>
      <c r="Z319" s="6">
        <f t="shared" ref="Z319" si="67">C319</f>
        <v>2202</v>
      </c>
      <c r="AB319" s="4">
        <f>[9]SHLMWh!$E199</f>
        <v>2208</v>
      </c>
      <c r="BN319" s="4">
        <f t="shared" si="26"/>
        <v>2009</v>
      </c>
      <c r="BO319" s="4">
        <f t="shared" si="27"/>
        <v>3</v>
      </c>
      <c r="BP319" s="569">
        <f>(C319+[4]MWh!$AM153)</f>
        <v>2446.1188575455039</v>
      </c>
      <c r="BQ319" s="168"/>
      <c r="BR319" s="168"/>
      <c r="BS319" s="168"/>
      <c r="BT319" s="571">
        <f t="shared" ref="BT319" si="68">BP319</f>
        <v>2446.1188575455039</v>
      </c>
      <c r="BU319" s="108">
        <f t="shared" si="63"/>
        <v>38.166640497251592</v>
      </c>
      <c r="BV319" s="108"/>
      <c r="BW319" s="319">
        <f>BT319/[9]SHLMWh!$E199</f>
        <v>1.1078436854825653</v>
      </c>
    </row>
    <row r="320" spans="1:75">
      <c r="A320" s="4">
        <f t="shared" si="47"/>
        <v>2009</v>
      </c>
      <c r="B320" s="4">
        <f t="shared" si="48"/>
        <v>4</v>
      </c>
      <c r="C320" s="4">
        <f>'[2]FPC wSEB'!$I417</f>
        <v>2165</v>
      </c>
      <c r="D320" s="4">
        <f>'[2]FPC wSEB'!$AA417</f>
        <v>1625</v>
      </c>
      <c r="Z320" s="6">
        <f t="shared" ref="Z320" si="69">C320</f>
        <v>2165</v>
      </c>
      <c r="AB320" s="4">
        <f>[9]SHLMWh!$E200</f>
        <v>2161</v>
      </c>
      <c r="BN320" s="4">
        <f t="shared" si="26"/>
        <v>2009</v>
      </c>
      <c r="BO320" s="4">
        <f t="shared" si="27"/>
        <v>4</v>
      </c>
      <c r="BP320" s="569">
        <f>(C320+[4]MWh!$AM154)</f>
        <v>2178.509347789286</v>
      </c>
      <c r="BQ320" s="168"/>
      <c r="BR320" s="168"/>
      <c r="BS320" s="168"/>
      <c r="BT320" s="571">
        <f t="shared" ref="BT320" si="70">BP320</f>
        <v>2178.509347789286</v>
      </c>
      <c r="BU320" s="108">
        <f t="shared" si="63"/>
        <v>5.9626355316518129</v>
      </c>
      <c r="BV320" s="108"/>
      <c r="BW320" s="319">
        <f>BT320/[9]SHLMWh!$E200</f>
        <v>1.0081024284078139</v>
      </c>
    </row>
    <row r="321" spans="1:75">
      <c r="A321" s="4">
        <f t="shared" si="47"/>
        <v>2009</v>
      </c>
      <c r="B321" s="4">
        <f t="shared" si="48"/>
        <v>5</v>
      </c>
      <c r="C321" s="4">
        <f>'[2]FPC wSEB'!$I418</f>
        <v>2140</v>
      </c>
      <c r="D321" s="4">
        <f>'[2]FPC wSEB'!$AA418</f>
        <v>1622</v>
      </c>
      <c r="Z321" s="6">
        <f t="shared" ref="Z321" si="71">C321</f>
        <v>2140</v>
      </c>
      <c r="AB321" s="4">
        <f>[9]SHLMWh!$E201</f>
        <v>2145</v>
      </c>
      <c r="BN321" s="4">
        <f t="shared" si="26"/>
        <v>2009</v>
      </c>
      <c r="BO321" s="4">
        <f t="shared" si="27"/>
        <v>5</v>
      </c>
      <c r="BP321" s="569">
        <f>(C321+[4]MWh!$AM155)</f>
        <v>2274.3403570487872</v>
      </c>
      <c r="BQ321" s="168"/>
      <c r="BR321" s="168"/>
      <c r="BS321" s="168"/>
      <c r="BT321" s="571">
        <f t="shared" ref="BT321" si="72">BP321</f>
        <v>2274.3403570487872</v>
      </c>
      <c r="BU321" s="108">
        <f t="shared" ref="BU321" si="73">BT321-BT309</f>
        <v>-62.726168172694088</v>
      </c>
      <c r="BV321" s="108"/>
      <c r="BW321" s="319">
        <f>BT321/[9]SHLMWh!$E201</f>
        <v>1.0602985347546794</v>
      </c>
    </row>
    <row r="322" spans="1:75">
      <c r="A322" s="4">
        <f t="shared" si="47"/>
        <v>2009</v>
      </c>
      <c r="B322" s="4">
        <f t="shared" si="48"/>
        <v>6</v>
      </c>
      <c r="C322" s="4">
        <f>'[2]FPC wSEB'!$I419</f>
        <v>2148</v>
      </c>
      <c r="D322" s="4">
        <f>'[2]FPC wSEB'!$AA419</f>
        <v>1617</v>
      </c>
      <c r="Z322" s="6">
        <f t="shared" ref="Z322" si="74">C322</f>
        <v>2148</v>
      </c>
      <c r="AB322" s="4">
        <f>[9]SHLMWh!$E202</f>
        <v>2147</v>
      </c>
      <c r="BN322" s="4">
        <f t="shared" si="26"/>
        <v>2009</v>
      </c>
      <c r="BO322" s="4">
        <f t="shared" si="27"/>
        <v>6</v>
      </c>
      <c r="BP322" s="569">
        <f>(C322+[4]MWh!$AM156)</f>
        <v>2139.7869258420019</v>
      </c>
      <c r="BQ322" s="168"/>
      <c r="BR322" s="168"/>
      <c r="BS322" s="168"/>
      <c r="BT322" s="571">
        <f t="shared" ref="BT322" si="75">BP322</f>
        <v>2139.7869258420019</v>
      </c>
      <c r="BU322" s="108">
        <f t="shared" ref="BU322" si="76">BT322-BT310</f>
        <v>133.32155453594396</v>
      </c>
      <c r="BV322" s="108"/>
      <c r="BW322" s="319">
        <f>BT322/[9]SHLMWh!$E202</f>
        <v>0.99664039396460269</v>
      </c>
    </row>
    <row r="323" spans="1:75">
      <c r="A323" s="4">
        <f t="shared" si="47"/>
        <v>2009</v>
      </c>
      <c r="B323" s="4">
        <f t="shared" si="48"/>
        <v>7</v>
      </c>
      <c r="C323" s="4">
        <f>'[2]FPC wSEB'!$I420</f>
        <v>2166</v>
      </c>
      <c r="D323" s="4">
        <f>'[2]FPC wSEB'!$AA420</f>
        <v>1618</v>
      </c>
      <c r="Z323" s="6">
        <f t="shared" ref="Z323" si="77">C323</f>
        <v>2166</v>
      </c>
      <c r="AB323" s="4">
        <f>[9]SHLMWh!$E203</f>
        <v>2162</v>
      </c>
      <c r="BN323" s="4">
        <f t="shared" si="26"/>
        <v>2009</v>
      </c>
      <c r="BO323" s="4">
        <f t="shared" si="27"/>
        <v>7</v>
      </c>
      <c r="BP323" s="569">
        <f>(C323+[4]MWh!$AM157)</f>
        <v>2086.7186780365305</v>
      </c>
      <c r="BQ323" s="168"/>
      <c r="BR323" s="168"/>
      <c r="BS323" s="168"/>
      <c r="BT323" s="571">
        <f t="shared" ref="BT323" si="78">BP323</f>
        <v>2086.7186780365305</v>
      </c>
      <c r="BU323" s="108">
        <f t="shared" ref="BU323" si="79">BT323-BT311</f>
        <v>-266.16506408775285</v>
      </c>
      <c r="BV323" s="108"/>
      <c r="BW323" s="319">
        <f>BT323/[9]SHLMWh!$E203</f>
        <v>0.96517977707517599</v>
      </c>
    </row>
    <row r="324" spans="1:75">
      <c r="A324" s="4">
        <f t="shared" si="47"/>
        <v>2009</v>
      </c>
      <c r="B324" s="4">
        <f t="shared" si="48"/>
        <v>8</v>
      </c>
      <c r="C324" s="4">
        <f>'[2]FPC wSEB'!$I421</f>
        <v>2142</v>
      </c>
      <c r="D324" s="4">
        <f>'[2]FPC wSEB'!$AA421</f>
        <v>1614</v>
      </c>
      <c r="Z324" s="6">
        <f t="shared" ref="Z324" si="80">C324</f>
        <v>2142</v>
      </c>
      <c r="AB324" s="4">
        <f>[9]SHLMWh!$E204</f>
        <v>2141</v>
      </c>
      <c r="BN324" s="4">
        <f t="shared" si="26"/>
        <v>2009</v>
      </c>
      <c r="BO324" s="4">
        <f t="shared" si="27"/>
        <v>8</v>
      </c>
      <c r="BP324" s="569">
        <f>(C324+[4]MWh!$AM158)</f>
        <v>2344.8530843139542</v>
      </c>
      <c r="BQ324" s="168"/>
      <c r="BR324" s="168"/>
      <c r="BS324" s="168"/>
      <c r="BT324" s="571">
        <f t="shared" ref="BT324" si="81">BP324</f>
        <v>2344.8530843139542</v>
      </c>
      <c r="BU324" s="108">
        <f t="shared" ref="BU324" si="82">BT324-BT312</f>
        <v>304.32108851355224</v>
      </c>
      <c r="BV324" s="108"/>
      <c r="BW324" s="319">
        <f>BT324/[9]SHLMWh!$E204</f>
        <v>1.0952139581102074</v>
      </c>
    </row>
    <row r="325" spans="1:75">
      <c r="A325" s="4">
        <f t="shared" si="47"/>
        <v>2009</v>
      </c>
      <c r="B325" s="4">
        <f t="shared" si="48"/>
        <v>9</v>
      </c>
      <c r="C325" s="4">
        <f>'[2]FPC wSEB'!$I422</f>
        <v>2153</v>
      </c>
      <c r="D325" s="4">
        <f>'[2]FPC wSEB'!$AA422</f>
        <v>1612</v>
      </c>
      <c r="Z325" s="6">
        <f t="shared" ref="Z325" si="83">C325</f>
        <v>2153</v>
      </c>
      <c r="AB325" s="4">
        <f>[9]SHLMWh!$E205</f>
        <v>2153</v>
      </c>
      <c r="BN325" s="4">
        <f t="shared" si="26"/>
        <v>2009</v>
      </c>
      <c r="BO325" s="4">
        <f t="shared" si="27"/>
        <v>9</v>
      </c>
      <c r="BP325" s="569">
        <f>(C325+[4]MWh!$AM159)</f>
        <v>1967.9277973872668</v>
      </c>
      <c r="BQ325" s="168"/>
      <c r="BR325" s="168"/>
      <c r="BS325" s="168"/>
      <c r="BT325" s="571">
        <f t="shared" ref="BT325" si="84">BP325</f>
        <v>1967.9277973872668</v>
      </c>
      <c r="BU325" s="108">
        <f t="shared" ref="BU325" si="85">BT325-BT313</f>
        <v>103.10368095935928</v>
      </c>
      <c r="BV325" s="108"/>
      <c r="BW325" s="319">
        <f>BT325/[9]SHLMWh!$E205</f>
        <v>0.91403985015664968</v>
      </c>
    </row>
    <row r="326" spans="1:75">
      <c r="A326" s="4">
        <f t="shared" si="47"/>
        <v>2009</v>
      </c>
      <c r="B326" s="4">
        <f t="shared" si="48"/>
        <v>10</v>
      </c>
      <c r="C326" s="4">
        <f>'[2]FPC wSEB'!$I423</f>
        <v>2160</v>
      </c>
      <c r="D326" s="4">
        <f>'[2]FPC wSEB'!$AA423</f>
        <v>1616</v>
      </c>
      <c r="Z326" s="6">
        <f t="shared" ref="Z326" si="86">C326</f>
        <v>2160</v>
      </c>
      <c r="AB326" s="4">
        <f>[9]SHLMWh!$E206</f>
        <v>2160</v>
      </c>
      <c r="BN326" s="4">
        <f t="shared" si="26"/>
        <v>2009</v>
      </c>
      <c r="BO326" s="4">
        <f t="shared" si="27"/>
        <v>10</v>
      </c>
      <c r="BP326" s="569">
        <f>(C326+[4]MWh!$AM160)</f>
        <v>2166.5307706256526</v>
      </c>
      <c r="BQ326" s="168"/>
      <c r="BR326" s="168"/>
      <c r="BS326" s="168"/>
      <c r="BT326" s="571">
        <f t="shared" ref="BT326" si="87">BP326</f>
        <v>2166.5307706256526</v>
      </c>
      <c r="BU326" s="108">
        <f t="shared" ref="BU326" si="88">BT326-BT314</f>
        <v>-118.3702807243867</v>
      </c>
      <c r="BV326" s="108"/>
      <c r="BW326" s="319">
        <f>BT326/[9]SHLMWh!$E206</f>
        <v>1.0030235049192837</v>
      </c>
    </row>
    <row r="327" spans="1:75">
      <c r="A327" s="4">
        <f t="shared" si="47"/>
        <v>2009</v>
      </c>
      <c r="B327" s="4">
        <f t="shared" si="48"/>
        <v>11</v>
      </c>
      <c r="C327" s="4">
        <f>'[2]FPC wSEB'!$I424</f>
        <v>2167</v>
      </c>
      <c r="D327" s="4">
        <f>'[2]FPC wSEB'!$AA424</f>
        <v>1624</v>
      </c>
      <c r="Z327" s="6">
        <f t="shared" ref="Z327" si="89">C327</f>
        <v>2167</v>
      </c>
      <c r="AB327" s="4">
        <f>[9]SHLMWh!$E207</f>
        <v>2159</v>
      </c>
      <c r="BN327" s="4">
        <f t="shared" si="26"/>
        <v>2009</v>
      </c>
      <c r="BO327" s="4">
        <f t="shared" si="27"/>
        <v>11</v>
      </c>
      <c r="BP327" s="569">
        <f>(C327+[4]MWh!$AM161)</f>
        <v>1886.7767074260305</v>
      </c>
      <c r="BQ327" s="168"/>
      <c r="BR327" s="168"/>
      <c r="BS327" s="168"/>
      <c r="BT327" s="571">
        <f t="shared" ref="BT327" si="90">BP327</f>
        <v>1886.7767074260305</v>
      </c>
      <c r="BU327" s="108">
        <f t="shared" ref="BU327" si="91">BT327-BT315</f>
        <v>-196.17517717929195</v>
      </c>
      <c r="BV327" s="108"/>
      <c r="BW327" s="319">
        <f>BT327/[9]SHLMWh!$E207</f>
        <v>0.87391232395832819</v>
      </c>
    </row>
    <row r="328" spans="1:75" s="89" customFormat="1">
      <c r="A328" s="89">
        <f t="shared" si="47"/>
        <v>2009</v>
      </c>
      <c r="B328" s="89">
        <f t="shared" si="48"/>
        <v>12</v>
      </c>
      <c r="C328" s="89">
        <f>'[2]FPC wSEB'!$I425</f>
        <v>2173</v>
      </c>
      <c r="D328" s="89">
        <f>'[2]FPC wSEB'!$AA425</f>
        <v>1616</v>
      </c>
      <c r="Z328" s="96">
        <f t="shared" ref="Z328" si="92">C328</f>
        <v>2173</v>
      </c>
      <c r="AB328" s="89">
        <f>[9]SHLMWh!$E208</f>
        <v>2169</v>
      </c>
      <c r="BN328" s="89">
        <f t="shared" si="26"/>
        <v>2009</v>
      </c>
      <c r="BO328" s="89">
        <f t="shared" si="27"/>
        <v>12</v>
      </c>
      <c r="BP328" s="570">
        <f>(C328+[4]MWh!$AM162)</f>
        <v>2478.3938176129082</v>
      </c>
      <c r="BQ328" s="169"/>
      <c r="BR328" s="169"/>
      <c r="BS328" s="169"/>
      <c r="BT328" s="572">
        <f t="shared" ref="BT328" si="93">BP328</f>
        <v>2478.3938176129082</v>
      </c>
      <c r="BU328" s="117">
        <f t="shared" ref="BU328" si="94">BT328-BT316</f>
        <v>201.42243603006636</v>
      </c>
      <c r="BV328" s="117"/>
      <c r="BW328" s="320">
        <f>BT328/[9]SHLMWh!$E208</f>
        <v>1.1426435304808245</v>
      </c>
    </row>
    <row r="329" spans="1:75">
      <c r="A329" s="4">
        <f t="shared" si="47"/>
        <v>2010</v>
      </c>
      <c r="B329" s="4">
        <f t="shared" si="48"/>
        <v>1</v>
      </c>
      <c r="C329" s="4">
        <f>'[2]FPC wSEB'!$I426</f>
        <v>2132</v>
      </c>
      <c r="D329" s="4">
        <f>'[2]FPC wSEB'!$AA426</f>
        <v>1613</v>
      </c>
      <c r="Z329" s="6">
        <f t="shared" ref="Z329" si="95">C329</f>
        <v>2132</v>
      </c>
      <c r="AB329" s="4">
        <f>[9]SHLMWh!$E209</f>
        <v>2128</v>
      </c>
      <c r="BN329" s="4">
        <f t="shared" si="26"/>
        <v>2010</v>
      </c>
      <c r="BO329" s="4">
        <f t="shared" si="27"/>
        <v>1</v>
      </c>
      <c r="BP329" s="569">
        <f>(C329+[4]MWh!$AM163)</f>
        <v>1973.1473809123756</v>
      </c>
      <c r="BQ329" s="168"/>
      <c r="BR329" s="168"/>
      <c r="BS329" s="168"/>
      <c r="BT329" s="571">
        <f t="shared" ref="BT329" si="96">BP329</f>
        <v>1973.1473809123756</v>
      </c>
      <c r="BU329" s="108">
        <f t="shared" ref="BU329" si="97">BT329-BT317</f>
        <v>-352.02241956863759</v>
      </c>
      <c r="BV329" s="108"/>
      <c r="BW329" s="319">
        <f>BT329/[9]SHLMWh!$E209</f>
        <v>0.92723091208288333</v>
      </c>
    </row>
    <row r="330" spans="1:75">
      <c r="A330" s="4">
        <f t="shared" si="47"/>
        <v>2010</v>
      </c>
      <c r="B330" s="4">
        <f t="shared" si="48"/>
        <v>2</v>
      </c>
      <c r="C330" s="4">
        <f>'[2]FPC wSEB'!$I427</f>
        <v>2167</v>
      </c>
      <c r="D330" s="4">
        <f>'[2]FPC wSEB'!$AA427</f>
        <v>1603</v>
      </c>
      <c r="Z330" s="6">
        <f t="shared" ref="Z330:Z331" si="98">C330</f>
        <v>2167</v>
      </c>
      <c r="AB330" s="4">
        <f>[9]SHLMWh!$E210</f>
        <v>2176</v>
      </c>
      <c r="BN330" s="4">
        <f t="shared" si="26"/>
        <v>2010</v>
      </c>
      <c r="BO330" s="4">
        <f t="shared" si="27"/>
        <v>2</v>
      </c>
      <c r="BP330" s="569">
        <f>(C330+[4]MWh!$AM164)</f>
        <v>2329.182199038175</v>
      </c>
      <c r="BQ330" s="168"/>
      <c r="BR330" s="168"/>
      <c r="BS330" s="168"/>
      <c r="BT330" s="571">
        <f t="shared" ref="BT330:BT331" si="99">BP330</f>
        <v>2329.182199038175</v>
      </c>
      <c r="BU330" s="108">
        <f t="shared" ref="BU330:BU331" si="100">BT330-BT318</f>
        <v>499.71872402499002</v>
      </c>
      <c r="BV330" s="108"/>
      <c r="BW330" s="319">
        <f>BT330/[9]SHLMWh!$E210</f>
        <v>1.0703962311756319</v>
      </c>
    </row>
    <row r="331" spans="1:75">
      <c r="A331" s="4">
        <f t="shared" si="47"/>
        <v>2010</v>
      </c>
      <c r="B331" s="4">
        <f t="shared" si="48"/>
        <v>3</v>
      </c>
      <c r="C331" s="4">
        <f>'[2]FPC wSEB'!$I428</f>
        <v>2176</v>
      </c>
      <c r="D331" s="4">
        <f>'[2]FPC wSEB'!$AA428</f>
        <v>1610</v>
      </c>
      <c r="Z331" s="6">
        <f t="shared" si="98"/>
        <v>2176</v>
      </c>
      <c r="AB331" s="4">
        <f>[9]SHLMWh!$E211</f>
        <v>2170</v>
      </c>
      <c r="BN331" s="4">
        <f t="shared" si="26"/>
        <v>2010</v>
      </c>
      <c r="BO331" s="4">
        <f t="shared" si="27"/>
        <v>3</v>
      </c>
      <c r="BP331" s="569">
        <f>(C331+[4]MWh!$AM165)</f>
        <v>1966.4014872492419</v>
      </c>
      <c r="BQ331" s="168"/>
      <c r="BR331" s="168"/>
      <c r="BS331" s="168"/>
      <c r="BT331" s="571">
        <f t="shared" si="99"/>
        <v>1966.4014872492419</v>
      </c>
      <c r="BU331" s="108">
        <f t="shared" si="100"/>
        <v>-479.71737029626206</v>
      </c>
      <c r="BV331" s="108"/>
      <c r="BW331" s="319">
        <f>BT331/[9]SHLMWh!$E211</f>
        <v>0.90617580057568747</v>
      </c>
    </row>
    <row r="332" spans="1:75">
      <c r="A332" s="4">
        <f t="shared" si="47"/>
        <v>2010</v>
      </c>
      <c r="B332" s="4">
        <f t="shared" si="48"/>
        <v>4</v>
      </c>
      <c r="C332" s="4">
        <f>'[2]FPC wSEB'!$I429</f>
        <v>2146</v>
      </c>
      <c r="D332" s="4">
        <f>'[2]FPC wSEB'!$AA429</f>
        <v>1607</v>
      </c>
      <c r="Z332" s="6">
        <f t="shared" ref="Z332" si="101">C332</f>
        <v>2146</v>
      </c>
      <c r="AB332" s="4">
        <f>[9]SHLMWh!$E212</f>
        <v>2153</v>
      </c>
      <c r="BN332" s="4">
        <f t="shared" si="26"/>
        <v>2010</v>
      </c>
      <c r="BO332" s="4">
        <f t="shared" si="27"/>
        <v>4</v>
      </c>
      <c r="BP332" s="569">
        <f>(C332+[4]MWh!$AM166)</f>
        <v>2332.7158250423781</v>
      </c>
      <c r="BQ332" s="168"/>
      <c r="BR332" s="168"/>
      <c r="BS332" s="168"/>
      <c r="BT332" s="571">
        <f t="shared" ref="BT332" si="102">BP332</f>
        <v>2332.7158250423781</v>
      </c>
      <c r="BU332" s="108">
        <f t="shared" ref="BU332" si="103">BT332-BT320</f>
        <v>154.20647725309209</v>
      </c>
      <c r="BV332" s="108"/>
      <c r="BW332" s="319">
        <f>BT332/[9]SHLMWh!$E212</f>
        <v>1.0834722828808072</v>
      </c>
    </row>
    <row r="333" spans="1:75">
      <c r="A333" s="4">
        <f t="shared" si="47"/>
        <v>2010</v>
      </c>
      <c r="B333" s="4">
        <f t="shared" si="48"/>
        <v>5</v>
      </c>
      <c r="C333" s="4">
        <f>'[2]FPC wSEB'!$I430</f>
        <v>2127</v>
      </c>
      <c r="D333" s="4">
        <f>'[2]FPC wSEB'!$AA430</f>
        <v>1603</v>
      </c>
      <c r="Z333" s="6">
        <f t="shared" ref="Z333:Z335" si="104">C333</f>
        <v>2127</v>
      </c>
      <c r="AB333" s="4">
        <f>[9]SHLMWh!$E213</f>
        <v>2128</v>
      </c>
      <c r="BN333" s="4">
        <f t="shared" si="26"/>
        <v>2010</v>
      </c>
      <c r="BO333" s="4">
        <f t="shared" si="27"/>
        <v>5</v>
      </c>
      <c r="BP333" s="569">
        <f>(C333+[4]MWh!$AM167)</f>
        <v>2354.6801404967464</v>
      </c>
      <c r="BQ333" s="168"/>
      <c r="BR333" s="168"/>
      <c r="BS333" s="168"/>
      <c r="BT333" s="571">
        <f t="shared" ref="BT333:BT335" si="105">BP333</f>
        <v>2354.6801404967464</v>
      </c>
      <c r="BU333" s="108">
        <f t="shared" ref="BU333:BU335" si="106">BT333-BT321</f>
        <v>80.339783447959235</v>
      </c>
      <c r="BV333" s="108"/>
      <c r="BW333" s="319">
        <f>BT333/[9]SHLMWh!$E213</f>
        <v>1.1065226224138847</v>
      </c>
    </row>
    <row r="334" spans="1:75">
      <c r="A334" s="4">
        <f t="shared" si="47"/>
        <v>2010</v>
      </c>
      <c r="B334" s="4">
        <f t="shared" si="48"/>
        <v>6</v>
      </c>
      <c r="C334" s="4">
        <f>'[2]FPC wSEB'!$I431</f>
        <v>2126</v>
      </c>
      <c r="D334" s="4">
        <f>'[2]FPC wSEB'!$AA431</f>
        <v>1633</v>
      </c>
      <c r="Z334" s="6">
        <f t="shared" si="104"/>
        <v>2126</v>
      </c>
      <c r="AB334" s="4">
        <f>[9]SHLMWh!$E214</f>
        <v>2121</v>
      </c>
      <c r="BN334" s="4">
        <f t="shared" si="26"/>
        <v>2010</v>
      </c>
      <c r="BO334" s="4">
        <f t="shared" si="27"/>
        <v>6</v>
      </c>
      <c r="BP334" s="569">
        <f>(C334+[4]MWh!$AM168)</f>
        <v>1962.5478373730537</v>
      </c>
      <c r="BQ334" s="168"/>
      <c r="BR334" s="168"/>
      <c r="BS334" s="168"/>
      <c r="BT334" s="571">
        <f t="shared" si="105"/>
        <v>1962.5478373730537</v>
      </c>
      <c r="BU334" s="108">
        <f t="shared" si="106"/>
        <v>-177.23908846894824</v>
      </c>
      <c r="BV334" s="108"/>
      <c r="BW334" s="319">
        <f>BT334/[9]SHLMWh!$E214</f>
        <v>0.92529365269828079</v>
      </c>
    </row>
    <row r="335" spans="1:75">
      <c r="A335" s="4">
        <f t="shared" si="47"/>
        <v>2010</v>
      </c>
      <c r="B335" s="4">
        <f t="shared" si="48"/>
        <v>7</v>
      </c>
      <c r="C335" s="4">
        <f>'[2]FPC wSEB'!$I432</f>
        <v>2147</v>
      </c>
      <c r="D335" s="4">
        <f>'[2]FPC wSEB'!$AA432</f>
        <v>1633</v>
      </c>
      <c r="Z335" s="6">
        <f t="shared" si="104"/>
        <v>2147</v>
      </c>
      <c r="AB335" s="4">
        <f>[9]SHLMWh!$E215</f>
        <v>2152</v>
      </c>
      <c r="BN335" s="4">
        <f t="shared" si="26"/>
        <v>2010</v>
      </c>
      <c r="BO335" s="4">
        <f t="shared" si="27"/>
        <v>7</v>
      </c>
      <c r="BP335" s="569">
        <f>(C335+[4]MWh!$AM169)</f>
        <v>2173.7218363198945</v>
      </c>
      <c r="BQ335" s="168"/>
      <c r="BR335" s="168"/>
      <c r="BS335" s="168"/>
      <c r="BT335" s="571">
        <f t="shared" si="105"/>
        <v>2173.7218363198945</v>
      </c>
      <c r="BU335" s="108">
        <f t="shared" si="106"/>
        <v>87.003158283363973</v>
      </c>
      <c r="BV335" s="108"/>
      <c r="BW335" s="319">
        <f>BT335/[9]SHLMWh!$E215</f>
        <v>1.010093790111475</v>
      </c>
    </row>
    <row r="336" spans="1:75">
      <c r="A336" s="4">
        <f>A324+1</f>
        <v>2010</v>
      </c>
      <c r="B336" s="4">
        <f>B324</f>
        <v>8</v>
      </c>
      <c r="C336" s="4">
        <f>'[2]FPC wSEB'!$I433</f>
        <v>2138</v>
      </c>
      <c r="D336" s="4">
        <f>'[2]FPC wSEB'!$AA433</f>
        <v>1631</v>
      </c>
      <c r="Z336" s="6">
        <f t="shared" ref="Z336" si="107">C336</f>
        <v>2138</v>
      </c>
      <c r="AB336" s="4">
        <f>[9]SHLMWh!$E216</f>
        <v>2139</v>
      </c>
      <c r="BN336" s="4">
        <f t="shared" ref="BN336:BN376" si="108">BN324+1</f>
        <v>2010</v>
      </c>
      <c r="BO336" s="4">
        <f t="shared" ref="BO336:BO376" si="109">BO324</f>
        <v>8</v>
      </c>
      <c r="BP336" s="569">
        <f>(C336+[4]MWh!$AM170)</f>
        <v>2053.0204445513418</v>
      </c>
      <c r="BQ336" s="168"/>
      <c r="BR336" s="168"/>
      <c r="BS336" s="168"/>
      <c r="BT336" s="571">
        <f t="shared" ref="BT336" si="110">BP336</f>
        <v>2053.0204445513418</v>
      </c>
      <c r="BU336" s="108">
        <f t="shared" ref="BU336:BU341" si="111">BT336-BT324</f>
        <v>-291.83263976261242</v>
      </c>
      <c r="BV336" s="108"/>
      <c r="BW336" s="319">
        <f>BT336/[9]SHLMWh!$E216</f>
        <v>0.95980385439520421</v>
      </c>
    </row>
    <row r="337" spans="1:76">
      <c r="A337" s="4">
        <f>A325+1</f>
        <v>2010</v>
      </c>
      <c r="B337" s="4">
        <f>B325</f>
        <v>9</v>
      </c>
      <c r="C337" s="4">
        <f>'[2]FPC wSEB'!$I434</f>
        <v>2148</v>
      </c>
      <c r="D337" s="4">
        <f>'[2]FPC wSEB'!$AA434</f>
        <v>1631</v>
      </c>
      <c r="Z337" s="6">
        <f t="shared" ref="Z337" si="112">C337</f>
        <v>2148</v>
      </c>
      <c r="AB337" s="4">
        <f>[9]SHLMWh!$E217</f>
        <v>2154</v>
      </c>
      <c r="BN337" s="4">
        <f t="shared" si="108"/>
        <v>2010</v>
      </c>
      <c r="BO337" s="4">
        <f t="shared" si="109"/>
        <v>9</v>
      </c>
      <c r="BP337" s="569">
        <f>(C337+[4]MWh!$AM171)</f>
        <v>2125.3794933585959</v>
      </c>
      <c r="BQ337" s="168"/>
      <c r="BR337" s="168"/>
      <c r="BS337" s="168"/>
      <c r="BT337" s="571">
        <f t="shared" ref="BT337" si="113">BP337</f>
        <v>2125.3794933585959</v>
      </c>
      <c r="BU337" s="108">
        <f t="shared" si="111"/>
        <v>157.45169597132917</v>
      </c>
      <c r="BV337" s="108"/>
      <c r="BW337" s="319">
        <f>BT337/[9]SHLMWh!$E217</f>
        <v>0.98671285671244013</v>
      </c>
    </row>
    <row r="338" spans="1:76">
      <c r="A338" s="4">
        <f>A326+1</f>
        <v>2010</v>
      </c>
      <c r="B338" s="4">
        <f>B326</f>
        <v>10</v>
      </c>
      <c r="C338" s="4">
        <f>'[2]FPC wSEB'!$I435</f>
        <v>2160</v>
      </c>
      <c r="D338" s="4">
        <f>'[2]FPC wSEB'!$AA435</f>
        <v>1630</v>
      </c>
      <c r="Z338" s="6">
        <f t="shared" ref="Z338:Z339" si="114">C338</f>
        <v>2160</v>
      </c>
      <c r="AB338" s="4">
        <f>[9]SHLMWh!$E218</f>
        <v>2154</v>
      </c>
      <c r="BN338" s="4">
        <f t="shared" si="108"/>
        <v>2010</v>
      </c>
      <c r="BO338" s="4">
        <f t="shared" si="109"/>
        <v>10</v>
      </c>
      <c r="BP338" s="569">
        <f>(C338+[4]MWh!$AM172)</f>
        <v>2257.7209581149864</v>
      </c>
      <c r="BQ338" s="168"/>
      <c r="BR338" s="168"/>
      <c r="BS338" s="168"/>
      <c r="BT338" s="571">
        <f t="shared" ref="BT338:BT339" si="115">BP338</f>
        <v>2257.7209581149864</v>
      </c>
      <c r="BU338" s="108">
        <f t="shared" si="111"/>
        <v>91.190187489333766</v>
      </c>
      <c r="BV338" s="108"/>
      <c r="BW338" s="319">
        <f>BT338/[9]SHLMWh!$E218</f>
        <v>1.0481527196448406</v>
      </c>
    </row>
    <row r="339" spans="1:76">
      <c r="A339" s="4">
        <f>A327+1</f>
        <v>2010</v>
      </c>
      <c r="B339" s="4">
        <f>B327</f>
        <v>11</v>
      </c>
      <c r="C339" s="4">
        <f>'[2]FPC wSEB'!$I436</f>
        <v>2162</v>
      </c>
      <c r="D339" s="4">
        <f>'[2]FPC wSEB'!$AA436</f>
        <v>1633</v>
      </c>
      <c r="Z339" s="6">
        <f t="shared" si="114"/>
        <v>2162</v>
      </c>
      <c r="AB339" s="4">
        <f>[9]SHLMWh!$E219</f>
        <v>2152</v>
      </c>
      <c r="BN339" s="4">
        <f t="shared" si="108"/>
        <v>2010</v>
      </c>
      <c r="BO339" s="4">
        <f t="shared" si="109"/>
        <v>11</v>
      </c>
      <c r="BP339" s="569">
        <f>(C339+[4]MWh!$AM173)</f>
        <v>1923.2383061796022</v>
      </c>
      <c r="BQ339" s="168"/>
      <c r="BR339" s="168"/>
      <c r="BS339" s="168"/>
      <c r="BT339" s="571">
        <f t="shared" si="115"/>
        <v>1923.2383061796022</v>
      </c>
      <c r="BU339" s="108">
        <f t="shared" si="111"/>
        <v>36.461598753571707</v>
      </c>
      <c r="BV339" s="108"/>
      <c r="BW339" s="319">
        <f>BT339/[9]SHLMWh!$E219</f>
        <v>0.8936980976671014</v>
      </c>
    </row>
    <row r="340" spans="1:76" s="89" customFormat="1">
      <c r="A340" s="89">
        <f t="shared" ref="A340:A377" si="116">A328+1</f>
        <v>2010</v>
      </c>
      <c r="B340" s="89">
        <f t="shared" ref="B340:B377" si="117">B328</f>
        <v>12</v>
      </c>
      <c r="C340" s="89">
        <f>'[2]FPC wSEB'!$I437</f>
        <v>2158</v>
      </c>
      <c r="D340" s="89">
        <f>'[2]FPC wSEB'!$AA437</f>
        <v>1626</v>
      </c>
      <c r="Z340" s="96">
        <f t="shared" ref="Z340" si="118">C340</f>
        <v>2158</v>
      </c>
      <c r="AB340" s="89">
        <f>[9]SHLMWh!$E220</f>
        <v>2157</v>
      </c>
      <c r="BN340" s="89">
        <f t="shared" si="108"/>
        <v>2010</v>
      </c>
      <c r="BO340" s="89">
        <f t="shared" si="109"/>
        <v>12</v>
      </c>
      <c r="BP340" s="570">
        <f>(C340+[4]MWh!$AM174)</f>
        <v>2529.3554599845493</v>
      </c>
      <c r="BQ340" s="169"/>
      <c r="BR340" s="169"/>
      <c r="BS340" s="169"/>
      <c r="BT340" s="572">
        <f t="shared" ref="BT340" si="119">BP340</f>
        <v>2529.3554599845493</v>
      </c>
      <c r="BU340" s="117">
        <f t="shared" si="111"/>
        <v>50.961642371641119</v>
      </c>
      <c r="BV340" s="117"/>
      <c r="BW340" s="320">
        <f>BT340/[9]SHLMWh!$E220</f>
        <v>1.1726265461217196</v>
      </c>
    </row>
    <row r="341" spans="1:76">
      <c r="A341" s="4">
        <f t="shared" si="116"/>
        <v>2011</v>
      </c>
      <c r="B341" s="4">
        <f t="shared" si="117"/>
        <v>1</v>
      </c>
      <c r="C341" s="4">
        <f>'[2]FPC wSEB'!$I438</f>
        <v>2151</v>
      </c>
      <c r="D341" s="4">
        <f>'[2]FPC wSEB'!$AA438</f>
        <v>1615</v>
      </c>
      <c r="Z341" s="6">
        <f t="shared" ref="Z341" si="120">C341</f>
        <v>2151</v>
      </c>
      <c r="AB341" s="4">
        <f>[9]SHLMWh!$E221</f>
        <v>2153</v>
      </c>
      <c r="BN341" s="4">
        <f t="shared" si="108"/>
        <v>2011</v>
      </c>
      <c r="BO341" s="4">
        <f t="shared" si="109"/>
        <v>1</v>
      </c>
      <c r="BP341" s="569">
        <f>(C341+[4]MWh!$AM175)</f>
        <v>1813.8686449915635</v>
      </c>
      <c r="BQ341" s="168"/>
      <c r="BR341" s="168"/>
      <c r="BS341" s="168"/>
      <c r="BT341" s="571">
        <f t="shared" ref="BT341" si="121">BP341</f>
        <v>1813.8686449915635</v>
      </c>
      <c r="BU341" s="108">
        <f t="shared" si="111"/>
        <v>-159.2787359208121</v>
      </c>
      <c r="BV341" s="108"/>
      <c r="BW341" s="319">
        <f>BT341/[9]SHLMWh!$E221</f>
        <v>0.84248427542571458</v>
      </c>
    </row>
    <row r="342" spans="1:76">
      <c r="A342" s="4">
        <f t="shared" si="116"/>
        <v>2011</v>
      </c>
      <c r="B342" s="4">
        <f t="shared" si="117"/>
        <v>2</v>
      </c>
      <c r="C342" s="4">
        <f>'[2]FPC wSEB'!$I439</f>
        <v>2117</v>
      </c>
      <c r="D342" s="4">
        <f>'[2]FPC wSEB'!$AA439</f>
        <v>1598</v>
      </c>
      <c r="Z342" s="6">
        <f t="shared" ref="Z342" si="122">C342</f>
        <v>2117</v>
      </c>
      <c r="AB342" s="4">
        <f>[9]SHLMWh!$E222</f>
        <v>2122</v>
      </c>
      <c r="BN342" s="4">
        <f t="shared" si="108"/>
        <v>2011</v>
      </c>
      <c r="BO342" s="4">
        <f t="shared" si="109"/>
        <v>2</v>
      </c>
      <c r="BP342" s="569">
        <f>(C342+[4]MWh!$AM176)</f>
        <v>2098.2724106991955</v>
      </c>
      <c r="BQ342" s="168"/>
      <c r="BR342" s="168"/>
      <c r="BS342" s="168"/>
      <c r="BT342" s="571">
        <f t="shared" ref="BT342" si="123">BP342</f>
        <v>2098.2724106991955</v>
      </c>
      <c r="BU342" s="108">
        <f t="shared" ref="BU342" si="124">BT342-BT330</f>
        <v>-230.90978833897952</v>
      </c>
      <c r="BV342" s="108"/>
      <c r="BW342" s="319">
        <f>BT342/[9]SHLMWh!$E222</f>
        <v>0.98881828967916841</v>
      </c>
    </row>
    <row r="343" spans="1:76">
      <c r="A343" s="4">
        <f t="shared" si="116"/>
        <v>2011</v>
      </c>
      <c r="B343" s="4">
        <f t="shared" si="117"/>
        <v>3</v>
      </c>
      <c r="C343" s="4">
        <f>'[2]FPC wSEB'!$I440</f>
        <v>2074</v>
      </c>
      <c r="D343" s="4">
        <f>'[2]FPC wSEB'!$AA440</f>
        <v>1574</v>
      </c>
      <c r="Z343" s="6">
        <f t="shared" ref="Z343:Z344" si="125">C343</f>
        <v>2074</v>
      </c>
      <c r="AB343" s="4">
        <f>[9]SHLMWh!$E223</f>
        <v>2082</v>
      </c>
      <c r="BN343" s="4">
        <f t="shared" si="108"/>
        <v>2011</v>
      </c>
      <c r="BO343" s="4">
        <f t="shared" si="109"/>
        <v>3</v>
      </c>
      <c r="BP343" s="569">
        <f>(C343+[4]MWh!$AM177)</f>
        <v>2355.3229197511173</v>
      </c>
      <c r="BQ343" s="168"/>
      <c r="BR343" s="168"/>
      <c r="BS343" s="168"/>
      <c r="BT343" s="571">
        <f t="shared" ref="BT343:BT344" si="126">BP343</f>
        <v>2355.3229197511173</v>
      </c>
      <c r="BU343" s="108">
        <f t="shared" ref="BU343:BU344" si="127">BT343-BT331</f>
        <v>388.92143250187542</v>
      </c>
      <c r="BV343" s="108"/>
      <c r="BW343" s="319">
        <f>BT343/[9]SHLMWh!$E223</f>
        <v>1.1312790200533704</v>
      </c>
    </row>
    <row r="344" spans="1:76">
      <c r="A344" s="4">
        <f t="shared" si="116"/>
        <v>2011</v>
      </c>
      <c r="B344" s="4">
        <f t="shared" si="117"/>
        <v>4</v>
      </c>
      <c r="C344" s="4">
        <f>'[2]FPC wSEB'!$I441</f>
        <v>1985</v>
      </c>
      <c r="D344" s="4">
        <f>'[2]FPC wSEB'!$AA441</f>
        <v>1577</v>
      </c>
      <c r="Z344" s="6">
        <f t="shared" si="125"/>
        <v>1985</v>
      </c>
      <c r="AB344" s="4">
        <f>[9]SHLMWh!$E224</f>
        <v>1986</v>
      </c>
      <c r="BN344" s="4">
        <f t="shared" si="108"/>
        <v>2011</v>
      </c>
      <c r="BO344" s="4">
        <f t="shared" si="109"/>
        <v>4</v>
      </c>
      <c r="BP344" s="569">
        <f>(C344+[4]MWh!$AM178)</f>
        <v>2039.555865205944</v>
      </c>
      <c r="BQ344" s="168"/>
      <c r="BR344" s="168"/>
      <c r="BS344" s="168"/>
      <c r="BT344" s="571">
        <f t="shared" si="126"/>
        <v>2039.555865205944</v>
      </c>
      <c r="BU344" s="108">
        <f t="shared" si="127"/>
        <v>-293.15995983643415</v>
      </c>
      <c r="BV344" s="108"/>
      <c r="BW344" s="319">
        <f>BT344/[9]SHLMWh!$E224</f>
        <v>1.0269666994994682</v>
      </c>
    </row>
    <row r="345" spans="1:76">
      <c r="A345" s="4">
        <f t="shared" si="116"/>
        <v>2011</v>
      </c>
      <c r="B345" s="4">
        <f t="shared" si="117"/>
        <v>5</v>
      </c>
      <c r="C345" s="4">
        <f>'[2]FPC wSEB'!$I442</f>
        <v>2105</v>
      </c>
      <c r="D345" s="4">
        <f>'[2]FPC wSEB'!$AA442</f>
        <v>1576</v>
      </c>
      <c r="Z345" s="6">
        <f t="shared" ref="Z345:Z346" si="128">C345</f>
        <v>2105</v>
      </c>
      <c r="AB345" s="4">
        <f>[9]SHLMWh!$E225</f>
        <v>2110</v>
      </c>
      <c r="BN345" s="4">
        <f t="shared" si="108"/>
        <v>2011</v>
      </c>
      <c r="BO345" s="4">
        <f t="shared" si="109"/>
        <v>5</v>
      </c>
      <c r="BP345" s="569">
        <f>(C345+[4]MWh!$AM179)</f>
        <v>2060.5266597100326</v>
      </c>
      <c r="BQ345" s="168"/>
      <c r="BR345" s="168"/>
      <c r="BS345" s="168"/>
      <c r="BT345" s="571">
        <f t="shared" ref="BT345:BT346" si="129">BP345</f>
        <v>2060.5266597100326</v>
      </c>
      <c r="BU345" s="108">
        <f t="shared" ref="BU345:BU346" si="130">BT345-BT333</f>
        <v>-294.15348078671377</v>
      </c>
      <c r="BV345" s="108"/>
      <c r="BW345" s="319">
        <f>BT345/[9]SHLMWh!$E225</f>
        <v>0.97655291929385435</v>
      </c>
    </row>
    <row r="346" spans="1:76">
      <c r="A346" s="4">
        <f t="shared" si="116"/>
        <v>2011</v>
      </c>
      <c r="B346" s="4">
        <f t="shared" si="117"/>
        <v>6</v>
      </c>
      <c r="C346" s="4">
        <f>'[2]FPC wSEB'!$I443</f>
        <v>2073</v>
      </c>
      <c r="D346" s="4">
        <f>'[2]FPC wSEB'!$AA443</f>
        <v>1569</v>
      </c>
      <c r="Z346" s="6">
        <f t="shared" si="128"/>
        <v>2073</v>
      </c>
      <c r="AB346" s="4">
        <f>[9]SHLMWh!$E226</f>
        <v>2069</v>
      </c>
      <c r="BN346" s="4">
        <f t="shared" si="108"/>
        <v>2011</v>
      </c>
      <c r="BO346" s="4">
        <f t="shared" si="109"/>
        <v>6</v>
      </c>
      <c r="BP346" s="569">
        <f>(C346+[4]MWh!$AM180)</f>
        <v>2027.3078637347608</v>
      </c>
      <c r="BQ346" s="168"/>
      <c r="BR346" s="168"/>
      <c r="BS346" s="168"/>
      <c r="BT346" s="571">
        <f t="shared" si="129"/>
        <v>2027.3078637347608</v>
      </c>
      <c r="BU346" s="108">
        <f t="shared" si="130"/>
        <v>64.760026361707105</v>
      </c>
      <c r="BV346" s="108"/>
      <c r="BW346" s="319">
        <f>BT346/[9]SHLMWh!$E226</f>
        <v>0.97984913665285678</v>
      </c>
    </row>
    <row r="347" spans="1:76">
      <c r="A347" s="4">
        <f t="shared" si="116"/>
        <v>2011</v>
      </c>
      <c r="B347" s="4">
        <f t="shared" si="117"/>
        <v>7</v>
      </c>
      <c r="C347" s="4">
        <f>'[2]FPC wSEB'!$I444</f>
        <v>2043</v>
      </c>
      <c r="D347" s="4">
        <f>'[2]FPC wSEB'!$AA444</f>
        <v>1568</v>
      </c>
      <c r="Z347" s="6">
        <f t="shared" ref="Z347" si="131">C347</f>
        <v>2043</v>
      </c>
      <c r="AB347" s="4">
        <f>[9]SHLMWh!$E227</f>
        <v>2042</v>
      </c>
      <c r="BN347" s="4">
        <f t="shared" si="108"/>
        <v>2011</v>
      </c>
      <c r="BO347" s="4">
        <f t="shared" si="109"/>
        <v>7</v>
      </c>
      <c r="BP347" s="569">
        <f>(C347+[4]MWh!$AM181)</f>
        <v>2042.3567972404844</v>
      </c>
      <c r="BQ347" s="168"/>
      <c r="BR347" s="168"/>
      <c r="BS347" s="168"/>
      <c r="BT347" s="571">
        <f t="shared" ref="BT347" si="132">BP347</f>
        <v>2042.3567972404844</v>
      </c>
      <c r="BU347" s="108">
        <f t="shared" ref="BU347" si="133">BT347-BT335</f>
        <v>-131.36503907941005</v>
      </c>
      <c r="BV347" s="108"/>
      <c r="BW347" s="319">
        <f>BT347/[9]SHLMWh!$E227</f>
        <v>1.0001747293048406</v>
      </c>
    </row>
    <row r="348" spans="1:76">
      <c r="A348" s="4">
        <f t="shared" si="116"/>
        <v>2011</v>
      </c>
      <c r="B348" s="4">
        <f t="shared" si="117"/>
        <v>8</v>
      </c>
      <c r="C348" s="4">
        <f>'[2]FPC wSEB'!$I445</f>
        <v>2090</v>
      </c>
      <c r="D348" s="4">
        <f>'[2]FPC wSEB'!$AA445</f>
        <v>1570</v>
      </c>
      <c r="Z348" s="6">
        <f t="shared" ref="Z348" si="134">C348</f>
        <v>2090</v>
      </c>
      <c r="AB348" s="4">
        <f>[9]SHLMWh!$E228</f>
        <v>2079</v>
      </c>
      <c r="BN348" s="4">
        <f t="shared" si="108"/>
        <v>2011</v>
      </c>
      <c r="BO348" s="4">
        <f t="shared" si="109"/>
        <v>8</v>
      </c>
      <c r="BP348" s="569">
        <f>(C348+[4]MWh!$AM182)</f>
        <v>1997.3831369522215</v>
      </c>
      <c r="BQ348" s="168"/>
      <c r="BR348" s="168"/>
      <c r="BS348" s="168"/>
      <c r="BT348" s="571">
        <f t="shared" ref="BT348" si="135">BP348</f>
        <v>1997.3831369522215</v>
      </c>
      <c r="BU348" s="108">
        <f t="shared" ref="BU348" si="136">BT348-BT336</f>
        <v>-55.637307599120277</v>
      </c>
      <c r="BV348" s="108"/>
      <c r="BW348" s="319">
        <f>BT348/[9]SHLMWh!$E228</f>
        <v>0.9607422496162682</v>
      </c>
    </row>
    <row r="349" spans="1:76">
      <c r="A349" s="4">
        <f t="shared" si="116"/>
        <v>2011</v>
      </c>
      <c r="B349" s="4">
        <f t="shared" si="117"/>
        <v>9</v>
      </c>
      <c r="C349" s="4">
        <f>'[2]FPC wSEB'!$I446</f>
        <v>2054</v>
      </c>
      <c r="D349" s="4">
        <f>'[2]FPC wSEB'!$AA446</f>
        <v>1558</v>
      </c>
      <c r="Z349" s="6">
        <f t="shared" ref="Z349" si="137">C349</f>
        <v>2054</v>
      </c>
      <c r="AB349" s="4">
        <f>[9]SHLMWh!$E229</f>
        <v>2063</v>
      </c>
      <c r="BN349" s="4">
        <f t="shared" si="108"/>
        <v>2011</v>
      </c>
      <c r="BO349" s="4">
        <f t="shared" si="109"/>
        <v>9</v>
      </c>
      <c r="BP349" s="569">
        <f>(C349+[4]MWh!$AM183)</f>
        <v>1949.5824414720903</v>
      </c>
      <c r="BQ349" s="168"/>
      <c r="BR349" s="168"/>
      <c r="BS349" s="168"/>
      <c r="BT349" s="571">
        <f t="shared" ref="BT349" si="138">BP349</f>
        <v>1949.5824414720903</v>
      </c>
      <c r="BU349" s="108">
        <f t="shared" ref="BU349" si="139">BT349-BT337</f>
        <v>-175.79705188650564</v>
      </c>
      <c r="BV349" s="108"/>
      <c r="BW349" s="319">
        <f>BT349/[9]SHLMWh!$E229</f>
        <v>0.94502299635098896</v>
      </c>
    </row>
    <row r="350" spans="1:76">
      <c r="A350" s="4">
        <f t="shared" si="116"/>
        <v>2011</v>
      </c>
      <c r="B350" s="4">
        <f t="shared" si="117"/>
        <v>10</v>
      </c>
      <c r="C350" s="4">
        <f>'[2]FPC wSEB'!$I447</f>
        <v>2037</v>
      </c>
      <c r="D350" s="4">
        <f>'[2]FPC wSEB'!$AA447</f>
        <v>1549</v>
      </c>
      <c r="Z350" s="6">
        <f t="shared" ref="Z350" si="140">C350</f>
        <v>2037</v>
      </c>
      <c r="AB350" s="4">
        <f>[9]SHLMWh!$E230</f>
        <v>2038</v>
      </c>
      <c r="BN350" s="4">
        <f t="shared" si="108"/>
        <v>2011</v>
      </c>
      <c r="BO350" s="4">
        <f t="shared" si="109"/>
        <v>10</v>
      </c>
      <c r="BP350" s="569">
        <f>(C350+[4]MWh!$AM184)</f>
        <v>1952.6321560173249</v>
      </c>
      <c r="BQ350" s="168"/>
      <c r="BR350" s="168"/>
      <c r="BS350" s="168"/>
      <c r="BT350" s="571">
        <f t="shared" ref="BT350" si="141">BP350</f>
        <v>1952.6321560173249</v>
      </c>
      <c r="BU350" s="108">
        <f t="shared" ref="BU350" si="142">BT350-BT338</f>
        <v>-305.08880209766153</v>
      </c>
      <c r="BV350" s="108"/>
      <c r="BW350" s="319">
        <f>BT350/[9]SHLMWh!$E230</f>
        <v>0.95811195094078749</v>
      </c>
    </row>
    <row r="351" spans="1:76">
      <c r="A351" s="4">
        <f t="shared" si="116"/>
        <v>2011</v>
      </c>
      <c r="B351" s="4">
        <f t="shared" si="117"/>
        <v>11</v>
      </c>
      <c r="C351" s="4">
        <f>'[2]FPC wSEB'!$I448</f>
        <v>2093</v>
      </c>
      <c r="D351" s="4">
        <f>'[2]FPC wSEB'!$AA448</f>
        <v>1554</v>
      </c>
      <c r="Z351" s="6">
        <f t="shared" ref="Z351" si="143">C351</f>
        <v>2093</v>
      </c>
      <c r="AB351" s="4">
        <f>[9]SHLMWh!$E231</f>
        <v>2078</v>
      </c>
      <c r="BN351" s="4">
        <f t="shared" si="108"/>
        <v>2011</v>
      </c>
      <c r="BO351" s="4">
        <f t="shared" si="109"/>
        <v>11</v>
      </c>
      <c r="BP351" s="569">
        <f>(C351+[4]MWh!$AM185)</f>
        <v>2125.9269753983672</v>
      </c>
      <c r="BQ351" s="168"/>
      <c r="BR351" s="168"/>
      <c r="BS351" s="168"/>
      <c r="BT351" s="571">
        <f t="shared" ref="BT351" si="144">BP351</f>
        <v>2125.9269753983672</v>
      </c>
      <c r="BU351" s="108">
        <f t="shared" ref="BU351" si="145">BT351-BT339</f>
        <v>202.68866921876497</v>
      </c>
      <c r="BV351" s="108"/>
      <c r="BW351" s="319">
        <f>BT351/[9]SHLMWh!$E231</f>
        <v>1.0230639920107638</v>
      </c>
    </row>
    <row r="352" spans="1:76" s="89" customFormat="1">
      <c r="A352" s="89">
        <f t="shared" si="116"/>
        <v>2011</v>
      </c>
      <c r="B352" s="89">
        <f t="shared" si="117"/>
        <v>12</v>
      </c>
      <c r="C352" s="89">
        <f>'[2]FPC wSEB'!$I449</f>
        <v>2061</v>
      </c>
      <c r="D352" s="89">
        <f>'[2]FPC wSEB'!$AA449</f>
        <v>1550</v>
      </c>
      <c r="Z352" s="96">
        <f t="shared" ref="Z352" si="146">C352</f>
        <v>2061</v>
      </c>
      <c r="AB352" s="89">
        <f>[9]SHLMWh!$E232</f>
        <v>2073</v>
      </c>
      <c r="BN352" s="89">
        <f t="shared" si="108"/>
        <v>2011</v>
      </c>
      <c r="BO352" s="89">
        <f t="shared" si="109"/>
        <v>12</v>
      </c>
      <c r="BP352" s="570">
        <f>(C352+[4]MWh!$AM186)</f>
        <v>2051.3973271430064</v>
      </c>
      <c r="BQ352" s="169"/>
      <c r="BR352" s="169"/>
      <c r="BS352" s="169"/>
      <c r="BT352" s="572">
        <f t="shared" ref="BT352" si="147">BP352</f>
        <v>2051.3973271430064</v>
      </c>
      <c r="BU352" s="117">
        <f t="shared" ref="BU352" si="148">BT352-BT340</f>
        <v>-477.95813284154292</v>
      </c>
      <c r="BV352" s="117"/>
      <c r="BW352" s="320">
        <f>BT352/[9]SHLMWh!$E232</f>
        <v>0.98957902901254524</v>
      </c>
      <c r="BX352" s="539" t="s">
        <v>312</v>
      </c>
    </row>
    <row r="353" spans="1:76">
      <c r="A353" s="4">
        <f t="shared" si="116"/>
        <v>2012</v>
      </c>
      <c r="B353" s="4">
        <f t="shared" si="117"/>
        <v>1</v>
      </c>
      <c r="C353" s="4">
        <f>'[2]FPC wSEB'!$I450</f>
        <v>2061</v>
      </c>
      <c r="D353" s="4">
        <f>'[2]FPC wSEB'!$AA450</f>
        <v>1544</v>
      </c>
      <c r="J353" s="574">
        <f>[5]SHL!$E233</f>
        <v>1547</v>
      </c>
      <c r="Z353" s="6">
        <f t="shared" ref="Z353" si="149">C353</f>
        <v>2061</v>
      </c>
      <c r="AB353" s="4">
        <f>[9]SHLMWh!$E233</f>
        <v>2068</v>
      </c>
      <c r="BN353" s="4">
        <f t="shared" si="108"/>
        <v>2012</v>
      </c>
      <c r="BO353" s="4">
        <f t="shared" si="109"/>
        <v>1</v>
      </c>
      <c r="BP353" s="569">
        <f>(C353+[4]MWh!$AM187)</f>
        <v>2144.4861818978179</v>
      </c>
      <c r="BQ353" s="168"/>
      <c r="BR353" s="168"/>
      <c r="BS353" s="168"/>
      <c r="BT353" s="571">
        <f t="shared" ref="BT353" si="150">BP353</f>
        <v>2144.4861818978179</v>
      </c>
      <c r="BU353" s="108">
        <f t="shared" ref="BU353" si="151">BT353-BT341</f>
        <v>330.61753690625437</v>
      </c>
      <c r="BV353" s="108"/>
      <c r="BW353" s="319">
        <f>BT353/[9]SHLMWh!$E233</f>
        <v>1.0369855811885</v>
      </c>
      <c r="BX353" s="537">
        <f>AVERAGE(BW353,BW341,BW329,BW317,BW305,BW293,BW281,BW269,BW257,BW245)</f>
        <v>0.93739158248696675</v>
      </c>
    </row>
    <row r="354" spans="1:76">
      <c r="A354" s="4">
        <f t="shared" si="116"/>
        <v>2012</v>
      </c>
      <c r="B354" s="4">
        <f t="shared" si="117"/>
        <v>2</v>
      </c>
      <c r="C354" s="4">
        <f>'[2]FPC wSEB'!$I451</f>
        <v>2101</v>
      </c>
      <c r="D354" s="4">
        <f>'[2]FPC wSEB'!$AA451</f>
        <v>1548</v>
      </c>
      <c r="J354" s="574">
        <f>[5]SHL!$E234</f>
        <v>1548</v>
      </c>
      <c r="Z354" s="6">
        <f t="shared" ref="Z354" si="152">C354</f>
        <v>2101</v>
      </c>
      <c r="AB354" s="4">
        <f>[9]SHLMWh!$E234</f>
        <v>2083</v>
      </c>
      <c r="BN354" s="4">
        <f t="shared" si="108"/>
        <v>2012</v>
      </c>
      <c r="BO354" s="4">
        <f t="shared" si="109"/>
        <v>2</v>
      </c>
      <c r="BP354" s="569">
        <f>(C354+[4]MWh!$AM188)</f>
        <v>2193.0603494561201</v>
      </c>
      <c r="BQ354" s="168"/>
      <c r="BR354" s="168"/>
      <c r="BS354" s="168"/>
      <c r="BT354" s="571">
        <f t="shared" ref="BT354" si="153">BP354</f>
        <v>2193.0603494561201</v>
      </c>
      <c r="BU354" s="108">
        <f t="shared" ref="BU354" si="154">BT354-BT342</f>
        <v>94.787938756924632</v>
      </c>
      <c r="BV354" s="108"/>
      <c r="BW354" s="319">
        <f>BT354/[9]SHLMWh!$E234</f>
        <v>1.0528374217264138</v>
      </c>
      <c r="BX354" s="537">
        <f t="shared" ref="BX354:BX363" si="155">AVERAGE(BW354,BW342,BW330,BW318,BW306,BW294,BW282,BW270,BW246)</f>
        <v>0.99180106264823487</v>
      </c>
    </row>
    <row r="355" spans="1:76">
      <c r="A355" s="4">
        <f t="shared" si="116"/>
        <v>2012</v>
      </c>
      <c r="B355" s="4">
        <f t="shared" si="117"/>
        <v>3</v>
      </c>
      <c r="C355" s="4">
        <f>'[2]FPC wSEB'!$I452</f>
        <v>2085</v>
      </c>
      <c r="D355" s="4">
        <f>'[2]FPC wSEB'!$AA452</f>
        <v>1551</v>
      </c>
      <c r="J355" s="574">
        <f>[5]SHL!$E235</f>
        <v>1549</v>
      </c>
      <c r="Z355" s="6">
        <f t="shared" ref="Z355" si="156">C355</f>
        <v>2085</v>
      </c>
      <c r="AB355" s="4">
        <f>[9]SHLMWh!$E235</f>
        <v>2072</v>
      </c>
      <c r="BN355" s="4">
        <f t="shared" si="108"/>
        <v>2012</v>
      </c>
      <c r="BO355" s="4">
        <f t="shared" si="109"/>
        <v>3</v>
      </c>
      <c r="BP355" s="569">
        <f>(C355+[4]MWh!$AM189)</f>
        <v>2172.8586860434625</v>
      </c>
      <c r="BQ355" s="168"/>
      <c r="BR355" s="168"/>
      <c r="BS355" s="168"/>
      <c r="BT355" s="571">
        <f t="shared" ref="BT355" si="157">BP355</f>
        <v>2172.8586860434625</v>
      </c>
      <c r="BU355" s="108">
        <f t="shared" ref="BU355" si="158">BT355-BT343</f>
        <v>-182.46423370765478</v>
      </c>
      <c r="BV355" s="108"/>
      <c r="BW355" s="319">
        <f>BT355/[9]SHLMWh!$E235</f>
        <v>1.0486769720286981</v>
      </c>
      <c r="BX355" s="537">
        <f t="shared" si="155"/>
        <v>1.0524491182085618</v>
      </c>
    </row>
    <row r="356" spans="1:76">
      <c r="A356" s="4">
        <f t="shared" si="116"/>
        <v>2012</v>
      </c>
      <c r="B356" s="4">
        <f t="shared" si="117"/>
        <v>4</v>
      </c>
      <c r="C356" s="4">
        <f>'[2]FPC wSEB'!$I453</f>
        <v>2082</v>
      </c>
      <c r="D356" s="4">
        <f>'[2]FPC wSEB'!$AA453</f>
        <v>1547</v>
      </c>
      <c r="J356" s="574">
        <f>[5]SHL!$E236</f>
        <v>1549</v>
      </c>
      <c r="Z356" s="6">
        <f t="shared" ref="Z356" si="159">C356</f>
        <v>2082</v>
      </c>
      <c r="AB356" s="4">
        <f>[9]SHLMWh!$E236</f>
        <v>2096</v>
      </c>
      <c r="BN356" s="4">
        <f t="shared" si="108"/>
        <v>2012</v>
      </c>
      <c r="BO356" s="4">
        <f t="shared" si="109"/>
        <v>4</v>
      </c>
      <c r="BP356" s="569">
        <f>(C356+[4]MWh!$AM190)</f>
        <v>2021.1970857498418</v>
      </c>
      <c r="BQ356" s="168"/>
      <c r="BR356" s="168"/>
      <c r="BS356" s="168"/>
      <c r="BT356" s="571">
        <f t="shared" ref="BT356" si="160">BP356</f>
        <v>2021.1970857498418</v>
      </c>
      <c r="BU356" s="108">
        <f t="shared" ref="BU356" si="161">BT356-BT344</f>
        <v>-18.358779456102184</v>
      </c>
      <c r="BV356" s="108"/>
      <c r="BW356" s="319">
        <f>BT356/[9]SHLMWh!$E236</f>
        <v>0.96431158671271078</v>
      </c>
      <c r="BX356" s="537">
        <f t="shared" si="155"/>
        <v>1.0125377430727838</v>
      </c>
    </row>
    <row r="357" spans="1:76">
      <c r="A357" s="4">
        <f t="shared" si="116"/>
        <v>2012</v>
      </c>
      <c r="B357" s="4">
        <f t="shared" si="117"/>
        <v>5</v>
      </c>
      <c r="C357" s="4">
        <f>'[2]FPC wSEB'!$I454</f>
        <v>2063</v>
      </c>
      <c r="D357" s="4">
        <f>'[2]FPC wSEB'!$AA454</f>
        <v>1547</v>
      </c>
      <c r="J357" s="574">
        <f>[5]SHL!$E237</f>
        <v>1549</v>
      </c>
      <c r="Z357" s="6">
        <f t="shared" ref="Z357" si="162">C357</f>
        <v>2063</v>
      </c>
      <c r="AB357" s="4">
        <f>[9]SHLMWh!$E237</f>
        <v>2069</v>
      </c>
      <c r="BN357" s="4">
        <f t="shared" si="108"/>
        <v>2012</v>
      </c>
      <c r="BO357" s="4">
        <f t="shared" si="109"/>
        <v>5</v>
      </c>
      <c r="BP357" s="569">
        <f>(C357+[4]MWh!$AM191)</f>
        <v>2298.0895255717419</v>
      </c>
      <c r="BQ357" s="168"/>
      <c r="BR357" s="168"/>
      <c r="BS357" s="168"/>
      <c r="BT357" s="571">
        <f t="shared" ref="BT357" si="163">BP357</f>
        <v>2298.0895255717419</v>
      </c>
      <c r="BU357" s="108">
        <f t="shared" ref="BU357" si="164">BT357-BT345</f>
        <v>237.56286586170927</v>
      </c>
      <c r="BV357" s="108"/>
      <c r="BW357" s="319">
        <f>BT357/[9]SHLMWh!$E237</f>
        <v>1.1107247586136983</v>
      </c>
      <c r="BX357" s="537">
        <f t="shared" si="155"/>
        <v>1.0702575490176838</v>
      </c>
    </row>
    <row r="358" spans="1:76">
      <c r="A358" s="4">
        <f t="shared" si="116"/>
        <v>2012</v>
      </c>
      <c r="B358" s="4">
        <f t="shared" si="117"/>
        <v>6</v>
      </c>
      <c r="C358" s="4">
        <f>'[2]FPC wSEB'!$I455</f>
        <v>2084</v>
      </c>
      <c r="D358" s="4">
        <f>'[2]FPC wSEB'!$AA455</f>
        <v>1549</v>
      </c>
      <c r="J358" s="574">
        <f>[5]SHL!$E238</f>
        <v>1548</v>
      </c>
      <c r="Z358" s="6">
        <f t="shared" ref="Z358" si="165">C358</f>
        <v>2084</v>
      </c>
      <c r="AB358" s="4">
        <f>[9]SHLMWh!$E238</f>
        <v>2081</v>
      </c>
      <c r="BN358" s="4">
        <f t="shared" si="108"/>
        <v>2012</v>
      </c>
      <c r="BO358" s="4">
        <f t="shared" si="109"/>
        <v>6</v>
      </c>
      <c r="BP358" s="569">
        <f>(C358+[4]MWh!$AM192)</f>
        <v>1839.4842010282623</v>
      </c>
      <c r="BQ358" s="168"/>
      <c r="BR358" s="168"/>
      <c r="BS358" s="168"/>
      <c r="BT358" s="571">
        <f t="shared" ref="BT358" si="166">BP358</f>
        <v>1839.4842010282623</v>
      </c>
      <c r="BU358" s="108">
        <f t="shared" ref="BU358" si="167">BT358-BT346</f>
        <v>-187.82366270649845</v>
      </c>
      <c r="BV358" s="108"/>
      <c r="BW358" s="319">
        <f>BT358/[9]SHLMWh!$E238</f>
        <v>0.88394243201742539</v>
      </c>
      <c r="BX358" s="537">
        <f t="shared" si="155"/>
        <v>0.94354325032022857</v>
      </c>
    </row>
    <row r="359" spans="1:76">
      <c r="A359" s="4">
        <f t="shared" si="116"/>
        <v>2012</v>
      </c>
      <c r="B359" s="4">
        <f t="shared" si="117"/>
        <v>7</v>
      </c>
      <c r="C359" s="4">
        <f>'[2]FPC wSEB'!$I456</f>
        <v>2068</v>
      </c>
      <c r="D359" s="4">
        <f>'[2]FPC wSEB'!$AA456</f>
        <v>1544</v>
      </c>
      <c r="J359" s="574">
        <f>[5]SHL!$E239</f>
        <v>1545</v>
      </c>
      <c r="Z359" s="6">
        <f t="shared" ref="Z359" si="168">C359</f>
        <v>2068</v>
      </c>
      <c r="AB359" s="4">
        <f>[9]SHLMWh!$E239</f>
        <v>2067</v>
      </c>
      <c r="BN359" s="4">
        <f t="shared" si="108"/>
        <v>2012</v>
      </c>
      <c r="BO359" s="4">
        <f t="shared" si="109"/>
        <v>7</v>
      </c>
      <c r="BP359" s="569">
        <f>(C359+[4]MWh!$AM193)</f>
        <v>2308.5426881938538</v>
      </c>
      <c r="BQ359" s="168"/>
      <c r="BR359" s="168"/>
      <c r="BS359" s="168"/>
      <c r="BT359" s="571">
        <f t="shared" ref="BT359" si="169">BP359</f>
        <v>2308.5426881938538</v>
      </c>
      <c r="BU359" s="108">
        <f t="shared" ref="BU359" si="170">BT359-BT347</f>
        <v>266.18589095336938</v>
      </c>
      <c r="BV359" s="108"/>
      <c r="BW359" s="319">
        <f>BT359/[9]SHLMWh!$E239</f>
        <v>1.1168566464411485</v>
      </c>
      <c r="BX359" s="537">
        <f t="shared" si="155"/>
        <v>1.0208348264428952</v>
      </c>
    </row>
    <row r="360" spans="1:76">
      <c r="A360" s="4">
        <f t="shared" si="116"/>
        <v>2012</v>
      </c>
      <c r="B360" s="4">
        <f t="shared" si="117"/>
        <v>8</v>
      </c>
      <c r="C360" s="4">
        <f>'[2]FPC wSEB'!$I457</f>
        <v>2076</v>
      </c>
      <c r="D360" s="4">
        <f>'[2]FPC wSEB'!$AA457</f>
        <v>1584</v>
      </c>
      <c r="J360" s="574">
        <f>[5]SHL!$E240</f>
        <v>1584</v>
      </c>
      <c r="Z360" s="6">
        <f t="shared" ref="Z360" si="171">C360</f>
        <v>2076</v>
      </c>
      <c r="AB360" s="4">
        <f>[9]SHLMWh!$E240</f>
        <v>2074</v>
      </c>
      <c r="BN360" s="4">
        <f t="shared" si="108"/>
        <v>2012</v>
      </c>
      <c r="BO360" s="4">
        <f t="shared" si="109"/>
        <v>8</v>
      </c>
      <c r="BP360" s="569">
        <f>(C360+[4]MWh!$AM194)</f>
        <v>1799.5651729198673</v>
      </c>
      <c r="BQ360" s="168"/>
      <c r="BR360" s="168"/>
      <c r="BS360" s="168"/>
      <c r="BT360" s="571">
        <f t="shared" ref="BT360" si="172">BP360</f>
        <v>1799.5651729198673</v>
      </c>
      <c r="BU360" s="108">
        <f t="shared" ref="BU360" si="173">BT360-BT348</f>
        <v>-197.81796403235421</v>
      </c>
      <c r="BV360" s="108"/>
      <c r="BW360" s="319">
        <f>BT360/[9]SHLMWh!$E240</f>
        <v>0.86767848260360048</v>
      </c>
      <c r="BX360" s="537">
        <f t="shared" si="155"/>
        <v>0.97590849888966646</v>
      </c>
    </row>
    <row r="361" spans="1:76">
      <c r="A361" s="4">
        <f t="shared" si="116"/>
        <v>2012</v>
      </c>
      <c r="B361" s="4">
        <f t="shared" si="117"/>
        <v>9</v>
      </c>
      <c r="C361" s="4">
        <f>'[2]FPC wSEB'!$I458</f>
        <v>2069</v>
      </c>
      <c r="D361" s="4">
        <f>'[2]FPC wSEB'!$AA458</f>
        <v>1581</v>
      </c>
      <c r="J361" s="574">
        <f>[5]SHL!$E241</f>
        <v>1583</v>
      </c>
      <c r="Z361" s="6">
        <f t="shared" ref="Z361" si="174">C361</f>
        <v>2069</v>
      </c>
      <c r="AB361" s="4">
        <f>[9]SHLMWh!$E241</f>
        <v>2083</v>
      </c>
      <c r="BN361" s="4">
        <f t="shared" si="108"/>
        <v>2012</v>
      </c>
      <c r="BO361" s="4">
        <f t="shared" si="109"/>
        <v>9</v>
      </c>
      <c r="BP361" s="569">
        <f>(C361+[4]MWh!$AM195)</f>
        <v>2088.47512940858</v>
      </c>
      <c r="BQ361" s="168"/>
      <c r="BR361" s="168"/>
      <c r="BS361" s="168"/>
      <c r="BT361" s="571">
        <f t="shared" ref="BT361" si="175">BP361</f>
        <v>2088.47512940858</v>
      </c>
      <c r="BU361" s="108">
        <f t="shared" ref="BU361" si="176">BT361-BT349</f>
        <v>138.89268793648966</v>
      </c>
      <c r="BV361" s="108"/>
      <c r="BW361" s="319">
        <f>BT361/[9]SHLMWh!$E241</f>
        <v>1.002628482673346</v>
      </c>
      <c r="BX361" s="537">
        <f t="shared" si="155"/>
        <v>0.91920174498275287</v>
      </c>
    </row>
    <row r="362" spans="1:76">
      <c r="A362" s="4">
        <f t="shared" si="116"/>
        <v>2012</v>
      </c>
      <c r="B362" s="4">
        <f t="shared" si="117"/>
        <v>10</v>
      </c>
      <c r="C362" s="4">
        <f>'[2]FPC wSEB'!$I459</f>
        <v>2103</v>
      </c>
      <c r="D362" s="4">
        <f>'[2]FPC wSEB'!$AA459</f>
        <v>1582</v>
      </c>
      <c r="J362" s="574">
        <f>[5]SHL!$E242</f>
        <v>1579</v>
      </c>
      <c r="Z362" s="6">
        <f t="shared" ref="Z362" si="177">C362</f>
        <v>2103</v>
      </c>
      <c r="AB362" s="4">
        <f>[9]SHLMWh!$E242</f>
        <v>2090</v>
      </c>
      <c r="BN362" s="4">
        <f t="shared" si="108"/>
        <v>2012</v>
      </c>
      <c r="BO362" s="4">
        <f t="shared" si="109"/>
        <v>10</v>
      </c>
      <c r="BP362" s="569">
        <f>(C362+[4]MWh!$AM196)</f>
        <v>2026.7911061035045</v>
      </c>
      <c r="BQ362" s="168"/>
      <c r="BR362" s="168"/>
      <c r="BS362" s="168"/>
      <c r="BT362" s="571">
        <f t="shared" ref="BT362" si="178">BP362</f>
        <v>2026.7911061035045</v>
      </c>
      <c r="BU362" s="108">
        <f t="shared" ref="BU362" si="179">BT362-BT350</f>
        <v>74.15895008617963</v>
      </c>
      <c r="BV362" s="108"/>
      <c r="BW362" s="319">
        <f>BT362/[9]SHLMWh!$E242</f>
        <v>0.96975651009737052</v>
      </c>
      <c r="BX362" s="537">
        <f t="shared" si="155"/>
        <v>1.0318552172492552</v>
      </c>
    </row>
    <row r="363" spans="1:76">
      <c r="A363" s="4">
        <f t="shared" si="116"/>
        <v>2012</v>
      </c>
      <c r="B363" s="4">
        <f t="shared" si="117"/>
        <v>11</v>
      </c>
      <c r="C363" s="4">
        <f>'[2]FPC wSEB'!$I460</f>
        <v>2124</v>
      </c>
      <c r="D363" s="4">
        <f>'[2]FPC wSEB'!$AA460</f>
        <v>1581</v>
      </c>
      <c r="J363" s="574">
        <f>[5]SHL!$E243</f>
        <v>1575</v>
      </c>
      <c r="Z363" s="6">
        <f t="shared" ref="Z363" si="180">C363</f>
        <v>2124</v>
      </c>
      <c r="AB363" s="4">
        <f>[9]SHLMWh!$E243</f>
        <v>2104</v>
      </c>
      <c r="BN363" s="4">
        <f t="shared" si="108"/>
        <v>2012</v>
      </c>
      <c r="BO363" s="4">
        <f t="shared" si="109"/>
        <v>11</v>
      </c>
      <c r="BP363" s="569">
        <f>(C363+[4]MWh!$AM197)</f>
        <v>1976.4359560543503</v>
      </c>
      <c r="BQ363" s="168"/>
      <c r="BR363" s="168"/>
      <c r="BS363" s="168"/>
      <c r="BT363" s="571">
        <f t="shared" ref="BT363" si="181">BP363</f>
        <v>1976.4359560543503</v>
      </c>
      <c r="BU363" s="108">
        <f t="shared" ref="BU363" si="182">BT363-BT351</f>
        <v>-149.49101934401688</v>
      </c>
      <c r="BV363" s="108"/>
      <c r="BW363" s="319">
        <f>BT363/[9]SHLMWh!$E243</f>
        <v>0.9393707015467444</v>
      </c>
      <c r="BX363" s="537">
        <f t="shared" si="155"/>
        <v>0.92346414596246462</v>
      </c>
    </row>
    <row r="364" spans="1:76" s="89" customFormat="1">
      <c r="A364" s="89">
        <f t="shared" si="116"/>
        <v>2012</v>
      </c>
      <c r="B364" s="89">
        <f t="shared" si="117"/>
        <v>12</v>
      </c>
      <c r="C364" s="89">
        <f>'[2]FPC wSEB'!$I461</f>
        <v>2108</v>
      </c>
      <c r="D364" s="89">
        <f>'[2]FPC wSEB'!$AA461</f>
        <v>1571</v>
      </c>
      <c r="J364" s="575">
        <f>[5]SHL!$E244</f>
        <v>1573</v>
      </c>
      <c r="Z364" s="96">
        <f t="shared" ref="Z364" si="183">C364</f>
        <v>2108</v>
      </c>
      <c r="AB364" s="89">
        <f>[9]SHLMWh!$E244</f>
        <v>2114</v>
      </c>
      <c r="BN364" s="89">
        <f t="shared" si="108"/>
        <v>2012</v>
      </c>
      <c r="BO364" s="89">
        <f t="shared" si="109"/>
        <v>12</v>
      </c>
      <c r="BP364" s="570">
        <f>(C364+[4]MWh!$AM198)</f>
        <v>2456.0187666082611</v>
      </c>
      <c r="BQ364" s="169"/>
      <c r="BR364" s="169"/>
      <c r="BS364" s="169"/>
      <c r="BT364" s="572">
        <f t="shared" ref="BT364" si="184">BP364</f>
        <v>2456.0187666082611</v>
      </c>
      <c r="BU364" s="117">
        <f t="shared" ref="BU364" si="185">BT364-BT352</f>
        <v>404.62143946525475</v>
      </c>
      <c r="BV364" s="117"/>
      <c r="BW364" s="320">
        <f>BT364/[9]SHLMWh!$E244</f>
        <v>1.1617874960303978</v>
      </c>
      <c r="BX364" s="443">
        <f>AVERAGE(BW364,BW352,BW340,BW328,BW316,BW304,BW292,BW280,BW256)+0.0328</f>
        <v>1.1206568721086096</v>
      </c>
    </row>
    <row r="365" spans="1:76">
      <c r="A365" s="4">
        <f t="shared" si="116"/>
        <v>2013</v>
      </c>
      <c r="B365" s="4">
        <f t="shared" si="117"/>
        <v>1</v>
      </c>
      <c r="C365" s="4">
        <f>'[2]FPC wSEB'!$I462</f>
        <v>2104</v>
      </c>
      <c r="D365" s="4">
        <f>'[2]FPC wSEB'!$AA462</f>
        <v>1566</v>
      </c>
      <c r="J365" s="574">
        <f>[5]SHL!$E245</f>
        <v>1569</v>
      </c>
      <c r="Z365" s="6">
        <f t="shared" ref="Z365" si="186">C365</f>
        <v>2104</v>
      </c>
      <c r="AB365" s="4">
        <f>[9]SHLMWh!$E245</f>
        <v>2114</v>
      </c>
      <c r="BN365" s="4">
        <f t="shared" si="108"/>
        <v>2013</v>
      </c>
      <c r="BO365" s="4">
        <f t="shared" si="109"/>
        <v>1</v>
      </c>
      <c r="BP365" s="569">
        <f>(C365+[4]MWh!$AM199)</f>
        <v>2022.7684673040023</v>
      </c>
      <c r="BQ365" s="168"/>
      <c r="BR365" s="168"/>
      <c r="BS365" s="168"/>
      <c r="BT365" s="571">
        <f t="shared" ref="BT365" si="187">BP365</f>
        <v>2022.7684673040023</v>
      </c>
      <c r="BU365" s="108">
        <f t="shared" ref="BU365" si="188">BT365-BT353</f>
        <v>-121.71771459381557</v>
      </c>
      <c r="BV365" s="108"/>
      <c r="BW365" s="319">
        <f>BT365/[9]SHLMWh!$E245</f>
        <v>0.95684411887606546</v>
      </c>
      <c r="BX365" s="538">
        <f>SUM(BX353:BX364)</f>
        <v>11.999901611390102</v>
      </c>
    </row>
    <row r="366" spans="1:76">
      <c r="A366" s="4">
        <f t="shared" si="116"/>
        <v>2013</v>
      </c>
      <c r="B366" s="4">
        <f t="shared" si="117"/>
        <v>2</v>
      </c>
      <c r="C366" s="4">
        <f>'[2]FPC wSEB'!$I463</f>
        <v>2099</v>
      </c>
      <c r="D366" s="4">
        <f>'[2]FPC wSEB'!$AA463</f>
        <v>1567</v>
      </c>
      <c r="J366" s="574">
        <f>[5]SHL!$E246</f>
        <v>1568</v>
      </c>
      <c r="Z366" s="6">
        <f t="shared" ref="Z366" si="189">C366</f>
        <v>2099</v>
      </c>
      <c r="AB366" s="4">
        <f>[9]SHLMWh!$E246</f>
        <v>2100</v>
      </c>
      <c r="BN366" s="4">
        <f t="shared" si="108"/>
        <v>2013</v>
      </c>
      <c r="BO366" s="4">
        <f t="shared" si="109"/>
        <v>2</v>
      </c>
      <c r="BP366" s="569">
        <f>(C366+[4]MWh!$AM200)</f>
        <v>2008.5361560564693</v>
      </c>
      <c r="BQ366" s="168"/>
      <c r="BR366" s="168"/>
      <c r="BS366" s="168"/>
      <c r="BT366" s="571">
        <f t="shared" ref="BT366" si="190">BP366</f>
        <v>2008.5361560564693</v>
      </c>
      <c r="BU366" s="108">
        <f t="shared" ref="BU366" si="191">BT366-BT354</f>
        <v>-184.52419339965081</v>
      </c>
      <c r="BV366" s="108"/>
      <c r="BW366" s="319">
        <f>BT366/[9]SHLMWh!$E246</f>
        <v>0.95644578859831875</v>
      </c>
    </row>
    <row r="367" spans="1:76">
      <c r="A367" s="4">
        <f t="shared" si="116"/>
        <v>2013</v>
      </c>
      <c r="B367" s="4">
        <f t="shared" si="117"/>
        <v>3</v>
      </c>
      <c r="C367" s="4">
        <f>'[2]FPC wSEB'!$I464</f>
        <v>2082</v>
      </c>
      <c r="D367" s="4">
        <f>'[2]FPC wSEB'!$AA464</f>
        <v>1566</v>
      </c>
      <c r="J367" s="574">
        <f>[5]SHL!$E247</f>
        <v>1567</v>
      </c>
      <c r="Z367" s="6">
        <f t="shared" ref="Z367" si="192">C367</f>
        <v>2082</v>
      </c>
      <c r="AB367" s="4">
        <f>[9]SHLMWh!$E247</f>
        <v>2085</v>
      </c>
      <c r="BN367" s="4">
        <f t="shared" si="108"/>
        <v>2013</v>
      </c>
      <c r="BO367" s="4">
        <f t="shared" si="109"/>
        <v>3</v>
      </c>
      <c r="BP367" s="569">
        <f>(C367+[4]MWh!$AM201)</f>
        <v>2247.9148247002813</v>
      </c>
      <c r="BQ367" s="168"/>
      <c r="BR367" s="168"/>
      <c r="BS367" s="168"/>
      <c r="BT367" s="571">
        <f t="shared" ref="BT367" si="193">BP367</f>
        <v>2247.9148247002813</v>
      </c>
      <c r="BU367" s="108">
        <f t="shared" ref="BU367" si="194">BT367-BT355</f>
        <v>75.056138656818803</v>
      </c>
      <c r="BV367" s="108"/>
      <c r="BW367" s="319">
        <f>BT367/[9]SHLMWh!$E247</f>
        <v>1.0781366065708784</v>
      </c>
    </row>
    <row r="368" spans="1:76">
      <c r="A368" s="4">
        <f t="shared" si="116"/>
        <v>2013</v>
      </c>
      <c r="B368" s="4">
        <f t="shared" si="117"/>
        <v>4</v>
      </c>
      <c r="C368" s="4">
        <f>'[2]FPC wSEB'!$I465</f>
        <v>2078</v>
      </c>
      <c r="D368" s="4">
        <f>'[2]FPC wSEB'!$AA465</f>
        <v>1569</v>
      </c>
      <c r="J368" s="574">
        <f>[5]SHL!$E248</f>
        <v>1569</v>
      </c>
      <c r="Z368" s="6">
        <f t="shared" ref="Z368" si="195">C368</f>
        <v>2078</v>
      </c>
      <c r="AB368" s="4">
        <f>[9]SHLMWh!$E248</f>
        <v>2078</v>
      </c>
      <c r="BN368" s="4">
        <f t="shared" si="108"/>
        <v>2013</v>
      </c>
      <c r="BO368" s="4">
        <f t="shared" si="109"/>
        <v>4</v>
      </c>
      <c r="BP368" s="569">
        <f>(C368+[4]MWh!$AM202)</f>
        <v>2095.5392911893232</v>
      </c>
      <c r="BQ368" s="168"/>
      <c r="BR368" s="168"/>
      <c r="BS368" s="168"/>
      <c r="BT368" s="571">
        <f t="shared" ref="BT368" si="196">BP368</f>
        <v>2095.5392911893232</v>
      </c>
      <c r="BU368" s="108">
        <f t="shared" ref="BU368" si="197">BT368-BT356</f>
        <v>74.342205439481404</v>
      </c>
      <c r="BV368" s="108"/>
      <c r="BW368" s="319">
        <f>BT368/[9]SHLMWh!$E248</f>
        <v>1.0084404673673355</v>
      </c>
    </row>
    <row r="369" spans="1:75">
      <c r="A369" s="4">
        <f t="shared" si="116"/>
        <v>2013</v>
      </c>
      <c r="B369" s="4">
        <f t="shared" si="117"/>
        <v>5</v>
      </c>
      <c r="C369" s="4">
        <f>'[2]FPC wSEB'!$I466</f>
        <v>2058</v>
      </c>
      <c r="D369" s="4">
        <f>'[2]FPC wSEB'!$AA466</f>
        <v>1570</v>
      </c>
      <c r="J369" s="574">
        <f>[5]SHL!$E249</f>
        <v>1568</v>
      </c>
      <c r="Z369" s="6">
        <f t="shared" ref="Z369:Z370" si="198">C369</f>
        <v>2058</v>
      </c>
      <c r="AB369" s="4">
        <f>[9]SHLMWh!$E249</f>
        <v>2059</v>
      </c>
      <c r="BN369" s="4">
        <f t="shared" si="108"/>
        <v>2013</v>
      </c>
      <c r="BO369" s="4">
        <f t="shared" si="109"/>
        <v>5</v>
      </c>
      <c r="BP369" s="569">
        <f>(C369+[4]MWh!$AM203)</f>
        <v>1963.5103291897944</v>
      </c>
      <c r="BQ369" s="168"/>
      <c r="BR369" s="168"/>
      <c r="BS369" s="168"/>
      <c r="BT369" s="571">
        <f t="shared" ref="BT369:BT370" si="199">BP369</f>
        <v>1963.5103291897944</v>
      </c>
      <c r="BU369" s="108">
        <f t="shared" ref="BU369:BU370" si="200">BT369-BT357</f>
        <v>-334.57919638194744</v>
      </c>
      <c r="BV369" s="108"/>
      <c r="BW369" s="319">
        <f>BT369/[9]SHLMWh!$E249</f>
        <v>0.95362327789693757</v>
      </c>
    </row>
    <row r="370" spans="1:75">
      <c r="A370" s="4">
        <f t="shared" si="116"/>
        <v>2013</v>
      </c>
      <c r="B370" s="4">
        <f t="shared" si="117"/>
        <v>6</v>
      </c>
      <c r="C370" s="4">
        <f>'[2]FPC wSEB'!$I467</f>
        <v>2050</v>
      </c>
      <c r="D370" s="4">
        <f>'[2]FPC wSEB'!$AA467</f>
        <v>1562</v>
      </c>
      <c r="J370" s="574">
        <f>[5]SHL!$E250</f>
        <v>1563</v>
      </c>
      <c r="Z370" s="6">
        <f t="shared" si="198"/>
        <v>2050</v>
      </c>
      <c r="AB370" s="4">
        <f>[9]SHLMWh!$E250</f>
        <v>2054</v>
      </c>
      <c r="BN370" s="4">
        <f t="shared" si="108"/>
        <v>2013</v>
      </c>
      <c r="BO370" s="4">
        <f t="shared" si="109"/>
        <v>6</v>
      </c>
      <c r="BP370" s="569">
        <f>(C370+[4]MWh!$AM204)</f>
        <v>2008.5158007912848</v>
      </c>
      <c r="BQ370" s="168"/>
      <c r="BR370" s="168"/>
      <c r="BS370" s="168"/>
      <c r="BT370" s="571">
        <f t="shared" si="199"/>
        <v>2008.5158007912848</v>
      </c>
      <c r="BU370" s="108">
        <f t="shared" si="200"/>
        <v>169.03159976302254</v>
      </c>
      <c r="BV370" s="108"/>
      <c r="BW370" s="319">
        <f>BT370/[9]SHLMWh!$E250</f>
        <v>0.97785579395875599</v>
      </c>
    </row>
    <row r="371" spans="1:75">
      <c r="A371" s="4">
        <f t="shared" si="116"/>
        <v>2013</v>
      </c>
      <c r="B371" s="4">
        <f t="shared" si="117"/>
        <v>7</v>
      </c>
      <c r="C371" s="4">
        <f>'[2]FPC wSEB'!$I468</f>
        <v>2051</v>
      </c>
      <c r="D371" s="4">
        <f>'[2]FPC wSEB'!$AA468</f>
        <v>1563</v>
      </c>
      <c r="J371" s="574">
        <f>[5]SHL!$E251</f>
        <v>1562</v>
      </c>
      <c r="Z371" s="6">
        <f t="shared" ref="Z371" si="201">C371</f>
        <v>2051</v>
      </c>
      <c r="AB371" s="4">
        <f>[9]SHLMWh!$E251</f>
        <v>2047</v>
      </c>
      <c r="BN371" s="4">
        <f t="shared" si="108"/>
        <v>2013</v>
      </c>
      <c r="BO371" s="4">
        <f t="shared" si="109"/>
        <v>7</v>
      </c>
      <c r="BP371" s="569">
        <f>(C371+[4]MWh!$AM205)</f>
        <v>1980.8880819207952</v>
      </c>
      <c r="BQ371" s="168"/>
      <c r="BR371" s="168"/>
      <c r="BS371" s="168"/>
      <c r="BT371" s="571">
        <f t="shared" ref="BT371" si="202">BP371</f>
        <v>1980.8880819207952</v>
      </c>
      <c r="BU371" s="108">
        <f t="shared" ref="BU371" si="203">BT371-BT359</f>
        <v>-327.65460627305856</v>
      </c>
      <c r="BV371" s="108"/>
      <c r="BW371" s="319">
        <f>BT371/[9]SHLMWh!$E251</f>
        <v>0.96770301999061814</v>
      </c>
    </row>
    <row r="372" spans="1:75">
      <c r="A372" s="4">
        <f t="shared" si="116"/>
        <v>2013</v>
      </c>
      <c r="B372" s="4">
        <f t="shared" si="117"/>
        <v>8</v>
      </c>
      <c r="C372" s="4">
        <f>'[2]FPC wSEB'!$I469</f>
        <v>2038</v>
      </c>
      <c r="D372" s="4">
        <f>'[2]FPC wSEB'!$AA469</f>
        <v>1559</v>
      </c>
      <c r="J372" s="574">
        <f>[5]SHL!$E252</f>
        <v>1561</v>
      </c>
      <c r="Z372" s="6">
        <f t="shared" ref="Z372" si="204">C372</f>
        <v>2038</v>
      </c>
      <c r="AB372" s="4">
        <f>[9]SHLMWh!$E252</f>
        <v>2037</v>
      </c>
      <c r="BN372" s="4">
        <f t="shared" si="108"/>
        <v>2013</v>
      </c>
      <c r="BO372" s="4">
        <f t="shared" si="109"/>
        <v>8</v>
      </c>
      <c r="BP372" s="569">
        <f>(C372+[4]MWh!$AM206)</f>
        <v>2245.3819235573374</v>
      </c>
      <c r="BQ372" s="168"/>
      <c r="BR372" s="168"/>
      <c r="BS372" s="168"/>
      <c r="BT372" s="571">
        <f t="shared" ref="BT372" si="205">BP372</f>
        <v>2245.3819235573374</v>
      </c>
      <c r="BU372" s="108">
        <f t="shared" ref="BU372" si="206">BT372-BT360</f>
        <v>445.81675063747002</v>
      </c>
      <c r="BV372" s="108"/>
      <c r="BW372" s="319">
        <f>BT372/[9]SHLMWh!$E252</f>
        <v>1.1022984406270679</v>
      </c>
    </row>
    <row r="373" spans="1:75">
      <c r="A373" s="4">
        <f t="shared" si="116"/>
        <v>2013</v>
      </c>
      <c r="B373" s="4">
        <f t="shared" si="117"/>
        <v>9</v>
      </c>
      <c r="C373" s="4">
        <f>'[2]FPC wSEB'!$I470</f>
        <v>2046</v>
      </c>
      <c r="D373" s="4">
        <f>'[2]FPC wSEB'!$AA470</f>
        <v>1561</v>
      </c>
      <c r="J373" s="574">
        <f>[5]SHL!$E253</f>
        <v>1560</v>
      </c>
      <c r="Z373" s="6">
        <f t="shared" ref="Z373" si="207">C373</f>
        <v>2046</v>
      </c>
      <c r="AB373" s="4">
        <f>[9]SHLMWh!$E253</f>
        <v>2046</v>
      </c>
      <c r="BN373" s="4">
        <f t="shared" si="108"/>
        <v>2013</v>
      </c>
      <c r="BO373" s="4">
        <f t="shared" si="109"/>
        <v>9</v>
      </c>
      <c r="BP373" s="569">
        <f>(C373+[4]MWh!$AM207)</f>
        <v>1815.8087229510413</v>
      </c>
      <c r="BQ373" s="168"/>
      <c r="BR373" s="168"/>
      <c r="BS373" s="168"/>
      <c r="BT373" s="571">
        <f t="shared" ref="BT373" si="208">BP373</f>
        <v>1815.8087229510413</v>
      </c>
      <c r="BU373" s="108">
        <f t="shared" ref="BU373" si="209">BT373-BT361</f>
        <v>-272.66640645753864</v>
      </c>
      <c r="BV373" s="108"/>
      <c r="BW373" s="319">
        <f>BT373/[9]SHLMWh!$E253</f>
        <v>0.88749204445309937</v>
      </c>
    </row>
    <row r="374" spans="1:75">
      <c r="A374" s="4">
        <f t="shared" si="116"/>
        <v>2013</v>
      </c>
      <c r="B374" s="4">
        <f t="shared" si="117"/>
        <v>10</v>
      </c>
      <c r="C374" s="4">
        <f>'[2]FPC wSEB'!$I471</f>
        <v>2099</v>
      </c>
      <c r="D374" s="4">
        <f>'[2]FPC wSEB'!$AA471</f>
        <v>1561</v>
      </c>
      <c r="J374" s="574">
        <f>[5]SHL!$E254</f>
        <v>1561</v>
      </c>
      <c r="Z374" s="6">
        <f t="shared" ref="Z374" si="210">C374</f>
        <v>2099</v>
      </c>
      <c r="AB374" s="4">
        <f>[9]SHLMWh!$E254</f>
        <v>2098</v>
      </c>
      <c r="BN374" s="4">
        <f t="shared" si="108"/>
        <v>2013</v>
      </c>
      <c r="BO374" s="4">
        <f t="shared" si="109"/>
        <v>10</v>
      </c>
      <c r="BP374" s="569">
        <f>(C374+[4]MWh!$AM208)</f>
        <v>2096.8667936536303</v>
      </c>
      <c r="BQ374" s="168"/>
      <c r="BR374" s="168"/>
      <c r="BS374" s="168"/>
      <c r="BT374" s="571">
        <f t="shared" ref="BT374" si="211">BP374</f>
        <v>2096.8667936536303</v>
      </c>
      <c r="BU374" s="108">
        <f t="shared" ref="BU374" si="212">BT374-BT362</f>
        <v>70.075687550125849</v>
      </c>
      <c r="BV374" s="108"/>
      <c r="BW374" s="319">
        <f>BT374/[9]SHLMWh!$E254</f>
        <v>0.99945986351459981</v>
      </c>
    </row>
    <row r="375" spans="1:75">
      <c r="A375" s="4">
        <f t="shared" si="116"/>
        <v>2013</v>
      </c>
      <c r="B375" s="4">
        <f t="shared" si="117"/>
        <v>11</v>
      </c>
      <c r="C375" s="4">
        <f>'[2]FPC wSEB'!$I472</f>
        <v>2053</v>
      </c>
      <c r="D375" s="4">
        <f>'[2]FPC wSEB'!$AA472</f>
        <v>1562</v>
      </c>
      <c r="J375" s="574">
        <f>[5]SHL!$E255</f>
        <v>1559</v>
      </c>
      <c r="Z375" s="6">
        <f t="shared" ref="Z375" si="213">C375</f>
        <v>2053</v>
      </c>
      <c r="AB375" s="4">
        <f>[9]SHLMWh!$E255</f>
        <v>2044</v>
      </c>
      <c r="BN375" s="4">
        <f t="shared" si="108"/>
        <v>2013</v>
      </c>
      <c r="BO375" s="4">
        <f t="shared" si="109"/>
        <v>11</v>
      </c>
      <c r="BP375" s="569">
        <f>(C375+[4]MWh!$AM209)</f>
        <v>2014.6655294221541</v>
      </c>
      <c r="BQ375" s="168"/>
      <c r="BR375" s="168"/>
      <c r="BS375" s="168"/>
      <c r="BT375" s="571">
        <f t="shared" ref="BT375" si="214">BP375</f>
        <v>2014.6655294221541</v>
      </c>
      <c r="BU375" s="108">
        <f t="shared" ref="BU375" si="215">BT375-BT363</f>
        <v>38.229573367803823</v>
      </c>
      <c r="BV375" s="108"/>
      <c r="BW375" s="319">
        <f>BT375/[9]SHLMWh!$E255</f>
        <v>0.98564849776034935</v>
      </c>
    </row>
    <row r="376" spans="1:75">
      <c r="A376" s="4">
        <f t="shared" si="116"/>
        <v>2013</v>
      </c>
      <c r="B376" s="4">
        <f t="shared" si="117"/>
        <v>12</v>
      </c>
      <c r="C376" s="4">
        <f>'[2]FPC wSEB'!$I473</f>
        <v>2132</v>
      </c>
      <c r="D376" s="4">
        <f>'[2]FPC wSEB'!$AA473</f>
        <v>1562</v>
      </c>
      <c r="J376" s="574">
        <f>[5]SHL!$E256</f>
        <v>1556</v>
      </c>
      <c r="Z376" s="6">
        <f t="shared" ref="Z376" si="216">C376</f>
        <v>2132</v>
      </c>
      <c r="AB376" s="4">
        <f>[9]SHLMWh!$E256</f>
        <v>2124</v>
      </c>
      <c r="BN376" s="4">
        <f t="shared" si="108"/>
        <v>2013</v>
      </c>
      <c r="BO376" s="4">
        <f t="shared" si="109"/>
        <v>12</v>
      </c>
      <c r="BP376" s="569">
        <f>(C376+[4]MWh!$AM210)</f>
        <v>2134.7369834510446</v>
      </c>
      <c r="BQ376" s="168"/>
      <c r="BR376" s="168"/>
      <c r="BS376" s="168"/>
      <c r="BT376" s="571">
        <f t="shared" ref="BT376" si="217">BP376</f>
        <v>2134.7369834510446</v>
      </c>
      <c r="BU376" s="108">
        <f t="shared" ref="BU376" si="218">BT376-BT364</f>
        <v>-321.28178315721652</v>
      </c>
      <c r="BV376" s="108"/>
      <c r="BW376" s="319">
        <f>BT376/[9]SHLMWh!$E256</f>
        <v>1.0050550769543525</v>
      </c>
    </row>
    <row r="377" spans="1:75">
      <c r="A377" s="4">
        <f t="shared" si="116"/>
        <v>2014</v>
      </c>
      <c r="B377" s="4">
        <f t="shared" si="117"/>
        <v>1</v>
      </c>
    </row>
  </sheetData>
  <phoneticPr fontId="4" type="noConversion"/>
  <pageMargins left="0.75" right="0.75" top="1" bottom="1" header="0.5" footer="0.5"/>
  <pageSetup orientation="portrait" r:id="rId1"/>
  <headerFooter alignWithMargins="0">
    <oddFooter>&amp;R14LGBRA-NRGPOD1-6-DOC 33
14BGBRA-STAFFROG1-19A-DOC 33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CK383"/>
  <sheetViews>
    <sheetView tabSelected="1" zoomScale="80" zoomScaleNormal="80" workbookViewId="0">
      <selection activeCell="AW37" sqref="AW37"/>
    </sheetView>
  </sheetViews>
  <sheetFormatPr defaultColWidth="8.88671875" defaultRowHeight="12.75"/>
  <cols>
    <col min="1" max="1" width="6.6640625" style="4" customWidth="1"/>
    <col min="2" max="2" width="3.109375" style="4" customWidth="1"/>
    <col min="3" max="4" width="8.88671875" style="4"/>
    <col min="5" max="5" width="3.21875" style="4" customWidth="1"/>
    <col min="6" max="6" width="6.77734375" style="4" customWidth="1"/>
    <col min="7" max="7" width="7.5546875" style="4" bestFit="1" customWidth="1"/>
    <col min="8" max="8" width="6.109375" style="4" bestFit="1" customWidth="1"/>
    <col min="9" max="9" width="5.5546875" style="4" bestFit="1" customWidth="1"/>
    <col min="10" max="10" width="7.44140625" style="4" bestFit="1" customWidth="1"/>
    <col min="11" max="11" width="5.5546875" style="4" bestFit="1" customWidth="1"/>
    <col min="12" max="12" width="7" style="4" customWidth="1"/>
    <col min="13" max="24" width="1.21875" style="4" customWidth="1"/>
    <col min="25" max="25" width="2.109375" style="4" customWidth="1"/>
    <col min="26" max="26" width="9.5546875" style="6" bestFit="1" customWidth="1"/>
    <col min="27" max="27" width="7.109375" style="4" customWidth="1"/>
    <col min="28" max="28" width="7.44140625" style="4" customWidth="1"/>
    <col min="29" max="34" width="1.88671875" style="4" customWidth="1"/>
    <col min="35" max="35" width="1.109375" style="4" customWidth="1"/>
    <col min="36" max="36" width="7.77734375" style="4" customWidth="1"/>
    <col min="37" max="37" width="6.77734375" style="4" customWidth="1"/>
    <col min="38" max="38" width="5.6640625" style="4" customWidth="1"/>
    <col min="39" max="40" width="8.77734375" style="4" bestFit="1" customWidth="1"/>
    <col min="41" max="41" width="9.21875" style="4" customWidth="1"/>
    <col min="42" max="43" width="1.88671875" style="4" customWidth="1"/>
    <col min="44" max="44" width="8.77734375" style="4" bestFit="1" customWidth="1"/>
    <col min="45" max="45" width="6.5546875" style="4" customWidth="1"/>
    <col min="46" max="46" width="6.88671875" style="4" customWidth="1"/>
    <col min="47" max="47" width="12.6640625" style="4" customWidth="1"/>
    <col min="48" max="53" width="1.44140625" style="4" customWidth="1"/>
    <col min="54" max="65" width="1.109375" style="4" customWidth="1"/>
    <col min="66" max="66" width="8.88671875" style="4"/>
    <col min="67" max="67" width="5.21875" style="4" customWidth="1"/>
    <col min="68" max="68" width="9" style="4" bestFit="1" customWidth="1"/>
    <col min="69" max="71" width="3" style="4" customWidth="1"/>
    <col min="72" max="72" width="9" style="6" bestFit="1" customWidth="1"/>
    <col min="73" max="73" width="9.33203125" style="4" bestFit="1" customWidth="1"/>
    <col min="74" max="74" width="6.6640625" style="4" bestFit="1" customWidth="1"/>
    <col min="75" max="76" width="8.88671875" style="4"/>
    <col min="77" max="84" width="1.88671875" style="4" customWidth="1"/>
    <col min="85" max="85" width="6" style="4" bestFit="1" customWidth="1"/>
    <col min="86" max="86" width="8.77734375" style="4" bestFit="1" customWidth="1"/>
    <col min="87" max="87" width="5.77734375" style="4" bestFit="1" customWidth="1"/>
    <col min="88" max="88" width="8.77734375" style="4" bestFit="1" customWidth="1"/>
    <col min="89" max="89" width="5.77734375" style="4" bestFit="1" customWidth="1"/>
    <col min="90" max="16384" width="8.88671875" style="4"/>
  </cols>
  <sheetData>
    <row r="1" spans="1:89">
      <c r="A1" s="14" t="s">
        <v>114</v>
      </c>
    </row>
    <row r="5" spans="1:89">
      <c r="AR5" s="13" t="s">
        <v>197</v>
      </c>
      <c r="CG5" s="22" t="s">
        <v>130</v>
      </c>
      <c r="CH5" s="23"/>
      <c r="CJ5" s="13" t="s">
        <v>157</v>
      </c>
    </row>
    <row r="6" spans="1:89">
      <c r="AM6" s="122" t="s">
        <v>4</v>
      </c>
      <c r="AR6" s="556" t="s">
        <v>316</v>
      </c>
      <c r="AU6" s="58" t="s">
        <v>4</v>
      </c>
      <c r="CH6" s="29" t="s">
        <v>40</v>
      </c>
      <c r="CJ6" s="30" t="s">
        <v>3</v>
      </c>
    </row>
    <row r="7" spans="1:89">
      <c r="AL7" s="15" t="s">
        <v>8</v>
      </c>
      <c r="AM7" s="308" t="s">
        <v>116</v>
      </c>
      <c r="AN7" s="267" t="s">
        <v>109</v>
      </c>
      <c r="AO7" s="267" t="s">
        <v>265</v>
      </c>
      <c r="AR7" s="128" t="s">
        <v>116</v>
      </c>
      <c r="AT7" s="15"/>
      <c r="AU7" s="128" t="s">
        <v>158</v>
      </c>
      <c r="CG7" s="34" t="s">
        <v>8</v>
      </c>
      <c r="CH7" s="123" t="s">
        <v>116</v>
      </c>
      <c r="CI7" s="36" t="s">
        <v>42</v>
      </c>
      <c r="CJ7" s="124" t="str">
        <f>CH7</f>
        <v>ISALES</v>
      </c>
      <c r="CK7" s="36" t="s">
        <v>42</v>
      </c>
    </row>
    <row r="8" spans="1:89">
      <c r="AL8" s="4">
        <v>1984</v>
      </c>
      <c r="AM8" s="181">
        <f>ROUND(SUM(C17:C28),0)</f>
        <v>2988985</v>
      </c>
      <c r="AN8" s="181">
        <f>ROUND(SUM(F17:F28),0)</f>
        <v>1331550</v>
      </c>
      <c r="AO8" s="181">
        <f>ROUND(SUM(G17:G28),0)</f>
        <v>1657435</v>
      </c>
      <c r="AR8" s="50">
        <f>ROUND(SUM(Z17:Z28),0)</f>
        <v>2988985</v>
      </c>
      <c r="AU8" s="50">
        <f>ROUND(AVERAGE(D17:D28),0)</f>
        <v>2521</v>
      </c>
      <c r="CG8" s="22">
        <v>1984</v>
      </c>
    </row>
    <row r="9" spans="1:89">
      <c r="AL9" s="4">
        <v>1985</v>
      </c>
      <c r="AM9" s="181">
        <f>ROUND(SUM(C29:C40),0)</f>
        <v>3166011</v>
      </c>
      <c r="AN9" s="181">
        <f>ROUND(SUM(F29:F40),0)</f>
        <v>1343289</v>
      </c>
      <c r="AO9" s="181">
        <f>ROUND(SUM(G29:G40),0)</f>
        <v>1822722</v>
      </c>
      <c r="AR9" s="50">
        <f>ROUND(SUM(Z29:Z40),0)</f>
        <v>3166011</v>
      </c>
      <c r="AS9" s="86">
        <f t="shared" ref="AS9:AS26" si="0">AR9/AR8-1</f>
        <v>5.9226125256567119E-2</v>
      </c>
      <c r="AU9" s="50">
        <f>ROUND(AVERAGE(D29:D40),0)</f>
        <v>2611</v>
      </c>
      <c r="CG9" s="22">
        <v>1985</v>
      </c>
    </row>
    <row r="10" spans="1:89">
      <c r="AL10" s="4">
        <v>1986</v>
      </c>
      <c r="AM10" s="181">
        <f>ROUND(SUM(C41:C52),0)</f>
        <v>3122308</v>
      </c>
      <c r="AN10" s="181">
        <f>ROUND(SUM(F41:F52),0)</f>
        <v>1096413</v>
      </c>
      <c r="AO10" s="181">
        <f>ROUND(SUM(G41:G52),0)</f>
        <v>2025895</v>
      </c>
      <c r="AR10" s="50">
        <f>ROUND(SUM(Z41:Z52),0)</f>
        <v>3122308</v>
      </c>
      <c r="AS10" s="86">
        <f t="shared" si="0"/>
        <v>-1.3803805482672016E-2</v>
      </c>
      <c r="AU10" s="50">
        <f>ROUND(AVERAGE(D41:D52),0)</f>
        <v>2705</v>
      </c>
      <c r="CG10" s="22">
        <v>1986</v>
      </c>
    </row>
    <row r="11" spans="1:89">
      <c r="AL11" s="4">
        <v>1987</v>
      </c>
      <c r="AM11" s="181">
        <f>ROUND(SUM(C53:C64),0)</f>
        <v>3349365</v>
      </c>
      <c r="AN11" s="181">
        <f>ROUND(SUM(F53:F64),0)</f>
        <v>1211775</v>
      </c>
      <c r="AO11" s="181">
        <f>ROUND(SUM(G53:G64),0)</f>
        <v>2137590</v>
      </c>
      <c r="AR11" s="50">
        <f>ROUND(SUM(Z53:Z64),0)</f>
        <v>3349365</v>
      </c>
      <c r="AS11" s="86">
        <f t="shared" si="0"/>
        <v>7.2720884678897812E-2</v>
      </c>
      <c r="AU11" s="50">
        <f>ROUND(AVERAGE(D53:D64),0)</f>
        <v>2877</v>
      </c>
      <c r="CG11" s="22">
        <v>1987</v>
      </c>
    </row>
    <row r="12" spans="1:89">
      <c r="AB12" s="507" t="s">
        <v>305</v>
      </c>
      <c r="AL12" s="4">
        <v>1988</v>
      </c>
      <c r="AM12" s="181">
        <f>ROUND(SUM(C65:C76),0)</f>
        <v>3680618</v>
      </c>
      <c r="AN12" s="181">
        <f>ROUND(SUM(F65:F76),0)</f>
        <v>1390950</v>
      </c>
      <c r="AO12" s="181">
        <f>ROUND(SUM(G65:G76),0)</f>
        <v>2289668</v>
      </c>
      <c r="AR12" s="50">
        <f>ROUND(SUM(Z65:Z76),0)</f>
        <v>3680618</v>
      </c>
      <c r="AS12" s="86">
        <f t="shared" si="0"/>
        <v>9.8900239299090975E-2</v>
      </c>
      <c r="AU12" s="50">
        <f>ROUND(AVERAGE(D65:D76),0)</f>
        <v>2942</v>
      </c>
      <c r="CG12" s="22">
        <v>1988</v>
      </c>
    </row>
    <row r="13" spans="1:89">
      <c r="AB13" s="491" t="s">
        <v>304</v>
      </c>
      <c r="AL13" s="4">
        <v>1989</v>
      </c>
      <c r="AM13" s="181">
        <f>ROUND(SUM(C77:C88),0)</f>
        <v>3766128</v>
      </c>
      <c r="AN13" s="181">
        <f>ROUND(SUM(F77:F88),0)</f>
        <v>1364534</v>
      </c>
      <c r="AO13" s="181">
        <f>ROUND(SUM(G77:G88),0)</f>
        <v>2401594</v>
      </c>
      <c r="AR13" s="50">
        <f>ROUND(SUM(Z77:Z88),0)</f>
        <v>3766128</v>
      </c>
      <c r="AS13" s="86">
        <f t="shared" si="0"/>
        <v>2.3232511496710684E-2</v>
      </c>
      <c r="AU13" s="50">
        <f>ROUND(AVERAGE(D77:D88),0)</f>
        <v>3021</v>
      </c>
      <c r="BP13" s="4" t="s">
        <v>64</v>
      </c>
      <c r="CG13" s="51">
        <v>1989</v>
      </c>
    </row>
    <row r="14" spans="1:89">
      <c r="C14" s="52" t="s">
        <v>12</v>
      </c>
      <c r="D14" s="52" t="s">
        <v>12</v>
      </c>
      <c r="Z14" s="58"/>
      <c r="AB14" s="508" t="s">
        <v>306</v>
      </c>
      <c r="AL14" s="4">
        <v>1990</v>
      </c>
      <c r="AM14" s="181">
        <f>ROUND(SUM(C89:C100),0)</f>
        <v>3455708</v>
      </c>
      <c r="AN14" s="181">
        <f>ROUND(SUM(F89:F100),0)</f>
        <v>1062936</v>
      </c>
      <c r="AO14" s="181">
        <f>ROUND(SUM(G89:G100),0)</f>
        <v>2392772</v>
      </c>
      <c r="AR14" s="50">
        <f>ROUND(SUM(Z89:Z100),0)</f>
        <v>3455708</v>
      </c>
      <c r="AS14" s="86">
        <f t="shared" si="0"/>
        <v>-8.2424176767226132E-2</v>
      </c>
      <c r="AU14" s="50">
        <f>ROUND(AVERAGE(D89:D100),0)</f>
        <v>3115</v>
      </c>
      <c r="BP14" s="15" t="s">
        <v>12</v>
      </c>
      <c r="BT14" s="58" t="s">
        <v>17</v>
      </c>
      <c r="CG14" s="22">
        <v>1990</v>
      </c>
    </row>
    <row r="15" spans="1:89">
      <c r="C15" s="52" t="s">
        <v>4</v>
      </c>
      <c r="D15" s="52" t="s">
        <v>4</v>
      </c>
      <c r="E15" s="15"/>
      <c r="H15" s="24" t="s">
        <v>224</v>
      </c>
      <c r="I15" s="24" t="s">
        <v>224</v>
      </c>
      <c r="J15" s="24" t="s">
        <v>225</v>
      </c>
      <c r="K15" s="24" t="s">
        <v>225</v>
      </c>
      <c r="L15" s="532" t="s">
        <v>334</v>
      </c>
      <c r="Z15" s="58" t="s">
        <v>4</v>
      </c>
      <c r="AB15" s="508" t="s">
        <v>4</v>
      </c>
      <c r="AL15" s="4">
        <v>1991</v>
      </c>
      <c r="AM15" s="181">
        <f>ROUND(SUM(C101:C112),0)</f>
        <v>3302967</v>
      </c>
      <c r="AN15" s="181">
        <f>ROUND(SUM(F101:F112),0)</f>
        <v>960572</v>
      </c>
      <c r="AO15" s="181">
        <f>ROUND(SUM(G101:G112),0)</f>
        <v>2342395</v>
      </c>
      <c r="AR15" s="50">
        <f>ROUND(SUM(Z101:Z112),0)</f>
        <v>3302967</v>
      </c>
      <c r="AS15" s="86">
        <f t="shared" si="0"/>
        <v>-4.4199625662816433E-2</v>
      </c>
      <c r="AU15" s="50">
        <f>ROUND(AVERAGE(D101:D112),0)</f>
        <v>3124</v>
      </c>
      <c r="BP15" s="15" t="s">
        <v>28</v>
      </c>
      <c r="BT15" s="287" t="s">
        <v>28</v>
      </c>
      <c r="BW15" s="374" t="s">
        <v>311</v>
      </c>
      <c r="CG15" s="22">
        <v>1991</v>
      </c>
    </row>
    <row r="16" spans="1:89">
      <c r="A16" s="31" t="s">
        <v>8</v>
      </c>
      <c r="B16" s="31" t="s">
        <v>29</v>
      </c>
      <c r="C16" s="66" t="s">
        <v>107</v>
      </c>
      <c r="D16" s="66" t="s">
        <v>108</v>
      </c>
      <c r="E16" s="31"/>
      <c r="F16" s="15" t="s">
        <v>109</v>
      </c>
      <c r="G16" s="15" t="s">
        <v>110</v>
      </c>
      <c r="H16" s="36" t="s">
        <v>5</v>
      </c>
      <c r="I16" s="36" t="s">
        <v>10</v>
      </c>
      <c r="J16" s="36" t="s">
        <v>5</v>
      </c>
      <c r="K16" s="36" t="s">
        <v>10</v>
      </c>
      <c r="L16" s="588" t="s">
        <v>10</v>
      </c>
      <c r="Z16" s="128" t="s">
        <v>116</v>
      </c>
      <c r="AB16" s="513" t="s">
        <v>107</v>
      </c>
      <c r="AL16" s="4">
        <v>1992</v>
      </c>
      <c r="AM16" s="181">
        <f>ROUND(SUM(C113:C124),0)</f>
        <v>3254466</v>
      </c>
      <c r="AN16" s="181">
        <f>ROUND(SUM(F113:F124),0)</f>
        <v>894795</v>
      </c>
      <c r="AO16" s="181">
        <f>ROUND(SUM(G113:G124),0)</f>
        <v>2359671</v>
      </c>
      <c r="AR16" s="50">
        <f>ROUND(SUM(Z113:Z124),0)</f>
        <v>3254466</v>
      </c>
      <c r="AS16" s="86">
        <f t="shared" si="0"/>
        <v>-1.4684070413055861E-2</v>
      </c>
      <c r="AU16" s="50">
        <f>ROUND(AVERAGE(D113:D124),0)</f>
        <v>3137</v>
      </c>
      <c r="BN16" s="31" t="s">
        <v>8</v>
      </c>
      <c r="BO16" s="31" t="s">
        <v>29</v>
      </c>
      <c r="BP16" s="38" t="s">
        <v>107</v>
      </c>
      <c r="BT16" s="128" t="s">
        <v>107</v>
      </c>
      <c r="BU16" s="15" t="s">
        <v>127</v>
      </c>
      <c r="BW16" s="229" t="s">
        <v>310</v>
      </c>
      <c r="CG16" s="22">
        <v>1992</v>
      </c>
    </row>
    <row r="17" spans="1:89">
      <c r="A17" s="4">
        <v>1984</v>
      </c>
      <c r="B17" s="4">
        <v>1</v>
      </c>
      <c r="C17" s="4">
        <f>'[2]FPC wSEB'!$F114</f>
        <v>231641</v>
      </c>
      <c r="D17" s="4">
        <f>'[2]FPC wSEB'!$Z114</f>
        <v>2470</v>
      </c>
      <c r="F17" s="4">
        <f>'[2]FPC wSEB'!$G114</f>
        <v>95255</v>
      </c>
      <c r="G17" s="4">
        <f>C17-F17</f>
        <v>136386</v>
      </c>
      <c r="Z17" s="6">
        <f>C17</f>
        <v>231641</v>
      </c>
      <c r="AB17" s="4">
        <f>Z17</f>
        <v>231641</v>
      </c>
      <c r="AL17" s="4">
        <v>1993</v>
      </c>
      <c r="AM17" s="181">
        <f>ROUND(SUM(C125:C136),0)</f>
        <v>3380799</v>
      </c>
      <c r="AN17" s="181">
        <f>ROUND(SUM(F125:F136),0)</f>
        <v>879975</v>
      </c>
      <c r="AO17" s="181">
        <f>ROUND(SUM(G125:G136),0)</f>
        <v>2500824</v>
      </c>
      <c r="AR17" s="50">
        <f>ROUND(SUM(Z125:Z136),0)</f>
        <v>3380799</v>
      </c>
      <c r="AS17" s="86">
        <f t="shared" si="0"/>
        <v>3.8818349922844497E-2</v>
      </c>
      <c r="AU17" s="50">
        <f>ROUND(AVERAGE(D125:D136),0)</f>
        <v>3107</v>
      </c>
      <c r="BN17" s="4">
        <v>1984</v>
      </c>
      <c r="BO17" s="4">
        <v>1</v>
      </c>
      <c r="CG17" s="22">
        <v>1993</v>
      </c>
    </row>
    <row r="18" spans="1:89">
      <c r="A18" s="4">
        <v>1984</v>
      </c>
      <c r="B18" s="4">
        <v>2</v>
      </c>
      <c r="C18" s="4">
        <f>'[2]FPC wSEB'!$F115</f>
        <v>240835</v>
      </c>
      <c r="D18" s="4">
        <f>'[2]FPC wSEB'!$Z115</f>
        <v>2474</v>
      </c>
      <c r="F18" s="4">
        <f>'[2]FPC wSEB'!$G115</f>
        <v>107727</v>
      </c>
      <c r="G18" s="4">
        <f t="shared" ref="G18:G81" si="1">C18-F18</f>
        <v>133108</v>
      </c>
      <c r="Z18" s="6">
        <f t="shared" ref="Z18:Z81" si="2">C18</f>
        <v>240835</v>
      </c>
      <c r="AB18" s="4">
        <f t="shared" ref="AB18:AB81" si="3">Z18</f>
        <v>240835</v>
      </c>
      <c r="AL18" s="23">
        <v>1994</v>
      </c>
      <c r="AM18" s="181">
        <f>ROUND(SUM(C137:C148),0)</f>
        <v>3579598</v>
      </c>
      <c r="AN18" s="181">
        <f>ROUND(SUM(F137:F148),0)</f>
        <v>1013286</v>
      </c>
      <c r="AO18" s="181">
        <f>ROUND(SUM(G137:G148),0)</f>
        <v>2566312</v>
      </c>
      <c r="AR18" s="50">
        <f>ROUND(SUM(Z137:Z148),0)</f>
        <v>3579598</v>
      </c>
      <c r="AS18" s="86">
        <f t="shared" si="0"/>
        <v>5.8802371865348979E-2</v>
      </c>
      <c r="AU18" s="50">
        <f>ROUND(AVERAGE(D137:D148),0)</f>
        <v>3186</v>
      </c>
      <c r="BN18" s="4">
        <v>1984</v>
      </c>
      <c r="BO18" s="4">
        <v>2</v>
      </c>
      <c r="CG18" s="51">
        <v>1994</v>
      </c>
    </row>
    <row r="19" spans="1:89">
      <c r="A19" s="4">
        <v>1984</v>
      </c>
      <c r="B19" s="4">
        <v>3</v>
      </c>
      <c r="C19" s="4">
        <f>'[2]FPC wSEB'!$F116</f>
        <v>237158</v>
      </c>
      <c r="D19" s="4">
        <f>'[2]FPC wSEB'!$Z116</f>
        <v>2479</v>
      </c>
      <c r="F19" s="4">
        <f>'[2]FPC wSEB'!$G116</f>
        <v>105972</v>
      </c>
      <c r="G19" s="4">
        <f t="shared" si="1"/>
        <v>131186</v>
      </c>
      <c r="Z19" s="6">
        <f t="shared" si="2"/>
        <v>237158</v>
      </c>
      <c r="AB19" s="4">
        <f t="shared" si="3"/>
        <v>237158</v>
      </c>
      <c r="AL19" s="4">
        <v>1995</v>
      </c>
      <c r="AM19" s="181">
        <f>ROUND(SUM(C149:C160),0)</f>
        <v>3864419</v>
      </c>
      <c r="AN19" s="181">
        <f>ROUND(SUM(F149:F160),0)</f>
        <v>1246720</v>
      </c>
      <c r="AO19" s="181">
        <f>ROUND(SUM(G149:G160),0)</f>
        <v>2617699</v>
      </c>
      <c r="AR19" s="50">
        <f>ROUND(SUM(Z149:Z160),0)</f>
        <v>3864419</v>
      </c>
      <c r="AS19" s="86">
        <f t="shared" si="0"/>
        <v>7.956787326398107E-2</v>
      </c>
      <c r="AU19" s="50">
        <f>ROUND(AVERAGE(D149:D160),0)</f>
        <v>3143</v>
      </c>
      <c r="BN19" s="4">
        <v>1984</v>
      </c>
      <c r="BO19" s="4">
        <v>3</v>
      </c>
      <c r="CG19" s="22">
        <v>1995</v>
      </c>
    </row>
    <row r="20" spans="1:89">
      <c r="A20" s="4">
        <v>1984</v>
      </c>
      <c r="B20" s="4">
        <v>4</v>
      </c>
      <c r="C20" s="4">
        <f>'[2]FPC wSEB'!$F117</f>
        <v>237473</v>
      </c>
      <c r="D20" s="4">
        <f>'[2]FPC wSEB'!$Z117</f>
        <v>2514</v>
      </c>
      <c r="F20" s="4">
        <f>'[2]FPC wSEB'!$G117</f>
        <v>108416</v>
      </c>
      <c r="G20" s="4">
        <f t="shared" si="1"/>
        <v>129057</v>
      </c>
      <c r="Z20" s="6">
        <f t="shared" si="2"/>
        <v>237473</v>
      </c>
      <c r="AB20" s="4">
        <f t="shared" si="3"/>
        <v>237473</v>
      </c>
      <c r="AL20" s="23">
        <v>1996</v>
      </c>
      <c r="AM20" s="181">
        <f>ROUND(SUM(C161:C172),0)</f>
        <v>4223693</v>
      </c>
      <c r="AN20" s="181">
        <f>ROUND(SUM(F161:F172),0)</f>
        <v>1511488</v>
      </c>
      <c r="AO20" s="181">
        <f>ROUND(SUM(G161:G172),0)</f>
        <v>2712205</v>
      </c>
      <c r="AR20" s="50">
        <f>ROUND(SUM(Z161:Z172),0)</f>
        <v>4223693</v>
      </c>
      <c r="AS20" s="86">
        <f t="shared" si="0"/>
        <v>9.2969732319399201E-2</v>
      </c>
      <c r="AU20" s="50">
        <f>ROUND(AVERAGE(D161:D172),0)</f>
        <v>2927</v>
      </c>
      <c r="BN20" s="4">
        <v>1984</v>
      </c>
      <c r="BO20" s="4">
        <v>4</v>
      </c>
      <c r="CG20" s="51">
        <v>1996</v>
      </c>
    </row>
    <row r="21" spans="1:89">
      <c r="A21" s="4">
        <v>1984</v>
      </c>
      <c r="B21" s="4">
        <v>5</v>
      </c>
      <c r="C21" s="4">
        <f>'[2]FPC wSEB'!$F118</f>
        <v>252122</v>
      </c>
      <c r="D21" s="4">
        <f>'[2]FPC wSEB'!$Z118</f>
        <v>2519</v>
      </c>
      <c r="F21" s="4">
        <f>'[2]FPC wSEB'!$G118</f>
        <v>105482</v>
      </c>
      <c r="G21" s="4">
        <f t="shared" si="1"/>
        <v>146640</v>
      </c>
      <c r="Z21" s="6">
        <f t="shared" si="2"/>
        <v>252122</v>
      </c>
      <c r="AB21" s="4">
        <f t="shared" si="3"/>
        <v>252122</v>
      </c>
      <c r="AL21" s="4">
        <v>1997</v>
      </c>
      <c r="AM21" s="181">
        <f>ROUND(SUM(C173:C184),0)</f>
        <v>4187785</v>
      </c>
      <c r="AN21" s="181">
        <f>ROUND(SUM(F173:F184),0)</f>
        <v>1385155</v>
      </c>
      <c r="AO21" s="181">
        <f>ROUND(SUM(G173:G184),0)</f>
        <v>2802630</v>
      </c>
      <c r="AR21" s="50">
        <f>ROUND(SUM(Z173:Z184),0)</f>
        <v>4187785</v>
      </c>
      <c r="AS21" s="86">
        <f t="shared" si="0"/>
        <v>-8.501564862787192E-3</v>
      </c>
      <c r="AU21" s="50">
        <f>ROUND(AVERAGE(D173:D184),0)</f>
        <v>2830</v>
      </c>
      <c r="BN21" s="4">
        <v>1984</v>
      </c>
      <c r="BO21" s="4">
        <v>5</v>
      </c>
      <c r="CG21" s="22">
        <v>1997</v>
      </c>
      <c r="CH21" s="84">
        <f>ROUND(SUM(BP173:BP184),0)</f>
        <v>4168678</v>
      </c>
      <c r="CI21" s="47"/>
      <c r="CJ21" s="84">
        <f>ROUND(SUM(BT173:BT184),0)</f>
        <v>4168678</v>
      </c>
    </row>
    <row r="22" spans="1:89">
      <c r="A22" s="4">
        <v>1984</v>
      </c>
      <c r="B22" s="4">
        <v>6</v>
      </c>
      <c r="C22" s="4">
        <f>'[2]FPC wSEB'!$F119</f>
        <v>247984</v>
      </c>
      <c r="D22" s="4">
        <f>'[2]FPC wSEB'!$Z119</f>
        <v>2522</v>
      </c>
      <c r="F22" s="4">
        <f>'[2]FPC wSEB'!$G119</f>
        <v>109365</v>
      </c>
      <c r="G22" s="4">
        <f t="shared" si="1"/>
        <v>138619</v>
      </c>
      <c r="Z22" s="6">
        <f t="shared" si="2"/>
        <v>247984</v>
      </c>
      <c r="AB22" s="4">
        <f t="shared" si="3"/>
        <v>247984</v>
      </c>
      <c r="AL22" s="23">
        <v>1998</v>
      </c>
      <c r="AM22" s="181">
        <f>ROUND(SUM(C185:C196),0)</f>
        <v>4375389</v>
      </c>
      <c r="AN22" s="181">
        <f>ROUND(SUM(F185:F196),0)</f>
        <v>1553253</v>
      </c>
      <c r="AO22" s="181">
        <f>ROUND(SUM(G185:G196),0)</f>
        <v>2822136</v>
      </c>
      <c r="AR22" s="50">
        <f>ROUND(SUM(Z185:Z196),0)</f>
        <v>4375389</v>
      </c>
      <c r="AS22" s="86">
        <f t="shared" si="0"/>
        <v>4.4797906291750955E-2</v>
      </c>
      <c r="AU22" s="50">
        <f>ROUND(AVERAGE(D185:D196),0)</f>
        <v>2707</v>
      </c>
      <c r="BN22" s="4">
        <v>1984</v>
      </c>
      <c r="BO22" s="4">
        <v>6</v>
      </c>
      <c r="CG22" s="51">
        <v>1998</v>
      </c>
      <c r="CH22" s="84">
        <f>ROUND(SUM(BP185:BP196),0)</f>
        <v>4430235</v>
      </c>
      <c r="CI22" s="47">
        <f t="shared" ref="CI22:CI27" si="4">(CH22/CH21-1)*100</f>
        <v>6.274339250956773</v>
      </c>
      <c r="CJ22" s="84">
        <f>ROUND(SUM(BT185:BT196),0)</f>
        <v>4430235</v>
      </c>
      <c r="CK22" s="47">
        <f t="shared" ref="CK22:CK27" si="5">(CJ22/CJ21-1)*100</f>
        <v>6.274339250956773</v>
      </c>
    </row>
    <row r="23" spans="1:89">
      <c r="A23" s="4">
        <v>1984</v>
      </c>
      <c r="B23" s="4">
        <v>7</v>
      </c>
      <c r="C23" s="4">
        <f>'[2]FPC wSEB'!$F120</f>
        <v>247530</v>
      </c>
      <c r="D23" s="4">
        <f>'[2]FPC wSEB'!$Z120</f>
        <v>2541</v>
      </c>
      <c r="F23" s="4">
        <f>'[2]FPC wSEB'!$G120</f>
        <v>112029</v>
      </c>
      <c r="G23" s="4">
        <f t="shared" si="1"/>
        <v>135501</v>
      </c>
      <c r="Z23" s="6">
        <f t="shared" si="2"/>
        <v>247530</v>
      </c>
      <c r="AB23" s="4">
        <f t="shared" si="3"/>
        <v>247530</v>
      </c>
      <c r="AL23" s="4">
        <v>1999</v>
      </c>
      <c r="AM23" s="181">
        <f>ROUND(SUM(C197:C208),0)</f>
        <v>4333709</v>
      </c>
      <c r="AN23" s="181">
        <f>ROUND(SUM(F197:F208),0)</f>
        <v>1494134</v>
      </c>
      <c r="AO23" s="181">
        <f>ROUND(SUM(G197:G208),0)</f>
        <v>2839575</v>
      </c>
      <c r="AR23" s="50">
        <f>ROUND(SUM(Z197:Z208),0)</f>
        <v>4333709</v>
      </c>
      <c r="AS23" s="86">
        <f t="shared" si="0"/>
        <v>-9.5260101444694101E-3</v>
      </c>
      <c r="AU23" s="50">
        <f>ROUND(AVERAGE(D197:D208),0)</f>
        <v>2629</v>
      </c>
      <c r="BN23" s="4">
        <v>1984</v>
      </c>
      <c r="BO23" s="4">
        <v>7</v>
      </c>
      <c r="CG23" s="22">
        <v>1999</v>
      </c>
      <c r="CH23" s="84">
        <f>ROUND(SUM(BP197:BP208),0)</f>
        <v>4326750</v>
      </c>
      <c r="CI23" s="47">
        <f t="shared" si="4"/>
        <v>-2.3358806022705347</v>
      </c>
      <c r="CJ23" s="84">
        <f>ROUND(SUM(BT197:BT208),0)</f>
        <v>4326750</v>
      </c>
      <c r="CK23" s="47">
        <f t="shared" si="5"/>
        <v>-2.3358806022705347</v>
      </c>
    </row>
    <row r="24" spans="1:89">
      <c r="A24" s="4">
        <v>1984</v>
      </c>
      <c r="B24" s="4">
        <v>8</v>
      </c>
      <c r="C24" s="4">
        <f>'[2]FPC wSEB'!$F121</f>
        <v>262553</v>
      </c>
      <c r="D24" s="4">
        <f>'[2]FPC wSEB'!$Z121</f>
        <v>2538</v>
      </c>
      <c r="F24" s="4">
        <f>'[2]FPC wSEB'!$G121</f>
        <v>111637</v>
      </c>
      <c r="G24" s="4">
        <f t="shared" si="1"/>
        <v>150916</v>
      </c>
      <c r="Z24" s="6">
        <f t="shared" si="2"/>
        <v>262553</v>
      </c>
      <c r="AB24" s="4">
        <f t="shared" si="3"/>
        <v>262553</v>
      </c>
      <c r="AL24" s="23">
        <v>2000</v>
      </c>
      <c r="AM24" s="181">
        <f>ROUND(SUM(C209:C220),0)</f>
        <v>4248717</v>
      </c>
      <c r="AN24" s="181">
        <f>ROUND(SUM(F209:F220),0)</f>
        <v>1297490</v>
      </c>
      <c r="AO24" s="181">
        <f>ROUND(SUM(G209:G220),0)</f>
        <v>2951227</v>
      </c>
      <c r="AR24" s="549">
        <f>ROUND(SUM(AB209:AB220),0)</f>
        <v>4252938</v>
      </c>
      <c r="AS24" s="86">
        <f t="shared" si="0"/>
        <v>-1.8637845780600459E-2</v>
      </c>
      <c r="AU24" s="50">
        <f>ROUND(AVERAGE(D209:D220),0)</f>
        <v>2535</v>
      </c>
      <c r="BN24" s="4">
        <v>1984</v>
      </c>
      <c r="BO24" s="4">
        <v>8</v>
      </c>
      <c r="CG24" s="51">
        <v>2000</v>
      </c>
      <c r="CH24" s="84">
        <f>ROUND(SUM(BP209:BP220),0)</f>
        <v>4247808</v>
      </c>
      <c r="CI24" s="47">
        <f t="shared" si="4"/>
        <v>-1.8245103137458862</v>
      </c>
      <c r="CJ24" s="84">
        <f>ROUND(SUM(BT209:BT220),0)</f>
        <v>4247808</v>
      </c>
      <c r="CK24" s="47">
        <f t="shared" si="5"/>
        <v>-1.8245103137458862</v>
      </c>
    </row>
    <row r="25" spans="1:89">
      <c r="A25" s="4">
        <v>1984</v>
      </c>
      <c r="B25" s="4">
        <v>9</v>
      </c>
      <c r="C25" s="4">
        <f>'[2]FPC wSEB'!$F122</f>
        <v>279060</v>
      </c>
      <c r="D25" s="4">
        <f>'[2]FPC wSEB'!$Z122</f>
        <v>2542</v>
      </c>
      <c r="F25" s="4">
        <f>'[2]FPC wSEB'!$G122</f>
        <v>131153</v>
      </c>
      <c r="G25" s="4">
        <f t="shared" si="1"/>
        <v>147907</v>
      </c>
      <c r="Z25" s="6">
        <f t="shared" si="2"/>
        <v>279060</v>
      </c>
      <c r="AB25" s="4">
        <f t="shared" si="3"/>
        <v>279060</v>
      </c>
      <c r="AL25" s="4">
        <v>2001</v>
      </c>
      <c r="AM25" s="181">
        <f>ROUND(SUM(C221:C232),0)</f>
        <v>3872340</v>
      </c>
      <c r="AN25" s="181">
        <f>ROUND(SUM(F221:F232),0)</f>
        <v>1021967</v>
      </c>
      <c r="AO25" s="181">
        <f>ROUND(SUM(G221:G232),0)</f>
        <v>2850373</v>
      </c>
      <c r="AR25" s="549">
        <f>ROUND(SUM(AB221:AB232),0)</f>
        <v>3870920</v>
      </c>
      <c r="AS25" s="86">
        <f t="shared" si="0"/>
        <v>-8.9824493091599233E-2</v>
      </c>
      <c r="AU25" s="50">
        <f>ROUND(AVERAGE(D221:D232),0)</f>
        <v>2551</v>
      </c>
      <c r="BN25" s="4">
        <v>1984</v>
      </c>
      <c r="BO25" s="4">
        <v>9</v>
      </c>
      <c r="CG25" s="22">
        <v>2001</v>
      </c>
      <c r="CH25" s="84">
        <f>ROUND(SUM(BP221:BP232),0)</f>
        <v>3826285</v>
      </c>
      <c r="CI25" s="47">
        <f t="shared" si="4"/>
        <v>-9.9233063264629671</v>
      </c>
      <c r="CJ25" s="84">
        <f>ROUND(SUM(BT221:BT232),0)</f>
        <v>3826285</v>
      </c>
      <c r="CK25" s="47">
        <f t="shared" si="5"/>
        <v>-9.9233063264629671</v>
      </c>
    </row>
    <row r="26" spans="1:89">
      <c r="A26" s="4">
        <v>1984</v>
      </c>
      <c r="B26" s="4">
        <v>10</v>
      </c>
      <c r="C26" s="4">
        <f>'[2]FPC wSEB'!$F123</f>
        <v>256324</v>
      </c>
      <c r="D26" s="4">
        <f>'[2]FPC wSEB'!$Z123</f>
        <v>2554</v>
      </c>
      <c r="F26" s="4">
        <f>'[2]FPC wSEB'!$G123</f>
        <v>120335</v>
      </c>
      <c r="G26" s="4">
        <f t="shared" si="1"/>
        <v>135989</v>
      </c>
      <c r="Z26" s="6">
        <f t="shared" si="2"/>
        <v>256324</v>
      </c>
      <c r="AB26" s="4">
        <f t="shared" si="3"/>
        <v>256324</v>
      </c>
      <c r="AL26" s="23">
        <v>2002</v>
      </c>
      <c r="AM26" s="181">
        <f>ROUND(SUM(C233:C244),0)</f>
        <v>3835060</v>
      </c>
      <c r="AN26" s="181">
        <f>ROUND(SUM(F233:F244),0)</f>
        <v>1001170</v>
      </c>
      <c r="AO26" s="181">
        <f>ROUND(SUM(G233:G244),0)</f>
        <v>2833890</v>
      </c>
      <c r="AR26" s="549">
        <f>ROUND(SUM(AB233:AB244),0)</f>
        <v>3815303</v>
      </c>
      <c r="AS26" s="86">
        <f t="shared" si="0"/>
        <v>-1.4367902204127203E-2</v>
      </c>
      <c r="AU26" s="50">
        <f>ROUND(AVERAGE(D233:D244),0)</f>
        <v>2535</v>
      </c>
      <c r="BN26" s="4">
        <v>1984</v>
      </c>
      <c r="BO26" s="4">
        <v>10</v>
      </c>
      <c r="CG26" s="22">
        <v>2002</v>
      </c>
      <c r="CH26" s="84">
        <f>ROUND(SUM(BP233:BP244),0)</f>
        <v>3830109</v>
      </c>
      <c r="CI26" s="47">
        <f t="shared" si="4"/>
        <v>9.9940281500199291E-2</v>
      </c>
      <c r="CJ26" s="84">
        <f>ROUND(SUM(BT233:BT244),0)</f>
        <v>3830109</v>
      </c>
      <c r="CK26" s="47">
        <f t="shared" si="5"/>
        <v>9.9940281500199291E-2</v>
      </c>
    </row>
    <row r="27" spans="1:89">
      <c r="A27" s="4">
        <v>1984</v>
      </c>
      <c r="B27" s="4">
        <v>11</v>
      </c>
      <c r="C27" s="4">
        <f>'[2]FPC wSEB'!$F124</f>
        <v>270494</v>
      </c>
      <c r="D27" s="4">
        <f>'[2]FPC wSEB'!$Z124</f>
        <v>2550</v>
      </c>
      <c r="F27" s="4">
        <f>'[2]FPC wSEB'!$G124</f>
        <v>123623</v>
      </c>
      <c r="G27" s="4">
        <f t="shared" si="1"/>
        <v>146871</v>
      </c>
      <c r="Z27" s="6">
        <f t="shared" si="2"/>
        <v>270494</v>
      </c>
      <c r="AB27" s="4">
        <f t="shared" si="3"/>
        <v>270494</v>
      </c>
      <c r="AL27" s="4">
        <v>2003</v>
      </c>
      <c r="AM27" s="181">
        <f>ROUND(SUM(C245:C256),0)</f>
        <v>4000561</v>
      </c>
      <c r="AN27" s="181">
        <f>ROUND(SUM(F245:F256),0)</f>
        <v>1134003</v>
      </c>
      <c r="AO27" s="181">
        <f>ROUND(SUM(G245:G256),0)</f>
        <v>2866558</v>
      </c>
      <c r="AR27" s="549">
        <f>ROUND(SUM(AB245:AB256),0)</f>
        <v>4020327</v>
      </c>
      <c r="AS27" s="86">
        <f t="shared" ref="AS27:AS32" si="6">AR27/AR26-1</f>
        <v>5.3737278533317001E-2</v>
      </c>
      <c r="AU27" s="50">
        <f>ROUND(AVERAGE(D245:D256),0)</f>
        <v>2643</v>
      </c>
      <c r="BN27" s="4">
        <v>1984</v>
      </c>
      <c r="BO27" s="4">
        <v>11</v>
      </c>
      <c r="CG27" s="22">
        <v>2003</v>
      </c>
      <c r="CH27" s="84">
        <f>ROUND(SUM(BP245:BP256),0)</f>
        <v>3993939</v>
      </c>
      <c r="CI27" s="47">
        <f t="shared" si="4"/>
        <v>4.2774239584304263</v>
      </c>
      <c r="CJ27" s="84">
        <f>ROUND(SUM(BT245:BT256),0)</f>
        <v>3993939</v>
      </c>
      <c r="CK27" s="47">
        <f t="shared" si="5"/>
        <v>4.2774239584304263</v>
      </c>
    </row>
    <row r="28" spans="1:89">
      <c r="A28" s="4">
        <v>1984</v>
      </c>
      <c r="B28" s="4">
        <v>12</v>
      </c>
      <c r="C28" s="4">
        <f>'[2]FPC wSEB'!$F125</f>
        <v>225811</v>
      </c>
      <c r="D28" s="4">
        <f>'[2]FPC wSEB'!$Z125</f>
        <v>2548</v>
      </c>
      <c r="F28" s="4">
        <f>'[2]FPC wSEB'!$G125</f>
        <v>100556</v>
      </c>
      <c r="G28" s="4">
        <f t="shared" si="1"/>
        <v>125255</v>
      </c>
      <c r="Z28" s="6">
        <f t="shared" si="2"/>
        <v>225811</v>
      </c>
      <c r="AB28" s="4">
        <f t="shared" si="3"/>
        <v>225811</v>
      </c>
      <c r="AL28" s="4">
        <v>2004</v>
      </c>
      <c r="AM28" s="181">
        <f>ROUND(SUM(C257:C268),0)</f>
        <v>4068626</v>
      </c>
      <c r="AN28" s="181">
        <f>ROUND(SUM(F257:F268),0)</f>
        <v>1232566</v>
      </c>
      <c r="AO28" s="181">
        <f>ROUND(SUM(G257:G268),0)</f>
        <v>2836060</v>
      </c>
      <c r="AR28" s="549">
        <f>ROUND(SUM(AB257:AB268),0)</f>
        <v>4058106</v>
      </c>
      <c r="AS28" s="86">
        <f t="shared" si="6"/>
        <v>9.3969968114533398E-3</v>
      </c>
      <c r="AT28" s="258"/>
      <c r="AU28" s="50">
        <f>ROUND(AVERAGE(D257:D268),0)</f>
        <v>2733</v>
      </c>
      <c r="BN28" s="4">
        <v>1984</v>
      </c>
      <c r="BO28" s="4">
        <v>12</v>
      </c>
      <c r="BW28" s="89"/>
      <c r="BX28" s="89"/>
      <c r="CG28" s="22">
        <v>2004</v>
      </c>
      <c r="CH28" s="84">
        <f>ROUND(SUM(BP257:BP268),0)</f>
        <v>4128423</v>
      </c>
      <c r="CI28" s="47">
        <f t="shared" ref="CI28:CI33" si="7">(CH28/CH27-1)*100</f>
        <v>3.3672021530624319</v>
      </c>
      <c r="CJ28" s="307">
        <f>ROUND(SUM(BT257:BT268),0)</f>
        <v>4139358</v>
      </c>
      <c r="CK28" s="47">
        <f t="shared" ref="CK28:CK33" si="8">(CJ28/CJ27-1)*100</f>
        <v>3.6409920131479145</v>
      </c>
    </row>
    <row r="29" spans="1:89">
      <c r="A29" s="4">
        <v>1985</v>
      </c>
      <c r="B29" s="4">
        <v>1</v>
      </c>
      <c r="C29" s="4">
        <f>'[2]FPC wSEB'!$F126</f>
        <v>242438</v>
      </c>
      <c r="D29" s="4">
        <f>'[2]FPC wSEB'!$Z126</f>
        <v>2554</v>
      </c>
      <c r="F29" s="4">
        <f>'[2]FPC wSEB'!$G126</f>
        <v>94221</v>
      </c>
      <c r="G29" s="4">
        <f t="shared" si="1"/>
        <v>148217</v>
      </c>
      <c r="Z29" s="6">
        <f t="shared" si="2"/>
        <v>242438</v>
      </c>
      <c r="AA29" s="4">
        <f t="shared" ref="AA29:AA92" si="9">Z29-Z17</f>
        <v>10797</v>
      </c>
      <c r="AB29" s="4">
        <f t="shared" si="3"/>
        <v>242438</v>
      </c>
      <c r="AL29" s="4">
        <v>2005</v>
      </c>
      <c r="AM29" s="181">
        <f>ROUND(SUM(C269:C280),0)</f>
        <v>4139871</v>
      </c>
      <c r="AN29" s="181">
        <f>ROUND(SUM(F269:F280),0)</f>
        <v>1272348</v>
      </c>
      <c r="AO29" s="181">
        <f>ROUND(SUM(G269:G280),0)</f>
        <v>2867523</v>
      </c>
      <c r="AR29" s="549">
        <f>ROUND(SUM(AB269:AB280),0)</f>
        <v>4140147</v>
      </c>
      <c r="AS29" s="86">
        <f t="shared" si="6"/>
        <v>2.0216573938679705E-2</v>
      </c>
      <c r="AT29" s="258"/>
      <c r="AU29" s="50">
        <f>ROUND(AVERAGE(D269:D280),0)</f>
        <v>2703</v>
      </c>
      <c r="BN29" s="4">
        <v>1985</v>
      </c>
      <c r="BO29" s="4">
        <v>1</v>
      </c>
      <c r="CG29" s="22">
        <v>2005</v>
      </c>
      <c r="CH29" s="84">
        <f>ROUND(SUM(BP269:BP280),0)</f>
        <v>4106445</v>
      </c>
      <c r="CI29" s="47">
        <f t="shared" si="7"/>
        <v>-0.53235823945365635</v>
      </c>
      <c r="CJ29" s="84">
        <f>ROUND(SUM(BT269:BT280),0)</f>
        <v>4106445</v>
      </c>
      <c r="CK29" s="47">
        <f t="shared" si="8"/>
        <v>-0.7951233017293946</v>
      </c>
    </row>
    <row r="30" spans="1:89">
      <c r="A30" s="4">
        <v>1985</v>
      </c>
      <c r="B30" s="4">
        <v>2</v>
      </c>
      <c r="C30" s="4">
        <f>'[2]FPC wSEB'!$F127</f>
        <v>265920</v>
      </c>
      <c r="D30" s="4">
        <f>'[2]FPC wSEB'!$Z127</f>
        <v>2536</v>
      </c>
      <c r="F30" s="4">
        <f>'[2]FPC wSEB'!$G127</f>
        <v>121266</v>
      </c>
      <c r="G30" s="4">
        <f t="shared" si="1"/>
        <v>144654</v>
      </c>
      <c r="Z30" s="6">
        <f t="shared" si="2"/>
        <v>265920</v>
      </c>
      <c r="AA30" s="4">
        <f t="shared" si="9"/>
        <v>25085</v>
      </c>
      <c r="AB30" s="4">
        <f t="shared" si="3"/>
        <v>265920</v>
      </c>
      <c r="AL30" s="4">
        <v>2006</v>
      </c>
      <c r="AM30" s="181">
        <f>ROUND(SUM(C281:C292),0)</f>
        <v>4160023</v>
      </c>
      <c r="AN30" s="181">
        <f>ROUND(SUM(F281:F292),0)</f>
        <v>1251477</v>
      </c>
      <c r="AO30" s="181">
        <f>ROUND(SUM(G281:G292),0)</f>
        <v>2908546</v>
      </c>
      <c r="AR30" s="549">
        <f>ROUND(SUM(AB281:AB292),0)</f>
        <v>4142118</v>
      </c>
      <c r="AS30" s="86">
        <f t="shared" si="6"/>
        <v>4.7607005258498702E-4</v>
      </c>
      <c r="AT30" s="258"/>
      <c r="AU30" s="50">
        <f>ROUND(AVERAGE(D281:D292),0)</f>
        <v>2697</v>
      </c>
      <c r="BN30" s="4">
        <v>1985</v>
      </c>
      <c r="BO30" s="4">
        <v>2</v>
      </c>
      <c r="CG30" s="22">
        <v>2006</v>
      </c>
      <c r="CH30" s="84">
        <f>ROUND(SUM(BP281:BP292),0)</f>
        <v>4139508</v>
      </c>
      <c r="CI30" s="47">
        <f t="shared" si="7"/>
        <v>0.80514897922656647</v>
      </c>
      <c r="CJ30" s="84">
        <f>ROUND(SUM(BT281:BT292),0)</f>
        <v>4139508</v>
      </c>
      <c r="CK30" s="47">
        <f t="shared" si="8"/>
        <v>0.80514897922656647</v>
      </c>
    </row>
    <row r="31" spans="1:89">
      <c r="A31" s="4">
        <v>1985</v>
      </c>
      <c r="B31" s="4">
        <v>3</v>
      </c>
      <c r="C31" s="4">
        <f>'[2]FPC wSEB'!$F128</f>
        <v>250296</v>
      </c>
      <c r="D31" s="4">
        <f>'[2]FPC wSEB'!$Z128</f>
        <v>2569</v>
      </c>
      <c r="F31" s="4">
        <f>'[2]FPC wSEB'!$G128</f>
        <v>107034</v>
      </c>
      <c r="G31" s="4">
        <f t="shared" si="1"/>
        <v>143262</v>
      </c>
      <c r="Z31" s="6">
        <f t="shared" si="2"/>
        <v>250296</v>
      </c>
      <c r="AA31" s="4">
        <f t="shared" si="9"/>
        <v>13138</v>
      </c>
      <c r="AB31" s="4">
        <f t="shared" si="3"/>
        <v>250296</v>
      </c>
      <c r="AL31" s="4">
        <v>2007</v>
      </c>
      <c r="AM31" s="181">
        <f>ROUND(SUM(C293:C304),0)</f>
        <v>3819403</v>
      </c>
      <c r="AN31" s="181">
        <f>ROUND(SUM(F293:F304),0)</f>
        <v>1086151</v>
      </c>
      <c r="AO31" s="181">
        <f>ROUND(SUM(G293:G304),0)</f>
        <v>2733252</v>
      </c>
      <c r="AR31" s="549">
        <f>ROUND(SUM(AB293:AB304),0)</f>
        <v>3807483</v>
      </c>
      <c r="AS31" s="86">
        <f t="shared" si="6"/>
        <v>-8.078837927842708E-2</v>
      </c>
      <c r="AU31" s="50">
        <f>ROUND(AVERAGE(D293:D304),0)</f>
        <v>2668</v>
      </c>
      <c r="BN31" s="4">
        <v>1985</v>
      </c>
      <c r="BO31" s="4">
        <v>3</v>
      </c>
      <c r="CG31" s="22">
        <v>2007</v>
      </c>
      <c r="CH31" s="84">
        <f>ROUND(SUM(BP293:BP304),0)</f>
        <v>3831935</v>
      </c>
      <c r="CI31" s="47">
        <f t="shared" si="7"/>
        <v>-7.4301825241067316</v>
      </c>
      <c r="CJ31" s="84">
        <f>ROUND(SUM(BT293:BT304),0)</f>
        <v>3831935</v>
      </c>
      <c r="CK31" s="47">
        <f t="shared" si="8"/>
        <v>-7.4301825241067316</v>
      </c>
    </row>
    <row r="32" spans="1:89">
      <c r="A32" s="4">
        <v>1985</v>
      </c>
      <c r="B32" s="4">
        <v>4</v>
      </c>
      <c r="C32" s="4">
        <f>'[2]FPC wSEB'!$F129</f>
        <v>259270</v>
      </c>
      <c r="D32" s="4">
        <f>'[2]FPC wSEB'!$Z129</f>
        <v>2573</v>
      </c>
      <c r="F32" s="4">
        <f>'[2]FPC wSEB'!$G129</f>
        <v>115506</v>
      </c>
      <c r="G32" s="4">
        <f t="shared" si="1"/>
        <v>143764</v>
      </c>
      <c r="Z32" s="6">
        <f t="shared" si="2"/>
        <v>259270</v>
      </c>
      <c r="AA32" s="4">
        <f t="shared" si="9"/>
        <v>21797</v>
      </c>
      <c r="AB32" s="4">
        <f t="shared" si="3"/>
        <v>259270</v>
      </c>
      <c r="AL32" s="4">
        <v>2008</v>
      </c>
      <c r="AM32" s="181">
        <f>ROUND(SUM(C305:C316),0)</f>
        <v>3786296</v>
      </c>
      <c r="AN32" s="181">
        <f>ROUND(SUM(F305:F316),0)</f>
        <v>1233503</v>
      </c>
      <c r="AO32" s="181">
        <f>ROUND(SUM(G305:G316),0)</f>
        <v>2552793</v>
      </c>
      <c r="AR32" s="549">
        <f>ROUND(SUM(AB305:AB316),0)</f>
        <v>3801436</v>
      </c>
      <c r="AS32" s="86">
        <f t="shared" si="6"/>
        <v>-1.5881883123313179E-3</v>
      </c>
      <c r="AU32" s="50">
        <f>ROUND(AVERAGE(D305:D316),0)</f>
        <v>2587</v>
      </c>
      <c r="BN32" s="4">
        <v>1985</v>
      </c>
      <c r="BO32" s="4">
        <v>4</v>
      </c>
      <c r="CG32" s="22">
        <v>2008</v>
      </c>
      <c r="CH32" s="84">
        <f>ROUND(SUM(BP305:BP316),0)</f>
        <v>3710871</v>
      </c>
      <c r="CI32" s="47">
        <f t="shared" si="7"/>
        <v>-3.1593437780129352</v>
      </c>
      <c r="CJ32" s="84">
        <f>ROUND(SUM(BT305:BT316),0)</f>
        <v>3710871</v>
      </c>
      <c r="CK32" s="47">
        <f t="shared" si="8"/>
        <v>-3.1593437780129352</v>
      </c>
    </row>
    <row r="33" spans="1:89">
      <c r="A33" s="4">
        <v>1985</v>
      </c>
      <c r="B33" s="4">
        <v>5</v>
      </c>
      <c r="C33" s="4">
        <f>'[2]FPC wSEB'!$F130</f>
        <v>267969</v>
      </c>
      <c r="D33" s="4">
        <f>'[2]FPC wSEB'!$Z130</f>
        <v>2589</v>
      </c>
      <c r="F33" s="4">
        <f>'[2]FPC wSEB'!$G130</f>
        <v>118791</v>
      </c>
      <c r="G33" s="4">
        <f t="shared" si="1"/>
        <v>149178</v>
      </c>
      <c r="Z33" s="6">
        <f t="shared" si="2"/>
        <v>267969</v>
      </c>
      <c r="AA33" s="4">
        <f t="shared" si="9"/>
        <v>15847</v>
      </c>
      <c r="AB33" s="4">
        <f t="shared" si="3"/>
        <v>267969</v>
      </c>
      <c r="AL33" s="4">
        <v>2009</v>
      </c>
      <c r="AM33" s="181">
        <f>ROUND(SUM(C317:C328),0)</f>
        <v>3285388</v>
      </c>
      <c r="AN33" s="181">
        <f>ROUND(SUM(F317:F328),0)</f>
        <v>1082467</v>
      </c>
      <c r="AO33" s="181">
        <f>ROUND(SUM(G317:G328),0)</f>
        <v>2202921</v>
      </c>
      <c r="AR33" s="549">
        <f>ROUND(SUM(AB317:AB328),0)</f>
        <v>3286833</v>
      </c>
      <c r="AS33" s="86">
        <f t="shared" ref="AS33" si="10">AR33/AR32-1</f>
        <v>-0.13537068623541204</v>
      </c>
      <c r="AU33" s="50">
        <f>ROUND(AVERAGE(D317:D328),0)</f>
        <v>2487</v>
      </c>
      <c r="BN33" s="4">
        <v>1985</v>
      </c>
      <c r="BO33" s="4">
        <v>5</v>
      </c>
      <c r="CG33" s="22">
        <v>2009</v>
      </c>
      <c r="CH33" s="84">
        <f>ROUND(SUM(BP317:BP328),0)</f>
        <v>3322058</v>
      </c>
      <c r="CI33" s="47">
        <f t="shared" si="7"/>
        <v>-10.47767491782926</v>
      </c>
      <c r="CJ33" s="84">
        <f>ROUND(SUM(BT317:BT328),0)</f>
        <v>3322058</v>
      </c>
      <c r="CK33" s="47">
        <f t="shared" si="8"/>
        <v>-10.47767491782926</v>
      </c>
    </row>
    <row r="34" spans="1:89">
      <c r="A34" s="4">
        <v>1985</v>
      </c>
      <c r="B34" s="4">
        <v>6</v>
      </c>
      <c r="C34" s="4">
        <f>'[2]FPC wSEB'!$F131</f>
        <v>280907</v>
      </c>
      <c r="D34" s="4">
        <f>'[2]FPC wSEB'!$Z131</f>
        <v>2623</v>
      </c>
      <c r="F34" s="4">
        <f>'[2]FPC wSEB'!$G131</f>
        <v>123771</v>
      </c>
      <c r="G34" s="4">
        <f t="shared" si="1"/>
        <v>157136</v>
      </c>
      <c r="Z34" s="6">
        <f t="shared" si="2"/>
        <v>280907</v>
      </c>
      <c r="AA34" s="4">
        <f t="shared" si="9"/>
        <v>32923</v>
      </c>
      <c r="AB34" s="4">
        <f t="shared" si="3"/>
        <v>280907</v>
      </c>
      <c r="AL34" s="4">
        <v>2010</v>
      </c>
      <c r="AM34" s="181">
        <f>ROUND(SUM(C329:C340),0)</f>
        <v>3219344</v>
      </c>
      <c r="AN34" s="181">
        <f>ROUND(SUM(F329:F340),0)</f>
        <v>988599</v>
      </c>
      <c r="AO34" s="181">
        <f>ROUND(SUM(G329:G340),0)</f>
        <v>2230745</v>
      </c>
      <c r="AR34" s="549">
        <f>ROUND(SUM(AB329:AB340),0)</f>
        <v>3230160</v>
      </c>
      <c r="AS34" s="86">
        <f t="shared" ref="AS34" si="11">AR34/AR33-1</f>
        <v>-1.7242433673995583E-2</v>
      </c>
      <c r="AU34" s="50">
        <f>ROUND(AVERAGE(D329:D340),0)</f>
        <v>2481</v>
      </c>
      <c r="BN34" s="4">
        <v>1985</v>
      </c>
      <c r="BO34" s="4">
        <v>6</v>
      </c>
      <c r="CG34" s="22">
        <v>2010</v>
      </c>
      <c r="CH34" s="84">
        <f>ROUND(SUM(BP329:BP340),0)</f>
        <v>3234814</v>
      </c>
      <c r="CI34" s="47">
        <f t="shared" ref="CI34" si="12">(CH34/CH33-1)*100</f>
        <v>-2.6262033956059749</v>
      </c>
      <c r="CJ34" s="84">
        <f>ROUND(SUM(BT329:BT340),0)</f>
        <v>3234814</v>
      </c>
      <c r="CK34" s="47">
        <f t="shared" ref="CK34" si="13">(CJ34/CJ33-1)*100</f>
        <v>-2.6262033956059749</v>
      </c>
    </row>
    <row r="35" spans="1:89">
      <c r="A35" s="4">
        <v>1985</v>
      </c>
      <c r="B35" s="4">
        <v>7</v>
      </c>
      <c r="C35" s="4">
        <f>'[2]FPC wSEB'!$F132</f>
        <v>252541</v>
      </c>
      <c r="D35" s="4">
        <f>'[2]FPC wSEB'!$Z132</f>
        <v>2629</v>
      </c>
      <c r="F35" s="4">
        <f>'[2]FPC wSEB'!$G132</f>
        <v>98809</v>
      </c>
      <c r="G35" s="4">
        <f t="shared" si="1"/>
        <v>153732</v>
      </c>
      <c r="Z35" s="6">
        <f t="shared" si="2"/>
        <v>252541</v>
      </c>
      <c r="AA35" s="4">
        <f t="shared" si="9"/>
        <v>5011</v>
      </c>
      <c r="AB35" s="4">
        <f t="shared" si="3"/>
        <v>252541</v>
      </c>
      <c r="AL35" s="4">
        <v>2011</v>
      </c>
      <c r="AM35" s="181">
        <f>ROUND(SUM(C341:C352),0)</f>
        <v>3242738</v>
      </c>
      <c r="AN35" s="181">
        <f>ROUND(SUM(F341:F352),0)</f>
        <v>1108025</v>
      </c>
      <c r="AO35" s="181">
        <f>ROUND(SUM(G341:G352),0)</f>
        <v>2134713</v>
      </c>
      <c r="AR35" s="549">
        <f>ROUND(SUM(AB341:AB352),0)</f>
        <v>3233294</v>
      </c>
      <c r="AS35" s="86">
        <f t="shared" ref="AS35" si="14">AR35/AR34-1</f>
        <v>9.7023057681355773E-4</v>
      </c>
      <c r="AU35" s="50">
        <f>ROUND(AVERAGE(D341:D352),0)</f>
        <v>2408</v>
      </c>
      <c r="BN35" s="4">
        <v>1985</v>
      </c>
      <c r="BO35" s="4">
        <v>7</v>
      </c>
      <c r="CG35" s="22">
        <v>2011</v>
      </c>
      <c r="CH35" s="84">
        <f>ROUND(SUM(BP341:BP352),0)</f>
        <v>3212844</v>
      </c>
      <c r="CI35" s="47">
        <f t="shared" ref="CI35" si="15">(CH35/CH34-1)*100</f>
        <v>-0.67917351662258874</v>
      </c>
      <c r="CJ35" s="84">
        <f>ROUND(SUM(BT341:BT352),0)</f>
        <v>3212844</v>
      </c>
      <c r="CK35" s="47">
        <f t="shared" ref="CK35" si="16">(CJ35/CJ34-1)*100</f>
        <v>-0.67917351662258874</v>
      </c>
    </row>
    <row r="36" spans="1:89">
      <c r="A36" s="4">
        <v>1985</v>
      </c>
      <c r="B36" s="4">
        <v>8</v>
      </c>
      <c r="C36" s="4">
        <f>'[2]FPC wSEB'!$F133</f>
        <v>275660</v>
      </c>
      <c r="D36" s="4">
        <f>'[2]FPC wSEB'!$Z133</f>
        <v>2644</v>
      </c>
      <c r="F36" s="4">
        <f>'[2]FPC wSEB'!$G133</f>
        <v>122535</v>
      </c>
      <c r="G36" s="4">
        <f t="shared" si="1"/>
        <v>153125</v>
      </c>
      <c r="Z36" s="6">
        <f t="shared" si="2"/>
        <v>275660</v>
      </c>
      <c r="AA36" s="4">
        <f t="shared" si="9"/>
        <v>13107</v>
      </c>
      <c r="AB36" s="4">
        <f t="shared" si="3"/>
        <v>275660</v>
      </c>
      <c r="AL36" s="4">
        <v>2012</v>
      </c>
      <c r="AM36" s="181">
        <f>ROUND(SUM(C353:C364),0)</f>
        <v>3160252</v>
      </c>
      <c r="AN36" s="181">
        <f>ROUND(SUM(F353:F364),0)</f>
        <v>1052718</v>
      </c>
      <c r="AO36" s="181">
        <f>ROUND(SUM(G353:G364),0)</f>
        <v>2107534</v>
      </c>
      <c r="AR36" s="549">
        <f>ROUND(SUM(AB353:AB364),0)</f>
        <v>3151700</v>
      </c>
      <c r="AS36" s="86">
        <f t="shared" ref="AS36" si="17">AR36/AR35-1</f>
        <v>-2.5235564721302839E-2</v>
      </c>
      <c r="AU36" s="50">
        <f>ROUND(AVERAGE(D353:D364),0)</f>
        <v>2372</v>
      </c>
      <c r="BN36" s="4">
        <v>1985</v>
      </c>
      <c r="BO36" s="4">
        <v>8</v>
      </c>
      <c r="CG36" s="22">
        <v>2012</v>
      </c>
      <c r="CH36" s="84">
        <f>ROUND(SUM(BP353:BP364),0)</f>
        <v>3201450</v>
      </c>
      <c r="CI36" s="47">
        <f t="shared" ref="CI36" si="18">(CH36/CH35-1)*100</f>
        <v>-0.35463906744305218</v>
      </c>
      <c r="CJ36" s="84">
        <f>ROUND(SUM(BT353:BT364),0)</f>
        <v>3201450</v>
      </c>
      <c r="CK36" s="47">
        <f t="shared" ref="CK36" si="19">(CJ36/CJ35-1)*100</f>
        <v>-0.35463906744305218</v>
      </c>
    </row>
    <row r="37" spans="1:89">
      <c r="A37" s="4">
        <v>1985</v>
      </c>
      <c r="B37" s="4">
        <v>9</v>
      </c>
      <c r="C37" s="4">
        <f>'[2]FPC wSEB'!$F134</f>
        <v>271488</v>
      </c>
      <c r="D37" s="4">
        <f>'[2]FPC wSEB'!$Z134</f>
        <v>2646</v>
      </c>
      <c r="F37" s="4">
        <f>'[2]FPC wSEB'!$G134</f>
        <v>112761</v>
      </c>
      <c r="G37" s="4">
        <f t="shared" si="1"/>
        <v>158727</v>
      </c>
      <c r="Z37" s="6">
        <f t="shared" si="2"/>
        <v>271488</v>
      </c>
      <c r="AA37" s="4">
        <f t="shared" si="9"/>
        <v>-7572</v>
      </c>
      <c r="AB37" s="4">
        <f t="shared" si="3"/>
        <v>271488</v>
      </c>
      <c r="AL37" s="4">
        <v>2013</v>
      </c>
      <c r="AM37" s="181">
        <f>ROUND(SUM(C365:C376),0)</f>
        <v>3206354</v>
      </c>
      <c r="AN37" s="181">
        <f>ROUND(SUM(F365:F376),0)</f>
        <v>1068873</v>
      </c>
      <c r="AO37" s="181">
        <f>ROUND(SUM(G365:G376),0)</f>
        <v>2137481</v>
      </c>
      <c r="AR37" s="549">
        <f>ROUND(SUM(AB365:AB376),0)</f>
        <v>3242238</v>
      </c>
      <c r="BN37" s="4">
        <v>1985</v>
      </c>
      <c r="BO37" s="4">
        <v>9</v>
      </c>
    </row>
    <row r="38" spans="1:89">
      <c r="A38" s="4">
        <v>1985</v>
      </c>
      <c r="B38" s="4">
        <v>10</v>
      </c>
      <c r="C38" s="4">
        <f>'[2]FPC wSEB'!$F135</f>
        <v>265310</v>
      </c>
      <c r="D38" s="4">
        <f>'[2]FPC wSEB'!$Z135</f>
        <v>2650</v>
      </c>
      <c r="F38" s="4">
        <f>'[2]FPC wSEB'!$G135</f>
        <v>110709</v>
      </c>
      <c r="G38" s="4">
        <f t="shared" si="1"/>
        <v>154601</v>
      </c>
      <c r="Z38" s="6">
        <f t="shared" si="2"/>
        <v>265310</v>
      </c>
      <c r="AA38" s="4">
        <f t="shared" si="9"/>
        <v>8986</v>
      </c>
      <c r="AB38" s="4">
        <f t="shared" si="3"/>
        <v>265310</v>
      </c>
      <c r="BN38" s="4">
        <v>1985</v>
      </c>
      <c r="BO38" s="4">
        <v>10</v>
      </c>
    </row>
    <row r="39" spans="1:89">
      <c r="A39" s="4">
        <v>1985</v>
      </c>
      <c r="B39" s="4">
        <v>11</v>
      </c>
      <c r="C39" s="4">
        <f>'[2]FPC wSEB'!$F136</f>
        <v>269501</v>
      </c>
      <c r="D39" s="4">
        <f>'[2]FPC wSEB'!$Z136</f>
        <v>2653</v>
      </c>
      <c r="F39" s="4">
        <f>'[2]FPC wSEB'!$G136</f>
        <v>113046</v>
      </c>
      <c r="G39" s="4">
        <f t="shared" si="1"/>
        <v>156455</v>
      </c>
      <c r="Z39" s="6">
        <f t="shared" si="2"/>
        <v>269501</v>
      </c>
      <c r="AA39" s="4">
        <f t="shared" si="9"/>
        <v>-993</v>
      </c>
      <c r="AB39" s="4">
        <f t="shared" si="3"/>
        <v>269501</v>
      </c>
      <c r="BN39" s="4">
        <v>1985</v>
      </c>
      <c r="BO39" s="4">
        <v>11</v>
      </c>
    </row>
    <row r="40" spans="1:89">
      <c r="A40" s="4">
        <v>1985</v>
      </c>
      <c r="B40" s="4">
        <v>12</v>
      </c>
      <c r="C40" s="4">
        <f>'[2]FPC wSEB'!$F137</f>
        <v>264711</v>
      </c>
      <c r="D40" s="4">
        <f>'[2]FPC wSEB'!$Z137</f>
        <v>2662</v>
      </c>
      <c r="F40" s="4">
        <f>'[2]FPC wSEB'!$G137</f>
        <v>104840</v>
      </c>
      <c r="G40" s="4">
        <f t="shared" si="1"/>
        <v>159871</v>
      </c>
      <c r="Z40" s="6">
        <f t="shared" si="2"/>
        <v>264711</v>
      </c>
      <c r="AA40" s="4">
        <f t="shared" si="9"/>
        <v>38900</v>
      </c>
      <c r="AB40" s="4">
        <f t="shared" si="3"/>
        <v>264711</v>
      </c>
      <c r="BN40" s="4">
        <v>1985</v>
      </c>
      <c r="BO40" s="4">
        <v>12</v>
      </c>
      <c r="BW40" s="89"/>
      <c r="BX40" s="89"/>
    </row>
    <row r="41" spans="1:89">
      <c r="A41" s="4">
        <v>1986</v>
      </c>
      <c r="B41" s="4">
        <v>1</v>
      </c>
      <c r="C41" s="4">
        <f>'[2]FPC wSEB'!$F138</f>
        <v>252308</v>
      </c>
      <c r="D41" s="4">
        <f>'[2]FPC wSEB'!$Z138</f>
        <v>2666</v>
      </c>
      <c r="F41" s="4">
        <f>'[2]FPC wSEB'!$G138</f>
        <v>87037</v>
      </c>
      <c r="G41" s="4">
        <f t="shared" si="1"/>
        <v>165271</v>
      </c>
      <c r="Z41" s="6">
        <f t="shared" si="2"/>
        <v>252308</v>
      </c>
      <c r="AA41" s="4">
        <f t="shared" si="9"/>
        <v>9870</v>
      </c>
      <c r="AB41" s="4">
        <f t="shared" si="3"/>
        <v>252308</v>
      </c>
      <c r="BN41" s="4">
        <v>1986</v>
      </c>
      <c r="BO41" s="4">
        <v>1</v>
      </c>
    </row>
    <row r="42" spans="1:89">
      <c r="A42" s="4">
        <v>1986</v>
      </c>
      <c r="B42" s="4">
        <v>2</v>
      </c>
      <c r="C42" s="4">
        <f>'[2]FPC wSEB'!$F139</f>
        <v>242178</v>
      </c>
      <c r="D42" s="4">
        <f>'[2]FPC wSEB'!$Z139</f>
        <v>2679</v>
      </c>
      <c r="F42" s="4">
        <f>'[2]FPC wSEB'!$G139</f>
        <v>90674</v>
      </c>
      <c r="G42" s="4">
        <f t="shared" si="1"/>
        <v>151504</v>
      </c>
      <c r="Z42" s="6">
        <f t="shared" si="2"/>
        <v>242178</v>
      </c>
      <c r="AA42" s="4">
        <f t="shared" si="9"/>
        <v>-23742</v>
      </c>
      <c r="AB42" s="4">
        <f t="shared" si="3"/>
        <v>242178</v>
      </c>
      <c r="BN42" s="4">
        <v>1986</v>
      </c>
      <c r="BO42" s="4">
        <v>2</v>
      </c>
    </row>
    <row r="43" spans="1:89">
      <c r="A43" s="4">
        <v>1986</v>
      </c>
      <c r="B43" s="4">
        <v>3</v>
      </c>
      <c r="C43" s="4">
        <f>'[2]FPC wSEB'!$F140</f>
        <v>240969</v>
      </c>
      <c r="D43" s="4">
        <f>'[2]FPC wSEB'!$Z140</f>
        <v>2686</v>
      </c>
      <c r="F43" s="4">
        <f>'[2]FPC wSEB'!$G140</f>
        <v>91617</v>
      </c>
      <c r="G43" s="4">
        <f t="shared" si="1"/>
        <v>149352</v>
      </c>
      <c r="Z43" s="6">
        <f t="shared" si="2"/>
        <v>240969</v>
      </c>
      <c r="AA43" s="4">
        <f t="shared" si="9"/>
        <v>-9327</v>
      </c>
      <c r="AB43" s="4">
        <f t="shared" si="3"/>
        <v>240969</v>
      </c>
      <c r="BN43" s="4">
        <v>1986</v>
      </c>
      <c r="BO43" s="4">
        <v>3</v>
      </c>
    </row>
    <row r="44" spans="1:89">
      <c r="A44" s="4">
        <v>1986</v>
      </c>
      <c r="B44" s="4">
        <v>4</v>
      </c>
      <c r="C44" s="4">
        <f>'[2]FPC wSEB'!$F141</f>
        <v>262981</v>
      </c>
      <c r="D44" s="4">
        <f>'[2]FPC wSEB'!$Z141</f>
        <v>2699</v>
      </c>
      <c r="F44" s="4">
        <f>'[2]FPC wSEB'!$G141</f>
        <v>101478</v>
      </c>
      <c r="G44" s="4">
        <f t="shared" si="1"/>
        <v>161503</v>
      </c>
      <c r="Z44" s="6">
        <f t="shared" si="2"/>
        <v>262981</v>
      </c>
      <c r="AA44" s="4">
        <f t="shared" si="9"/>
        <v>3711</v>
      </c>
      <c r="AB44" s="4">
        <f t="shared" si="3"/>
        <v>262981</v>
      </c>
      <c r="BN44" s="4">
        <v>1986</v>
      </c>
      <c r="BO44" s="4">
        <v>4</v>
      </c>
    </row>
    <row r="45" spans="1:89">
      <c r="A45" s="4">
        <v>1986</v>
      </c>
      <c r="B45" s="4">
        <v>5</v>
      </c>
      <c r="C45" s="4">
        <f>'[2]FPC wSEB'!$F142</f>
        <v>250667</v>
      </c>
      <c r="D45" s="4">
        <f>'[2]FPC wSEB'!$Z142</f>
        <v>2695</v>
      </c>
      <c r="F45" s="4">
        <f>'[2]FPC wSEB'!$G142</f>
        <v>84258</v>
      </c>
      <c r="G45" s="4">
        <f t="shared" si="1"/>
        <v>166409</v>
      </c>
      <c r="Z45" s="6">
        <f t="shared" si="2"/>
        <v>250667</v>
      </c>
      <c r="AA45" s="4">
        <f t="shared" si="9"/>
        <v>-17302</v>
      </c>
      <c r="AB45" s="4">
        <f t="shared" si="3"/>
        <v>250667</v>
      </c>
      <c r="BN45" s="4">
        <v>1986</v>
      </c>
      <c r="BO45" s="4">
        <v>5</v>
      </c>
    </row>
    <row r="46" spans="1:89">
      <c r="A46" s="4">
        <v>1986</v>
      </c>
      <c r="B46" s="4">
        <v>6</v>
      </c>
      <c r="C46" s="4">
        <f>'[2]FPC wSEB'!$F143</f>
        <v>268037</v>
      </c>
      <c r="D46" s="4">
        <f>'[2]FPC wSEB'!$Z143</f>
        <v>2704</v>
      </c>
      <c r="F46" s="4">
        <f>'[2]FPC wSEB'!$G143</f>
        <v>81256</v>
      </c>
      <c r="G46" s="4">
        <f t="shared" si="1"/>
        <v>186781</v>
      </c>
      <c r="Z46" s="6">
        <f t="shared" si="2"/>
        <v>268037</v>
      </c>
      <c r="AA46" s="4">
        <f t="shared" si="9"/>
        <v>-12870</v>
      </c>
      <c r="AB46" s="4">
        <f t="shared" si="3"/>
        <v>268037</v>
      </c>
      <c r="BN46" s="4">
        <v>1986</v>
      </c>
      <c r="BO46" s="4">
        <v>6</v>
      </c>
    </row>
    <row r="47" spans="1:89">
      <c r="A47" s="4">
        <v>1986</v>
      </c>
      <c r="B47" s="4">
        <v>7</v>
      </c>
      <c r="C47" s="4">
        <f>'[2]FPC wSEB'!$F144</f>
        <v>252702</v>
      </c>
      <c r="D47" s="4">
        <f>'[2]FPC wSEB'!$Z144</f>
        <v>2702</v>
      </c>
      <c r="F47" s="4">
        <f>'[2]FPC wSEB'!$G144</f>
        <v>72112</v>
      </c>
      <c r="G47" s="4">
        <f t="shared" si="1"/>
        <v>180590</v>
      </c>
      <c r="Z47" s="6">
        <f t="shared" si="2"/>
        <v>252702</v>
      </c>
      <c r="AA47" s="4">
        <f t="shared" si="9"/>
        <v>161</v>
      </c>
      <c r="AB47" s="4">
        <f t="shared" si="3"/>
        <v>252702</v>
      </c>
      <c r="BN47" s="4">
        <v>1986</v>
      </c>
      <c r="BO47" s="4">
        <v>7</v>
      </c>
    </row>
    <row r="48" spans="1:89">
      <c r="A48" s="4">
        <v>1986</v>
      </c>
      <c r="B48" s="4">
        <v>8</v>
      </c>
      <c r="C48" s="4">
        <f>'[2]FPC wSEB'!$F145</f>
        <v>270135</v>
      </c>
      <c r="D48" s="4">
        <f>'[2]FPC wSEB'!$Z145</f>
        <v>2710</v>
      </c>
      <c r="F48" s="4">
        <f>'[2]FPC wSEB'!$G145</f>
        <v>94235</v>
      </c>
      <c r="G48" s="4">
        <f t="shared" si="1"/>
        <v>175900</v>
      </c>
      <c r="Z48" s="6">
        <f t="shared" si="2"/>
        <v>270135</v>
      </c>
      <c r="AA48" s="4">
        <f t="shared" si="9"/>
        <v>-5525</v>
      </c>
      <c r="AB48" s="4">
        <f t="shared" si="3"/>
        <v>270135</v>
      </c>
      <c r="BN48" s="4">
        <v>1986</v>
      </c>
      <c r="BO48" s="4">
        <v>8</v>
      </c>
    </row>
    <row r="49" spans="1:76">
      <c r="A49" s="4">
        <v>1986</v>
      </c>
      <c r="B49" s="4">
        <v>9</v>
      </c>
      <c r="C49" s="4">
        <f>'[2]FPC wSEB'!$F146</f>
        <v>271514</v>
      </c>
      <c r="D49" s="4">
        <f>'[2]FPC wSEB'!$Z146</f>
        <v>2718</v>
      </c>
      <c r="F49" s="4">
        <f>'[2]FPC wSEB'!$G146</f>
        <v>99511</v>
      </c>
      <c r="G49" s="4">
        <f t="shared" si="1"/>
        <v>172003</v>
      </c>
      <c r="Z49" s="6">
        <f t="shared" si="2"/>
        <v>271514</v>
      </c>
      <c r="AA49" s="4">
        <f t="shared" si="9"/>
        <v>26</v>
      </c>
      <c r="AB49" s="4">
        <f t="shared" si="3"/>
        <v>271514</v>
      </c>
      <c r="BN49" s="4">
        <v>1986</v>
      </c>
      <c r="BO49" s="4">
        <v>9</v>
      </c>
    </row>
    <row r="50" spans="1:76">
      <c r="A50" s="4">
        <v>1986</v>
      </c>
      <c r="B50" s="4">
        <v>10</v>
      </c>
      <c r="C50" s="4">
        <f>'[2]FPC wSEB'!$F147</f>
        <v>267367</v>
      </c>
      <c r="D50" s="4">
        <f>'[2]FPC wSEB'!$Z147</f>
        <v>2715</v>
      </c>
      <c r="F50" s="4">
        <f>'[2]FPC wSEB'!$G147</f>
        <v>97070</v>
      </c>
      <c r="G50" s="4">
        <f t="shared" si="1"/>
        <v>170297</v>
      </c>
      <c r="Z50" s="6">
        <f t="shared" si="2"/>
        <v>267367</v>
      </c>
      <c r="AA50" s="4">
        <f t="shared" si="9"/>
        <v>2057</v>
      </c>
      <c r="AB50" s="4">
        <f t="shared" si="3"/>
        <v>267367</v>
      </c>
      <c r="BN50" s="4">
        <v>1986</v>
      </c>
      <c r="BO50" s="4">
        <v>10</v>
      </c>
    </row>
    <row r="51" spans="1:76">
      <c r="A51" s="4">
        <v>1986</v>
      </c>
      <c r="B51" s="4">
        <v>11</v>
      </c>
      <c r="C51" s="4">
        <f>'[2]FPC wSEB'!$F148</f>
        <v>262550</v>
      </c>
      <c r="D51" s="4">
        <f>'[2]FPC wSEB'!$Z148</f>
        <v>2718</v>
      </c>
      <c r="F51" s="4">
        <f>'[2]FPC wSEB'!$G148</f>
        <v>97334</v>
      </c>
      <c r="G51" s="4">
        <f t="shared" si="1"/>
        <v>165216</v>
      </c>
      <c r="Z51" s="6">
        <f t="shared" si="2"/>
        <v>262550</v>
      </c>
      <c r="AA51" s="4">
        <f t="shared" si="9"/>
        <v>-6951</v>
      </c>
      <c r="AB51" s="4">
        <f t="shared" si="3"/>
        <v>262550</v>
      </c>
      <c r="BN51" s="4">
        <v>1986</v>
      </c>
      <c r="BO51" s="4">
        <v>11</v>
      </c>
    </row>
    <row r="52" spans="1:76">
      <c r="A52" s="4">
        <v>1986</v>
      </c>
      <c r="B52" s="4">
        <v>12</v>
      </c>
      <c r="C52" s="4">
        <f>'[2]FPC wSEB'!$F149</f>
        <v>280900</v>
      </c>
      <c r="D52" s="4">
        <f>'[2]FPC wSEB'!$Z149</f>
        <v>2769</v>
      </c>
      <c r="F52" s="4">
        <f>'[2]FPC wSEB'!$G149</f>
        <v>99831</v>
      </c>
      <c r="G52" s="4">
        <f t="shared" si="1"/>
        <v>181069</v>
      </c>
      <c r="Z52" s="6">
        <f t="shared" si="2"/>
        <v>280900</v>
      </c>
      <c r="AA52" s="4">
        <f t="shared" si="9"/>
        <v>16189</v>
      </c>
      <c r="AB52" s="4">
        <f t="shared" si="3"/>
        <v>280900</v>
      </c>
      <c r="BN52" s="4">
        <v>1986</v>
      </c>
      <c r="BO52" s="4">
        <v>12</v>
      </c>
      <c r="BW52" s="89"/>
      <c r="BX52" s="89"/>
    </row>
    <row r="53" spans="1:76">
      <c r="A53" s="4">
        <v>1987</v>
      </c>
      <c r="B53" s="4">
        <v>1</v>
      </c>
      <c r="C53" s="4">
        <f>'[2]FPC wSEB'!$F150</f>
        <v>245835</v>
      </c>
      <c r="D53" s="4">
        <f>'[2]FPC wSEB'!$Z150</f>
        <v>2816</v>
      </c>
      <c r="F53" s="4">
        <f>'[2]FPC wSEB'!$G150</f>
        <v>82211</v>
      </c>
      <c r="G53" s="4">
        <f t="shared" si="1"/>
        <v>163624</v>
      </c>
      <c r="Z53" s="6">
        <f t="shared" si="2"/>
        <v>245835</v>
      </c>
      <c r="AA53" s="4">
        <f t="shared" si="9"/>
        <v>-6473</v>
      </c>
      <c r="AB53" s="4">
        <f t="shared" si="3"/>
        <v>245835</v>
      </c>
      <c r="BN53" s="4">
        <v>1987</v>
      </c>
      <c r="BO53" s="4">
        <v>1</v>
      </c>
    </row>
    <row r="54" spans="1:76">
      <c r="A54" s="4">
        <v>1987</v>
      </c>
      <c r="B54" s="4">
        <v>2</v>
      </c>
      <c r="C54" s="4">
        <f>'[2]FPC wSEB'!$F151</f>
        <v>252932</v>
      </c>
      <c r="D54" s="4">
        <f>'[2]FPC wSEB'!$Z151</f>
        <v>2854</v>
      </c>
      <c r="F54" s="4">
        <f>'[2]FPC wSEB'!$G151</f>
        <v>90652</v>
      </c>
      <c r="G54" s="4">
        <f t="shared" si="1"/>
        <v>162280</v>
      </c>
      <c r="Z54" s="6">
        <f t="shared" si="2"/>
        <v>252932</v>
      </c>
      <c r="AA54" s="4">
        <f t="shared" si="9"/>
        <v>10754</v>
      </c>
      <c r="AB54" s="4">
        <f t="shared" si="3"/>
        <v>252932</v>
      </c>
      <c r="BN54" s="4">
        <v>1987</v>
      </c>
      <c r="BO54" s="4">
        <v>2</v>
      </c>
    </row>
    <row r="55" spans="1:76">
      <c r="A55" s="4">
        <v>1987</v>
      </c>
      <c r="B55" s="4">
        <v>3</v>
      </c>
      <c r="C55" s="4">
        <f>'[2]FPC wSEB'!$F152</f>
        <v>266785</v>
      </c>
      <c r="D55" s="4">
        <f>'[2]FPC wSEB'!$Z152</f>
        <v>2850</v>
      </c>
      <c r="F55" s="4">
        <f>'[2]FPC wSEB'!$G152</f>
        <v>97693</v>
      </c>
      <c r="G55" s="4">
        <f t="shared" si="1"/>
        <v>169092</v>
      </c>
      <c r="Z55" s="6">
        <f t="shared" si="2"/>
        <v>266785</v>
      </c>
      <c r="AA55" s="4">
        <f t="shared" si="9"/>
        <v>25816</v>
      </c>
      <c r="AB55" s="4">
        <f t="shared" si="3"/>
        <v>266785</v>
      </c>
      <c r="BN55" s="4">
        <v>1987</v>
      </c>
      <c r="BO55" s="4">
        <v>3</v>
      </c>
    </row>
    <row r="56" spans="1:76">
      <c r="A56" s="4">
        <v>1987</v>
      </c>
      <c r="B56" s="4">
        <v>4</v>
      </c>
      <c r="C56" s="4">
        <f>'[2]FPC wSEB'!$F153</f>
        <v>266517</v>
      </c>
      <c r="D56" s="4">
        <f>'[2]FPC wSEB'!$Z153</f>
        <v>2872</v>
      </c>
      <c r="F56" s="4">
        <f>'[2]FPC wSEB'!$G153</f>
        <v>97633</v>
      </c>
      <c r="G56" s="4">
        <f t="shared" si="1"/>
        <v>168884</v>
      </c>
      <c r="Z56" s="6">
        <f t="shared" si="2"/>
        <v>266517</v>
      </c>
      <c r="AA56" s="4">
        <f t="shared" si="9"/>
        <v>3536</v>
      </c>
      <c r="AB56" s="4">
        <f t="shared" si="3"/>
        <v>266517</v>
      </c>
      <c r="BN56" s="4">
        <v>1987</v>
      </c>
      <c r="BO56" s="4">
        <v>4</v>
      </c>
    </row>
    <row r="57" spans="1:76">
      <c r="A57" s="4">
        <v>1987</v>
      </c>
      <c r="B57" s="4">
        <v>5</v>
      </c>
      <c r="C57" s="4">
        <f>'[2]FPC wSEB'!$F154</f>
        <v>281141</v>
      </c>
      <c r="D57" s="4">
        <f>'[2]FPC wSEB'!$Z154</f>
        <v>2873</v>
      </c>
      <c r="F57" s="4">
        <f>'[2]FPC wSEB'!$G154</f>
        <v>98950</v>
      </c>
      <c r="G57" s="4">
        <f t="shared" si="1"/>
        <v>182191</v>
      </c>
      <c r="Z57" s="6">
        <f t="shared" si="2"/>
        <v>281141</v>
      </c>
      <c r="AA57" s="4">
        <f t="shared" si="9"/>
        <v>30474</v>
      </c>
      <c r="AB57" s="4">
        <f t="shared" si="3"/>
        <v>281141</v>
      </c>
      <c r="BN57" s="4">
        <v>1987</v>
      </c>
      <c r="BO57" s="4">
        <v>5</v>
      </c>
    </row>
    <row r="58" spans="1:76">
      <c r="A58" s="4">
        <v>1987</v>
      </c>
      <c r="B58" s="4">
        <v>6</v>
      </c>
      <c r="C58" s="4">
        <f>'[2]FPC wSEB'!$F155</f>
        <v>298527</v>
      </c>
      <c r="D58" s="4">
        <f>'[2]FPC wSEB'!$Z155</f>
        <v>2880</v>
      </c>
      <c r="F58" s="4">
        <f>'[2]FPC wSEB'!$G155</f>
        <v>107356</v>
      </c>
      <c r="G58" s="4">
        <f t="shared" si="1"/>
        <v>191171</v>
      </c>
      <c r="Z58" s="6">
        <f t="shared" si="2"/>
        <v>298527</v>
      </c>
      <c r="AA58" s="4">
        <f t="shared" si="9"/>
        <v>30490</v>
      </c>
      <c r="AB58" s="4">
        <f t="shared" si="3"/>
        <v>298527</v>
      </c>
      <c r="BN58" s="4">
        <v>1987</v>
      </c>
      <c r="BO58" s="4">
        <v>6</v>
      </c>
    </row>
    <row r="59" spans="1:76">
      <c r="A59" s="4">
        <v>1987</v>
      </c>
      <c r="B59" s="4">
        <v>7</v>
      </c>
      <c r="C59" s="4">
        <f>'[2]FPC wSEB'!$F156</f>
        <v>296191</v>
      </c>
      <c r="D59" s="4">
        <f>'[2]FPC wSEB'!$Z156</f>
        <v>2872</v>
      </c>
      <c r="F59" s="4">
        <f>'[2]FPC wSEB'!$G156</f>
        <v>105505</v>
      </c>
      <c r="G59" s="4">
        <f t="shared" si="1"/>
        <v>190686</v>
      </c>
      <c r="Z59" s="6">
        <f t="shared" si="2"/>
        <v>296191</v>
      </c>
      <c r="AA59" s="4">
        <f t="shared" si="9"/>
        <v>43489</v>
      </c>
      <c r="AB59" s="4">
        <f t="shared" si="3"/>
        <v>296191</v>
      </c>
      <c r="BN59" s="4">
        <v>1987</v>
      </c>
      <c r="BO59" s="4">
        <v>7</v>
      </c>
    </row>
    <row r="60" spans="1:76">
      <c r="A60" s="4">
        <v>1987</v>
      </c>
      <c r="B60" s="4">
        <v>8</v>
      </c>
      <c r="C60" s="4">
        <f>'[2]FPC wSEB'!$F157</f>
        <v>281955</v>
      </c>
      <c r="D60" s="4">
        <f>'[2]FPC wSEB'!$Z157</f>
        <v>2880</v>
      </c>
      <c r="F60" s="4">
        <f>'[2]FPC wSEB'!$G157</f>
        <v>95923</v>
      </c>
      <c r="G60" s="4">
        <f t="shared" si="1"/>
        <v>186032</v>
      </c>
      <c r="Z60" s="6">
        <f t="shared" si="2"/>
        <v>281955</v>
      </c>
      <c r="AA60" s="4">
        <f t="shared" si="9"/>
        <v>11820</v>
      </c>
      <c r="AB60" s="4">
        <f t="shared" si="3"/>
        <v>281955</v>
      </c>
      <c r="BN60" s="4">
        <v>1987</v>
      </c>
      <c r="BO60" s="4">
        <v>8</v>
      </c>
    </row>
    <row r="61" spans="1:76">
      <c r="A61" s="4">
        <v>1987</v>
      </c>
      <c r="B61" s="4">
        <v>9</v>
      </c>
      <c r="C61" s="4">
        <f>'[2]FPC wSEB'!$F158</f>
        <v>306500</v>
      </c>
      <c r="D61" s="4">
        <f>'[2]FPC wSEB'!$Z158</f>
        <v>2881</v>
      </c>
      <c r="F61" s="4">
        <f>'[2]FPC wSEB'!$G158</f>
        <v>116222</v>
      </c>
      <c r="G61" s="4">
        <f t="shared" si="1"/>
        <v>190278</v>
      </c>
      <c r="Z61" s="6">
        <f t="shared" si="2"/>
        <v>306500</v>
      </c>
      <c r="AA61" s="4">
        <f t="shared" si="9"/>
        <v>34986</v>
      </c>
      <c r="AB61" s="4">
        <f t="shared" si="3"/>
        <v>306500</v>
      </c>
      <c r="BN61" s="4">
        <v>1987</v>
      </c>
      <c r="BO61" s="4">
        <v>9</v>
      </c>
    </row>
    <row r="62" spans="1:76">
      <c r="A62" s="4">
        <v>1987</v>
      </c>
      <c r="B62" s="4">
        <v>10</v>
      </c>
      <c r="C62" s="4">
        <f>'[2]FPC wSEB'!$F159</f>
        <v>286152</v>
      </c>
      <c r="D62" s="4">
        <f>'[2]FPC wSEB'!$Z159</f>
        <v>2890</v>
      </c>
      <c r="F62" s="4">
        <f>'[2]FPC wSEB'!$G159</f>
        <v>103543</v>
      </c>
      <c r="G62" s="4">
        <f t="shared" si="1"/>
        <v>182609</v>
      </c>
      <c r="Z62" s="6">
        <f t="shared" si="2"/>
        <v>286152</v>
      </c>
      <c r="AA62" s="4">
        <f t="shared" si="9"/>
        <v>18785</v>
      </c>
      <c r="AB62" s="4">
        <f t="shared" si="3"/>
        <v>286152</v>
      </c>
      <c r="BN62" s="4">
        <v>1987</v>
      </c>
      <c r="BO62" s="4">
        <v>10</v>
      </c>
    </row>
    <row r="63" spans="1:76">
      <c r="A63" s="4">
        <v>1987</v>
      </c>
      <c r="B63" s="4">
        <v>11</v>
      </c>
      <c r="C63" s="4">
        <f>'[2]FPC wSEB'!$F160</f>
        <v>290450</v>
      </c>
      <c r="D63" s="4">
        <f>'[2]FPC wSEB'!$Z160</f>
        <v>2901</v>
      </c>
      <c r="F63" s="4">
        <f>'[2]FPC wSEB'!$G160</f>
        <v>111571</v>
      </c>
      <c r="G63" s="4">
        <f t="shared" si="1"/>
        <v>178879</v>
      </c>
      <c r="Z63" s="6">
        <f t="shared" si="2"/>
        <v>290450</v>
      </c>
      <c r="AA63" s="4">
        <f t="shared" si="9"/>
        <v>27900</v>
      </c>
      <c r="AB63" s="4">
        <f t="shared" si="3"/>
        <v>290450</v>
      </c>
      <c r="BN63" s="4">
        <v>1987</v>
      </c>
      <c r="BO63" s="4">
        <v>11</v>
      </c>
    </row>
    <row r="64" spans="1:76">
      <c r="A64" s="4">
        <v>1987</v>
      </c>
      <c r="B64" s="4">
        <v>12</v>
      </c>
      <c r="C64" s="4">
        <f>'[2]FPC wSEB'!$F161</f>
        <v>276380</v>
      </c>
      <c r="D64" s="4">
        <f>'[2]FPC wSEB'!$Z161</f>
        <v>2951</v>
      </c>
      <c r="F64" s="4">
        <f>'[2]FPC wSEB'!$G161</f>
        <v>104516</v>
      </c>
      <c r="G64" s="4">
        <f t="shared" si="1"/>
        <v>171864</v>
      </c>
      <c r="Z64" s="6">
        <f t="shared" si="2"/>
        <v>276380</v>
      </c>
      <c r="AA64" s="4">
        <f t="shared" si="9"/>
        <v>-4520</v>
      </c>
      <c r="AB64" s="4">
        <f t="shared" si="3"/>
        <v>276380</v>
      </c>
      <c r="BN64" s="4">
        <v>1987</v>
      </c>
      <c r="BO64" s="4">
        <v>12</v>
      </c>
      <c r="BW64" s="89"/>
      <c r="BX64" s="89"/>
    </row>
    <row r="65" spans="1:76">
      <c r="A65" s="4">
        <v>1988</v>
      </c>
      <c r="B65" s="4">
        <v>1</v>
      </c>
      <c r="C65" s="4">
        <f>'[2]FPC wSEB'!$F162</f>
        <v>292668</v>
      </c>
      <c r="D65" s="4">
        <f>'[2]FPC wSEB'!$Z162</f>
        <v>2909</v>
      </c>
      <c r="F65" s="4">
        <f>'[2]FPC wSEB'!$G162</f>
        <v>115165</v>
      </c>
      <c r="G65" s="4">
        <f t="shared" si="1"/>
        <v>177503</v>
      </c>
      <c r="Z65" s="6">
        <f t="shared" si="2"/>
        <v>292668</v>
      </c>
      <c r="AA65" s="4">
        <f t="shared" si="9"/>
        <v>46833</v>
      </c>
      <c r="AB65" s="4">
        <f t="shared" si="3"/>
        <v>292668</v>
      </c>
      <c r="BN65" s="4">
        <v>1988</v>
      </c>
      <c r="BO65" s="4">
        <v>1</v>
      </c>
    </row>
    <row r="66" spans="1:76">
      <c r="A66" s="4">
        <v>1988</v>
      </c>
      <c r="B66" s="4">
        <v>2</v>
      </c>
      <c r="C66" s="4">
        <f>'[2]FPC wSEB'!$F163</f>
        <v>286878</v>
      </c>
      <c r="D66" s="4">
        <f>'[2]FPC wSEB'!$Z163</f>
        <v>2916</v>
      </c>
      <c r="F66" s="4">
        <f>'[2]FPC wSEB'!$G163</f>
        <v>110079</v>
      </c>
      <c r="G66" s="4">
        <f t="shared" si="1"/>
        <v>176799</v>
      </c>
      <c r="Z66" s="6">
        <f t="shared" si="2"/>
        <v>286878</v>
      </c>
      <c r="AA66" s="4">
        <f t="shared" si="9"/>
        <v>33946</v>
      </c>
      <c r="AB66" s="4">
        <f t="shared" si="3"/>
        <v>286878</v>
      </c>
      <c r="BN66" s="4">
        <v>1988</v>
      </c>
      <c r="BO66" s="4">
        <v>2</v>
      </c>
    </row>
    <row r="67" spans="1:76">
      <c r="A67" s="4">
        <v>1988</v>
      </c>
      <c r="B67" s="4">
        <v>3</v>
      </c>
      <c r="C67" s="4">
        <f>'[2]FPC wSEB'!$F164</f>
        <v>294911</v>
      </c>
      <c r="D67" s="4">
        <f>'[2]FPC wSEB'!$Z164</f>
        <v>2938</v>
      </c>
      <c r="F67" s="4">
        <f>'[2]FPC wSEB'!$G164</f>
        <v>118171</v>
      </c>
      <c r="G67" s="4">
        <f t="shared" si="1"/>
        <v>176740</v>
      </c>
      <c r="Z67" s="6">
        <f t="shared" si="2"/>
        <v>294911</v>
      </c>
      <c r="AA67" s="4">
        <f t="shared" si="9"/>
        <v>28126</v>
      </c>
      <c r="AB67" s="4">
        <f t="shared" si="3"/>
        <v>294911</v>
      </c>
      <c r="BN67" s="4">
        <v>1988</v>
      </c>
      <c r="BO67" s="4">
        <v>3</v>
      </c>
    </row>
    <row r="68" spans="1:76">
      <c r="A68" s="4">
        <v>1988</v>
      </c>
      <c r="B68" s="4">
        <v>4</v>
      </c>
      <c r="C68" s="4">
        <f>'[2]FPC wSEB'!$F165</f>
        <v>305159</v>
      </c>
      <c r="D68" s="4">
        <f>'[2]FPC wSEB'!$Z165</f>
        <v>2931</v>
      </c>
      <c r="F68" s="4">
        <f>'[2]FPC wSEB'!$G165</f>
        <v>117563</v>
      </c>
      <c r="G68" s="4">
        <f t="shared" si="1"/>
        <v>187596</v>
      </c>
      <c r="Z68" s="6">
        <f t="shared" si="2"/>
        <v>305159</v>
      </c>
      <c r="AA68" s="4">
        <f t="shared" si="9"/>
        <v>38642</v>
      </c>
      <c r="AB68" s="4">
        <f t="shared" si="3"/>
        <v>305159</v>
      </c>
      <c r="BN68" s="4">
        <v>1988</v>
      </c>
      <c r="BO68" s="4">
        <v>4</v>
      </c>
    </row>
    <row r="69" spans="1:76">
      <c r="A69" s="4">
        <v>1988</v>
      </c>
      <c r="B69" s="4">
        <v>5</v>
      </c>
      <c r="C69" s="4">
        <f>'[2]FPC wSEB'!$F166</f>
        <v>299260</v>
      </c>
      <c r="D69" s="4">
        <f>'[2]FPC wSEB'!$Z166</f>
        <v>2949</v>
      </c>
      <c r="F69" s="4">
        <f>'[2]FPC wSEB'!$G166</f>
        <v>107183</v>
      </c>
      <c r="G69" s="4">
        <f t="shared" si="1"/>
        <v>192077</v>
      </c>
      <c r="Z69" s="6">
        <f t="shared" si="2"/>
        <v>299260</v>
      </c>
      <c r="AA69" s="4">
        <f t="shared" si="9"/>
        <v>18119</v>
      </c>
      <c r="AB69" s="4">
        <f t="shared" si="3"/>
        <v>299260</v>
      </c>
      <c r="BN69" s="4">
        <v>1988</v>
      </c>
      <c r="BO69" s="4">
        <v>5</v>
      </c>
    </row>
    <row r="70" spans="1:76">
      <c r="A70" s="4">
        <v>1988</v>
      </c>
      <c r="B70" s="4">
        <v>6</v>
      </c>
      <c r="C70" s="4">
        <f>'[2]FPC wSEB'!$F167</f>
        <v>311412</v>
      </c>
      <c r="D70" s="4">
        <f>'[2]FPC wSEB'!$Z167</f>
        <v>2935</v>
      </c>
      <c r="F70" s="4">
        <f>'[2]FPC wSEB'!$G167</f>
        <v>109934</v>
      </c>
      <c r="G70" s="4">
        <f t="shared" si="1"/>
        <v>201478</v>
      </c>
      <c r="Z70" s="6">
        <f t="shared" si="2"/>
        <v>311412</v>
      </c>
      <c r="AA70" s="4">
        <f t="shared" si="9"/>
        <v>12885</v>
      </c>
      <c r="AB70" s="4">
        <f t="shared" si="3"/>
        <v>311412</v>
      </c>
      <c r="BN70" s="4">
        <v>1988</v>
      </c>
      <c r="BO70" s="4">
        <v>6</v>
      </c>
    </row>
    <row r="71" spans="1:76">
      <c r="A71" s="4">
        <v>1988</v>
      </c>
      <c r="B71" s="4">
        <v>7</v>
      </c>
      <c r="C71" s="4">
        <f>'[2]FPC wSEB'!$F168</f>
        <v>317191</v>
      </c>
      <c r="D71" s="4">
        <f>'[2]FPC wSEB'!$Z168</f>
        <v>2914</v>
      </c>
      <c r="F71" s="4">
        <f>'[2]FPC wSEB'!$G168</f>
        <v>115105</v>
      </c>
      <c r="G71" s="4">
        <f t="shared" si="1"/>
        <v>202086</v>
      </c>
      <c r="Z71" s="6">
        <f t="shared" si="2"/>
        <v>317191</v>
      </c>
      <c r="AA71" s="4">
        <f t="shared" si="9"/>
        <v>21000</v>
      </c>
      <c r="AB71" s="4">
        <f t="shared" si="3"/>
        <v>317191</v>
      </c>
      <c r="BN71" s="4">
        <v>1988</v>
      </c>
      <c r="BO71" s="4">
        <v>7</v>
      </c>
    </row>
    <row r="72" spans="1:76">
      <c r="A72" s="4">
        <v>1988</v>
      </c>
      <c r="B72" s="4">
        <v>8</v>
      </c>
      <c r="C72" s="4">
        <f>'[2]FPC wSEB'!$F169</f>
        <v>305114</v>
      </c>
      <c r="D72" s="4">
        <f>'[2]FPC wSEB'!$Z169</f>
        <v>2929</v>
      </c>
      <c r="F72" s="4">
        <f>'[2]FPC wSEB'!$G169</f>
        <v>113475</v>
      </c>
      <c r="G72" s="4">
        <f t="shared" si="1"/>
        <v>191639</v>
      </c>
      <c r="Z72" s="6">
        <f t="shared" si="2"/>
        <v>305114</v>
      </c>
      <c r="AA72" s="4">
        <f t="shared" si="9"/>
        <v>23159</v>
      </c>
      <c r="AB72" s="4">
        <f t="shared" si="3"/>
        <v>305114</v>
      </c>
      <c r="BN72" s="4">
        <v>1988</v>
      </c>
      <c r="BO72" s="4">
        <v>8</v>
      </c>
    </row>
    <row r="73" spans="1:76">
      <c r="A73" s="4">
        <v>1988</v>
      </c>
      <c r="B73" s="4">
        <v>9</v>
      </c>
      <c r="C73" s="4">
        <f>'[2]FPC wSEB'!$F170</f>
        <v>321431</v>
      </c>
      <c r="D73" s="4">
        <f>'[2]FPC wSEB'!$Z170</f>
        <v>2961</v>
      </c>
      <c r="F73" s="4">
        <f>'[2]FPC wSEB'!$G170</f>
        <v>116818</v>
      </c>
      <c r="G73" s="4">
        <f t="shared" si="1"/>
        <v>204613</v>
      </c>
      <c r="Z73" s="6">
        <f t="shared" si="2"/>
        <v>321431</v>
      </c>
      <c r="AA73" s="4">
        <f t="shared" si="9"/>
        <v>14931</v>
      </c>
      <c r="AB73" s="4">
        <f t="shared" si="3"/>
        <v>321431</v>
      </c>
      <c r="BN73" s="4">
        <v>1988</v>
      </c>
      <c r="BO73" s="4">
        <v>9</v>
      </c>
    </row>
    <row r="74" spans="1:76">
      <c r="A74" s="4">
        <v>1988</v>
      </c>
      <c r="B74" s="4">
        <v>10</v>
      </c>
      <c r="C74" s="4">
        <f>'[2]FPC wSEB'!$F171</f>
        <v>332640</v>
      </c>
      <c r="D74" s="4">
        <f>'[2]FPC wSEB'!$Z171</f>
        <v>2966</v>
      </c>
      <c r="F74" s="4">
        <f>'[2]FPC wSEB'!$G171</f>
        <v>125687</v>
      </c>
      <c r="G74" s="4">
        <f t="shared" si="1"/>
        <v>206953</v>
      </c>
      <c r="Z74" s="6">
        <f t="shared" si="2"/>
        <v>332640</v>
      </c>
      <c r="AA74" s="4">
        <f t="shared" si="9"/>
        <v>46488</v>
      </c>
      <c r="AB74" s="4">
        <f t="shared" si="3"/>
        <v>332640</v>
      </c>
      <c r="BN74" s="4">
        <v>1988</v>
      </c>
      <c r="BO74" s="4">
        <v>10</v>
      </c>
    </row>
    <row r="75" spans="1:76">
      <c r="A75" s="4">
        <v>1988</v>
      </c>
      <c r="B75" s="4">
        <v>11</v>
      </c>
      <c r="C75" s="4">
        <f>'[2]FPC wSEB'!$F172</f>
        <v>305827</v>
      </c>
      <c r="D75" s="4">
        <f>'[2]FPC wSEB'!$Z172</f>
        <v>2971</v>
      </c>
      <c r="F75" s="4">
        <f>'[2]FPC wSEB'!$G172</f>
        <v>119567</v>
      </c>
      <c r="G75" s="4">
        <f t="shared" si="1"/>
        <v>186260</v>
      </c>
      <c r="Z75" s="6">
        <f t="shared" si="2"/>
        <v>305827</v>
      </c>
      <c r="AA75" s="4">
        <f t="shared" si="9"/>
        <v>15377</v>
      </c>
      <c r="AB75" s="4">
        <f t="shared" si="3"/>
        <v>305827</v>
      </c>
      <c r="BN75" s="4">
        <v>1988</v>
      </c>
      <c r="BO75" s="4">
        <v>11</v>
      </c>
    </row>
    <row r="76" spans="1:76">
      <c r="A76" s="4">
        <v>1988</v>
      </c>
      <c r="B76" s="4">
        <v>12</v>
      </c>
      <c r="C76" s="4">
        <f>'[2]FPC wSEB'!$F173</f>
        <v>308127</v>
      </c>
      <c r="D76" s="4">
        <f>'[2]FPC wSEB'!$Z173</f>
        <v>2989</v>
      </c>
      <c r="F76" s="4">
        <f>'[2]FPC wSEB'!$G173</f>
        <v>122203</v>
      </c>
      <c r="G76" s="4">
        <f t="shared" si="1"/>
        <v>185924</v>
      </c>
      <c r="Z76" s="6">
        <f t="shared" si="2"/>
        <v>308127</v>
      </c>
      <c r="AA76" s="4">
        <f t="shared" si="9"/>
        <v>31747</v>
      </c>
      <c r="AB76" s="4">
        <f t="shared" si="3"/>
        <v>308127</v>
      </c>
      <c r="BN76" s="4">
        <v>1988</v>
      </c>
      <c r="BO76" s="4">
        <v>12</v>
      </c>
      <c r="BW76" s="89"/>
      <c r="BX76" s="89"/>
    </row>
    <row r="77" spans="1:76">
      <c r="A77" s="4">
        <v>1989</v>
      </c>
      <c r="B77" s="4">
        <v>1</v>
      </c>
      <c r="C77" s="4">
        <f>'[2]FPC wSEB'!$F174</f>
        <v>300099</v>
      </c>
      <c r="D77" s="4">
        <f>'[2]FPC wSEB'!$Z174</f>
        <v>2977</v>
      </c>
      <c r="F77" s="4">
        <f>'[2]FPC wSEB'!$G174</f>
        <v>119362</v>
      </c>
      <c r="G77" s="4">
        <f t="shared" si="1"/>
        <v>180737</v>
      </c>
      <c r="Z77" s="6">
        <f t="shared" si="2"/>
        <v>300099</v>
      </c>
      <c r="AA77" s="4">
        <f t="shared" si="9"/>
        <v>7431</v>
      </c>
      <c r="AB77" s="4">
        <f t="shared" si="3"/>
        <v>300099</v>
      </c>
      <c r="BN77" s="4">
        <v>1989</v>
      </c>
      <c r="BO77" s="4">
        <v>1</v>
      </c>
    </row>
    <row r="78" spans="1:76">
      <c r="A78" s="4">
        <v>1989</v>
      </c>
      <c r="B78" s="4">
        <v>2</v>
      </c>
      <c r="C78" s="4">
        <f>'[2]FPC wSEB'!$F175</f>
        <v>307987</v>
      </c>
      <c r="D78" s="4">
        <f>'[2]FPC wSEB'!$Z175</f>
        <v>2983</v>
      </c>
      <c r="F78" s="4">
        <f>'[2]FPC wSEB'!$G175</f>
        <v>120396</v>
      </c>
      <c r="G78" s="4">
        <f t="shared" si="1"/>
        <v>187591</v>
      </c>
      <c r="Z78" s="6">
        <f t="shared" si="2"/>
        <v>307987</v>
      </c>
      <c r="AA78" s="4">
        <f t="shared" si="9"/>
        <v>21109</v>
      </c>
      <c r="AB78" s="4">
        <f t="shared" si="3"/>
        <v>307987</v>
      </c>
      <c r="BN78" s="4">
        <v>1989</v>
      </c>
      <c r="BO78" s="4">
        <v>2</v>
      </c>
    </row>
    <row r="79" spans="1:76">
      <c r="A79" s="4">
        <v>1989</v>
      </c>
      <c r="B79" s="4">
        <v>3</v>
      </c>
      <c r="C79" s="4">
        <f>'[2]FPC wSEB'!$F176</f>
        <v>294577</v>
      </c>
      <c r="D79" s="4">
        <f>'[2]FPC wSEB'!$Z176</f>
        <v>2990</v>
      </c>
      <c r="F79" s="4">
        <f>'[2]FPC wSEB'!$G176</f>
        <v>111834</v>
      </c>
      <c r="G79" s="4">
        <f t="shared" si="1"/>
        <v>182743</v>
      </c>
      <c r="Z79" s="6">
        <f t="shared" si="2"/>
        <v>294577</v>
      </c>
      <c r="AA79" s="4">
        <f t="shared" si="9"/>
        <v>-334</v>
      </c>
      <c r="AB79" s="4">
        <f t="shared" si="3"/>
        <v>294577</v>
      </c>
      <c r="BN79" s="4">
        <v>1989</v>
      </c>
      <c r="BO79" s="4">
        <v>3</v>
      </c>
    </row>
    <row r="80" spans="1:76">
      <c r="A80" s="4">
        <v>1989</v>
      </c>
      <c r="B80" s="4">
        <v>4</v>
      </c>
      <c r="C80" s="4">
        <f>'[2]FPC wSEB'!$F177</f>
        <v>334170</v>
      </c>
      <c r="D80" s="4">
        <f>'[2]FPC wSEB'!$Z177</f>
        <v>2997</v>
      </c>
      <c r="F80" s="4">
        <f>'[2]FPC wSEB'!$G177</f>
        <v>127370</v>
      </c>
      <c r="G80" s="4">
        <f t="shared" si="1"/>
        <v>206800</v>
      </c>
      <c r="Z80" s="6">
        <f t="shared" si="2"/>
        <v>334170</v>
      </c>
      <c r="AA80" s="4">
        <f t="shared" si="9"/>
        <v>29011</v>
      </c>
      <c r="AB80" s="4">
        <f t="shared" si="3"/>
        <v>334170</v>
      </c>
      <c r="BN80" s="4">
        <v>1989</v>
      </c>
      <c r="BO80" s="4">
        <v>4</v>
      </c>
    </row>
    <row r="81" spans="1:76">
      <c r="A81" s="4">
        <v>1989</v>
      </c>
      <c r="B81" s="4">
        <v>5</v>
      </c>
      <c r="C81" s="4">
        <f>'[2]FPC wSEB'!$F178</f>
        <v>306974</v>
      </c>
      <c r="D81" s="4">
        <f>'[2]FPC wSEB'!$Z178</f>
        <v>2993</v>
      </c>
      <c r="F81" s="4">
        <f>'[2]FPC wSEB'!$G178</f>
        <v>107069</v>
      </c>
      <c r="G81" s="4">
        <f t="shared" si="1"/>
        <v>199905</v>
      </c>
      <c r="Z81" s="6">
        <f t="shared" si="2"/>
        <v>306974</v>
      </c>
      <c r="AA81" s="4">
        <f t="shared" si="9"/>
        <v>7714</v>
      </c>
      <c r="AB81" s="4">
        <f t="shared" si="3"/>
        <v>306974</v>
      </c>
      <c r="BN81" s="4">
        <v>1989</v>
      </c>
      <c r="BO81" s="4">
        <v>5</v>
      </c>
    </row>
    <row r="82" spans="1:76">
      <c r="A82" s="4">
        <v>1989</v>
      </c>
      <c r="B82" s="4">
        <v>6</v>
      </c>
      <c r="C82" s="4">
        <f>'[2]FPC wSEB'!$F179</f>
        <v>336529</v>
      </c>
      <c r="D82" s="4">
        <f>'[2]FPC wSEB'!$Z179</f>
        <v>3006</v>
      </c>
      <c r="F82" s="4">
        <f>'[2]FPC wSEB'!$G179</f>
        <v>121182</v>
      </c>
      <c r="G82" s="4">
        <f t="shared" ref="G82:G145" si="20">C82-F82</f>
        <v>215347</v>
      </c>
      <c r="Z82" s="6">
        <f t="shared" ref="Z82:Z145" si="21">C82</f>
        <v>336529</v>
      </c>
      <c r="AA82" s="4">
        <f t="shared" si="9"/>
        <v>25117</v>
      </c>
      <c r="AB82" s="4">
        <f t="shared" ref="AB82:AB145" si="22">Z82</f>
        <v>336529</v>
      </c>
      <c r="BN82" s="4">
        <v>1989</v>
      </c>
      <c r="BO82" s="4">
        <v>6</v>
      </c>
    </row>
    <row r="83" spans="1:76">
      <c r="A83" s="4">
        <v>1989</v>
      </c>
      <c r="B83" s="4">
        <v>7</v>
      </c>
      <c r="C83" s="4">
        <f>'[2]FPC wSEB'!$F180</f>
        <v>327885</v>
      </c>
      <c r="D83" s="4">
        <f>'[2]FPC wSEB'!$Z180</f>
        <v>3040</v>
      </c>
      <c r="F83" s="4">
        <f>'[2]FPC wSEB'!$G180</f>
        <v>115073</v>
      </c>
      <c r="G83" s="4">
        <f t="shared" si="20"/>
        <v>212812</v>
      </c>
      <c r="Z83" s="6">
        <f t="shared" si="21"/>
        <v>327885</v>
      </c>
      <c r="AA83" s="4">
        <f t="shared" si="9"/>
        <v>10694</v>
      </c>
      <c r="AB83" s="4">
        <f t="shared" si="22"/>
        <v>327885</v>
      </c>
      <c r="BN83" s="4">
        <v>1989</v>
      </c>
      <c r="BO83" s="4">
        <v>7</v>
      </c>
    </row>
    <row r="84" spans="1:76">
      <c r="A84" s="4">
        <v>1989</v>
      </c>
      <c r="B84" s="4">
        <v>8</v>
      </c>
      <c r="C84" s="4">
        <f>'[2]FPC wSEB'!$F181</f>
        <v>322477</v>
      </c>
      <c r="D84" s="4">
        <f>'[2]FPC wSEB'!$Z181</f>
        <v>3039</v>
      </c>
      <c r="F84" s="4">
        <f>'[2]FPC wSEB'!$G181</f>
        <v>117418</v>
      </c>
      <c r="G84" s="4">
        <f t="shared" si="20"/>
        <v>205059</v>
      </c>
      <c r="Z84" s="6">
        <f t="shared" si="21"/>
        <v>322477</v>
      </c>
      <c r="AA84" s="4">
        <f t="shared" si="9"/>
        <v>17363</v>
      </c>
      <c r="AB84" s="4">
        <f t="shared" si="22"/>
        <v>322477</v>
      </c>
      <c r="BN84" s="4">
        <v>1989</v>
      </c>
      <c r="BO84" s="4">
        <v>8</v>
      </c>
    </row>
    <row r="85" spans="1:76">
      <c r="A85" s="4">
        <v>1989</v>
      </c>
      <c r="B85" s="4">
        <v>9</v>
      </c>
      <c r="C85" s="4">
        <f>'[2]FPC wSEB'!$F182</f>
        <v>326407</v>
      </c>
      <c r="D85" s="4">
        <f>'[2]FPC wSEB'!$Z182</f>
        <v>3047</v>
      </c>
      <c r="F85" s="4">
        <f>'[2]FPC wSEB'!$G182</f>
        <v>106464</v>
      </c>
      <c r="G85" s="4">
        <f t="shared" si="20"/>
        <v>219943</v>
      </c>
      <c r="Z85" s="6">
        <f t="shared" si="21"/>
        <v>326407</v>
      </c>
      <c r="AA85" s="4">
        <f t="shared" si="9"/>
        <v>4976</v>
      </c>
      <c r="AB85" s="4">
        <f t="shared" si="22"/>
        <v>326407</v>
      </c>
      <c r="BN85" s="4">
        <v>1989</v>
      </c>
      <c r="BO85" s="4">
        <v>9</v>
      </c>
    </row>
    <row r="86" spans="1:76">
      <c r="A86" s="4">
        <v>1989</v>
      </c>
      <c r="B86" s="4">
        <v>10</v>
      </c>
      <c r="C86" s="4">
        <f>'[2]FPC wSEB'!$F183</f>
        <v>305246</v>
      </c>
      <c r="D86" s="4">
        <f>'[2]FPC wSEB'!$Z183</f>
        <v>3060</v>
      </c>
      <c r="F86" s="4">
        <f>'[2]FPC wSEB'!$G183</f>
        <v>104298</v>
      </c>
      <c r="G86" s="4">
        <f t="shared" si="20"/>
        <v>200948</v>
      </c>
      <c r="Z86" s="6">
        <f t="shared" si="21"/>
        <v>305246</v>
      </c>
      <c r="AA86" s="4">
        <f t="shared" si="9"/>
        <v>-27394</v>
      </c>
      <c r="AB86" s="4">
        <f t="shared" si="22"/>
        <v>305246</v>
      </c>
      <c r="BN86" s="4">
        <v>1989</v>
      </c>
      <c r="BO86" s="4">
        <v>10</v>
      </c>
    </row>
    <row r="87" spans="1:76">
      <c r="A87" s="4">
        <v>1989</v>
      </c>
      <c r="B87" s="4">
        <v>11</v>
      </c>
      <c r="C87" s="4">
        <f>'[2]FPC wSEB'!$F184</f>
        <v>307127</v>
      </c>
      <c r="D87" s="4">
        <f>'[2]FPC wSEB'!$Z184</f>
        <v>3055</v>
      </c>
      <c r="F87" s="4">
        <f>'[2]FPC wSEB'!$G184</f>
        <v>107559</v>
      </c>
      <c r="G87" s="4">
        <f t="shared" si="20"/>
        <v>199568</v>
      </c>
      <c r="Z87" s="6">
        <f t="shared" si="21"/>
        <v>307127</v>
      </c>
      <c r="AA87" s="4">
        <f t="shared" si="9"/>
        <v>1300</v>
      </c>
      <c r="AB87" s="4">
        <f t="shared" si="22"/>
        <v>307127</v>
      </c>
      <c r="BN87" s="4">
        <v>1989</v>
      </c>
      <c r="BO87" s="4">
        <v>11</v>
      </c>
    </row>
    <row r="88" spans="1:76">
      <c r="A88" s="85">
        <v>1989</v>
      </c>
      <c r="B88" s="85">
        <v>12</v>
      </c>
      <c r="C88" s="4">
        <f>'[2]FPC wSEB'!$F185</f>
        <v>296650</v>
      </c>
      <c r="D88" s="4">
        <f>'[2]FPC wSEB'!$Z185</f>
        <v>3060</v>
      </c>
      <c r="F88" s="4">
        <f>'[2]FPC wSEB'!$G185</f>
        <v>106509</v>
      </c>
      <c r="G88" s="4">
        <f t="shared" si="20"/>
        <v>190141</v>
      </c>
      <c r="Z88" s="6">
        <f t="shared" si="21"/>
        <v>296650</v>
      </c>
      <c r="AA88" s="4">
        <f t="shared" si="9"/>
        <v>-11477</v>
      </c>
      <c r="AB88" s="4">
        <f t="shared" si="22"/>
        <v>296650</v>
      </c>
      <c r="BN88" s="4">
        <v>1989</v>
      </c>
      <c r="BO88" s="4">
        <v>12</v>
      </c>
      <c r="BW88" s="89"/>
      <c r="BX88" s="89"/>
    </row>
    <row r="89" spans="1:76">
      <c r="A89" s="4">
        <v>1990</v>
      </c>
      <c r="B89" s="4">
        <v>1</v>
      </c>
      <c r="C89" s="4">
        <f>'[2]FPC wSEB'!$F186</f>
        <v>288786</v>
      </c>
      <c r="D89" s="4">
        <f>'[2]FPC wSEB'!$Z186</f>
        <v>3059</v>
      </c>
      <c r="F89" s="4">
        <f>'[2]FPC wSEB'!$G186</f>
        <v>105757</v>
      </c>
      <c r="G89" s="4">
        <f t="shared" si="20"/>
        <v>183029</v>
      </c>
      <c r="Z89" s="6">
        <f t="shared" si="21"/>
        <v>288786</v>
      </c>
      <c r="AA89" s="4">
        <f t="shared" si="9"/>
        <v>-11313</v>
      </c>
      <c r="AB89" s="4">
        <f t="shared" si="22"/>
        <v>288786</v>
      </c>
      <c r="BN89" s="4">
        <v>1990</v>
      </c>
      <c r="BO89" s="4">
        <v>1</v>
      </c>
    </row>
    <row r="90" spans="1:76">
      <c r="A90" s="4">
        <v>1990</v>
      </c>
      <c r="B90" s="4">
        <v>2</v>
      </c>
      <c r="C90" s="4">
        <f>'[2]FPC wSEB'!$F187</f>
        <v>310882</v>
      </c>
      <c r="D90" s="4">
        <f>'[2]FPC wSEB'!$Z187</f>
        <v>3098</v>
      </c>
      <c r="F90" s="4">
        <f>'[2]FPC wSEB'!$G187</f>
        <v>109391</v>
      </c>
      <c r="G90" s="4">
        <f t="shared" si="20"/>
        <v>201491</v>
      </c>
      <c r="Z90" s="6">
        <f t="shared" si="21"/>
        <v>310882</v>
      </c>
      <c r="AA90" s="4">
        <f t="shared" si="9"/>
        <v>2895</v>
      </c>
      <c r="AB90" s="4">
        <f t="shared" si="22"/>
        <v>310882</v>
      </c>
      <c r="BN90" s="4">
        <v>1990</v>
      </c>
      <c r="BO90" s="4">
        <v>2</v>
      </c>
    </row>
    <row r="91" spans="1:76">
      <c r="A91" s="4">
        <v>1990</v>
      </c>
      <c r="B91" s="4">
        <v>3</v>
      </c>
      <c r="C91" s="4">
        <f>'[2]FPC wSEB'!$F188</f>
        <v>301610</v>
      </c>
      <c r="D91" s="4">
        <f>'[2]FPC wSEB'!$Z188</f>
        <v>3116</v>
      </c>
      <c r="F91" s="4">
        <f>'[2]FPC wSEB'!$G188</f>
        <v>107513</v>
      </c>
      <c r="G91" s="4">
        <f t="shared" si="20"/>
        <v>194097</v>
      </c>
      <c r="Z91" s="6">
        <f t="shared" si="21"/>
        <v>301610</v>
      </c>
      <c r="AA91" s="4">
        <f t="shared" si="9"/>
        <v>7033</v>
      </c>
      <c r="AB91" s="4">
        <f t="shared" si="22"/>
        <v>301610</v>
      </c>
      <c r="BN91" s="4">
        <v>1990</v>
      </c>
      <c r="BO91" s="4">
        <v>3</v>
      </c>
    </row>
    <row r="92" spans="1:76">
      <c r="A92" s="4">
        <v>1990</v>
      </c>
      <c r="B92" s="4">
        <v>4</v>
      </c>
      <c r="C92" s="4">
        <f>'[2]FPC wSEB'!$F189</f>
        <v>302959</v>
      </c>
      <c r="D92" s="4">
        <f>'[2]FPC wSEB'!$Z189</f>
        <v>3130</v>
      </c>
      <c r="F92" s="4">
        <f>'[2]FPC wSEB'!$G189</f>
        <v>103001</v>
      </c>
      <c r="G92" s="4">
        <f t="shared" si="20"/>
        <v>199958</v>
      </c>
      <c r="Z92" s="6">
        <f t="shared" si="21"/>
        <v>302959</v>
      </c>
      <c r="AA92" s="4">
        <f t="shared" si="9"/>
        <v>-31211</v>
      </c>
      <c r="AB92" s="4">
        <f t="shared" si="22"/>
        <v>302959</v>
      </c>
      <c r="BN92" s="4">
        <v>1990</v>
      </c>
      <c r="BO92" s="4">
        <v>4</v>
      </c>
    </row>
    <row r="93" spans="1:76">
      <c r="A93" s="4">
        <v>1990</v>
      </c>
      <c r="B93" s="4">
        <v>5</v>
      </c>
      <c r="C93" s="4">
        <f>'[2]FPC wSEB'!$F190</f>
        <v>289249</v>
      </c>
      <c r="D93" s="4">
        <f>'[2]FPC wSEB'!$Z190</f>
        <v>3129</v>
      </c>
      <c r="F93" s="4">
        <f>'[2]FPC wSEB'!$G190</f>
        <v>92364</v>
      </c>
      <c r="G93" s="4">
        <f t="shared" si="20"/>
        <v>196885</v>
      </c>
      <c r="Z93" s="6">
        <f t="shared" si="21"/>
        <v>289249</v>
      </c>
      <c r="AA93" s="4">
        <f t="shared" ref="AA93:AA156" si="23">Z93-Z81</f>
        <v>-17725</v>
      </c>
      <c r="AB93" s="4">
        <f t="shared" si="22"/>
        <v>289249</v>
      </c>
      <c r="BN93" s="4">
        <v>1990</v>
      </c>
      <c r="BO93" s="4">
        <v>5</v>
      </c>
    </row>
    <row r="94" spans="1:76">
      <c r="A94" s="4">
        <v>1990</v>
      </c>
      <c r="B94" s="4">
        <v>6</v>
      </c>
      <c r="C94" s="4">
        <f>'[2]FPC wSEB'!$F191</f>
        <v>296543</v>
      </c>
      <c r="D94" s="4">
        <f>'[2]FPC wSEB'!$Z191</f>
        <v>3138</v>
      </c>
      <c r="F94" s="4">
        <f>'[2]FPC wSEB'!$G191</f>
        <v>91982</v>
      </c>
      <c r="G94" s="4">
        <f t="shared" si="20"/>
        <v>204561</v>
      </c>
      <c r="Z94" s="6">
        <f t="shared" si="21"/>
        <v>296543</v>
      </c>
      <c r="AA94" s="4">
        <f t="shared" si="23"/>
        <v>-39986</v>
      </c>
      <c r="AB94" s="4">
        <f t="shared" si="22"/>
        <v>296543</v>
      </c>
      <c r="BN94" s="4">
        <v>1990</v>
      </c>
      <c r="BO94" s="4">
        <v>6</v>
      </c>
    </row>
    <row r="95" spans="1:76">
      <c r="A95" s="4">
        <v>1990</v>
      </c>
      <c r="B95" s="4">
        <v>7</v>
      </c>
      <c r="C95" s="4">
        <f>'[2]FPC wSEB'!$F192</f>
        <v>280758</v>
      </c>
      <c r="D95" s="4">
        <f>'[2]FPC wSEB'!$Z192</f>
        <v>3133</v>
      </c>
      <c r="F95" s="4">
        <f>'[2]FPC wSEB'!$G192</f>
        <v>76376</v>
      </c>
      <c r="G95" s="4">
        <f t="shared" si="20"/>
        <v>204382</v>
      </c>
      <c r="Z95" s="6">
        <f t="shared" si="21"/>
        <v>280758</v>
      </c>
      <c r="AA95" s="4">
        <f t="shared" si="23"/>
        <v>-47127</v>
      </c>
      <c r="AB95" s="4">
        <f t="shared" si="22"/>
        <v>280758</v>
      </c>
      <c r="BN95" s="4">
        <v>1990</v>
      </c>
      <c r="BO95" s="4">
        <v>7</v>
      </c>
    </row>
    <row r="96" spans="1:76">
      <c r="A96" s="4">
        <v>1990</v>
      </c>
      <c r="B96" s="4">
        <v>8</v>
      </c>
      <c r="C96" s="4">
        <f>'[2]FPC wSEB'!$F193</f>
        <v>291580</v>
      </c>
      <c r="D96" s="4">
        <f>'[2]FPC wSEB'!$Z193</f>
        <v>3117</v>
      </c>
      <c r="F96" s="4">
        <f>'[2]FPC wSEB'!$G193</f>
        <v>78952</v>
      </c>
      <c r="G96" s="4">
        <f t="shared" si="20"/>
        <v>212628</v>
      </c>
      <c r="Z96" s="6">
        <f t="shared" si="21"/>
        <v>291580</v>
      </c>
      <c r="AA96" s="4">
        <f t="shared" si="23"/>
        <v>-30897</v>
      </c>
      <c r="AB96" s="4">
        <f t="shared" si="22"/>
        <v>291580</v>
      </c>
      <c r="BN96" s="4">
        <v>1990</v>
      </c>
      <c r="BO96" s="4">
        <v>8</v>
      </c>
    </row>
    <row r="97" spans="1:76">
      <c r="A97" s="4">
        <v>1990</v>
      </c>
      <c r="B97" s="4">
        <v>9</v>
      </c>
      <c r="C97" s="4">
        <f>'[2]FPC wSEB'!$F194</f>
        <v>283214</v>
      </c>
      <c r="D97" s="4">
        <f>'[2]FPC wSEB'!$Z194</f>
        <v>3119</v>
      </c>
      <c r="F97" s="4">
        <f>'[2]FPC wSEB'!$G194</f>
        <v>74546</v>
      </c>
      <c r="G97" s="4">
        <f t="shared" si="20"/>
        <v>208668</v>
      </c>
      <c r="Z97" s="6">
        <f t="shared" si="21"/>
        <v>283214</v>
      </c>
      <c r="AA97" s="4">
        <f t="shared" si="23"/>
        <v>-43193</v>
      </c>
      <c r="AB97" s="4">
        <f t="shared" si="22"/>
        <v>283214</v>
      </c>
      <c r="BN97" s="4">
        <v>1990</v>
      </c>
      <c r="BO97" s="4">
        <v>9</v>
      </c>
    </row>
    <row r="98" spans="1:76">
      <c r="A98" s="4">
        <v>1990</v>
      </c>
      <c r="B98" s="4">
        <v>10</v>
      </c>
      <c r="C98" s="4">
        <f>'[2]FPC wSEB'!$F195</f>
        <v>265989</v>
      </c>
      <c r="D98" s="4">
        <f>'[2]FPC wSEB'!$Z195</f>
        <v>3115</v>
      </c>
      <c r="F98" s="4">
        <f>'[2]FPC wSEB'!$G195</f>
        <v>69638</v>
      </c>
      <c r="G98" s="4">
        <f t="shared" si="20"/>
        <v>196351</v>
      </c>
      <c r="Z98" s="6">
        <f t="shared" si="21"/>
        <v>265989</v>
      </c>
      <c r="AA98" s="4">
        <f t="shared" si="23"/>
        <v>-39257</v>
      </c>
      <c r="AB98" s="4">
        <f t="shared" si="22"/>
        <v>265989</v>
      </c>
      <c r="BN98" s="4">
        <v>1990</v>
      </c>
      <c r="BO98" s="4">
        <v>10</v>
      </c>
    </row>
    <row r="99" spans="1:76">
      <c r="A99" s="4">
        <v>1990</v>
      </c>
      <c r="B99" s="4">
        <v>11</v>
      </c>
      <c r="C99" s="4">
        <f>'[2]FPC wSEB'!$F196</f>
        <v>274242</v>
      </c>
      <c r="D99" s="4">
        <f>'[2]FPC wSEB'!$Z196</f>
        <v>3111</v>
      </c>
      <c r="F99" s="4">
        <f>'[2]FPC wSEB'!$G196</f>
        <v>77478</v>
      </c>
      <c r="G99" s="4">
        <f t="shared" si="20"/>
        <v>196764</v>
      </c>
      <c r="Z99" s="6">
        <f t="shared" si="21"/>
        <v>274242</v>
      </c>
      <c r="AA99" s="4">
        <f t="shared" si="23"/>
        <v>-32885</v>
      </c>
      <c r="AB99" s="4">
        <f t="shared" si="22"/>
        <v>274242</v>
      </c>
      <c r="BN99" s="4">
        <v>1990</v>
      </c>
      <c r="BO99" s="4">
        <v>11</v>
      </c>
    </row>
    <row r="100" spans="1:76">
      <c r="A100" s="85">
        <v>1990</v>
      </c>
      <c r="B100" s="85">
        <v>12</v>
      </c>
      <c r="C100" s="4">
        <f>'[2]FPC wSEB'!$F197</f>
        <v>269896</v>
      </c>
      <c r="D100" s="4">
        <f>'[2]FPC wSEB'!$Z197</f>
        <v>3113</v>
      </c>
      <c r="F100" s="4">
        <f>'[2]FPC wSEB'!$G197</f>
        <v>75938</v>
      </c>
      <c r="G100" s="4">
        <f t="shared" si="20"/>
        <v>193958</v>
      </c>
      <c r="Z100" s="6">
        <f t="shared" si="21"/>
        <v>269896</v>
      </c>
      <c r="AA100" s="4">
        <f t="shared" si="23"/>
        <v>-26754</v>
      </c>
      <c r="AB100" s="4">
        <f t="shared" si="22"/>
        <v>269896</v>
      </c>
      <c r="BN100" s="4">
        <v>1990</v>
      </c>
      <c r="BO100" s="4">
        <v>12</v>
      </c>
      <c r="BW100" s="89"/>
      <c r="BX100" s="89"/>
    </row>
    <row r="101" spans="1:76">
      <c r="A101" s="4">
        <v>1991</v>
      </c>
      <c r="B101" s="4">
        <v>1</v>
      </c>
      <c r="C101" s="4">
        <f>'[2]FPC wSEB'!$F198</f>
        <v>262413</v>
      </c>
      <c r="D101" s="4">
        <f>'[2]FPC wSEB'!$Z198</f>
        <v>3120</v>
      </c>
      <c r="F101" s="4">
        <f>'[2]FPC wSEB'!$G198</f>
        <v>76066</v>
      </c>
      <c r="G101" s="4">
        <f t="shared" si="20"/>
        <v>186347</v>
      </c>
      <c r="Z101" s="6">
        <f t="shared" si="21"/>
        <v>262413</v>
      </c>
      <c r="AA101" s="4">
        <f t="shared" si="23"/>
        <v>-26373</v>
      </c>
      <c r="AB101" s="4">
        <f t="shared" si="22"/>
        <v>262413</v>
      </c>
      <c r="BN101" s="4">
        <v>1991</v>
      </c>
      <c r="BO101" s="4">
        <v>1</v>
      </c>
    </row>
    <row r="102" spans="1:76">
      <c r="A102" s="4">
        <v>1991</v>
      </c>
      <c r="B102" s="4">
        <v>2</v>
      </c>
      <c r="C102" s="4">
        <f>'[2]FPC wSEB'!$F199</f>
        <v>258568</v>
      </c>
      <c r="D102" s="4">
        <f>'[2]FPC wSEB'!$Z199</f>
        <v>3112</v>
      </c>
      <c r="F102" s="4">
        <f>'[2]FPC wSEB'!$G199</f>
        <v>75813</v>
      </c>
      <c r="G102" s="4">
        <f t="shared" si="20"/>
        <v>182755</v>
      </c>
      <c r="Z102" s="6">
        <f t="shared" si="21"/>
        <v>258568</v>
      </c>
      <c r="AA102" s="4">
        <f t="shared" si="23"/>
        <v>-52314</v>
      </c>
      <c r="AB102" s="4">
        <f t="shared" si="22"/>
        <v>258568</v>
      </c>
      <c r="BN102" s="4">
        <v>1991</v>
      </c>
      <c r="BO102" s="4">
        <v>2</v>
      </c>
    </row>
    <row r="103" spans="1:76">
      <c r="A103" s="4">
        <v>1991</v>
      </c>
      <c r="B103" s="4">
        <v>3</v>
      </c>
      <c r="C103" s="4">
        <f>'[2]FPC wSEB'!$F200</f>
        <v>254841</v>
      </c>
      <c r="D103" s="4">
        <f>'[2]FPC wSEB'!$Z200</f>
        <v>3113</v>
      </c>
      <c r="F103" s="4">
        <f>'[2]FPC wSEB'!$G200</f>
        <v>81779</v>
      </c>
      <c r="G103" s="4">
        <f t="shared" si="20"/>
        <v>173062</v>
      </c>
      <c r="Z103" s="6">
        <f t="shared" si="21"/>
        <v>254841</v>
      </c>
      <c r="AA103" s="4">
        <f t="shared" si="23"/>
        <v>-46769</v>
      </c>
      <c r="AB103" s="4">
        <f t="shared" si="22"/>
        <v>254841</v>
      </c>
      <c r="BN103" s="4">
        <v>1991</v>
      </c>
      <c r="BO103" s="4">
        <v>3</v>
      </c>
    </row>
    <row r="104" spans="1:76">
      <c r="A104" s="4">
        <v>1991</v>
      </c>
      <c r="B104" s="4">
        <v>4</v>
      </c>
      <c r="C104" s="4">
        <f>'[2]FPC wSEB'!$F201</f>
        <v>272291</v>
      </c>
      <c r="D104" s="4">
        <f>'[2]FPC wSEB'!$Z201</f>
        <v>3115</v>
      </c>
      <c r="F104" s="4">
        <f>'[2]FPC wSEB'!$G201</f>
        <v>80357</v>
      </c>
      <c r="G104" s="4">
        <f t="shared" si="20"/>
        <v>191934</v>
      </c>
      <c r="Z104" s="6">
        <f t="shared" si="21"/>
        <v>272291</v>
      </c>
      <c r="AA104" s="4">
        <f t="shared" si="23"/>
        <v>-30668</v>
      </c>
      <c r="AB104" s="4">
        <f t="shared" si="22"/>
        <v>272291</v>
      </c>
      <c r="BN104" s="4">
        <v>1991</v>
      </c>
      <c r="BO104" s="4">
        <v>4</v>
      </c>
    </row>
    <row r="105" spans="1:76">
      <c r="A105" s="4">
        <v>1991</v>
      </c>
      <c r="B105" s="4">
        <v>5</v>
      </c>
      <c r="C105" s="4">
        <f>'[2]FPC wSEB'!$F202</f>
        <v>288721</v>
      </c>
      <c r="D105" s="4">
        <f>'[2]FPC wSEB'!$Z202</f>
        <v>3121</v>
      </c>
      <c r="F105" s="4">
        <f>'[2]FPC wSEB'!$G202</f>
        <v>84377</v>
      </c>
      <c r="G105" s="4">
        <f t="shared" si="20"/>
        <v>204344</v>
      </c>
      <c r="Z105" s="6">
        <f t="shared" si="21"/>
        <v>288721</v>
      </c>
      <c r="AA105" s="4">
        <f t="shared" si="23"/>
        <v>-528</v>
      </c>
      <c r="AB105" s="4">
        <f t="shared" si="22"/>
        <v>288721</v>
      </c>
      <c r="BN105" s="4">
        <v>1991</v>
      </c>
      <c r="BO105" s="4">
        <v>5</v>
      </c>
    </row>
    <row r="106" spans="1:76">
      <c r="A106" s="4">
        <v>1991</v>
      </c>
      <c r="B106" s="4">
        <v>6</v>
      </c>
      <c r="C106" s="4">
        <f>'[2]FPC wSEB'!$F203</f>
        <v>278866</v>
      </c>
      <c r="D106" s="4">
        <f>'[2]FPC wSEB'!$Z203</f>
        <v>3111</v>
      </c>
      <c r="F106" s="4">
        <f>'[2]FPC wSEB'!$G203</f>
        <v>78366</v>
      </c>
      <c r="G106" s="4">
        <f t="shared" si="20"/>
        <v>200500</v>
      </c>
      <c r="Z106" s="6">
        <f t="shared" si="21"/>
        <v>278866</v>
      </c>
      <c r="AA106" s="4">
        <f t="shared" si="23"/>
        <v>-17677</v>
      </c>
      <c r="AB106" s="4">
        <f t="shared" si="22"/>
        <v>278866</v>
      </c>
      <c r="BN106" s="4">
        <v>1991</v>
      </c>
      <c r="BO106" s="4">
        <v>6</v>
      </c>
    </row>
    <row r="107" spans="1:76">
      <c r="A107" s="4">
        <v>1991</v>
      </c>
      <c r="B107" s="4">
        <v>7</v>
      </c>
      <c r="C107" s="4">
        <f>'[2]FPC wSEB'!$F204</f>
        <v>272831</v>
      </c>
      <c r="D107" s="4">
        <f>'[2]FPC wSEB'!$Z204</f>
        <v>3109</v>
      </c>
      <c r="F107" s="4">
        <f>'[2]FPC wSEB'!$G204</f>
        <v>76254</v>
      </c>
      <c r="G107" s="4">
        <f t="shared" si="20"/>
        <v>196577</v>
      </c>
      <c r="Z107" s="6">
        <f t="shared" si="21"/>
        <v>272831</v>
      </c>
      <c r="AA107" s="4">
        <f t="shared" si="23"/>
        <v>-7927</v>
      </c>
      <c r="AB107" s="4">
        <f t="shared" si="22"/>
        <v>272831</v>
      </c>
      <c r="BN107" s="4">
        <v>1991</v>
      </c>
      <c r="BO107" s="4">
        <v>7</v>
      </c>
    </row>
    <row r="108" spans="1:76">
      <c r="A108" s="4">
        <v>1991</v>
      </c>
      <c r="B108" s="4">
        <v>8</v>
      </c>
      <c r="C108" s="4">
        <f>'[2]FPC wSEB'!$F205</f>
        <v>299001</v>
      </c>
      <c r="D108" s="4">
        <f>'[2]FPC wSEB'!$Z205</f>
        <v>3126</v>
      </c>
      <c r="F108" s="4">
        <f>'[2]FPC wSEB'!$G205</f>
        <v>87355</v>
      </c>
      <c r="G108" s="4">
        <f t="shared" si="20"/>
        <v>211646</v>
      </c>
      <c r="Z108" s="6">
        <f t="shared" si="21"/>
        <v>299001</v>
      </c>
      <c r="AA108" s="4">
        <f t="shared" si="23"/>
        <v>7421</v>
      </c>
      <c r="AB108" s="4">
        <f t="shared" si="22"/>
        <v>299001</v>
      </c>
      <c r="BN108" s="4">
        <v>1991</v>
      </c>
      <c r="BO108" s="4">
        <v>8</v>
      </c>
    </row>
    <row r="109" spans="1:76">
      <c r="A109" s="4">
        <v>1991</v>
      </c>
      <c r="B109" s="4">
        <v>9</v>
      </c>
      <c r="C109" s="4">
        <f>'[2]FPC wSEB'!$F206</f>
        <v>283550</v>
      </c>
      <c r="D109" s="4">
        <f>'[2]FPC wSEB'!$Z206</f>
        <v>3128</v>
      </c>
      <c r="F109" s="4">
        <f>'[2]FPC wSEB'!$G206</f>
        <v>80623</v>
      </c>
      <c r="G109" s="4">
        <f t="shared" si="20"/>
        <v>202927</v>
      </c>
      <c r="Z109" s="6">
        <f t="shared" si="21"/>
        <v>283550</v>
      </c>
      <c r="AA109" s="4">
        <f t="shared" si="23"/>
        <v>336</v>
      </c>
      <c r="AB109" s="4">
        <f t="shared" si="22"/>
        <v>283550</v>
      </c>
      <c r="BN109" s="4">
        <v>1991</v>
      </c>
      <c r="BO109" s="4">
        <v>9</v>
      </c>
    </row>
    <row r="110" spans="1:76">
      <c r="A110" s="4">
        <v>1991</v>
      </c>
      <c r="B110" s="4">
        <v>10</v>
      </c>
      <c r="C110" s="4">
        <f>'[2]FPC wSEB'!$F207</f>
        <v>276172</v>
      </c>
      <c r="D110" s="4">
        <f>'[2]FPC wSEB'!$Z207</f>
        <v>3146</v>
      </c>
      <c r="F110" s="4">
        <f>'[2]FPC wSEB'!$G207</f>
        <v>74013</v>
      </c>
      <c r="G110" s="4">
        <f t="shared" si="20"/>
        <v>202159</v>
      </c>
      <c r="Z110" s="6">
        <f t="shared" si="21"/>
        <v>276172</v>
      </c>
      <c r="AA110" s="4">
        <f t="shared" si="23"/>
        <v>10183</v>
      </c>
      <c r="AB110" s="4">
        <f t="shared" si="22"/>
        <v>276172</v>
      </c>
      <c r="BN110" s="4">
        <v>1991</v>
      </c>
      <c r="BO110" s="4">
        <v>10</v>
      </c>
    </row>
    <row r="111" spans="1:76">
      <c r="A111" s="4">
        <v>1991</v>
      </c>
      <c r="B111" s="4">
        <v>11</v>
      </c>
      <c r="C111" s="4">
        <f>'[2]FPC wSEB'!$F208</f>
        <v>279993</v>
      </c>
      <c r="D111" s="4">
        <f>'[2]FPC wSEB'!$Z208</f>
        <v>3142</v>
      </c>
      <c r="F111" s="4">
        <f>'[2]FPC wSEB'!$G208</f>
        <v>85218</v>
      </c>
      <c r="G111" s="4">
        <f t="shared" si="20"/>
        <v>194775</v>
      </c>
      <c r="Z111" s="6">
        <f t="shared" si="21"/>
        <v>279993</v>
      </c>
      <c r="AA111" s="4">
        <f t="shared" si="23"/>
        <v>5751</v>
      </c>
      <c r="AB111" s="4">
        <f t="shared" si="22"/>
        <v>279993</v>
      </c>
      <c r="BN111" s="4">
        <v>1991</v>
      </c>
      <c r="BO111" s="4">
        <v>11</v>
      </c>
    </row>
    <row r="112" spans="1:76">
      <c r="A112" s="85">
        <v>1991</v>
      </c>
      <c r="B112" s="85">
        <v>12</v>
      </c>
      <c r="C112" s="4">
        <f>'[2]FPC wSEB'!$F209</f>
        <v>275720</v>
      </c>
      <c r="D112" s="4">
        <f>'[2]FPC wSEB'!$Z209</f>
        <v>3146</v>
      </c>
      <c r="F112" s="4">
        <f>'[2]FPC wSEB'!$G209</f>
        <v>80351</v>
      </c>
      <c r="G112" s="4">
        <f t="shared" si="20"/>
        <v>195369</v>
      </c>
      <c r="Z112" s="6">
        <f t="shared" si="21"/>
        <v>275720</v>
      </c>
      <c r="AA112" s="4">
        <f t="shared" si="23"/>
        <v>5824</v>
      </c>
      <c r="AB112" s="4">
        <f t="shared" si="22"/>
        <v>275720</v>
      </c>
      <c r="BN112" s="4">
        <v>1991</v>
      </c>
      <c r="BO112" s="4">
        <v>12</v>
      </c>
      <c r="BW112" s="89"/>
      <c r="BX112" s="89"/>
    </row>
    <row r="113" spans="1:76">
      <c r="A113" s="4">
        <v>1992</v>
      </c>
      <c r="B113" s="4">
        <v>1</v>
      </c>
      <c r="C113" s="4">
        <f>'[2]FPC wSEB'!$F210</f>
        <v>274569</v>
      </c>
      <c r="D113" s="4">
        <f>'[2]FPC wSEB'!$Z210</f>
        <v>3144</v>
      </c>
      <c r="F113" s="4">
        <f>'[2]FPC wSEB'!$G210</f>
        <v>84486</v>
      </c>
      <c r="G113" s="4">
        <f t="shared" si="20"/>
        <v>190083</v>
      </c>
      <c r="Z113" s="6">
        <f t="shared" si="21"/>
        <v>274569</v>
      </c>
      <c r="AA113" s="4">
        <f t="shared" si="23"/>
        <v>12156</v>
      </c>
      <c r="AB113" s="4">
        <f t="shared" si="22"/>
        <v>274569</v>
      </c>
      <c r="BN113" s="4">
        <v>1992</v>
      </c>
      <c r="BO113" s="4">
        <v>1</v>
      </c>
    </row>
    <row r="114" spans="1:76">
      <c r="A114" s="4">
        <v>1992</v>
      </c>
      <c r="B114" s="4">
        <v>2</v>
      </c>
      <c r="C114" s="4">
        <f>'[2]FPC wSEB'!$F211</f>
        <v>263618</v>
      </c>
      <c r="D114" s="4">
        <f>'[2]FPC wSEB'!$Z211</f>
        <v>3144</v>
      </c>
      <c r="F114" s="4">
        <f>'[2]FPC wSEB'!$G211</f>
        <v>81731</v>
      </c>
      <c r="G114" s="4">
        <f t="shared" si="20"/>
        <v>181887</v>
      </c>
      <c r="Z114" s="6">
        <f t="shared" si="21"/>
        <v>263618</v>
      </c>
      <c r="AA114" s="4">
        <f t="shared" si="23"/>
        <v>5050</v>
      </c>
      <c r="AB114" s="4">
        <f t="shared" si="22"/>
        <v>263618</v>
      </c>
      <c r="BN114" s="4">
        <v>1992</v>
      </c>
      <c r="BO114" s="4">
        <v>2</v>
      </c>
    </row>
    <row r="115" spans="1:76">
      <c r="A115" s="4">
        <v>1992</v>
      </c>
      <c r="B115" s="4">
        <v>3</v>
      </c>
      <c r="C115" s="4">
        <f>'[2]FPC wSEB'!$F212</f>
        <v>258535</v>
      </c>
      <c r="D115" s="4">
        <f>'[2]FPC wSEB'!$Z212</f>
        <v>3156</v>
      </c>
      <c r="F115" s="4">
        <f>'[2]FPC wSEB'!$G212</f>
        <v>76862</v>
      </c>
      <c r="G115" s="4">
        <f t="shared" si="20"/>
        <v>181673</v>
      </c>
      <c r="Z115" s="6">
        <f t="shared" si="21"/>
        <v>258535</v>
      </c>
      <c r="AA115" s="4">
        <f t="shared" si="23"/>
        <v>3694</v>
      </c>
      <c r="AB115" s="4">
        <f t="shared" si="22"/>
        <v>258535</v>
      </c>
      <c r="BN115" s="4">
        <v>1992</v>
      </c>
      <c r="BO115" s="4">
        <v>3</v>
      </c>
    </row>
    <row r="116" spans="1:76">
      <c r="A116" s="4">
        <v>1992</v>
      </c>
      <c r="B116" s="4">
        <v>4</v>
      </c>
      <c r="C116" s="4">
        <f>'[2]FPC wSEB'!$F213</f>
        <v>279192</v>
      </c>
      <c r="D116" s="4">
        <f>'[2]FPC wSEB'!$Z213</f>
        <v>3146</v>
      </c>
      <c r="F116" s="4">
        <f>'[2]FPC wSEB'!$G213</f>
        <v>85207</v>
      </c>
      <c r="G116" s="4">
        <f t="shared" si="20"/>
        <v>193985</v>
      </c>
      <c r="Z116" s="6">
        <f t="shared" si="21"/>
        <v>279192</v>
      </c>
      <c r="AA116" s="4">
        <f t="shared" si="23"/>
        <v>6901</v>
      </c>
      <c r="AB116" s="4">
        <f t="shared" si="22"/>
        <v>279192</v>
      </c>
      <c r="BN116" s="4">
        <v>1992</v>
      </c>
      <c r="BO116" s="4">
        <v>4</v>
      </c>
    </row>
    <row r="117" spans="1:76">
      <c r="A117" s="4">
        <v>1992</v>
      </c>
      <c r="B117" s="4">
        <v>5</v>
      </c>
      <c r="C117" s="4">
        <f>'[2]FPC wSEB'!$F214</f>
        <v>274429</v>
      </c>
      <c r="D117" s="4">
        <f>'[2]FPC wSEB'!$Z214</f>
        <v>3136</v>
      </c>
      <c r="F117" s="4">
        <f>'[2]FPC wSEB'!$G214</f>
        <v>74233</v>
      </c>
      <c r="G117" s="4">
        <f t="shared" si="20"/>
        <v>200196</v>
      </c>
      <c r="Z117" s="6">
        <f t="shared" si="21"/>
        <v>274429</v>
      </c>
      <c r="AA117" s="4">
        <f t="shared" si="23"/>
        <v>-14292</v>
      </c>
      <c r="AB117" s="4">
        <f t="shared" si="22"/>
        <v>274429</v>
      </c>
      <c r="BN117" s="4">
        <v>1992</v>
      </c>
      <c r="BO117" s="4">
        <v>5</v>
      </c>
    </row>
    <row r="118" spans="1:76">
      <c r="A118" s="4">
        <v>1992</v>
      </c>
      <c r="B118" s="4">
        <v>6</v>
      </c>
      <c r="C118" s="4">
        <f>'[2]FPC wSEB'!$F215</f>
        <v>272174</v>
      </c>
      <c r="D118" s="4">
        <f>'[2]FPC wSEB'!$Z215</f>
        <v>3117</v>
      </c>
      <c r="F118" s="4">
        <f>'[2]FPC wSEB'!$G215</f>
        <v>69386</v>
      </c>
      <c r="G118" s="4">
        <f t="shared" si="20"/>
        <v>202788</v>
      </c>
      <c r="Z118" s="6">
        <f t="shared" si="21"/>
        <v>272174</v>
      </c>
      <c r="AA118" s="4">
        <f t="shared" si="23"/>
        <v>-6692</v>
      </c>
      <c r="AB118" s="4">
        <f t="shared" si="22"/>
        <v>272174</v>
      </c>
      <c r="BN118" s="4">
        <v>1992</v>
      </c>
      <c r="BO118" s="4">
        <v>6</v>
      </c>
    </row>
    <row r="119" spans="1:76">
      <c r="A119" s="4">
        <v>1992</v>
      </c>
      <c r="B119" s="4">
        <v>7</v>
      </c>
      <c r="C119" s="4">
        <f>'[2]FPC wSEB'!$F216</f>
        <v>271850</v>
      </c>
      <c r="D119" s="4">
        <f>'[2]FPC wSEB'!$Z216</f>
        <v>3138</v>
      </c>
      <c r="F119" s="4">
        <f>'[2]FPC wSEB'!$G216</f>
        <v>61636</v>
      </c>
      <c r="G119" s="4">
        <f t="shared" si="20"/>
        <v>210214</v>
      </c>
      <c r="Z119" s="6">
        <f t="shared" si="21"/>
        <v>271850</v>
      </c>
      <c r="AA119" s="4">
        <f t="shared" si="23"/>
        <v>-981</v>
      </c>
      <c r="AB119" s="4">
        <f t="shared" si="22"/>
        <v>271850</v>
      </c>
      <c r="BN119" s="4">
        <v>1992</v>
      </c>
      <c r="BO119" s="4">
        <v>7</v>
      </c>
    </row>
    <row r="120" spans="1:76">
      <c r="A120" s="4">
        <v>1992</v>
      </c>
      <c r="B120" s="4">
        <v>8</v>
      </c>
      <c r="C120" s="4">
        <f>'[2]FPC wSEB'!$F217</f>
        <v>277899</v>
      </c>
      <c r="D120" s="4">
        <f>'[2]FPC wSEB'!$Z217</f>
        <v>3136</v>
      </c>
      <c r="F120" s="4">
        <f>'[2]FPC wSEB'!$G217</f>
        <v>71015</v>
      </c>
      <c r="G120" s="4">
        <f t="shared" si="20"/>
        <v>206884</v>
      </c>
      <c r="Z120" s="6">
        <f t="shared" si="21"/>
        <v>277899</v>
      </c>
      <c r="AA120" s="4">
        <f t="shared" si="23"/>
        <v>-21102</v>
      </c>
      <c r="AB120" s="4">
        <f t="shared" si="22"/>
        <v>277899</v>
      </c>
      <c r="BN120" s="4">
        <v>1992</v>
      </c>
      <c r="BO120" s="4">
        <v>8</v>
      </c>
    </row>
    <row r="121" spans="1:76">
      <c r="A121" s="4">
        <v>1992</v>
      </c>
      <c r="B121" s="4">
        <v>9</v>
      </c>
      <c r="C121" s="4">
        <f>'[2]FPC wSEB'!$F218</f>
        <v>276251</v>
      </c>
      <c r="D121" s="4">
        <f>'[2]FPC wSEB'!$Z218</f>
        <v>3134</v>
      </c>
      <c r="F121" s="4">
        <f>'[2]FPC wSEB'!$G218</f>
        <v>71854</v>
      </c>
      <c r="G121" s="4">
        <f t="shared" si="20"/>
        <v>204397</v>
      </c>
      <c r="Z121" s="6">
        <f t="shared" si="21"/>
        <v>276251</v>
      </c>
      <c r="AA121" s="4">
        <f t="shared" si="23"/>
        <v>-7299</v>
      </c>
      <c r="AB121" s="4">
        <f t="shared" si="22"/>
        <v>276251</v>
      </c>
      <c r="BN121" s="4">
        <v>1992</v>
      </c>
      <c r="BO121" s="4">
        <v>9</v>
      </c>
    </row>
    <row r="122" spans="1:76">
      <c r="A122" s="4">
        <v>1992</v>
      </c>
      <c r="B122" s="4">
        <v>10</v>
      </c>
      <c r="C122" s="4">
        <f>'[2]FPC wSEB'!$F219</f>
        <v>269777</v>
      </c>
      <c r="D122" s="4">
        <f>'[2]FPC wSEB'!$Z219</f>
        <v>3123</v>
      </c>
      <c r="F122" s="4">
        <f>'[2]FPC wSEB'!$G219</f>
        <v>70399</v>
      </c>
      <c r="G122" s="4">
        <f t="shared" si="20"/>
        <v>199378</v>
      </c>
      <c r="Z122" s="6">
        <f t="shared" si="21"/>
        <v>269777</v>
      </c>
      <c r="AA122" s="4">
        <f t="shared" si="23"/>
        <v>-6395</v>
      </c>
      <c r="AB122" s="4">
        <f t="shared" si="22"/>
        <v>269777</v>
      </c>
      <c r="BN122" s="4">
        <v>1992</v>
      </c>
      <c r="BO122" s="4">
        <v>10</v>
      </c>
    </row>
    <row r="123" spans="1:76">
      <c r="A123" s="4">
        <v>1992</v>
      </c>
      <c r="B123" s="4">
        <v>11</v>
      </c>
      <c r="C123" s="4">
        <f>'[2]FPC wSEB'!$F220</f>
        <v>267515</v>
      </c>
      <c r="D123" s="4">
        <f>'[2]FPC wSEB'!$Z220</f>
        <v>3134</v>
      </c>
      <c r="F123" s="4">
        <f>'[2]FPC wSEB'!$G220</f>
        <v>74096</v>
      </c>
      <c r="G123" s="4">
        <f t="shared" si="20"/>
        <v>193419</v>
      </c>
      <c r="Z123" s="6">
        <f t="shared" si="21"/>
        <v>267515</v>
      </c>
      <c r="AA123" s="4">
        <f t="shared" si="23"/>
        <v>-12478</v>
      </c>
      <c r="AB123" s="4">
        <f t="shared" si="22"/>
        <v>267515</v>
      </c>
      <c r="BN123" s="4">
        <v>1992</v>
      </c>
      <c r="BO123" s="4">
        <v>11</v>
      </c>
    </row>
    <row r="124" spans="1:76">
      <c r="A124" s="85">
        <v>1992</v>
      </c>
      <c r="B124" s="85">
        <v>12</v>
      </c>
      <c r="C124" s="4">
        <f>'[2]FPC wSEB'!$F221</f>
        <v>268657</v>
      </c>
      <c r="D124" s="4">
        <f>'[2]FPC wSEB'!$Z221</f>
        <v>3132</v>
      </c>
      <c r="F124" s="4">
        <f>'[2]FPC wSEB'!$G221</f>
        <v>73890</v>
      </c>
      <c r="G124" s="4">
        <f t="shared" si="20"/>
        <v>194767</v>
      </c>
      <c r="Z124" s="6">
        <f t="shared" si="21"/>
        <v>268657</v>
      </c>
      <c r="AA124" s="4">
        <f t="shared" si="23"/>
        <v>-7063</v>
      </c>
      <c r="AB124" s="4">
        <f t="shared" si="22"/>
        <v>268657</v>
      </c>
      <c r="BN124" s="4">
        <v>1992</v>
      </c>
      <c r="BO124" s="4">
        <v>12</v>
      </c>
      <c r="BW124" s="89"/>
      <c r="BX124" s="89"/>
    </row>
    <row r="125" spans="1:76">
      <c r="A125" s="4">
        <v>1993</v>
      </c>
      <c r="B125" s="4">
        <v>1</v>
      </c>
      <c r="C125" s="4">
        <f>'[2]FPC wSEB'!$F222</f>
        <v>241551</v>
      </c>
      <c r="D125" s="4">
        <f>'[2]FPC wSEB'!$Z222</f>
        <v>3115</v>
      </c>
      <c r="F125" s="4">
        <f>'[2]FPC wSEB'!$G222</f>
        <v>49734</v>
      </c>
      <c r="G125" s="4">
        <f t="shared" si="20"/>
        <v>191817</v>
      </c>
      <c r="Z125" s="6">
        <f t="shared" si="21"/>
        <v>241551</v>
      </c>
      <c r="AA125" s="4">
        <f t="shared" si="23"/>
        <v>-33018</v>
      </c>
      <c r="AB125" s="4">
        <f t="shared" si="22"/>
        <v>241551</v>
      </c>
      <c r="BN125" s="4">
        <v>1993</v>
      </c>
      <c r="BO125" s="4">
        <v>1</v>
      </c>
    </row>
    <row r="126" spans="1:76">
      <c r="A126" s="4">
        <v>1993</v>
      </c>
      <c r="B126" s="4">
        <v>2</v>
      </c>
      <c r="C126" s="4">
        <f>'[2]FPC wSEB'!$F223</f>
        <v>271061</v>
      </c>
      <c r="D126" s="4">
        <f>'[2]FPC wSEB'!$Z223</f>
        <v>3114</v>
      </c>
      <c r="F126" s="4">
        <f>'[2]FPC wSEB'!$G223</f>
        <v>74391</v>
      </c>
      <c r="G126" s="4">
        <f t="shared" si="20"/>
        <v>196670</v>
      </c>
      <c r="Z126" s="6">
        <f t="shared" si="21"/>
        <v>271061</v>
      </c>
      <c r="AA126" s="4">
        <f t="shared" si="23"/>
        <v>7443</v>
      </c>
      <c r="AB126" s="4">
        <f t="shared" si="22"/>
        <v>271061</v>
      </c>
      <c r="BN126" s="4">
        <v>1993</v>
      </c>
      <c r="BO126" s="4">
        <v>2</v>
      </c>
    </row>
    <row r="127" spans="1:76">
      <c r="A127" s="4">
        <v>1993</v>
      </c>
      <c r="B127" s="4">
        <v>3</v>
      </c>
      <c r="C127" s="4">
        <f>'[2]FPC wSEB'!$F224</f>
        <v>268694</v>
      </c>
      <c r="D127" s="4">
        <f>'[2]FPC wSEB'!$Z224</f>
        <v>3114</v>
      </c>
      <c r="F127" s="4">
        <f>'[2]FPC wSEB'!$G224</f>
        <v>73227</v>
      </c>
      <c r="G127" s="4">
        <f t="shared" si="20"/>
        <v>195467</v>
      </c>
      <c r="Z127" s="6">
        <f t="shared" si="21"/>
        <v>268694</v>
      </c>
      <c r="AA127" s="4">
        <f t="shared" si="23"/>
        <v>10159</v>
      </c>
      <c r="AB127" s="4">
        <f t="shared" si="22"/>
        <v>268694</v>
      </c>
      <c r="BN127" s="4">
        <v>1993</v>
      </c>
      <c r="BO127" s="4">
        <v>3</v>
      </c>
    </row>
    <row r="128" spans="1:76">
      <c r="A128" s="4">
        <v>1993</v>
      </c>
      <c r="B128" s="4">
        <v>4</v>
      </c>
      <c r="C128" s="4">
        <f>'[2]FPC wSEB'!$F225</f>
        <v>282874</v>
      </c>
      <c r="D128" s="4">
        <f>'[2]FPC wSEB'!$Z225</f>
        <v>3102</v>
      </c>
      <c r="F128" s="4">
        <f>'[2]FPC wSEB'!$G225</f>
        <v>81873</v>
      </c>
      <c r="G128" s="4">
        <f t="shared" si="20"/>
        <v>201001</v>
      </c>
      <c r="Z128" s="6">
        <f t="shared" si="21"/>
        <v>282874</v>
      </c>
      <c r="AA128" s="4">
        <f t="shared" si="23"/>
        <v>3682</v>
      </c>
      <c r="AB128" s="4">
        <f t="shared" si="22"/>
        <v>282874</v>
      </c>
      <c r="BN128" s="4">
        <v>1993</v>
      </c>
      <c r="BO128" s="4">
        <v>4</v>
      </c>
    </row>
    <row r="129" spans="1:76">
      <c r="A129" s="4">
        <v>1993</v>
      </c>
      <c r="B129" s="4">
        <v>5</v>
      </c>
      <c r="C129" s="4">
        <f>'[2]FPC wSEB'!$F226</f>
        <v>299119</v>
      </c>
      <c r="D129" s="4">
        <f>'[2]FPC wSEB'!$Z226</f>
        <v>3110</v>
      </c>
      <c r="F129" s="4">
        <f>'[2]FPC wSEB'!$G226</f>
        <v>82930</v>
      </c>
      <c r="G129" s="4">
        <f t="shared" si="20"/>
        <v>216189</v>
      </c>
      <c r="Z129" s="6">
        <f t="shared" si="21"/>
        <v>299119</v>
      </c>
      <c r="AA129" s="4">
        <f t="shared" si="23"/>
        <v>24690</v>
      </c>
      <c r="AB129" s="4">
        <f t="shared" si="22"/>
        <v>299119</v>
      </c>
      <c r="BN129" s="4">
        <v>1993</v>
      </c>
      <c r="BO129" s="4">
        <v>5</v>
      </c>
    </row>
    <row r="130" spans="1:76">
      <c r="A130" s="4">
        <v>1993</v>
      </c>
      <c r="B130" s="4">
        <v>6</v>
      </c>
      <c r="C130" s="4">
        <f>'[2]FPC wSEB'!$F227</f>
        <v>297012</v>
      </c>
      <c r="D130" s="4">
        <f>'[2]FPC wSEB'!$Z227</f>
        <v>3093</v>
      </c>
      <c r="F130" s="4">
        <f>'[2]FPC wSEB'!$G227</f>
        <v>74509</v>
      </c>
      <c r="G130" s="4">
        <f t="shared" si="20"/>
        <v>222503</v>
      </c>
      <c r="Z130" s="6">
        <f t="shared" si="21"/>
        <v>297012</v>
      </c>
      <c r="AA130" s="4">
        <f t="shared" si="23"/>
        <v>24838</v>
      </c>
      <c r="AB130" s="4">
        <f t="shared" si="22"/>
        <v>297012</v>
      </c>
      <c r="BN130" s="4">
        <v>1993</v>
      </c>
      <c r="BO130" s="4">
        <v>6</v>
      </c>
    </row>
    <row r="131" spans="1:76">
      <c r="A131" s="4">
        <v>1993</v>
      </c>
      <c r="B131" s="4">
        <v>7</v>
      </c>
      <c r="C131" s="4">
        <f>'[2]FPC wSEB'!$F228</f>
        <v>286731</v>
      </c>
      <c r="D131" s="4">
        <f>'[2]FPC wSEB'!$Z228</f>
        <v>3098</v>
      </c>
      <c r="F131" s="4">
        <f>'[2]FPC wSEB'!$G228</f>
        <v>67860</v>
      </c>
      <c r="G131" s="4">
        <f t="shared" si="20"/>
        <v>218871</v>
      </c>
      <c r="Z131" s="6">
        <f t="shared" si="21"/>
        <v>286731</v>
      </c>
      <c r="AA131" s="4">
        <f t="shared" si="23"/>
        <v>14881</v>
      </c>
      <c r="AB131" s="4">
        <f t="shared" si="22"/>
        <v>286731</v>
      </c>
      <c r="BN131" s="4">
        <v>1993</v>
      </c>
      <c r="BO131" s="4">
        <v>7</v>
      </c>
    </row>
    <row r="132" spans="1:76">
      <c r="A132" s="4">
        <v>1993</v>
      </c>
      <c r="B132" s="4">
        <v>8</v>
      </c>
      <c r="C132" s="4">
        <f>'[2]FPC wSEB'!$F229</f>
        <v>289429</v>
      </c>
      <c r="D132" s="4">
        <f>'[2]FPC wSEB'!$Z229</f>
        <v>3110</v>
      </c>
      <c r="F132" s="4">
        <f>'[2]FPC wSEB'!$G229</f>
        <v>72296</v>
      </c>
      <c r="G132" s="4">
        <f t="shared" si="20"/>
        <v>217133</v>
      </c>
      <c r="Z132" s="6">
        <f t="shared" si="21"/>
        <v>289429</v>
      </c>
      <c r="AA132" s="4">
        <f t="shared" si="23"/>
        <v>11530</v>
      </c>
      <c r="AB132" s="4">
        <f t="shared" si="22"/>
        <v>289429</v>
      </c>
      <c r="BN132" s="4">
        <v>1993</v>
      </c>
      <c r="BO132" s="4">
        <v>8</v>
      </c>
    </row>
    <row r="133" spans="1:76">
      <c r="A133" s="4">
        <v>1993</v>
      </c>
      <c r="B133" s="4">
        <v>9</v>
      </c>
      <c r="C133" s="4">
        <f>'[2]FPC wSEB'!$F230</f>
        <v>297681</v>
      </c>
      <c r="D133" s="4">
        <f>'[2]FPC wSEB'!$Z230</f>
        <v>3105</v>
      </c>
      <c r="F133" s="4">
        <f>'[2]FPC wSEB'!$G230</f>
        <v>73226</v>
      </c>
      <c r="G133" s="4">
        <f t="shared" si="20"/>
        <v>224455</v>
      </c>
      <c r="Z133" s="6">
        <f t="shared" si="21"/>
        <v>297681</v>
      </c>
      <c r="AA133" s="4">
        <f t="shared" si="23"/>
        <v>21430</v>
      </c>
      <c r="AB133" s="4">
        <f t="shared" si="22"/>
        <v>297681</v>
      </c>
      <c r="BN133" s="4">
        <v>1993</v>
      </c>
      <c r="BO133" s="4">
        <v>9</v>
      </c>
    </row>
    <row r="134" spans="1:76">
      <c r="A134" s="4">
        <v>1993</v>
      </c>
      <c r="B134" s="4">
        <v>10</v>
      </c>
      <c r="C134" s="4">
        <f>'[2]FPC wSEB'!$F231</f>
        <v>281630</v>
      </c>
      <c r="D134" s="4">
        <f>'[2]FPC wSEB'!$Z231</f>
        <v>3108</v>
      </c>
      <c r="F134" s="4">
        <f>'[2]FPC wSEB'!$G231</f>
        <v>72399</v>
      </c>
      <c r="G134" s="4">
        <f t="shared" si="20"/>
        <v>209231</v>
      </c>
      <c r="Z134" s="6">
        <f t="shared" si="21"/>
        <v>281630</v>
      </c>
      <c r="AA134" s="4">
        <f t="shared" si="23"/>
        <v>11853</v>
      </c>
      <c r="AB134" s="4">
        <f t="shared" si="22"/>
        <v>281630</v>
      </c>
      <c r="BN134" s="4">
        <v>1993</v>
      </c>
      <c r="BO134" s="4">
        <v>10</v>
      </c>
    </row>
    <row r="135" spans="1:76">
      <c r="A135" s="4">
        <v>1993</v>
      </c>
      <c r="B135" s="4">
        <v>11</v>
      </c>
      <c r="C135" s="4">
        <f>'[2]FPC wSEB'!$F232</f>
        <v>277521</v>
      </c>
      <c r="D135" s="4">
        <f>'[2]FPC wSEB'!$Z232</f>
        <v>3116</v>
      </c>
      <c r="F135" s="4">
        <f>'[2]FPC wSEB'!$G232</f>
        <v>75487</v>
      </c>
      <c r="G135" s="4">
        <f t="shared" si="20"/>
        <v>202034</v>
      </c>
      <c r="Z135" s="6">
        <f t="shared" si="21"/>
        <v>277521</v>
      </c>
      <c r="AA135" s="4">
        <f t="shared" si="23"/>
        <v>10006</v>
      </c>
      <c r="AB135" s="4">
        <f t="shared" si="22"/>
        <v>277521</v>
      </c>
      <c r="BN135" s="4">
        <v>1993</v>
      </c>
      <c r="BO135" s="4">
        <v>11</v>
      </c>
    </row>
    <row r="136" spans="1:76">
      <c r="A136" s="85">
        <v>1993</v>
      </c>
      <c r="B136" s="85">
        <v>12</v>
      </c>
      <c r="C136" s="4">
        <f>'[2]FPC wSEB'!$F233</f>
        <v>287496</v>
      </c>
      <c r="D136" s="4">
        <f>'[2]FPC wSEB'!$Z233</f>
        <v>3103</v>
      </c>
      <c r="F136" s="4">
        <f>'[2]FPC wSEB'!$G233</f>
        <v>82043</v>
      </c>
      <c r="G136" s="4">
        <f t="shared" si="20"/>
        <v>205453</v>
      </c>
      <c r="Z136" s="6">
        <f t="shared" si="21"/>
        <v>287496</v>
      </c>
      <c r="AA136" s="4">
        <f t="shared" si="23"/>
        <v>18839</v>
      </c>
      <c r="AB136" s="4">
        <f t="shared" si="22"/>
        <v>287496</v>
      </c>
      <c r="BN136" s="4">
        <v>1993</v>
      </c>
      <c r="BO136" s="4">
        <v>12</v>
      </c>
      <c r="BW136" s="89"/>
      <c r="BX136" s="89"/>
    </row>
    <row r="137" spans="1:76">
      <c r="A137" s="4">
        <v>1994</v>
      </c>
      <c r="B137" s="4">
        <v>1</v>
      </c>
      <c r="C137" s="4">
        <f>'[2]FPC wSEB'!$F234</f>
        <v>273630</v>
      </c>
      <c r="D137" s="4">
        <f>'[2]FPC wSEB'!$Z234</f>
        <v>3102</v>
      </c>
      <c r="F137" s="4">
        <f>'[2]FPC wSEB'!$G234</f>
        <v>85048</v>
      </c>
      <c r="G137" s="4">
        <f t="shared" si="20"/>
        <v>188582</v>
      </c>
      <c r="Z137" s="6">
        <f t="shared" si="21"/>
        <v>273630</v>
      </c>
      <c r="AA137" s="4">
        <f t="shared" si="23"/>
        <v>32079</v>
      </c>
      <c r="AB137" s="4">
        <f t="shared" si="22"/>
        <v>273630</v>
      </c>
      <c r="BN137" s="4">
        <v>1994</v>
      </c>
      <c r="BO137" s="4">
        <v>1</v>
      </c>
    </row>
    <row r="138" spans="1:76">
      <c r="A138" s="4">
        <v>1994</v>
      </c>
      <c r="B138" s="4">
        <v>2</v>
      </c>
      <c r="C138" s="4">
        <f>'[2]FPC wSEB'!$F235</f>
        <v>284319</v>
      </c>
      <c r="D138" s="4">
        <f>'[2]FPC wSEB'!$Z235</f>
        <v>3112</v>
      </c>
      <c r="F138" s="4">
        <f>'[2]FPC wSEB'!$G235</f>
        <v>84981</v>
      </c>
      <c r="G138" s="4">
        <f t="shared" si="20"/>
        <v>199338</v>
      </c>
      <c r="Z138" s="6">
        <f t="shared" si="21"/>
        <v>284319</v>
      </c>
      <c r="AA138" s="4">
        <f t="shared" si="23"/>
        <v>13258</v>
      </c>
      <c r="AB138" s="4">
        <f t="shared" si="22"/>
        <v>284319</v>
      </c>
      <c r="BN138" s="4">
        <v>1994</v>
      </c>
      <c r="BO138" s="4">
        <v>2</v>
      </c>
    </row>
    <row r="139" spans="1:76">
      <c r="A139" s="4">
        <v>1994</v>
      </c>
      <c r="B139" s="4">
        <v>3</v>
      </c>
      <c r="C139" s="4">
        <f>'[2]FPC wSEB'!$F236</f>
        <v>272251</v>
      </c>
      <c r="D139" s="4">
        <f>'[2]FPC wSEB'!$Z236</f>
        <v>3144</v>
      </c>
      <c r="F139" s="4">
        <f>'[2]FPC wSEB'!$G236</f>
        <v>78024</v>
      </c>
      <c r="G139" s="4">
        <f t="shared" si="20"/>
        <v>194227</v>
      </c>
      <c r="Z139" s="6">
        <f t="shared" si="21"/>
        <v>272251</v>
      </c>
      <c r="AA139" s="4">
        <f t="shared" si="23"/>
        <v>3557</v>
      </c>
      <c r="AB139" s="4">
        <f t="shared" si="22"/>
        <v>272251</v>
      </c>
      <c r="BN139" s="4">
        <v>1994</v>
      </c>
      <c r="BO139" s="4">
        <v>3</v>
      </c>
    </row>
    <row r="140" spans="1:76">
      <c r="A140" s="4">
        <v>1994</v>
      </c>
      <c r="B140" s="4">
        <v>4</v>
      </c>
      <c r="C140" s="4">
        <f>'[2]FPC wSEB'!$F237</f>
        <v>320787</v>
      </c>
      <c r="D140" s="4">
        <f>'[2]FPC wSEB'!$Z237</f>
        <v>3181</v>
      </c>
      <c r="F140" s="4">
        <f>'[2]FPC wSEB'!$G237</f>
        <v>90401</v>
      </c>
      <c r="G140" s="4">
        <f t="shared" si="20"/>
        <v>230386</v>
      </c>
      <c r="Z140" s="6">
        <f t="shared" si="21"/>
        <v>320787</v>
      </c>
      <c r="AA140" s="4">
        <f t="shared" si="23"/>
        <v>37913</v>
      </c>
      <c r="AB140" s="4">
        <f t="shared" si="22"/>
        <v>320787</v>
      </c>
      <c r="BN140" s="4">
        <v>1994</v>
      </c>
      <c r="BO140" s="4">
        <v>4</v>
      </c>
    </row>
    <row r="141" spans="1:76">
      <c r="A141" s="4">
        <v>1994</v>
      </c>
      <c r="B141" s="4">
        <v>5</v>
      </c>
      <c r="C141" s="4">
        <f>'[2]FPC wSEB'!$F238</f>
        <v>301246</v>
      </c>
      <c r="D141" s="4">
        <f>'[2]FPC wSEB'!$Z238</f>
        <v>3176</v>
      </c>
      <c r="F141" s="4">
        <f>'[2]FPC wSEB'!$G238</f>
        <v>80345</v>
      </c>
      <c r="G141" s="4">
        <f t="shared" si="20"/>
        <v>220901</v>
      </c>
      <c r="Z141" s="6">
        <f t="shared" si="21"/>
        <v>301246</v>
      </c>
      <c r="AA141" s="4">
        <f t="shared" si="23"/>
        <v>2127</v>
      </c>
      <c r="AB141" s="4">
        <f t="shared" si="22"/>
        <v>301246</v>
      </c>
      <c r="BN141" s="4">
        <v>1994</v>
      </c>
      <c r="BO141" s="4">
        <v>5</v>
      </c>
    </row>
    <row r="142" spans="1:76">
      <c r="A142" s="4">
        <v>1994</v>
      </c>
      <c r="B142" s="4">
        <v>6</v>
      </c>
      <c r="C142" s="4">
        <f>'[2]FPC wSEB'!$F239</f>
        <v>306980</v>
      </c>
      <c r="D142" s="4">
        <f>'[2]FPC wSEB'!$Z239</f>
        <v>3202</v>
      </c>
      <c r="F142" s="4">
        <f>'[2]FPC wSEB'!$G239</f>
        <v>83028</v>
      </c>
      <c r="G142" s="4">
        <f t="shared" si="20"/>
        <v>223952</v>
      </c>
      <c r="Z142" s="6">
        <f t="shared" si="21"/>
        <v>306980</v>
      </c>
      <c r="AA142" s="4">
        <f t="shared" si="23"/>
        <v>9968</v>
      </c>
      <c r="AB142" s="4">
        <f t="shared" si="22"/>
        <v>306980</v>
      </c>
      <c r="BN142" s="4">
        <v>1994</v>
      </c>
      <c r="BO142" s="4">
        <v>6</v>
      </c>
    </row>
    <row r="143" spans="1:76">
      <c r="A143" s="4">
        <v>1994</v>
      </c>
      <c r="B143" s="4">
        <v>7</v>
      </c>
      <c r="C143" s="4">
        <f>'[2]FPC wSEB'!$F240</f>
        <v>308391</v>
      </c>
      <c r="D143" s="4">
        <f>'[2]FPC wSEB'!$Z240</f>
        <v>3199</v>
      </c>
      <c r="F143" s="4">
        <f>'[2]FPC wSEB'!$G240</f>
        <v>80184</v>
      </c>
      <c r="G143" s="4">
        <f t="shared" si="20"/>
        <v>228207</v>
      </c>
      <c r="Z143" s="6">
        <f t="shared" si="21"/>
        <v>308391</v>
      </c>
      <c r="AA143" s="4">
        <f t="shared" si="23"/>
        <v>21660</v>
      </c>
      <c r="AB143" s="4">
        <f t="shared" si="22"/>
        <v>308391</v>
      </c>
      <c r="BN143" s="4">
        <v>1994</v>
      </c>
      <c r="BO143" s="4">
        <v>7</v>
      </c>
    </row>
    <row r="144" spans="1:76">
      <c r="A144" s="4">
        <v>1994</v>
      </c>
      <c r="B144" s="4">
        <v>8</v>
      </c>
      <c r="C144" s="4">
        <f>'[2]FPC wSEB'!$F241</f>
        <v>298600</v>
      </c>
      <c r="D144" s="4">
        <f>'[2]FPC wSEB'!$Z241</f>
        <v>3214</v>
      </c>
      <c r="F144" s="4">
        <f>'[2]FPC wSEB'!$G241</f>
        <v>84244</v>
      </c>
      <c r="G144" s="4">
        <f t="shared" si="20"/>
        <v>214356</v>
      </c>
      <c r="Z144" s="6">
        <f t="shared" si="21"/>
        <v>298600</v>
      </c>
      <c r="AA144" s="4">
        <f t="shared" si="23"/>
        <v>9171</v>
      </c>
      <c r="AB144" s="4">
        <f t="shared" si="22"/>
        <v>298600</v>
      </c>
      <c r="BN144" s="4">
        <v>1994</v>
      </c>
      <c r="BO144" s="4">
        <v>8</v>
      </c>
    </row>
    <row r="145" spans="1:76">
      <c r="A145" s="4">
        <v>1994</v>
      </c>
      <c r="B145" s="4">
        <v>9</v>
      </c>
      <c r="C145" s="4">
        <f>'[2]FPC wSEB'!$F242</f>
        <v>326733</v>
      </c>
      <c r="D145" s="4">
        <f>'[2]FPC wSEB'!$Z242</f>
        <v>3231</v>
      </c>
      <c r="F145" s="4">
        <f>'[2]FPC wSEB'!$G242</f>
        <v>96843</v>
      </c>
      <c r="G145" s="4">
        <f t="shared" si="20"/>
        <v>229890</v>
      </c>
      <c r="Z145" s="6">
        <f t="shared" si="21"/>
        <v>326733</v>
      </c>
      <c r="AA145" s="4">
        <f t="shared" si="23"/>
        <v>29052</v>
      </c>
      <c r="AB145" s="4">
        <f t="shared" si="22"/>
        <v>326733</v>
      </c>
      <c r="BN145" s="4">
        <v>1994</v>
      </c>
      <c r="BO145" s="4">
        <v>9</v>
      </c>
    </row>
    <row r="146" spans="1:76">
      <c r="A146" s="4">
        <v>1994</v>
      </c>
      <c r="B146" s="4">
        <v>10</v>
      </c>
      <c r="C146" s="4">
        <f>'[2]FPC wSEB'!$F243</f>
        <v>295256</v>
      </c>
      <c r="D146" s="4">
        <f>'[2]FPC wSEB'!$Z243</f>
        <v>3228</v>
      </c>
      <c r="F146" s="4">
        <f>'[2]FPC wSEB'!$G243</f>
        <v>85580</v>
      </c>
      <c r="G146" s="4">
        <f t="shared" ref="G146:G209" si="24">C146-F146</f>
        <v>209676</v>
      </c>
      <c r="Z146" s="6">
        <f t="shared" ref="Z146:Z209" si="25">C146</f>
        <v>295256</v>
      </c>
      <c r="AA146" s="4">
        <f t="shared" si="23"/>
        <v>13626</v>
      </c>
      <c r="AB146" s="4">
        <f t="shared" ref="AB146:AB208" si="26">Z146</f>
        <v>295256</v>
      </c>
      <c r="BN146" s="4">
        <v>1994</v>
      </c>
      <c r="BO146" s="4">
        <v>10</v>
      </c>
    </row>
    <row r="147" spans="1:76">
      <c r="A147" s="4">
        <v>1994</v>
      </c>
      <c r="B147" s="4">
        <v>11</v>
      </c>
      <c r="C147" s="4">
        <f>'[2]FPC wSEB'!$F244</f>
        <v>287584</v>
      </c>
      <c r="D147" s="4">
        <f>'[2]FPC wSEB'!$Z244</f>
        <v>3220</v>
      </c>
      <c r="F147" s="4">
        <f>'[2]FPC wSEB'!$G244</f>
        <v>77942</v>
      </c>
      <c r="G147" s="4">
        <f t="shared" si="24"/>
        <v>209642</v>
      </c>
      <c r="Z147" s="6">
        <f t="shared" si="25"/>
        <v>287584</v>
      </c>
      <c r="AA147" s="4">
        <f t="shared" si="23"/>
        <v>10063</v>
      </c>
      <c r="AB147" s="4">
        <f t="shared" si="26"/>
        <v>287584</v>
      </c>
      <c r="BN147" s="4">
        <v>1994</v>
      </c>
      <c r="BO147" s="4">
        <v>11</v>
      </c>
    </row>
    <row r="148" spans="1:76">
      <c r="A148" s="85">
        <v>1994</v>
      </c>
      <c r="B148" s="85">
        <v>12</v>
      </c>
      <c r="C148" s="4">
        <f>'[2]FPC wSEB'!$F245</f>
        <v>303821</v>
      </c>
      <c r="D148" s="4">
        <f>'[2]FPC wSEB'!$Z245</f>
        <v>3219</v>
      </c>
      <c r="F148" s="4">
        <f>'[2]FPC wSEB'!$G245</f>
        <v>86666</v>
      </c>
      <c r="G148" s="4">
        <f t="shared" si="24"/>
        <v>217155</v>
      </c>
      <c r="Z148" s="6">
        <f t="shared" si="25"/>
        <v>303821</v>
      </c>
      <c r="AA148" s="4">
        <f t="shared" si="23"/>
        <v>16325</v>
      </c>
      <c r="AB148" s="4">
        <f t="shared" si="26"/>
        <v>303821</v>
      </c>
      <c r="BN148" s="4">
        <v>1994</v>
      </c>
      <c r="BO148" s="4">
        <v>12</v>
      </c>
      <c r="BW148" s="89"/>
      <c r="BX148" s="89"/>
    </row>
    <row r="149" spans="1:76">
      <c r="A149" s="4">
        <v>1995</v>
      </c>
      <c r="B149" s="4">
        <v>1</v>
      </c>
      <c r="C149" s="4">
        <f>'[2]FPC wSEB'!$F246</f>
        <v>286886</v>
      </c>
      <c r="D149" s="4">
        <f>'[2]FPC wSEB'!$Z246</f>
        <v>3235</v>
      </c>
      <c r="F149" s="4">
        <f>'[2]FPC wSEB'!$G246</f>
        <v>90999</v>
      </c>
      <c r="G149" s="4">
        <f t="shared" si="24"/>
        <v>195887</v>
      </c>
      <c r="Z149" s="6">
        <f t="shared" si="25"/>
        <v>286886</v>
      </c>
      <c r="AA149" s="4">
        <f t="shared" si="23"/>
        <v>13256</v>
      </c>
      <c r="AB149" s="4">
        <f t="shared" si="26"/>
        <v>286886</v>
      </c>
      <c r="BN149" s="4">
        <v>1995</v>
      </c>
      <c r="BO149" s="4">
        <v>1</v>
      </c>
    </row>
    <row r="150" spans="1:76">
      <c r="A150" s="4">
        <v>1995</v>
      </c>
      <c r="B150" s="4">
        <v>2</v>
      </c>
      <c r="C150" s="4">
        <f>'[2]FPC wSEB'!$F247</f>
        <v>292513</v>
      </c>
      <c r="D150" s="4">
        <f>'[2]FPC wSEB'!$Z247</f>
        <v>3228</v>
      </c>
      <c r="F150" s="4">
        <f>'[2]FPC wSEB'!$G247</f>
        <v>94195</v>
      </c>
      <c r="G150" s="4">
        <f t="shared" si="24"/>
        <v>198318</v>
      </c>
      <c r="Z150" s="6">
        <f t="shared" si="25"/>
        <v>292513</v>
      </c>
      <c r="AA150" s="4">
        <f t="shared" si="23"/>
        <v>8194</v>
      </c>
      <c r="AB150" s="4">
        <f t="shared" si="26"/>
        <v>292513</v>
      </c>
      <c r="BN150" s="4">
        <v>1995</v>
      </c>
      <c r="BO150" s="4">
        <v>2</v>
      </c>
    </row>
    <row r="151" spans="1:76">
      <c r="A151" s="4">
        <v>1995</v>
      </c>
      <c r="B151" s="4">
        <v>3</v>
      </c>
      <c r="C151" s="4">
        <f>'[2]FPC wSEB'!$F248</f>
        <v>281074</v>
      </c>
      <c r="D151" s="4">
        <f>'[2]FPC wSEB'!$Z248</f>
        <v>2985</v>
      </c>
      <c r="F151" s="4">
        <f>'[2]FPC wSEB'!$G248</f>
        <v>89880</v>
      </c>
      <c r="G151" s="4">
        <f t="shared" si="24"/>
        <v>191194</v>
      </c>
      <c r="Z151" s="6">
        <f t="shared" si="25"/>
        <v>281074</v>
      </c>
      <c r="AA151" s="4">
        <f t="shared" si="23"/>
        <v>8823</v>
      </c>
      <c r="AB151" s="4">
        <f t="shared" si="26"/>
        <v>281074</v>
      </c>
      <c r="BN151" s="4">
        <v>1995</v>
      </c>
      <c r="BO151" s="4">
        <v>3</v>
      </c>
    </row>
    <row r="152" spans="1:76">
      <c r="A152" s="4">
        <v>1995</v>
      </c>
      <c r="B152" s="4">
        <v>4</v>
      </c>
      <c r="C152" s="4">
        <f>'[2]FPC wSEB'!$F249</f>
        <v>343083</v>
      </c>
      <c r="D152" s="4">
        <f>'[2]FPC wSEB'!$Z249</f>
        <v>3498</v>
      </c>
      <c r="F152" s="4">
        <f>'[2]FPC wSEB'!$G249</f>
        <v>102775</v>
      </c>
      <c r="G152" s="4">
        <f t="shared" si="24"/>
        <v>240308</v>
      </c>
      <c r="Z152" s="6">
        <f t="shared" si="25"/>
        <v>343083</v>
      </c>
      <c r="AA152" s="4">
        <f t="shared" si="23"/>
        <v>22296</v>
      </c>
      <c r="AB152" s="4">
        <f t="shared" si="26"/>
        <v>343083</v>
      </c>
      <c r="BN152" s="4">
        <v>1995</v>
      </c>
      <c r="BO152" s="4">
        <v>4</v>
      </c>
    </row>
    <row r="153" spans="1:76">
      <c r="A153" s="4">
        <v>1995</v>
      </c>
      <c r="B153" s="4">
        <v>5</v>
      </c>
      <c r="C153" s="4">
        <f>'[2]FPC wSEB'!$F250</f>
        <v>317815</v>
      </c>
      <c r="D153" s="4">
        <f>'[2]FPC wSEB'!$Z250</f>
        <v>3130</v>
      </c>
      <c r="F153" s="4">
        <f>'[2]FPC wSEB'!$G250</f>
        <v>92253</v>
      </c>
      <c r="G153" s="4">
        <f t="shared" si="24"/>
        <v>225562</v>
      </c>
      <c r="Z153" s="6">
        <f t="shared" si="25"/>
        <v>317815</v>
      </c>
      <c r="AA153" s="4">
        <f t="shared" si="23"/>
        <v>16569</v>
      </c>
      <c r="AB153" s="4">
        <f t="shared" si="26"/>
        <v>317815</v>
      </c>
      <c r="BN153" s="4">
        <v>1995</v>
      </c>
      <c r="BO153" s="4">
        <v>5</v>
      </c>
    </row>
    <row r="154" spans="1:76">
      <c r="A154" s="4">
        <v>1995</v>
      </c>
      <c r="B154" s="4">
        <v>6</v>
      </c>
      <c r="C154" s="4">
        <f>'[2]FPC wSEB'!$F251</f>
        <v>340648</v>
      </c>
      <c r="D154" s="4">
        <f>'[2]FPC wSEB'!$Z251</f>
        <v>3148</v>
      </c>
      <c r="F154" s="4">
        <f>'[2]FPC wSEB'!$G251</f>
        <v>100935</v>
      </c>
      <c r="G154" s="4">
        <f t="shared" si="24"/>
        <v>239713</v>
      </c>
      <c r="Z154" s="6">
        <f t="shared" si="25"/>
        <v>340648</v>
      </c>
      <c r="AA154" s="4">
        <f t="shared" si="23"/>
        <v>33668</v>
      </c>
      <c r="AB154" s="4">
        <f t="shared" si="26"/>
        <v>340648</v>
      </c>
      <c r="BN154" s="4">
        <v>1995</v>
      </c>
      <c r="BO154" s="4">
        <v>6</v>
      </c>
    </row>
    <row r="155" spans="1:76">
      <c r="A155" s="4">
        <v>1995</v>
      </c>
      <c r="B155" s="4">
        <v>7</v>
      </c>
      <c r="C155" s="4">
        <f>'[2]FPC wSEB'!$F252</f>
        <v>319163</v>
      </c>
      <c r="D155" s="4">
        <f>'[2]FPC wSEB'!$Z252</f>
        <v>3107</v>
      </c>
      <c r="F155" s="4">
        <f>'[2]FPC wSEB'!$G252</f>
        <v>101594</v>
      </c>
      <c r="G155" s="4">
        <f t="shared" si="24"/>
        <v>217569</v>
      </c>
      <c r="Z155" s="6">
        <f t="shared" si="25"/>
        <v>319163</v>
      </c>
      <c r="AA155" s="4">
        <f t="shared" si="23"/>
        <v>10772</v>
      </c>
      <c r="AB155" s="4">
        <f t="shared" si="26"/>
        <v>319163</v>
      </c>
      <c r="BN155" s="4">
        <v>1995</v>
      </c>
      <c r="BO155" s="4">
        <v>7</v>
      </c>
    </row>
    <row r="156" spans="1:76">
      <c r="A156" s="4">
        <v>1995</v>
      </c>
      <c r="B156" s="4">
        <v>8</v>
      </c>
      <c r="C156" s="4">
        <f>'[2]FPC wSEB'!$F253</f>
        <v>320662</v>
      </c>
      <c r="D156" s="4">
        <f>'[2]FPC wSEB'!$Z253</f>
        <v>3092</v>
      </c>
      <c r="F156" s="4">
        <f>'[2]FPC wSEB'!$G253</f>
        <v>105862</v>
      </c>
      <c r="G156" s="4">
        <f t="shared" si="24"/>
        <v>214800</v>
      </c>
      <c r="Z156" s="6">
        <f t="shared" si="25"/>
        <v>320662</v>
      </c>
      <c r="AA156" s="4">
        <f t="shared" si="23"/>
        <v>22062</v>
      </c>
      <c r="AB156" s="4">
        <f t="shared" si="26"/>
        <v>320662</v>
      </c>
      <c r="BN156" s="4">
        <v>1995</v>
      </c>
      <c r="BO156" s="4">
        <v>8</v>
      </c>
    </row>
    <row r="157" spans="1:76">
      <c r="A157" s="4">
        <v>1995</v>
      </c>
      <c r="B157" s="4">
        <v>9</v>
      </c>
      <c r="C157" s="4">
        <f>'[2]FPC wSEB'!$F254</f>
        <v>350293</v>
      </c>
      <c r="D157" s="4">
        <f>'[2]FPC wSEB'!$Z254</f>
        <v>3109</v>
      </c>
      <c r="F157" s="4">
        <f>'[2]FPC wSEB'!$G254</f>
        <v>110676</v>
      </c>
      <c r="G157" s="4">
        <f t="shared" si="24"/>
        <v>239617</v>
      </c>
      <c r="Z157" s="6">
        <f t="shared" si="25"/>
        <v>350293</v>
      </c>
      <c r="AA157" s="4">
        <f t="shared" ref="AA157:AA220" si="27">Z157-Z145</f>
        <v>23560</v>
      </c>
      <c r="AB157" s="4">
        <f t="shared" si="26"/>
        <v>350293</v>
      </c>
      <c r="BN157" s="4">
        <v>1995</v>
      </c>
      <c r="BO157" s="4">
        <v>9</v>
      </c>
    </row>
    <row r="158" spans="1:76">
      <c r="A158" s="4">
        <v>1995</v>
      </c>
      <c r="B158" s="4">
        <v>10</v>
      </c>
      <c r="C158" s="4">
        <f>'[2]FPC wSEB'!$F255</f>
        <v>333717</v>
      </c>
      <c r="D158" s="4">
        <f>'[2]FPC wSEB'!$Z255</f>
        <v>3073</v>
      </c>
      <c r="F158" s="4">
        <f>'[2]FPC wSEB'!$G255</f>
        <v>114586</v>
      </c>
      <c r="G158" s="4">
        <f t="shared" si="24"/>
        <v>219131</v>
      </c>
      <c r="Z158" s="6">
        <f t="shared" si="25"/>
        <v>333717</v>
      </c>
      <c r="AA158" s="4">
        <f t="shared" si="27"/>
        <v>38461</v>
      </c>
      <c r="AB158" s="4">
        <f t="shared" si="26"/>
        <v>333717</v>
      </c>
      <c r="BN158" s="4">
        <v>1995</v>
      </c>
      <c r="BO158" s="4">
        <v>10</v>
      </c>
    </row>
    <row r="159" spans="1:76">
      <c r="A159" s="4">
        <v>1995</v>
      </c>
      <c r="B159" s="4">
        <v>11</v>
      </c>
      <c r="C159" s="4">
        <f>'[2]FPC wSEB'!$F256</f>
        <v>330082</v>
      </c>
      <c r="D159" s="4">
        <f>'[2]FPC wSEB'!$Z256</f>
        <v>3103</v>
      </c>
      <c r="F159" s="4">
        <f>'[2]FPC wSEB'!$G256</f>
        <v>114427</v>
      </c>
      <c r="G159" s="4">
        <f t="shared" si="24"/>
        <v>215655</v>
      </c>
      <c r="Z159" s="6">
        <f t="shared" si="25"/>
        <v>330082</v>
      </c>
      <c r="AA159" s="4">
        <f t="shared" si="27"/>
        <v>42498</v>
      </c>
      <c r="AB159" s="4">
        <f t="shared" si="26"/>
        <v>330082</v>
      </c>
      <c r="BN159" s="4">
        <v>1995</v>
      </c>
      <c r="BO159" s="4">
        <v>11</v>
      </c>
    </row>
    <row r="160" spans="1:76">
      <c r="A160" s="89">
        <v>1995</v>
      </c>
      <c r="B160" s="89">
        <v>12</v>
      </c>
      <c r="C160" s="4">
        <f>'[2]FPC wSEB'!$F257</f>
        <v>348483</v>
      </c>
      <c r="D160" s="4">
        <f>'[2]FPC wSEB'!$Z257</f>
        <v>3012</v>
      </c>
      <c r="F160" s="4">
        <f>'[2]FPC wSEB'!$G257</f>
        <v>128538</v>
      </c>
      <c r="G160" s="4">
        <f t="shared" si="24"/>
        <v>219945</v>
      </c>
      <c r="Z160" s="6">
        <f t="shared" si="25"/>
        <v>348483</v>
      </c>
      <c r="AA160" s="4">
        <f t="shared" si="27"/>
        <v>44662</v>
      </c>
      <c r="AB160" s="4">
        <f t="shared" si="26"/>
        <v>348483</v>
      </c>
      <c r="BN160" s="4">
        <v>1995</v>
      </c>
      <c r="BO160" s="4">
        <v>12</v>
      </c>
      <c r="BW160" s="89"/>
      <c r="BX160" s="89"/>
    </row>
    <row r="161" spans="1:76">
      <c r="A161" s="4">
        <v>1996</v>
      </c>
      <c r="B161" s="4">
        <v>1</v>
      </c>
      <c r="C161" s="4">
        <f>'[2]FPC wSEB'!$F258</f>
        <v>319114</v>
      </c>
      <c r="D161" s="4">
        <f>'[2]FPC wSEB'!$Z258</f>
        <v>3026</v>
      </c>
      <c r="F161" s="4">
        <f>'[2]FPC wSEB'!$G258</f>
        <v>119617</v>
      </c>
      <c r="G161" s="4">
        <f t="shared" si="24"/>
        <v>199497</v>
      </c>
      <c r="Z161" s="6">
        <f t="shared" si="25"/>
        <v>319114</v>
      </c>
      <c r="AA161" s="4">
        <f t="shared" si="27"/>
        <v>32228</v>
      </c>
      <c r="AB161" s="4">
        <f t="shared" si="26"/>
        <v>319114</v>
      </c>
      <c r="BN161" s="4">
        <v>1996</v>
      </c>
      <c r="BO161" s="4">
        <v>1</v>
      </c>
    </row>
    <row r="162" spans="1:76">
      <c r="A162" s="4">
        <v>1996</v>
      </c>
      <c r="B162" s="4">
        <v>2</v>
      </c>
      <c r="C162" s="4">
        <f>'[2]FPC wSEB'!$F259</f>
        <v>334088</v>
      </c>
      <c r="D162" s="4">
        <f>'[2]FPC wSEB'!$Z259</f>
        <v>2996</v>
      </c>
      <c r="F162" s="4">
        <f>'[2]FPC wSEB'!$G259</f>
        <v>114494</v>
      </c>
      <c r="G162" s="4">
        <f t="shared" si="24"/>
        <v>219594</v>
      </c>
      <c r="Z162" s="6">
        <f t="shared" si="25"/>
        <v>334088</v>
      </c>
      <c r="AA162" s="4">
        <f t="shared" si="27"/>
        <v>41575</v>
      </c>
      <c r="AB162" s="4">
        <f t="shared" si="26"/>
        <v>334088</v>
      </c>
      <c r="BN162" s="4">
        <v>1996</v>
      </c>
      <c r="BO162" s="4">
        <v>2</v>
      </c>
    </row>
    <row r="163" spans="1:76">
      <c r="A163" s="4">
        <v>1996</v>
      </c>
      <c r="B163" s="4">
        <v>3</v>
      </c>
      <c r="C163" s="4">
        <f>'[2]FPC wSEB'!$F260</f>
        <v>347662</v>
      </c>
      <c r="D163" s="4">
        <f>'[2]FPC wSEB'!$Z260</f>
        <v>2959</v>
      </c>
      <c r="F163" s="4">
        <f>'[2]FPC wSEB'!$G260</f>
        <v>138432</v>
      </c>
      <c r="G163" s="4">
        <f t="shared" si="24"/>
        <v>209230</v>
      </c>
      <c r="Z163" s="6">
        <f t="shared" si="25"/>
        <v>347662</v>
      </c>
      <c r="AA163" s="4">
        <f t="shared" si="27"/>
        <v>66588</v>
      </c>
      <c r="AB163" s="4">
        <f t="shared" si="26"/>
        <v>347662</v>
      </c>
      <c r="BN163" s="4">
        <v>1996</v>
      </c>
      <c r="BO163" s="4">
        <v>3</v>
      </c>
    </row>
    <row r="164" spans="1:76">
      <c r="A164" s="4">
        <v>1996</v>
      </c>
      <c r="B164" s="4">
        <v>4</v>
      </c>
      <c r="C164" s="4">
        <f>'[2]FPC wSEB'!$F261</f>
        <v>349343</v>
      </c>
      <c r="D164" s="4">
        <f>'[2]FPC wSEB'!$Z261</f>
        <v>3001</v>
      </c>
      <c r="F164" s="4">
        <f>'[2]FPC wSEB'!$G261</f>
        <v>138929</v>
      </c>
      <c r="G164" s="4">
        <f t="shared" si="24"/>
        <v>210414</v>
      </c>
      <c r="Z164" s="6">
        <f t="shared" si="25"/>
        <v>349343</v>
      </c>
      <c r="AA164" s="4">
        <f t="shared" si="27"/>
        <v>6260</v>
      </c>
      <c r="AB164" s="4">
        <f t="shared" si="26"/>
        <v>349343</v>
      </c>
      <c r="BN164" s="4">
        <v>1996</v>
      </c>
      <c r="BO164" s="4">
        <v>4</v>
      </c>
    </row>
    <row r="165" spans="1:76">
      <c r="A165" s="4">
        <v>1996</v>
      </c>
      <c r="B165" s="4">
        <v>5</v>
      </c>
      <c r="C165" s="4">
        <f>'[2]FPC wSEB'!$F262</f>
        <v>368380</v>
      </c>
      <c r="D165" s="4">
        <f>'[2]FPC wSEB'!$Z262</f>
        <v>2879</v>
      </c>
      <c r="F165" s="4">
        <f>'[2]FPC wSEB'!$G262</f>
        <v>116247</v>
      </c>
      <c r="G165" s="4">
        <f t="shared" si="24"/>
        <v>252133</v>
      </c>
      <c r="Z165" s="6">
        <f t="shared" si="25"/>
        <v>368380</v>
      </c>
      <c r="AA165" s="4">
        <f t="shared" si="27"/>
        <v>50565</v>
      </c>
      <c r="AB165" s="4">
        <f t="shared" si="26"/>
        <v>368380</v>
      </c>
      <c r="BN165" s="4">
        <v>1996</v>
      </c>
      <c r="BO165" s="4">
        <v>5</v>
      </c>
    </row>
    <row r="166" spans="1:76">
      <c r="A166" s="4">
        <v>1996</v>
      </c>
      <c r="B166" s="4">
        <v>6</v>
      </c>
      <c r="C166" s="4">
        <f>'[2]FPC wSEB'!$F263</f>
        <v>382108</v>
      </c>
      <c r="D166" s="4">
        <f>'[2]FPC wSEB'!$Z263</f>
        <v>2993</v>
      </c>
      <c r="F166" s="4">
        <f>'[2]FPC wSEB'!$G263</f>
        <v>120133</v>
      </c>
      <c r="G166" s="4">
        <f t="shared" si="24"/>
        <v>261975</v>
      </c>
      <c r="Z166" s="6">
        <f t="shared" si="25"/>
        <v>382108</v>
      </c>
      <c r="AA166" s="4">
        <f t="shared" si="27"/>
        <v>41460</v>
      </c>
      <c r="AB166" s="4">
        <f t="shared" si="26"/>
        <v>382108</v>
      </c>
      <c r="BN166" s="4">
        <v>1996</v>
      </c>
      <c r="BO166" s="4">
        <v>6</v>
      </c>
    </row>
    <row r="167" spans="1:76">
      <c r="A167" s="4">
        <v>1996</v>
      </c>
      <c r="B167" s="4">
        <v>7</v>
      </c>
      <c r="C167" s="4">
        <f>'[2]FPC wSEB'!$F264</f>
        <v>355078</v>
      </c>
      <c r="D167" s="4">
        <f>'[2]FPC wSEB'!$Z264</f>
        <v>2819</v>
      </c>
      <c r="F167" s="4">
        <f>'[2]FPC wSEB'!$G264</f>
        <v>131126</v>
      </c>
      <c r="G167" s="4">
        <f t="shared" si="24"/>
        <v>223952</v>
      </c>
      <c r="Z167" s="6">
        <f t="shared" si="25"/>
        <v>355078</v>
      </c>
      <c r="AA167" s="4">
        <f t="shared" si="27"/>
        <v>35915</v>
      </c>
      <c r="AB167" s="4">
        <f t="shared" si="26"/>
        <v>355078</v>
      </c>
      <c r="BN167" s="4">
        <v>1996</v>
      </c>
      <c r="BO167" s="4">
        <v>7</v>
      </c>
    </row>
    <row r="168" spans="1:76">
      <c r="A168" s="4">
        <v>1996</v>
      </c>
      <c r="B168" s="4">
        <v>8</v>
      </c>
      <c r="C168" s="4">
        <f>'[2]FPC wSEB'!$F265</f>
        <v>361779</v>
      </c>
      <c r="D168" s="4">
        <f>'[2]FPC wSEB'!$Z265</f>
        <v>2953</v>
      </c>
      <c r="F168" s="4">
        <f>'[2]FPC wSEB'!$G265</f>
        <v>124075</v>
      </c>
      <c r="G168" s="4">
        <f t="shared" si="24"/>
        <v>237704</v>
      </c>
      <c r="Z168" s="6">
        <f t="shared" si="25"/>
        <v>361779</v>
      </c>
      <c r="AA168" s="4">
        <f t="shared" si="27"/>
        <v>41117</v>
      </c>
      <c r="AB168" s="4">
        <f t="shared" si="26"/>
        <v>361779</v>
      </c>
      <c r="BN168" s="4">
        <v>1996</v>
      </c>
      <c r="BO168" s="4">
        <v>8</v>
      </c>
    </row>
    <row r="169" spans="1:76">
      <c r="A169" s="4">
        <v>1996</v>
      </c>
      <c r="B169" s="4">
        <v>9</v>
      </c>
      <c r="C169" s="4">
        <f>'[2]FPC wSEB'!$F266</f>
        <v>377666</v>
      </c>
      <c r="D169" s="4">
        <f>'[2]FPC wSEB'!$Z266</f>
        <v>2880</v>
      </c>
      <c r="F169" s="4">
        <f>'[2]FPC wSEB'!$G266</f>
        <v>146668</v>
      </c>
      <c r="G169" s="4">
        <f t="shared" si="24"/>
        <v>230998</v>
      </c>
      <c r="Z169" s="6">
        <f t="shared" si="25"/>
        <v>377666</v>
      </c>
      <c r="AA169" s="4">
        <f t="shared" si="27"/>
        <v>27373</v>
      </c>
      <c r="AB169" s="4">
        <f t="shared" si="26"/>
        <v>377666</v>
      </c>
      <c r="BN169" s="4">
        <v>1996</v>
      </c>
      <c r="BO169" s="4">
        <v>9</v>
      </c>
    </row>
    <row r="170" spans="1:76">
      <c r="A170" s="4">
        <v>1996</v>
      </c>
      <c r="B170" s="4">
        <v>10</v>
      </c>
      <c r="C170" s="4">
        <f>'[2]FPC wSEB'!$F267</f>
        <v>341405</v>
      </c>
      <c r="D170" s="4">
        <f>'[2]FPC wSEB'!$Z267</f>
        <v>2812</v>
      </c>
      <c r="F170" s="4">
        <f>'[2]FPC wSEB'!$G267</f>
        <v>122436</v>
      </c>
      <c r="G170" s="4">
        <f t="shared" si="24"/>
        <v>218969</v>
      </c>
      <c r="Z170" s="6">
        <f t="shared" si="25"/>
        <v>341405</v>
      </c>
      <c r="AA170" s="4">
        <f t="shared" si="27"/>
        <v>7688</v>
      </c>
      <c r="AB170" s="4">
        <f t="shared" si="26"/>
        <v>341405</v>
      </c>
      <c r="BN170" s="4">
        <v>1996</v>
      </c>
      <c r="BO170" s="4">
        <v>10</v>
      </c>
    </row>
    <row r="171" spans="1:76">
      <c r="A171" s="4">
        <v>1996</v>
      </c>
      <c r="B171" s="4">
        <v>11</v>
      </c>
      <c r="C171" s="4">
        <f>'[2]FPC wSEB'!$F268</f>
        <v>377617</v>
      </c>
      <c r="D171" s="4">
        <f>'[2]FPC wSEB'!$Z268</f>
        <v>2958</v>
      </c>
      <c r="F171" s="4">
        <f>'[2]FPC wSEB'!$G268</f>
        <v>151431</v>
      </c>
      <c r="G171" s="4">
        <f t="shared" si="24"/>
        <v>226186</v>
      </c>
      <c r="Z171" s="6">
        <f t="shared" si="25"/>
        <v>377617</v>
      </c>
      <c r="AA171" s="4">
        <f t="shared" si="27"/>
        <v>47535</v>
      </c>
      <c r="AB171" s="4">
        <f t="shared" si="26"/>
        <v>377617</v>
      </c>
      <c r="BN171" s="4">
        <v>1996</v>
      </c>
      <c r="BO171" s="4">
        <v>11</v>
      </c>
    </row>
    <row r="172" spans="1:76">
      <c r="A172" s="89">
        <v>1996</v>
      </c>
      <c r="B172" s="89">
        <v>12</v>
      </c>
      <c r="C172" s="4">
        <f>'[2]FPC wSEB'!$F269</f>
        <v>309453</v>
      </c>
      <c r="D172" s="4">
        <f>'[2]FPC wSEB'!$Z269</f>
        <v>2850</v>
      </c>
      <c r="F172" s="4">
        <f>'[2]FPC wSEB'!$G269</f>
        <v>87900</v>
      </c>
      <c r="G172" s="4">
        <f t="shared" si="24"/>
        <v>221553</v>
      </c>
      <c r="Z172" s="6">
        <f t="shared" si="25"/>
        <v>309453</v>
      </c>
      <c r="AA172" s="4">
        <f t="shared" si="27"/>
        <v>-39030</v>
      </c>
      <c r="AB172" s="4">
        <f t="shared" si="26"/>
        <v>309453</v>
      </c>
      <c r="BN172" s="4">
        <v>1996</v>
      </c>
      <c r="BO172" s="4">
        <v>12</v>
      </c>
      <c r="BP172" s="108"/>
      <c r="BQ172" s="108"/>
      <c r="BR172" s="108"/>
      <c r="BS172" s="108"/>
      <c r="BT172" s="175"/>
      <c r="BU172" s="108"/>
      <c r="BW172" s="89"/>
      <c r="BX172" s="89"/>
    </row>
    <row r="173" spans="1:76">
      <c r="A173" s="23">
        <v>1997</v>
      </c>
      <c r="B173" s="4">
        <v>1</v>
      </c>
      <c r="C173" s="4">
        <f>'[2]FPC wSEB'!$F270</f>
        <v>362334</v>
      </c>
      <c r="D173" s="4">
        <f>'[2]FPC wSEB'!$Z270</f>
        <v>2852</v>
      </c>
      <c r="F173" s="4">
        <f>'[2]FPC wSEB'!$G270</f>
        <v>142709</v>
      </c>
      <c r="G173" s="4">
        <f t="shared" si="24"/>
        <v>219625</v>
      </c>
      <c r="Z173" s="6">
        <f t="shared" si="25"/>
        <v>362334</v>
      </c>
      <c r="AA173" s="4">
        <f t="shared" si="27"/>
        <v>43220</v>
      </c>
      <c r="AB173" s="4">
        <f t="shared" si="26"/>
        <v>362334</v>
      </c>
      <c r="BN173" s="4">
        <v>1997</v>
      </c>
      <c r="BO173" s="4">
        <v>1</v>
      </c>
      <c r="BP173" s="108">
        <f>C173+[4]MWh!$AL7</f>
        <v>370820.26832777535</v>
      </c>
      <c r="BQ173" s="108"/>
      <c r="BR173" s="108"/>
      <c r="BS173" s="108"/>
      <c r="BT173" s="175">
        <f>BP173</f>
        <v>370820.26832777535</v>
      </c>
      <c r="BU173" s="108"/>
    </row>
    <row r="174" spans="1:76">
      <c r="A174" s="23">
        <v>1997</v>
      </c>
      <c r="B174" s="4">
        <v>2</v>
      </c>
      <c r="C174" s="4">
        <f>'[2]FPC wSEB'!$F271</f>
        <v>356567</v>
      </c>
      <c r="D174" s="4">
        <f>'[2]FPC wSEB'!$Z271</f>
        <v>2847</v>
      </c>
      <c r="F174" s="4">
        <f>'[2]FPC wSEB'!$G271</f>
        <v>132205</v>
      </c>
      <c r="G174" s="4">
        <f t="shared" si="24"/>
        <v>224362</v>
      </c>
      <c r="Z174" s="6">
        <f t="shared" si="25"/>
        <v>356567</v>
      </c>
      <c r="AA174" s="4">
        <f t="shared" si="27"/>
        <v>22479</v>
      </c>
      <c r="AB174" s="4">
        <f t="shared" si="26"/>
        <v>356567</v>
      </c>
      <c r="BN174" s="4">
        <v>1997</v>
      </c>
      <c r="BO174" s="4">
        <v>2</v>
      </c>
      <c r="BP174" s="108">
        <f>C174+[4]MWh!$AL8</f>
        <v>337467.71703290101</v>
      </c>
      <c r="BQ174" s="108"/>
      <c r="BR174" s="108"/>
      <c r="BS174" s="108"/>
      <c r="BT174" s="175">
        <f t="shared" ref="BT174:BT233" si="28">BP174</f>
        <v>337467.71703290101</v>
      </c>
      <c r="BU174" s="108"/>
    </row>
    <row r="175" spans="1:76">
      <c r="A175" s="23">
        <v>1997</v>
      </c>
      <c r="B175" s="4">
        <v>3</v>
      </c>
      <c r="C175" s="4">
        <f>'[2]FPC wSEB'!$F272</f>
        <v>331011</v>
      </c>
      <c r="D175" s="4">
        <f>'[2]FPC wSEB'!$Z272</f>
        <v>2858</v>
      </c>
      <c r="F175" s="4">
        <f>'[2]FPC wSEB'!$G272</f>
        <v>108847</v>
      </c>
      <c r="G175" s="4">
        <f t="shared" si="24"/>
        <v>222164</v>
      </c>
      <c r="Z175" s="6">
        <f t="shared" si="25"/>
        <v>331011</v>
      </c>
      <c r="AA175" s="4">
        <f t="shared" si="27"/>
        <v>-16651</v>
      </c>
      <c r="AB175" s="4">
        <f t="shared" si="26"/>
        <v>331011</v>
      </c>
      <c r="BN175" s="4">
        <v>1997</v>
      </c>
      <c r="BO175" s="4">
        <v>3</v>
      </c>
      <c r="BP175" s="108">
        <f>C175+[4]MWh!$AL9</f>
        <v>347629.71946946683</v>
      </c>
      <c r="BQ175" s="108"/>
      <c r="BR175" s="108"/>
      <c r="BS175" s="108"/>
      <c r="BT175" s="175">
        <f t="shared" si="28"/>
        <v>347629.71946946683</v>
      </c>
      <c r="BU175" s="108"/>
    </row>
    <row r="176" spans="1:76">
      <c r="A176" s="23">
        <v>1997</v>
      </c>
      <c r="B176" s="4">
        <v>4</v>
      </c>
      <c r="C176" s="4">
        <f>'[2]FPC wSEB'!$F273</f>
        <v>352429</v>
      </c>
      <c r="D176" s="4">
        <f>'[2]FPC wSEB'!$Z273</f>
        <v>2857</v>
      </c>
      <c r="F176" s="4">
        <f>'[2]FPC wSEB'!$G273</f>
        <v>115034</v>
      </c>
      <c r="G176" s="4">
        <f t="shared" si="24"/>
        <v>237395</v>
      </c>
      <c r="Z176" s="6">
        <f t="shared" si="25"/>
        <v>352429</v>
      </c>
      <c r="AA176" s="4">
        <f t="shared" si="27"/>
        <v>3086</v>
      </c>
      <c r="AB176" s="4">
        <f t="shared" si="26"/>
        <v>352429</v>
      </c>
      <c r="BN176" s="4">
        <v>1997</v>
      </c>
      <c r="BO176" s="4">
        <v>4</v>
      </c>
      <c r="BP176" s="108">
        <f>C176+[4]MWh!$AL10</f>
        <v>343240.69461004657</v>
      </c>
      <c r="BQ176" s="108"/>
      <c r="BR176" s="108"/>
      <c r="BS176" s="108"/>
      <c r="BT176" s="175">
        <f t="shared" si="28"/>
        <v>343240.69461004657</v>
      </c>
      <c r="BU176" s="108"/>
    </row>
    <row r="177" spans="1:76">
      <c r="A177" s="23">
        <v>1997</v>
      </c>
      <c r="B177" s="4">
        <v>5</v>
      </c>
      <c r="C177" s="4">
        <f>'[2]FPC wSEB'!$F274</f>
        <v>353513</v>
      </c>
      <c r="D177" s="4">
        <f>'[2]FPC wSEB'!$Z274</f>
        <v>2828</v>
      </c>
      <c r="F177" s="4">
        <f>'[2]FPC wSEB'!$G274</f>
        <v>115827</v>
      </c>
      <c r="G177" s="4">
        <f t="shared" si="24"/>
        <v>237686</v>
      </c>
      <c r="Z177" s="6">
        <f t="shared" si="25"/>
        <v>353513</v>
      </c>
      <c r="AA177" s="4">
        <f t="shared" si="27"/>
        <v>-14867</v>
      </c>
      <c r="AB177" s="4">
        <f t="shared" si="26"/>
        <v>353513</v>
      </c>
      <c r="BN177" s="4">
        <v>1997</v>
      </c>
      <c r="BO177" s="4">
        <v>5</v>
      </c>
      <c r="BP177" s="108">
        <f>C177+[4]MWh!$AL11</f>
        <v>417444.55710965628</v>
      </c>
      <c r="BQ177" s="108"/>
      <c r="BR177" s="108"/>
      <c r="BS177" s="108"/>
      <c r="BT177" s="175">
        <f t="shared" si="28"/>
        <v>417444.55710965628</v>
      </c>
      <c r="BU177" s="108"/>
    </row>
    <row r="178" spans="1:76">
      <c r="A178" s="23">
        <v>1997</v>
      </c>
      <c r="B178" s="4">
        <v>6</v>
      </c>
      <c r="C178" s="4">
        <f>'[2]FPC wSEB'!$F275</f>
        <v>368181</v>
      </c>
      <c r="D178" s="4">
        <f>'[2]FPC wSEB'!$Z275</f>
        <v>2856</v>
      </c>
      <c r="F178" s="4">
        <f>'[2]FPC wSEB'!$G275</f>
        <v>118451</v>
      </c>
      <c r="G178" s="4">
        <f t="shared" si="24"/>
        <v>249730</v>
      </c>
      <c r="Z178" s="6">
        <f t="shared" si="25"/>
        <v>368181</v>
      </c>
      <c r="AA178" s="4">
        <f t="shared" si="27"/>
        <v>-13927</v>
      </c>
      <c r="AB178" s="4">
        <f t="shared" si="26"/>
        <v>368181</v>
      </c>
      <c r="BN178" s="4">
        <v>1997</v>
      </c>
      <c r="BO178" s="4">
        <v>6</v>
      </c>
      <c r="BP178" s="108">
        <f>C178+[4]MWh!$AL12</f>
        <v>352692.91909483634</v>
      </c>
      <c r="BQ178" s="108"/>
      <c r="BR178" s="108"/>
      <c r="BS178" s="108"/>
      <c r="BT178" s="175">
        <f t="shared" si="28"/>
        <v>352692.91909483634</v>
      </c>
      <c r="BU178" s="108"/>
    </row>
    <row r="179" spans="1:76">
      <c r="A179" s="23">
        <v>1997</v>
      </c>
      <c r="B179" s="4">
        <v>7</v>
      </c>
      <c r="C179" s="4">
        <f>'[2]FPC wSEB'!$F276</f>
        <v>355864</v>
      </c>
      <c r="D179" s="4">
        <f>'[2]FPC wSEB'!$Z276</f>
        <v>2820</v>
      </c>
      <c r="F179" s="4">
        <f>'[2]FPC wSEB'!$G276</f>
        <v>115274</v>
      </c>
      <c r="G179" s="4">
        <f t="shared" si="24"/>
        <v>240590</v>
      </c>
      <c r="Z179" s="6">
        <f t="shared" si="25"/>
        <v>355864</v>
      </c>
      <c r="AA179" s="4">
        <f t="shared" si="27"/>
        <v>786</v>
      </c>
      <c r="AB179" s="4">
        <f t="shared" si="26"/>
        <v>355864</v>
      </c>
      <c r="BN179" s="4">
        <v>1997</v>
      </c>
      <c r="BO179" s="4">
        <v>7</v>
      </c>
      <c r="BP179" s="108">
        <f>C179+[4]MWh!$AL13</f>
        <v>330391.17048843496</v>
      </c>
      <c r="BQ179" s="108"/>
      <c r="BR179" s="108"/>
      <c r="BS179" s="108"/>
      <c r="BT179" s="175">
        <f t="shared" si="28"/>
        <v>330391.17048843496</v>
      </c>
      <c r="BU179" s="108"/>
    </row>
    <row r="180" spans="1:76">
      <c r="A180" s="23">
        <v>1997</v>
      </c>
      <c r="B180" s="4">
        <v>8</v>
      </c>
      <c r="C180" s="4">
        <f>'[2]FPC wSEB'!$F277</f>
        <v>353659</v>
      </c>
      <c r="D180" s="4">
        <f>'[2]FPC wSEB'!$Z277</f>
        <v>2797</v>
      </c>
      <c r="F180" s="4">
        <f>'[2]FPC wSEB'!$G277</f>
        <v>115042</v>
      </c>
      <c r="G180" s="4">
        <f t="shared" si="24"/>
        <v>238617</v>
      </c>
      <c r="Z180" s="6">
        <f t="shared" si="25"/>
        <v>353659</v>
      </c>
      <c r="AA180" s="4">
        <f t="shared" si="27"/>
        <v>-8120</v>
      </c>
      <c r="AB180" s="4">
        <f t="shared" si="26"/>
        <v>353659</v>
      </c>
      <c r="BN180" s="4">
        <v>1997</v>
      </c>
      <c r="BO180" s="4">
        <v>8</v>
      </c>
      <c r="BP180" s="108">
        <f>C180+[4]MWh!$AL14</f>
        <v>373347.87348411762</v>
      </c>
      <c r="BQ180" s="108"/>
      <c r="BR180" s="108"/>
      <c r="BS180" s="108"/>
      <c r="BT180" s="175">
        <f t="shared" si="28"/>
        <v>373347.87348411762</v>
      </c>
      <c r="BU180" s="108"/>
    </row>
    <row r="181" spans="1:76">
      <c r="A181" s="23">
        <v>1997</v>
      </c>
      <c r="B181" s="4">
        <v>9</v>
      </c>
      <c r="C181" s="4">
        <f>'[2]FPC wSEB'!$F278</f>
        <v>348896</v>
      </c>
      <c r="D181" s="4">
        <f>'[2]FPC wSEB'!$Z278</f>
        <v>2819</v>
      </c>
      <c r="F181" s="4">
        <f>'[2]FPC wSEB'!$G278</f>
        <v>112342</v>
      </c>
      <c r="G181" s="4">
        <f t="shared" si="24"/>
        <v>236554</v>
      </c>
      <c r="Z181" s="6">
        <f t="shared" si="25"/>
        <v>348896</v>
      </c>
      <c r="AA181" s="4">
        <f t="shared" si="27"/>
        <v>-28770</v>
      </c>
      <c r="AB181" s="4">
        <f t="shared" si="26"/>
        <v>348896</v>
      </c>
      <c r="BN181" s="4">
        <v>1997</v>
      </c>
      <c r="BO181" s="4">
        <v>9</v>
      </c>
      <c r="BP181" s="108">
        <f>C181+[4]MWh!$AL15</f>
        <v>324895.04757521756</v>
      </c>
      <c r="BQ181" s="108"/>
      <c r="BR181" s="108"/>
      <c r="BS181" s="108"/>
      <c r="BT181" s="175">
        <f t="shared" si="28"/>
        <v>324895.04757521756</v>
      </c>
      <c r="BU181" s="108"/>
    </row>
    <row r="182" spans="1:76">
      <c r="A182" s="23">
        <v>1997</v>
      </c>
      <c r="B182" s="4">
        <v>10</v>
      </c>
      <c r="C182" s="4">
        <f>'[2]FPC wSEB'!$F279</f>
        <v>364023</v>
      </c>
      <c r="D182" s="4">
        <f>'[2]FPC wSEB'!$Z279</f>
        <v>2815</v>
      </c>
      <c r="F182" s="4">
        <f>'[2]FPC wSEB'!$G279</f>
        <v>113267</v>
      </c>
      <c r="G182" s="4">
        <f t="shared" si="24"/>
        <v>250756</v>
      </c>
      <c r="Z182" s="6">
        <f t="shared" si="25"/>
        <v>364023</v>
      </c>
      <c r="AA182" s="4">
        <f t="shared" si="27"/>
        <v>22618</v>
      </c>
      <c r="AB182" s="4">
        <f t="shared" si="26"/>
        <v>364023</v>
      </c>
      <c r="BN182" s="4">
        <v>1997</v>
      </c>
      <c r="BO182" s="4">
        <v>10</v>
      </c>
      <c r="BP182" s="108">
        <f>C182+[4]MWh!$AL16</f>
        <v>339428.90587092913</v>
      </c>
      <c r="BQ182" s="108"/>
      <c r="BR182" s="108"/>
      <c r="BS182" s="108"/>
      <c r="BT182" s="175">
        <f t="shared" si="28"/>
        <v>339428.90587092913</v>
      </c>
      <c r="BU182" s="108"/>
    </row>
    <row r="183" spans="1:76">
      <c r="A183" s="23">
        <v>1997</v>
      </c>
      <c r="B183" s="4">
        <v>11</v>
      </c>
      <c r="C183" s="4">
        <f>'[2]FPC wSEB'!$F280</f>
        <v>357393</v>
      </c>
      <c r="D183" s="4">
        <f>'[2]FPC wSEB'!$Z280</f>
        <v>2870</v>
      </c>
      <c r="F183" s="4">
        <f>'[2]FPC wSEB'!$G280</f>
        <v>128619</v>
      </c>
      <c r="G183" s="4">
        <f t="shared" si="24"/>
        <v>228774</v>
      </c>
      <c r="Z183" s="6">
        <f t="shared" si="25"/>
        <v>357393</v>
      </c>
      <c r="AA183" s="4">
        <f t="shared" si="27"/>
        <v>-20224</v>
      </c>
      <c r="AB183" s="4">
        <f t="shared" si="26"/>
        <v>357393</v>
      </c>
      <c r="BN183" s="4">
        <v>1997</v>
      </c>
      <c r="BO183" s="4">
        <v>11</v>
      </c>
      <c r="BP183" s="108">
        <f>C183+[4]MWh!$AL17</f>
        <v>369841.54915200488</v>
      </c>
      <c r="BQ183" s="108"/>
      <c r="BR183" s="108"/>
      <c r="BS183" s="108"/>
      <c r="BT183" s="175">
        <f t="shared" si="28"/>
        <v>369841.54915200488</v>
      </c>
      <c r="BU183" s="108"/>
    </row>
    <row r="184" spans="1:76">
      <c r="A184" s="89">
        <v>1997</v>
      </c>
      <c r="B184" s="89">
        <v>12</v>
      </c>
      <c r="C184" s="4">
        <f>'[2]FPC wSEB'!$F281</f>
        <v>283915</v>
      </c>
      <c r="D184" s="4">
        <f>'[2]FPC wSEB'!$Z281</f>
        <v>2739</v>
      </c>
      <c r="F184" s="4">
        <f>'[2]FPC wSEB'!$G281</f>
        <v>67538</v>
      </c>
      <c r="G184" s="4">
        <f t="shared" si="24"/>
        <v>216377</v>
      </c>
      <c r="Z184" s="6">
        <f t="shared" si="25"/>
        <v>283915</v>
      </c>
      <c r="AA184" s="4">
        <f t="shared" si="27"/>
        <v>-25538</v>
      </c>
      <c r="AB184" s="4">
        <f t="shared" si="26"/>
        <v>283915</v>
      </c>
      <c r="BN184" s="89">
        <v>1997</v>
      </c>
      <c r="BO184" s="89">
        <v>12</v>
      </c>
      <c r="BP184" s="117">
        <f>C184+[4]MWh!$AL18</f>
        <v>261477.13411955626</v>
      </c>
      <c r="BQ184" s="108"/>
      <c r="BR184" s="108"/>
      <c r="BS184" s="108"/>
      <c r="BT184" s="175">
        <f t="shared" si="28"/>
        <v>261477.13411955626</v>
      </c>
      <c r="BU184" s="108"/>
      <c r="BW184" s="89"/>
      <c r="BX184" s="89"/>
    </row>
    <row r="185" spans="1:76">
      <c r="A185" s="4">
        <v>1998</v>
      </c>
      <c r="B185" s="4">
        <v>1</v>
      </c>
      <c r="C185" s="4">
        <f>'[2]FPC wSEB'!$F282</f>
        <v>328555</v>
      </c>
      <c r="D185" s="4">
        <f>'[2]FPC wSEB'!$Z282</f>
        <v>2736</v>
      </c>
      <c r="F185" s="4">
        <f>'[2]FPC wSEB'!$G282</f>
        <v>108003</v>
      </c>
      <c r="G185" s="4">
        <f t="shared" si="24"/>
        <v>220552</v>
      </c>
      <c r="Z185" s="6">
        <f t="shared" si="25"/>
        <v>328555</v>
      </c>
      <c r="AA185" s="4">
        <f t="shared" si="27"/>
        <v>-33779</v>
      </c>
      <c r="AB185" s="4">
        <f t="shared" si="26"/>
        <v>328555</v>
      </c>
      <c r="BN185" s="4">
        <v>1998</v>
      </c>
      <c r="BO185" s="4">
        <v>1</v>
      </c>
      <c r="BP185" s="108">
        <f>C185+[4]MWh!$AL19</f>
        <v>324102.72632937611</v>
      </c>
      <c r="BQ185" s="108"/>
      <c r="BR185" s="108"/>
      <c r="BS185" s="108"/>
      <c r="BT185" s="175">
        <f t="shared" si="28"/>
        <v>324102.72632937611</v>
      </c>
      <c r="BU185" s="108">
        <f t="shared" ref="BU185:BU248" si="29">BT185-BT173</f>
        <v>-46717.541998399247</v>
      </c>
    </row>
    <row r="186" spans="1:76">
      <c r="A186" s="4">
        <v>1998</v>
      </c>
      <c r="B186" s="4">
        <v>2</v>
      </c>
      <c r="C186" s="4">
        <f>'[2]FPC wSEB'!$F283</f>
        <v>318626</v>
      </c>
      <c r="D186" s="4">
        <f>'[2]FPC wSEB'!$Z283</f>
        <v>2744</v>
      </c>
      <c r="F186" s="4">
        <f>'[2]FPC wSEB'!$G283</f>
        <v>112505</v>
      </c>
      <c r="G186" s="4">
        <f t="shared" si="24"/>
        <v>206121</v>
      </c>
      <c r="Z186" s="6">
        <f t="shared" si="25"/>
        <v>318626</v>
      </c>
      <c r="AA186" s="4">
        <f t="shared" si="27"/>
        <v>-37941</v>
      </c>
      <c r="AB186" s="4">
        <f t="shared" si="26"/>
        <v>318626</v>
      </c>
      <c r="BN186" s="4">
        <v>1998</v>
      </c>
      <c r="BO186" s="4">
        <v>2</v>
      </c>
      <c r="BP186" s="108">
        <f>C186+[4]MWh!$AL20</f>
        <v>319358.96293287817</v>
      </c>
      <c r="BQ186" s="108"/>
      <c r="BR186" s="108"/>
      <c r="BS186" s="108"/>
      <c r="BT186" s="175">
        <f t="shared" si="28"/>
        <v>319358.96293287817</v>
      </c>
      <c r="BU186" s="108">
        <f t="shared" si="29"/>
        <v>-18108.754100022838</v>
      </c>
    </row>
    <row r="187" spans="1:76">
      <c r="A187" s="4">
        <v>1998</v>
      </c>
      <c r="B187" s="4">
        <v>3</v>
      </c>
      <c r="C187" s="4">
        <f>'[2]FPC wSEB'!$F284</f>
        <v>335690</v>
      </c>
      <c r="D187" s="4">
        <f>'[2]FPC wSEB'!$Z284</f>
        <v>2739</v>
      </c>
      <c r="F187" s="4">
        <f>'[2]FPC wSEB'!$G284</f>
        <v>112430</v>
      </c>
      <c r="G187" s="4">
        <f t="shared" si="24"/>
        <v>223260</v>
      </c>
      <c r="Z187" s="6">
        <f t="shared" si="25"/>
        <v>335690</v>
      </c>
      <c r="AA187" s="4">
        <f t="shared" si="27"/>
        <v>4679</v>
      </c>
      <c r="AB187" s="4">
        <f t="shared" si="26"/>
        <v>335690</v>
      </c>
      <c r="BN187" s="4">
        <v>1998</v>
      </c>
      <c r="BO187" s="4">
        <v>3</v>
      </c>
      <c r="BP187" s="108">
        <f>C187+[4]MWh!$AL21</f>
        <v>370291.11160088249</v>
      </c>
      <c r="BQ187" s="108"/>
      <c r="BR187" s="108"/>
      <c r="BS187" s="108"/>
      <c r="BT187" s="175">
        <f t="shared" si="28"/>
        <v>370291.11160088249</v>
      </c>
      <c r="BU187" s="108">
        <f t="shared" si="29"/>
        <v>22661.392131415661</v>
      </c>
    </row>
    <row r="188" spans="1:76">
      <c r="A188" s="4">
        <v>1998</v>
      </c>
      <c r="B188" s="4">
        <v>4</v>
      </c>
      <c r="C188" s="4">
        <f>'[2]FPC wSEB'!$F285</f>
        <v>373889</v>
      </c>
      <c r="D188" s="4">
        <f>'[2]FPC wSEB'!$Z285</f>
        <v>2764</v>
      </c>
      <c r="F188" s="4">
        <f>'[2]FPC wSEB'!$G285</f>
        <v>130713</v>
      </c>
      <c r="G188" s="4">
        <f t="shared" si="24"/>
        <v>243176</v>
      </c>
      <c r="Z188" s="6">
        <f t="shared" si="25"/>
        <v>373889</v>
      </c>
      <c r="AA188" s="4">
        <f t="shared" si="27"/>
        <v>21460</v>
      </c>
      <c r="AB188" s="4">
        <f t="shared" si="26"/>
        <v>373889</v>
      </c>
      <c r="BN188" s="4">
        <v>1998</v>
      </c>
      <c r="BO188" s="4">
        <v>4</v>
      </c>
      <c r="BP188" s="108">
        <f>C188+[4]MWh!$AL22</f>
        <v>375005.97180066234</v>
      </c>
      <c r="BQ188" s="108"/>
      <c r="BR188" s="108"/>
      <c r="BS188" s="108"/>
      <c r="BT188" s="175">
        <f t="shared" si="28"/>
        <v>375005.97180066234</v>
      </c>
      <c r="BU188" s="108">
        <f t="shared" si="29"/>
        <v>31765.277190615772</v>
      </c>
    </row>
    <row r="189" spans="1:76">
      <c r="A189" s="4">
        <v>1998</v>
      </c>
      <c r="B189" s="4">
        <v>5</v>
      </c>
      <c r="C189" s="4">
        <f>'[2]FPC wSEB'!$F286</f>
        <v>368448</v>
      </c>
      <c r="D189" s="4">
        <f>'[2]FPC wSEB'!$Z286</f>
        <v>2675</v>
      </c>
      <c r="F189" s="4">
        <f>'[2]FPC wSEB'!$G286</f>
        <v>128748</v>
      </c>
      <c r="G189" s="4">
        <f t="shared" si="24"/>
        <v>239700</v>
      </c>
      <c r="Z189" s="6">
        <f t="shared" si="25"/>
        <v>368448</v>
      </c>
      <c r="AA189" s="4">
        <f t="shared" si="27"/>
        <v>14935</v>
      </c>
      <c r="AB189" s="4">
        <f t="shared" si="26"/>
        <v>368448</v>
      </c>
      <c r="BN189" s="4">
        <v>1998</v>
      </c>
      <c r="BO189" s="4">
        <v>5</v>
      </c>
      <c r="BP189" s="108">
        <f>C189+[4]MWh!$AL23</f>
        <v>422643.42071192851</v>
      </c>
      <c r="BQ189" s="108"/>
      <c r="BR189" s="108"/>
      <c r="BS189" s="108"/>
      <c r="BT189" s="175">
        <f t="shared" si="28"/>
        <v>422643.42071192851</v>
      </c>
      <c r="BU189" s="108">
        <f t="shared" si="29"/>
        <v>5198.8636022722349</v>
      </c>
    </row>
    <row r="190" spans="1:76">
      <c r="A190" s="4">
        <v>1998</v>
      </c>
      <c r="B190" s="4">
        <v>6</v>
      </c>
      <c r="C190" s="4">
        <f>'[2]FPC wSEB'!$F287</f>
        <v>377900</v>
      </c>
      <c r="D190" s="4">
        <f>'[2]FPC wSEB'!$Z287</f>
        <v>2690</v>
      </c>
      <c r="F190" s="4">
        <f>'[2]FPC wSEB'!$G287</f>
        <v>131950</v>
      </c>
      <c r="G190" s="4">
        <f t="shared" si="24"/>
        <v>245950</v>
      </c>
      <c r="Z190" s="6">
        <f t="shared" si="25"/>
        <v>377900</v>
      </c>
      <c r="AA190" s="4">
        <f t="shared" si="27"/>
        <v>9719</v>
      </c>
      <c r="AB190" s="4">
        <f t="shared" si="26"/>
        <v>377900</v>
      </c>
      <c r="BN190" s="4">
        <v>1998</v>
      </c>
      <c r="BO190" s="4">
        <v>6</v>
      </c>
      <c r="BP190" s="108">
        <f>C190+[4]MWh!$AL24</f>
        <v>364110.83959494939</v>
      </c>
      <c r="BQ190" s="108"/>
      <c r="BR190" s="108"/>
      <c r="BS190" s="108"/>
      <c r="BT190" s="175">
        <f t="shared" si="28"/>
        <v>364110.83959494939</v>
      </c>
      <c r="BU190" s="108">
        <f t="shared" si="29"/>
        <v>11417.920500113047</v>
      </c>
    </row>
    <row r="191" spans="1:76">
      <c r="A191" s="4">
        <v>1998</v>
      </c>
      <c r="B191" s="4">
        <v>7</v>
      </c>
      <c r="C191" s="4">
        <f>'[2]FPC wSEB'!$F288</f>
        <v>362865</v>
      </c>
      <c r="D191" s="4">
        <f>'[2]FPC wSEB'!$Z288</f>
        <v>2665</v>
      </c>
      <c r="F191" s="4">
        <f>'[2]FPC wSEB'!$G288</f>
        <v>129929</v>
      </c>
      <c r="G191" s="4">
        <f t="shared" si="24"/>
        <v>232936</v>
      </c>
      <c r="Z191" s="6">
        <f t="shared" si="25"/>
        <v>362865</v>
      </c>
      <c r="AA191" s="4">
        <f t="shared" si="27"/>
        <v>7001</v>
      </c>
      <c r="AB191" s="4">
        <f t="shared" si="26"/>
        <v>362865</v>
      </c>
      <c r="AJ191" s="361" t="s">
        <v>317</v>
      </c>
      <c r="BN191" s="4">
        <v>1998</v>
      </c>
      <c r="BO191" s="4">
        <v>7</v>
      </c>
      <c r="BP191" s="108">
        <f>C191+[4]MWh!$AL25</f>
        <v>329690.66410564439</v>
      </c>
      <c r="BQ191" s="108"/>
      <c r="BR191" s="108"/>
      <c r="BS191" s="108"/>
      <c r="BT191" s="175">
        <f t="shared" si="28"/>
        <v>329690.66410564439</v>
      </c>
      <c r="BU191" s="108">
        <f t="shared" si="29"/>
        <v>-700.50638279056875</v>
      </c>
    </row>
    <row r="192" spans="1:76">
      <c r="A192" s="4">
        <v>1998</v>
      </c>
      <c r="B192" s="4">
        <v>8</v>
      </c>
      <c r="C192" s="4">
        <f>'[2]FPC wSEB'!$F289</f>
        <v>388967</v>
      </c>
      <c r="D192" s="4">
        <f>'[2]FPC wSEB'!$Z289</f>
        <v>2720</v>
      </c>
      <c r="F192" s="4">
        <f>'[2]FPC wSEB'!$G289</f>
        <v>138918</v>
      </c>
      <c r="G192" s="4">
        <f t="shared" si="24"/>
        <v>250049</v>
      </c>
      <c r="Z192" s="6">
        <f t="shared" si="25"/>
        <v>388967</v>
      </c>
      <c r="AA192" s="4">
        <f t="shared" si="27"/>
        <v>35308</v>
      </c>
      <c r="AB192" s="4">
        <f t="shared" si="26"/>
        <v>388967</v>
      </c>
      <c r="BN192" s="4">
        <v>1998</v>
      </c>
      <c r="BO192" s="4">
        <v>8</v>
      </c>
      <c r="BP192" s="108">
        <f>C192+[4]MWh!$AL26</f>
        <v>416542.17012676282</v>
      </c>
      <c r="BQ192" s="108"/>
      <c r="BR192" s="108"/>
      <c r="BS192" s="108"/>
      <c r="BT192" s="175">
        <f t="shared" si="28"/>
        <v>416542.17012676282</v>
      </c>
      <c r="BU192" s="108">
        <f t="shared" si="29"/>
        <v>43194.296642645204</v>
      </c>
    </row>
    <row r="193" spans="1:73">
      <c r="A193" s="4">
        <v>1998</v>
      </c>
      <c r="B193" s="4">
        <v>9</v>
      </c>
      <c r="C193" s="4">
        <f>'[2]FPC wSEB'!$F290</f>
        <v>377480</v>
      </c>
      <c r="D193" s="4">
        <f>'[2]FPC wSEB'!$Z290</f>
        <v>2631</v>
      </c>
      <c r="F193" s="4">
        <f>'[2]FPC wSEB'!$G290</f>
        <v>129702</v>
      </c>
      <c r="G193" s="4">
        <f t="shared" si="24"/>
        <v>247778</v>
      </c>
      <c r="Z193" s="6">
        <f t="shared" si="25"/>
        <v>377480</v>
      </c>
      <c r="AA193" s="4">
        <f t="shared" si="27"/>
        <v>28584</v>
      </c>
      <c r="AB193" s="4">
        <f t="shared" si="26"/>
        <v>377480</v>
      </c>
      <c r="BN193" s="4">
        <v>1998</v>
      </c>
      <c r="BO193" s="4">
        <v>9</v>
      </c>
      <c r="BP193" s="108">
        <f>C193+[4]MWh!$AL27</f>
        <v>371402.30267047766</v>
      </c>
      <c r="BQ193" s="108"/>
      <c r="BR193" s="108"/>
      <c r="BS193" s="108"/>
      <c r="BT193" s="175">
        <f t="shared" si="28"/>
        <v>371402.30267047766</v>
      </c>
      <c r="BU193" s="108">
        <f t="shared" si="29"/>
        <v>46507.255095260101</v>
      </c>
    </row>
    <row r="194" spans="1:73">
      <c r="A194" s="4">
        <v>1998</v>
      </c>
      <c r="B194" s="4">
        <v>10</v>
      </c>
      <c r="C194" s="4">
        <f>'[2]FPC wSEB'!$F291</f>
        <v>356167</v>
      </c>
      <c r="D194" s="4">
        <f>'[2]FPC wSEB'!$Z291</f>
        <v>2756</v>
      </c>
      <c r="F194" s="4">
        <f>'[2]FPC wSEB'!$G291</f>
        <v>134039</v>
      </c>
      <c r="G194" s="4">
        <f t="shared" si="24"/>
        <v>222128</v>
      </c>
      <c r="Z194" s="6">
        <f t="shared" si="25"/>
        <v>356167</v>
      </c>
      <c r="AA194" s="4">
        <f t="shared" si="27"/>
        <v>-7856</v>
      </c>
      <c r="AB194" s="4">
        <f t="shared" si="26"/>
        <v>356167</v>
      </c>
      <c r="BN194" s="4">
        <v>1998</v>
      </c>
      <c r="BO194" s="4">
        <v>10</v>
      </c>
      <c r="BP194" s="108">
        <f>C194+[4]MWh!$AL28</f>
        <v>325878.14016981388</v>
      </c>
      <c r="BQ194" s="108"/>
      <c r="BR194" s="108"/>
      <c r="BS194" s="108"/>
      <c r="BT194" s="175">
        <f t="shared" si="28"/>
        <v>325878.14016981388</v>
      </c>
      <c r="BU194" s="108">
        <f t="shared" si="29"/>
        <v>-13550.765701115248</v>
      </c>
    </row>
    <row r="195" spans="1:73">
      <c r="A195" s="4">
        <v>1998</v>
      </c>
      <c r="B195" s="4">
        <v>11</v>
      </c>
      <c r="C195" s="4">
        <f>'[2]FPC wSEB'!$F292</f>
        <v>386828</v>
      </c>
      <c r="D195" s="4">
        <f>'[2]FPC wSEB'!$Z292</f>
        <v>2682</v>
      </c>
      <c r="F195" s="4">
        <f>'[2]FPC wSEB'!$G292</f>
        <v>132082</v>
      </c>
      <c r="G195" s="4">
        <f t="shared" si="24"/>
        <v>254746</v>
      </c>
      <c r="Z195" s="6">
        <f t="shared" si="25"/>
        <v>386828</v>
      </c>
      <c r="AA195" s="4">
        <f t="shared" si="27"/>
        <v>29435</v>
      </c>
      <c r="AB195" s="4">
        <f t="shared" si="26"/>
        <v>386828</v>
      </c>
      <c r="AJ195" s="14" t="s">
        <v>318</v>
      </c>
      <c r="AK195" s="14" t="s">
        <v>319</v>
      </c>
      <c r="AL195" s="14" t="s">
        <v>225</v>
      </c>
      <c r="BN195" s="4">
        <v>1998</v>
      </c>
      <c r="BO195" s="4">
        <v>11</v>
      </c>
      <c r="BP195" s="108">
        <f>C195+[4]MWh!$AL29</f>
        <v>417400.19689391972</v>
      </c>
      <c r="BQ195" s="108"/>
      <c r="BR195" s="108"/>
      <c r="BS195" s="108"/>
      <c r="BT195" s="175">
        <f t="shared" si="28"/>
        <v>417400.19689391972</v>
      </c>
      <c r="BU195" s="108">
        <f t="shared" si="29"/>
        <v>47558.647741914843</v>
      </c>
    </row>
    <row r="196" spans="1:73" s="89" customFormat="1">
      <c r="A196" s="89">
        <v>1998</v>
      </c>
      <c r="B196" s="89">
        <v>12</v>
      </c>
      <c r="C196" s="89">
        <f>'[2]FPC wSEB'!$F293</f>
        <v>399974</v>
      </c>
      <c r="D196" s="89">
        <f>'[2]FPC wSEB'!$Z293</f>
        <v>2684</v>
      </c>
      <c r="F196" s="89">
        <f>'[2]FPC wSEB'!$G293</f>
        <v>164234</v>
      </c>
      <c r="G196" s="89">
        <f t="shared" si="24"/>
        <v>235740</v>
      </c>
      <c r="Z196" s="96">
        <f t="shared" si="25"/>
        <v>399974</v>
      </c>
      <c r="AA196" s="89">
        <f t="shared" si="27"/>
        <v>116059</v>
      </c>
      <c r="AB196" s="4">
        <f t="shared" si="26"/>
        <v>399974</v>
      </c>
      <c r="AJ196" s="113" t="s">
        <v>5</v>
      </c>
      <c r="AK196" s="113" t="s">
        <v>5</v>
      </c>
      <c r="AL196" s="113" t="s">
        <v>5</v>
      </c>
      <c r="BN196" s="89">
        <v>1998</v>
      </c>
      <c r="BO196" s="89">
        <v>12</v>
      </c>
      <c r="BP196" s="117">
        <f>C196+[4]MWh!$AL30</f>
        <v>393808.04021718353</v>
      </c>
      <c r="BQ196" s="117"/>
      <c r="BR196" s="117"/>
      <c r="BS196" s="117"/>
      <c r="BT196" s="176">
        <f t="shared" si="28"/>
        <v>393808.04021718353</v>
      </c>
      <c r="BU196" s="117">
        <f t="shared" si="29"/>
        <v>132330.90609762727</v>
      </c>
    </row>
    <row r="197" spans="1:73">
      <c r="A197" s="4">
        <v>1999</v>
      </c>
      <c r="B197" s="4">
        <v>1</v>
      </c>
      <c r="C197" s="4">
        <f>'[2]FPC wSEB'!$F294</f>
        <v>343241</v>
      </c>
      <c r="D197" s="4">
        <f>'[2]FPC wSEB'!$Z294</f>
        <v>2648</v>
      </c>
      <c r="F197" s="4">
        <f>'[2]FPC wSEB'!$G294</f>
        <v>113216</v>
      </c>
      <c r="G197" s="4">
        <f t="shared" si="24"/>
        <v>230025</v>
      </c>
      <c r="H197" s="4">
        <v>2837.4749999999999</v>
      </c>
      <c r="I197" s="4">
        <v>947</v>
      </c>
      <c r="J197" s="130">
        <v>296.13200000000001</v>
      </c>
      <c r="K197" s="4">
        <v>153</v>
      </c>
      <c r="L197" s="374" t="s">
        <v>320</v>
      </c>
      <c r="Z197" s="6">
        <f t="shared" si="25"/>
        <v>343241</v>
      </c>
      <c r="AA197" s="4">
        <f t="shared" si="27"/>
        <v>14686</v>
      </c>
      <c r="AB197" s="4">
        <f t="shared" si="26"/>
        <v>343241</v>
      </c>
      <c r="AJ197" s="269">
        <f>C197-AK197-AL197</f>
        <v>340107.39300000004</v>
      </c>
      <c r="AK197" s="269">
        <f>H197</f>
        <v>2837.4749999999999</v>
      </c>
      <c r="AL197" s="269">
        <f>J197</f>
        <v>296.13200000000001</v>
      </c>
      <c r="BN197" s="4">
        <v>1999</v>
      </c>
      <c r="BO197" s="4">
        <v>1</v>
      </c>
      <c r="BP197" s="108">
        <f>C197+[4]MWh!$AL31</f>
        <v>312818.2770135043</v>
      </c>
      <c r="BQ197" s="108"/>
      <c r="BR197" s="108"/>
      <c r="BS197" s="108"/>
      <c r="BT197" s="175">
        <f t="shared" si="28"/>
        <v>312818.2770135043</v>
      </c>
      <c r="BU197" s="108">
        <f t="shared" si="29"/>
        <v>-11284.449315871811</v>
      </c>
    </row>
    <row r="198" spans="1:73">
      <c r="A198" s="4">
        <v>1999</v>
      </c>
      <c r="B198" s="4">
        <v>2</v>
      </c>
      <c r="C198" s="4">
        <f>'[2]FPC wSEB'!$F295</f>
        <v>343776</v>
      </c>
      <c r="D198" s="4">
        <f>'[2]FPC wSEB'!$Z295</f>
        <v>2655</v>
      </c>
      <c r="F198" s="4">
        <f>'[2]FPC wSEB'!$G295</f>
        <v>119310</v>
      </c>
      <c r="G198" s="4">
        <f t="shared" si="24"/>
        <v>224466</v>
      </c>
      <c r="H198" s="4">
        <v>2853.143</v>
      </c>
      <c r="I198" s="4">
        <v>950</v>
      </c>
      <c r="J198" s="130">
        <v>294.42599999999999</v>
      </c>
      <c r="K198" s="4">
        <v>154</v>
      </c>
      <c r="L198" s="374" t="s">
        <v>322</v>
      </c>
      <c r="Z198" s="6">
        <f t="shared" si="25"/>
        <v>343776</v>
      </c>
      <c r="AA198" s="4">
        <f t="shared" si="27"/>
        <v>25150</v>
      </c>
      <c r="AB198" s="4">
        <f t="shared" si="26"/>
        <v>343776</v>
      </c>
      <c r="AJ198" s="269">
        <f t="shared" ref="AJ198:AJ200" si="30">C198-AK198-AL198</f>
        <v>340628.43100000004</v>
      </c>
      <c r="AK198" s="269">
        <f t="shared" ref="AK198:AK200" si="31">H198</f>
        <v>2853.143</v>
      </c>
      <c r="AL198" s="269">
        <f t="shared" ref="AL198:AL200" si="32">J198</f>
        <v>294.42599999999999</v>
      </c>
      <c r="BN198" s="4">
        <v>1999</v>
      </c>
      <c r="BO198" s="4">
        <v>2</v>
      </c>
      <c r="BP198" s="108">
        <f>C198+[4]MWh!$AL32</f>
        <v>363088.64039724169</v>
      </c>
      <c r="BQ198" s="108"/>
      <c r="BR198" s="108"/>
      <c r="BS198" s="108"/>
      <c r="BT198" s="175">
        <f t="shared" si="28"/>
        <v>363088.64039724169</v>
      </c>
      <c r="BU198" s="108">
        <f t="shared" si="29"/>
        <v>43729.677464363514</v>
      </c>
    </row>
    <row r="199" spans="1:73">
      <c r="A199" s="4">
        <v>1999</v>
      </c>
      <c r="B199" s="4">
        <v>3</v>
      </c>
      <c r="C199" s="4">
        <f>'[2]FPC wSEB'!$F296</f>
        <v>340565</v>
      </c>
      <c r="D199" s="4">
        <f>'[2]FPC wSEB'!$Z296</f>
        <v>2630</v>
      </c>
      <c r="F199" s="4">
        <f>'[2]FPC wSEB'!$G296</f>
        <v>117301</v>
      </c>
      <c r="G199" s="4">
        <f t="shared" si="24"/>
        <v>223264</v>
      </c>
      <c r="H199" s="4">
        <v>2888.364</v>
      </c>
      <c r="I199" s="4">
        <v>943</v>
      </c>
      <c r="J199" s="559">
        <v>295</v>
      </c>
      <c r="K199" s="4">
        <v>157</v>
      </c>
      <c r="L199" s="4">
        <v>96</v>
      </c>
      <c r="Z199" s="6">
        <f t="shared" si="25"/>
        <v>340565</v>
      </c>
      <c r="AA199" s="4">
        <f t="shared" si="27"/>
        <v>4875</v>
      </c>
      <c r="AB199" s="4">
        <f t="shared" si="26"/>
        <v>340565</v>
      </c>
      <c r="AJ199" s="269">
        <f t="shared" si="30"/>
        <v>337381.636</v>
      </c>
      <c r="AK199" s="269">
        <f t="shared" si="31"/>
        <v>2888.364</v>
      </c>
      <c r="AL199" s="269">
        <f t="shared" si="32"/>
        <v>295</v>
      </c>
      <c r="BN199" s="4">
        <v>1999</v>
      </c>
      <c r="BO199" s="4">
        <v>3</v>
      </c>
      <c r="BP199" s="108">
        <f>C199+[4]MWh!$AL33</f>
        <v>341072.11129931419</v>
      </c>
      <c r="BQ199" s="108"/>
      <c r="BR199" s="108"/>
      <c r="BS199" s="108"/>
      <c r="BT199" s="175">
        <f t="shared" si="28"/>
        <v>341072.11129931419</v>
      </c>
      <c r="BU199" s="108">
        <f t="shared" si="29"/>
        <v>-29219.000301568303</v>
      </c>
    </row>
    <row r="200" spans="1:73">
      <c r="A200" s="4">
        <v>1999</v>
      </c>
      <c r="B200" s="4">
        <v>4</v>
      </c>
      <c r="C200" s="4">
        <f>'[2]FPC wSEB'!$F297</f>
        <v>378037</v>
      </c>
      <c r="D200" s="4">
        <f>'[2]FPC wSEB'!$Z297</f>
        <v>2638</v>
      </c>
      <c r="F200" s="4">
        <f>'[2]FPC wSEB'!$G297</f>
        <v>133909</v>
      </c>
      <c r="G200" s="4">
        <f t="shared" si="24"/>
        <v>244128</v>
      </c>
      <c r="H200" s="4">
        <v>2117.663</v>
      </c>
      <c r="I200" s="4">
        <v>935</v>
      </c>
      <c r="J200" s="130">
        <v>285.45699999999999</v>
      </c>
      <c r="K200" s="4">
        <v>156</v>
      </c>
      <c r="Z200" s="6">
        <f t="shared" si="25"/>
        <v>378037</v>
      </c>
      <c r="AA200" s="4">
        <f t="shared" si="27"/>
        <v>4148</v>
      </c>
      <c r="AB200" s="4">
        <f t="shared" si="26"/>
        <v>378037</v>
      </c>
      <c r="AJ200" s="269">
        <f t="shared" si="30"/>
        <v>375633.88</v>
      </c>
      <c r="AK200" s="269">
        <f t="shared" si="31"/>
        <v>2117.663</v>
      </c>
      <c r="AL200" s="269">
        <f t="shared" si="32"/>
        <v>285.45699999999999</v>
      </c>
      <c r="BN200" s="4">
        <v>1999</v>
      </c>
      <c r="BO200" s="4">
        <v>4</v>
      </c>
      <c r="BP200" s="108">
        <f>C200+[4]MWh!$AL34</f>
        <v>403561.97776474984</v>
      </c>
      <c r="BQ200" s="108"/>
      <c r="BR200" s="108"/>
      <c r="BS200" s="108"/>
      <c r="BT200" s="175">
        <f t="shared" si="28"/>
        <v>403561.97776474984</v>
      </c>
      <c r="BU200" s="108">
        <f t="shared" si="29"/>
        <v>28556.005964087497</v>
      </c>
    </row>
    <row r="201" spans="1:73">
      <c r="A201" s="4">
        <v>1999</v>
      </c>
      <c r="B201" s="4">
        <v>5</v>
      </c>
      <c r="C201" s="4">
        <f>'[2]FPC wSEB'!$F298</f>
        <v>353916</v>
      </c>
      <c r="D201" s="4">
        <f>'[2]FPC wSEB'!$Z298</f>
        <v>2681</v>
      </c>
      <c r="F201" s="4">
        <f>'[2]FPC wSEB'!$G298</f>
        <v>118115</v>
      </c>
      <c r="G201" s="4">
        <f t="shared" si="24"/>
        <v>235801</v>
      </c>
      <c r="H201" s="4">
        <v>3075.087</v>
      </c>
      <c r="I201" s="4">
        <v>952</v>
      </c>
      <c r="J201" s="130">
        <v>296.39</v>
      </c>
      <c r="K201" s="4">
        <v>156</v>
      </c>
      <c r="Z201" s="6">
        <f t="shared" si="25"/>
        <v>353916</v>
      </c>
      <c r="AA201" s="4">
        <f t="shared" si="27"/>
        <v>-14532</v>
      </c>
      <c r="AB201" s="4">
        <f t="shared" si="26"/>
        <v>353916</v>
      </c>
      <c r="AJ201" s="108">
        <f t="shared" ref="AJ201:AJ264" si="33">C201-AK201-AL201</f>
        <v>350544.52299999999</v>
      </c>
      <c r="AK201" s="108">
        <f t="shared" ref="AK201:AK264" si="34">H201</f>
        <v>3075.087</v>
      </c>
      <c r="AL201" s="108">
        <f t="shared" ref="AL201:AL264" si="35">J201</f>
        <v>296.39</v>
      </c>
      <c r="BN201" s="4">
        <v>1999</v>
      </c>
      <c r="BO201" s="4">
        <v>5</v>
      </c>
      <c r="BP201" s="108">
        <f>C201+[4]MWh!$AL35</f>
        <v>355523.81606615521</v>
      </c>
      <c r="BQ201" s="108"/>
      <c r="BR201" s="108"/>
      <c r="BS201" s="108"/>
      <c r="BT201" s="175">
        <f t="shared" si="28"/>
        <v>355523.81606615521</v>
      </c>
      <c r="BU201" s="108">
        <f t="shared" si="29"/>
        <v>-67119.604645773303</v>
      </c>
    </row>
    <row r="202" spans="1:73">
      <c r="A202" s="4">
        <v>1999</v>
      </c>
      <c r="B202" s="4">
        <v>6</v>
      </c>
      <c r="C202" s="4">
        <f>'[2]FPC wSEB'!$F299</f>
        <v>350550</v>
      </c>
      <c r="D202" s="4">
        <f>'[2]FPC wSEB'!$Z299</f>
        <v>2566</v>
      </c>
      <c r="F202" s="4">
        <f>'[2]FPC wSEB'!$G299</f>
        <v>114636</v>
      </c>
      <c r="G202" s="4">
        <f t="shared" si="24"/>
        <v>235914</v>
      </c>
      <c r="H202" s="4">
        <v>2396.2849999999999</v>
      </c>
      <c r="I202" s="4">
        <v>900</v>
      </c>
      <c r="J202" s="130">
        <v>286.947</v>
      </c>
      <c r="K202" s="4">
        <v>151</v>
      </c>
      <c r="Z202" s="6">
        <f t="shared" si="25"/>
        <v>350550</v>
      </c>
      <c r="AA202" s="4">
        <f t="shared" si="27"/>
        <v>-27350</v>
      </c>
      <c r="AB202" s="4">
        <f t="shared" si="26"/>
        <v>350550</v>
      </c>
      <c r="AJ202" s="108">
        <f t="shared" si="33"/>
        <v>347866.76800000004</v>
      </c>
      <c r="AK202" s="108">
        <f t="shared" si="34"/>
        <v>2396.2849999999999</v>
      </c>
      <c r="AL202" s="108">
        <f t="shared" si="35"/>
        <v>286.947</v>
      </c>
      <c r="BN202" s="4">
        <v>1999</v>
      </c>
      <c r="BO202" s="4">
        <v>6</v>
      </c>
      <c r="BP202" s="108">
        <f>C202+[4]MWh!$AL36</f>
        <v>338150.61658007163</v>
      </c>
      <c r="BQ202" s="108"/>
      <c r="BR202" s="108"/>
      <c r="BS202" s="108"/>
      <c r="BT202" s="175">
        <f t="shared" si="28"/>
        <v>338150.61658007163</v>
      </c>
      <c r="BU202" s="108">
        <f t="shared" si="29"/>
        <v>-25960.22301487776</v>
      </c>
    </row>
    <row r="203" spans="1:73">
      <c r="A203" s="4">
        <v>1999</v>
      </c>
      <c r="B203" s="4">
        <v>7</v>
      </c>
      <c r="C203" s="4">
        <f>'[2]FPC wSEB'!$F300</f>
        <v>376119</v>
      </c>
      <c r="D203" s="4">
        <f>'[2]FPC wSEB'!$Z300</f>
        <v>2598</v>
      </c>
      <c r="F203" s="4">
        <f>'[2]FPC wSEB'!$G300</f>
        <v>131518</v>
      </c>
      <c r="G203" s="4">
        <f t="shared" si="24"/>
        <v>244601</v>
      </c>
      <c r="H203" s="4">
        <v>2496.116</v>
      </c>
      <c r="I203" s="4">
        <v>902</v>
      </c>
      <c r="J203" s="130">
        <v>290.36399999999998</v>
      </c>
      <c r="K203" s="4">
        <v>151</v>
      </c>
      <c r="Z203" s="6">
        <f t="shared" si="25"/>
        <v>376119</v>
      </c>
      <c r="AA203" s="4">
        <f t="shared" si="27"/>
        <v>13254</v>
      </c>
      <c r="AB203" s="4">
        <f t="shared" si="26"/>
        <v>376119</v>
      </c>
      <c r="AJ203" s="108">
        <f t="shared" si="33"/>
        <v>373332.52</v>
      </c>
      <c r="AK203" s="108">
        <f t="shared" si="34"/>
        <v>2496.116</v>
      </c>
      <c r="AL203" s="108">
        <f t="shared" si="35"/>
        <v>290.36399999999998</v>
      </c>
      <c r="BN203" s="4">
        <v>1999</v>
      </c>
      <c r="BO203" s="4">
        <v>7</v>
      </c>
      <c r="BP203" s="108">
        <f>C203+[4]MWh!$AL37</f>
        <v>409124.56139469141</v>
      </c>
      <c r="BQ203" s="108"/>
      <c r="BR203" s="108"/>
      <c r="BS203" s="108"/>
      <c r="BT203" s="175">
        <f t="shared" si="28"/>
        <v>409124.56139469141</v>
      </c>
      <c r="BU203" s="108">
        <f t="shared" si="29"/>
        <v>79433.897289047018</v>
      </c>
    </row>
    <row r="204" spans="1:73">
      <c r="A204" s="4">
        <v>1999</v>
      </c>
      <c r="B204" s="4">
        <v>8</v>
      </c>
      <c r="C204" s="4">
        <f>'[2]FPC wSEB'!$F301</f>
        <v>391617</v>
      </c>
      <c r="D204" s="4">
        <f>'[2]FPC wSEB'!$Z301</f>
        <v>2633</v>
      </c>
      <c r="F204" s="4">
        <f>'[2]FPC wSEB'!$G301</f>
        <v>133500</v>
      </c>
      <c r="G204" s="4">
        <f t="shared" si="24"/>
        <v>258117</v>
      </c>
      <c r="H204" s="4">
        <v>3006.58</v>
      </c>
      <c r="I204" s="4">
        <v>907</v>
      </c>
      <c r="J204" s="130">
        <v>328.084</v>
      </c>
      <c r="K204" s="4">
        <v>154</v>
      </c>
      <c r="Z204" s="6">
        <f t="shared" si="25"/>
        <v>391617</v>
      </c>
      <c r="AA204" s="4">
        <f t="shared" si="27"/>
        <v>2650</v>
      </c>
      <c r="AB204" s="4">
        <f t="shared" si="26"/>
        <v>391617</v>
      </c>
      <c r="AJ204" s="108">
        <f t="shared" si="33"/>
        <v>388282.33600000001</v>
      </c>
      <c r="AK204" s="108">
        <f t="shared" si="34"/>
        <v>3006.58</v>
      </c>
      <c r="AL204" s="108">
        <f t="shared" si="35"/>
        <v>328.084</v>
      </c>
      <c r="BN204" s="4">
        <v>1999</v>
      </c>
      <c r="BO204" s="4">
        <v>8</v>
      </c>
      <c r="BP204" s="108">
        <f>C204+[4]MWh!$AL38</f>
        <v>354963.91589768697</v>
      </c>
      <c r="BQ204" s="108"/>
      <c r="BR204" s="108"/>
      <c r="BS204" s="108"/>
      <c r="BT204" s="175">
        <f t="shared" si="28"/>
        <v>354963.91589768697</v>
      </c>
      <c r="BU204" s="108">
        <f t="shared" si="29"/>
        <v>-61578.254229075857</v>
      </c>
    </row>
    <row r="205" spans="1:73">
      <c r="A205" s="4">
        <v>1999</v>
      </c>
      <c r="B205" s="4">
        <v>9</v>
      </c>
      <c r="C205" s="4">
        <f>'[2]FPC wSEB'!$F302</f>
        <v>373433</v>
      </c>
      <c r="D205" s="4">
        <f>'[2]FPC wSEB'!$Z302</f>
        <v>2597</v>
      </c>
      <c r="F205" s="4">
        <f>'[2]FPC wSEB'!$G302</f>
        <v>131213</v>
      </c>
      <c r="G205" s="4">
        <f t="shared" si="24"/>
        <v>242220</v>
      </c>
      <c r="H205" s="4">
        <v>3104.68</v>
      </c>
      <c r="I205" s="4">
        <v>911</v>
      </c>
      <c r="J205" s="559">
        <v>298.72899999999998</v>
      </c>
      <c r="K205" s="4">
        <v>150</v>
      </c>
      <c r="L205" s="4">
        <v>149</v>
      </c>
      <c r="Z205" s="6">
        <f t="shared" si="25"/>
        <v>373433</v>
      </c>
      <c r="AA205" s="4">
        <f t="shared" si="27"/>
        <v>-4047</v>
      </c>
      <c r="AB205" s="4">
        <f t="shared" si="26"/>
        <v>373433</v>
      </c>
      <c r="AJ205" s="108">
        <f t="shared" si="33"/>
        <v>370029.59100000001</v>
      </c>
      <c r="AK205" s="108">
        <f t="shared" si="34"/>
        <v>3104.68</v>
      </c>
      <c r="AL205" s="108">
        <f t="shared" si="35"/>
        <v>298.72899999999998</v>
      </c>
      <c r="BN205" s="4">
        <v>1999</v>
      </c>
      <c r="BO205" s="4">
        <v>9</v>
      </c>
      <c r="BP205" s="108">
        <f>C205+[4]MWh!$AL39</f>
        <v>350154.80630026781</v>
      </c>
      <c r="BQ205" s="108"/>
      <c r="BR205" s="108"/>
      <c r="BS205" s="108"/>
      <c r="BT205" s="175">
        <f t="shared" si="28"/>
        <v>350154.80630026781</v>
      </c>
      <c r="BU205" s="108">
        <f t="shared" si="29"/>
        <v>-21247.496370209847</v>
      </c>
    </row>
    <row r="206" spans="1:73">
      <c r="A206" s="4">
        <v>1999</v>
      </c>
      <c r="B206" s="4">
        <v>10</v>
      </c>
      <c r="C206" s="4">
        <f>'[2]FPC wSEB'!$F303</f>
        <v>363534</v>
      </c>
      <c r="D206" s="4">
        <f>'[2]FPC wSEB'!$Z303</f>
        <v>2609</v>
      </c>
      <c r="F206" s="4">
        <f>'[2]FPC wSEB'!$G303</f>
        <v>126692</v>
      </c>
      <c r="G206" s="4">
        <f t="shared" si="24"/>
        <v>236842</v>
      </c>
      <c r="H206" s="4">
        <v>1500.2429999999999</v>
      </c>
      <c r="I206" s="4">
        <v>906</v>
      </c>
      <c r="J206" s="130">
        <v>295.56299999999999</v>
      </c>
      <c r="K206" s="4">
        <v>148</v>
      </c>
      <c r="Z206" s="6">
        <f t="shared" si="25"/>
        <v>363534</v>
      </c>
      <c r="AA206" s="4">
        <f t="shared" si="27"/>
        <v>7367</v>
      </c>
      <c r="AB206" s="4">
        <f t="shared" si="26"/>
        <v>363534</v>
      </c>
      <c r="AJ206" s="108">
        <f t="shared" si="33"/>
        <v>361738.19399999996</v>
      </c>
      <c r="AK206" s="523">
        <f t="shared" si="34"/>
        <v>1500.2429999999999</v>
      </c>
      <c r="AL206" s="108">
        <f t="shared" si="35"/>
        <v>295.56299999999999</v>
      </c>
      <c r="BN206" s="4">
        <v>1999</v>
      </c>
      <c r="BO206" s="4">
        <v>10</v>
      </c>
      <c r="BP206" s="108">
        <f>C206+[4]MWh!$AL40</f>
        <v>362267.65788854338</v>
      </c>
      <c r="BQ206" s="108"/>
      <c r="BR206" s="108"/>
      <c r="BS206" s="108"/>
      <c r="BT206" s="175">
        <f t="shared" si="28"/>
        <v>362267.65788854338</v>
      </c>
      <c r="BU206" s="108">
        <f t="shared" si="29"/>
        <v>36389.517718729505</v>
      </c>
    </row>
    <row r="207" spans="1:73">
      <c r="A207" s="4">
        <v>1999</v>
      </c>
      <c r="B207" s="4">
        <v>11</v>
      </c>
      <c r="C207" s="4">
        <f>'[2]FPC wSEB'!$F304</f>
        <v>376090</v>
      </c>
      <c r="D207" s="4">
        <f>'[2]FPC wSEB'!$Z304</f>
        <v>2659</v>
      </c>
      <c r="F207" s="4">
        <f>'[2]FPC wSEB'!$G304</f>
        <v>145983</v>
      </c>
      <c r="G207" s="4">
        <f t="shared" si="24"/>
        <v>230107</v>
      </c>
      <c r="H207" s="4">
        <v>2587.8449999999998</v>
      </c>
      <c r="I207" s="4">
        <v>918</v>
      </c>
      <c r="J207" s="130">
        <v>294.91300000000001</v>
      </c>
      <c r="K207" s="4">
        <v>149</v>
      </c>
      <c r="Z207" s="6">
        <f t="shared" si="25"/>
        <v>376090</v>
      </c>
      <c r="AA207" s="4">
        <f t="shared" si="27"/>
        <v>-10738</v>
      </c>
      <c r="AB207" s="4">
        <f t="shared" si="26"/>
        <v>376090</v>
      </c>
      <c r="AJ207" s="108">
        <f t="shared" si="33"/>
        <v>373207.24200000003</v>
      </c>
      <c r="AK207" s="108">
        <f t="shared" si="34"/>
        <v>2587.8449999999998</v>
      </c>
      <c r="AL207" s="108">
        <f t="shared" si="35"/>
        <v>294.91300000000001</v>
      </c>
      <c r="BN207" s="4">
        <v>1999</v>
      </c>
      <c r="BO207" s="4">
        <v>11</v>
      </c>
      <c r="BP207" s="108">
        <f>C207+[4]MWh!$AL41</f>
        <v>384278.68808426388</v>
      </c>
      <c r="BQ207" s="108"/>
      <c r="BR207" s="108"/>
      <c r="BS207" s="108"/>
      <c r="BT207" s="175">
        <f t="shared" si="28"/>
        <v>384278.68808426388</v>
      </c>
      <c r="BU207" s="108">
        <f t="shared" si="29"/>
        <v>-33121.508809655847</v>
      </c>
    </row>
    <row r="208" spans="1:73" s="89" customFormat="1">
      <c r="A208" s="89">
        <v>1999</v>
      </c>
      <c r="B208" s="89">
        <v>12</v>
      </c>
      <c r="C208" s="89">
        <f>'[2]FPC wSEB'!$F305</f>
        <v>342831</v>
      </c>
      <c r="D208" s="89">
        <f>'[2]FPC wSEB'!$Z305</f>
        <v>2639</v>
      </c>
      <c r="F208" s="89">
        <f>'[2]FPC wSEB'!$G305</f>
        <v>108741</v>
      </c>
      <c r="G208" s="89">
        <f t="shared" si="24"/>
        <v>234090</v>
      </c>
      <c r="H208" s="89">
        <v>2465.424</v>
      </c>
      <c r="I208" s="89">
        <v>925</v>
      </c>
      <c r="J208" s="299">
        <v>296.25299999999999</v>
      </c>
      <c r="K208" s="89">
        <v>148</v>
      </c>
      <c r="Z208" s="96">
        <f t="shared" si="25"/>
        <v>342831</v>
      </c>
      <c r="AA208" s="89">
        <f t="shared" si="27"/>
        <v>-57143</v>
      </c>
      <c r="AB208" s="4">
        <f t="shared" si="26"/>
        <v>342831</v>
      </c>
      <c r="AJ208" s="117">
        <f t="shared" si="33"/>
        <v>340069.32299999997</v>
      </c>
      <c r="AK208" s="117">
        <f t="shared" si="34"/>
        <v>2465.424</v>
      </c>
      <c r="AL208" s="117">
        <f t="shared" si="35"/>
        <v>296.25299999999999</v>
      </c>
      <c r="BN208" s="89">
        <v>1999</v>
      </c>
      <c r="BO208" s="89">
        <v>12</v>
      </c>
      <c r="BP208" s="117">
        <f>C208+[4]MWh!$AL42</f>
        <v>351745.31715503894</v>
      </c>
      <c r="BQ208" s="117"/>
      <c r="BR208" s="117"/>
      <c r="BS208" s="117"/>
      <c r="BT208" s="176">
        <f t="shared" si="28"/>
        <v>351745.31715503894</v>
      </c>
      <c r="BU208" s="117">
        <f t="shared" si="29"/>
        <v>-42062.723062144592</v>
      </c>
    </row>
    <row r="209" spans="1:76">
      <c r="A209" s="4">
        <v>2000</v>
      </c>
      <c r="B209" s="4">
        <v>1</v>
      </c>
      <c r="C209" s="4">
        <f>'[2]FPC wSEB'!$F306</f>
        <v>376396</v>
      </c>
      <c r="D209" s="4">
        <f>'[2]FPC wSEB'!$Z306</f>
        <v>2442</v>
      </c>
      <c r="F209" s="4">
        <f>'[2]FPC wSEB'!$G306</f>
        <v>147694</v>
      </c>
      <c r="G209" s="4">
        <f t="shared" si="24"/>
        <v>228702</v>
      </c>
      <c r="H209" s="108">
        <v>2231.404</v>
      </c>
      <c r="I209" s="108">
        <v>822</v>
      </c>
      <c r="J209" s="108">
        <v>292.23099999999999</v>
      </c>
      <c r="K209" s="108">
        <v>148</v>
      </c>
      <c r="Z209" s="6">
        <f t="shared" si="25"/>
        <v>376396</v>
      </c>
      <c r="AA209" s="4">
        <f t="shared" si="27"/>
        <v>33155</v>
      </c>
      <c r="AB209" s="485">
        <f>[9]IMWh!$E89</f>
        <v>363251</v>
      </c>
      <c r="AJ209" s="108">
        <f t="shared" si="33"/>
        <v>373872.36499999999</v>
      </c>
      <c r="AK209" s="108">
        <f t="shared" si="34"/>
        <v>2231.404</v>
      </c>
      <c r="AL209" s="108">
        <f t="shared" si="35"/>
        <v>292.23099999999999</v>
      </c>
      <c r="BN209" s="4">
        <v>2000</v>
      </c>
      <c r="BO209" s="4">
        <v>1</v>
      </c>
      <c r="BP209" s="50">
        <f>C209+[4]MWh!$AL43</f>
        <v>434730.80652132822</v>
      </c>
      <c r="BQ209" s="108"/>
      <c r="BR209" s="108"/>
      <c r="BS209" s="108"/>
      <c r="BT209" s="175">
        <f t="shared" si="28"/>
        <v>434730.80652132822</v>
      </c>
      <c r="BU209" s="108">
        <f t="shared" si="29"/>
        <v>121912.52950782393</v>
      </c>
      <c r="BW209" s="534"/>
      <c r="BX209" s="23"/>
    </row>
    <row r="210" spans="1:76">
      <c r="A210" s="4">
        <v>2000</v>
      </c>
      <c r="B210" s="4">
        <v>2</v>
      </c>
      <c r="C210" s="4">
        <f>'[2]FPC wSEB'!$F307</f>
        <v>327089</v>
      </c>
      <c r="D210" s="4">
        <f>'[2]FPC wSEB'!$Z307</f>
        <v>2637</v>
      </c>
      <c r="F210" s="4">
        <f>'[2]FPC wSEB'!$G307</f>
        <v>114198</v>
      </c>
      <c r="G210" s="4">
        <f t="shared" ref="G210:G232" si="36">C210-F210</f>
        <v>212891</v>
      </c>
      <c r="H210" s="108">
        <v>2886.375</v>
      </c>
      <c r="I210" s="108">
        <v>918</v>
      </c>
      <c r="J210" s="108">
        <v>295.75099999999998</v>
      </c>
      <c r="K210" s="108">
        <v>150</v>
      </c>
      <c r="Z210" s="6">
        <f t="shared" ref="Z210:Z232" si="37">C210</f>
        <v>327089</v>
      </c>
      <c r="AA210" s="4">
        <f t="shared" si="27"/>
        <v>-16687</v>
      </c>
      <c r="AB210" s="485">
        <f>[9]IMWh!$E90</f>
        <v>320699</v>
      </c>
      <c r="AJ210" s="108">
        <f t="shared" si="33"/>
        <v>323906.87400000001</v>
      </c>
      <c r="AK210" s="108">
        <f t="shared" si="34"/>
        <v>2886.375</v>
      </c>
      <c r="AL210" s="108">
        <f t="shared" si="35"/>
        <v>295.75099999999998</v>
      </c>
      <c r="BN210" s="4">
        <v>2000</v>
      </c>
      <c r="BO210" s="4">
        <v>2</v>
      </c>
      <c r="BP210" s="50">
        <f>C210+[4]MWh!$AL44</f>
        <v>205175.81313660098</v>
      </c>
      <c r="BQ210" s="108"/>
      <c r="BR210" s="108"/>
      <c r="BS210" s="108"/>
      <c r="BT210" s="175">
        <f t="shared" si="28"/>
        <v>205175.81313660098</v>
      </c>
      <c r="BU210" s="108">
        <f t="shared" si="29"/>
        <v>-157912.82726064071</v>
      </c>
      <c r="BW210" s="534"/>
      <c r="BX210" s="23"/>
    </row>
    <row r="211" spans="1:76">
      <c r="A211" s="4">
        <v>2000</v>
      </c>
      <c r="B211" s="4">
        <v>3</v>
      </c>
      <c r="C211" s="4">
        <f>'[2]FPC wSEB'!$F308</f>
        <v>361578</v>
      </c>
      <c r="D211" s="4">
        <f>'[2]FPC wSEB'!$Z308</f>
        <v>2533</v>
      </c>
      <c r="F211" s="4">
        <f>'[2]FPC wSEB'!$G308</f>
        <v>96999</v>
      </c>
      <c r="G211" s="4">
        <f t="shared" si="36"/>
        <v>264579</v>
      </c>
      <c r="H211" s="108">
        <v>2420.9380000000001</v>
      </c>
      <c r="I211" s="108">
        <v>875</v>
      </c>
      <c r="J211" s="108">
        <v>290.14100000000002</v>
      </c>
      <c r="K211" s="108">
        <v>145</v>
      </c>
      <c r="Z211" s="6">
        <f t="shared" si="37"/>
        <v>361578</v>
      </c>
      <c r="AA211" s="4">
        <f t="shared" si="27"/>
        <v>21013</v>
      </c>
      <c r="AB211" s="485">
        <f>[9]IMWh!$E91</f>
        <v>385835</v>
      </c>
      <c r="AJ211" s="108">
        <f t="shared" si="33"/>
        <v>358866.92099999997</v>
      </c>
      <c r="AK211" s="108">
        <f t="shared" si="34"/>
        <v>2420.9380000000001</v>
      </c>
      <c r="AL211" s="108">
        <f t="shared" si="35"/>
        <v>290.14100000000002</v>
      </c>
      <c r="BN211" s="4">
        <v>2000</v>
      </c>
      <c r="BO211" s="4">
        <v>3</v>
      </c>
      <c r="BP211" s="108">
        <f>C211+[4]MWh!$AL45</f>
        <v>444505.32790911524</v>
      </c>
      <c r="BQ211" s="108"/>
      <c r="BR211" s="108"/>
      <c r="BS211" s="108"/>
      <c r="BT211" s="175">
        <f t="shared" si="28"/>
        <v>444505.32790911524</v>
      </c>
      <c r="BU211" s="108">
        <f t="shared" si="29"/>
        <v>103433.21660980105</v>
      </c>
      <c r="BW211" s="529"/>
    </row>
    <row r="212" spans="1:76">
      <c r="A212" s="4">
        <v>2000</v>
      </c>
      <c r="B212" s="4">
        <v>4</v>
      </c>
      <c r="C212" s="4">
        <f>'[2]FPC wSEB'!$F309</f>
        <v>375713</v>
      </c>
      <c r="D212" s="4">
        <f>'[2]FPC wSEB'!$Z309</f>
        <v>2559</v>
      </c>
      <c r="F212" s="4">
        <f>'[2]FPC wSEB'!$G309</f>
        <v>123124</v>
      </c>
      <c r="G212" s="4">
        <f t="shared" si="36"/>
        <v>252589</v>
      </c>
      <c r="H212" s="108">
        <v>2797.377</v>
      </c>
      <c r="I212" s="108">
        <v>897</v>
      </c>
      <c r="J212" s="108">
        <v>294.64800000000002</v>
      </c>
      <c r="K212" s="108">
        <v>146</v>
      </c>
      <c r="Z212" s="6">
        <f t="shared" si="37"/>
        <v>375713</v>
      </c>
      <c r="AA212" s="4">
        <f t="shared" si="27"/>
        <v>-2324</v>
      </c>
      <c r="AB212" s="485">
        <f>[9]IMWh!$E92</f>
        <v>375397</v>
      </c>
      <c r="AJ212" s="108">
        <f t="shared" si="33"/>
        <v>372620.97500000003</v>
      </c>
      <c r="AK212" s="108">
        <f t="shared" si="34"/>
        <v>2797.377</v>
      </c>
      <c r="AL212" s="108">
        <f t="shared" si="35"/>
        <v>294.64800000000002</v>
      </c>
      <c r="BN212" s="4">
        <v>2000</v>
      </c>
      <c r="BO212" s="4">
        <v>4</v>
      </c>
      <c r="BP212" s="108">
        <f>C212+[4]MWh!$AL46</f>
        <v>353402.68607269746</v>
      </c>
      <c r="BQ212" s="108"/>
      <c r="BR212" s="108"/>
      <c r="BS212" s="108"/>
      <c r="BT212" s="175">
        <f t="shared" si="28"/>
        <v>353402.68607269746</v>
      </c>
      <c r="BU212" s="108">
        <f t="shared" si="29"/>
        <v>-50159.291692052386</v>
      </c>
      <c r="BW212" s="529"/>
    </row>
    <row r="213" spans="1:76">
      <c r="A213" s="4">
        <v>2000</v>
      </c>
      <c r="B213" s="4">
        <v>5</v>
      </c>
      <c r="C213" s="4">
        <f>'[2]FPC wSEB'!$F310</f>
        <v>342306</v>
      </c>
      <c r="D213" s="4">
        <f>'[2]FPC wSEB'!$Z310</f>
        <v>2519</v>
      </c>
      <c r="F213" s="4">
        <f>'[2]FPC wSEB'!$G310</f>
        <v>95220</v>
      </c>
      <c r="G213" s="4">
        <f t="shared" si="36"/>
        <v>247086</v>
      </c>
      <c r="H213" s="108">
        <v>1525.3910000000001</v>
      </c>
      <c r="I213" s="108">
        <v>873</v>
      </c>
      <c r="J213" s="108">
        <v>291.32900000000001</v>
      </c>
      <c r="K213" s="108">
        <v>146</v>
      </c>
      <c r="Z213" s="6">
        <f t="shared" si="37"/>
        <v>342306</v>
      </c>
      <c r="AA213" s="4">
        <f t="shared" si="27"/>
        <v>-11610</v>
      </c>
      <c r="AB213" s="485">
        <f>[9]IMWh!$E93</f>
        <v>343331</v>
      </c>
      <c r="AJ213" s="108">
        <f t="shared" si="33"/>
        <v>340489.27999999997</v>
      </c>
      <c r="AK213" s="523">
        <f t="shared" si="34"/>
        <v>1525.3910000000001</v>
      </c>
      <c r="AL213" s="108">
        <f t="shared" si="35"/>
        <v>291.32900000000001</v>
      </c>
      <c r="BN213" s="4">
        <v>2000</v>
      </c>
      <c r="BO213" s="4">
        <v>5</v>
      </c>
      <c r="BP213" s="108">
        <f>C213+[4]MWh!$AL47</f>
        <v>381751.53201584006</v>
      </c>
      <c r="BQ213" s="108"/>
      <c r="BR213" s="108"/>
      <c r="BS213" s="108"/>
      <c r="BT213" s="175">
        <f t="shared" si="28"/>
        <v>381751.53201584006</v>
      </c>
      <c r="BU213" s="108">
        <f t="shared" si="29"/>
        <v>26227.715949684847</v>
      </c>
      <c r="BW213" s="529"/>
    </row>
    <row r="214" spans="1:76">
      <c r="A214" s="4">
        <v>2000</v>
      </c>
      <c r="B214" s="4">
        <v>6</v>
      </c>
      <c r="C214" s="4">
        <f>'[2]FPC wSEB'!$F311</f>
        <v>383440</v>
      </c>
      <c r="D214" s="4">
        <f>'[2]FPC wSEB'!$Z311</f>
        <v>2533</v>
      </c>
      <c r="F214" s="4">
        <f>'[2]FPC wSEB'!$G311</f>
        <v>105644</v>
      </c>
      <c r="G214" s="4">
        <f t="shared" si="36"/>
        <v>277796</v>
      </c>
      <c r="H214" s="108">
        <v>2750.2060000000001</v>
      </c>
      <c r="I214" s="108">
        <v>881</v>
      </c>
      <c r="J214" s="108">
        <v>298.572</v>
      </c>
      <c r="K214" s="108">
        <v>146</v>
      </c>
      <c r="Z214" s="6">
        <f t="shared" si="37"/>
        <v>383440</v>
      </c>
      <c r="AA214" s="4">
        <f t="shared" si="27"/>
        <v>32890</v>
      </c>
      <c r="AB214" s="485">
        <f>[9]IMWh!$E94</f>
        <v>383672</v>
      </c>
      <c r="AJ214" s="108">
        <f t="shared" si="33"/>
        <v>380391.22200000001</v>
      </c>
      <c r="AK214" s="108">
        <f t="shared" si="34"/>
        <v>2750.2060000000001</v>
      </c>
      <c r="AL214" s="108">
        <f t="shared" si="35"/>
        <v>298.572</v>
      </c>
      <c r="BN214" s="4">
        <v>2000</v>
      </c>
      <c r="BO214" s="4">
        <v>6</v>
      </c>
      <c r="BP214" s="108">
        <f>C214+[4]MWh!$AL48</f>
        <v>344593.89437308034</v>
      </c>
      <c r="BQ214" s="108"/>
      <c r="BR214" s="108"/>
      <c r="BS214" s="108"/>
      <c r="BT214" s="175">
        <f t="shared" si="28"/>
        <v>344593.89437308034</v>
      </c>
      <c r="BU214" s="108">
        <f t="shared" si="29"/>
        <v>6443.2777930087177</v>
      </c>
      <c r="BW214" s="529"/>
    </row>
    <row r="215" spans="1:76">
      <c r="A215" s="4">
        <v>2000</v>
      </c>
      <c r="B215" s="4">
        <v>7</v>
      </c>
      <c r="C215" s="4">
        <f>'[2]FPC wSEB'!$F312</f>
        <v>372063</v>
      </c>
      <c r="D215" s="4">
        <f>'[2]FPC wSEB'!$Z312</f>
        <v>2481</v>
      </c>
      <c r="F215" s="4">
        <f>'[2]FPC wSEB'!$G312</f>
        <v>107097</v>
      </c>
      <c r="G215" s="4">
        <f t="shared" si="36"/>
        <v>264966</v>
      </c>
      <c r="H215" s="108">
        <v>3242.502</v>
      </c>
      <c r="I215" s="108">
        <v>851</v>
      </c>
      <c r="J215" s="108">
        <v>300.09699999999998</v>
      </c>
      <c r="K215" s="108">
        <v>159</v>
      </c>
      <c r="Z215" s="6">
        <f t="shared" si="37"/>
        <v>372063</v>
      </c>
      <c r="AA215" s="4">
        <f t="shared" si="27"/>
        <v>-4056</v>
      </c>
      <c r="AB215" s="485">
        <f>[9]IMWh!$E95</f>
        <v>371309</v>
      </c>
      <c r="AJ215" s="108">
        <f t="shared" si="33"/>
        <v>368520.40100000001</v>
      </c>
      <c r="AK215" s="108">
        <f t="shared" si="34"/>
        <v>3242.502</v>
      </c>
      <c r="AL215" s="108">
        <f t="shared" si="35"/>
        <v>300.09699999999998</v>
      </c>
      <c r="BN215" s="4">
        <v>2000</v>
      </c>
      <c r="BO215" s="4">
        <v>7</v>
      </c>
      <c r="BP215" s="108">
        <f>C215+[4]MWh!$AL49</f>
        <v>345361.33965517668</v>
      </c>
      <c r="BQ215" s="108"/>
      <c r="BR215" s="108"/>
      <c r="BS215" s="108"/>
      <c r="BT215" s="175">
        <f t="shared" si="28"/>
        <v>345361.33965517668</v>
      </c>
      <c r="BU215" s="108">
        <f t="shared" si="29"/>
        <v>-63763.221739514731</v>
      </c>
      <c r="BW215" s="529"/>
    </row>
    <row r="216" spans="1:76">
      <c r="A216" s="4">
        <v>2000</v>
      </c>
      <c r="B216" s="4">
        <v>8</v>
      </c>
      <c r="C216" s="4">
        <f>'[2]FPC wSEB'!$F313</f>
        <v>330599</v>
      </c>
      <c r="D216" s="4">
        <f>'[2]FPC wSEB'!$Z313</f>
        <v>2530</v>
      </c>
      <c r="F216" s="4">
        <f>'[2]FPC wSEB'!$G313</f>
        <v>86005</v>
      </c>
      <c r="G216" s="4">
        <f t="shared" si="36"/>
        <v>244594</v>
      </c>
      <c r="H216" s="108">
        <v>2938.1039999999998</v>
      </c>
      <c r="I216" s="108">
        <v>867</v>
      </c>
      <c r="J216" s="108">
        <v>306.11700000000002</v>
      </c>
      <c r="K216" s="108">
        <v>150</v>
      </c>
      <c r="Z216" s="6">
        <f t="shared" si="37"/>
        <v>330599</v>
      </c>
      <c r="AA216" s="4">
        <f t="shared" si="27"/>
        <v>-61018</v>
      </c>
      <c r="AB216" s="485">
        <f>[9]IMWh!$E96</f>
        <v>331821</v>
      </c>
      <c r="AJ216" s="108">
        <f t="shared" si="33"/>
        <v>327354.77899999998</v>
      </c>
      <c r="AK216" s="108">
        <f t="shared" si="34"/>
        <v>2938.1039999999998</v>
      </c>
      <c r="AL216" s="108">
        <f t="shared" si="35"/>
        <v>306.11700000000002</v>
      </c>
      <c r="BN216" s="4">
        <v>2000</v>
      </c>
      <c r="BO216" s="4">
        <v>8</v>
      </c>
      <c r="BP216" s="108">
        <f>C216+[4]MWh!$AL50</f>
        <v>337811.30656131206</v>
      </c>
      <c r="BQ216" s="108"/>
      <c r="BR216" s="108"/>
      <c r="BS216" s="108"/>
      <c r="BT216" s="175">
        <f t="shared" si="28"/>
        <v>337811.30656131206</v>
      </c>
      <c r="BU216" s="108">
        <f t="shared" si="29"/>
        <v>-17152.60933637491</v>
      </c>
      <c r="BW216" s="529"/>
    </row>
    <row r="217" spans="1:76">
      <c r="A217" s="4">
        <v>2000</v>
      </c>
      <c r="B217" s="4">
        <v>9</v>
      </c>
      <c r="C217" s="4">
        <f>'[2]FPC wSEB'!$F314</f>
        <v>374914</v>
      </c>
      <c r="D217" s="4">
        <f>'[2]FPC wSEB'!$Z314</f>
        <v>2551</v>
      </c>
      <c r="F217" s="4">
        <f>'[2]FPC wSEB'!$G314</f>
        <v>108113</v>
      </c>
      <c r="G217" s="4">
        <f t="shared" si="36"/>
        <v>266801</v>
      </c>
      <c r="H217" s="108">
        <v>2674.4650000000001</v>
      </c>
      <c r="I217" s="108">
        <v>857</v>
      </c>
      <c r="J217" s="108">
        <v>300.00400000000002</v>
      </c>
      <c r="K217" s="108">
        <v>155</v>
      </c>
      <c r="Z217" s="6">
        <f t="shared" si="37"/>
        <v>374914</v>
      </c>
      <c r="AA217" s="4">
        <f t="shared" si="27"/>
        <v>1481</v>
      </c>
      <c r="AB217" s="485">
        <f>[9]IMWh!$E97</f>
        <v>372083</v>
      </c>
      <c r="AJ217" s="108">
        <f t="shared" si="33"/>
        <v>371939.53099999996</v>
      </c>
      <c r="AK217" s="108">
        <f t="shared" si="34"/>
        <v>2674.4650000000001</v>
      </c>
      <c r="AL217" s="108">
        <f t="shared" si="35"/>
        <v>300.00400000000002</v>
      </c>
      <c r="BN217" s="4">
        <v>2000</v>
      </c>
      <c r="BO217" s="4">
        <v>9</v>
      </c>
      <c r="BP217" s="108">
        <f>C217+[4]MWh!$AL51</f>
        <v>354876.64079320367</v>
      </c>
      <c r="BQ217" s="108"/>
      <c r="BR217" s="108"/>
      <c r="BS217" s="108"/>
      <c r="BT217" s="175">
        <f t="shared" si="28"/>
        <v>354876.64079320367</v>
      </c>
      <c r="BU217" s="108">
        <f t="shared" si="29"/>
        <v>4721.8344929358573</v>
      </c>
      <c r="BW217" s="535"/>
      <c r="BX217" s="15"/>
    </row>
    <row r="218" spans="1:76">
      <c r="A218" s="4">
        <v>2000</v>
      </c>
      <c r="B218" s="4">
        <v>10</v>
      </c>
      <c r="C218" s="4">
        <f>'[2]FPC wSEB'!$F315</f>
        <v>341251</v>
      </c>
      <c r="D218" s="4">
        <f>'[2]FPC wSEB'!$Z315</f>
        <v>2543</v>
      </c>
      <c r="F218" s="4">
        <f>'[2]FPC wSEB'!$G315</f>
        <v>107345</v>
      </c>
      <c r="G218" s="4">
        <f t="shared" si="36"/>
        <v>233906</v>
      </c>
      <c r="H218" s="108">
        <v>2329.0549999999998</v>
      </c>
      <c r="I218" s="108">
        <v>866</v>
      </c>
      <c r="J218" s="108">
        <v>307.94499999999999</v>
      </c>
      <c r="K218" s="108">
        <v>148</v>
      </c>
      <c r="Z218" s="6">
        <f t="shared" si="37"/>
        <v>341251</v>
      </c>
      <c r="AA218" s="4">
        <f t="shared" si="27"/>
        <v>-22283</v>
      </c>
      <c r="AB218" s="485">
        <f>[9]IMWh!$E98</f>
        <v>342581</v>
      </c>
      <c r="AJ218" s="108">
        <f t="shared" si="33"/>
        <v>338614</v>
      </c>
      <c r="AK218" s="108">
        <f t="shared" si="34"/>
        <v>2329.0549999999998</v>
      </c>
      <c r="AL218" s="108">
        <f t="shared" si="35"/>
        <v>307.94499999999999</v>
      </c>
      <c r="BN218" s="4">
        <v>2000</v>
      </c>
      <c r="BO218" s="4">
        <v>10</v>
      </c>
      <c r="BP218" s="108">
        <f>C218+[4]MWh!$AL52</f>
        <v>325499.3125627049</v>
      </c>
      <c r="BQ218" s="108"/>
      <c r="BR218" s="108"/>
      <c r="BS218" s="108"/>
      <c r="BT218" s="175">
        <f t="shared" si="28"/>
        <v>325499.3125627049</v>
      </c>
      <c r="BU218" s="108">
        <f t="shared" si="29"/>
        <v>-36768.345325838483</v>
      </c>
      <c r="BW218" s="529"/>
    </row>
    <row r="219" spans="1:76">
      <c r="A219" s="4">
        <v>2000</v>
      </c>
      <c r="B219" s="4">
        <v>11</v>
      </c>
      <c r="C219" s="4">
        <f>'[2]FPC wSEB'!$F316</f>
        <v>346949</v>
      </c>
      <c r="D219" s="4">
        <f>'[2]FPC wSEB'!$Z316</f>
        <v>2612</v>
      </c>
      <c r="F219" s="4">
        <f>'[2]FPC wSEB'!$G316</f>
        <v>109506</v>
      </c>
      <c r="G219" s="4">
        <f t="shared" si="36"/>
        <v>237443</v>
      </c>
      <c r="H219" s="108">
        <v>2564.2579999999998</v>
      </c>
      <c r="I219" s="108">
        <v>854</v>
      </c>
      <c r="J219" s="108">
        <v>311.15600000000001</v>
      </c>
      <c r="K219" s="108">
        <v>148</v>
      </c>
      <c r="Z219" s="6">
        <f t="shared" si="37"/>
        <v>346949</v>
      </c>
      <c r="AA219" s="4">
        <f t="shared" si="27"/>
        <v>-29141</v>
      </c>
      <c r="AB219" s="485">
        <f>[9]IMWh!$E99</f>
        <v>345827</v>
      </c>
      <c r="AJ219" s="108">
        <f t="shared" si="33"/>
        <v>344073.58600000001</v>
      </c>
      <c r="AK219" s="108">
        <f t="shared" si="34"/>
        <v>2564.2579999999998</v>
      </c>
      <c r="AL219" s="108">
        <f t="shared" si="35"/>
        <v>311.15600000000001</v>
      </c>
      <c r="BN219" s="4">
        <v>2000</v>
      </c>
      <c r="BO219" s="4">
        <v>11</v>
      </c>
      <c r="BP219" s="108">
        <f>C219+[4]MWh!$AL53</f>
        <v>379742.79330933571</v>
      </c>
      <c r="BQ219" s="108"/>
      <c r="BR219" s="108"/>
      <c r="BS219" s="108"/>
      <c r="BT219" s="175">
        <f t="shared" si="28"/>
        <v>379742.79330933571</v>
      </c>
      <c r="BU219" s="108">
        <f t="shared" si="29"/>
        <v>-4535.8947749281651</v>
      </c>
      <c r="BW219" s="529"/>
    </row>
    <row r="220" spans="1:76" s="89" customFormat="1">
      <c r="A220" s="89">
        <v>2000</v>
      </c>
      <c r="B220" s="89">
        <v>12</v>
      </c>
      <c r="C220" s="89">
        <f>'[2]FPC wSEB'!$F317</f>
        <v>316419</v>
      </c>
      <c r="D220" s="89">
        <f>'[2]FPC wSEB'!$Z317</f>
        <v>2477</v>
      </c>
      <c r="F220" s="89">
        <f>'[2]FPC wSEB'!$G317</f>
        <v>96545</v>
      </c>
      <c r="G220" s="89">
        <f t="shared" si="36"/>
        <v>219874</v>
      </c>
      <c r="H220" s="117">
        <v>2225.8510000000001</v>
      </c>
      <c r="I220" s="117">
        <v>811</v>
      </c>
      <c r="J220" s="117">
        <v>307.233</v>
      </c>
      <c r="K220" s="117">
        <v>146</v>
      </c>
      <c r="Z220" s="96">
        <f t="shared" si="37"/>
        <v>316419</v>
      </c>
      <c r="AA220" s="89">
        <f t="shared" si="27"/>
        <v>-26412</v>
      </c>
      <c r="AB220" s="514">
        <f>[9]IMWh!$E100</f>
        <v>317132</v>
      </c>
      <c r="AJ220" s="117">
        <f t="shared" si="33"/>
        <v>313885.91599999997</v>
      </c>
      <c r="AK220" s="117">
        <f t="shared" si="34"/>
        <v>2225.8510000000001</v>
      </c>
      <c r="AL220" s="117">
        <f t="shared" si="35"/>
        <v>307.233</v>
      </c>
      <c r="BN220" s="89">
        <v>2000</v>
      </c>
      <c r="BO220" s="89">
        <v>12</v>
      </c>
      <c r="BP220" s="117">
        <f>C220+[4]MWh!$AL54</f>
        <v>340356.89464087703</v>
      </c>
      <c r="BQ220" s="117"/>
      <c r="BR220" s="117"/>
      <c r="BS220" s="117"/>
      <c r="BT220" s="176">
        <f t="shared" si="28"/>
        <v>340356.89464087703</v>
      </c>
      <c r="BU220" s="117">
        <f t="shared" si="29"/>
        <v>-11388.42251416191</v>
      </c>
      <c r="BW220" s="536"/>
      <c r="BX220" s="121"/>
    </row>
    <row r="221" spans="1:76">
      <c r="A221" s="4">
        <f>A209+1</f>
        <v>2001</v>
      </c>
      <c r="B221" s="4">
        <f>B209</f>
        <v>1</v>
      </c>
      <c r="C221" s="4">
        <f>'[2]FPC wSEB'!$F318</f>
        <v>331367</v>
      </c>
      <c r="D221" s="4">
        <f>'[2]FPC wSEB'!$Z318</f>
        <v>2564</v>
      </c>
      <c r="F221" s="4">
        <f>'[2]FPC wSEB'!$G318</f>
        <v>96126</v>
      </c>
      <c r="G221" s="4">
        <f t="shared" si="36"/>
        <v>235241</v>
      </c>
      <c r="H221" s="108">
        <v>3352.1460000000002</v>
      </c>
      <c r="I221" s="108">
        <v>863</v>
      </c>
      <c r="J221" s="108">
        <v>304.27499999999998</v>
      </c>
      <c r="K221" s="108">
        <v>146</v>
      </c>
      <c r="Z221" s="6">
        <f t="shared" si="37"/>
        <v>331367</v>
      </c>
      <c r="AA221" s="4">
        <f t="shared" ref="AA221:AA236" si="38">Z221-Z209</f>
        <v>-45029</v>
      </c>
      <c r="AB221" s="485">
        <f>[9]IMWh!$E101</f>
        <v>330908</v>
      </c>
      <c r="AJ221" s="108">
        <f t="shared" si="33"/>
        <v>327710.57899999997</v>
      </c>
      <c r="AK221" s="108">
        <f t="shared" si="34"/>
        <v>3352.1460000000002</v>
      </c>
      <c r="AL221" s="108">
        <f t="shared" si="35"/>
        <v>304.27499999999998</v>
      </c>
      <c r="BN221" s="4">
        <v>2001</v>
      </c>
      <c r="BO221" s="4">
        <v>1</v>
      </c>
      <c r="BP221" s="50">
        <f>C221+[4]MWh!$AL55</f>
        <v>267458.43390948244</v>
      </c>
      <c r="BQ221" s="108"/>
      <c r="BR221" s="108"/>
      <c r="BS221" s="108"/>
      <c r="BT221" s="175">
        <f t="shared" si="28"/>
        <v>267458.43390948244</v>
      </c>
      <c r="BU221" s="108">
        <f t="shared" si="29"/>
        <v>-167272.37261184579</v>
      </c>
      <c r="BW221" s="534"/>
      <c r="BX221" s="140"/>
    </row>
    <row r="222" spans="1:76">
      <c r="A222" s="4">
        <f t="shared" ref="A222:A285" si="39">A210+1</f>
        <v>2001</v>
      </c>
      <c r="B222" s="4">
        <f t="shared" ref="B222:B285" si="40">B210</f>
        <v>2</v>
      </c>
      <c r="C222" s="4">
        <f>'[2]FPC wSEB'!$F319</f>
        <v>296037</v>
      </c>
      <c r="D222" s="4">
        <f>'[2]FPC wSEB'!$Z319</f>
        <v>2565</v>
      </c>
      <c r="F222" s="4">
        <f>'[2]FPC wSEB'!$G319</f>
        <v>90685</v>
      </c>
      <c r="G222" s="4">
        <f t="shared" si="36"/>
        <v>205352</v>
      </c>
      <c r="H222" s="108">
        <v>2239.5700000000002</v>
      </c>
      <c r="I222" s="108">
        <v>862</v>
      </c>
      <c r="J222" s="108">
        <v>294.91000000000003</v>
      </c>
      <c r="K222" s="108">
        <v>145</v>
      </c>
      <c r="Z222" s="6">
        <f t="shared" si="37"/>
        <v>296037</v>
      </c>
      <c r="AA222" s="4">
        <f t="shared" si="38"/>
        <v>-31052</v>
      </c>
      <c r="AB222" s="485">
        <f>[9]IMWh!$E102</f>
        <v>295304</v>
      </c>
      <c r="AJ222" s="108">
        <f t="shared" si="33"/>
        <v>293502.52</v>
      </c>
      <c r="AK222" s="108">
        <f t="shared" si="34"/>
        <v>2239.5700000000002</v>
      </c>
      <c r="AL222" s="108">
        <f t="shared" si="35"/>
        <v>294.91000000000003</v>
      </c>
      <c r="BN222" s="4">
        <v>2001</v>
      </c>
      <c r="BO222" s="4">
        <v>2</v>
      </c>
      <c r="BP222" s="50">
        <f>C222+[4]MWh!$AL56</f>
        <v>285076.7280515618</v>
      </c>
      <c r="BQ222" s="108"/>
      <c r="BR222" s="108"/>
      <c r="BS222" s="108"/>
      <c r="BT222" s="175">
        <f t="shared" si="28"/>
        <v>285076.7280515618</v>
      </c>
      <c r="BU222" s="108">
        <f t="shared" si="29"/>
        <v>79900.914914960827</v>
      </c>
      <c r="BW222" s="534"/>
      <c r="BX222" s="23"/>
    </row>
    <row r="223" spans="1:76">
      <c r="A223" s="4">
        <f t="shared" si="39"/>
        <v>2001</v>
      </c>
      <c r="B223" s="4">
        <f t="shared" si="40"/>
        <v>3</v>
      </c>
      <c r="C223" s="4">
        <f>'[2]FPC wSEB'!$F320</f>
        <v>351874</v>
      </c>
      <c r="D223" s="4">
        <f>'[2]FPC wSEB'!$Z320</f>
        <v>2479</v>
      </c>
      <c r="F223" s="4">
        <f>'[2]FPC wSEB'!$G320</f>
        <v>93634</v>
      </c>
      <c r="G223" s="4">
        <f t="shared" si="36"/>
        <v>258240</v>
      </c>
      <c r="H223" s="108">
        <v>2243.2869999999998</v>
      </c>
      <c r="I223" s="108">
        <v>825</v>
      </c>
      <c r="J223" s="108">
        <v>307.13200000000001</v>
      </c>
      <c r="K223" s="108">
        <v>145</v>
      </c>
      <c r="Z223" s="6">
        <f t="shared" si="37"/>
        <v>351874</v>
      </c>
      <c r="AA223" s="4">
        <f t="shared" si="38"/>
        <v>-9704</v>
      </c>
      <c r="AB223" s="485">
        <f>[9]IMWh!$E103</f>
        <v>355685</v>
      </c>
      <c r="AJ223" s="108">
        <f t="shared" si="33"/>
        <v>349323.58100000001</v>
      </c>
      <c r="AK223" s="108">
        <f t="shared" si="34"/>
        <v>2243.2869999999998</v>
      </c>
      <c r="AL223" s="108">
        <f t="shared" si="35"/>
        <v>307.13200000000001</v>
      </c>
      <c r="BN223" s="4">
        <v>2001</v>
      </c>
      <c r="BO223" s="4">
        <v>3</v>
      </c>
      <c r="BP223" s="108">
        <f>C223+[4]MWh!$AL57</f>
        <v>413901.62275647267</v>
      </c>
      <c r="BQ223" s="108"/>
      <c r="BR223" s="108"/>
      <c r="BS223" s="108"/>
      <c r="BT223" s="175">
        <f t="shared" si="28"/>
        <v>413901.62275647267</v>
      </c>
      <c r="BU223" s="108">
        <f t="shared" si="29"/>
        <v>-30603.705152642564</v>
      </c>
      <c r="BW223" s="529"/>
    </row>
    <row r="224" spans="1:76">
      <c r="A224" s="4">
        <f t="shared" si="39"/>
        <v>2001</v>
      </c>
      <c r="B224" s="4">
        <f t="shared" si="40"/>
        <v>4</v>
      </c>
      <c r="C224" s="4">
        <f>'[2]FPC wSEB'!$F321</f>
        <v>335141</v>
      </c>
      <c r="D224" s="4">
        <f>'[2]FPC wSEB'!$Z321</f>
        <v>2600</v>
      </c>
      <c r="F224" s="4">
        <f>'[2]FPC wSEB'!$G321</f>
        <v>94460</v>
      </c>
      <c r="G224" s="4">
        <f t="shared" si="36"/>
        <v>240681</v>
      </c>
      <c r="H224" s="108">
        <v>3316.2440000000001</v>
      </c>
      <c r="I224" s="108">
        <v>876</v>
      </c>
      <c r="J224" s="108">
        <v>314.37599999999998</v>
      </c>
      <c r="K224" s="108">
        <v>148</v>
      </c>
      <c r="Z224" s="6">
        <f t="shared" si="37"/>
        <v>335141</v>
      </c>
      <c r="AA224" s="4">
        <f t="shared" si="38"/>
        <v>-40572</v>
      </c>
      <c r="AB224" s="485">
        <f>[9]IMWh!$E104</f>
        <v>332965</v>
      </c>
      <c r="AJ224" s="108">
        <f t="shared" si="33"/>
        <v>331510.38</v>
      </c>
      <c r="AK224" s="108">
        <f t="shared" si="34"/>
        <v>3316.2440000000001</v>
      </c>
      <c r="AL224" s="108">
        <f t="shared" si="35"/>
        <v>314.37599999999998</v>
      </c>
      <c r="BN224" s="4">
        <v>2001</v>
      </c>
      <c r="BO224" s="4">
        <v>4</v>
      </c>
      <c r="BP224" s="108">
        <f>C224+[4]MWh!$AL58</f>
        <v>314919.16043902421</v>
      </c>
      <c r="BQ224" s="108"/>
      <c r="BR224" s="108"/>
      <c r="BS224" s="108"/>
      <c r="BT224" s="175">
        <f t="shared" si="28"/>
        <v>314919.16043902421</v>
      </c>
      <c r="BU224" s="108">
        <f t="shared" si="29"/>
        <v>-38483.525633673242</v>
      </c>
      <c r="BW224" s="529"/>
    </row>
    <row r="225" spans="1:76">
      <c r="A225" s="4">
        <f t="shared" si="39"/>
        <v>2001</v>
      </c>
      <c r="B225" s="4">
        <f t="shared" si="40"/>
        <v>5</v>
      </c>
      <c r="C225" s="4">
        <f>'[2]FPC wSEB'!$F322</f>
        <v>329010</v>
      </c>
      <c r="D225" s="4">
        <f>'[2]FPC wSEB'!$Z322</f>
        <v>2594</v>
      </c>
      <c r="F225" s="4">
        <f>'[2]FPC wSEB'!$G322</f>
        <v>89322</v>
      </c>
      <c r="G225" s="4">
        <f t="shared" si="36"/>
        <v>239688</v>
      </c>
      <c r="H225" s="108">
        <v>2817.5639999999999</v>
      </c>
      <c r="I225" s="108">
        <v>870</v>
      </c>
      <c r="J225" s="108">
        <v>320.34800000000001</v>
      </c>
      <c r="K225" s="108">
        <v>149</v>
      </c>
      <c r="Z225" s="6">
        <f t="shared" si="37"/>
        <v>329010</v>
      </c>
      <c r="AA225" s="4">
        <f t="shared" si="38"/>
        <v>-13296</v>
      </c>
      <c r="AB225" s="485">
        <f>[9]IMWh!$E105</f>
        <v>328164</v>
      </c>
      <c r="AJ225" s="108">
        <f t="shared" si="33"/>
        <v>325872.08799999999</v>
      </c>
      <c r="AK225" s="108">
        <f t="shared" si="34"/>
        <v>2817.5639999999999</v>
      </c>
      <c r="AL225" s="108">
        <f t="shared" si="35"/>
        <v>320.34800000000001</v>
      </c>
      <c r="BN225" s="4">
        <v>2001</v>
      </c>
      <c r="BO225" s="4">
        <v>5</v>
      </c>
      <c r="BP225" s="108">
        <f>C225+[4]MWh!$AL59</f>
        <v>366193.81270267442</v>
      </c>
      <c r="BQ225" s="108"/>
      <c r="BR225" s="108"/>
      <c r="BS225" s="108"/>
      <c r="BT225" s="175">
        <f t="shared" si="28"/>
        <v>366193.81270267442</v>
      </c>
      <c r="BU225" s="108">
        <f t="shared" si="29"/>
        <v>-15557.719313165639</v>
      </c>
      <c r="BW225" s="529"/>
    </row>
    <row r="226" spans="1:76">
      <c r="A226" s="4">
        <f t="shared" si="39"/>
        <v>2001</v>
      </c>
      <c r="B226" s="4">
        <f t="shared" si="40"/>
        <v>6</v>
      </c>
      <c r="C226" s="4">
        <f>'[2]FPC wSEB'!$F323</f>
        <v>345621</v>
      </c>
      <c r="D226" s="4">
        <f>'[2]FPC wSEB'!$Z323</f>
        <v>2588</v>
      </c>
      <c r="F226" s="4">
        <f>'[2]FPC wSEB'!$G323</f>
        <v>86296</v>
      </c>
      <c r="G226" s="4">
        <f t="shared" si="36"/>
        <v>259325</v>
      </c>
      <c r="H226" s="108">
        <v>2971.9369999999999</v>
      </c>
      <c r="I226" s="108">
        <v>876</v>
      </c>
      <c r="J226" s="108">
        <v>317.21600000000001</v>
      </c>
      <c r="K226" s="108">
        <v>147</v>
      </c>
      <c r="Z226" s="6">
        <f t="shared" si="37"/>
        <v>345621</v>
      </c>
      <c r="AA226" s="4">
        <f t="shared" si="38"/>
        <v>-37819</v>
      </c>
      <c r="AB226" s="485">
        <f>[9]IMWh!$E106</f>
        <v>344161</v>
      </c>
      <c r="AJ226" s="108">
        <f t="shared" si="33"/>
        <v>342331.84700000001</v>
      </c>
      <c r="AK226" s="108">
        <f t="shared" si="34"/>
        <v>2971.9369999999999</v>
      </c>
      <c r="AL226" s="108">
        <f t="shared" si="35"/>
        <v>317.21600000000001</v>
      </c>
      <c r="BN226" s="4">
        <v>2001</v>
      </c>
      <c r="BO226" s="4">
        <v>6</v>
      </c>
      <c r="BP226" s="108">
        <f>C226+[4]MWh!$AL60</f>
        <v>314190.20216874988</v>
      </c>
      <c r="BQ226" s="108"/>
      <c r="BR226" s="108"/>
      <c r="BS226" s="108"/>
      <c r="BT226" s="175">
        <f t="shared" si="28"/>
        <v>314190.20216874988</v>
      </c>
      <c r="BU226" s="108">
        <f t="shared" si="29"/>
        <v>-30403.692204330466</v>
      </c>
      <c r="BW226" s="529"/>
    </row>
    <row r="227" spans="1:76">
      <c r="A227" s="4">
        <f t="shared" si="39"/>
        <v>2001</v>
      </c>
      <c r="B227" s="4">
        <f t="shared" si="40"/>
        <v>7</v>
      </c>
      <c r="C227" s="4">
        <f>'[2]FPC wSEB'!$F324</f>
        <v>304736</v>
      </c>
      <c r="D227" s="4">
        <f>'[2]FPC wSEB'!$Z324</f>
        <v>2497</v>
      </c>
      <c r="F227" s="4">
        <f>'[2]FPC wSEB'!$G324</f>
        <v>83637</v>
      </c>
      <c r="G227" s="4">
        <f t="shared" si="36"/>
        <v>221099</v>
      </c>
      <c r="H227" s="108">
        <v>3602.9760000000001</v>
      </c>
      <c r="I227" s="108">
        <v>835</v>
      </c>
      <c r="J227" s="108">
        <v>301.35599999999999</v>
      </c>
      <c r="K227" s="108">
        <v>152</v>
      </c>
      <c r="Z227" s="6">
        <f t="shared" si="37"/>
        <v>304736</v>
      </c>
      <c r="AA227" s="4">
        <f t="shared" si="38"/>
        <v>-67327</v>
      </c>
      <c r="AB227" s="485">
        <f>[9]IMWh!$E107</f>
        <v>307594</v>
      </c>
      <c r="AJ227" s="108">
        <f t="shared" si="33"/>
        <v>300831.66799999995</v>
      </c>
      <c r="AK227" s="108">
        <f t="shared" si="34"/>
        <v>3602.9760000000001</v>
      </c>
      <c r="AL227" s="108">
        <f t="shared" si="35"/>
        <v>301.35599999999999</v>
      </c>
      <c r="BN227" s="4">
        <v>2001</v>
      </c>
      <c r="BO227" s="4">
        <v>7</v>
      </c>
      <c r="BP227" s="108">
        <f>C227+[4]MWh!$AL61</f>
        <v>286743.23452856293</v>
      </c>
      <c r="BQ227" s="108"/>
      <c r="BR227" s="108"/>
      <c r="BS227" s="108"/>
      <c r="BT227" s="175">
        <f t="shared" si="28"/>
        <v>286743.23452856293</v>
      </c>
      <c r="BU227" s="108">
        <f t="shared" si="29"/>
        <v>-58618.105126613751</v>
      </c>
      <c r="BW227" s="529"/>
    </row>
    <row r="228" spans="1:76">
      <c r="A228" s="4">
        <f t="shared" si="39"/>
        <v>2001</v>
      </c>
      <c r="B228" s="4">
        <f t="shared" si="40"/>
        <v>8</v>
      </c>
      <c r="C228" s="4">
        <f>'[2]FPC wSEB'!$F325</f>
        <v>299781</v>
      </c>
      <c r="D228" s="4">
        <f>'[2]FPC wSEB'!$Z325</f>
        <v>2576</v>
      </c>
      <c r="F228" s="4">
        <f>'[2]FPC wSEB'!$G325</f>
        <v>50701</v>
      </c>
      <c r="G228" s="4">
        <f t="shared" si="36"/>
        <v>249080</v>
      </c>
      <c r="H228" s="108">
        <v>4045.067</v>
      </c>
      <c r="I228" s="108">
        <v>861</v>
      </c>
      <c r="J228" s="108">
        <v>320.83100000000002</v>
      </c>
      <c r="K228" s="108">
        <v>149</v>
      </c>
      <c r="Z228" s="6">
        <f t="shared" si="37"/>
        <v>299781</v>
      </c>
      <c r="AA228" s="4">
        <f t="shared" si="38"/>
        <v>-30818</v>
      </c>
      <c r="AB228" s="485">
        <f>[9]IMWh!$E108</f>
        <v>299264</v>
      </c>
      <c r="AJ228" s="108">
        <f t="shared" si="33"/>
        <v>295415.10200000001</v>
      </c>
      <c r="AK228" s="108">
        <f t="shared" si="34"/>
        <v>4045.067</v>
      </c>
      <c r="AL228" s="108">
        <f t="shared" si="35"/>
        <v>320.83100000000002</v>
      </c>
      <c r="BN228" s="4">
        <v>2001</v>
      </c>
      <c r="BO228" s="4">
        <v>8</v>
      </c>
      <c r="BP228" s="108">
        <f>C228+[4]MWh!$AL62</f>
        <v>321124.44768487918</v>
      </c>
      <c r="BQ228" s="108"/>
      <c r="BR228" s="108"/>
      <c r="BS228" s="108"/>
      <c r="BT228" s="175">
        <f t="shared" si="28"/>
        <v>321124.44768487918</v>
      </c>
      <c r="BU228" s="108">
        <f t="shared" si="29"/>
        <v>-16686.858876432874</v>
      </c>
      <c r="BW228" s="529"/>
    </row>
    <row r="229" spans="1:76">
      <c r="A229" s="4">
        <f t="shared" si="39"/>
        <v>2001</v>
      </c>
      <c r="B229" s="4">
        <f t="shared" si="40"/>
        <v>9</v>
      </c>
      <c r="C229" s="4">
        <f>'[2]FPC wSEB'!$F326</f>
        <v>329082</v>
      </c>
      <c r="D229" s="4">
        <f>'[2]FPC wSEB'!$Z326</f>
        <v>2559</v>
      </c>
      <c r="F229" s="4">
        <f>'[2]FPC wSEB'!$G326</f>
        <v>86603</v>
      </c>
      <c r="G229" s="4">
        <f t="shared" si="36"/>
        <v>242479</v>
      </c>
      <c r="H229" s="108">
        <v>2786.1819999999998</v>
      </c>
      <c r="I229" s="108">
        <v>852</v>
      </c>
      <c r="J229" s="108">
        <v>315.637</v>
      </c>
      <c r="K229" s="108">
        <v>148</v>
      </c>
      <c r="Z229" s="6">
        <f t="shared" si="37"/>
        <v>329082</v>
      </c>
      <c r="AA229" s="4">
        <f t="shared" si="38"/>
        <v>-45832</v>
      </c>
      <c r="AB229" s="485">
        <f>[9]IMWh!$E109</f>
        <v>325191</v>
      </c>
      <c r="AJ229" s="108">
        <f t="shared" si="33"/>
        <v>325980.18100000004</v>
      </c>
      <c r="AK229" s="108">
        <f t="shared" si="34"/>
        <v>2786.1819999999998</v>
      </c>
      <c r="AL229" s="108">
        <f t="shared" si="35"/>
        <v>315.637</v>
      </c>
      <c r="BN229" s="4">
        <v>2001</v>
      </c>
      <c r="BO229" s="4">
        <v>9</v>
      </c>
      <c r="BP229" s="108">
        <f>C229+[4]MWh!$AL63</f>
        <v>286242.50739063596</v>
      </c>
      <c r="BQ229" s="108"/>
      <c r="BR229" s="108"/>
      <c r="BS229" s="108"/>
      <c r="BT229" s="175">
        <f t="shared" si="28"/>
        <v>286242.50739063596</v>
      </c>
      <c r="BU229" s="108">
        <f t="shared" si="29"/>
        <v>-68634.133402567706</v>
      </c>
      <c r="BW229" s="529"/>
      <c r="BX229" s="120"/>
    </row>
    <row r="230" spans="1:76">
      <c r="A230" s="4">
        <f t="shared" si="39"/>
        <v>2001</v>
      </c>
      <c r="B230" s="4">
        <f t="shared" si="40"/>
        <v>10</v>
      </c>
      <c r="C230" s="4">
        <f>'[2]FPC wSEB'!$F327</f>
        <v>310115</v>
      </c>
      <c r="D230" s="4">
        <f>'[2]FPC wSEB'!$Z327</f>
        <v>2507</v>
      </c>
      <c r="F230" s="4">
        <f>'[2]FPC wSEB'!$G327</f>
        <v>77614</v>
      </c>
      <c r="G230" s="4">
        <f t="shared" si="36"/>
        <v>232501</v>
      </c>
      <c r="H230" s="108">
        <v>3107.7350000000001</v>
      </c>
      <c r="I230" s="108">
        <v>825</v>
      </c>
      <c r="J230" s="108">
        <v>306.20800000000003</v>
      </c>
      <c r="K230" s="108">
        <v>147</v>
      </c>
      <c r="Z230" s="6">
        <f t="shared" si="37"/>
        <v>310115</v>
      </c>
      <c r="AA230" s="4">
        <f t="shared" si="38"/>
        <v>-31136</v>
      </c>
      <c r="AB230" s="485">
        <f>[9]IMWh!$E110</f>
        <v>313055</v>
      </c>
      <c r="AJ230" s="108">
        <f t="shared" si="33"/>
        <v>306701.05700000003</v>
      </c>
      <c r="AK230" s="108">
        <f t="shared" si="34"/>
        <v>3107.7350000000001</v>
      </c>
      <c r="AL230" s="108">
        <f t="shared" si="35"/>
        <v>306.20800000000003</v>
      </c>
      <c r="BN230" s="4">
        <v>2001</v>
      </c>
      <c r="BO230" s="4">
        <v>10</v>
      </c>
      <c r="BP230" s="108">
        <f>C230+[4]MWh!$AL64</f>
        <v>334238.00239082356</v>
      </c>
      <c r="BQ230" s="108"/>
      <c r="BR230" s="108"/>
      <c r="BS230" s="108"/>
      <c r="BT230" s="175">
        <f t="shared" si="28"/>
        <v>334238.00239082356</v>
      </c>
      <c r="BU230" s="108">
        <f t="shared" si="29"/>
        <v>8738.6898281186586</v>
      </c>
      <c r="BW230" s="529"/>
      <c r="BX230" s="120"/>
    </row>
    <row r="231" spans="1:76">
      <c r="A231" s="4">
        <f t="shared" si="39"/>
        <v>2001</v>
      </c>
      <c r="B231" s="4">
        <f t="shared" si="40"/>
        <v>11</v>
      </c>
      <c r="C231" s="4">
        <f>'[2]FPC wSEB'!$F328</f>
        <v>328973</v>
      </c>
      <c r="D231" s="4">
        <f>'[2]FPC wSEB'!$Z328</f>
        <v>2589</v>
      </c>
      <c r="F231" s="4">
        <f>'[2]FPC wSEB'!$G328</f>
        <v>90040</v>
      </c>
      <c r="G231" s="4">
        <f t="shared" si="36"/>
        <v>238933</v>
      </c>
      <c r="H231" s="108">
        <v>2784.384</v>
      </c>
      <c r="I231" s="108">
        <v>850</v>
      </c>
      <c r="J231" s="108">
        <v>316.41199999999998</v>
      </c>
      <c r="K231" s="108">
        <v>145</v>
      </c>
      <c r="Z231" s="6">
        <f t="shared" si="37"/>
        <v>328973</v>
      </c>
      <c r="AA231" s="4">
        <f t="shared" si="38"/>
        <v>-17976</v>
      </c>
      <c r="AB231" s="485">
        <f>[9]IMWh!$E111</f>
        <v>326558</v>
      </c>
      <c r="AJ231" s="108">
        <f t="shared" si="33"/>
        <v>325872.20399999997</v>
      </c>
      <c r="AK231" s="108">
        <f t="shared" si="34"/>
        <v>2784.384</v>
      </c>
      <c r="AL231" s="108">
        <f t="shared" si="35"/>
        <v>316.41199999999998</v>
      </c>
      <c r="BN231" s="4">
        <v>2001</v>
      </c>
      <c r="BO231" s="4">
        <v>11</v>
      </c>
      <c r="BP231" s="108">
        <f>C231+[4]MWh!$AL65</f>
        <v>320873.31075319782</v>
      </c>
      <c r="BQ231" s="108"/>
      <c r="BR231" s="108"/>
      <c r="BS231" s="108"/>
      <c r="BT231" s="175">
        <f t="shared" si="28"/>
        <v>320873.31075319782</v>
      </c>
      <c r="BU231" s="108">
        <f t="shared" si="29"/>
        <v>-58869.482556137897</v>
      </c>
      <c r="BW231" s="529"/>
      <c r="BX231" s="120"/>
    </row>
    <row r="232" spans="1:76" s="89" customFormat="1">
      <c r="A232" s="89">
        <f t="shared" si="39"/>
        <v>2001</v>
      </c>
      <c r="B232" s="89">
        <f t="shared" si="40"/>
        <v>12</v>
      </c>
      <c r="C232" s="89">
        <f>'[2]FPC wSEB'!$F329</f>
        <v>310603</v>
      </c>
      <c r="D232" s="89">
        <f>'[2]FPC wSEB'!$Z329</f>
        <v>2498</v>
      </c>
      <c r="F232" s="89">
        <f>'[2]FPC wSEB'!$G329</f>
        <v>82849</v>
      </c>
      <c r="G232" s="89">
        <f t="shared" si="36"/>
        <v>227754</v>
      </c>
      <c r="H232" s="117">
        <v>2545.348</v>
      </c>
      <c r="I232" s="117">
        <v>808</v>
      </c>
      <c r="J232" s="117">
        <v>313.98899999999998</v>
      </c>
      <c r="K232" s="117">
        <v>145</v>
      </c>
      <c r="Z232" s="96">
        <f t="shared" si="37"/>
        <v>310603</v>
      </c>
      <c r="AA232" s="89">
        <f t="shared" si="38"/>
        <v>-5816</v>
      </c>
      <c r="AB232" s="514">
        <f>[9]IMWh!$E112</f>
        <v>312071</v>
      </c>
      <c r="AJ232" s="117">
        <f t="shared" si="33"/>
        <v>307743.663</v>
      </c>
      <c r="AK232" s="117">
        <f t="shared" si="34"/>
        <v>2545.348</v>
      </c>
      <c r="AL232" s="117">
        <f t="shared" si="35"/>
        <v>313.98899999999998</v>
      </c>
      <c r="BN232" s="89">
        <v>2001</v>
      </c>
      <c r="BO232" s="89">
        <v>12</v>
      </c>
      <c r="BP232" s="117">
        <f>C232+[4]MWh!$AL66</f>
        <v>315323.08926611894</v>
      </c>
      <c r="BQ232" s="117"/>
      <c r="BR232" s="117"/>
      <c r="BS232" s="117"/>
      <c r="BT232" s="176">
        <f t="shared" si="28"/>
        <v>315323.08926611894</v>
      </c>
      <c r="BU232" s="117">
        <f t="shared" si="29"/>
        <v>-25033.805374758085</v>
      </c>
      <c r="BW232" s="536"/>
    </row>
    <row r="233" spans="1:76">
      <c r="A233" s="4">
        <f t="shared" si="39"/>
        <v>2002</v>
      </c>
      <c r="B233" s="4">
        <f t="shared" si="40"/>
        <v>1</v>
      </c>
      <c r="C233" s="4">
        <f>'[2]FPC wSEB'!$F330</f>
        <v>270326</v>
      </c>
      <c r="D233" s="4">
        <f>'[2]FPC wSEB'!$Z330</f>
        <v>2570</v>
      </c>
      <c r="F233" s="4">
        <f>'[2]FPC wSEB'!$G330</f>
        <v>58455</v>
      </c>
      <c r="G233" s="4">
        <f t="shared" ref="G233:G238" si="41">C233-F233</f>
        <v>211871</v>
      </c>
      <c r="H233" s="108">
        <v>2188.1729999999998</v>
      </c>
      <c r="I233" s="108">
        <v>846</v>
      </c>
      <c r="J233" s="108">
        <v>403.95600000000002</v>
      </c>
      <c r="K233" s="108">
        <v>147</v>
      </c>
      <c r="Z233" s="6">
        <f t="shared" ref="Z233:Z238" si="42">C233</f>
        <v>270326</v>
      </c>
      <c r="AA233" s="4">
        <f t="shared" si="38"/>
        <v>-61041</v>
      </c>
      <c r="AB233" s="485">
        <f>[9]IMWh!$E113</f>
        <v>271158</v>
      </c>
      <c r="AJ233" s="108">
        <f t="shared" si="33"/>
        <v>267733.87099999998</v>
      </c>
      <c r="AK233" s="108">
        <f t="shared" si="34"/>
        <v>2188.1729999999998</v>
      </c>
      <c r="AL233" s="108">
        <f t="shared" si="35"/>
        <v>403.95600000000002</v>
      </c>
      <c r="BN233" s="4">
        <v>2002</v>
      </c>
      <c r="BO233" s="4">
        <v>1</v>
      </c>
      <c r="BP233" s="108">
        <f>C233+[4]MWh!$AL67</f>
        <v>223571.29456855237</v>
      </c>
      <c r="BQ233" s="108"/>
      <c r="BR233" s="108"/>
      <c r="BS233" s="108"/>
      <c r="BT233" s="175">
        <f t="shared" si="28"/>
        <v>223571.29456855237</v>
      </c>
      <c r="BU233" s="108">
        <f t="shared" si="29"/>
        <v>-43887.139340930065</v>
      </c>
      <c r="BW233" s="529"/>
    </row>
    <row r="234" spans="1:76">
      <c r="A234" s="4">
        <f t="shared" si="39"/>
        <v>2002</v>
      </c>
      <c r="B234" s="4">
        <f t="shared" si="40"/>
        <v>2</v>
      </c>
      <c r="C234" s="4">
        <f>'[2]FPC wSEB'!$F331</f>
        <v>319236</v>
      </c>
      <c r="D234" s="4">
        <f>'[2]FPC wSEB'!$Z331</f>
        <v>2520</v>
      </c>
      <c r="F234" s="4">
        <f>'[2]FPC wSEB'!$G331</f>
        <v>88175</v>
      </c>
      <c r="G234" s="4">
        <f t="shared" si="41"/>
        <v>231061</v>
      </c>
      <c r="H234" s="108">
        <v>2804.1289999999999</v>
      </c>
      <c r="I234" s="108">
        <v>820</v>
      </c>
      <c r="J234" s="108">
        <v>327.69299999999998</v>
      </c>
      <c r="K234" s="108">
        <v>148</v>
      </c>
      <c r="Z234" s="6">
        <f t="shared" si="42"/>
        <v>319236</v>
      </c>
      <c r="AA234" s="4">
        <f t="shared" si="38"/>
        <v>23199</v>
      </c>
      <c r="AB234" s="485">
        <f>[9]IMWh!$E114</f>
        <v>318374</v>
      </c>
      <c r="AJ234" s="108">
        <f t="shared" si="33"/>
        <v>316104.17799999996</v>
      </c>
      <c r="AK234" s="108">
        <f t="shared" si="34"/>
        <v>2804.1289999999999</v>
      </c>
      <c r="AL234" s="108">
        <f t="shared" si="35"/>
        <v>327.69299999999998</v>
      </c>
      <c r="BN234" s="4">
        <v>2002</v>
      </c>
      <c r="BO234" s="4">
        <v>2</v>
      </c>
      <c r="BP234" s="108">
        <f>C234+[4]MWh!$AL68</f>
        <v>351949.26847724279</v>
      </c>
      <c r="BQ234" s="108"/>
      <c r="BR234" s="108"/>
      <c r="BS234" s="108"/>
      <c r="BT234" s="175">
        <f t="shared" ref="BT234:BT239" si="43">BP234</f>
        <v>351949.26847724279</v>
      </c>
      <c r="BU234" s="108">
        <f t="shared" si="29"/>
        <v>66872.540425680985</v>
      </c>
      <c r="BW234" s="529"/>
    </row>
    <row r="235" spans="1:76">
      <c r="A235" s="4">
        <f t="shared" si="39"/>
        <v>2002</v>
      </c>
      <c r="B235" s="4">
        <f t="shared" si="40"/>
        <v>3</v>
      </c>
      <c r="C235" s="4">
        <f>'[2]FPC wSEB'!$F332</f>
        <v>292918</v>
      </c>
      <c r="D235" s="4">
        <f>'[2]FPC wSEB'!$Z332</f>
        <v>2499</v>
      </c>
      <c r="F235" s="4">
        <f>'[2]FPC wSEB'!$G332</f>
        <v>81571</v>
      </c>
      <c r="G235" s="4">
        <f t="shared" si="41"/>
        <v>211347</v>
      </c>
      <c r="H235" s="108">
        <v>2734.2240000000002</v>
      </c>
      <c r="I235" s="108">
        <v>824</v>
      </c>
      <c r="J235" s="108">
        <v>314.69299999999998</v>
      </c>
      <c r="K235" s="108">
        <v>148</v>
      </c>
      <c r="Z235" s="6">
        <f t="shared" si="42"/>
        <v>292918</v>
      </c>
      <c r="AA235" s="4">
        <f t="shared" si="38"/>
        <v>-58956</v>
      </c>
      <c r="AB235" s="485">
        <f>[9]IMWh!$E115</f>
        <v>293776</v>
      </c>
      <c r="AJ235" s="108">
        <f t="shared" si="33"/>
        <v>289869.08299999998</v>
      </c>
      <c r="AK235" s="108">
        <f t="shared" si="34"/>
        <v>2734.2240000000002</v>
      </c>
      <c r="AL235" s="108">
        <f t="shared" si="35"/>
        <v>314.69299999999998</v>
      </c>
      <c r="BN235" s="4">
        <v>2002</v>
      </c>
      <c r="BO235" s="4">
        <v>3</v>
      </c>
      <c r="BP235" s="108">
        <f>C235+[4]MWh!$AL69</f>
        <v>299119.95303812722</v>
      </c>
      <c r="BQ235" s="108"/>
      <c r="BR235" s="108"/>
      <c r="BS235" s="108"/>
      <c r="BT235" s="175">
        <f t="shared" si="43"/>
        <v>299119.95303812722</v>
      </c>
      <c r="BU235" s="108">
        <f t="shared" si="29"/>
        <v>-114781.66971834545</v>
      </c>
      <c r="BW235" s="529"/>
    </row>
    <row r="236" spans="1:76">
      <c r="A236" s="4">
        <f t="shared" si="39"/>
        <v>2002</v>
      </c>
      <c r="B236" s="4">
        <f t="shared" si="40"/>
        <v>4</v>
      </c>
      <c r="C236" s="4">
        <f>'[2]FPC wSEB'!$F333</f>
        <v>310258</v>
      </c>
      <c r="D236" s="4">
        <f>'[2]FPC wSEB'!$Z333</f>
        <v>2374</v>
      </c>
      <c r="F236" s="4">
        <f>'[2]FPC wSEB'!$G333</f>
        <v>85567</v>
      </c>
      <c r="G236" s="4">
        <f t="shared" si="41"/>
        <v>224691</v>
      </c>
      <c r="H236" s="108">
        <v>2785.4740000000002</v>
      </c>
      <c r="I236" s="108">
        <v>771</v>
      </c>
      <c r="J236" s="108">
        <v>308.03899999999999</v>
      </c>
      <c r="K236" s="108">
        <v>155</v>
      </c>
      <c r="Z236" s="6">
        <f t="shared" si="42"/>
        <v>310258</v>
      </c>
      <c r="AA236" s="4">
        <f t="shared" si="38"/>
        <v>-24883</v>
      </c>
      <c r="AB236" s="485">
        <f>[9]IMWh!$E116</f>
        <v>313469</v>
      </c>
      <c r="AJ236" s="108">
        <f t="shared" si="33"/>
        <v>307164.48700000002</v>
      </c>
      <c r="AK236" s="108">
        <f t="shared" si="34"/>
        <v>2785.4740000000002</v>
      </c>
      <c r="AL236" s="108">
        <f t="shared" si="35"/>
        <v>308.03899999999999</v>
      </c>
      <c r="BN236" s="4">
        <v>2002</v>
      </c>
      <c r="BO236" s="4">
        <v>4</v>
      </c>
      <c r="BP236" s="108">
        <f>C236+[4]MWh!$AL70</f>
        <v>338848.31343050196</v>
      </c>
      <c r="BQ236" s="108"/>
      <c r="BR236" s="108"/>
      <c r="BS236" s="108"/>
      <c r="BT236" s="175">
        <f t="shared" si="43"/>
        <v>338848.31343050196</v>
      </c>
      <c r="BU236" s="108">
        <f t="shared" si="29"/>
        <v>23929.152991477749</v>
      </c>
      <c r="BW236" s="529"/>
    </row>
    <row r="237" spans="1:76">
      <c r="A237" s="4">
        <f t="shared" si="39"/>
        <v>2002</v>
      </c>
      <c r="B237" s="4">
        <f t="shared" si="40"/>
        <v>5</v>
      </c>
      <c r="C237" s="4">
        <f>'[2]FPC wSEB'!$F334</f>
        <v>372027</v>
      </c>
      <c r="D237" s="4">
        <f>'[2]FPC wSEB'!$Z334</f>
        <v>2676</v>
      </c>
      <c r="F237" s="4">
        <f>'[2]FPC wSEB'!$G334</f>
        <v>99652</v>
      </c>
      <c r="G237" s="4">
        <f t="shared" si="41"/>
        <v>272375</v>
      </c>
      <c r="H237" s="108">
        <v>3126.66</v>
      </c>
      <c r="I237" s="108">
        <v>849</v>
      </c>
      <c r="J237" s="108">
        <v>314.85399999999998</v>
      </c>
      <c r="K237" s="108">
        <v>147</v>
      </c>
      <c r="L237" s="374" t="s">
        <v>320</v>
      </c>
      <c r="Z237" s="6">
        <f t="shared" si="42"/>
        <v>372027</v>
      </c>
      <c r="AA237" s="4">
        <f t="shared" ref="AA237:AA242" si="44">Z237-Z225</f>
        <v>43017</v>
      </c>
      <c r="AB237" s="485">
        <f>[9]IMWh!$E117</f>
        <v>351077</v>
      </c>
      <c r="AJ237" s="108">
        <f t="shared" si="33"/>
        <v>368585.48600000003</v>
      </c>
      <c r="AK237" s="108">
        <f t="shared" si="34"/>
        <v>3126.66</v>
      </c>
      <c r="AL237" s="108">
        <f t="shared" si="35"/>
        <v>314.85399999999998</v>
      </c>
      <c r="BN237" s="4">
        <v>2002</v>
      </c>
      <c r="BO237" s="4">
        <v>5</v>
      </c>
      <c r="BP237" s="108">
        <f>C237+[4]MWh!$AL71</f>
        <v>365208.66902000684</v>
      </c>
      <c r="BQ237" s="108"/>
      <c r="BR237" s="108"/>
      <c r="BS237" s="108"/>
      <c r="BT237" s="175">
        <f t="shared" si="43"/>
        <v>365208.66902000684</v>
      </c>
      <c r="BU237" s="108">
        <f t="shared" si="29"/>
        <v>-985.1436826675781</v>
      </c>
      <c r="BW237" s="529"/>
    </row>
    <row r="238" spans="1:76">
      <c r="A238" s="4">
        <f t="shared" si="39"/>
        <v>2002</v>
      </c>
      <c r="B238" s="4">
        <f t="shared" si="40"/>
        <v>6</v>
      </c>
      <c r="C238" s="4">
        <f>'[2]FPC wSEB'!$F335</f>
        <v>311167</v>
      </c>
      <c r="D238" s="4">
        <f>'[2]FPC wSEB'!$Z335</f>
        <v>2420</v>
      </c>
      <c r="F238" s="4">
        <f>'[2]FPC wSEB'!$G335</f>
        <v>67021</v>
      </c>
      <c r="G238" s="4">
        <f t="shared" si="41"/>
        <v>244146</v>
      </c>
      <c r="H238" s="108">
        <v>3592.0169999999998</v>
      </c>
      <c r="I238" s="108">
        <v>785</v>
      </c>
      <c r="J238" s="108">
        <v>325.21100000000001</v>
      </c>
      <c r="K238" s="108">
        <v>144</v>
      </c>
      <c r="L238" s="374" t="s">
        <v>321</v>
      </c>
      <c r="Z238" s="6">
        <f t="shared" si="42"/>
        <v>311167</v>
      </c>
      <c r="AA238" s="4">
        <f t="shared" si="44"/>
        <v>-34454</v>
      </c>
      <c r="AB238" s="485">
        <f>[9]IMWh!$E118</f>
        <v>332117</v>
      </c>
      <c r="AJ238" s="108">
        <f t="shared" si="33"/>
        <v>307249.772</v>
      </c>
      <c r="AK238" s="108">
        <f t="shared" si="34"/>
        <v>3592.0169999999998</v>
      </c>
      <c r="AL238" s="108">
        <f t="shared" si="35"/>
        <v>325.21100000000001</v>
      </c>
      <c r="BN238" s="4">
        <v>2002</v>
      </c>
      <c r="BO238" s="4">
        <v>6</v>
      </c>
      <c r="BP238" s="108">
        <f>C238+[4]MWh!$AL72</f>
        <v>307306.19279075833</v>
      </c>
      <c r="BQ238" s="108"/>
      <c r="BR238" s="108"/>
      <c r="BS238" s="108"/>
      <c r="BT238" s="175">
        <f t="shared" si="43"/>
        <v>307306.19279075833</v>
      </c>
      <c r="BU238" s="108">
        <f t="shared" si="29"/>
        <v>-6884.0093779915478</v>
      </c>
      <c r="BW238" s="529"/>
    </row>
    <row r="239" spans="1:76">
      <c r="A239" s="4">
        <f t="shared" si="39"/>
        <v>2002</v>
      </c>
      <c r="B239" s="4">
        <f t="shared" si="40"/>
        <v>7</v>
      </c>
      <c r="C239" s="4">
        <f>'[2]FPC wSEB'!$F336</f>
        <v>344323</v>
      </c>
      <c r="D239" s="4">
        <f>'[2]FPC wSEB'!$Z336</f>
        <v>2575</v>
      </c>
      <c r="F239" s="4">
        <f>'[2]FPC wSEB'!$G336</f>
        <v>80934</v>
      </c>
      <c r="G239" s="4">
        <f t="shared" ref="G239:G244" si="45">C239-F239</f>
        <v>263389</v>
      </c>
      <c r="H239" s="557">
        <v>3183</v>
      </c>
      <c r="I239" s="108">
        <v>831</v>
      </c>
      <c r="J239" s="108">
        <v>333.267</v>
      </c>
      <c r="K239" s="108">
        <v>147</v>
      </c>
      <c r="L239" s="108">
        <v>9317.9539999999997</v>
      </c>
      <c r="Z239" s="6">
        <f t="shared" ref="Z239:Z244" si="46">C239</f>
        <v>344323</v>
      </c>
      <c r="AA239" s="4">
        <f t="shared" si="44"/>
        <v>39587</v>
      </c>
      <c r="AB239" s="485">
        <f>[9]IMWh!$E119</f>
        <v>335987</v>
      </c>
      <c r="AJ239" s="108">
        <f t="shared" si="33"/>
        <v>340806.73300000001</v>
      </c>
      <c r="AK239" s="108">
        <f t="shared" si="34"/>
        <v>3183</v>
      </c>
      <c r="AL239" s="108">
        <f t="shared" si="35"/>
        <v>333.267</v>
      </c>
      <c r="BN239" s="4">
        <v>2002</v>
      </c>
      <c r="BO239" s="4">
        <v>7</v>
      </c>
      <c r="BP239" s="108">
        <f>C239+[4]MWh!$AL73</f>
        <v>356096.67500474007</v>
      </c>
      <c r="BQ239" s="108"/>
      <c r="BR239" s="108"/>
      <c r="BS239" s="108"/>
      <c r="BT239" s="175">
        <f t="shared" si="43"/>
        <v>356096.67500474007</v>
      </c>
      <c r="BU239" s="108">
        <f t="shared" si="29"/>
        <v>69353.440476177144</v>
      </c>
      <c r="BW239" s="529"/>
    </row>
    <row r="240" spans="1:76">
      <c r="A240" s="4">
        <f t="shared" si="39"/>
        <v>2002</v>
      </c>
      <c r="B240" s="4">
        <f t="shared" si="40"/>
        <v>8</v>
      </c>
      <c r="C240" s="4">
        <f>'[2]FPC wSEB'!$F337</f>
        <v>312198</v>
      </c>
      <c r="D240" s="4">
        <f>'[2]FPC wSEB'!$Z337</f>
        <v>2552</v>
      </c>
      <c r="F240" s="4">
        <f>'[2]FPC wSEB'!$G337</f>
        <v>84523</v>
      </c>
      <c r="G240" s="4">
        <f t="shared" si="45"/>
        <v>227675</v>
      </c>
      <c r="H240" s="558">
        <v>3183</v>
      </c>
      <c r="I240" s="108">
        <v>826</v>
      </c>
      <c r="J240" s="108">
        <v>323.70100000000002</v>
      </c>
      <c r="K240" s="108">
        <v>143</v>
      </c>
      <c r="L240" s="108">
        <v>-2952.2139999999999</v>
      </c>
      <c r="Z240" s="6">
        <f t="shared" si="46"/>
        <v>312198</v>
      </c>
      <c r="AA240" s="4">
        <f t="shared" si="44"/>
        <v>12417</v>
      </c>
      <c r="AB240" s="485">
        <f>[9]IMWh!$E120</f>
        <v>315853</v>
      </c>
      <c r="AJ240" s="108">
        <f t="shared" si="33"/>
        <v>308691.299</v>
      </c>
      <c r="AK240" s="523">
        <f t="shared" si="34"/>
        <v>3183</v>
      </c>
      <c r="AL240" s="108">
        <f t="shared" si="35"/>
        <v>323.70100000000002</v>
      </c>
      <c r="BN240" s="4">
        <v>2002</v>
      </c>
      <c r="BO240" s="4">
        <v>8</v>
      </c>
      <c r="BP240" s="108">
        <f>C240+[4]MWh!$AL74</f>
        <v>306176.81257328962</v>
      </c>
      <c r="BQ240" s="108"/>
      <c r="BR240" s="108"/>
      <c r="BS240" s="108"/>
      <c r="BT240" s="175">
        <f t="shared" ref="BT240:BT245" si="47">BP240</f>
        <v>306176.81257328962</v>
      </c>
      <c r="BU240" s="108">
        <f t="shared" si="29"/>
        <v>-14947.635111589567</v>
      </c>
      <c r="BW240" s="529"/>
    </row>
    <row r="241" spans="1:75">
      <c r="A241" s="4">
        <f t="shared" si="39"/>
        <v>2002</v>
      </c>
      <c r="B241" s="4">
        <f t="shared" si="40"/>
        <v>9</v>
      </c>
      <c r="C241" s="4">
        <f>'[2]FPC wSEB'!$F338</f>
        <v>326118</v>
      </c>
      <c r="D241" s="4">
        <f>'[2]FPC wSEB'!$Z338</f>
        <v>2517</v>
      </c>
      <c r="F241" s="4">
        <f>'[2]FPC wSEB'!$G338</f>
        <v>87313</v>
      </c>
      <c r="G241" s="4">
        <f t="shared" si="45"/>
        <v>238805</v>
      </c>
      <c r="H241" s="108">
        <v>3574.4160000000002</v>
      </c>
      <c r="I241" s="108">
        <v>832</v>
      </c>
      <c r="J241" s="108">
        <v>327.15100000000001</v>
      </c>
      <c r="K241" s="108">
        <v>143</v>
      </c>
      <c r="Z241" s="6">
        <f t="shared" si="46"/>
        <v>326118</v>
      </c>
      <c r="AA241" s="4">
        <f t="shared" si="44"/>
        <v>-2964</v>
      </c>
      <c r="AB241" s="485">
        <f>[9]IMWh!$E121</f>
        <v>326953</v>
      </c>
      <c r="AJ241" s="108">
        <f t="shared" si="33"/>
        <v>322216.43299999996</v>
      </c>
      <c r="AK241" s="108">
        <f t="shared" si="34"/>
        <v>3574.4160000000002</v>
      </c>
      <c r="AL241" s="108">
        <f t="shared" si="35"/>
        <v>327.15100000000001</v>
      </c>
      <c r="BN241" s="4">
        <v>2002</v>
      </c>
      <c r="BO241" s="4">
        <v>9</v>
      </c>
      <c r="BP241" s="108">
        <f>C241+[4]MWh!$AL75</f>
        <v>319924.4420371913</v>
      </c>
      <c r="BQ241" s="108"/>
      <c r="BR241" s="108"/>
      <c r="BS241" s="108"/>
      <c r="BT241" s="175">
        <f t="shared" si="47"/>
        <v>319924.4420371913</v>
      </c>
      <c r="BU241" s="108">
        <f t="shared" si="29"/>
        <v>33681.934646555339</v>
      </c>
      <c r="BW241" s="529"/>
    </row>
    <row r="242" spans="1:75">
      <c r="A242" s="4">
        <f t="shared" si="39"/>
        <v>2002</v>
      </c>
      <c r="B242" s="4">
        <f t="shared" si="40"/>
        <v>10</v>
      </c>
      <c r="C242" s="4">
        <f>'[2]FPC wSEB'!$F339</f>
        <v>315167</v>
      </c>
      <c r="D242" s="4">
        <f>'[2]FPC wSEB'!$Z339</f>
        <v>2472</v>
      </c>
      <c r="F242" s="4">
        <f>'[2]FPC wSEB'!$G339</f>
        <v>79585</v>
      </c>
      <c r="G242" s="4">
        <f t="shared" si="45"/>
        <v>235582</v>
      </c>
      <c r="H242" s="108">
        <v>3488.181</v>
      </c>
      <c r="I242" s="108">
        <v>789</v>
      </c>
      <c r="J242" s="108">
        <v>280.18900000000002</v>
      </c>
      <c r="K242" s="108">
        <v>145</v>
      </c>
      <c r="Z242" s="6">
        <f t="shared" si="46"/>
        <v>315167</v>
      </c>
      <c r="AA242" s="4">
        <f t="shared" si="44"/>
        <v>5052</v>
      </c>
      <c r="AB242" s="485">
        <f>[9]IMWh!$E122</f>
        <v>318748</v>
      </c>
      <c r="AJ242" s="108">
        <f t="shared" si="33"/>
        <v>311398.63</v>
      </c>
      <c r="AK242" s="108">
        <f t="shared" si="34"/>
        <v>3488.181</v>
      </c>
      <c r="AL242" s="108">
        <f t="shared" si="35"/>
        <v>280.18900000000002</v>
      </c>
      <c r="BN242" s="4">
        <v>2002</v>
      </c>
      <c r="BO242" s="4">
        <v>10</v>
      </c>
      <c r="BP242" s="108">
        <f>C242+[4]MWh!$AL76</f>
        <v>324375.83287508268</v>
      </c>
      <c r="BQ242" s="108"/>
      <c r="BR242" s="108"/>
      <c r="BS242" s="108"/>
      <c r="BT242" s="175">
        <f t="shared" si="47"/>
        <v>324375.83287508268</v>
      </c>
      <c r="BU242" s="108">
        <f t="shared" si="29"/>
        <v>-9862.1695157408831</v>
      </c>
      <c r="BW242" s="529"/>
    </row>
    <row r="243" spans="1:75">
      <c r="A243" s="4">
        <f t="shared" si="39"/>
        <v>2002</v>
      </c>
      <c r="B243" s="4">
        <f t="shared" si="40"/>
        <v>11</v>
      </c>
      <c r="C243" s="4">
        <f>'[2]FPC wSEB'!$F340</f>
        <v>322551</v>
      </c>
      <c r="D243" s="4">
        <f>'[2]FPC wSEB'!$Z340</f>
        <v>2693</v>
      </c>
      <c r="F243" s="4">
        <f>'[2]FPC wSEB'!$G340</f>
        <v>97892</v>
      </c>
      <c r="G243" s="4">
        <f t="shared" si="45"/>
        <v>224659</v>
      </c>
      <c r="H243" s="108">
        <v>4165.8379999999997</v>
      </c>
      <c r="I243" s="108">
        <v>875</v>
      </c>
      <c r="J243" s="108">
        <v>306.19</v>
      </c>
      <c r="K243" s="108">
        <v>141</v>
      </c>
      <c r="Z243" s="6">
        <f t="shared" si="46"/>
        <v>322551</v>
      </c>
      <c r="AA243" s="4">
        <f t="shared" ref="AA243:AA248" si="48">Z243-Z231</f>
        <v>-6422</v>
      </c>
      <c r="AB243" s="485">
        <f>[9]IMWh!$E123</f>
        <v>301469</v>
      </c>
      <c r="AJ243" s="108">
        <f t="shared" si="33"/>
        <v>318078.97200000001</v>
      </c>
      <c r="AK243" s="108">
        <f t="shared" si="34"/>
        <v>4165.8379999999997</v>
      </c>
      <c r="AL243" s="108">
        <f t="shared" si="35"/>
        <v>306.19</v>
      </c>
      <c r="BN243" s="4">
        <v>2002</v>
      </c>
      <c r="BO243" s="4">
        <v>11</v>
      </c>
      <c r="BP243" s="108">
        <f>C243+[4]MWh!$AL77</f>
        <v>280861.58017204003</v>
      </c>
      <c r="BQ243" s="108"/>
      <c r="BR243" s="108"/>
      <c r="BS243" s="108"/>
      <c r="BT243" s="175">
        <f t="shared" si="47"/>
        <v>280861.58017204003</v>
      </c>
      <c r="BU243" s="108">
        <f t="shared" si="29"/>
        <v>-40011.730581157783</v>
      </c>
      <c r="BW243" s="529"/>
    </row>
    <row r="244" spans="1:75" s="89" customFormat="1">
      <c r="A244" s="89">
        <f t="shared" si="39"/>
        <v>2002</v>
      </c>
      <c r="B244" s="89">
        <f t="shared" si="40"/>
        <v>12</v>
      </c>
      <c r="C244" s="89">
        <f>'[2]FPC wSEB'!$F341</f>
        <v>338771</v>
      </c>
      <c r="D244" s="89">
        <f>'[2]FPC wSEB'!$Z341</f>
        <v>2546</v>
      </c>
      <c r="F244" s="89">
        <f>'[2]FPC wSEB'!$G341</f>
        <v>90482</v>
      </c>
      <c r="G244" s="89">
        <f t="shared" si="45"/>
        <v>248289</v>
      </c>
      <c r="H244" s="117">
        <v>3513.6170000000002</v>
      </c>
      <c r="I244" s="117">
        <v>811</v>
      </c>
      <c r="J244" s="117">
        <v>314.98700000000002</v>
      </c>
      <c r="K244" s="117">
        <v>147</v>
      </c>
      <c r="Z244" s="96">
        <f t="shared" si="46"/>
        <v>338771</v>
      </c>
      <c r="AA244" s="89">
        <f t="shared" si="48"/>
        <v>28168</v>
      </c>
      <c r="AB244" s="514">
        <f>[9]IMWh!$E124</f>
        <v>336322</v>
      </c>
      <c r="AJ244" s="117">
        <f t="shared" si="33"/>
        <v>334942.39599999995</v>
      </c>
      <c r="AK244" s="117">
        <f t="shared" si="34"/>
        <v>3513.6170000000002</v>
      </c>
      <c r="AL244" s="117">
        <f t="shared" si="35"/>
        <v>314.98700000000002</v>
      </c>
      <c r="BN244" s="89">
        <v>2002</v>
      </c>
      <c r="BO244" s="89">
        <v>12</v>
      </c>
      <c r="BP244" s="117">
        <f>C244+[4]MWh!$AL78</f>
        <v>356669.7746763645</v>
      </c>
      <c r="BQ244" s="117"/>
      <c r="BR244" s="117"/>
      <c r="BS244" s="117"/>
      <c r="BT244" s="176">
        <f t="shared" si="47"/>
        <v>356669.7746763645</v>
      </c>
      <c r="BU244" s="117">
        <f t="shared" si="29"/>
        <v>41346.685410245555</v>
      </c>
      <c r="BW244" s="536"/>
    </row>
    <row r="245" spans="1:75">
      <c r="A245" s="4">
        <f t="shared" si="39"/>
        <v>2003</v>
      </c>
      <c r="B245" s="4">
        <f t="shared" si="40"/>
        <v>1</v>
      </c>
      <c r="C245" s="4">
        <f>'[2]FPC wSEB'!$F342</f>
        <v>297101</v>
      </c>
      <c r="D245" s="4">
        <f>'[2]FPC wSEB'!$Z342</f>
        <v>2572</v>
      </c>
      <c r="F245" s="4">
        <f>'[2]FPC wSEB'!$G342</f>
        <v>83782</v>
      </c>
      <c r="G245" s="4">
        <f t="shared" ref="G245:G250" si="49">C245-F245</f>
        <v>213319</v>
      </c>
      <c r="H245" s="108">
        <v>2943.134</v>
      </c>
      <c r="I245" s="108">
        <v>810</v>
      </c>
      <c r="J245" s="108">
        <v>355.95699999999999</v>
      </c>
      <c r="K245" s="108">
        <v>146</v>
      </c>
      <c r="Z245" s="6">
        <f t="shared" ref="Z245:Z250" si="50">C245</f>
        <v>297101</v>
      </c>
      <c r="AA245" s="4">
        <f t="shared" si="48"/>
        <v>26775</v>
      </c>
      <c r="AB245" s="485">
        <f>[9]IMWh!$E125</f>
        <v>316983</v>
      </c>
      <c r="AJ245" s="108">
        <f t="shared" si="33"/>
        <v>293801.90899999999</v>
      </c>
      <c r="AK245" s="108">
        <f t="shared" si="34"/>
        <v>2943.134</v>
      </c>
      <c r="AL245" s="108">
        <f t="shared" si="35"/>
        <v>355.95699999999999</v>
      </c>
      <c r="BN245" s="4">
        <f>BN233+1</f>
        <v>2003</v>
      </c>
      <c r="BO245" s="4">
        <f>BO233</f>
        <v>1</v>
      </c>
      <c r="BP245" s="108">
        <f>C245+[4]MWh!$AL79</f>
        <v>287619.44212986168</v>
      </c>
      <c r="BQ245" s="108"/>
      <c r="BR245" s="108"/>
      <c r="BS245" s="108"/>
      <c r="BT245" s="175">
        <f t="shared" si="47"/>
        <v>287619.44212986168</v>
      </c>
      <c r="BU245" s="108">
        <f t="shared" si="29"/>
        <v>64048.147561309306</v>
      </c>
      <c r="BW245" s="529">
        <f>BT245/[9]IMWh!$E125</f>
        <v>0.90736551212481953</v>
      </c>
    </row>
    <row r="246" spans="1:75">
      <c r="A246" s="4">
        <f t="shared" si="39"/>
        <v>2003</v>
      </c>
      <c r="B246" s="4">
        <f t="shared" si="40"/>
        <v>2</v>
      </c>
      <c r="C246" s="4">
        <f>'[2]FPC wSEB'!$F343</f>
        <v>322180</v>
      </c>
      <c r="D246" s="4">
        <f>'[2]FPC wSEB'!$Z343</f>
        <v>2564</v>
      </c>
      <c r="F246" s="4">
        <f>'[2]FPC wSEB'!$G343</f>
        <v>107708</v>
      </c>
      <c r="G246" s="4">
        <f t="shared" si="49"/>
        <v>214472</v>
      </c>
      <c r="H246" s="108">
        <v>2936.8690000000001</v>
      </c>
      <c r="I246" s="108">
        <v>805</v>
      </c>
      <c r="J246" s="108">
        <v>337.61</v>
      </c>
      <c r="K246" s="108">
        <v>140</v>
      </c>
      <c r="Z246" s="6">
        <f t="shared" si="50"/>
        <v>322180</v>
      </c>
      <c r="AA246" s="4">
        <f t="shared" si="48"/>
        <v>2944</v>
      </c>
      <c r="AB246" s="485">
        <f>[9]IMWh!$E126</f>
        <v>324334</v>
      </c>
      <c r="AJ246" s="108">
        <f t="shared" si="33"/>
        <v>318905.52100000001</v>
      </c>
      <c r="AK246" s="108">
        <f t="shared" si="34"/>
        <v>2936.8690000000001</v>
      </c>
      <c r="AL246" s="108">
        <f t="shared" si="35"/>
        <v>337.61</v>
      </c>
      <c r="BN246" s="4">
        <f t="shared" ref="BN246:BN353" si="51">BN234+1</f>
        <v>2003</v>
      </c>
      <c r="BO246" s="4">
        <f t="shared" ref="BO246:BO353" si="52">BO234</f>
        <v>2</v>
      </c>
      <c r="BP246" s="108">
        <f>C246+[4]MWh!$AL80</f>
        <v>294720.04297847184</v>
      </c>
      <c r="BQ246" s="108"/>
      <c r="BR246" s="108"/>
      <c r="BS246" s="108"/>
      <c r="BT246" s="175">
        <f t="shared" ref="BT246:BT251" si="53">BP246</f>
        <v>294720.04297847184</v>
      </c>
      <c r="BU246" s="108">
        <f t="shared" si="29"/>
        <v>-57229.225498770946</v>
      </c>
      <c r="BW246" s="529">
        <f>BT246/[9]IMWh!$E126</f>
        <v>0.90869302317509681</v>
      </c>
    </row>
    <row r="247" spans="1:75">
      <c r="A247" s="4">
        <f t="shared" si="39"/>
        <v>2003</v>
      </c>
      <c r="B247" s="4">
        <f t="shared" si="40"/>
        <v>3</v>
      </c>
      <c r="C247" s="4">
        <f>'[2]FPC wSEB'!$F344</f>
        <v>296426</v>
      </c>
      <c r="D247" s="4">
        <f>'[2]FPC wSEB'!$Z344</f>
        <v>2554</v>
      </c>
      <c r="F247" s="4">
        <f>'[2]FPC wSEB'!$G344</f>
        <v>76074</v>
      </c>
      <c r="G247" s="4">
        <f t="shared" si="49"/>
        <v>220352</v>
      </c>
      <c r="H247" s="108">
        <v>3647.8310000000001</v>
      </c>
      <c r="I247" s="108">
        <v>800</v>
      </c>
      <c r="J247" s="108">
        <v>315.14299999999997</v>
      </c>
      <c r="K247" s="108">
        <v>141</v>
      </c>
      <c r="Z247" s="6">
        <f t="shared" si="50"/>
        <v>296426</v>
      </c>
      <c r="AA247" s="4">
        <f t="shared" si="48"/>
        <v>3508</v>
      </c>
      <c r="AB247" s="485">
        <f>[9]IMWh!$E127</f>
        <v>296401</v>
      </c>
      <c r="AJ247" s="108">
        <f t="shared" si="33"/>
        <v>292463.02600000001</v>
      </c>
      <c r="AK247" s="108">
        <f t="shared" si="34"/>
        <v>3647.8310000000001</v>
      </c>
      <c r="AL247" s="108">
        <f t="shared" si="35"/>
        <v>315.14299999999997</v>
      </c>
      <c r="BN247" s="4">
        <f t="shared" si="51"/>
        <v>2003</v>
      </c>
      <c r="BO247" s="4">
        <f t="shared" si="52"/>
        <v>3</v>
      </c>
      <c r="BP247" s="108">
        <f>C247+[4]MWh!$AL81</f>
        <v>332353.39549056476</v>
      </c>
      <c r="BQ247" s="108"/>
      <c r="BR247" s="108"/>
      <c r="BS247" s="108"/>
      <c r="BT247" s="175">
        <f t="shared" si="53"/>
        <v>332353.39549056476</v>
      </c>
      <c r="BU247" s="108">
        <f t="shared" si="29"/>
        <v>33233.442452437535</v>
      </c>
      <c r="BW247" s="529">
        <f>BT247/[9]IMWh!$E127</f>
        <v>1.1212964716399902</v>
      </c>
    </row>
    <row r="248" spans="1:75">
      <c r="A248" s="4">
        <f t="shared" si="39"/>
        <v>2003</v>
      </c>
      <c r="B248" s="4">
        <f t="shared" si="40"/>
        <v>4</v>
      </c>
      <c r="C248" s="4">
        <f>'[2]FPC wSEB'!$F345</f>
        <v>325234</v>
      </c>
      <c r="D248" s="4">
        <f>'[2]FPC wSEB'!$Z345</f>
        <v>2616</v>
      </c>
      <c r="F248" s="4">
        <f>'[2]FPC wSEB'!$G345</f>
        <v>81792</v>
      </c>
      <c r="G248" s="4">
        <f t="shared" si="49"/>
        <v>243442</v>
      </c>
      <c r="H248" s="108">
        <v>3666.1950000000002</v>
      </c>
      <c r="I248" s="108">
        <v>813</v>
      </c>
      <c r="J248" s="108">
        <v>316.79000000000002</v>
      </c>
      <c r="K248" s="108">
        <v>140</v>
      </c>
      <c r="Z248" s="6">
        <f t="shared" si="50"/>
        <v>325234</v>
      </c>
      <c r="AA248" s="4">
        <f t="shared" si="48"/>
        <v>14976</v>
      </c>
      <c r="AB248" s="485">
        <f>[9]IMWh!$E128</f>
        <v>324866</v>
      </c>
      <c r="AJ248" s="108">
        <f t="shared" si="33"/>
        <v>321251.01500000001</v>
      </c>
      <c r="AK248" s="108">
        <f t="shared" si="34"/>
        <v>3666.1950000000002</v>
      </c>
      <c r="AL248" s="108">
        <f t="shared" si="35"/>
        <v>316.79000000000002</v>
      </c>
      <c r="BN248" s="4">
        <f t="shared" si="51"/>
        <v>2003</v>
      </c>
      <c r="BO248" s="4">
        <f t="shared" si="52"/>
        <v>4</v>
      </c>
      <c r="BP248" s="108">
        <f>C248+[4]MWh!$AL82</f>
        <v>333144.00596071355</v>
      </c>
      <c r="BQ248" s="108"/>
      <c r="BR248" s="108"/>
      <c r="BS248" s="108"/>
      <c r="BT248" s="175">
        <f t="shared" si="53"/>
        <v>333144.00596071355</v>
      </c>
      <c r="BU248" s="108">
        <f t="shared" si="29"/>
        <v>-5704.3074697884149</v>
      </c>
      <c r="BW248" s="529">
        <f>BT248/[9]IMWh!$E128</f>
        <v>1.0254812937048308</v>
      </c>
    </row>
    <row r="249" spans="1:75">
      <c r="A249" s="4">
        <f t="shared" si="39"/>
        <v>2003</v>
      </c>
      <c r="B249" s="4">
        <f t="shared" si="40"/>
        <v>5</v>
      </c>
      <c r="C249" s="4">
        <f>'[2]FPC wSEB'!$F346</f>
        <v>306070</v>
      </c>
      <c r="D249" s="4">
        <f>'[2]FPC wSEB'!$Z346</f>
        <v>2620</v>
      </c>
      <c r="F249" s="4">
        <f>'[2]FPC wSEB'!$G346</f>
        <v>73709</v>
      </c>
      <c r="G249" s="4">
        <f t="shared" si="49"/>
        <v>232361</v>
      </c>
      <c r="H249" s="108">
        <v>5078.1109999999999</v>
      </c>
      <c r="I249" s="108">
        <v>826</v>
      </c>
      <c r="J249" s="108">
        <v>326.71699999999998</v>
      </c>
      <c r="K249" s="108">
        <v>142</v>
      </c>
      <c r="Z249" s="6">
        <f t="shared" si="50"/>
        <v>306070</v>
      </c>
      <c r="AA249" s="4">
        <f t="shared" ref="AA249:AA254" si="54">Z249-Z237</f>
        <v>-65957</v>
      </c>
      <c r="AB249" s="485">
        <f>[9]IMWh!$E129</f>
        <v>305247</v>
      </c>
      <c r="AJ249" s="108">
        <f t="shared" si="33"/>
        <v>300665.17200000002</v>
      </c>
      <c r="AK249" s="108">
        <f t="shared" si="34"/>
        <v>5078.1109999999999</v>
      </c>
      <c r="AL249" s="108">
        <f t="shared" si="35"/>
        <v>326.71699999999998</v>
      </c>
      <c r="BN249" s="4">
        <f t="shared" si="51"/>
        <v>2003</v>
      </c>
      <c r="BO249" s="4">
        <f t="shared" si="52"/>
        <v>5</v>
      </c>
      <c r="BP249" s="108">
        <f>C249+[4]MWh!$AL83</f>
        <v>321587.2713767289</v>
      </c>
      <c r="BQ249" s="108"/>
      <c r="BR249" s="108"/>
      <c r="BS249" s="108"/>
      <c r="BT249" s="175">
        <f t="shared" si="53"/>
        <v>321587.2713767289</v>
      </c>
      <c r="BU249" s="108">
        <f t="shared" ref="BU249:BU254" si="55">BT249-BT237</f>
        <v>-43621.397643277945</v>
      </c>
      <c r="BW249" s="529">
        <f>BT249/[9]IMWh!$E129</f>
        <v>1.053531308667174</v>
      </c>
    </row>
    <row r="250" spans="1:75">
      <c r="A250" s="4">
        <f t="shared" si="39"/>
        <v>2003</v>
      </c>
      <c r="B250" s="4">
        <f t="shared" si="40"/>
        <v>6</v>
      </c>
      <c r="C250" s="4">
        <f>'[2]FPC wSEB'!$F347</f>
        <v>376493</v>
      </c>
      <c r="D250" s="4">
        <f>'[2]FPC wSEB'!$Z347</f>
        <v>2653</v>
      </c>
      <c r="F250" s="4">
        <f>'[2]FPC wSEB'!$G347</f>
        <v>108103</v>
      </c>
      <c r="G250" s="4">
        <f t="shared" si="49"/>
        <v>268390</v>
      </c>
      <c r="H250" s="108">
        <v>4837.7939999999999</v>
      </c>
      <c r="I250" s="108">
        <v>839</v>
      </c>
      <c r="J250" s="108">
        <v>311.51299999999998</v>
      </c>
      <c r="K250" s="108">
        <v>139</v>
      </c>
      <c r="Z250" s="6">
        <f t="shared" si="50"/>
        <v>376493</v>
      </c>
      <c r="AA250" s="4">
        <f t="shared" si="54"/>
        <v>65326</v>
      </c>
      <c r="AB250" s="485">
        <f>[9]IMWh!$E130</f>
        <v>376443</v>
      </c>
      <c r="AJ250" s="108">
        <f t="shared" si="33"/>
        <v>371343.69300000003</v>
      </c>
      <c r="AK250" s="108">
        <f t="shared" si="34"/>
        <v>4837.7939999999999</v>
      </c>
      <c r="AL250" s="108">
        <f t="shared" si="35"/>
        <v>311.51299999999998</v>
      </c>
      <c r="BN250" s="4">
        <f t="shared" si="51"/>
        <v>2003</v>
      </c>
      <c r="BO250" s="4">
        <f t="shared" si="52"/>
        <v>6</v>
      </c>
      <c r="BP250" s="108">
        <f>C250+[4]MWh!$AL84</f>
        <v>381251.22019115265</v>
      </c>
      <c r="BQ250" s="108"/>
      <c r="BR250" s="108"/>
      <c r="BS250" s="108"/>
      <c r="BT250" s="175">
        <f t="shared" si="53"/>
        <v>381251.22019115265</v>
      </c>
      <c r="BU250" s="108">
        <f t="shared" si="55"/>
        <v>73945.02740039432</v>
      </c>
      <c r="BW250" s="529">
        <f>BT250/[9]IMWh!$E130</f>
        <v>1.0127727708873657</v>
      </c>
    </row>
    <row r="251" spans="1:75">
      <c r="A251" s="4">
        <f t="shared" si="39"/>
        <v>2003</v>
      </c>
      <c r="B251" s="4">
        <f t="shared" si="40"/>
        <v>7</v>
      </c>
      <c r="C251" s="4">
        <f>'[2]FPC wSEB'!$F348</f>
        <v>336712</v>
      </c>
      <c r="D251" s="4">
        <f>'[2]FPC wSEB'!$Z348</f>
        <v>2659</v>
      </c>
      <c r="F251" s="4">
        <f>'[2]FPC wSEB'!$G348</f>
        <v>101850</v>
      </c>
      <c r="G251" s="4">
        <f t="shared" ref="G251:G256" si="56">C251-F251</f>
        <v>234862</v>
      </c>
      <c r="H251" s="108">
        <v>4105.8320000000003</v>
      </c>
      <c r="I251" s="108">
        <v>848</v>
      </c>
      <c r="J251" s="108">
        <v>299.08100000000002</v>
      </c>
      <c r="K251" s="108">
        <v>139</v>
      </c>
      <c r="Z251" s="6">
        <f t="shared" ref="Z251:Z256" si="57">C251</f>
        <v>336712</v>
      </c>
      <c r="AA251" s="4">
        <f t="shared" si="54"/>
        <v>-7611</v>
      </c>
      <c r="AB251" s="485">
        <f>[9]IMWh!$E131</f>
        <v>337265</v>
      </c>
      <c r="AJ251" s="108">
        <f t="shared" si="33"/>
        <v>332307.087</v>
      </c>
      <c r="AK251" s="108">
        <f t="shared" si="34"/>
        <v>4105.8320000000003</v>
      </c>
      <c r="AL251" s="108">
        <f t="shared" si="35"/>
        <v>299.08100000000002</v>
      </c>
      <c r="BN251" s="4">
        <f t="shared" si="51"/>
        <v>2003</v>
      </c>
      <c r="BO251" s="4">
        <f t="shared" si="52"/>
        <v>7</v>
      </c>
      <c r="BP251" s="108">
        <f>C251+[4]MWh!$AL85</f>
        <v>329605.31553715892</v>
      </c>
      <c r="BQ251" s="108"/>
      <c r="BR251" s="108"/>
      <c r="BS251" s="108"/>
      <c r="BT251" s="175">
        <f t="shared" si="53"/>
        <v>329605.31553715892</v>
      </c>
      <c r="BU251" s="108">
        <f t="shared" si="55"/>
        <v>-26491.359467581147</v>
      </c>
      <c r="BW251" s="529">
        <f>BT251/[9]IMWh!$E131</f>
        <v>0.97728882492152735</v>
      </c>
    </row>
    <row r="252" spans="1:75">
      <c r="A252" s="4">
        <f t="shared" si="39"/>
        <v>2003</v>
      </c>
      <c r="B252" s="4">
        <f t="shared" si="40"/>
        <v>8</v>
      </c>
      <c r="C252" s="4">
        <f>'[2]FPC wSEB'!$F349</f>
        <v>342691</v>
      </c>
      <c r="D252" s="4">
        <f>'[2]FPC wSEB'!$Z349</f>
        <v>2668</v>
      </c>
      <c r="F252" s="4">
        <f>'[2]FPC wSEB'!$G349</f>
        <v>105447</v>
      </c>
      <c r="G252" s="4">
        <f t="shared" si="56"/>
        <v>237244</v>
      </c>
      <c r="H252" s="108">
        <v>4422.701</v>
      </c>
      <c r="I252" s="108">
        <v>846</v>
      </c>
      <c r="J252" s="108">
        <v>344.64299999999997</v>
      </c>
      <c r="K252" s="108">
        <v>137</v>
      </c>
      <c r="Z252" s="6">
        <f t="shared" si="57"/>
        <v>342691</v>
      </c>
      <c r="AA252" s="4">
        <f t="shared" si="54"/>
        <v>30493</v>
      </c>
      <c r="AB252" s="485">
        <f>[9]IMWh!$E132</f>
        <v>342881</v>
      </c>
      <c r="AJ252" s="108">
        <f t="shared" si="33"/>
        <v>337923.65600000002</v>
      </c>
      <c r="AK252" s="108">
        <f t="shared" si="34"/>
        <v>4422.701</v>
      </c>
      <c r="AL252" s="108">
        <f t="shared" si="35"/>
        <v>344.64299999999997</v>
      </c>
      <c r="BN252" s="4">
        <f t="shared" si="51"/>
        <v>2003</v>
      </c>
      <c r="BO252" s="4">
        <f t="shared" si="52"/>
        <v>8</v>
      </c>
      <c r="BP252" s="108">
        <f>C252+[4]MWh!$AL86</f>
        <v>357939.43753341533</v>
      </c>
      <c r="BQ252" s="108"/>
      <c r="BR252" s="108"/>
      <c r="BS252" s="108"/>
      <c r="BT252" s="175">
        <f t="shared" ref="BT252:BT257" si="58">BP252</f>
        <v>357939.43753341533</v>
      </c>
      <c r="BU252" s="108">
        <f t="shared" si="55"/>
        <v>51762.624960125715</v>
      </c>
      <c r="BW252" s="529">
        <f>BT252/[9]IMWh!$E132</f>
        <v>1.0439173868876237</v>
      </c>
    </row>
    <row r="253" spans="1:75">
      <c r="A253" s="4">
        <f t="shared" si="39"/>
        <v>2003</v>
      </c>
      <c r="B253" s="4">
        <f t="shared" si="40"/>
        <v>9</v>
      </c>
      <c r="C253" s="4">
        <f>'[2]FPC wSEB'!$F350</f>
        <v>348232</v>
      </c>
      <c r="D253" s="4">
        <f>'[2]FPC wSEB'!$Z350</f>
        <v>2687</v>
      </c>
      <c r="F253" s="4">
        <f>'[2]FPC wSEB'!$G350</f>
        <v>103657</v>
      </c>
      <c r="G253" s="4">
        <f t="shared" si="56"/>
        <v>244575</v>
      </c>
      <c r="H253" s="108">
        <v>4016.3980000000001</v>
      </c>
      <c r="I253" s="108">
        <v>845</v>
      </c>
      <c r="J253" s="108">
        <v>324.04599999999999</v>
      </c>
      <c r="K253" s="108">
        <v>141</v>
      </c>
      <c r="Z253" s="6">
        <f t="shared" si="57"/>
        <v>348232</v>
      </c>
      <c r="AA253" s="4">
        <f t="shared" si="54"/>
        <v>22114</v>
      </c>
      <c r="AB253" s="485">
        <f>[9]IMWh!$E133</f>
        <v>347283</v>
      </c>
      <c r="AJ253" s="108">
        <f t="shared" si="33"/>
        <v>343891.55600000004</v>
      </c>
      <c r="AK253" s="108">
        <f t="shared" si="34"/>
        <v>4016.3980000000001</v>
      </c>
      <c r="AL253" s="108">
        <f t="shared" si="35"/>
        <v>324.04599999999999</v>
      </c>
      <c r="BN253" s="4">
        <f t="shared" si="51"/>
        <v>2003</v>
      </c>
      <c r="BO253" s="4">
        <f t="shared" si="52"/>
        <v>9</v>
      </c>
      <c r="BP253" s="108">
        <f>C253+[4]MWh!$AL87</f>
        <v>302428.70150033198</v>
      </c>
      <c r="BQ253" s="108"/>
      <c r="BR253" s="108"/>
      <c r="BS253" s="108"/>
      <c r="BT253" s="175">
        <f t="shared" si="58"/>
        <v>302428.70150033198</v>
      </c>
      <c r="BU253" s="108">
        <f t="shared" si="55"/>
        <v>-17495.740536859317</v>
      </c>
      <c r="BW253" s="529">
        <f>BT253/[9]IMWh!$E133</f>
        <v>0.8708422280973499</v>
      </c>
    </row>
    <row r="254" spans="1:75">
      <c r="A254" s="4">
        <f t="shared" si="39"/>
        <v>2003</v>
      </c>
      <c r="B254" s="4">
        <f t="shared" si="40"/>
        <v>10</v>
      </c>
      <c r="C254" s="4">
        <f>'[2]FPC wSEB'!$F351</f>
        <v>378404</v>
      </c>
      <c r="D254" s="4">
        <f>'[2]FPC wSEB'!$Z351</f>
        <v>2737</v>
      </c>
      <c r="F254" s="4">
        <f>'[2]FPC wSEB'!$G351</f>
        <v>103286</v>
      </c>
      <c r="G254" s="4">
        <f t="shared" si="56"/>
        <v>275118</v>
      </c>
      <c r="H254" s="108">
        <v>4266.3900000000003</v>
      </c>
      <c r="I254" s="108">
        <v>844</v>
      </c>
      <c r="J254" s="108">
        <v>356.64499999999998</v>
      </c>
      <c r="K254" s="108">
        <v>137</v>
      </c>
      <c r="Z254" s="6">
        <f t="shared" si="57"/>
        <v>378404</v>
      </c>
      <c r="AA254" s="4">
        <f t="shared" si="54"/>
        <v>63237</v>
      </c>
      <c r="AB254" s="485">
        <f>[9]IMWh!$E134</f>
        <v>376925</v>
      </c>
      <c r="AJ254" s="108">
        <f t="shared" si="33"/>
        <v>373780.96499999997</v>
      </c>
      <c r="AK254" s="108">
        <f t="shared" si="34"/>
        <v>4266.3900000000003</v>
      </c>
      <c r="AL254" s="108">
        <f t="shared" si="35"/>
        <v>356.64499999999998</v>
      </c>
      <c r="BN254" s="4">
        <f t="shared" si="51"/>
        <v>2003</v>
      </c>
      <c r="BO254" s="4">
        <f t="shared" si="52"/>
        <v>10</v>
      </c>
      <c r="BP254" s="108">
        <f>C254+[4]MWh!$AL88</f>
        <v>428593.23234399548</v>
      </c>
      <c r="BQ254" s="108"/>
      <c r="BR254" s="108"/>
      <c r="BS254" s="108"/>
      <c r="BT254" s="175">
        <f t="shared" si="58"/>
        <v>428593.23234399548</v>
      </c>
      <c r="BU254" s="108">
        <f t="shared" si="55"/>
        <v>104217.3994689128</v>
      </c>
      <c r="BW254" s="529">
        <f>BT254/[9]IMWh!$E134</f>
        <v>1.1370782843907818</v>
      </c>
    </row>
    <row r="255" spans="1:75">
      <c r="A255" s="4">
        <f t="shared" si="39"/>
        <v>2003</v>
      </c>
      <c r="B255" s="4">
        <f t="shared" si="40"/>
        <v>11</v>
      </c>
      <c r="C255" s="4">
        <f>'[2]FPC wSEB'!$F352</f>
        <v>376394</v>
      </c>
      <c r="D255" s="4">
        <f>'[2]FPC wSEB'!$Z352</f>
        <v>2696</v>
      </c>
      <c r="F255" s="4">
        <f>'[2]FPC wSEB'!$G352</f>
        <v>120278</v>
      </c>
      <c r="G255" s="4">
        <f t="shared" si="56"/>
        <v>256116</v>
      </c>
      <c r="H255" s="108">
        <v>3870.7939999999999</v>
      </c>
      <c r="I255" s="108">
        <v>850</v>
      </c>
      <c r="J255" s="108">
        <v>318.25400000000002</v>
      </c>
      <c r="K255" s="108">
        <v>135</v>
      </c>
      <c r="Z255" s="6">
        <f t="shared" si="57"/>
        <v>376394</v>
      </c>
      <c r="AA255" s="4">
        <f t="shared" ref="AA255:AA260" si="59">Z255-Z243</f>
        <v>53843</v>
      </c>
      <c r="AB255" s="485">
        <f>[9]IMWh!$E135</f>
        <v>356262</v>
      </c>
      <c r="AJ255" s="108">
        <f t="shared" si="33"/>
        <v>372204.95199999999</v>
      </c>
      <c r="AK255" s="108">
        <f t="shared" si="34"/>
        <v>3870.7939999999999</v>
      </c>
      <c r="AL255" s="108">
        <f t="shared" si="35"/>
        <v>318.25400000000002</v>
      </c>
      <c r="BN255" s="4">
        <f t="shared" si="51"/>
        <v>2003</v>
      </c>
      <c r="BO255" s="4">
        <f t="shared" si="52"/>
        <v>11</v>
      </c>
      <c r="BP255" s="108">
        <f>C255+[4]MWh!$AL89</f>
        <v>341444.7873049014</v>
      </c>
      <c r="BQ255" s="108"/>
      <c r="BR255" s="108"/>
      <c r="BS255" s="108"/>
      <c r="BT255" s="175">
        <f t="shared" si="58"/>
        <v>341444.7873049014</v>
      </c>
      <c r="BU255" s="108">
        <f t="shared" ref="BU255:BU260" si="60">BT255-BT243</f>
        <v>60583.207132861367</v>
      </c>
      <c r="BW255" s="529">
        <f>BT255/[9]IMWh!$E135</f>
        <v>0.95840922496618053</v>
      </c>
    </row>
    <row r="256" spans="1:75" s="89" customFormat="1">
      <c r="A256" s="89">
        <f t="shared" si="39"/>
        <v>2003</v>
      </c>
      <c r="B256" s="89">
        <f t="shared" si="40"/>
        <v>12</v>
      </c>
      <c r="C256" s="89">
        <f>'[2]FPC wSEB'!$F353</f>
        <v>294624</v>
      </c>
      <c r="D256" s="89">
        <f>'[2]FPC wSEB'!$Z353</f>
        <v>2693</v>
      </c>
      <c r="F256" s="89">
        <f>'[2]FPC wSEB'!$G353</f>
        <v>68317</v>
      </c>
      <c r="G256" s="89">
        <f t="shared" si="56"/>
        <v>226307</v>
      </c>
      <c r="H256" s="117">
        <v>3175.8130000000001</v>
      </c>
      <c r="I256" s="117">
        <v>842</v>
      </c>
      <c r="J256" s="117">
        <v>340.16399999999999</v>
      </c>
      <c r="K256" s="117">
        <v>134</v>
      </c>
      <c r="Z256" s="96">
        <f t="shared" si="57"/>
        <v>294624</v>
      </c>
      <c r="AA256" s="89">
        <f t="shared" si="59"/>
        <v>-44147</v>
      </c>
      <c r="AB256" s="514">
        <f>[9]IMWh!$E136</f>
        <v>315437</v>
      </c>
      <c r="AJ256" s="117">
        <f t="shared" si="33"/>
        <v>291108.02299999999</v>
      </c>
      <c r="AK256" s="117">
        <f t="shared" si="34"/>
        <v>3175.8130000000001</v>
      </c>
      <c r="AL256" s="117">
        <f t="shared" si="35"/>
        <v>340.16399999999999</v>
      </c>
      <c r="BN256" s="89">
        <f t="shared" si="51"/>
        <v>2003</v>
      </c>
      <c r="BO256" s="89">
        <f t="shared" si="52"/>
        <v>12</v>
      </c>
      <c r="BP256" s="117">
        <f>C256+[4]MWh!$AL90</f>
        <v>283252.12634228601</v>
      </c>
      <c r="BQ256" s="117"/>
      <c r="BR256" s="117"/>
      <c r="BS256" s="117"/>
      <c r="BT256" s="176">
        <f t="shared" si="58"/>
        <v>283252.12634228601</v>
      </c>
      <c r="BU256" s="117">
        <f t="shared" si="60"/>
        <v>-73417.648334078491</v>
      </c>
      <c r="BW256" s="536">
        <f>BT256/[9]IMWh!$E136</f>
        <v>0.89796734797213396</v>
      </c>
    </row>
    <row r="257" spans="1:75">
      <c r="A257" s="4">
        <f t="shared" si="39"/>
        <v>2004</v>
      </c>
      <c r="B257" s="4">
        <f t="shared" si="40"/>
        <v>1</v>
      </c>
      <c r="C257" s="4">
        <f>'[2]FPC wSEB'!$F354</f>
        <v>349755</v>
      </c>
      <c r="D257" s="4">
        <f>'[2]FPC wSEB'!$Z354</f>
        <v>2727</v>
      </c>
      <c r="F257" s="4">
        <f>'[2]FPC wSEB'!$G354</f>
        <v>123552</v>
      </c>
      <c r="G257" s="4">
        <f t="shared" ref="G257:G262" si="61">C257-F257</f>
        <v>226203</v>
      </c>
      <c r="H257" s="108">
        <v>2864.3719999999998</v>
      </c>
      <c r="I257" s="108">
        <v>852</v>
      </c>
      <c r="J257" s="108">
        <v>332.21100000000001</v>
      </c>
      <c r="K257" s="108">
        <v>131</v>
      </c>
      <c r="Z257" s="6">
        <f t="shared" ref="Z257:Z262" si="62">C257</f>
        <v>349755</v>
      </c>
      <c r="AA257" s="4">
        <f t="shared" si="59"/>
        <v>52654</v>
      </c>
      <c r="AB257" s="485">
        <f>[9]IMWh!$E137</f>
        <v>326432</v>
      </c>
      <c r="AJ257" s="108">
        <f t="shared" si="33"/>
        <v>346558.41700000002</v>
      </c>
      <c r="AK257" s="108">
        <f t="shared" si="34"/>
        <v>2864.3719999999998</v>
      </c>
      <c r="AL257" s="108">
        <f t="shared" si="35"/>
        <v>332.21100000000001</v>
      </c>
      <c r="BN257" s="4">
        <f t="shared" si="51"/>
        <v>2004</v>
      </c>
      <c r="BO257" s="4">
        <f t="shared" si="52"/>
        <v>1</v>
      </c>
      <c r="BP257" s="108">
        <f>C257+[4]MWh!$AL91</f>
        <v>354693.84374683746</v>
      </c>
      <c r="BQ257" s="108"/>
      <c r="BR257" s="108"/>
      <c r="BS257" s="108"/>
      <c r="BT257" s="175">
        <f t="shared" si="58"/>
        <v>354693.84374683746</v>
      </c>
      <c r="BU257" s="108">
        <f t="shared" si="60"/>
        <v>67074.401616975782</v>
      </c>
      <c r="BW257" s="529">
        <f>BT257/[9]IMWh!$E137</f>
        <v>1.0865780430436889</v>
      </c>
    </row>
    <row r="258" spans="1:75">
      <c r="A258" s="4">
        <f t="shared" si="39"/>
        <v>2004</v>
      </c>
      <c r="B258" s="4">
        <f t="shared" si="40"/>
        <v>2</v>
      </c>
      <c r="C258" s="4">
        <f>'[2]FPC wSEB'!$F355</f>
        <v>301960</v>
      </c>
      <c r="D258" s="4">
        <f>'[2]FPC wSEB'!$Z355</f>
        <v>2642</v>
      </c>
      <c r="F258" s="4">
        <f>'[2]FPC wSEB'!$G355</f>
        <v>85064</v>
      </c>
      <c r="G258" s="4">
        <f t="shared" si="61"/>
        <v>216896</v>
      </c>
      <c r="H258" s="108">
        <v>2966.3620000000001</v>
      </c>
      <c r="I258" s="108">
        <v>830</v>
      </c>
      <c r="J258" s="108">
        <v>321.108</v>
      </c>
      <c r="K258" s="108">
        <v>129</v>
      </c>
      <c r="Z258" s="6">
        <f t="shared" si="62"/>
        <v>301960</v>
      </c>
      <c r="AA258" s="4">
        <f t="shared" si="59"/>
        <v>-20220</v>
      </c>
      <c r="AB258" s="485">
        <f>[9]IMWh!$E138</f>
        <v>329313</v>
      </c>
      <c r="AJ258" s="108">
        <f t="shared" si="33"/>
        <v>298672.52999999997</v>
      </c>
      <c r="AK258" s="108">
        <f t="shared" si="34"/>
        <v>2966.3620000000001</v>
      </c>
      <c r="AL258" s="108">
        <f t="shared" si="35"/>
        <v>321.108</v>
      </c>
      <c r="BN258" s="4">
        <f t="shared" si="51"/>
        <v>2004</v>
      </c>
      <c r="BO258" s="4">
        <f t="shared" si="52"/>
        <v>2</v>
      </c>
      <c r="BP258" s="108">
        <f>C258+[4]MWh!$AL92</f>
        <v>292384.84112243145</v>
      </c>
      <c r="BQ258" s="108"/>
      <c r="BR258" s="108"/>
      <c r="BS258" s="108"/>
      <c r="BT258" s="175">
        <f t="shared" ref="BT258:BT263" si="63">BP258</f>
        <v>292384.84112243145</v>
      </c>
      <c r="BU258" s="108">
        <f t="shared" si="60"/>
        <v>-2335.2018560403958</v>
      </c>
      <c r="BW258" s="529">
        <f>BT258/[9]IMWh!$E138</f>
        <v>0.88786303948654155</v>
      </c>
    </row>
    <row r="259" spans="1:75">
      <c r="A259" s="4">
        <f t="shared" si="39"/>
        <v>2004</v>
      </c>
      <c r="B259" s="4">
        <f t="shared" si="40"/>
        <v>3</v>
      </c>
      <c r="C259" s="4">
        <f>'[2]FPC wSEB'!$F356</f>
        <v>370820</v>
      </c>
      <c r="D259" s="4">
        <f>'[2]FPC wSEB'!$Z356</f>
        <v>2799</v>
      </c>
      <c r="F259" s="4">
        <f>'[2]FPC wSEB'!$G356</f>
        <v>127550</v>
      </c>
      <c r="G259" s="4">
        <f t="shared" si="61"/>
        <v>243270</v>
      </c>
      <c r="H259" s="108">
        <v>3721.4369999999999</v>
      </c>
      <c r="I259" s="108">
        <v>870</v>
      </c>
      <c r="J259" s="108">
        <v>309.08</v>
      </c>
      <c r="K259" s="108">
        <v>134</v>
      </c>
      <c r="Z259" s="6">
        <f t="shared" si="62"/>
        <v>370820</v>
      </c>
      <c r="AA259" s="4">
        <f t="shared" si="59"/>
        <v>74394</v>
      </c>
      <c r="AB259" s="485">
        <f>[9]IMWh!$E139</f>
        <v>346611</v>
      </c>
      <c r="AJ259" s="108">
        <f t="shared" si="33"/>
        <v>366789.48300000001</v>
      </c>
      <c r="AK259" s="108">
        <f t="shared" si="34"/>
        <v>3721.4369999999999</v>
      </c>
      <c r="AL259" s="108">
        <f t="shared" si="35"/>
        <v>309.08</v>
      </c>
      <c r="BN259" s="4">
        <f t="shared" si="51"/>
        <v>2004</v>
      </c>
      <c r="BO259" s="4">
        <f t="shared" si="52"/>
        <v>3</v>
      </c>
      <c r="BP259" s="108">
        <f>C259+[4]MWh!$AL93</f>
        <v>406714.23645500466</v>
      </c>
      <c r="BQ259" s="108"/>
      <c r="BR259" s="108"/>
      <c r="BS259" s="108"/>
      <c r="BT259" s="175">
        <f t="shared" si="63"/>
        <v>406714.23645500466</v>
      </c>
      <c r="BU259" s="108">
        <f t="shared" si="60"/>
        <v>74360.840964439907</v>
      </c>
      <c r="BW259" s="529">
        <f>BT259/[9]IMWh!$E139</f>
        <v>1.1734025649936231</v>
      </c>
    </row>
    <row r="260" spans="1:75">
      <c r="A260" s="4">
        <f t="shared" si="39"/>
        <v>2004</v>
      </c>
      <c r="B260" s="4">
        <f t="shared" si="40"/>
        <v>4</v>
      </c>
      <c r="C260" s="4">
        <f>'[2]FPC wSEB'!$F357</f>
        <v>345799</v>
      </c>
      <c r="D260" s="4">
        <f>'[2]FPC wSEB'!$Z357</f>
        <v>2738</v>
      </c>
      <c r="F260" s="4">
        <f>'[2]FPC wSEB'!$G357</f>
        <v>98759</v>
      </c>
      <c r="G260" s="4">
        <f t="shared" si="61"/>
        <v>247040</v>
      </c>
      <c r="H260" s="108">
        <v>5415.7629999999999</v>
      </c>
      <c r="I260" s="108">
        <v>871</v>
      </c>
      <c r="J260" s="108">
        <v>366.923</v>
      </c>
      <c r="K260" s="108">
        <v>138</v>
      </c>
      <c r="Z260" s="6">
        <f t="shared" si="62"/>
        <v>345799</v>
      </c>
      <c r="AA260" s="4">
        <f t="shared" si="59"/>
        <v>20565</v>
      </c>
      <c r="AB260" s="485">
        <f>[9]IMWh!$E140</f>
        <v>362409</v>
      </c>
      <c r="AJ260" s="108">
        <f t="shared" si="33"/>
        <v>340016.31400000001</v>
      </c>
      <c r="AK260" s="108">
        <f t="shared" si="34"/>
        <v>5415.7629999999999</v>
      </c>
      <c r="AL260" s="108">
        <f t="shared" si="35"/>
        <v>366.923</v>
      </c>
      <c r="BN260" s="4">
        <f t="shared" si="51"/>
        <v>2004</v>
      </c>
      <c r="BO260" s="4">
        <f t="shared" si="52"/>
        <v>4</v>
      </c>
      <c r="BP260" s="108">
        <f>C260+[4]MWh!$AL94</f>
        <v>345649.78845598589</v>
      </c>
      <c r="BQ260" s="108"/>
      <c r="BR260" s="108"/>
      <c r="BS260" s="108"/>
      <c r="BT260" s="175">
        <f t="shared" si="63"/>
        <v>345649.78845598589</v>
      </c>
      <c r="BU260" s="108">
        <f t="shared" si="60"/>
        <v>12505.782495272346</v>
      </c>
      <c r="BW260" s="529">
        <f>BT260/[9]IMWh!$E140</f>
        <v>0.95375608347470919</v>
      </c>
    </row>
    <row r="261" spans="1:75">
      <c r="A261" s="4">
        <f t="shared" si="39"/>
        <v>2004</v>
      </c>
      <c r="B261" s="4">
        <f t="shared" si="40"/>
        <v>5</v>
      </c>
      <c r="C261" s="4">
        <f>'[2]FPC wSEB'!$F358</f>
        <v>351164</v>
      </c>
      <c r="D261" s="4">
        <f>'[2]FPC wSEB'!$Z358</f>
        <v>2734</v>
      </c>
      <c r="F261" s="4">
        <f>'[2]FPC wSEB'!$G358</f>
        <v>110670</v>
      </c>
      <c r="G261" s="4">
        <f t="shared" si="61"/>
        <v>240494</v>
      </c>
      <c r="H261" s="108">
        <v>2905.107</v>
      </c>
      <c r="I261" s="108">
        <v>848</v>
      </c>
      <c r="J261" s="108">
        <v>311.06200000000001</v>
      </c>
      <c r="K261" s="108">
        <v>138</v>
      </c>
      <c r="Z261" s="6">
        <f t="shared" si="62"/>
        <v>351164</v>
      </c>
      <c r="AA261" s="4">
        <f t="shared" ref="AA261:AA266" si="64">Z261-Z249</f>
        <v>45094</v>
      </c>
      <c r="AB261" s="485">
        <f>[9]IMWh!$E141</f>
        <v>334034</v>
      </c>
      <c r="AJ261" s="108">
        <f t="shared" si="33"/>
        <v>347947.83100000001</v>
      </c>
      <c r="AK261" s="108">
        <f t="shared" si="34"/>
        <v>2905.107</v>
      </c>
      <c r="AL261" s="108">
        <f t="shared" si="35"/>
        <v>311.06200000000001</v>
      </c>
      <c r="BN261" s="4">
        <f t="shared" si="51"/>
        <v>2004</v>
      </c>
      <c r="BO261" s="4">
        <f t="shared" si="52"/>
        <v>5</v>
      </c>
      <c r="BP261" s="108">
        <f>C261+[4]MWh!$AL95</f>
        <v>380067.97860700235</v>
      </c>
      <c r="BQ261" s="108"/>
      <c r="BR261" s="108"/>
      <c r="BS261" s="108"/>
      <c r="BT261" s="175">
        <f t="shared" si="63"/>
        <v>380067.97860700235</v>
      </c>
      <c r="BU261" s="108">
        <f t="shared" ref="BU261:BU266" si="65">BT261-BT249</f>
        <v>58480.70723027346</v>
      </c>
      <c r="BW261" s="529">
        <f>BT261/[9]IMWh!$E141</f>
        <v>1.1378122544621276</v>
      </c>
    </row>
    <row r="262" spans="1:75">
      <c r="A262" s="4">
        <f t="shared" si="39"/>
        <v>2004</v>
      </c>
      <c r="B262" s="4">
        <f t="shared" si="40"/>
        <v>6</v>
      </c>
      <c r="C262" s="4">
        <f>'[2]FPC wSEB'!$F359</f>
        <v>354226</v>
      </c>
      <c r="D262" s="4">
        <f>'[2]FPC wSEB'!$Z359</f>
        <v>2737</v>
      </c>
      <c r="F262" s="4">
        <f>'[2]FPC wSEB'!$G359</f>
        <v>93969</v>
      </c>
      <c r="G262" s="4">
        <f t="shared" si="61"/>
        <v>260257</v>
      </c>
      <c r="H262" s="108">
        <v>3653.808</v>
      </c>
      <c r="I262" s="108">
        <v>852</v>
      </c>
      <c r="J262" s="108">
        <v>358.93</v>
      </c>
      <c r="K262" s="108">
        <v>138</v>
      </c>
      <c r="Z262" s="6">
        <f t="shared" si="62"/>
        <v>354226</v>
      </c>
      <c r="AA262" s="4">
        <f t="shared" si="64"/>
        <v>-22267</v>
      </c>
      <c r="AB262" s="485">
        <f>[9]IMWh!$E142</f>
        <v>352464</v>
      </c>
      <c r="AJ262" s="108">
        <f t="shared" si="33"/>
        <v>350213.26199999999</v>
      </c>
      <c r="AK262" s="108">
        <f t="shared" si="34"/>
        <v>3653.808</v>
      </c>
      <c r="AL262" s="108">
        <f t="shared" si="35"/>
        <v>358.93</v>
      </c>
      <c r="BN262" s="4">
        <f t="shared" si="51"/>
        <v>2004</v>
      </c>
      <c r="BO262" s="4">
        <f t="shared" si="52"/>
        <v>6</v>
      </c>
      <c r="BP262" s="108">
        <f>C262+[4]MWh!$AL96</f>
        <v>331605.56138327817</v>
      </c>
      <c r="BQ262" s="108"/>
      <c r="BR262" s="108"/>
      <c r="BS262" s="108"/>
      <c r="BT262" s="175">
        <f t="shared" si="63"/>
        <v>331605.56138327817</v>
      </c>
      <c r="BU262" s="108">
        <f t="shared" si="65"/>
        <v>-49645.658807874483</v>
      </c>
      <c r="BW262" s="529">
        <f>BT262/[9]IMWh!$E142</f>
        <v>0.94082108068704373</v>
      </c>
    </row>
    <row r="263" spans="1:75">
      <c r="A263" s="4">
        <f t="shared" si="39"/>
        <v>2004</v>
      </c>
      <c r="B263" s="4">
        <f t="shared" si="40"/>
        <v>7</v>
      </c>
      <c r="C263" s="4">
        <f>'[2]FPC wSEB'!$F360</f>
        <v>335704</v>
      </c>
      <c r="D263" s="4">
        <f>'[2]FPC wSEB'!$Z360</f>
        <v>2730</v>
      </c>
      <c r="F263" s="4">
        <f>'[2]FPC wSEB'!$G360</f>
        <v>101572</v>
      </c>
      <c r="G263" s="4">
        <f t="shared" ref="G263:G268" si="66">C263-F263</f>
        <v>234132</v>
      </c>
      <c r="H263" s="108">
        <v>4475.7950000000001</v>
      </c>
      <c r="I263" s="108">
        <v>851</v>
      </c>
      <c r="J263" s="108">
        <v>342.65899999999999</v>
      </c>
      <c r="K263" s="108">
        <v>135</v>
      </c>
      <c r="Z263" s="6">
        <f t="shared" ref="Z263:Z268" si="67">C263</f>
        <v>335704</v>
      </c>
      <c r="AA263" s="4">
        <f t="shared" si="64"/>
        <v>-1008</v>
      </c>
      <c r="AB263" s="485">
        <f>[9]IMWh!$E143</f>
        <v>335077</v>
      </c>
      <c r="AJ263" s="108">
        <f t="shared" si="33"/>
        <v>330885.54600000003</v>
      </c>
      <c r="AK263" s="108">
        <f t="shared" si="34"/>
        <v>4475.7950000000001</v>
      </c>
      <c r="AL263" s="108">
        <f t="shared" si="35"/>
        <v>342.65899999999999</v>
      </c>
      <c r="BN263" s="4">
        <f t="shared" si="51"/>
        <v>2004</v>
      </c>
      <c r="BO263" s="4">
        <f t="shared" si="52"/>
        <v>7</v>
      </c>
      <c r="BP263" s="108">
        <f>C263+[4]MWh!$AL97</f>
        <v>319074.42376245616</v>
      </c>
      <c r="BQ263" s="108"/>
      <c r="BR263" s="108"/>
      <c r="BS263" s="108"/>
      <c r="BT263" s="175">
        <f t="shared" si="63"/>
        <v>319074.42376245616</v>
      </c>
      <c r="BU263" s="108">
        <f t="shared" si="65"/>
        <v>-10530.891774702759</v>
      </c>
      <c r="BW263" s="529">
        <f>BT263/[9]IMWh!$E143</f>
        <v>0.95224209289941164</v>
      </c>
    </row>
    <row r="264" spans="1:75">
      <c r="A264" s="4">
        <f t="shared" si="39"/>
        <v>2004</v>
      </c>
      <c r="B264" s="4">
        <f t="shared" si="40"/>
        <v>8</v>
      </c>
      <c r="C264" s="4">
        <f>'[2]FPC wSEB'!$F361</f>
        <v>346763</v>
      </c>
      <c r="D264" s="4">
        <f>'[2]FPC wSEB'!$Z361</f>
        <v>2735</v>
      </c>
      <c r="F264" s="4">
        <f>'[2]FPC wSEB'!$G361</f>
        <v>95284</v>
      </c>
      <c r="G264" s="4">
        <f t="shared" si="66"/>
        <v>251479</v>
      </c>
      <c r="H264" s="108">
        <v>3644.806</v>
      </c>
      <c r="I264" s="108">
        <v>858</v>
      </c>
      <c r="J264" s="108">
        <v>333.95499999999998</v>
      </c>
      <c r="K264" s="108">
        <v>132</v>
      </c>
      <c r="Z264" s="506">
        <f>C264+10765</f>
        <v>357528</v>
      </c>
      <c r="AA264" s="4">
        <f t="shared" si="64"/>
        <v>14837</v>
      </c>
      <c r="AB264" s="516">
        <f>[9]IMWh!$E144+10765</f>
        <v>367586</v>
      </c>
      <c r="AJ264" s="108">
        <f t="shared" si="33"/>
        <v>342784.239</v>
      </c>
      <c r="AK264" s="108">
        <f t="shared" si="34"/>
        <v>3644.806</v>
      </c>
      <c r="AL264" s="108">
        <f t="shared" si="35"/>
        <v>333.95499999999998</v>
      </c>
      <c r="BN264" s="3">
        <f t="shared" si="51"/>
        <v>2004</v>
      </c>
      <c r="BO264" s="3">
        <f t="shared" si="52"/>
        <v>8</v>
      </c>
      <c r="BP264" s="108">
        <f>C264+[4]MWh!$AL98</f>
        <v>363133.37499837938</v>
      </c>
      <c r="BQ264" s="108"/>
      <c r="BR264" s="108"/>
      <c r="BS264" s="108"/>
      <c r="BT264" s="175">
        <f>BP264+10765</f>
        <v>373898.37499837938</v>
      </c>
      <c r="BU264" s="108">
        <f t="shared" si="65"/>
        <v>15958.937464964052</v>
      </c>
      <c r="BV264" s="108"/>
      <c r="BW264" s="529">
        <f>BT264/[9]IMWh!$E144</f>
        <v>1.047859781230307</v>
      </c>
    </row>
    <row r="265" spans="1:75">
      <c r="A265" s="4">
        <f t="shared" si="39"/>
        <v>2004</v>
      </c>
      <c r="B265" s="4">
        <f t="shared" si="40"/>
        <v>9</v>
      </c>
      <c r="C265" s="4">
        <f>'[2]FPC wSEB'!$F362</f>
        <v>331647</v>
      </c>
      <c r="D265" s="4">
        <f>'[2]FPC wSEB'!$Z362</f>
        <v>2725</v>
      </c>
      <c r="F265" s="4">
        <f>'[2]FPC wSEB'!$G362</f>
        <v>98205</v>
      </c>
      <c r="G265" s="4">
        <f t="shared" si="66"/>
        <v>233442</v>
      </c>
      <c r="H265" s="108">
        <v>3495.8270000000002</v>
      </c>
      <c r="I265" s="108">
        <v>860</v>
      </c>
      <c r="J265" s="108">
        <v>334.37400000000002</v>
      </c>
      <c r="K265" s="108">
        <v>136</v>
      </c>
      <c r="Z265" s="506">
        <f>C265+170</f>
        <v>331817</v>
      </c>
      <c r="AA265" s="4">
        <f t="shared" si="64"/>
        <v>-16415</v>
      </c>
      <c r="AB265" s="516">
        <f>[9]IMWh!$E145+170</f>
        <v>327753</v>
      </c>
      <c r="AJ265" s="108">
        <f t="shared" ref="AJ265:AJ328" si="68">C265-AK265-AL265</f>
        <v>327816.799</v>
      </c>
      <c r="AK265" s="108">
        <f t="shared" ref="AK265:AK328" si="69">H265</f>
        <v>3495.8270000000002</v>
      </c>
      <c r="AL265" s="108">
        <f t="shared" ref="AL265:AL328" si="70">J265</f>
        <v>334.37400000000002</v>
      </c>
      <c r="BN265" s="3">
        <f t="shared" si="51"/>
        <v>2004</v>
      </c>
      <c r="BO265" s="3">
        <f t="shared" si="52"/>
        <v>9</v>
      </c>
      <c r="BP265" s="108">
        <f>C265+[4]MWh!$AL99</f>
        <v>305858.41129634937</v>
      </c>
      <c r="BQ265" s="108"/>
      <c r="BR265" s="108"/>
      <c r="BS265" s="108"/>
      <c r="BT265" s="175">
        <f>BP265+170</f>
        <v>306028.41129634937</v>
      </c>
      <c r="BU265" s="108">
        <f t="shared" si="65"/>
        <v>3599.7097960173851</v>
      </c>
      <c r="BV265" s="108"/>
      <c r="BW265" s="529">
        <f>BT265/[9]IMWh!$E145</f>
        <v>0.93420113771578306</v>
      </c>
    </row>
    <row r="266" spans="1:75">
      <c r="A266" s="4">
        <f t="shared" si="39"/>
        <v>2004</v>
      </c>
      <c r="B266" s="4">
        <f t="shared" si="40"/>
        <v>10</v>
      </c>
      <c r="C266" s="4">
        <f>'[2]FPC wSEB'!$F363</f>
        <v>284939</v>
      </c>
      <c r="D266" s="4">
        <f>'[2]FPC wSEB'!$Z363</f>
        <v>2719</v>
      </c>
      <c r="F266" s="4">
        <f>'[2]FPC wSEB'!$G363</f>
        <v>68535</v>
      </c>
      <c r="G266" s="4">
        <f t="shared" si="66"/>
        <v>216404</v>
      </c>
      <c r="H266" s="108">
        <v>3418.9090000000001</v>
      </c>
      <c r="I266" s="108">
        <v>848</v>
      </c>
      <c r="J266" s="108">
        <v>403.065</v>
      </c>
      <c r="K266" s="108">
        <v>135</v>
      </c>
      <c r="Z266" s="6">
        <f t="shared" si="67"/>
        <v>284939</v>
      </c>
      <c r="AA266" s="4">
        <f t="shared" si="64"/>
        <v>-93465</v>
      </c>
      <c r="AB266" s="485">
        <f>[9]IMWh!$E146</f>
        <v>303307</v>
      </c>
      <c r="AJ266" s="108">
        <f t="shared" si="68"/>
        <v>281117.02600000001</v>
      </c>
      <c r="AK266" s="108">
        <f t="shared" si="69"/>
        <v>3418.9090000000001</v>
      </c>
      <c r="AL266" s="108">
        <f t="shared" si="70"/>
        <v>403.065</v>
      </c>
      <c r="BN266" s="4">
        <f t="shared" si="51"/>
        <v>2004</v>
      </c>
      <c r="BO266" s="4">
        <f t="shared" si="52"/>
        <v>10</v>
      </c>
      <c r="BP266" s="108">
        <f>C266+[4]MWh!$AL100</f>
        <v>267903.3065335502</v>
      </c>
      <c r="BQ266" s="108"/>
      <c r="BR266" s="108"/>
      <c r="BS266" s="108"/>
      <c r="BT266" s="175">
        <f>BP266</f>
        <v>267903.3065335502</v>
      </c>
      <c r="BU266" s="108">
        <f t="shared" si="65"/>
        <v>-160689.92581044527</v>
      </c>
      <c r="BW266" s="529">
        <f>BT266/[9]IMWh!$E146</f>
        <v>0.88327439371181737</v>
      </c>
    </row>
    <row r="267" spans="1:75">
      <c r="A267" s="4">
        <f t="shared" si="39"/>
        <v>2004</v>
      </c>
      <c r="B267" s="4">
        <f t="shared" si="40"/>
        <v>11</v>
      </c>
      <c r="C267" s="4">
        <f>'[2]FPC wSEB'!$F364</f>
        <v>345734</v>
      </c>
      <c r="D267" s="4">
        <f>'[2]FPC wSEB'!$Z364</f>
        <v>2742</v>
      </c>
      <c r="F267" s="4">
        <f>'[2]FPC wSEB'!$G364</f>
        <v>119486</v>
      </c>
      <c r="G267" s="4">
        <f t="shared" si="66"/>
        <v>226248</v>
      </c>
      <c r="H267" s="108">
        <v>3538.5880000000002</v>
      </c>
      <c r="I267" s="108">
        <v>864</v>
      </c>
      <c r="J267" s="108">
        <v>346.66199999999998</v>
      </c>
      <c r="K267" s="108">
        <v>129</v>
      </c>
      <c r="Z267" s="6">
        <f t="shared" si="67"/>
        <v>345734</v>
      </c>
      <c r="AA267" s="4">
        <f t="shared" ref="AA267:AA272" si="71">Z267-Z255</f>
        <v>-30660</v>
      </c>
      <c r="AB267" s="485">
        <f>[9]IMWh!$E147</f>
        <v>322342</v>
      </c>
      <c r="AJ267" s="108">
        <f t="shared" si="68"/>
        <v>341848.75</v>
      </c>
      <c r="AK267" s="108">
        <f t="shared" si="69"/>
        <v>3538.5880000000002</v>
      </c>
      <c r="AL267" s="108">
        <f t="shared" si="70"/>
        <v>346.66199999999998</v>
      </c>
      <c r="BN267" s="4">
        <f t="shared" si="51"/>
        <v>2004</v>
      </c>
      <c r="BO267" s="4">
        <f t="shared" si="52"/>
        <v>11</v>
      </c>
      <c r="BP267" s="108">
        <f>C267+[4]MWh!$AL101</f>
        <v>371319.19267963117</v>
      </c>
      <c r="BQ267" s="108"/>
      <c r="BR267" s="108"/>
      <c r="BS267" s="108"/>
      <c r="BT267" s="175">
        <f>BP267</f>
        <v>371319.19267963117</v>
      </c>
      <c r="BU267" s="108">
        <f t="shared" ref="BU267:BU272" si="72">BT267-BT255</f>
        <v>29874.405374729773</v>
      </c>
      <c r="BW267" s="529">
        <f>BT267/[9]IMWh!$E147</f>
        <v>1.1519417037793125</v>
      </c>
    </row>
    <row r="268" spans="1:75" s="89" customFormat="1">
      <c r="A268" s="89">
        <f t="shared" si="39"/>
        <v>2004</v>
      </c>
      <c r="B268" s="89">
        <f t="shared" si="40"/>
        <v>12</v>
      </c>
      <c r="C268" s="89">
        <f>'[2]FPC wSEB'!$F365</f>
        <v>350115</v>
      </c>
      <c r="D268" s="89">
        <f>'[2]FPC wSEB'!$Z365</f>
        <v>2766</v>
      </c>
      <c r="F268" s="89">
        <f>'[2]FPC wSEB'!$G365</f>
        <v>109920</v>
      </c>
      <c r="G268" s="89">
        <f t="shared" si="66"/>
        <v>240195</v>
      </c>
      <c r="H268" s="117">
        <v>3018.8220000000001</v>
      </c>
      <c r="I268" s="117">
        <v>858</v>
      </c>
      <c r="J268" s="117">
        <v>359.74599999999998</v>
      </c>
      <c r="K268" s="117">
        <v>130</v>
      </c>
      <c r="Z268" s="96">
        <f t="shared" si="67"/>
        <v>350115</v>
      </c>
      <c r="AA268" s="89">
        <f t="shared" si="71"/>
        <v>55491</v>
      </c>
      <c r="AB268" s="514">
        <f>[9]IMWh!$E148</f>
        <v>350778</v>
      </c>
      <c r="AJ268" s="117">
        <f t="shared" si="68"/>
        <v>346736.43200000003</v>
      </c>
      <c r="AK268" s="117">
        <f t="shared" si="69"/>
        <v>3018.8220000000001</v>
      </c>
      <c r="AL268" s="117">
        <f t="shared" si="70"/>
        <v>359.74599999999998</v>
      </c>
      <c r="BN268" s="89">
        <f t="shared" si="51"/>
        <v>2004</v>
      </c>
      <c r="BO268" s="89">
        <f t="shared" si="52"/>
        <v>12</v>
      </c>
      <c r="BP268" s="117">
        <f>C268+[4]MWh!$AL102</f>
        <v>390018.51521563093</v>
      </c>
      <c r="BQ268" s="117"/>
      <c r="BR268" s="117"/>
      <c r="BS268" s="117"/>
      <c r="BT268" s="176">
        <f>BP268</f>
        <v>390018.51521563093</v>
      </c>
      <c r="BU268" s="117">
        <f t="shared" si="72"/>
        <v>106766.38887334493</v>
      </c>
      <c r="BW268" s="536">
        <f>BT268/[9]IMWh!$E148</f>
        <v>1.1118670931917936</v>
      </c>
    </row>
    <row r="269" spans="1:75">
      <c r="A269" s="4">
        <f t="shared" si="39"/>
        <v>2005</v>
      </c>
      <c r="B269" s="4">
        <f t="shared" si="40"/>
        <v>1</v>
      </c>
      <c r="C269" s="4">
        <f>'[2]FPC wSEB'!$F366</f>
        <v>325588</v>
      </c>
      <c r="D269" s="4">
        <f>'[2]FPC wSEB'!$Z366</f>
        <v>2695</v>
      </c>
      <c r="F269" s="4">
        <f>'[2]FPC wSEB'!$G366</f>
        <v>99436</v>
      </c>
      <c r="G269" s="4">
        <f t="shared" ref="G269:G274" si="73">C269-F269</f>
        <v>226152</v>
      </c>
      <c r="H269" s="108">
        <v>2775.2890000000002</v>
      </c>
      <c r="I269" s="108">
        <v>850</v>
      </c>
      <c r="J269" s="108">
        <v>353.077</v>
      </c>
      <c r="K269" s="108">
        <v>132</v>
      </c>
      <c r="Z269" s="6">
        <f t="shared" ref="Z269:Z274" si="74">C269</f>
        <v>325588</v>
      </c>
      <c r="AA269" s="4">
        <f t="shared" si="71"/>
        <v>-24167</v>
      </c>
      <c r="AB269" s="485">
        <f>[9]IMWh!$E149</f>
        <v>330799</v>
      </c>
      <c r="AJ269" s="108">
        <f t="shared" si="68"/>
        <v>322459.63400000002</v>
      </c>
      <c r="AK269" s="108">
        <f t="shared" si="69"/>
        <v>2775.2890000000002</v>
      </c>
      <c r="AL269" s="108">
        <f t="shared" si="70"/>
        <v>353.077</v>
      </c>
      <c r="BN269" s="4">
        <f t="shared" si="51"/>
        <v>2005</v>
      </c>
      <c r="BO269" s="4">
        <f t="shared" si="52"/>
        <v>1</v>
      </c>
      <c r="BP269" s="108">
        <f>C269+[4]MWh!$AL103</f>
        <v>285675.04512960196</v>
      </c>
      <c r="BQ269" s="108"/>
      <c r="BR269" s="108"/>
      <c r="BS269" s="108"/>
      <c r="BT269" s="175">
        <f>BP269</f>
        <v>285675.04512960196</v>
      </c>
      <c r="BU269" s="108">
        <f t="shared" si="72"/>
        <v>-69018.798617235501</v>
      </c>
      <c r="BW269" s="529">
        <f>BT269/[9]IMWh!$E149</f>
        <v>0.86359101789788351</v>
      </c>
    </row>
    <row r="270" spans="1:75">
      <c r="A270" s="4">
        <f t="shared" si="39"/>
        <v>2005</v>
      </c>
      <c r="B270" s="4">
        <f t="shared" si="40"/>
        <v>2</v>
      </c>
      <c r="C270" s="4">
        <f>'[2]FPC wSEB'!$F367</f>
        <v>312424</v>
      </c>
      <c r="D270" s="4">
        <f>'[2]FPC wSEB'!$Z367</f>
        <v>2716</v>
      </c>
      <c r="F270" s="4">
        <f>'[2]FPC wSEB'!$G367</f>
        <v>99289</v>
      </c>
      <c r="G270" s="4">
        <f t="shared" si="73"/>
        <v>213135</v>
      </c>
      <c r="H270" s="108">
        <v>2981.2910000000002</v>
      </c>
      <c r="I270" s="108">
        <v>850</v>
      </c>
      <c r="J270" s="108">
        <v>352.52300000000002</v>
      </c>
      <c r="K270" s="108">
        <v>128</v>
      </c>
      <c r="Z270" s="6">
        <f t="shared" si="74"/>
        <v>312424</v>
      </c>
      <c r="AA270" s="4">
        <f t="shared" si="71"/>
        <v>10464</v>
      </c>
      <c r="AB270" s="485">
        <f>[9]IMWh!$E150</f>
        <v>321211</v>
      </c>
      <c r="AJ270" s="108">
        <f t="shared" si="68"/>
        <v>309090.18599999999</v>
      </c>
      <c r="AK270" s="108">
        <f t="shared" si="69"/>
        <v>2981.2910000000002</v>
      </c>
      <c r="AL270" s="108">
        <f t="shared" si="70"/>
        <v>352.52300000000002</v>
      </c>
      <c r="BN270" s="4">
        <f t="shared" si="51"/>
        <v>2005</v>
      </c>
      <c r="BO270" s="4">
        <f t="shared" si="52"/>
        <v>2</v>
      </c>
      <c r="BP270" s="108">
        <f>C270+[4]MWh!$AL104</f>
        <v>284187.35830489697</v>
      </c>
      <c r="BQ270" s="108"/>
      <c r="BR270" s="108"/>
      <c r="BS270" s="108"/>
      <c r="BT270" s="175">
        <f t="shared" ref="BT270:BT275" si="75">BP270</f>
        <v>284187.35830489697</v>
      </c>
      <c r="BU270" s="108">
        <f t="shared" si="72"/>
        <v>-8197.4828175344737</v>
      </c>
      <c r="BW270" s="529">
        <f>BT270/[9]IMWh!$E150</f>
        <v>0.88473731691908741</v>
      </c>
    </row>
    <row r="271" spans="1:75">
      <c r="A271" s="4">
        <f t="shared" si="39"/>
        <v>2005</v>
      </c>
      <c r="B271" s="4">
        <f t="shared" si="40"/>
        <v>3</v>
      </c>
      <c r="C271" s="4">
        <f>'[2]FPC wSEB'!$F368</f>
        <v>302195</v>
      </c>
      <c r="D271" s="4">
        <f>'[2]FPC wSEB'!$Z368</f>
        <v>2728</v>
      </c>
      <c r="F271" s="4">
        <f>'[2]FPC wSEB'!$G368</f>
        <v>91252</v>
      </c>
      <c r="G271" s="4">
        <f t="shared" si="73"/>
        <v>210943</v>
      </c>
      <c r="H271" s="108">
        <v>3359.4070000000002</v>
      </c>
      <c r="I271" s="108">
        <v>860</v>
      </c>
      <c r="J271" s="108">
        <v>360.70699999999999</v>
      </c>
      <c r="K271" s="108">
        <v>128</v>
      </c>
      <c r="Z271" s="6">
        <f t="shared" si="74"/>
        <v>302195</v>
      </c>
      <c r="AA271" s="4">
        <f t="shared" si="71"/>
        <v>-68625</v>
      </c>
      <c r="AB271" s="485">
        <f>[9]IMWh!$E151</f>
        <v>301444</v>
      </c>
      <c r="AJ271" s="108">
        <f t="shared" si="68"/>
        <v>298474.886</v>
      </c>
      <c r="AK271" s="108">
        <f t="shared" si="69"/>
        <v>3359.4070000000002</v>
      </c>
      <c r="AL271" s="108">
        <f t="shared" si="70"/>
        <v>360.70699999999999</v>
      </c>
      <c r="BN271" s="4">
        <f t="shared" si="51"/>
        <v>2005</v>
      </c>
      <c r="BO271" s="4">
        <f t="shared" si="52"/>
        <v>3</v>
      </c>
      <c r="BP271" s="108">
        <f>C271+[4]MWh!$AL105</f>
        <v>325862.42286919779</v>
      </c>
      <c r="BQ271" s="108"/>
      <c r="BR271" s="108"/>
      <c r="BS271" s="108"/>
      <c r="BT271" s="175">
        <f t="shared" si="75"/>
        <v>325862.42286919779</v>
      </c>
      <c r="BU271" s="108">
        <f t="shared" si="72"/>
        <v>-80851.813585806871</v>
      </c>
      <c r="BW271" s="529">
        <f>BT271/[9]IMWh!$E151</f>
        <v>1.081004839602705</v>
      </c>
    </row>
    <row r="272" spans="1:75">
      <c r="A272" s="4">
        <f t="shared" si="39"/>
        <v>2005</v>
      </c>
      <c r="B272" s="4">
        <f t="shared" si="40"/>
        <v>4</v>
      </c>
      <c r="C272" s="4">
        <f>'[2]FPC wSEB'!$F369</f>
        <v>355234</v>
      </c>
      <c r="D272" s="4">
        <f>'[2]FPC wSEB'!$Z369</f>
        <v>2667</v>
      </c>
      <c r="F272" s="4">
        <f>'[2]FPC wSEB'!$G369</f>
        <v>113447</v>
      </c>
      <c r="G272" s="4">
        <f t="shared" si="73"/>
        <v>241787</v>
      </c>
      <c r="H272" s="108">
        <v>2925.8290000000002</v>
      </c>
      <c r="I272" s="108">
        <v>819</v>
      </c>
      <c r="J272" s="108">
        <v>352.91399999999999</v>
      </c>
      <c r="K272" s="108">
        <v>129</v>
      </c>
      <c r="Z272" s="6">
        <f t="shared" si="74"/>
        <v>355234</v>
      </c>
      <c r="AA272" s="4">
        <f t="shared" si="71"/>
        <v>9435</v>
      </c>
      <c r="AB272" s="485">
        <f>[9]IMWh!$E152</f>
        <v>346889</v>
      </c>
      <c r="AJ272" s="108">
        <f t="shared" si="68"/>
        <v>351955.25699999998</v>
      </c>
      <c r="AK272" s="108">
        <f t="shared" si="69"/>
        <v>2925.8290000000002</v>
      </c>
      <c r="AL272" s="108">
        <f t="shared" si="70"/>
        <v>352.91399999999999</v>
      </c>
      <c r="BN272" s="4">
        <f t="shared" si="51"/>
        <v>2005</v>
      </c>
      <c r="BO272" s="4">
        <f t="shared" si="52"/>
        <v>4</v>
      </c>
      <c r="BP272" s="108">
        <f>C272+[4]MWh!$AL106</f>
        <v>366667.79680067091</v>
      </c>
      <c r="BQ272" s="108"/>
      <c r="BR272" s="108"/>
      <c r="BS272" s="108"/>
      <c r="BT272" s="175">
        <f t="shared" si="75"/>
        <v>366667.79680067091</v>
      </c>
      <c r="BU272" s="108">
        <f t="shared" si="72"/>
        <v>21018.008344685019</v>
      </c>
      <c r="BW272" s="529">
        <f>BT272/[9]IMWh!$E152</f>
        <v>1.0570176534876312</v>
      </c>
    </row>
    <row r="273" spans="1:75">
      <c r="A273" s="4">
        <f t="shared" si="39"/>
        <v>2005</v>
      </c>
      <c r="B273" s="4">
        <f t="shared" si="40"/>
        <v>5</v>
      </c>
      <c r="C273" s="4">
        <f>'[2]FPC wSEB'!$F370</f>
        <v>320647</v>
      </c>
      <c r="D273" s="4">
        <f>'[2]FPC wSEB'!$Z370</f>
        <v>2752</v>
      </c>
      <c r="F273" s="4">
        <f>'[2]FPC wSEB'!$G370</f>
        <v>94953</v>
      </c>
      <c r="G273" s="4">
        <f t="shared" si="73"/>
        <v>225694</v>
      </c>
      <c r="H273" s="108">
        <v>3135.5219999999999</v>
      </c>
      <c r="I273" s="108">
        <v>862</v>
      </c>
      <c r="J273" s="108">
        <v>365.94299999999998</v>
      </c>
      <c r="K273" s="108">
        <v>127</v>
      </c>
      <c r="Z273" s="6">
        <f t="shared" si="74"/>
        <v>320647</v>
      </c>
      <c r="AA273" s="4">
        <f t="shared" ref="AA273:AA278" si="76">Z273-Z261</f>
        <v>-30517</v>
      </c>
      <c r="AB273" s="485">
        <f>[9]IMWh!$E153</f>
        <v>319115</v>
      </c>
      <c r="AJ273" s="108">
        <f t="shared" si="68"/>
        <v>317145.53499999997</v>
      </c>
      <c r="AK273" s="108">
        <f t="shared" si="69"/>
        <v>3135.5219999999999</v>
      </c>
      <c r="AL273" s="108">
        <f t="shared" si="70"/>
        <v>365.94299999999998</v>
      </c>
      <c r="BN273" s="4">
        <f t="shared" si="51"/>
        <v>2005</v>
      </c>
      <c r="BO273" s="4">
        <f t="shared" si="52"/>
        <v>5</v>
      </c>
      <c r="BP273" s="108">
        <f>C273+[4]MWh!$AL107</f>
        <v>355007.94701558299</v>
      </c>
      <c r="BQ273" s="108"/>
      <c r="BR273" s="108"/>
      <c r="BS273" s="108"/>
      <c r="BT273" s="175">
        <f t="shared" si="75"/>
        <v>355007.94701558299</v>
      </c>
      <c r="BU273" s="108">
        <f t="shared" ref="BU273:BU278" si="77">BT273-BT261</f>
        <v>-25060.031591419363</v>
      </c>
      <c r="BW273" s="529">
        <f>BT273/[9]IMWh!$E153</f>
        <v>1.1124765273195649</v>
      </c>
    </row>
    <row r="274" spans="1:75">
      <c r="A274" s="4">
        <f t="shared" si="39"/>
        <v>2005</v>
      </c>
      <c r="B274" s="4">
        <f t="shared" si="40"/>
        <v>6</v>
      </c>
      <c r="C274" s="4">
        <f>'[2]FPC wSEB'!$F371</f>
        <v>364501</v>
      </c>
      <c r="D274" s="4">
        <f>'[2]FPC wSEB'!$Z371</f>
        <v>2602</v>
      </c>
      <c r="F274" s="4">
        <f>'[2]FPC wSEB'!$G371</f>
        <v>113485</v>
      </c>
      <c r="G274" s="4">
        <f t="shared" si="73"/>
        <v>251016</v>
      </c>
      <c r="H274" s="108">
        <v>3292.395</v>
      </c>
      <c r="I274" s="108">
        <v>801</v>
      </c>
      <c r="J274" s="108">
        <v>344.74599999999998</v>
      </c>
      <c r="K274" s="108">
        <v>127</v>
      </c>
      <c r="Z274" s="6">
        <f t="shared" si="74"/>
        <v>364501</v>
      </c>
      <c r="AA274" s="4">
        <f t="shared" si="76"/>
        <v>10275</v>
      </c>
      <c r="AB274" s="485">
        <f>[9]IMWh!$E154</f>
        <v>358344</v>
      </c>
      <c r="AJ274" s="108">
        <f t="shared" si="68"/>
        <v>360863.859</v>
      </c>
      <c r="AK274" s="108">
        <f t="shared" si="69"/>
        <v>3292.395</v>
      </c>
      <c r="AL274" s="108">
        <f t="shared" si="70"/>
        <v>344.74599999999998</v>
      </c>
      <c r="BN274" s="4">
        <f t="shared" si="51"/>
        <v>2005</v>
      </c>
      <c r="BO274" s="4">
        <f t="shared" si="52"/>
        <v>6</v>
      </c>
      <c r="BP274" s="108">
        <f>C274+[4]MWh!$AL108</f>
        <v>373099.73755400046</v>
      </c>
      <c r="BQ274" s="108"/>
      <c r="BR274" s="108"/>
      <c r="BS274" s="108"/>
      <c r="BT274" s="175">
        <f t="shared" si="75"/>
        <v>373099.73755400046</v>
      </c>
      <c r="BU274" s="108">
        <f t="shared" si="77"/>
        <v>41494.17617072229</v>
      </c>
      <c r="BW274" s="529">
        <f>BT274/[9]IMWh!$E154</f>
        <v>1.0411775767251592</v>
      </c>
    </row>
    <row r="275" spans="1:75">
      <c r="A275" s="4">
        <f t="shared" si="39"/>
        <v>2005</v>
      </c>
      <c r="B275" s="4">
        <f t="shared" si="40"/>
        <v>7</v>
      </c>
      <c r="C275" s="4">
        <f>'[2]FPC wSEB'!$F372</f>
        <v>352778</v>
      </c>
      <c r="D275" s="4">
        <f>'[2]FPC wSEB'!$Z372</f>
        <v>2704</v>
      </c>
      <c r="F275" s="4">
        <f>'[2]FPC wSEB'!$G372</f>
        <v>106152</v>
      </c>
      <c r="G275" s="4">
        <f t="shared" ref="G275:G280" si="78">C275-F275</f>
        <v>246626</v>
      </c>
      <c r="H275" s="108">
        <v>4004.076</v>
      </c>
      <c r="I275" s="108">
        <v>846</v>
      </c>
      <c r="J275" s="108">
        <v>360.96499999999997</v>
      </c>
      <c r="K275" s="108">
        <v>129</v>
      </c>
      <c r="Z275" s="6">
        <f t="shared" ref="Z275:Z280" si="79">C275</f>
        <v>352778</v>
      </c>
      <c r="AA275" s="4">
        <f t="shared" si="76"/>
        <v>17074</v>
      </c>
      <c r="AB275" s="485">
        <f>[9]IMWh!$E155</f>
        <v>356305</v>
      </c>
      <c r="AJ275" s="108">
        <f t="shared" si="68"/>
        <v>348412.95899999997</v>
      </c>
      <c r="AK275" s="108">
        <f t="shared" si="69"/>
        <v>4004.076</v>
      </c>
      <c r="AL275" s="108">
        <f t="shared" si="70"/>
        <v>360.96499999999997</v>
      </c>
      <c r="BN275" s="4">
        <f t="shared" si="51"/>
        <v>2005</v>
      </c>
      <c r="BO275" s="4">
        <f t="shared" si="52"/>
        <v>7</v>
      </c>
      <c r="BP275" s="108">
        <f>C275+[4]MWh!$AL109</f>
        <v>334394.40202225838</v>
      </c>
      <c r="BQ275" s="108"/>
      <c r="BR275" s="108"/>
      <c r="BS275" s="108"/>
      <c r="BT275" s="175">
        <f t="shared" si="75"/>
        <v>334394.40202225838</v>
      </c>
      <c r="BU275" s="108">
        <f t="shared" si="77"/>
        <v>15319.978259802214</v>
      </c>
      <c r="BW275" s="529">
        <f>BT275/[9]IMWh!$E155</f>
        <v>0.93850606088115063</v>
      </c>
    </row>
    <row r="276" spans="1:75">
      <c r="A276" s="4">
        <f t="shared" si="39"/>
        <v>2005</v>
      </c>
      <c r="B276" s="4">
        <f t="shared" si="40"/>
        <v>8</v>
      </c>
      <c r="C276" s="4">
        <f>'[2]FPC wSEB'!$F373</f>
        <v>386739</v>
      </c>
      <c r="D276" s="4">
        <f>'[2]FPC wSEB'!$Z373</f>
        <v>2721</v>
      </c>
      <c r="F276" s="4">
        <f>'[2]FPC wSEB'!$G373</f>
        <v>103641</v>
      </c>
      <c r="G276" s="4">
        <f t="shared" si="78"/>
        <v>283098</v>
      </c>
      <c r="H276" s="108">
        <v>4260.3540000000003</v>
      </c>
      <c r="I276" s="108">
        <v>861</v>
      </c>
      <c r="J276" s="108">
        <v>359.31700000000001</v>
      </c>
      <c r="K276" s="108">
        <v>122</v>
      </c>
      <c r="Z276" s="6">
        <f t="shared" si="79"/>
        <v>386739</v>
      </c>
      <c r="AA276" s="4">
        <f t="shared" si="76"/>
        <v>29211</v>
      </c>
      <c r="AB276" s="485">
        <f>[9]IMWh!$E156</f>
        <v>385211</v>
      </c>
      <c r="AJ276" s="108">
        <f t="shared" si="68"/>
        <v>382119.32900000003</v>
      </c>
      <c r="AK276" s="108">
        <f t="shared" si="69"/>
        <v>4260.3540000000003</v>
      </c>
      <c r="AL276" s="108">
        <f t="shared" si="70"/>
        <v>359.31700000000001</v>
      </c>
      <c r="BN276" s="4">
        <f t="shared" si="51"/>
        <v>2005</v>
      </c>
      <c r="BO276" s="4">
        <f t="shared" si="52"/>
        <v>8</v>
      </c>
      <c r="BP276" s="108">
        <f>C276+[4]MWh!$AL110</f>
        <v>409163.42077278509</v>
      </c>
      <c r="BQ276" s="108"/>
      <c r="BR276" s="108"/>
      <c r="BS276" s="108"/>
      <c r="BT276" s="175">
        <f t="shared" ref="BT276:BT281" si="80">BP276</f>
        <v>409163.42077278509</v>
      </c>
      <c r="BU276" s="108">
        <f t="shared" si="77"/>
        <v>35265.045774405706</v>
      </c>
      <c r="BW276" s="529">
        <f>BT276/[9]IMWh!$E156</f>
        <v>1.0621800020580541</v>
      </c>
    </row>
    <row r="277" spans="1:75">
      <c r="A277" s="4">
        <f t="shared" si="39"/>
        <v>2005</v>
      </c>
      <c r="B277" s="4">
        <f t="shared" si="40"/>
        <v>9</v>
      </c>
      <c r="C277" s="4">
        <f>'[2]FPC wSEB'!$F374</f>
        <v>373128</v>
      </c>
      <c r="D277" s="4">
        <f>'[2]FPC wSEB'!$Z374</f>
        <v>2739</v>
      </c>
      <c r="F277" s="4">
        <f>'[2]FPC wSEB'!$G374</f>
        <v>112238</v>
      </c>
      <c r="G277" s="4">
        <f t="shared" si="78"/>
        <v>260890</v>
      </c>
      <c r="H277" s="108">
        <v>4108.9650000000001</v>
      </c>
      <c r="I277" s="108">
        <v>857</v>
      </c>
      <c r="J277" s="108">
        <v>366.90199999999999</v>
      </c>
      <c r="K277" s="108">
        <v>125</v>
      </c>
      <c r="Z277" s="6">
        <f t="shared" si="79"/>
        <v>373128</v>
      </c>
      <c r="AA277" s="4">
        <f t="shared" si="76"/>
        <v>41311</v>
      </c>
      <c r="AB277" s="485">
        <f>[9]IMWh!$E157</f>
        <v>367732</v>
      </c>
      <c r="AJ277" s="108">
        <f t="shared" si="68"/>
        <v>368652.13299999997</v>
      </c>
      <c r="AK277" s="108">
        <f t="shared" si="69"/>
        <v>4108.9650000000001</v>
      </c>
      <c r="AL277" s="108">
        <f t="shared" si="70"/>
        <v>366.90199999999999</v>
      </c>
      <c r="BN277" s="4">
        <f t="shared" si="51"/>
        <v>2005</v>
      </c>
      <c r="BO277" s="4">
        <f t="shared" si="52"/>
        <v>9</v>
      </c>
      <c r="BP277" s="108">
        <f>C277+[4]MWh!$AL111</f>
        <v>333379.70641306479</v>
      </c>
      <c r="BQ277" s="108"/>
      <c r="BR277" s="108"/>
      <c r="BS277" s="108"/>
      <c r="BT277" s="175">
        <f t="shared" si="80"/>
        <v>333379.70641306479</v>
      </c>
      <c r="BU277" s="108">
        <f t="shared" si="77"/>
        <v>27351.295116715424</v>
      </c>
      <c r="BW277" s="529">
        <f>BT277/[9]IMWh!$E157</f>
        <v>0.90658334442763966</v>
      </c>
    </row>
    <row r="278" spans="1:75">
      <c r="A278" s="4">
        <f t="shared" si="39"/>
        <v>2005</v>
      </c>
      <c r="B278" s="4">
        <f t="shared" si="40"/>
        <v>10</v>
      </c>
      <c r="C278" s="4">
        <f>'[2]FPC wSEB'!$F375</f>
        <v>357470</v>
      </c>
      <c r="D278" s="4">
        <f>'[2]FPC wSEB'!$Z375</f>
        <v>2688</v>
      </c>
      <c r="F278" s="4">
        <f>'[2]FPC wSEB'!$G375</f>
        <v>111173</v>
      </c>
      <c r="G278" s="4">
        <f t="shared" si="78"/>
        <v>246297</v>
      </c>
      <c r="H278" s="108">
        <v>4689.4830000000002</v>
      </c>
      <c r="I278" s="108">
        <v>855</v>
      </c>
      <c r="J278" s="108">
        <v>367.70800000000003</v>
      </c>
      <c r="K278" s="108">
        <v>123</v>
      </c>
      <c r="Z278" s="6">
        <f t="shared" si="79"/>
        <v>357470</v>
      </c>
      <c r="AA278" s="4">
        <f t="shared" si="76"/>
        <v>72531</v>
      </c>
      <c r="AB278" s="485">
        <f>[9]IMWh!$E158</f>
        <v>361030</v>
      </c>
      <c r="AJ278" s="108">
        <f t="shared" si="68"/>
        <v>352412.80900000001</v>
      </c>
      <c r="AK278" s="108">
        <f t="shared" si="69"/>
        <v>4689.4830000000002</v>
      </c>
      <c r="AL278" s="108">
        <f t="shared" si="70"/>
        <v>367.70800000000003</v>
      </c>
      <c r="BN278" s="4">
        <f t="shared" si="51"/>
        <v>2005</v>
      </c>
      <c r="BO278" s="4">
        <f t="shared" si="52"/>
        <v>10</v>
      </c>
      <c r="BP278" s="108">
        <f>C278+[4]MWh!$AL112</f>
        <v>350934.90512434416</v>
      </c>
      <c r="BQ278" s="108"/>
      <c r="BR278" s="108"/>
      <c r="BS278" s="108"/>
      <c r="BT278" s="175">
        <f t="shared" si="80"/>
        <v>350934.90512434416</v>
      </c>
      <c r="BU278" s="108">
        <f t="shared" si="77"/>
        <v>83031.598590793961</v>
      </c>
      <c r="BW278" s="529">
        <f>BT278/[9]IMWh!$E158</f>
        <v>0.97203807197281156</v>
      </c>
    </row>
    <row r="279" spans="1:75">
      <c r="A279" s="4">
        <f t="shared" si="39"/>
        <v>2005</v>
      </c>
      <c r="B279" s="4">
        <f t="shared" si="40"/>
        <v>11</v>
      </c>
      <c r="C279" s="4">
        <f>'[2]FPC wSEB'!$F376</f>
        <v>357350</v>
      </c>
      <c r="D279" s="4">
        <f>'[2]FPC wSEB'!$Z376</f>
        <v>2763</v>
      </c>
      <c r="F279" s="4">
        <f>'[2]FPC wSEB'!$G376</f>
        <v>116527</v>
      </c>
      <c r="G279" s="4">
        <f t="shared" si="78"/>
        <v>240823</v>
      </c>
      <c r="H279" s="108">
        <v>3788.2930000000001</v>
      </c>
      <c r="I279" s="108">
        <v>864</v>
      </c>
      <c r="J279" s="108">
        <v>397.16199999999998</v>
      </c>
      <c r="K279" s="108">
        <v>123</v>
      </c>
      <c r="Z279" s="6">
        <f t="shared" si="79"/>
        <v>357350</v>
      </c>
      <c r="AA279" s="4">
        <f t="shared" ref="AA279:AA284" si="81">Z279-Z267</f>
        <v>11616</v>
      </c>
      <c r="AB279" s="485">
        <f>[9]IMWh!$E159</f>
        <v>359454</v>
      </c>
      <c r="AJ279" s="108">
        <f t="shared" si="68"/>
        <v>353164.54499999998</v>
      </c>
      <c r="AK279" s="108">
        <f t="shared" si="69"/>
        <v>3788.2930000000001</v>
      </c>
      <c r="AL279" s="108">
        <f t="shared" si="70"/>
        <v>397.16199999999998</v>
      </c>
      <c r="BN279" s="4">
        <f t="shared" si="51"/>
        <v>2005</v>
      </c>
      <c r="BO279" s="4">
        <f t="shared" si="52"/>
        <v>11</v>
      </c>
      <c r="BP279" s="108">
        <f>C279+[4]MWh!$AL113</f>
        <v>342870.98772246344</v>
      </c>
      <c r="BQ279" s="108"/>
      <c r="BR279" s="108"/>
      <c r="BS279" s="108"/>
      <c r="BT279" s="175">
        <f t="shared" si="80"/>
        <v>342870.98772246344</v>
      </c>
      <c r="BU279" s="108">
        <f t="shared" ref="BU279:BU284" si="82">BT279-BT267</f>
        <v>-28448.204957167734</v>
      </c>
      <c r="BW279" s="529">
        <f>BT279/[9]IMWh!$E159</f>
        <v>0.95386610726953502</v>
      </c>
    </row>
    <row r="280" spans="1:75" s="89" customFormat="1">
      <c r="A280" s="89">
        <f t="shared" si="39"/>
        <v>2005</v>
      </c>
      <c r="B280" s="89">
        <f t="shared" si="40"/>
        <v>12</v>
      </c>
      <c r="C280" s="89">
        <f>'[2]FPC wSEB'!$F377</f>
        <v>331817</v>
      </c>
      <c r="D280" s="89">
        <f>'[2]FPC wSEB'!$Z377</f>
        <v>2663</v>
      </c>
      <c r="F280" s="89">
        <f>'[2]FPC wSEB'!$G377</f>
        <v>110755</v>
      </c>
      <c r="G280" s="89">
        <f t="shared" si="78"/>
        <v>221062</v>
      </c>
      <c r="H280" s="117">
        <v>2886.3420000000001</v>
      </c>
      <c r="I280" s="117">
        <v>834</v>
      </c>
      <c r="J280" s="117">
        <v>320.20800000000003</v>
      </c>
      <c r="K280" s="117">
        <v>123</v>
      </c>
      <c r="Z280" s="96">
        <f t="shared" si="79"/>
        <v>331817</v>
      </c>
      <c r="AA280" s="89">
        <f t="shared" si="81"/>
        <v>-18298</v>
      </c>
      <c r="AB280" s="514">
        <f>[9]IMWh!$E160</f>
        <v>332613</v>
      </c>
      <c r="AJ280" s="117">
        <f t="shared" si="68"/>
        <v>328610.45</v>
      </c>
      <c r="AK280" s="117">
        <f t="shared" si="69"/>
        <v>2886.3420000000001</v>
      </c>
      <c r="AL280" s="117">
        <f t="shared" si="70"/>
        <v>320.20800000000003</v>
      </c>
      <c r="BN280" s="89">
        <f t="shared" si="51"/>
        <v>2005</v>
      </c>
      <c r="BO280" s="89">
        <f t="shared" si="52"/>
        <v>12</v>
      </c>
      <c r="BP280" s="117">
        <f>C280+[4]MWh!$AL114</f>
        <v>345201.3248727154</v>
      </c>
      <c r="BQ280" s="117"/>
      <c r="BR280" s="117"/>
      <c r="BS280" s="117"/>
      <c r="BT280" s="176">
        <f t="shared" si="80"/>
        <v>345201.3248727154</v>
      </c>
      <c r="BU280" s="117">
        <f t="shared" si="82"/>
        <v>-44817.190342915535</v>
      </c>
      <c r="BW280" s="536">
        <f>BT280/[9]IMWh!$E160</f>
        <v>1.0378467614696822</v>
      </c>
    </row>
    <row r="281" spans="1:75">
      <c r="A281" s="4">
        <f t="shared" si="39"/>
        <v>2006</v>
      </c>
      <c r="B281" s="4">
        <f t="shared" si="40"/>
        <v>1</v>
      </c>
      <c r="C281" s="4">
        <f>'[2]FPC wSEB'!$F378</f>
        <v>344867</v>
      </c>
      <c r="D281" s="4">
        <f>'[2]FPC wSEB'!$Z378</f>
        <v>2696</v>
      </c>
      <c r="F281" s="4">
        <f>'[2]FPC wSEB'!$G378</f>
        <v>117579</v>
      </c>
      <c r="G281" s="4">
        <f t="shared" ref="G281:G286" si="83">C281-F281</f>
        <v>227288</v>
      </c>
      <c r="H281" s="108">
        <v>2951.1460000000002</v>
      </c>
      <c r="I281" s="108">
        <v>834</v>
      </c>
      <c r="J281" s="108">
        <v>363.654</v>
      </c>
      <c r="K281" s="108">
        <v>124</v>
      </c>
      <c r="Z281" s="6">
        <f t="shared" ref="Z281:Z286" si="84">C281</f>
        <v>344867</v>
      </c>
      <c r="AA281" s="4">
        <f t="shared" si="81"/>
        <v>19279</v>
      </c>
      <c r="AB281" s="485">
        <f>[9]IMWh!$E161</f>
        <v>349884</v>
      </c>
      <c r="AJ281" s="108">
        <f t="shared" si="68"/>
        <v>341552.2</v>
      </c>
      <c r="AK281" s="108">
        <f t="shared" si="69"/>
        <v>2951.1460000000002</v>
      </c>
      <c r="AL281" s="108">
        <f t="shared" si="70"/>
        <v>363.654</v>
      </c>
      <c r="BN281" s="4">
        <f t="shared" si="51"/>
        <v>2006</v>
      </c>
      <c r="BO281" s="4">
        <f t="shared" si="52"/>
        <v>1</v>
      </c>
      <c r="BP281" s="108">
        <f>C281+[4]MWh!$AL115</f>
        <v>336497.99182018323</v>
      </c>
      <c r="BQ281" s="108"/>
      <c r="BR281" s="108"/>
      <c r="BS281" s="108"/>
      <c r="BT281" s="175">
        <f t="shared" si="80"/>
        <v>336497.99182018323</v>
      </c>
      <c r="BU281" s="108">
        <f t="shared" si="82"/>
        <v>50822.946690581273</v>
      </c>
      <c r="BW281" s="529">
        <f>BT281/[9]IMWh!$E161</f>
        <v>0.96174158241069396</v>
      </c>
    </row>
    <row r="282" spans="1:75">
      <c r="A282" s="4">
        <f t="shared" si="39"/>
        <v>2006</v>
      </c>
      <c r="B282" s="4">
        <f t="shared" si="40"/>
        <v>2</v>
      </c>
      <c r="C282" s="4">
        <f>'[2]FPC wSEB'!$F379</f>
        <v>315521</v>
      </c>
      <c r="D282" s="4">
        <f>'[2]FPC wSEB'!$Z379</f>
        <v>2709</v>
      </c>
      <c r="F282" s="4">
        <f>'[2]FPC wSEB'!$G379</f>
        <v>101044</v>
      </c>
      <c r="G282" s="4">
        <f t="shared" si="83"/>
        <v>214477</v>
      </c>
      <c r="H282" s="108">
        <v>2422.12</v>
      </c>
      <c r="I282" s="108">
        <v>849</v>
      </c>
      <c r="J282" s="108">
        <v>366.39100000000002</v>
      </c>
      <c r="K282" s="108">
        <v>125</v>
      </c>
      <c r="Z282" s="6">
        <f t="shared" si="84"/>
        <v>315521</v>
      </c>
      <c r="AA282" s="4">
        <f t="shared" si="81"/>
        <v>3097</v>
      </c>
      <c r="AB282" s="485">
        <f>[9]IMWh!$E162</f>
        <v>331625</v>
      </c>
      <c r="AJ282" s="108">
        <f t="shared" si="68"/>
        <v>312732.489</v>
      </c>
      <c r="AK282" s="108">
        <f t="shared" si="69"/>
        <v>2422.12</v>
      </c>
      <c r="AL282" s="108">
        <f t="shared" si="70"/>
        <v>366.39100000000002</v>
      </c>
      <c r="BN282" s="4">
        <f t="shared" si="51"/>
        <v>2006</v>
      </c>
      <c r="BO282" s="4">
        <f t="shared" si="52"/>
        <v>2</v>
      </c>
      <c r="BP282" s="108">
        <f>C282+[4]MWh!$AL116</f>
        <v>303835.16528144566</v>
      </c>
      <c r="BQ282" s="108"/>
      <c r="BR282" s="108"/>
      <c r="BS282" s="108"/>
      <c r="BT282" s="175">
        <f t="shared" ref="BT282:BT287" si="85">BP282</f>
        <v>303835.16528144566</v>
      </c>
      <c r="BU282" s="108">
        <f t="shared" si="82"/>
        <v>19647.806976548687</v>
      </c>
      <c r="BW282" s="529">
        <f>BT282/[9]IMWh!$E162</f>
        <v>0.91620102610311549</v>
      </c>
    </row>
    <row r="283" spans="1:75">
      <c r="A283" s="4">
        <f t="shared" si="39"/>
        <v>2006</v>
      </c>
      <c r="B283" s="4">
        <f t="shared" si="40"/>
        <v>3</v>
      </c>
      <c r="C283" s="4">
        <f>'[2]FPC wSEB'!$F380</f>
        <v>345666</v>
      </c>
      <c r="D283" s="4">
        <f>'[2]FPC wSEB'!$Z380</f>
        <v>2718</v>
      </c>
      <c r="F283" s="4">
        <f>'[2]FPC wSEB'!$G380</f>
        <v>110189</v>
      </c>
      <c r="G283" s="4">
        <f t="shared" si="83"/>
        <v>235477</v>
      </c>
      <c r="H283" s="108">
        <v>2798.6860000000001</v>
      </c>
      <c r="I283" s="108">
        <v>832</v>
      </c>
      <c r="J283" s="108">
        <v>367.66800000000001</v>
      </c>
      <c r="K283" s="108">
        <v>124</v>
      </c>
      <c r="Z283" s="6">
        <f t="shared" si="84"/>
        <v>345666</v>
      </c>
      <c r="AA283" s="4">
        <f t="shared" si="81"/>
        <v>43471</v>
      </c>
      <c r="AB283" s="485">
        <f>[9]IMWh!$E163</f>
        <v>321889</v>
      </c>
      <c r="AJ283" s="108">
        <f t="shared" si="68"/>
        <v>342499.64600000001</v>
      </c>
      <c r="AK283" s="108">
        <f t="shared" si="69"/>
        <v>2798.6860000000001</v>
      </c>
      <c r="AL283" s="108">
        <f t="shared" si="70"/>
        <v>367.66800000000001</v>
      </c>
      <c r="BN283" s="4">
        <f t="shared" si="51"/>
        <v>2006</v>
      </c>
      <c r="BO283" s="4">
        <f t="shared" si="52"/>
        <v>3</v>
      </c>
      <c r="BP283" s="108">
        <f>C283+[4]MWh!$AL117</f>
        <v>376450.99578543595</v>
      </c>
      <c r="BQ283" s="108"/>
      <c r="BR283" s="108"/>
      <c r="BS283" s="108"/>
      <c r="BT283" s="175">
        <f t="shared" si="85"/>
        <v>376450.99578543595</v>
      </c>
      <c r="BU283" s="108">
        <f t="shared" si="82"/>
        <v>50588.572916238161</v>
      </c>
      <c r="BW283" s="529">
        <f>BT283/[9]IMWh!$E163</f>
        <v>1.1695056239431481</v>
      </c>
    </row>
    <row r="284" spans="1:75">
      <c r="A284" s="4">
        <f t="shared" si="39"/>
        <v>2006</v>
      </c>
      <c r="B284" s="4">
        <f t="shared" si="40"/>
        <v>4</v>
      </c>
      <c r="C284" s="4">
        <f>'[2]FPC wSEB'!$F381</f>
        <v>350580</v>
      </c>
      <c r="D284" s="4">
        <f>'[2]FPC wSEB'!$Z381</f>
        <v>2675</v>
      </c>
      <c r="F284" s="4">
        <f>'[2]FPC wSEB'!$G381</f>
        <v>113580</v>
      </c>
      <c r="G284" s="4">
        <f t="shared" si="83"/>
        <v>237000</v>
      </c>
      <c r="H284" s="108">
        <v>4199.55</v>
      </c>
      <c r="I284" s="108">
        <v>810</v>
      </c>
      <c r="J284" s="108">
        <v>372.91800000000001</v>
      </c>
      <c r="K284" s="108">
        <v>122</v>
      </c>
      <c r="Z284" s="6">
        <f t="shared" si="84"/>
        <v>350580</v>
      </c>
      <c r="AA284" s="4">
        <f t="shared" si="81"/>
        <v>-4654</v>
      </c>
      <c r="AB284" s="485">
        <f>[9]IMWh!$E164</f>
        <v>362109</v>
      </c>
      <c r="AJ284" s="108">
        <f t="shared" si="68"/>
        <v>346007.53200000001</v>
      </c>
      <c r="AK284" s="108">
        <f t="shared" si="69"/>
        <v>4199.55</v>
      </c>
      <c r="AL284" s="108">
        <f t="shared" si="70"/>
        <v>372.91800000000001</v>
      </c>
      <c r="BN284" s="4">
        <f t="shared" si="51"/>
        <v>2006</v>
      </c>
      <c r="BO284" s="4">
        <f t="shared" si="52"/>
        <v>4</v>
      </c>
      <c r="BP284" s="108">
        <f>C284+[4]MWh!$AL118</f>
        <v>386116.57795260067</v>
      </c>
      <c r="BQ284" s="108"/>
      <c r="BR284" s="108"/>
      <c r="BS284" s="108"/>
      <c r="BT284" s="175">
        <f t="shared" si="85"/>
        <v>386116.57795260067</v>
      </c>
      <c r="BU284" s="108">
        <f t="shared" si="82"/>
        <v>19448.781151929754</v>
      </c>
      <c r="BW284" s="529">
        <f>BT284/[9]IMWh!$E164</f>
        <v>1.0662993130593292</v>
      </c>
    </row>
    <row r="285" spans="1:75">
      <c r="A285" s="4">
        <f t="shared" si="39"/>
        <v>2006</v>
      </c>
      <c r="B285" s="4">
        <f t="shared" si="40"/>
        <v>5</v>
      </c>
      <c r="C285" s="4">
        <f>'[2]FPC wSEB'!$F382</f>
        <v>368382</v>
      </c>
      <c r="D285" s="4">
        <f>'[2]FPC wSEB'!$Z382</f>
        <v>2742</v>
      </c>
      <c r="F285" s="4">
        <f>'[2]FPC wSEB'!$G382</f>
        <v>114510</v>
      </c>
      <c r="G285" s="4">
        <f t="shared" si="83"/>
        <v>253872</v>
      </c>
      <c r="H285" s="108">
        <v>3383.23</v>
      </c>
      <c r="I285" s="108">
        <v>846</v>
      </c>
      <c r="J285" s="108">
        <v>385.15499999999997</v>
      </c>
      <c r="K285" s="108">
        <v>121</v>
      </c>
      <c r="Z285" s="6">
        <f t="shared" si="84"/>
        <v>368382</v>
      </c>
      <c r="AA285" s="4">
        <f t="shared" ref="AA285:AA290" si="86">Z285-Z273</f>
        <v>47735</v>
      </c>
      <c r="AB285" s="485">
        <f>[9]IMWh!$E165</f>
        <v>355618</v>
      </c>
      <c r="AJ285" s="108">
        <f t="shared" si="68"/>
        <v>364613.61499999999</v>
      </c>
      <c r="AK285" s="108">
        <f t="shared" si="69"/>
        <v>3383.23</v>
      </c>
      <c r="AL285" s="108">
        <f t="shared" si="70"/>
        <v>385.15499999999997</v>
      </c>
      <c r="BN285" s="4">
        <f t="shared" si="51"/>
        <v>2006</v>
      </c>
      <c r="BO285" s="4">
        <f t="shared" si="52"/>
        <v>5</v>
      </c>
      <c r="BP285" s="108">
        <f>C285+[4]MWh!$AL119</f>
        <v>373541.53045947256</v>
      </c>
      <c r="BQ285" s="108"/>
      <c r="BR285" s="108"/>
      <c r="BS285" s="108"/>
      <c r="BT285" s="175">
        <f t="shared" si="85"/>
        <v>373541.53045947256</v>
      </c>
      <c r="BU285" s="108">
        <f t="shared" ref="BU285:BU290" si="87">BT285-BT273</f>
        <v>18533.583443889569</v>
      </c>
      <c r="BW285" s="529">
        <f>BT285/[9]IMWh!$E165</f>
        <v>1.0504010777279906</v>
      </c>
    </row>
    <row r="286" spans="1:75">
      <c r="A286" s="4">
        <f t="shared" ref="A286:A349" si="88">A274+1</f>
        <v>2006</v>
      </c>
      <c r="B286" s="4">
        <f t="shared" ref="B286:B349" si="89">B274</f>
        <v>6</v>
      </c>
      <c r="C286" s="4">
        <f>'[2]FPC wSEB'!$F383</f>
        <v>380544</v>
      </c>
      <c r="D286" s="4">
        <f>'[2]FPC wSEB'!$Z383</f>
        <v>2691</v>
      </c>
      <c r="F286" s="4">
        <f>'[2]FPC wSEB'!$G383</f>
        <v>129212</v>
      </c>
      <c r="G286" s="4">
        <f t="shared" si="83"/>
        <v>251332</v>
      </c>
      <c r="H286" s="108">
        <v>3259.748</v>
      </c>
      <c r="I286" s="108">
        <v>823</v>
      </c>
      <c r="J286" s="108">
        <v>373.86399999999998</v>
      </c>
      <c r="K286" s="108">
        <v>119</v>
      </c>
      <c r="Z286" s="6">
        <f t="shared" si="84"/>
        <v>380544</v>
      </c>
      <c r="AA286" s="4">
        <f t="shared" si="86"/>
        <v>16043</v>
      </c>
      <c r="AB286" s="485">
        <f>[9]IMWh!$E166</f>
        <v>378422</v>
      </c>
      <c r="AJ286" s="108">
        <f t="shared" si="68"/>
        <v>376910.38799999998</v>
      </c>
      <c r="AK286" s="108">
        <f t="shared" si="69"/>
        <v>3259.748</v>
      </c>
      <c r="AL286" s="108">
        <f t="shared" si="70"/>
        <v>373.86399999999998</v>
      </c>
      <c r="BN286" s="4">
        <f t="shared" si="51"/>
        <v>2006</v>
      </c>
      <c r="BO286" s="4">
        <f t="shared" si="52"/>
        <v>6</v>
      </c>
      <c r="BP286" s="108">
        <f>C286+[4]MWh!$AL120</f>
        <v>372501.8822984313</v>
      </c>
      <c r="BQ286" s="108"/>
      <c r="BR286" s="108"/>
      <c r="BS286" s="108"/>
      <c r="BT286" s="175">
        <f t="shared" si="85"/>
        <v>372501.8822984313</v>
      </c>
      <c r="BU286" s="108">
        <f t="shared" si="87"/>
        <v>-597.85525556915672</v>
      </c>
      <c r="BW286" s="529">
        <f>BT286/[9]IMWh!$E166</f>
        <v>0.98435577820113873</v>
      </c>
    </row>
    <row r="287" spans="1:75">
      <c r="A287" s="4">
        <f t="shared" si="88"/>
        <v>2006</v>
      </c>
      <c r="B287" s="4">
        <f t="shared" si="89"/>
        <v>7</v>
      </c>
      <c r="C287" s="4">
        <f>'[2]FPC wSEB'!$F384</f>
        <v>332624</v>
      </c>
      <c r="D287" s="4">
        <f>'[2]FPC wSEB'!$Z384</f>
        <v>2668</v>
      </c>
      <c r="F287" s="4">
        <f>'[2]FPC wSEB'!$G384</f>
        <v>91507</v>
      </c>
      <c r="G287" s="4">
        <f t="shared" ref="G287:G292" si="90">C287-F287</f>
        <v>241117</v>
      </c>
      <c r="H287" s="108">
        <v>3165.6930000000002</v>
      </c>
      <c r="I287" s="108">
        <v>807</v>
      </c>
      <c r="J287" s="108">
        <v>375.01499999999999</v>
      </c>
      <c r="K287" s="108">
        <v>117</v>
      </c>
      <c r="Z287" s="6">
        <f t="shared" ref="Z287:Z292" si="91">C287</f>
        <v>332624</v>
      </c>
      <c r="AA287" s="4">
        <f t="shared" si="86"/>
        <v>-20154</v>
      </c>
      <c r="AB287" s="485">
        <f>[9]IMWh!$E167</f>
        <v>339052</v>
      </c>
      <c r="AJ287" s="108">
        <f t="shared" si="68"/>
        <v>329083.29199999996</v>
      </c>
      <c r="AK287" s="108">
        <f t="shared" si="69"/>
        <v>3165.6930000000002</v>
      </c>
      <c r="AL287" s="108">
        <f t="shared" si="70"/>
        <v>375.01499999999999</v>
      </c>
      <c r="BN287" s="4">
        <f t="shared" si="51"/>
        <v>2006</v>
      </c>
      <c r="BO287" s="4">
        <f t="shared" si="52"/>
        <v>7</v>
      </c>
      <c r="BP287" s="108">
        <f>C287+[4]MWh!$AL121</f>
        <v>320159.40048523922</v>
      </c>
      <c r="BQ287" s="108"/>
      <c r="BR287" s="108"/>
      <c r="BS287" s="108"/>
      <c r="BT287" s="175">
        <f t="shared" si="85"/>
        <v>320159.40048523922</v>
      </c>
      <c r="BU287" s="108">
        <f t="shared" si="87"/>
        <v>-14235.001537019154</v>
      </c>
      <c r="BW287" s="529">
        <f>BT287/[9]IMWh!$E167</f>
        <v>0.9442781652526433</v>
      </c>
    </row>
    <row r="288" spans="1:75">
      <c r="A288" s="4">
        <f t="shared" si="88"/>
        <v>2006</v>
      </c>
      <c r="B288" s="4">
        <f t="shared" si="89"/>
        <v>8</v>
      </c>
      <c r="C288" s="4">
        <f>'[2]FPC wSEB'!$F385</f>
        <v>361976</v>
      </c>
      <c r="D288" s="4">
        <f>'[2]FPC wSEB'!$Z385</f>
        <v>2756</v>
      </c>
      <c r="F288" s="4">
        <f>'[2]FPC wSEB'!$G385</f>
        <v>96659</v>
      </c>
      <c r="G288" s="4">
        <f t="shared" si="90"/>
        <v>265317</v>
      </c>
      <c r="H288" s="108">
        <v>3410.3530000000001</v>
      </c>
      <c r="I288" s="108">
        <v>857</v>
      </c>
      <c r="J288" s="108">
        <v>377.52300000000002</v>
      </c>
      <c r="K288" s="108">
        <v>118</v>
      </c>
      <c r="Z288" s="6">
        <f t="shared" si="91"/>
        <v>361976</v>
      </c>
      <c r="AA288" s="4">
        <f t="shared" si="86"/>
        <v>-24763</v>
      </c>
      <c r="AB288" s="485">
        <f>[9]IMWh!$E168</f>
        <v>365319</v>
      </c>
      <c r="AJ288" s="108">
        <f t="shared" si="68"/>
        <v>358188.12400000001</v>
      </c>
      <c r="AK288" s="108">
        <f t="shared" si="69"/>
        <v>3410.3530000000001</v>
      </c>
      <c r="AL288" s="108">
        <f t="shared" si="70"/>
        <v>377.52300000000002</v>
      </c>
      <c r="BN288" s="4">
        <f t="shared" si="51"/>
        <v>2006</v>
      </c>
      <c r="BO288" s="4">
        <f t="shared" si="52"/>
        <v>8</v>
      </c>
      <c r="BP288" s="108">
        <f>C288+[4]MWh!$AL122</f>
        <v>350616.55405324348</v>
      </c>
      <c r="BQ288" s="108"/>
      <c r="BR288" s="108"/>
      <c r="BS288" s="108"/>
      <c r="BT288" s="175">
        <f t="shared" ref="BT288:BT293" si="92">BP288</f>
        <v>350616.55405324348</v>
      </c>
      <c r="BU288" s="108">
        <f t="shared" si="87"/>
        <v>-58546.866719541606</v>
      </c>
      <c r="BW288" s="529">
        <f>BT288/[9]IMWh!$E168</f>
        <v>0.95975449963796977</v>
      </c>
    </row>
    <row r="289" spans="1:75">
      <c r="A289" s="4">
        <f t="shared" si="88"/>
        <v>2006</v>
      </c>
      <c r="B289" s="4">
        <f t="shared" si="89"/>
        <v>9</v>
      </c>
      <c r="C289" s="4">
        <f>'[2]FPC wSEB'!$F386</f>
        <v>372403</v>
      </c>
      <c r="D289" s="4">
        <f>'[2]FPC wSEB'!$Z386</f>
        <v>2639</v>
      </c>
      <c r="F289" s="4">
        <f>'[2]FPC wSEB'!$G386</f>
        <v>111544</v>
      </c>
      <c r="G289" s="4">
        <f t="shared" si="90"/>
        <v>260859</v>
      </c>
      <c r="H289" s="108">
        <v>3067.05</v>
      </c>
      <c r="I289" s="108">
        <v>798</v>
      </c>
      <c r="J289" s="108">
        <v>382.46499999999997</v>
      </c>
      <c r="K289" s="108">
        <v>118</v>
      </c>
      <c r="Z289" s="6">
        <f t="shared" si="91"/>
        <v>372403</v>
      </c>
      <c r="AA289" s="4">
        <f t="shared" si="86"/>
        <v>-725</v>
      </c>
      <c r="AB289" s="485">
        <f>[9]IMWh!$E169</f>
        <v>362348</v>
      </c>
      <c r="AJ289" s="108">
        <f t="shared" si="68"/>
        <v>368953.48499999999</v>
      </c>
      <c r="AK289" s="108">
        <f t="shared" si="69"/>
        <v>3067.05</v>
      </c>
      <c r="AL289" s="108">
        <f t="shared" si="70"/>
        <v>382.46499999999997</v>
      </c>
      <c r="BN289" s="4">
        <f t="shared" si="51"/>
        <v>2006</v>
      </c>
      <c r="BO289" s="4">
        <f t="shared" si="52"/>
        <v>9</v>
      </c>
      <c r="BP289" s="108">
        <f>C289+[4]MWh!$AL123</f>
        <v>361375.64747851377</v>
      </c>
      <c r="BQ289" s="108"/>
      <c r="BR289" s="108"/>
      <c r="BS289" s="108"/>
      <c r="BT289" s="175">
        <f t="shared" si="92"/>
        <v>361375.64747851377</v>
      </c>
      <c r="BU289" s="108">
        <f t="shared" si="87"/>
        <v>27995.941065448977</v>
      </c>
      <c r="BW289" s="529">
        <f>BT289/[9]IMWh!$E169</f>
        <v>0.99731652300692641</v>
      </c>
    </row>
    <row r="290" spans="1:75">
      <c r="A290" s="4">
        <f t="shared" si="88"/>
        <v>2006</v>
      </c>
      <c r="B290" s="4">
        <f t="shared" si="89"/>
        <v>10</v>
      </c>
      <c r="C290" s="4">
        <f>'[2]FPC wSEB'!$F387</f>
        <v>325835</v>
      </c>
      <c r="D290" s="4">
        <f>'[2]FPC wSEB'!$Z387</f>
        <v>2659</v>
      </c>
      <c r="F290" s="4">
        <f>'[2]FPC wSEB'!$G387</f>
        <v>88402</v>
      </c>
      <c r="G290" s="4">
        <f t="shared" si="90"/>
        <v>237433</v>
      </c>
      <c r="H290" s="108">
        <v>3045.5610000000001</v>
      </c>
      <c r="I290" s="108">
        <v>800</v>
      </c>
      <c r="J290" s="108">
        <v>372.52300000000002</v>
      </c>
      <c r="K290" s="108">
        <v>119</v>
      </c>
      <c r="Z290" s="6">
        <f t="shared" si="91"/>
        <v>325835</v>
      </c>
      <c r="AA290" s="4">
        <f t="shared" si="86"/>
        <v>-31635</v>
      </c>
      <c r="AB290" s="485">
        <f>[9]IMWh!$E170</f>
        <v>349030</v>
      </c>
      <c r="AJ290" s="108">
        <f t="shared" si="68"/>
        <v>322416.91600000003</v>
      </c>
      <c r="AK290" s="108">
        <f t="shared" si="69"/>
        <v>3045.5610000000001</v>
      </c>
      <c r="AL290" s="108">
        <f t="shared" si="70"/>
        <v>372.52300000000002</v>
      </c>
      <c r="BN290" s="4">
        <f t="shared" si="51"/>
        <v>2006</v>
      </c>
      <c r="BO290" s="4">
        <f t="shared" si="52"/>
        <v>10</v>
      </c>
      <c r="BP290" s="108">
        <f>C290+[4]MWh!$AL124</f>
        <v>314294.28437371395</v>
      </c>
      <c r="BQ290" s="108"/>
      <c r="BR290" s="108"/>
      <c r="BS290" s="108"/>
      <c r="BT290" s="175">
        <f t="shared" si="92"/>
        <v>314294.28437371395</v>
      </c>
      <c r="BU290" s="108">
        <f t="shared" si="87"/>
        <v>-36640.620750630216</v>
      </c>
      <c r="BW290" s="529">
        <f>BT290/[9]IMWh!$E170</f>
        <v>0.90047928365388064</v>
      </c>
    </row>
    <row r="291" spans="1:75">
      <c r="A291" s="4">
        <f t="shared" si="88"/>
        <v>2006</v>
      </c>
      <c r="B291" s="4">
        <f t="shared" si="89"/>
        <v>11</v>
      </c>
      <c r="C291" s="4">
        <f>'[2]FPC wSEB'!$F388</f>
        <v>332132</v>
      </c>
      <c r="D291" s="4">
        <f>'[2]FPC wSEB'!$Z388</f>
        <v>2702</v>
      </c>
      <c r="F291" s="4">
        <f>'[2]FPC wSEB'!$G388</f>
        <v>92623</v>
      </c>
      <c r="G291" s="4">
        <f t="shared" si="90"/>
        <v>239509</v>
      </c>
      <c r="H291" s="108">
        <v>3042.2869999999998</v>
      </c>
      <c r="I291" s="108">
        <v>825</v>
      </c>
      <c r="J291" s="108">
        <v>381.8</v>
      </c>
      <c r="K291" s="108">
        <v>120</v>
      </c>
      <c r="Z291" s="6">
        <f t="shared" si="91"/>
        <v>332132</v>
      </c>
      <c r="AA291" s="4">
        <f t="shared" ref="AA291:AA296" si="93">Z291-Z279</f>
        <v>-25218</v>
      </c>
      <c r="AB291" s="485">
        <f>[9]IMWh!$E171</f>
        <v>305569</v>
      </c>
      <c r="AJ291" s="108">
        <f t="shared" si="68"/>
        <v>328707.913</v>
      </c>
      <c r="AK291" s="108">
        <f t="shared" si="69"/>
        <v>3042.2869999999998</v>
      </c>
      <c r="AL291" s="108">
        <f t="shared" si="70"/>
        <v>381.8</v>
      </c>
      <c r="BN291" s="4">
        <f t="shared" si="51"/>
        <v>2006</v>
      </c>
      <c r="BO291" s="4">
        <f t="shared" si="52"/>
        <v>11</v>
      </c>
      <c r="BP291" s="108">
        <f>C291+[4]MWh!$AL125</f>
        <v>313674.36992549815</v>
      </c>
      <c r="BQ291" s="108"/>
      <c r="BR291" s="108"/>
      <c r="BS291" s="108"/>
      <c r="BT291" s="175">
        <f t="shared" si="92"/>
        <v>313674.36992549815</v>
      </c>
      <c r="BU291" s="108">
        <f t="shared" ref="BU291:BU296" si="94">BT291-BT279</f>
        <v>-29196.617796965293</v>
      </c>
      <c r="BW291" s="529">
        <f>BT291/[9]IMWh!$E171</f>
        <v>1.0265254980888052</v>
      </c>
    </row>
    <row r="292" spans="1:75" s="89" customFormat="1">
      <c r="A292" s="89">
        <f t="shared" si="88"/>
        <v>2006</v>
      </c>
      <c r="B292" s="89">
        <f t="shared" si="89"/>
        <v>12</v>
      </c>
      <c r="C292" s="89">
        <f>'[2]FPC wSEB'!$F389</f>
        <v>329493</v>
      </c>
      <c r="D292" s="89">
        <f>'[2]FPC wSEB'!$Z389</f>
        <v>2708</v>
      </c>
      <c r="F292" s="89">
        <f>'[2]FPC wSEB'!$G389</f>
        <v>84628</v>
      </c>
      <c r="G292" s="89">
        <f t="shared" si="90"/>
        <v>244865</v>
      </c>
      <c r="H292" s="117">
        <v>2957.5230000000001</v>
      </c>
      <c r="I292" s="117">
        <v>838</v>
      </c>
      <c r="J292" s="117">
        <v>376.76799999999997</v>
      </c>
      <c r="K292" s="117">
        <v>121</v>
      </c>
      <c r="Z292" s="96">
        <f t="shared" si="91"/>
        <v>329493</v>
      </c>
      <c r="AA292" s="89">
        <f t="shared" si="93"/>
        <v>-2324</v>
      </c>
      <c r="AB292" s="514">
        <f>[9]IMWh!$E172</f>
        <v>321253</v>
      </c>
      <c r="AJ292" s="117">
        <f t="shared" si="68"/>
        <v>326158.70900000003</v>
      </c>
      <c r="AK292" s="117">
        <f t="shared" si="69"/>
        <v>2957.5230000000001</v>
      </c>
      <c r="AL292" s="117">
        <f t="shared" si="70"/>
        <v>376.76799999999997</v>
      </c>
      <c r="BN292" s="89">
        <f t="shared" si="51"/>
        <v>2006</v>
      </c>
      <c r="BO292" s="89">
        <f t="shared" si="52"/>
        <v>12</v>
      </c>
      <c r="BP292" s="117">
        <f>C292+[4]MWh!$AL126</f>
        <v>330443.9098847803</v>
      </c>
      <c r="BQ292" s="117"/>
      <c r="BR292" s="117"/>
      <c r="BS292" s="117"/>
      <c r="BT292" s="176">
        <f t="shared" si="92"/>
        <v>330443.9098847803</v>
      </c>
      <c r="BU292" s="117">
        <f t="shared" si="94"/>
        <v>-14757.414987935103</v>
      </c>
      <c r="BW292" s="536">
        <f>BT292/[9]IMWh!$E172</f>
        <v>1.0286095690461421</v>
      </c>
    </row>
    <row r="293" spans="1:75">
      <c r="A293" s="4">
        <f t="shared" si="88"/>
        <v>2007</v>
      </c>
      <c r="B293" s="4">
        <f t="shared" si="89"/>
        <v>1</v>
      </c>
      <c r="C293" s="4">
        <f>'[2]FPC wSEB'!$F390</f>
        <v>283885</v>
      </c>
      <c r="D293" s="4">
        <f>'[2]FPC wSEB'!$Z390</f>
        <v>2736</v>
      </c>
      <c r="F293" s="4">
        <f>'[2]FPC wSEB'!$G390</f>
        <v>76298</v>
      </c>
      <c r="G293" s="4">
        <f t="shared" ref="G293:G298" si="95">C293-F293</f>
        <v>207587</v>
      </c>
      <c r="H293" s="108">
        <v>2432.7950000000001</v>
      </c>
      <c r="I293" s="108">
        <v>849</v>
      </c>
      <c r="J293" s="108">
        <v>330.84500000000003</v>
      </c>
      <c r="K293" s="108">
        <v>117</v>
      </c>
      <c r="Z293" s="6">
        <f t="shared" ref="Z293:Z298" si="96">C293</f>
        <v>283885</v>
      </c>
      <c r="AA293" s="4">
        <f t="shared" si="93"/>
        <v>-60982</v>
      </c>
      <c r="AB293" s="485">
        <f>[9]IMWh!$E173</f>
        <v>312453</v>
      </c>
      <c r="AJ293" s="108">
        <f t="shared" si="68"/>
        <v>281121.36000000004</v>
      </c>
      <c r="AK293" s="108">
        <f t="shared" si="69"/>
        <v>2432.7950000000001</v>
      </c>
      <c r="AL293" s="108">
        <f t="shared" si="70"/>
        <v>330.84500000000003</v>
      </c>
      <c r="BN293" s="4">
        <f t="shared" si="51"/>
        <v>2007</v>
      </c>
      <c r="BO293" s="4">
        <f t="shared" si="52"/>
        <v>1</v>
      </c>
      <c r="BP293" s="108">
        <f>C293+[4]MWh!$AL127</f>
        <v>280478.49173958844</v>
      </c>
      <c r="BQ293" s="108"/>
      <c r="BR293" s="108"/>
      <c r="BS293" s="108"/>
      <c r="BT293" s="175">
        <f t="shared" si="92"/>
        <v>280478.49173958844</v>
      </c>
      <c r="BU293" s="108">
        <f t="shared" si="94"/>
        <v>-56019.500080594793</v>
      </c>
      <c r="BW293" s="529">
        <f>BT293/[9]IMWh!$E173</f>
        <v>0.89766618256054009</v>
      </c>
    </row>
    <row r="294" spans="1:75">
      <c r="A294" s="4">
        <f t="shared" si="88"/>
        <v>2007</v>
      </c>
      <c r="B294" s="4">
        <f t="shared" si="89"/>
        <v>2</v>
      </c>
      <c r="C294" s="4">
        <f>'[2]FPC wSEB'!$F391</f>
        <v>318130</v>
      </c>
      <c r="D294" s="4">
        <f>'[2]FPC wSEB'!$Z391</f>
        <v>2674</v>
      </c>
      <c r="F294" s="4">
        <f>'[2]FPC wSEB'!$G391</f>
        <v>100074</v>
      </c>
      <c r="G294" s="4">
        <f t="shared" si="95"/>
        <v>218056</v>
      </c>
      <c r="H294" s="108">
        <v>2777.26</v>
      </c>
      <c r="I294" s="108">
        <v>815</v>
      </c>
      <c r="J294" s="108">
        <v>375.76900000000001</v>
      </c>
      <c r="K294" s="108">
        <v>117</v>
      </c>
      <c r="Z294" s="6">
        <f t="shared" si="96"/>
        <v>318130</v>
      </c>
      <c r="AA294" s="4">
        <f t="shared" si="93"/>
        <v>2609</v>
      </c>
      <c r="AB294" s="485">
        <f>[9]IMWh!$E174</f>
        <v>307687</v>
      </c>
      <c r="AJ294" s="108">
        <f t="shared" si="68"/>
        <v>314976.97100000002</v>
      </c>
      <c r="AK294" s="108">
        <f t="shared" si="69"/>
        <v>2777.26</v>
      </c>
      <c r="AL294" s="108">
        <f t="shared" si="70"/>
        <v>375.76900000000001</v>
      </c>
      <c r="BN294" s="4">
        <f t="shared" si="51"/>
        <v>2007</v>
      </c>
      <c r="BO294" s="4">
        <f t="shared" si="52"/>
        <v>2</v>
      </c>
      <c r="BP294" s="108">
        <f>C294+[4]MWh!$AL128</f>
        <v>308372.18638865364</v>
      </c>
      <c r="BQ294" s="108"/>
      <c r="BR294" s="108"/>
      <c r="BS294" s="108"/>
      <c r="BT294" s="175">
        <f t="shared" ref="BT294:BT299" si="97">BP294</f>
        <v>308372.18638865364</v>
      </c>
      <c r="BU294" s="108">
        <f t="shared" si="94"/>
        <v>4537.0211072079837</v>
      </c>
      <c r="BW294" s="529">
        <f>BT294/[9]IMWh!$E174</f>
        <v>1.0022268941770489</v>
      </c>
    </row>
    <row r="295" spans="1:75">
      <c r="A295" s="4">
        <f t="shared" si="88"/>
        <v>2007</v>
      </c>
      <c r="B295" s="4">
        <f t="shared" si="89"/>
        <v>3</v>
      </c>
      <c r="C295" s="4">
        <f>'[2]FPC wSEB'!$F392</f>
        <v>292588</v>
      </c>
      <c r="D295" s="4">
        <f>'[2]FPC wSEB'!$Z392</f>
        <v>2656</v>
      </c>
      <c r="F295" s="4">
        <f>'[2]FPC wSEB'!$G392</f>
        <v>76692</v>
      </c>
      <c r="G295" s="4">
        <f t="shared" si="95"/>
        <v>215896</v>
      </c>
      <c r="H295" s="108">
        <v>3142.0329999999999</v>
      </c>
      <c r="I295" s="108">
        <v>801</v>
      </c>
      <c r="J295" s="108">
        <v>375.38299999999998</v>
      </c>
      <c r="K295" s="108">
        <v>117</v>
      </c>
      <c r="Z295" s="6">
        <f t="shared" si="96"/>
        <v>292588</v>
      </c>
      <c r="AA295" s="4">
        <f t="shared" si="93"/>
        <v>-53078</v>
      </c>
      <c r="AB295" s="485">
        <f>[9]IMWh!$E175</f>
        <v>297306</v>
      </c>
      <c r="AJ295" s="108">
        <f t="shared" si="68"/>
        <v>289070.58400000003</v>
      </c>
      <c r="AK295" s="108">
        <f t="shared" si="69"/>
        <v>3142.0329999999999</v>
      </c>
      <c r="AL295" s="108">
        <f t="shared" si="70"/>
        <v>375.38299999999998</v>
      </c>
      <c r="BN295" s="4">
        <f t="shared" si="51"/>
        <v>2007</v>
      </c>
      <c r="BO295" s="4">
        <f t="shared" si="52"/>
        <v>3</v>
      </c>
      <c r="BP295" s="108">
        <f>C295+[4]MWh!$AL129</f>
        <v>301489.62493484607</v>
      </c>
      <c r="BQ295" s="108"/>
      <c r="BR295" s="108"/>
      <c r="BS295" s="108"/>
      <c r="BT295" s="175">
        <f t="shared" si="97"/>
        <v>301489.62493484607</v>
      </c>
      <c r="BU295" s="108">
        <f t="shared" si="94"/>
        <v>-74961.370850589883</v>
      </c>
      <c r="BW295" s="529">
        <f>BT295/[9]IMWh!$E175</f>
        <v>1.0140717810432553</v>
      </c>
    </row>
    <row r="296" spans="1:75">
      <c r="A296" s="4">
        <f t="shared" si="88"/>
        <v>2007</v>
      </c>
      <c r="B296" s="4">
        <f t="shared" si="89"/>
        <v>4</v>
      </c>
      <c r="C296" s="4">
        <f>'[2]FPC wSEB'!$F393</f>
        <v>314270</v>
      </c>
      <c r="D296" s="4">
        <f>'[2]FPC wSEB'!$Z393</f>
        <v>2614</v>
      </c>
      <c r="F296" s="4">
        <f>'[2]FPC wSEB'!$G393</f>
        <v>96238</v>
      </c>
      <c r="G296" s="4">
        <f t="shared" si="95"/>
        <v>218032</v>
      </c>
      <c r="H296" s="108">
        <v>2615.143</v>
      </c>
      <c r="I296" s="108">
        <v>800</v>
      </c>
      <c r="J296" s="108">
        <v>368.02300000000002</v>
      </c>
      <c r="K296" s="108">
        <v>117</v>
      </c>
      <c r="Z296" s="6">
        <f t="shared" si="96"/>
        <v>314270</v>
      </c>
      <c r="AA296" s="4">
        <f t="shared" si="93"/>
        <v>-36310</v>
      </c>
      <c r="AB296" s="485">
        <f>[9]IMWh!$E176</f>
        <v>311319</v>
      </c>
      <c r="AJ296" s="108">
        <f t="shared" si="68"/>
        <v>311286.83400000003</v>
      </c>
      <c r="AK296" s="108">
        <f t="shared" si="69"/>
        <v>2615.143</v>
      </c>
      <c r="AL296" s="108">
        <f t="shared" si="70"/>
        <v>368.02300000000002</v>
      </c>
      <c r="BN296" s="4">
        <f t="shared" si="51"/>
        <v>2007</v>
      </c>
      <c r="BO296" s="4">
        <f t="shared" si="52"/>
        <v>4</v>
      </c>
      <c r="BP296" s="108">
        <f>C296+[4]MWh!$AL130</f>
        <v>330652.29067246342</v>
      </c>
      <c r="BQ296" s="108"/>
      <c r="BR296" s="108"/>
      <c r="BS296" s="108"/>
      <c r="BT296" s="175">
        <f t="shared" si="97"/>
        <v>330652.29067246342</v>
      </c>
      <c r="BU296" s="108">
        <f t="shared" si="94"/>
        <v>-55464.287280137243</v>
      </c>
      <c r="BW296" s="529">
        <f>BT296/[9]IMWh!$E176</f>
        <v>1.0621012230942006</v>
      </c>
    </row>
    <row r="297" spans="1:75">
      <c r="A297" s="4">
        <f t="shared" si="88"/>
        <v>2007</v>
      </c>
      <c r="B297" s="4">
        <f t="shared" si="89"/>
        <v>5</v>
      </c>
      <c r="C297" s="4">
        <f>'[2]FPC wSEB'!$F394</f>
        <v>308801</v>
      </c>
      <c r="D297" s="4">
        <f>'[2]FPC wSEB'!$Z394</f>
        <v>2708</v>
      </c>
      <c r="F297" s="4">
        <f>'[2]FPC wSEB'!$G394</f>
        <v>81764</v>
      </c>
      <c r="G297" s="4">
        <f t="shared" si="95"/>
        <v>227037</v>
      </c>
      <c r="H297" s="108">
        <v>2787.52</v>
      </c>
      <c r="I297" s="108">
        <v>810</v>
      </c>
      <c r="J297" s="108">
        <v>382.49700000000001</v>
      </c>
      <c r="K297" s="108">
        <v>114</v>
      </c>
      <c r="Z297" s="6">
        <f t="shared" si="96"/>
        <v>308801</v>
      </c>
      <c r="AA297" s="4">
        <f t="shared" ref="AA297:AA302" si="98">Z297-Z285</f>
        <v>-59581</v>
      </c>
      <c r="AB297" s="485">
        <f>[9]IMWh!$E177</f>
        <v>305720</v>
      </c>
      <c r="AJ297" s="108">
        <f t="shared" si="68"/>
        <v>305630.98300000001</v>
      </c>
      <c r="AK297" s="108">
        <f t="shared" si="69"/>
        <v>2787.52</v>
      </c>
      <c r="AL297" s="108">
        <f t="shared" si="70"/>
        <v>382.49700000000001</v>
      </c>
      <c r="BN297" s="4">
        <f t="shared" si="51"/>
        <v>2007</v>
      </c>
      <c r="BO297" s="4">
        <f t="shared" si="52"/>
        <v>5</v>
      </c>
      <c r="BP297" s="108">
        <f>C297+[4]MWh!$AL131</f>
        <v>326695.16219448409</v>
      </c>
      <c r="BQ297" s="108"/>
      <c r="BR297" s="108"/>
      <c r="BS297" s="108"/>
      <c r="BT297" s="175">
        <f t="shared" si="97"/>
        <v>326695.16219448409</v>
      </c>
      <c r="BU297" s="108">
        <f t="shared" ref="BU297:BU302" si="99">BT297-BT285</f>
        <v>-46846.368264988472</v>
      </c>
      <c r="BW297" s="529">
        <f>BT297/[9]IMWh!$E177</f>
        <v>1.0686090612144579</v>
      </c>
    </row>
    <row r="298" spans="1:75">
      <c r="A298" s="4">
        <f t="shared" si="88"/>
        <v>2007</v>
      </c>
      <c r="B298" s="4">
        <f t="shared" si="89"/>
        <v>6</v>
      </c>
      <c r="C298" s="4">
        <f>'[2]FPC wSEB'!$F395</f>
        <v>315387</v>
      </c>
      <c r="D298" s="4">
        <f>'[2]FPC wSEB'!$Z395</f>
        <v>2668</v>
      </c>
      <c r="F298" s="4">
        <f>'[2]FPC wSEB'!$G395</f>
        <v>85117</v>
      </c>
      <c r="G298" s="4">
        <f t="shared" si="95"/>
        <v>230270</v>
      </c>
      <c r="H298" s="108">
        <v>2843.4879999999998</v>
      </c>
      <c r="I298" s="108">
        <v>815</v>
      </c>
      <c r="J298" s="108">
        <v>378.98099999999999</v>
      </c>
      <c r="K298" s="108">
        <v>113</v>
      </c>
      <c r="Z298" s="6">
        <f t="shared" si="96"/>
        <v>315387</v>
      </c>
      <c r="AA298" s="4">
        <f t="shared" si="98"/>
        <v>-65157</v>
      </c>
      <c r="AB298" s="485">
        <f>[9]IMWh!$E178</f>
        <v>319600</v>
      </c>
      <c r="AJ298" s="108">
        <f t="shared" si="68"/>
        <v>312164.53099999996</v>
      </c>
      <c r="AK298" s="108">
        <f t="shared" si="69"/>
        <v>2843.4879999999998</v>
      </c>
      <c r="AL298" s="108">
        <f t="shared" si="70"/>
        <v>378.98099999999999</v>
      </c>
      <c r="BN298" s="4">
        <f t="shared" si="51"/>
        <v>2007</v>
      </c>
      <c r="BO298" s="4">
        <f t="shared" si="52"/>
        <v>6</v>
      </c>
      <c r="BP298" s="108">
        <f>C298+[4]MWh!$AL132</f>
        <v>325294.95599468774</v>
      </c>
      <c r="BQ298" s="108"/>
      <c r="BR298" s="108"/>
      <c r="BS298" s="108"/>
      <c r="BT298" s="175">
        <f t="shared" si="97"/>
        <v>325294.95599468774</v>
      </c>
      <c r="BU298" s="108">
        <f t="shared" si="99"/>
        <v>-47206.926303743559</v>
      </c>
      <c r="BW298" s="529">
        <f>BT298/[9]IMWh!$E178</f>
        <v>1.0178190112474585</v>
      </c>
    </row>
    <row r="299" spans="1:75">
      <c r="A299" s="4">
        <f t="shared" si="88"/>
        <v>2007</v>
      </c>
      <c r="B299" s="4">
        <f t="shared" si="89"/>
        <v>7</v>
      </c>
      <c r="C299" s="4">
        <f>'[2]FPC wSEB'!$F396</f>
        <v>332633</v>
      </c>
      <c r="D299" s="4">
        <f>'[2]FPC wSEB'!$Z396</f>
        <v>2588</v>
      </c>
      <c r="F299" s="4">
        <f>'[2]FPC wSEB'!$G396</f>
        <v>89970</v>
      </c>
      <c r="G299" s="4">
        <f t="shared" ref="G299:G304" si="100">C299-F299</f>
        <v>242663</v>
      </c>
      <c r="H299" s="108">
        <v>2872.3290000000002</v>
      </c>
      <c r="I299" s="108">
        <v>761</v>
      </c>
      <c r="J299" s="108">
        <v>356.38</v>
      </c>
      <c r="K299" s="108">
        <v>117</v>
      </c>
      <c r="Z299" s="6">
        <f t="shared" ref="Z299:Z304" si="101">C299</f>
        <v>332633</v>
      </c>
      <c r="AA299" s="4">
        <f t="shared" si="98"/>
        <v>9</v>
      </c>
      <c r="AB299" s="485">
        <f>[9]IMWh!$E179</f>
        <v>335736</v>
      </c>
      <c r="AJ299" s="108">
        <f t="shared" si="68"/>
        <v>329404.29099999997</v>
      </c>
      <c r="AK299" s="108">
        <f t="shared" si="69"/>
        <v>2872.3290000000002</v>
      </c>
      <c r="AL299" s="108">
        <f t="shared" si="70"/>
        <v>356.38</v>
      </c>
      <c r="BN299" s="4">
        <f t="shared" si="51"/>
        <v>2007</v>
      </c>
      <c r="BO299" s="4">
        <f t="shared" si="52"/>
        <v>7</v>
      </c>
      <c r="BP299" s="108">
        <f>C299+[4]MWh!$AL133</f>
        <v>345202.6088919873</v>
      </c>
      <c r="BQ299" s="108"/>
      <c r="BR299" s="108"/>
      <c r="BS299" s="108"/>
      <c r="BT299" s="175">
        <f t="shared" si="97"/>
        <v>345202.6088919873</v>
      </c>
      <c r="BU299" s="108">
        <f t="shared" si="99"/>
        <v>25043.208406748076</v>
      </c>
      <c r="BW299" s="529">
        <f>BT299/[9]IMWh!$E179</f>
        <v>1.0281965856863349</v>
      </c>
    </row>
    <row r="300" spans="1:75">
      <c r="A300" s="4">
        <f t="shared" si="88"/>
        <v>2007</v>
      </c>
      <c r="B300" s="4">
        <f t="shared" si="89"/>
        <v>8</v>
      </c>
      <c r="C300" s="4">
        <f>'[2]FPC wSEB'!$F397</f>
        <v>345601</v>
      </c>
      <c r="D300" s="4">
        <f>'[2]FPC wSEB'!$Z397</f>
        <v>2751</v>
      </c>
      <c r="F300" s="4">
        <f>'[2]FPC wSEB'!$G397</f>
        <v>86311</v>
      </c>
      <c r="G300" s="4">
        <f t="shared" si="100"/>
        <v>259290</v>
      </c>
      <c r="H300" s="108">
        <v>3323.7049999999999</v>
      </c>
      <c r="I300" s="108">
        <v>847</v>
      </c>
      <c r="J300" s="108">
        <v>391.44</v>
      </c>
      <c r="K300" s="108">
        <v>116</v>
      </c>
      <c r="Z300" s="6">
        <f t="shared" si="101"/>
        <v>345601</v>
      </c>
      <c r="AA300" s="4">
        <f t="shared" si="98"/>
        <v>-16375</v>
      </c>
      <c r="AB300" s="485">
        <f>[9]IMWh!$E180</f>
        <v>336535</v>
      </c>
      <c r="AJ300" s="108">
        <f t="shared" si="68"/>
        <v>341885.85499999998</v>
      </c>
      <c r="AK300" s="108">
        <f t="shared" si="69"/>
        <v>3323.7049999999999</v>
      </c>
      <c r="AL300" s="108">
        <f t="shared" si="70"/>
        <v>391.44</v>
      </c>
      <c r="BN300" s="4">
        <f t="shared" si="51"/>
        <v>2007</v>
      </c>
      <c r="BO300" s="4">
        <f t="shared" si="52"/>
        <v>8</v>
      </c>
      <c r="BP300" s="108">
        <f>C300+[4]MWh!$AL134</f>
        <v>323538.20527988987</v>
      </c>
      <c r="BQ300" s="108"/>
      <c r="BR300" s="108"/>
      <c r="BS300" s="108"/>
      <c r="BT300" s="175">
        <f t="shared" ref="BT300:BT305" si="102">BP300</f>
        <v>323538.20527988987</v>
      </c>
      <c r="BU300" s="108">
        <f t="shared" si="99"/>
        <v>-27078.348773353617</v>
      </c>
      <c r="BW300" s="529">
        <f>BT300/[9]IMWh!$E180</f>
        <v>0.96138055560310176</v>
      </c>
    </row>
    <row r="301" spans="1:75">
      <c r="A301" s="4">
        <f t="shared" si="88"/>
        <v>2007</v>
      </c>
      <c r="B301" s="4">
        <f t="shared" si="89"/>
        <v>9</v>
      </c>
      <c r="C301" s="4">
        <f>'[2]FPC wSEB'!$F398</f>
        <v>330292</v>
      </c>
      <c r="D301" s="4">
        <f>'[2]FPC wSEB'!$Z398</f>
        <v>2626</v>
      </c>
      <c r="F301" s="4">
        <f>'[2]FPC wSEB'!$G398</f>
        <v>91939</v>
      </c>
      <c r="G301" s="4">
        <f t="shared" si="100"/>
        <v>238353</v>
      </c>
      <c r="H301" s="108">
        <v>3365.8359999999998</v>
      </c>
      <c r="I301" s="108">
        <v>779</v>
      </c>
      <c r="J301" s="108">
        <v>390.96699999999998</v>
      </c>
      <c r="K301" s="108">
        <v>121</v>
      </c>
      <c r="Z301" s="6">
        <f t="shared" si="101"/>
        <v>330292</v>
      </c>
      <c r="AA301" s="4">
        <f t="shared" si="98"/>
        <v>-42111</v>
      </c>
      <c r="AB301" s="485">
        <f>[9]IMWh!$E181</f>
        <v>332291</v>
      </c>
      <c r="AJ301" s="108">
        <f t="shared" si="68"/>
        <v>326535.19699999999</v>
      </c>
      <c r="AK301" s="108">
        <f t="shared" si="69"/>
        <v>3365.8359999999998</v>
      </c>
      <c r="AL301" s="108">
        <f t="shared" si="70"/>
        <v>390.96699999999998</v>
      </c>
      <c r="BN301" s="4">
        <f t="shared" si="51"/>
        <v>2007</v>
      </c>
      <c r="BO301" s="4">
        <f t="shared" si="52"/>
        <v>9</v>
      </c>
      <c r="BP301" s="108">
        <f>C301+[4]MWh!$AL135</f>
        <v>310056.76562535588</v>
      </c>
      <c r="BQ301" s="108"/>
      <c r="BR301" s="108"/>
      <c r="BS301" s="108"/>
      <c r="BT301" s="175">
        <f t="shared" si="102"/>
        <v>310056.76562535588</v>
      </c>
      <c r="BU301" s="108">
        <f t="shared" si="99"/>
        <v>-51318.881853157887</v>
      </c>
      <c r="BW301" s="529">
        <f>BT301/[9]IMWh!$E181</f>
        <v>0.93308806324984994</v>
      </c>
    </row>
    <row r="302" spans="1:75">
      <c r="A302" s="4">
        <f t="shared" si="88"/>
        <v>2007</v>
      </c>
      <c r="B302" s="4">
        <f t="shared" si="89"/>
        <v>10</v>
      </c>
      <c r="C302" s="4">
        <f>'[2]FPC wSEB'!$F399</f>
        <v>301141</v>
      </c>
      <c r="D302" s="4">
        <f>'[2]FPC wSEB'!$Z399</f>
        <v>2659</v>
      </c>
      <c r="F302" s="4">
        <f>'[2]FPC wSEB'!$G399</f>
        <v>74566</v>
      </c>
      <c r="G302" s="4">
        <f t="shared" si="100"/>
        <v>226575</v>
      </c>
      <c r="H302" s="108">
        <v>2807.982</v>
      </c>
      <c r="I302" s="108">
        <v>798</v>
      </c>
      <c r="J302" s="108">
        <v>398.62099999999998</v>
      </c>
      <c r="K302" s="108">
        <v>116</v>
      </c>
      <c r="Z302" s="6">
        <f t="shared" si="101"/>
        <v>301141</v>
      </c>
      <c r="AA302" s="4">
        <f t="shared" si="98"/>
        <v>-24694</v>
      </c>
      <c r="AB302" s="485">
        <f>[9]IMWh!$E182</f>
        <v>316519</v>
      </c>
      <c r="AJ302" s="108">
        <f t="shared" si="68"/>
        <v>297934.397</v>
      </c>
      <c r="AK302" s="108">
        <f t="shared" si="69"/>
        <v>2807.982</v>
      </c>
      <c r="AL302" s="108">
        <f t="shared" si="70"/>
        <v>398.62099999999998</v>
      </c>
      <c r="BN302" s="4">
        <f t="shared" si="51"/>
        <v>2007</v>
      </c>
      <c r="BO302" s="4">
        <f t="shared" si="52"/>
        <v>10</v>
      </c>
      <c r="BP302" s="108">
        <f>C302+[4]MWh!$AL136</f>
        <v>290738.28409730294</v>
      </c>
      <c r="BQ302" s="108"/>
      <c r="BR302" s="108"/>
      <c r="BS302" s="108"/>
      <c r="BT302" s="175">
        <f t="shared" si="102"/>
        <v>290738.28409730294</v>
      </c>
      <c r="BU302" s="108">
        <f t="shared" si="99"/>
        <v>-23556.00027641101</v>
      </c>
      <c r="BW302" s="529">
        <f>BT302/[9]IMWh!$E182</f>
        <v>0.91854923115927622</v>
      </c>
    </row>
    <row r="303" spans="1:75">
      <c r="A303" s="4">
        <f t="shared" si="88"/>
        <v>2007</v>
      </c>
      <c r="B303" s="4">
        <f t="shared" si="89"/>
        <v>11</v>
      </c>
      <c r="C303" s="4">
        <f>'[2]FPC wSEB'!$F400</f>
        <v>328105</v>
      </c>
      <c r="D303" s="4">
        <f>'[2]FPC wSEB'!$Z400</f>
        <v>2704</v>
      </c>
      <c r="F303" s="4">
        <f>'[2]FPC wSEB'!$G400</f>
        <v>103936</v>
      </c>
      <c r="G303" s="4">
        <f t="shared" si="100"/>
        <v>224169</v>
      </c>
      <c r="H303" s="108">
        <v>2668.6869999999999</v>
      </c>
      <c r="I303" s="108">
        <v>821</v>
      </c>
      <c r="J303" s="108">
        <v>396.77499999999998</v>
      </c>
      <c r="K303" s="108">
        <v>117</v>
      </c>
      <c r="Z303" s="6">
        <f t="shared" si="101"/>
        <v>328105</v>
      </c>
      <c r="AA303" s="4">
        <f t="shared" ref="AA303:AA308" si="103">Z303-Z291</f>
        <v>-4027</v>
      </c>
      <c r="AB303" s="485">
        <f>[9]IMWh!$E183</f>
        <v>317246</v>
      </c>
      <c r="AJ303" s="108">
        <f t="shared" si="68"/>
        <v>325039.538</v>
      </c>
      <c r="AK303" s="108">
        <f t="shared" si="69"/>
        <v>2668.6869999999999</v>
      </c>
      <c r="AL303" s="108">
        <f t="shared" si="70"/>
        <v>396.77499999999998</v>
      </c>
      <c r="BN303" s="4">
        <f t="shared" si="51"/>
        <v>2007</v>
      </c>
      <c r="BO303" s="4">
        <f t="shared" si="52"/>
        <v>11</v>
      </c>
      <c r="BP303" s="108">
        <f>C303+[4]MWh!$AL137</f>
        <v>319159.59908178938</v>
      </c>
      <c r="BQ303" s="108"/>
      <c r="BR303" s="108"/>
      <c r="BS303" s="108"/>
      <c r="BT303" s="175">
        <f t="shared" si="102"/>
        <v>319159.59908178938</v>
      </c>
      <c r="BU303" s="108">
        <f t="shared" ref="BU303:BU308" si="104">BT303-BT291</f>
        <v>5485.2291562912287</v>
      </c>
      <c r="BW303" s="529">
        <f>BT303/[9]IMWh!$E183</f>
        <v>1.0060319092495709</v>
      </c>
    </row>
    <row r="304" spans="1:75" s="89" customFormat="1">
      <c r="A304" s="89">
        <f t="shared" si="88"/>
        <v>2007</v>
      </c>
      <c r="B304" s="89">
        <f t="shared" si="89"/>
        <v>12</v>
      </c>
      <c r="C304" s="89">
        <f>'[2]FPC wSEB'!$F401</f>
        <v>348570</v>
      </c>
      <c r="D304" s="89">
        <f>'[2]FPC wSEB'!$Z401</f>
        <v>2637</v>
      </c>
      <c r="F304" s="89">
        <f>'[2]FPC wSEB'!$G401</f>
        <v>123246</v>
      </c>
      <c r="G304" s="89">
        <f t="shared" si="100"/>
        <v>225324</v>
      </c>
      <c r="H304" s="117">
        <v>2350.9609999999998</v>
      </c>
      <c r="I304" s="117">
        <v>781</v>
      </c>
      <c r="J304" s="117">
        <v>383.82100000000003</v>
      </c>
      <c r="K304" s="117">
        <v>122</v>
      </c>
      <c r="Z304" s="96">
        <f t="shared" si="101"/>
        <v>348570</v>
      </c>
      <c r="AA304" s="89">
        <f t="shared" si="103"/>
        <v>19077</v>
      </c>
      <c r="AB304" s="514">
        <f>[9]IMWh!$E184</f>
        <v>315071</v>
      </c>
      <c r="AJ304" s="117">
        <f t="shared" si="68"/>
        <v>345835.21799999999</v>
      </c>
      <c r="AK304" s="117">
        <f t="shared" si="69"/>
        <v>2350.9609999999998</v>
      </c>
      <c r="AL304" s="117">
        <f t="shared" si="70"/>
        <v>383.82100000000003</v>
      </c>
      <c r="BN304" s="89">
        <f t="shared" si="51"/>
        <v>2007</v>
      </c>
      <c r="BO304" s="89">
        <f t="shared" si="52"/>
        <v>12</v>
      </c>
      <c r="BP304" s="117">
        <f>C304+[4]MWh!$AL138</f>
        <v>370256.39462086337</v>
      </c>
      <c r="BQ304" s="117"/>
      <c r="BR304" s="117"/>
      <c r="BS304" s="117"/>
      <c r="BT304" s="176">
        <f t="shared" si="102"/>
        <v>370256.39462086337</v>
      </c>
      <c r="BU304" s="117">
        <f t="shared" si="104"/>
        <v>39812.484736083075</v>
      </c>
      <c r="BW304" s="536">
        <f>BT304/[9]IMWh!$E184</f>
        <v>1.1751522501939671</v>
      </c>
    </row>
    <row r="305" spans="1:75">
      <c r="A305" s="4">
        <f t="shared" si="88"/>
        <v>2008</v>
      </c>
      <c r="B305" s="4">
        <f t="shared" si="89"/>
        <v>1</v>
      </c>
      <c r="C305" s="4">
        <f>'[2]FPC wSEB'!$F402</f>
        <v>284847</v>
      </c>
      <c r="D305" s="4">
        <f>'[2]FPC wSEB'!$Z402</f>
        <v>2630</v>
      </c>
      <c r="F305" s="4">
        <f>'[2]FPC wSEB'!$G402</f>
        <v>96722</v>
      </c>
      <c r="G305" s="4">
        <f t="shared" ref="G305:G310" si="105">C305-F305</f>
        <v>188125</v>
      </c>
      <c r="H305" s="346">
        <f>[10]Jan!$Q$20/1000</f>
        <v>1535.9649999999999</v>
      </c>
      <c r="I305" s="346">
        <f>[10]Jan!$P$20</f>
        <v>725</v>
      </c>
      <c r="J305" s="346">
        <f>[10]Jan!$Q$27/1000</f>
        <v>340.19900000000001</v>
      </c>
      <c r="K305" s="346">
        <f>[10]Jan!$P$27</f>
        <v>105</v>
      </c>
      <c r="Z305" s="6">
        <f t="shared" ref="Z305:Z310" si="106">C305</f>
        <v>284847</v>
      </c>
      <c r="AA305" s="4">
        <f t="shared" si="103"/>
        <v>962</v>
      </c>
      <c r="AB305" s="485">
        <f>[9]IMWh!$E185</f>
        <v>304978</v>
      </c>
      <c r="AJ305" s="108">
        <f t="shared" si="68"/>
        <v>282970.83599999995</v>
      </c>
      <c r="AK305" s="108">
        <f t="shared" si="69"/>
        <v>1535.9649999999999</v>
      </c>
      <c r="AL305" s="108">
        <f t="shared" si="70"/>
        <v>340.19900000000001</v>
      </c>
      <c r="BN305" s="4">
        <f t="shared" si="51"/>
        <v>2008</v>
      </c>
      <c r="BO305" s="4">
        <f t="shared" si="52"/>
        <v>1</v>
      </c>
      <c r="BP305" s="108">
        <f>C305+[4]MWh!$AL139</f>
        <v>261927.54439270403</v>
      </c>
      <c r="BQ305" s="108"/>
      <c r="BR305" s="108"/>
      <c r="BS305" s="108"/>
      <c r="BT305" s="175">
        <f t="shared" si="102"/>
        <v>261927.54439270403</v>
      </c>
      <c r="BU305" s="108">
        <f t="shared" si="104"/>
        <v>-18550.947346884408</v>
      </c>
      <c r="BW305" s="529">
        <f>BT305/[9]IMWh!$E185</f>
        <v>0.85884078324568991</v>
      </c>
    </row>
    <row r="306" spans="1:75">
      <c r="A306" s="4">
        <f t="shared" si="88"/>
        <v>2008</v>
      </c>
      <c r="B306" s="4">
        <f t="shared" si="89"/>
        <v>2</v>
      </c>
      <c r="C306" s="4">
        <f>'[2]FPC wSEB'!$F403</f>
        <v>271997</v>
      </c>
      <c r="D306" s="4">
        <f>'[2]FPC wSEB'!$Z403</f>
        <v>2624</v>
      </c>
      <c r="F306" s="4">
        <f>'[2]FPC wSEB'!$G403</f>
        <v>66900</v>
      </c>
      <c r="G306" s="4">
        <f t="shared" si="105"/>
        <v>205097</v>
      </c>
      <c r="H306" s="346">
        <v>2135.8209999999999</v>
      </c>
      <c r="I306" s="346">
        <v>773</v>
      </c>
      <c r="J306" s="346">
        <v>400.18700000000001</v>
      </c>
      <c r="K306" s="346">
        <v>111</v>
      </c>
      <c r="Z306" s="6">
        <f t="shared" si="106"/>
        <v>271997</v>
      </c>
      <c r="AA306" s="4">
        <f t="shared" si="103"/>
        <v>-46133</v>
      </c>
      <c r="AB306" s="485">
        <f>[9]IMWh!$E186</f>
        <v>299988</v>
      </c>
      <c r="AJ306" s="108">
        <f t="shared" si="68"/>
        <v>269460.99200000003</v>
      </c>
      <c r="AK306" s="108">
        <f t="shared" si="69"/>
        <v>2135.8209999999999</v>
      </c>
      <c r="AL306" s="108">
        <f t="shared" si="70"/>
        <v>400.18700000000001</v>
      </c>
      <c r="BN306" s="4">
        <f t="shared" si="51"/>
        <v>2008</v>
      </c>
      <c r="BO306" s="4">
        <f t="shared" si="52"/>
        <v>2</v>
      </c>
      <c r="BP306" s="108">
        <f>C306+[4]MWh!$AL140</f>
        <v>263893.34932215954</v>
      </c>
      <c r="BQ306" s="108"/>
      <c r="BR306" s="108"/>
      <c r="BS306" s="108"/>
      <c r="BT306" s="175">
        <f t="shared" ref="BT306:BT311" si="107">BP306</f>
        <v>263893.34932215954</v>
      </c>
      <c r="BU306" s="108">
        <f t="shared" si="104"/>
        <v>-44478.837066494103</v>
      </c>
      <c r="BW306" s="529">
        <f>BT306/[9]IMWh!$E186</f>
        <v>0.87967968492792892</v>
      </c>
    </row>
    <row r="307" spans="1:75">
      <c r="A307" s="4">
        <f t="shared" si="88"/>
        <v>2008</v>
      </c>
      <c r="B307" s="4">
        <f t="shared" si="89"/>
        <v>3</v>
      </c>
      <c r="C307" s="4">
        <f>'[2]FPC wSEB'!$F404</f>
        <v>308541</v>
      </c>
      <c r="D307" s="4">
        <f>'[2]FPC wSEB'!$Z404</f>
        <v>2602</v>
      </c>
      <c r="F307" s="4">
        <f>'[2]FPC wSEB'!$G404</f>
        <v>99450</v>
      </c>
      <c r="G307" s="4">
        <f t="shared" si="105"/>
        <v>209091</v>
      </c>
      <c r="H307" s="346">
        <v>2152.029</v>
      </c>
      <c r="I307" s="346">
        <v>754</v>
      </c>
      <c r="J307" s="346">
        <v>385.88900000000001</v>
      </c>
      <c r="K307" s="346">
        <v>109</v>
      </c>
      <c r="Z307" s="6">
        <f t="shared" si="106"/>
        <v>308541</v>
      </c>
      <c r="AA307" s="4">
        <f t="shared" si="103"/>
        <v>15953</v>
      </c>
      <c r="AB307" s="485">
        <f>[9]IMWh!$E187</f>
        <v>309787</v>
      </c>
      <c r="AJ307" s="108">
        <f t="shared" si="68"/>
        <v>306003.08199999999</v>
      </c>
      <c r="AK307" s="108">
        <f t="shared" si="69"/>
        <v>2152.029</v>
      </c>
      <c r="AL307" s="108">
        <f t="shared" si="70"/>
        <v>385.88900000000001</v>
      </c>
      <c r="BN307" s="4">
        <f t="shared" si="51"/>
        <v>2008</v>
      </c>
      <c r="BO307" s="4">
        <f t="shared" si="52"/>
        <v>3</v>
      </c>
      <c r="BP307" s="108">
        <f>C307+[4]MWh!$AL141</f>
        <v>336795.47832328838</v>
      </c>
      <c r="BQ307" s="108"/>
      <c r="BR307" s="108"/>
      <c r="BS307" s="108"/>
      <c r="BT307" s="175">
        <f t="shared" si="107"/>
        <v>336795.47832328838</v>
      </c>
      <c r="BU307" s="108">
        <f t="shared" si="104"/>
        <v>35305.853388442309</v>
      </c>
      <c r="BW307" s="529">
        <f>BT307/[9]IMWh!$E187</f>
        <v>1.0871840274875588</v>
      </c>
    </row>
    <row r="308" spans="1:75">
      <c r="A308" s="4">
        <f t="shared" si="88"/>
        <v>2008</v>
      </c>
      <c r="B308" s="4">
        <f t="shared" si="89"/>
        <v>4</v>
      </c>
      <c r="C308" s="4">
        <f>'[2]FPC wSEB'!$F405</f>
        <v>311450</v>
      </c>
      <c r="D308" s="4">
        <f>'[2]FPC wSEB'!$Z405</f>
        <v>2591</v>
      </c>
      <c r="F308" s="4">
        <f>'[2]FPC wSEB'!$G405</f>
        <v>100141</v>
      </c>
      <c r="G308" s="4">
        <f t="shared" si="105"/>
        <v>211309</v>
      </c>
      <c r="H308" s="346">
        <v>2292.8040000000001</v>
      </c>
      <c r="I308" s="346">
        <v>758</v>
      </c>
      <c r="J308" s="346">
        <v>384.98399999999998</v>
      </c>
      <c r="K308" s="346">
        <v>110</v>
      </c>
      <c r="Z308" s="6">
        <f t="shared" si="106"/>
        <v>311450</v>
      </c>
      <c r="AA308" s="4">
        <f t="shared" si="103"/>
        <v>-2820</v>
      </c>
      <c r="AB308" s="485">
        <f>[9]IMWh!$E188</f>
        <v>311511</v>
      </c>
      <c r="AJ308" s="108">
        <f t="shared" si="68"/>
        <v>308772.212</v>
      </c>
      <c r="AK308" s="108">
        <f t="shared" si="69"/>
        <v>2292.8040000000001</v>
      </c>
      <c r="AL308" s="108">
        <f t="shared" si="70"/>
        <v>384.98399999999998</v>
      </c>
      <c r="BN308" s="4">
        <f t="shared" si="51"/>
        <v>2008</v>
      </c>
      <c r="BO308" s="4">
        <f t="shared" si="52"/>
        <v>4</v>
      </c>
      <c r="BP308" s="108">
        <f>C308+[4]MWh!$AL142</f>
        <v>317691.60500282596</v>
      </c>
      <c r="BQ308" s="108"/>
      <c r="BR308" s="108"/>
      <c r="BS308" s="108"/>
      <c r="BT308" s="175">
        <f t="shared" si="107"/>
        <v>317691.60500282596</v>
      </c>
      <c r="BU308" s="108">
        <f t="shared" si="104"/>
        <v>-12960.68566963746</v>
      </c>
      <c r="BW308" s="529">
        <f>BT308/[9]IMWh!$E188</f>
        <v>1.0198407279448429</v>
      </c>
    </row>
    <row r="309" spans="1:75">
      <c r="A309" s="4">
        <f t="shared" si="88"/>
        <v>2008</v>
      </c>
      <c r="B309" s="4">
        <f t="shared" si="89"/>
        <v>5</v>
      </c>
      <c r="C309" s="4">
        <f>'[2]FPC wSEB'!$F406</f>
        <v>360809</v>
      </c>
      <c r="D309" s="4">
        <f>'[2]FPC wSEB'!$Z406</f>
        <v>2677</v>
      </c>
      <c r="F309" s="4">
        <f>'[2]FPC wSEB'!$G406</f>
        <v>135813</v>
      </c>
      <c r="G309" s="4">
        <f t="shared" si="105"/>
        <v>224996</v>
      </c>
      <c r="H309" s="346">
        <v>2505.3609999999999</v>
      </c>
      <c r="I309" s="346">
        <v>777</v>
      </c>
      <c r="J309" s="346">
        <v>384.51100000000002</v>
      </c>
      <c r="K309" s="346">
        <v>110</v>
      </c>
      <c r="Z309" s="6">
        <f t="shared" si="106"/>
        <v>360809</v>
      </c>
      <c r="AA309" s="4">
        <f t="shared" ref="AA309:AA314" si="108">Z309-Z297</f>
        <v>52008</v>
      </c>
      <c r="AB309" s="485">
        <f>[9]IMWh!$E189</f>
        <v>325642</v>
      </c>
      <c r="AJ309" s="108">
        <f t="shared" si="68"/>
        <v>357919.12800000003</v>
      </c>
      <c r="AK309" s="108">
        <f t="shared" si="69"/>
        <v>2505.3609999999999</v>
      </c>
      <c r="AL309" s="108">
        <f t="shared" si="70"/>
        <v>384.51100000000002</v>
      </c>
      <c r="BN309" s="4">
        <f t="shared" si="51"/>
        <v>2008</v>
      </c>
      <c r="BO309" s="4">
        <f t="shared" si="52"/>
        <v>5</v>
      </c>
      <c r="BP309" s="108">
        <f>C309+[4]MWh!$AL143</f>
        <v>431273.33372193086</v>
      </c>
      <c r="BQ309" s="108"/>
      <c r="BR309" s="108"/>
      <c r="BS309" s="108"/>
      <c r="BT309" s="175">
        <f t="shared" si="107"/>
        <v>431273.33372193086</v>
      </c>
      <c r="BU309" s="108">
        <f t="shared" ref="BU309:BU314" si="109">BT309-BT297</f>
        <v>104578.17152744677</v>
      </c>
      <c r="BW309" s="529">
        <f>BT309/[9]IMWh!$E189</f>
        <v>1.3243787156507172</v>
      </c>
    </row>
    <row r="310" spans="1:75">
      <c r="A310" s="4">
        <f t="shared" si="88"/>
        <v>2008</v>
      </c>
      <c r="B310" s="4">
        <f t="shared" si="89"/>
        <v>6</v>
      </c>
      <c r="C310" s="4">
        <f>'[2]FPC wSEB'!$F407</f>
        <v>336404</v>
      </c>
      <c r="D310" s="4">
        <f>'[2]FPC wSEB'!$Z407</f>
        <v>2570</v>
      </c>
      <c r="F310" s="4">
        <f>'[2]FPC wSEB'!$G407</f>
        <v>107751</v>
      </c>
      <c r="G310" s="4">
        <f t="shared" si="105"/>
        <v>228653</v>
      </c>
      <c r="H310" s="346">
        <v>2362.2460000000001</v>
      </c>
      <c r="I310" s="346">
        <v>766</v>
      </c>
      <c r="J310" s="346">
        <v>387.72800000000001</v>
      </c>
      <c r="K310" s="346">
        <v>116</v>
      </c>
      <c r="Z310" s="6">
        <f t="shared" si="106"/>
        <v>336404</v>
      </c>
      <c r="AA310" s="4">
        <f t="shared" si="108"/>
        <v>21017</v>
      </c>
      <c r="AB310" s="485">
        <f>[9]IMWh!$E190</f>
        <v>346404</v>
      </c>
      <c r="AJ310" s="108">
        <f t="shared" si="68"/>
        <v>333654.02600000001</v>
      </c>
      <c r="AK310" s="108">
        <f t="shared" si="69"/>
        <v>2362.2460000000001</v>
      </c>
      <c r="AL310" s="108">
        <f t="shared" si="70"/>
        <v>387.72800000000001</v>
      </c>
      <c r="BN310" s="4">
        <f t="shared" si="51"/>
        <v>2008</v>
      </c>
      <c r="BO310" s="4">
        <f t="shared" si="52"/>
        <v>6</v>
      </c>
      <c r="BP310" s="108">
        <f>C310+[4]MWh!$AL144</f>
        <v>277605.35989373259</v>
      </c>
      <c r="BQ310" s="108"/>
      <c r="BR310" s="108"/>
      <c r="BS310" s="108"/>
      <c r="BT310" s="175">
        <f t="shared" si="107"/>
        <v>277605.35989373259</v>
      </c>
      <c r="BU310" s="108">
        <f t="shared" si="109"/>
        <v>-47689.596100955154</v>
      </c>
      <c r="BW310" s="529">
        <f>BT310/[9]IMWh!$E190</f>
        <v>0.80139190047959197</v>
      </c>
    </row>
    <row r="311" spans="1:75">
      <c r="A311" s="4">
        <f t="shared" si="88"/>
        <v>2008</v>
      </c>
      <c r="B311" s="4">
        <f t="shared" si="89"/>
        <v>7</v>
      </c>
      <c r="C311" s="4">
        <f>'[2]FPC wSEB'!$F408</f>
        <v>329327</v>
      </c>
      <c r="D311" s="4">
        <f>'[2]FPC wSEB'!$Z408</f>
        <v>2511</v>
      </c>
      <c r="F311" s="4">
        <f>'[2]FPC wSEB'!$G408</f>
        <v>101792</v>
      </c>
      <c r="G311" s="4">
        <f t="shared" ref="G311:G316" si="110">C311-F311</f>
        <v>227535</v>
      </c>
      <c r="H311" s="346">
        <v>2340.9690000000001</v>
      </c>
      <c r="I311" s="346">
        <v>710</v>
      </c>
      <c r="J311" s="346">
        <v>380.70699999999999</v>
      </c>
      <c r="K311" s="346">
        <v>117</v>
      </c>
      <c r="Z311" s="6">
        <f t="shared" ref="Z311:Z316" si="111">C311</f>
        <v>329327</v>
      </c>
      <c r="AA311" s="4">
        <f t="shared" si="108"/>
        <v>-3306</v>
      </c>
      <c r="AB311" s="485">
        <f>[9]IMWh!$E191</f>
        <v>327436</v>
      </c>
      <c r="AJ311" s="108">
        <f t="shared" si="68"/>
        <v>326605.32400000002</v>
      </c>
      <c r="AK311" s="108">
        <f t="shared" si="69"/>
        <v>2340.9690000000001</v>
      </c>
      <c r="AL311" s="108">
        <f t="shared" si="70"/>
        <v>380.70699999999999</v>
      </c>
      <c r="BN311" s="4">
        <f t="shared" si="51"/>
        <v>2008</v>
      </c>
      <c r="BO311" s="4">
        <f t="shared" si="52"/>
        <v>7</v>
      </c>
      <c r="BP311" s="108">
        <f>C311+[4]MWh!$AL145</f>
        <v>356178.17473586852</v>
      </c>
      <c r="BQ311" s="108"/>
      <c r="BR311" s="108"/>
      <c r="BS311" s="108"/>
      <c r="BT311" s="175">
        <f t="shared" si="107"/>
        <v>356178.17473586852</v>
      </c>
      <c r="BU311" s="108">
        <f t="shared" si="109"/>
        <v>10975.565843881224</v>
      </c>
      <c r="BW311" s="529">
        <f>BT311/[9]IMWh!$E191</f>
        <v>1.087779519465998</v>
      </c>
    </row>
    <row r="312" spans="1:75">
      <c r="A312" s="4">
        <f t="shared" si="88"/>
        <v>2008</v>
      </c>
      <c r="B312" s="4">
        <f t="shared" si="89"/>
        <v>8</v>
      </c>
      <c r="C312" s="4">
        <f>'[2]FPC wSEB'!$F409</f>
        <v>334687</v>
      </c>
      <c r="D312" s="4">
        <f>'[2]FPC wSEB'!$Z409</f>
        <v>2590</v>
      </c>
      <c r="F312" s="4">
        <f>'[2]FPC wSEB'!$G409</f>
        <v>103172</v>
      </c>
      <c r="G312" s="4">
        <f t="shared" si="110"/>
        <v>231515</v>
      </c>
      <c r="H312" s="346">
        <v>2555.0839999999998</v>
      </c>
      <c r="I312" s="346">
        <v>765</v>
      </c>
      <c r="J312" s="346">
        <v>388.25799999999998</v>
      </c>
      <c r="K312" s="346">
        <v>114</v>
      </c>
      <c r="Z312" s="6">
        <f t="shared" si="111"/>
        <v>334687</v>
      </c>
      <c r="AA312" s="4">
        <f t="shared" si="108"/>
        <v>-10914</v>
      </c>
      <c r="AB312" s="485">
        <f>[9]IMWh!$E192</f>
        <v>331795</v>
      </c>
      <c r="AJ312" s="108">
        <f t="shared" si="68"/>
        <v>331743.65800000005</v>
      </c>
      <c r="AK312" s="108">
        <f t="shared" si="69"/>
        <v>2555.0839999999998</v>
      </c>
      <c r="AL312" s="108">
        <f t="shared" si="70"/>
        <v>388.25799999999998</v>
      </c>
      <c r="BN312" s="4">
        <f t="shared" si="51"/>
        <v>2008</v>
      </c>
      <c r="BO312" s="4">
        <f t="shared" si="52"/>
        <v>8</v>
      </c>
      <c r="BP312" s="108">
        <f>C312+[4]MWh!$AL146</f>
        <v>316356.38461707515</v>
      </c>
      <c r="BQ312" s="108"/>
      <c r="BR312" s="108"/>
      <c r="BS312" s="108"/>
      <c r="BT312" s="175">
        <f t="shared" ref="BT312:BT317" si="112">BP312</f>
        <v>316356.38461707515</v>
      </c>
      <c r="BU312" s="108">
        <f t="shared" si="109"/>
        <v>-7181.8206628147163</v>
      </c>
      <c r="BW312" s="529">
        <f>BT312/[9]IMWh!$E192</f>
        <v>0.95346941520238448</v>
      </c>
    </row>
    <row r="313" spans="1:75">
      <c r="A313" s="4">
        <f t="shared" si="88"/>
        <v>2008</v>
      </c>
      <c r="B313" s="4">
        <f t="shared" si="89"/>
        <v>9</v>
      </c>
      <c r="C313" s="4">
        <f>'[2]FPC wSEB'!$F410</f>
        <v>316943</v>
      </c>
      <c r="D313" s="4">
        <f>'[2]FPC wSEB'!$Z410</f>
        <v>2630</v>
      </c>
      <c r="F313" s="4">
        <f>'[2]FPC wSEB'!$G410</f>
        <v>86620</v>
      </c>
      <c r="G313" s="4">
        <f t="shared" si="110"/>
        <v>230323</v>
      </c>
      <c r="H313" s="346">
        <v>2515.4299999999998</v>
      </c>
      <c r="I313" s="346">
        <v>781</v>
      </c>
      <c r="J313" s="346">
        <v>398.19799999999998</v>
      </c>
      <c r="K313" s="346">
        <v>114</v>
      </c>
      <c r="Z313" s="6">
        <f t="shared" si="111"/>
        <v>316943</v>
      </c>
      <c r="AA313" s="4">
        <f t="shared" si="108"/>
        <v>-13349</v>
      </c>
      <c r="AB313" s="485">
        <f>[9]IMWh!$E193</f>
        <v>336591</v>
      </c>
      <c r="AJ313" s="108">
        <f t="shared" si="68"/>
        <v>314029.37200000003</v>
      </c>
      <c r="AK313" s="108">
        <f t="shared" si="69"/>
        <v>2515.4299999999998</v>
      </c>
      <c r="AL313" s="108">
        <f t="shared" si="70"/>
        <v>398.19799999999998</v>
      </c>
      <c r="BN313" s="4">
        <f t="shared" si="51"/>
        <v>2008</v>
      </c>
      <c r="BO313" s="4">
        <f t="shared" si="52"/>
        <v>9</v>
      </c>
      <c r="BP313" s="108">
        <f>C313+[4]MWh!$AL147</f>
        <v>261921.59556357568</v>
      </c>
      <c r="BQ313" s="108"/>
      <c r="BR313" s="108"/>
      <c r="BS313" s="108"/>
      <c r="BT313" s="175">
        <f t="shared" si="112"/>
        <v>261921.59556357568</v>
      </c>
      <c r="BU313" s="108">
        <f t="shared" si="109"/>
        <v>-48135.170061780198</v>
      </c>
      <c r="BW313" s="529">
        <f>BT313/[9]IMWh!$E193</f>
        <v>0.77815983066563188</v>
      </c>
    </row>
    <row r="314" spans="1:75">
      <c r="A314" s="4">
        <f t="shared" si="88"/>
        <v>2008</v>
      </c>
      <c r="B314" s="4">
        <f t="shared" si="89"/>
        <v>10</v>
      </c>
      <c r="C314" s="4">
        <f>'[2]FPC wSEB'!$F411</f>
        <v>335901</v>
      </c>
      <c r="D314" s="4">
        <f>'[2]FPC wSEB'!$Z411</f>
        <v>2509</v>
      </c>
      <c r="F314" s="4">
        <f>'[2]FPC wSEB'!$G411</f>
        <v>128534</v>
      </c>
      <c r="G314" s="4">
        <f t="shared" si="110"/>
        <v>207367</v>
      </c>
      <c r="H314" s="346">
        <v>2122.6129999999998</v>
      </c>
      <c r="I314" s="346">
        <v>723</v>
      </c>
      <c r="J314" s="346">
        <v>376.71899999999999</v>
      </c>
      <c r="K314" s="346">
        <v>109</v>
      </c>
      <c r="Z314" s="6">
        <f t="shared" si="111"/>
        <v>335901</v>
      </c>
      <c r="AA314" s="4">
        <f t="shared" si="108"/>
        <v>34760</v>
      </c>
      <c r="AB314" s="485">
        <f>[9]IMWh!$E194</f>
        <v>314594</v>
      </c>
      <c r="AJ314" s="108">
        <f t="shared" si="68"/>
        <v>333401.66800000001</v>
      </c>
      <c r="AK314" s="108">
        <f t="shared" si="69"/>
        <v>2122.6129999999998</v>
      </c>
      <c r="AL314" s="108">
        <f t="shared" si="70"/>
        <v>376.71899999999999</v>
      </c>
      <c r="BN314" s="4">
        <f t="shared" si="51"/>
        <v>2008</v>
      </c>
      <c r="BO314" s="4">
        <f t="shared" si="52"/>
        <v>10</v>
      </c>
      <c r="BP314" s="108">
        <f>C314+[4]MWh!$AL148</f>
        <v>361620.52758203924</v>
      </c>
      <c r="BQ314" s="108"/>
      <c r="BR314" s="108"/>
      <c r="BS314" s="108"/>
      <c r="BT314" s="175">
        <f t="shared" si="112"/>
        <v>361620.52758203924</v>
      </c>
      <c r="BU314" s="108">
        <f t="shared" si="109"/>
        <v>70882.243484736304</v>
      </c>
      <c r="BW314" s="529">
        <f>BT314/[9]IMWh!$E194</f>
        <v>1.1494832310280527</v>
      </c>
    </row>
    <row r="315" spans="1:75">
      <c r="A315" s="4">
        <f t="shared" si="88"/>
        <v>2008</v>
      </c>
      <c r="B315" s="4">
        <f t="shared" si="89"/>
        <v>11</v>
      </c>
      <c r="C315" s="4">
        <f>'[2]FPC wSEB'!$F412</f>
        <v>381573</v>
      </c>
      <c r="D315" s="4">
        <f>'[2]FPC wSEB'!$Z412</f>
        <v>2641</v>
      </c>
      <c r="F315" s="4">
        <f>'[2]FPC wSEB'!$G412</f>
        <v>145191</v>
      </c>
      <c r="G315" s="4">
        <f t="shared" si="110"/>
        <v>236382</v>
      </c>
      <c r="H315" s="346">
        <v>1983.002</v>
      </c>
      <c r="I315" s="346">
        <v>764</v>
      </c>
      <c r="J315" s="346">
        <v>384.858</v>
      </c>
      <c r="K315" s="346">
        <v>107</v>
      </c>
      <c r="Z315" s="6">
        <f t="shared" si="111"/>
        <v>381573</v>
      </c>
      <c r="AA315" s="4">
        <f t="shared" ref="AA315:AA320" si="113">Z315-Z303</f>
        <v>53468</v>
      </c>
      <c r="AB315" s="485">
        <f>[9]IMWh!$E195</f>
        <v>311155</v>
      </c>
      <c r="AJ315" s="108">
        <f t="shared" si="68"/>
        <v>379205.14</v>
      </c>
      <c r="AK315" s="108">
        <f t="shared" si="69"/>
        <v>1983.002</v>
      </c>
      <c r="AL315" s="108">
        <f t="shared" si="70"/>
        <v>384.858</v>
      </c>
      <c r="BN315" s="4">
        <f t="shared" si="51"/>
        <v>2008</v>
      </c>
      <c r="BO315" s="4">
        <f t="shared" si="52"/>
        <v>11</v>
      </c>
      <c r="BP315" s="108">
        <f>C315+[4]MWh!$AL149</f>
        <v>380827.78798992815</v>
      </c>
      <c r="BQ315" s="108"/>
      <c r="BR315" s="108"/>
      <c r="BS315" s="108"/>
      <c r="BT315" s="175">
        <f t="shared" si="112"/>
        <v>380827.78798992815</v>
      </c>
      <c r="BU315" s="108">
        <f t="shared" ref="BU315:BU320" si="114">BT315-BT303</f>
        <v>61668.188908138778</v>
      </c>
      <c r="BW315" s="529">
        <f>BT315/[9]IMWh!$E195</f>
        <v>1.2239166588675359</v>
      </c>
    </row>
    <row r="316" spans="1:75" s="89" customFormat="1">
      <c r="A316" s="89">
        <f t="shared" si="88"/>
        <v>2008</v>
      </c>
      <c r="B316" s="89">
        <f t="shared" si="89"/>
        <v>12</v>
      </c>
      <c r="C316" s="89">
        <f>'[2]FPC wSEB'!$F413</f>
        <v>213817</v>
      </c>
      <c r="D316" s="89">
        <f>'[2]FPC wSEB'!$Z413</f>
        <v>2470</v>
      </c>
      <c r="F316" s="89">
        <f>'[2]FPC wSEB'!$G413</f>
        <v>61417</v>
      </c>
      <c r="G316" s="89">
        <f t="shared" si="110"/>
        <v>152400</v>
      </c>
      <c r="H316" s="359">
        <v>1687.576</v>
      </c>
      <c r="I316" s="359">
        <v>725</v>
      </c>
      <c r="J316" s="359">
        <v>359.18900000000002</v>
      </c>
      <c r="K316" s="359">
        <v>105</v>
      </c>
      <c r="Z316" s="96">
        <f t="shared" si="111"/>
        <v>213817</v>
      </c>
      <c r="AA316" s="89">
        <f t="shared" si="113"/>
        <v>-134753</v>
      </c>
      <c r="AB316" s="514">
        <f>[9]IMWh!$E196</f>
        <v>281555</v>
      </c>
      <c r="AJ316" s="117">
        <f t="shared" si="68"/>
        <v>211770.23499999999</v>
      </c>
      <c r="AK316" s="117">
        <f t="shared" si="69"/>
        <v>1687.576</v>
      </c>
      <c r="AL316" s="117">
        <f t="shared" si="70"/>
        <v>359.18900000000002</v>
      </c>
      <c r="BN316" s="89">
        <f t="shared" si="51"/>
        <v>2008</v>
      </c>
      <c r="BO316" s="89">
        <f t="shared" si="52"/>
        <v>12</v>
      </c>
      <c r="BP316" s="117">
        <f>C316+[4]MWh!$AL150</f>
        <v>144779.46648345795</v>
      </c>
      <c r="BQ316" s="117"/>
      <c r="BR316" s="117"/>
      <c r="BS316" s="117"/>
      <c r="BT316" s="176">
        <f t="shared" si="112"/>
        <v>144779.46648345795</v>
      </c>
      <c r="BU316" s="117">
        <f t="shared" si="114"/>
        <v>-225476.92813740543</v>
      </c>
      <c r="BW316" s="536">
        <f>BT316/[9]IMWh!$E196</f>
        <v>0.51421380008686735</v>
      </c>
    </row>
    <row r="317" spans="1:75">
      <c r="A317" s="4">
        <f t="shared" si="88"/>
        <v>2009</v>
      </c>
      <c r="B317" s="4">
        <f t="shared" si="89"/>
        <v>1</v>
      </c>
      <c r="C317" s="4">
        <f>'[2]FPC wSEB'!$F414</f>
        <v>271809</v>
      </c>
      <c r="D317" s="4">
        <f>'[2]FPC wSEB'!$Z414</f>
        <v>2515</v>
      </c>
      <c r="F317" s="4">
        <f>'[2]FPC wSEB'!$G414</f>
        <v>99244</v>
      </c>
      <c r="G317" s="4">
        <f t="shared" ref="G317" si="115">C317-F317</f>
        <v>172565</v>
      </c>
      <c r="H317" s="346">
        <v>1536</v>
      </c>
      <c r="I317" s="346">
        <v>725</v>
      </c>
      <c r="J317" s="346">
        <v>340</v>
      </c>
      <c r="K317" s="346">
        <v>105</v>
      </c>
      <c r="Z317" s="6">
        <f t="shared" ref="Z317" si="116">C317</f>
        <v>271809</v>
      </c>
      <c r="AA317" s="4">
        <f t="shared" si="113"/>
        <v>-13038</v>
      </c>
      <c r="AB317" s="485">
        <f>[9]IMWh!$E197</f>
        <v>276236</v>
      </c>
      <c r="AJ317" s="108">
        <f t="shared" si="68"/>
        <v>269933</v>
      </c>
      <c r="AK317" s="108">
        <f t="shared" si="69"/>
        <v>1536</v>
      </c>
      <c r="AL317" s="108">
        <f t="shared" si="70"/>
        <v>340</v>
      </c>
      <c r="BN317" s="4">
        <f t="shared" si="51"/>
        <v>2009</v>
      </c>
      <c r="BO317" s="4">
        <f t="shared" si="52"/>
        <v>1</v>
      </c>
      <c r="BP317" s="108">
        <f>C317+[4]MWh!$AL151</f>
        <v>315112.83763945411</v>
      </c>
      <c r="BQ317" s="108"/>
      <c r="BR317" s="108"/>
      <c r="BS317" s="108"/>
      <c r="BT317" s="175">
        <f t="shared" si="112"/>
        <v>315112.83763945411</v>
      </c>
      <c r="BU317" s="108">
        <f t="shared" si="114"/>
        <v>53185.29324675008</v>
      </c>
      <c r="BW317" s="529">
        <f>BT317/[9]IMWh!$E197</f>
        <v>1.140737766400665</v>
      </c>
    </row>
    <row r="318" spans="1:75">
      <c r="A318" s="4">
        <f t="shared" si="88"/>
        <v>2009</v>
      </c>
      <c r="B318" s="4">
        <f t="shared" si="89"/>
        <v>2</v>
      </c>
      <c r="C318" s="4">
        <f>'[2]FPC wSEB'!$F415</f>
        <v>254392</v>
      </c>
      <c r="D318" s="4">
        <f>'[2]FPC wSEB'!$Z415</f>
        <v>2500</v>
      </c>
      <c r="F318" s="4">
        <f>'[2]FPC wSEB'!$G415</f>
        <v>77376</v>
      </c>
      <c r="G318" s="4">
        <f t="shared" ref="G318" si="117">C318-F318</f>
        <v>177016</v>
      </c>
      <c r="H318" s="346">
        <v>1763</v>
      </c>
      <c r="I318" s="346">
        <v>739</v>
      </c>
      <c r="J318" s="346">
        <v>335</v>
      </c>
      <c r="K318" s="346">
        <v>101</v>
      </c>
      <c r="Z318" s="6">
        <f t="shared" ref="Z318" si="118">C318</f>
        <v>254392</v>
      </c>
      <c r="AA318" s="4">
        <f t="shared" si="113"/>
        <v>-17605</v>
      </c>
      <c r="AB318" s="485">
        <f>[9]IMWh!$E198</f>
        <v>249657</v>
      </c>
      <c r="AJ318" s="108">
        <f t="shared" si="68"/>
        <v>252294</v>
      </c>
      <c r="AK318" s="108">
        <f t="shared" si="69"/>
        <v>1763</v>
      </c>
      <c r="AL318" s="108">
        <f t="shared" si="70"/>
        <v>335</v>
      </c>
      <c r="BN318" s="4">
        <f t="shared" si="51"/>
        <v>2009</v>
      </c>
      <c r="BO318" s="4">
        <f t="shared" si="52"/>
        <v>2</v>
      </c>
      <c r="BP318" s="108">
        <f>C318+[4]MWh!$AL152</f>
        <v>211590.89530417172</v>
      </c>
      <c r="BQ318" s="108"/>
      <c r="BR318" s="108"/>
      <c r="BS318" s="108"/>
      <c r="BT318" s="175">
        <f t="shared" ref="BT318" si="119">BP318</f>
        <v>211590.89530417172</v>
      </c>
      <c r="BU318" s="108">
        <f t="shared" si="114"/>
        <v>-52302.454017987824</v>
      </c>
      <c r="BW318" s="529">
        <f>BT318/[9]IMWh!$E198</f>
        <v>0.84752638742022746</v>
      </c>
    </row>
    <row r="319" spans="1:75">
      <c r="A319" s="4">
        <f t="shared" si="88"/>
        <v>2009</v>
      </c>
      <c r="B319" s="4">
        <f t="shared" si="89"/>
        <v>3</v>
      </c>
      <c r="C319" s="4">
        <f>'[2]FPC wSEB'!$F416</f>
        <v>264504</v>
      </c>
      <c r="D319" s="4">
        <f>'[2]FPC wSEB'!$Z416</f>
        <v>2458</v>
      </c>
      <c r="F319" s="4">
        <f>'[2]FPC wSEB'!$G416</f>
        <v>91474</v>
      </c>
      <c r="G319" s="4">
        <f t="shared" ref="G319" si="120">C319-F319</f>
        <v>173030</v>
      </c>
      <c r="H319" s="346">
        <v>1805</v>
      </c>
      <c r="I319" s="346">
        <v>724</v>
      </c>
      <c r="J319" s="346">
        <v>340</v>
      </c>
      <c r="K319" s="346">
        <v>99</v>
      </c>
      <c r="Z319" s="6">
        <f t="shared" ref="Z319" si="121">C319</f>
        <v>264504</v>
      </c>
      <c r="AA319" s="4">
        <f t="shared" si="113"/>
        <v>-44037</v>
      </c>
      <c r="AB319" s="485">
        <f>[9]IMWh!$E199</f>
        <v>264552</v>
      </c>
      <c r="AJ319" s="108">
        <f t="shared" si="68"/>
        <v>262359</v>
      </c>
      <c r="AK319" s="108">
        <f t="shared" si="69"/>
        <v>1805</v>
      </c>
      <c r="AL319" s="108">
        <f t="shared" si="70"/>
        <v>340</v>
      </c>
      <c r="BN319" s="4">
        <f t="shared" si="51"/>
        <v>2009</v>
      </c>
      <c r="BO319" s="4">
        <f t="shared" si="52"/>
        <v>3</v>
      </c>
      <c r="BP319" s="108">
        <f>C319+[4]MWh!$AL153</f>
        <v>295155.74255346716</v>
      </c>
      <c r="BQ319" s="108"/>
      <c r="BR319" s="108"/>
      <c r="BS319" s="108"/>
      <c r="BT319" s="175">
        <f t="shared" ref="BT319" si="122">BP319</f>
        <v>295155.74255346716</v>
      </c>
      <c r="BU319" s="108">
        <f t="shared" si="114"/>
        <v>-41639.735769821214</v>
      </c>
      <c r="BW319" s="529">
        <f>BT319/[9]IMWh!$E199</f>
        <v>1.1156813879822007</v>
      </c>
    </row>
    <row r="320" spans="1:75">
      <c r="A320" s="4">
        <f t="shared" si="88"/>
        <v>2009</v>
      </c>
      <c r="B320" s="4">
        <f t="shared" si="89"/>
        <v>4</v>
      </c>
      <c r="C320" s="4">
        <f>'[2]FPC wSEB'!$F417</f>
        <v>279133</v>
      </c>
      <c r="D320" s="4">
        <f>'[2]FPC wSEB'!$Z417</f>
        <v>2534</v>
      </c>
      <c r="F320" s="4">
        <f>'[2]FPC wSEB'!$G417</f>
        <v>95268</v>
      </c>
      <c r="G320" s="4">
        <f t="shared" ref="G320" si="123">C320-F320</f>
        <v>183865</v>
      </c>
      <c r="H320" s="346">
        <v>1794</v>
      </c>
      <c r="I320" s="346">
        <v>741</v>
      </c>
      <c r="J320" s="346">
        <v>358</v>
      </c>
      <c r="K320" s="346">
        <v>101</v>
      </c>
      <c r="Z320" s="6">
        <f t="shared" ref="Z320" si="124">C320</f>
        <v>279133</v>
      </c>
      <c r="AA320" s="4">
        <f t="shared" si="113"/>
        <v>-32317</v>
      </c>
      <c r="AB320" s="485">
        <f>[9]IMWh!$E200</f>
        <v>273999</v>
      </c>
      <c r="AJ320" s="108">
        <f t="shared" si="68"/>
        <v>276981</v>
      </c>
      <c r="AK320" s="108">
        <f t="shared" si="69"/>
        <v>1794</v>
      </c>
      <c r="AL320" s="108">
        <f t="shared" si="70"/>
        <v>358</v>
      </c>
      <c r="BN320" s="4">
        <f t="shared" si="51"/>
        <v>2009</v>
      </c>
      <c r="BO320" s="4">
        <f t="shared" si="52"/>
        <v>4</v>
      </c>
      <c r="BP320" s="108">
        <f>C320+[4]MWh!$AL154</f>
        <v>291315.25349498645</v>
      </c>
      <c r="BQ320" s="108"/>
      <c r="BR320" s="108"/>
      <c r="BS320" s="108"/>
      <c r="BT320" s="175">
        <f t="shared" ref="BT320" si="125">BP320</f>
        <v>291315.25349498645</v>
      </c>
      <c r="BU320" s="108">
        <f t="shared" si="114"/>
        <v>-26376.351507839514</v>
      </c>
      <c r="BW320" s="529">
        <f>BT320/[9]IMWh!$E200</f>
        <v>1.0631982361066517</v>
      </c>
    </row>
    <row r="321" spans="1:75">
      <c r="A321" s="4">
        <f t="shared" si="88"/>
        <v>2009</v>
      </c>
      <c r="B321" s="4">
        <f t="shared" si="89"/>
        <v>5</v>
      </c>
      <c r="C321" s="4">
        <f>'[2]FPC wSEB'!$F418</f>
        <v>271886</v>
      </c>
      <c r="D321" s="4">
        <f>'[2]FPC wSEB'!$Z418</f>
        <v>2485</v>
      </c>
      <c r="F321" s="4">
        <f>'[2]FPC wSEB'!$G418</f>
        <v>88208</v>
      </c>
      <c r="G321" s="4">
        <f t="shared" ref="G321" si="126">C321-F321</f>
        <v>183678</v>
      </c>
      <c r="H321" s="346">
        <v>1790</v>
      </c>
      <c r="I321" s="346">
        <v>732</v>
      </c>
      <c r="J321" s="346">
        <v>350</v>
      </c>
      <c r="K321" s="346">
        <v>103</v>
      </c>
      <c r="Z321" s="6">
        <f t="shared" ref="Z321" si="127">C321</f>
        <v>271886</v>
      </c>
      <c r="AA321" s="4">
        <f t="shared" ref="AA321" si="128">Z321-Z309</f>
        <v>-88923</v>
      </c>
      <c r="AB321" s="485">
        <f>[9]IMWh!$E201</f>
        <v>274335</v>
      </c>
      <c r="AJ321" s="108">
        <f t="shared" si="68"/>
        <v>269746</v>
      </c>
      <c r="AK321" s="108">
        <f t="shared" si="69"/>
        <v>1790</v>
      </c>
      <c r="AL321" s="108">
        <f t="shared" si="70"/>
        <v>350</v>
      </c>
      <c r="BN321" s="4">
        <f t="shared" si="51"/>
        <v>2009</v>
      </c>
      <c r="BO321" s="4">
        <f t="shared" si="52"/>
        <v>5</v>
      </c>
      <c r="BP321" s="108">
        <f>C321+[4]MWh!$AL155</f>
        <v>286700.20817956905</v>
      </c>
      <c r="BQ321" s="108"/>
      <c r="BR321" s="108"/>
      <c r="BS321" s="108"/>
      <c r="BT321" s="175">
        <f t="shared" ref="BT321" si="129">BP321</f>
        <v>286700.20817956905</v>
      </c>
      <c r="BU321" s="108">
        <f t="shared" ref="BU321" si="130">BT321-BT309</f>
        <v>-144573.12554236181</v>
      </c>
      <c r="BW321" s="529">
        <f>BT321/[9]IMWh!$E201</f>
        <v>1.0450733890300874</v>
      </c>
    </row>
    <row r="322" spans="1:75">
      <c r="A322" s="4">
        <f t="shared" si="88"/>
        <v>2009</v>
      </c>
      <c r="B322" s="4">
        <f t="shared" si="89"/>
        <v>6</v>
      </c>
      <c r="C322" s="4">
        <f>'[2]FPC wSEB'!$F419</f>
        <v>280646</v>
      </c>
      <c r="D322" s="4">
        <f>'[2]FPC wSEB'!$Z419</f>
        <v>2465</v>
      </c>
      <c r="F322" s="4">
        <f>'[2]FPC wSEB'!$G419</f>
        <v>90738</v>
      </c>
      <c r="G322" s="4">
        <f t="shared" ref="G322" si="131">C322-F322</f>
        <v>189908</v>
      </c>
      <c r="H322" s="346">
        <v>2039</v>
      </c>
      <c r="I322" s="346">
        <v>737</v>
      </c>
      <c r="J322" s="346">
        <v>351</v>
      </c>
      <c r="K322" s="346">
        <v>101</v>
      </c>
      <c r="Z322" s="6">
        <f t="shared" ref="Z322" si="132">C322</f>
        <v>280646</v>
      </c>
      <c r="AA322" s="4">
        <f t="shared" ref="AA322" si="133">Z322-Z310</f>
        <v>-55758</v>
      </c>
      <c r="AB322" s="485">
        <f>[9]IMWh!$E202</f>
        <v>288209</v>
      </c>
      <c r="AJ322" s="108">
        <f t="shared" si="68"/>
        <v>278256</v>
      </c>
      <c r="AK322" s="108">
        <f t="shared" si="69"/>
        <v>2039</v>
      </c>
      <c r="AL322" s="108">
        <f t="shared" si="70"/>
        <v>351</v>
      </c>
      <c r="BN322" s="4">
        <f t="shared" si="51"/>
        <v>2009</v>
      </c>
      <c r="BO322" s="4">
        <f t="shared" si="52"/>
        <v>6</v>
      </c>
      <c r="BP322" s="108">
        <f>C322+[4]MWh!$AL156</f>
        <v>284378.19944629201</v>
      </c>
      <c r="BQ322" s="108"/>
      <c r="BR322" s="108"/>
      <c r="BS322" s="108"/>
      <c r="BT322" s="175">
        <f t="shared" ref="BT322" si="134">BP322</f>
        <v>284378.19944629201</v>
      </c>
      <c r="BU322" s="108">
        <f t="shared" ref="BU322" si="135">BT322-BT310</f>
        <v>6772.8395525594242</v>
      </c>
      <c r="BW322" s="529">
        <f>BT322/[9]IMWh!$E202</f>
        <v>0.98670825493406522</v>
      </c>
    </row>
    <row r="323" spans="1:75">
      <c r="A323" s="4">
        <f t="shared" si="88"/>
        <v>2009</v>
      </c>
      <c r="B323" s="4">
        <f t="shared" si="89"/>
        <v>7</v>
      </c>
      <c r="C323" s="4">
        <f>'[2]FPC wSEB'!$F420</f>
        <v>292424</v>
      </c>
      <c r="D323" s="4">
        <f>'[2]FPC wSEB'!$Z420</f>
        <v>2524</v>
      </c>
      <c r="F323" s="4">
        <f>'[2]FPC wSEB'!$G420</f>
        <v>93511</v>
      </c>
      <c r="G323" s="4">
        <f t="shared" ref="G323" si="136">C323-F323</f>
        <v>198913</v>
      </c>
      <c r="H323" s="434">
        <v>1974</v>
      </c>
      <c r="I323" s="434">
        <v>733</v>
      </c>
      <c r="J323" s="434">
        <v>358</v>
      </c>
      <c r="K323" s="434">
        <v>103</v>
      </c>
      <c r="Z323" s="6">
        <f t="shared" ref="Z323" si="137">C323</f>
        <v>292424</v>
      </c>
      <c r="AA323" s="4">
        <f t="shared" ref="AA323" si="138">Z323-Z311</f>
        <v>-36903</v>
      </c>
      <c r="AB323" s="485">
        <f>[9]IMWh!$E203</f>
        <v>285092</v>
      </c>
      <c r="AJ323" s="108">
        <f t="shared" si="68"/>
        <v>290092</v>
      </c>
      <c r="AK323" s="108">
        <f t="shared" si="69"/>
        <v>1974</v>
      </c>
      <c r="AL323" s="108">
        <f t="shared" si="70"/>
        <v>358</v>
      </c>
      <c r="BN323" s="4">
        <f t="shared" si="51"/>
        <v>2009</v>
      </c>
      <c r="BO323" s="4">
        <f t="shared" si="52"/>
        <v>7</v>
      </c>
      <c r="BP323" s="108">
        <f>C323+[4]MWh!$AL157</f>
        <v>287485.57379097847</v>
      </c>
      <c r="BQ323" s="108"/>
      <c r="BR323" s="108"/>
      <c r="BS323" s="108"/>
      <c r="BT323" s="175">
        <f t="shared" ref="BT323" si="139">BP323</f>
        <v>287485.57379097847</v>
      </c>
      <c r="BU323" s="108">
        <f t="shared" ref="BU323" si="140">BT323-BT311</f>
        <v>-68692.600944890059</v>
      </c>
      <c r="BW323" s="529">
        <f>BT323/[9]IMWh!$E203</f>
        <v>1.0083957943084283</v>
      </c>
    </row>
    <row r="324" spans="1:75">
      <c r="A324" s="4">
        <f t="shared" si="88"/>
        <v>2009</v>
      </c>
      <c r="B324" s="4">
        <f t="shared" si="89"/>
        <v>8</v>
      </c>
      <c r="C324" s="4">
        <f>'[2]FPC wSEB'!$F421</f>
        <v>264843</v>
      </c>
      <c r="D324" s="4">
        <f>'[2]FPC wSEB'!$Z421</f>
        <v>2462</v>
      </c>
      <c r="F324" s="4">
        <f>'[2]FPC wSEB'!$G421</f>
        <v>84794</v>
      </c>
      <c r="G324" s="4">
        <f t="shared" ref="G324" si="141">C324-F324</f>
        <v>180049</v>
      </c>
      <c r="H324" s="434">
        <v>1986</v>
      </c>
      <c r="I324" s="434">
        <v>717</v>
      </c>
      <c r="J324" s="434">
        <v>346</v>
      </c>
      <c r="K324" s="434">
        <v>101</v>
      </c>
      <c r="Z324" s="6">
        <f t="shared" ref="Z324" si="142">C324</f>
        <v>264843</v>
      </c>
      <c r="AA324" s="4">
        <f t="shared" ref="AA324" si="143">Z324-Z312</f>
        <v>-69844</v>
      </c>
      <c r="AB324" s="485">
        <f>[9]IMWh!$E204</f>
        <v>290414</v>
      </c>
      <c r="AJ324" s="108">
        <f t="shared" si="68"/>
        <v>262511</v>
      </c>
      <c r="AK324" s="108">
        <f t="shared" si="69"/>
        <v>1986</v>
      </c>
      <c r="AL324" s="108">
        <f t="shared" si="70"/>
        <v>346</v>
      </c>
      <c r="BN324" s="4">
        <f t="shared" si="51"/>
        <v>2009</v>
      </c>
      <c r="BO324" s="4">
        <f t="shared" si="52"/>
        <v>8</v>
      </c>
      <c r="BP324" s="108">
        <f>C324+[4]MWh!$AL158</f>
        <v>275771.62290670816</v>
      </c>
      <c r="BQ324" s="108"/>
      <c r="BR324" s="108"/>
      <c r="BS324" s="108"/>
      <c r="BT324" s="175">
        <f t="shared" ref="BT324" si="144">BP324</f>
        <v>275771.62290670816</v>
      </c>
      <c r="BU324" s="108">
        <f t="shared" ref="BU324" si="145">BT324-BT312</f>
        <v>-40584.761710366991</v>
      </c>
      <c r="BW324" s="529">
        <f>BT324/[9]IMWh!$E204</f>
        <v>0.94958102194352945</v>
      </c>
    </row>
    <row r="325" spans="1:75">
      <c r="A325" s="4">
        <f t="shared" si="88"/>
        <v>2009</v>
      </c>
      <c r="B325" s="4">
        <f t="shared" si="89"/>
        <v>9</v>
      </c>
      <c r="C325" s="4">
        <f>'[2]FPC wSEB'!$F422</f>
        <v>306550</v>
      </c>
      <c r="D325" s="4">
        <f>'[2]FPC wSEB'!$Z422</f>
        <v>2454</v>
      </c>
      <c r="F325" s="4">
        <f>'[2]FPC wSEB'!$G422</f>
        <v>111504</v>
      </c>
      <c r="G325" s="4">
        <f t="shared" ref="G325" si="146">C325-F325</f>
        <v>195046</v>
      </c>
      <c r="H325" s="434">
        <v>1954</v>
      </c>
      <c r="I325" s="434">
        <v>724</v>
      </c>
      <c r="J325" s="434">
        <v>352</v>
      </c>
      <c r="K325" s="434">
        <v>104</v>
      </c>
      <c r="Z325" s="6">
        <f t="shared" ref="Z325" si="147">C325</f>
        <v>306550</v>
      </c>
      <c r="AA325" s="4">
        <f t="shared" ref="AA325" si="148">Z325-Z313</f>
        <v>-10393</v>
      </c>
      <c r="AB325" s="485">
        <f>[9]IMWh!$E205</f>
        <v>290528</v>
      </c>
      <c r="AJ325" s="108">
        <f t="shared" si="68"/>
        <v>304244</v>
      </c>
      <c r="AK325" s="108">
        <f t="shared" si="69"/>
        <v>1954</v>
      </c>
      <c r="AL325" s="108">
        <f t="shared" si="70"/>
        <v>352</v>
      </c>
      <c r="BN325" s="4">
        <f t="shared" si="51"/>
        <v>2009</v>
      </c>
      <c r="BO325" s="4">
        <f t="shared" si="52"/>
        <v>9</v>
      </c>
      <c r="BP325" s="108">
        <f>C325+[4]MWh!$AL159</f>
        <v>307339.76884255733</v>
      </c>
      <c r="BQ325" s="108"/>
      <c r="BR325" s="108"/>
      <c r="BS325" s="108"/>
      <c r="BT325" s="175">
        <f t="shared" ref="BT325" si="149">BP325</f>
        <v>307339.76884255733</v>
      </c>
      <c r="BU325" s="108">
        <f t="shared" ref="BU325" si="150">BT325-BT313</f>
        <v>45418.173278981645</v>
      </c>
      <c r="BW325" s="529">
        <f>BT325/[9]IMWh!$E205</f>
        <v>1.0578662601971491</v>
      </c>
    </row>
    <row r="326" spans="1:75">
      <c r="A326" s="4">
        <f t="shared" si="88"/>
        <v>2009</v>
      </c>
      <c r="B326" s="4">
        <f t="shared" si="89"/>
        <v>10</v>
      </c>
      <c r="C326" s="4">
        <f>'[2]FPC wSEB'!$F423</f>
        <v>226759</v>
      </c>
      <c r="D326" s="4">
        <f>'[2]FPC wSEB'!$Z423</f>
        <v>2456</v>
      </c>
      <c r="F326" s="4">
        <f>'[2]FPC wSEB'!$G423</f>
        <v>47448</v>
      </c>
      <c r="G326" s="4">
        <f t="shared" ref="G326" si="151">C326-F326</f>
        <v>179311</v>
      </c>
      <c r="H326" s="434">
        <v>1946</v>
      </c>
      <c r="I326" s="434">
        <v>713</v>
      </c>
      <c r="J326" s="434">
        <v>349</v>
      </c>
      <c r="K326" s="434">
        <v>102</v>
      </c>
      <c r="Z326" s="6">
        <f t="shared" ref="Z326" si="152">C326</f>
        <v>226759</v>
      </c>
      <c r="AA326" s="4">
        <f t="shared" ref="AA326" si="153">Z326-Z314</f>
        <v>-109142</v>
      </c>
      <c r="AB326" s="485">
        <f>[9]IMWh!$E206</f>
        <v>235858</v>
      </c>
      <c r="AJ326" s="108">
        <f t="shared" si="68"/>
        <v>224464</v>
      </c>
      <c r="AK326" s="108">
        <f t="shared" si="69"/>
        <v>1946</v>
      </c>
      <c r="AL326" s="108">
        <f t="shared" si="70"/>
        <v>349</v>
      </c>
      <c r="BN326" s="4">
        <f t="shared" si="51"/>
        <v>2009</v>
      </c>
      <c r="BO326" s="4">
        <f t="shared" si="52"/>
        <v>10</v>
      </c>
      <c r="BP326" s="108">
        <f>C326+[4]MWh!$AL160</f>
        <v>180197.92169416847</v>
      </c>
      <c r="BQ326" s="108"/>
      <c r="BR326" s="108"/>
      <c r="BS326" s="108"/>
      <c r="BT326" s="175">
        <f t="shared" ref="BT326" si="154">BP326</f>
        <v>180197.92169416847</v>
      </c>
      <c r="BU326" s="108">
        <f t="shared" ref="BU326" si="155">BT326-BT314</f>
        <v>-181422.60588787077</v>
      </c>
      <c r="BW326" s="529">
        <f>BT326/[9]IMWh!$E206</f>
        <v>0.76401021671585645</v>
      </c>
    </row>
    <row r="327" spans="1:75">
      <c r="A327" s="4">
        <f t="shared" si="88"/>
        <v>2009</v>
      </c>
      <c r="B327" s="4">
        <f t="shared" si="89"/>
        <v>11</v>
      </c>
      <c r="C327" s="4">
        <f>'[2]FPC wSEB'!$F424</f>
        <v>324306</v>
      </c>
      <c r="D327" s="4">
        <f>'[2]FPC wSEB'!$Z424</f>
        <v>2577</v>
      </c>
      <c r="F327" s="4">
        <f>'[2]FPC wSEB'!$G424</f>
        <v>122867</v>
      </c>
      <c r="G327" s="4">
        <f t="shared" ref="G327" si="156">C327-F327</f>
        <v>201439</v>
      </c>
      <c r="H327" s="434">
        <v>1870</v>
      </c>
      <c r="I327" s="434">
        <v>774</v>
      </c>
      <c r="J327" s="434">
        <v>361</v>
      </c>
      <c r="K327" s="434">
        <v>102</v>
      </c>
      <c r="Z327" s="6">
        <f t="shared" ref="Z327" si="157">C327</f>
        <v>324306</v>
      </c>
      <c r="AA327" s="4">
        <f t="shared" ref="AA327" si="158">Z327-Z315</f>
        <v>-57267</v>
      </c>
      <c r="AB327" s="485">
        <f>[9]IMWh!$E207</f>
        <v>298839</v>
      </c>
      <c r="AJ327" s="108">
        <f t="shared" si="68"/>
        <v>322075</v>
      </c>
      <c r="AK327" s="108">
        <f t="shared" si="69"/>
        <v>1870</v>
      </c>
      <c r="AL327" s="108">
        <f t="shared" si="70"/>
        <v>361</v>
      </c>
      <c r="BN327" s="4">
        <f t="shared" si="51"/>
        <v>2009</v>
      </c>
      <c r="BO327" s="4">
        <f t="shared" si="52"/>
        <v>11</v>
      </c>
      <c r="BP327" s="108">
        <f>C327+[4]MWh!$AL161</f>
        <v>339095.78250562039</v>
      </c>
      <c r="BQ327" s="108"/>
      <c r="BR327" s="108"/>
      <c r="BS327" s="108"/>
      <c r="BT327" s="175">
        <f t="shared" ref="BT327" si="159">BP327</f>
        <v>339095.78250562039</v>
      </c>
      <c r="BU327" s="108">
        <f t="shared" ref="BU327" si="160">BT327-BT315</f>
        <v>-41732.005484307767</v>
      </c>
      <c r="BW327" s="529">
        <f>BT327/[9]IMWh!$E207</f>
        <v>1.134710605060318</v>
      </c>
    </row>
    <row r="328" spans="1:75" s="89" customFormat="1">
      <c r="A328" s="89">
        <f t="shared" si="88"/>
        <v>2009</v>
      </c>
      <c r="B328" s="89">
        <f t="shared" si="89"/>
        <v>12</v>
      </c>
      <c r="C328" s="89">
        <f>'[2]FPC wSEB'!$F425</f>
        <v>248136</v>
      </c>
      <c r="D328" s="89">
        <f>'[2]FPC wSEB'!$Z425</f>
        <v>2409</v>
      </c>
      <c r="F328" s="89">
        <f>'[2]FPC wSEB'!$G425</f>
        <v>80035</v>
      </c>
      <c r="G328" s="89">
        <f t="shared" ref="G328" si="161">C328-F328</f>
        <v>168101</v>
      </c>
      <c r="H328" s="435">
        <v>1612</v>
      </c>
      <c r="I328" s="435">
        <v>721</v>
      </c>
      <c r="J328" s="435">
        <v>334</v>
      </c>
      <c r="K328" s="435">
        <v>104</v>
      </c>
      <c r="Z328" s="96">
        <f t="shared" ref="Z328" si="162">C328</f>
        <v>248136</v>
      </c>
      <c r="AA328" s="89">
        <f t="shared" ref="AA328" si="163">Z328-Z316</f>
        <v>34319</v>
      </c>
      <c r="AB328" s="514">
        <f>[9]IMWh!$E208</f>
        <v>259114</v>
      </c>
      <c r="AJ328" s="117">
        <f t="shared" si="68"/>
        <v>246190</v>
      </c>
      <c r="AK328" s="117">
        <f t="shared" si="69"/>
        <v>1612</v>
      </c>
      <c r="AL328" s="117">
        <f t="shared" si="70"/>
        <v>334</v>
      </c>
      <c r="BN328" s="89">
        <f t="shared" si="51"/>
        <v>2009</v>
      </c>
      <c r="BO328" s="89">
        <f t="shared" si="52"/>
        <v>12</v>
      </c>
      <c r="BP328" s="117">
        <f>C328+[4]MWh!$AL162</f>
        <v>247914.25048100547</v>
      </c>
      <c r="BQ328" s="117"/>
      <c r="BR328" s="117"/>
      <c r="BS328" s="117"/>
      <c r="BT328" s="176">
        <f t="shared" ref="BT328" si="164">BP328</f>
        <v>247914.25048100547</v>
      </c>
      <c r="BU328" s="117">
        <f t="shared" ref="BU328" si="165">BT328-BT316</f>
        <v>103134.78399754752</v>
      </c>
      <c r="BW328" s="536">
        <f>BT328/[9]IMWh!$E208</f>
        <v>0.95677674877083241</v>
      </c>
    </row>
    <row r="329" spans="1:75">
      <c r="A329" s="4">
        <f t="shared" si="88"/>
        <v>2010</v>
      </c>
      <c r="B329" s="4">
        <f t="shared" si="89"/>
        <v>1</v>
      </c>
      <c r="C329" s="4">
        <f>'[2]FPC wSEB'!$F426</f>
        <v>246057</v>
      </c>
      <c r="D329" s="4">
        <f>'[2]FPC wSEB'!$Z426</f>
        <v>2450</v>
      </c>
      <c r="F329" s="4">
        <f>'[2]FPC wSEB'!$G426</f>
        <v>80009</v>
      </c>
      <c r="G329" s="4">
        <f t="shared" ref="G329" si="166">C329-F329</f>
        <v>166048</v>
      </c>
      <c r="H329" s="434">
        <v>1583</v>
      </c>
      <c r="I329" s="434">
        <v>729</v>
      </c>
      <c r="J329" s="434">
        <v>337</v>
      </c>
      <c r="K329" s="434">
        <v>104</v>
      </c>
      <c r="Z329" s="6">
        <f t="shared" ref="Z329" si="167">C329</f>
        <v>246057</v>
      </c>
      <c r="AA329" s="4">
        <f t="shared" ref="AA329" si="168">Z329-Z317</f>
        <v>-25752</v>
      </c>
      <c r="AB329" s="485">
        <f>[9]IMWh!$E209</f>
        <v>251583</v>
      </c>
      <c r="AJ329" s="108">
        <f t="shared" ref="AJ329:AJ367" si="169">C329-AK329-AL329</f>
        <v>244137</v>
      </c>
      <c r="AK329" s="108">
        <f t="shared" ref="AK329:AK367" si="170">H329</f>
        <v>1583</v>
      </c>
      <c r="AL329" s="108">
        <f t="shared" ref="AL329:AL367" si="171">J329</f>
        <v>337</v>
      </c>
      <c r="BN329" s="4">
        <f t="shared" si="51"/>
        <v>2010</v>
      </c>
      <c r="BO329" s="4">
        <f t="shared" si="52"/>
        <v>1</v>
      </c>
      <c r="BP329" s="108">
        <f>C329+[4]MWh!$AL163</f>
        <v>229304.48792960093</v>
      </c>
      <c r="BQ329" s="108"/>
      <c r="BR329" s="108"/>
      <c r="BS329" s="108"/>
      <c r="BT329" s="175">
        <f t="shared" ref="BT329" si="172">BP329</f>
        <v>229304.48792960093</v>
      </c>
      <c r="BU329" s="108">
        <f t="shared" ref="BU329" si="173">BT329-BT317</f>
        <v>-85808.349709853181</v>
      </c>
      <c r="BW329" s="529">
        <f>BT329/[9]IMWh!$E209</f>
        <v>0.9114466713951298</v>
      </c>
    </row>
    <row r="330" spans="1:75">
      <c r="A330" s="4">
        <f t="shared" si="88"/>
        <v>2010</v>
      </c>
      <c r="B330" s="4">
        <f t="shared" si="89"/>
        <v>2</v>
      </c>
      <c r="C330" s="4">
        <f>'[2]FPC wSEB'!$F427</f>
        <v>261310</v>
      </c>
      <c r="D330" s="4">
        <f>'[2]FPC wSEB'!$Z427</f>
        <v>2449</v>
      </c>
      <c r="F330" s="4">
        <f>'[2]FPC wSEB'!$G427</f>
        <v>88375</v>
      </c>
      <c r="G330" s="4">
        <f t="shared" ref="G330" si="174">C330-F330</f>
        <v>172935</v>
      </c>
      <c r="H330" s="434">
        <v>1601</v>
      </c>
      <c r="I330" s="434">
        <v>712</v>
      </c>
      <c r="J330" s="434">
        <v>360</v>
      </c>
      <c r="K330" s="434">
        <v>104</v>
      </c>
      <c r="Z330" s="6">
        <f t="shared" ref="Z330" si="175">C330</f>
        <v>261310</v>
      </c>
      <c r="AA330" s="4">
        <f t="shared" ref="AA330" si="176">Z330-Z318</f>
        <v>6918</v>
      </c>
      <c r="AB330" s="485">
        <f>[9]IMWh!$E210</f>
        <v>251486</v>
      </c>
      <c r="AJ330" s="108">
        <f t="shared" si="169"/>
        <v>259349</v>
      </c>
      <c r="AK330" s="108">
        <f t="shared" si="170"/>
        <v>1601</v>
      </c>
      <c r="AL330" s="108">
        <f t="shared" si="171"/>
        <v>360</v>
      </c>
      <c r="BN330" s="4">
        <f t="shared" si="51"/>
        <v>2010</v>
      </c>
      <c r="BO330" s="4">
        <f t="shared" si="52"/>
        <v>2</v>
      </c>
      <c r="BP330" s="108">
        <f>C330+[4]MWh!$AL164</f>
        <v>286745.75676568516</v>
      </c>
      <c r="BQ330" s="108"/>
      <c r="BR330" s="108"/>
      <c r="BS330" s="108"/>
      <c r="BT330" s="175">
        <f t="shared" ref="BT330" si="177">BP330</f>
        <v>286745.75676568516</v>
      </c>
      <c r="BU330" s="108">
        <f t="shared" ref="BU330" si="178">BT330-BT318</f>
        <v>75154.861461513443</v>
      </c>
      <c r="BW330" s="529">
        <f>BT330/[9]IMWh!$E210</f>
        <v>1.1402056447105811</v>
      </c>
    </row>
    <row r="331" spans="1:75">
      <c r="A331" s="4">
        <f t="shared" si="88"/>
        <v>2010</v>
      </c>
      <c r="B331" s="4">
        <f t="shared" si="89"/>
        <v>3</v>
      </c>
      <c r="C331" s="4">
        <f>'[2]FPC wSEB'!$F428</f>
        <v>260907</v>
      </c>
      <c r="D331" s="4">
        <f>'[2]FPC wSEB'!$Z428</f>
        <v>2481</v>
      </c>
      <c r="F331" s="4">
        <f>'[2]FPC wSEB'!$G428</f>
        <v>95074</v>
      </c>
      <c r="G331" s="4">
        <f t="shared" ref="G331" si="179">C331-F331</f>
        <v>165833</v>
      </c>
      <c r="H331" s="434">
        <v>2006</v>
      </c>
      <c r="I331" s="434">
        <v>730</v>
      </c>
      <c r="J331" s="434">
        <v>335</v>
      </c>
      <c r="K331" s="434">
        <v>106</v>
      </c>
      <c r="Z331" s="6">
        <f t="shared" ref="Z331" si="180">C331</f>
        <v>260907</v>
      </c>
      <c r="AA331" s="4">
        <f t="shared" ref="AA331" si="181">Z331-Z319</f>
        <v>-3597</v>
      </c>
      <c r="AB331" s="485">
        <f>[9]IMWh!$E211</f>
        <v>259784</v>
      </c>
      <c r="AJ331" s="108">
        <f t="shared" si="169"/>
        <v>258566</v>
      </c>
      <c r="AK331" s="108">
        <f t="shared" si="170"/>
        <v>2006</v>
      </c>
      <c r="AL331" s="108">
        <f t="shared" si="171"/>
        <v>335</v>
      </c>
      <c r="BN331" s="4">
        <f t="shared" si="51"/>
        <v>2010</v>
      </c>
      <c r="BO331" s="4">
        <f t="shared" si="52"/>
        <v>3</v>
      </c>
      <c r="BP331" s="108">
        <f>C331+[4]MWh!$AL165</f>
        <v>234887.75499156344</v>
      </c>
      <c r="BQ331" s="108"/>
      <c r="BR331" s="108"/>
      <c r="BS331" s="108"/>
      <c r="BT331" s="175">
        <f t="shared" ref="BT331" si="182">BP331</f>
        <v>234887.75499156344</v>
      </c>
      <c r="BU331" s="108">
        <f t="shared" ref="BU331" si="183">BT331-BT319</f>
        <v>-60267.987561903719</v>
      </c>
      <c r="BW331" s="529">
        <f>BT331/[9]IMWh!$E211</f>
        <v>0.90416559523128226</v>
      </c>
    </row>
    <row r="332" spans="1:75">
      <c r="A332" s="4">
        <f t="shared" si="88"/>
        <v>2010</v>
      </c>
      <c r="B332" s="4">
        <f t="shared" si="89"/>
        <v>4</v>
      </c>
      <c r="C332" s="4">
        <f>'[2]FPC wSEB'!$F429</f>
        <v>291812</v>
      </c>
      <c r="D332" s="4">
        <f>'[2]FPC wSEB'!$Z429</f>
        <v>2506</v>
      </c>
      <c r="F332" s="4">
        <f>'[2]FPC wSEB'!$G429</f>
        <v>109581</v>
      </c>
      <c r="G332" s="4">
        <f t="shared" ref="G332" si="184">C332-F332</f>
        <v>182231</v>
      </c>
      <c r="H332" s="434">
        <v>1874</v>
      </c>
      <c r="I332" s="434">
        <v>734</v>
      </c>
      <c r="J332" s="434">
        <v>345</v>
      </c>
      <c r="K332" s="434">
        <v>102</v>
      </c>
      <c r="Z332" s="6">
        <f t="shared" ref="Z332" si="185">C332</f>
        <v>291812</v>
      </c>
      <c r="AA332" s="4">
        <f t="shared" ref="AA332" si="186">Z332-Z320</f>
        <v>12679</v>
      </c>
      <c r="AB332" s="485">
        <f>[9]IMWh!$E212</f>
        <v>284717</v>
      </c>
      <c r="AJ332" s="108">
        <f t="shared" si="169"/>
        <v>289593</v>
      </c>
      <c r="AK332" s="108">
        <f t="shared" si="170"/>
        <v>1874</v>
      </c>
      <c r="AL332" s="108">
        <f t="shared" si="171"/>
        <v>345</v>
      </c>
      <c r="BN332" s="4">
        <f t="shared" si="51"/>
        <v>2010</v>
      </c>
      <c r="BO332" s="4">
        <f t="shared" si="52"/>
        <v>4</v>
      </c>
      <c r="BP332" s="108">
        <f>C332+[4]MWh!$AL166</f>
        <v>334704.25007926306</v>
      </c>
      <c r="BQ332" s="108"/>
      <c r="BR332" s="108"/>
      <c r="BS332" s="108"/>
      <c r="BT332" s="175">
        <f t="shared" ref="BT332" si="187">BP332</f>
        <v>334704.25007926306</v>
      </c>
      <c r="BU332" s="108">
        <f t="shared" ref="BU332" si="188">BT332-BT320</f>
        <v>43388.996584276611</v>
      </c>
      <c r="BW332" s="529">
        <f>BT332/[9]IMWh!$E212</f>
        <v>1.1755681960657884</v>
      </c>
    </row>
    <row r="333" spans="1:75">
      <c r="A333" s="4">
        <f t="shared" si="88"/>
        <v>2010</v>
      </c>
      <c r="B333" s="4">
        <f t="shared" si="89"/>
        <v>5</v>
      </c>
      <c r="C333" s="4">
        <f>'[2]FPC wSEB'!$F430</f>
        <v>285924</v>
      </c>
      <c r="D333" s="4">
        <f>'[2]FPC wSEB'!$Z430</f>
        <v>2454</v>
      </c>
      <c r="F333" s="4">
        <f>'[2]FPC wSEB'!$G430</f>
        <v>90406</v>
      </c>
      <c r="G333" s="4">
        <f t="shared" ref="G333" si="189">C333-F333</f>
        <v>195518</v>
      </c>
      <c r="H333" s="434">
        <v>2028</v>
      </c>
      <c r="I333" s="434">
        <v>728</v>
      </c>
      <c r="J333" s="434">
        <v>339</v>
      </c>
      <c r="K333" s="434">
        <v>108</v>
      </c>
      <c r="Z333" s="6">
        <f t="shared" ref="Z333" si="190">C333</f>
        <v>285924</v>
      </c>
      <c r="AA333" s="4">
        <f t="shared" ref="AA333" si="191">Z333-Z321</f>
        <v>14038</v>
      </c>
      <c r="AB333" s="485">
        <f>[9]IMWh!$E213</f>
        <v>292841</v>
      </c>
      <c r="AJ333" s="108">
        <f t="shared" si="169"/>
        <v>283557</v>
      </c>
      <c r="AK333" s="108">
        <f t="shared" si="170"/>
        <v>2028</v>
      </c>
      <c r="AL333" s="108">
        <f t="shared" si="171"/>
        <v>339</v>
      </c>
      <c r="BN333" s="4">
        <f t="shared" si="51"/>
        <v>2010</v>
      </c>
      <c r="BO333" s="4">
        <f t="shared" si="52"/>
        <v>5</v>
      </c>
      <c r="BP333" s="108">
        <f>C333+[4]MWh!$AL167</f>
        <v>314548.77377937757</v>
      </c>
      <c r="BQ333" s="108"/>
      <c r="BR333" s="108"/>
      <c r="BS333" s="108"/>
      <c r="BT333" s="175">
        <f t="shared" ref="BT333" si="192">BP333</f>
        <v>314548.77377937757</v>
      </c>
      <c r="BU333" s="108">
        <f t="shared" ref="BU333" si="193">BT333-BT321</f>
        <v>27848.565599808528</v>
      </c>
      <c r="BW333" s="529">
        <f>BT333/[9]IMWh!$E213</f>
        <v>1.0741281916786842</v>
      </c>
    </row>
    <row r="334" spans="1:75">
      <c r="A334" s="4">
        <f t="shared" si="88"/>
        <v>2010</v>
      </c>
      <c r="B334" s="4">
        <f t="shared" si="89"/>
        <v>6</v>
      </c>
      <c r="C334" s="4">
        <f>'[2]FPC wSEB'!$F431</f>
        <v>289178</v>
      </c>
      <c r="D334" s="4">
        <f>'[2]FPC wSEB'!$Z431</f>
        <v>2513</v>
      </c>
      <c r="F334" s="4">
        <f>'[2]FPC wSEB'!$G431</f>
        <v>90638</v>
      </c>
      <c r="G334" s="4">
        <f t="shared" ref="G334" si="194">C334-F334</f>
        <v>198540</v>
      </c>
      <c r="H334" s="434">
        <v>2112</v>
      </c>
      <c r="I334" s="434">
        <v>731</v>
      </c>
      <c r="J334" s="434">
        <v>345</v>
      </c>
      <c r="K334" s="434">
        <v>108</v>
      </c>
      <c r="Z334" s="6">
        <f t="shared" ref="Z334" si="195">C334</f>
        <v>289178</v>
      </c>
      <c r="AA334" s="4">
        <f t="shared" ref="AA334" si="196">Z334-Z322</f>
        <v>8532</v>
      </c>
      <c r="AB334" s="485">
        <f>[9]IMWh!$E214</f>
        <v>293511</v>
      </c>
      <c r="AJ334" s="108">
        <f t="shared" si="169"/>
        <v>286721</v>
      </c>
      <c r="AK334" s="108">
        <f t="shared" si="170"/>
        <v>2112</v>
      </c>
      <c r="AL334" s="108">
        <f t="shared" si="171"/>
        <v>345</v>
      </c>
      <c r="BN334" s="4">
        <f t="shared" si="51"/>
        <v>2010</v>
      </c>
      <c r="BO334" s="4">
        <f t="shared" si="52"/>
        <v>6</v>
      </c>
      <c r="BP334" s="108">
        <f>C334+[4]MWh!$AL168</f>
        <v>269340.84480304224</v>
      </c>
      <c r="BQ334" s="108"/>
      <c r="BR334" s="108"/>
      <c r="BS334" s="108"/>
      <c r="BT334" s="175">
        <f t="shared" ref="BT334" si="197">BP334</f>
        <v>269340.84480304224</v>
      </c>
      <c r="BU334" s="108">
        <f t="shared" ref="BU334" si="198">BT334-BT322</f>
        <v>-15037.354643249768</v>
      </c>
      <c r="BW334" s="529">
        <f>BT334/[9]IMWh!$E214</f>
        <v>0.91765162056291671</v>
      </c>
    </row>
    <row r="335" spans="1:75">
      <c r="A335" s="4">
        <f t="shared" si="88"/>
        <v>2010</v>
      </c>
      <c r="B335" s="4">
        <f t="shared" si="89"/>
        <v>7</v>
      </c>
      <c r="C335" s="4">
        <f>'[2]FPC wSEB'!$F432</f>
        <v>288009</v>
      </c>
      <c r="D335" s="4">
        <f>'[2]FPC wSEB'!$Z432</f>
        <v>2472</v>
      </c>
      <c r="F335" s="4">
        <f>'[2]FPC wSEB'!$G432</f>
        <v>82588</v>
      </c>
      <c r="G335" s="4">
        <f t="shared" ref="G335" si="199">C335-F335</f>
        <v>205421</v>
      </c>
      <c r="H335" s="434">
        <v>2560</v>
      </c>
      <c r="I335" s="434">
        <v>730</v>
      </c>
      <c r="J335" s="434">
        <v>341</v>
      </c>
      <c r="K335" s="434">
        <v>106</v>
      </c>
      <c r="Z335" s="6">
        <f t="shared" ref="Z335" si="200">C335</f>
        <v>288009</v>
      </c>
      <c r="AA335" s="4">
        <f t="shared" ref="AA335" si="201">Z335-Z323</f>
        <v>-4415</v>
      </c>
      <c r="AB335" s="485">
        <f>[9]IMWh!$E215</f>
        <v>297938</v>
      </c>
      <c r="AJ335" s="108">
        <f t="shared" si="169"/>
        <v>285108</v>
      </c>
      <c r="AK335" s="108">
        <f t="shared" si="170"/>
        <v>2560</v>
      </c>
      <c r="AL335" s="108">
        <f t="shared" si="171"/>
        <v>341</v>
      </c>
      <c r="BN335" s="4">
        <f t="shared" si="51"/>
        <v>2010</v>
      </c>
      <c r="BO335" s="4">
        <f t="shared" si="52"/>
        <v>7</v>
      </c>
      <c r="BP335" s="108">
        <f>C335+[4]MWh!$AL169</f>
        <v>289081.97981740948</v>
      </c>
      <c r="BQ335" s="108"/>
      <c r="BR335" s="108"/>
      <c r="BS335" s="108"/>
      <c r="BT335" s="175">
        <f t="shared" ref="BT335" si="202">BP335</f>
        <v>289081.97981740948</v>
      </c>
      <c r="BU335" s="108">
        <f t="shared" ref="BU335" si="203">BT335-BT323</f>
        <v>1596.4060264310101</v>
      </c>
      <c r="BW335" s="529">
        <f>BT335/[9]IMWh!$E215</f>
        <v>0.97027562720233562</v>
      </c>
    </row>
    <row r="336" spans="1:75">
      <c r="A336" s="4">
        <f t="shared" si="88"/>
        <v>2010</v>
      </c>
      <c r="B336" s="4">
        <f t="shared" si="89"/>
        <v>8</v>
      </c>
      <c r="C336" s="4">
        <f>'[2]FPC wSEB'!$F433</f>
        <v>277073</v>
      </c>
      <c r="D336" s="4">
        <f>'[2]FPC wSEB'!$Z433</f>
        <v>2471</v>
      </c>
      <c r="F336" s="4">
        <f>'[2]FPC wSEB'!$G433</f>
        <v>77450</v>
      </c>
      <c r="G336" s="4">
        <f t="shared" ref="G336" si="204">C336-F336</f>
        <v>199623</v>
      </c>
      <c r="H336" s="434">
        <v>2758</v>
      </c>
      <c r="I336" s="434">
        <v>722</v>
      </c>
      <c r="J336" s="434">
        <v>338</v>
      </c>
      <c r="K336" s="434">
        <v>105</v>
      </c>
      <c r="Z336" s="6">
        <f t="shared" ref="Z336" si="205">C336</f>
        <v>277073</v>
      </c>
      <c r="AA336" s="4">
        <f t="shared" ref="AA336" si="206">Z336-Z324</f>
        <v>12230</v>
      </c>
      <c r="AB336" s="485">
        <f>[9]IMWh!$E216</f>
        <v>282098</v>
      </c>
      <c r="AJ336" s="108">
        <f t="shared" si="169"/>
        <v>273977</v>
      </c>
      <c r="AK336" s="108">
        <f t="shared" si="170"/>
        <v>2758</v>
      </c>
      <c r="AL336" s="108">
        <f t="shared" si="171"/>
        <v>338</v>
      </c>
      <c r="BN336" s="4">
        <f t="shared" si="51"/>
        <v>2010</v>
      </c>
      <c r="BO336" s="4">
        <f t="shared" si="52"/>
        <v>8</v>
      </c>
      <c r="BP336" s="108">
        <f>C336+[4]MWh!$AL170</f>
        <v>259842.84996733756</v>
      </c>
      <c r="BQ336" s="108"/>
      <c r="BR336" s="108"/>
      <c r="BS336" s="108"/>
      <c r="BT336" s="175">
        <f t="shared" ref="BT336" si="207">BP336</f>
        <v>259842.84996733756</v>
      </c>
      <c r="BU336" s="108">
        <f t="shared" ref="BU336" si="208">BT336-BT324</f>
        <v>-15928.772939370596</v>
      </c>
      <c r="BW336" s="529">
        <f>BT336/[9]IMWh!$E216</f>
        <v>0.92110844446730411</v>
      </c>
    </row>
    <row r="337" spans="1:76">
      <c r="A337" s="4">
        <f t="shared" si="88"/>
        <v>2010</v>
      </c>
      <c r="B337" s="4">
        <f t="shared" si="89"/>
        <v>9</v>
      </c>
      <c r="C337" s="4">
        <f>'[2]FPC wSEB'!$F434</f>
        <v>271176</v>
      </c>
      <c r="D337" s="4">
        <f>'[2]FPC wSEB'!$Z434</f>
        <v>2501</v>
      </c>
      <c r="F337" s="4">
        <f>'[2]FPC wSEB'!$G434</f>
        <v>72828</v>
      </c>
      <c r="G337" s="4">
        <f t="shared" ref="G337" si="209">C337-F337</f>
        <v>198348</v>
      </c>
      <c r="H337" s="434">
        <v>2307</v>
      </c>
      <c r="I337" s="434">
        <v>736</v>
      </c>
      <c r="J337" s="434">
        <v>336</v>
      </c>
      <c r="K337" s="434">
        <v>103</v>
      </c>
      <c r="Z337" s="6">
        <f t="shared" ref="Z337" si="210">C337</f>
        <v>271176</v>
      </c>
      <c r="AA337" s="4">
        <f t="shared" ref="AA337" si="211">Z337-Z325</f>
        <v>-35374</v>
      </c>
      <c r="AB337" s="485">
        <f>[9]IMWh!$E217</f>
        <v>273995</v>
      </c>
      <c r="AJ337" s="108">
        <f t="shared" si="169"/>
        <v>268533</v>
      </c>
      <c r="AK337" s="108">
        <f t="shared" si="170"/>
        <v>2307</v>
      </c>
      <c r="AL337" s="108">
        <f t="shared" si="171"/>
        <v>336</v>
      </c>
      <c r="BN337" s="4">
        <f t="shared" si="51"/>
        <v>2010</v>
      </c>
      <c r="BO337" s="4">
        <f t="shared" si="52"/>
        <v>9</v>
      </c>
      <c r="BP337" s="108">
        <f>C337+[4]MWh!$AL171</f>
        <v>264029.46575587755</v>
      </c>
      <c r="BQ337" s="108"/>
      <c r="BR337" s="108"/>
      <c r="BS337" s="108"/>
      <c r="BT337" s="175">
        <f t="shared" ref="BT337" si="212">BP337</f>
        <v>264029.46575587755</v>
      </c>
      <c r="BU337" s="108">
        <f t="shared" ref="BU337" si="213">BT337-BT325</f>
        <v>-43310.303086679778</v>
      </c>
      <c r="BW337" s="529">
        <f>BT337/[9]IMWh!$E217</f>
        <v>0.96362877335673114</v>
      </c>
    </row>
    <row r="338" spans="1:76">
      <c r="A338" s="4">
        <f t="shared" si="88"/>
        <v>2010</v>
      </c>
      <c r="B338" s="4">
        <f t="shared" si="89"/>
        <v>10</v>
      </c>
      <c r="C338" s="4">
        <f>'[2]FPC wSEB'!$F435</f>
        <v>250963</v>
      </c>
      <c r="D338" s="4">
        <f>'[2]FPC wSEB'!$Z435</f>
        <v>2435</v>
      </c>
      <c r="F338" s="4">
        <f>'[2]FPC wSEB'!$G435</f>
        <v>63642</v>
      </c>
      <c r="G338" s="4">
        <f t="shared" ref="G338" si="214">C338-F338</f>
        <v>187321</v>
      </c>
      <c r="H338" s="434">
        <v>2554</v>
      </c>
      <c r="I338" s="434">
        <v>708</v>
      </c>
      <c r="J338" s="434">
        <v>330</v>
      </c>
      <c r="K338" s="434">
        <v>106</v>
      </c>
      <c r="Z338" s="6">
        <f t="shared" ref="Z338" si="215">C338</f>
        <v>250963</v>
      </c>
      <c r="AA338" s="4">
        <f t="shared" ref="AA338" si="216">Z338-Z326</f>
        <v>24204</v>
      </c>
      <c r="AB338" s="485">
        <f>[9]IMWh!$E218</f>
        <v>253635</v>
      </c>
      <c r="AJ338" s="108">
        <f t="shared" si="169"/>
        <v>248079</v>
      </c>
      <c r="AK338" s="108">
        <f t="shared" si="170"/>
        <v>2554</v>
      </c>
      <c r="AL338" s="108">
        <f t="shared" si="171"/>
        <v>330</v>
      </c>
      <c r="BN338" s="4">
        <f t="shared" si="51"/>
        <v>2010</v>
      </c>
      <c r="BO338" s="4">
        <f t="shared" si="52"/>
        <v>10</v>
      </c>
      <c r="BP338" s="108">
        <f>C338+[4]MWh!$AL172</f>
        <v>249655.09412835684</v>
      </c>
      <c r="BQ338" s="108"/>
      <c r="BR338" s="108"/>
      <c r="BS338" s="108"/>
      <c r="BT338" s="175">
        <f t="shared" ref="BT338" si="217">BP338</f>
        <v>249655.09412835684</v>
      </c>
      <c r="BU338" s="108">
        <f t="shared" ref="BU338" si="218">BT338-BT326</f>
        <v>69457.172434188367</v>
      </c>
      <c r="BW338" s="529">
        <f>BT338/[9]IMWh!$E218</f>
        <v>0.98430853048024458</v>
      </c>
    </row>
    <row r="339" spans="1:76">
      <c r="A339" s="4">
        <f t="shared" si="88"/>
        <v>2010</v>
      </c>
      <c r="B339" s="4">
        <f t="shared" si="89"/>
        <v>11</v>
      </c>
      <c r="C339" s="4">
        <f>'[2]FPC wSEB'!$F436</f>
        <v>260215</v>
      </c>
      <c r="D339" s="4">
        <f>'[2]FPC wSEB'!$Z436</f>
        <v>2559</v>
      </c>
      <c r="F339" s="4">
        <f>'[2]FPC wSEB'!$G436</f>
        <v>69913</v>
      </c>
      <c r="G339" s="4">
        <f t="shared" ref="G339" si="219">C339-F339</f>
        <v>190302</v>
      </c>
      <c r="H339" s="434">
        <v>2970</v>
      </c>
      <c r="I339" s="434">
        <v>763</v>
      </c>
      <c r="J339" s="434">
        <v>342</v>
      </c>
      <c r="K339" s="434">
        <v>103</v>
      </c>
      <c r="Z339" s="6">
        <f t="shared" ref="Z339" si="220">C339</f>
        <v>260215</v>
      </c>
      <c r="AA339" s="4">
        <f t="shared" ref="AA339" si="221">Z339-Z327</f>
        <v>-64091</v>
      </c>
      <c r="AB339" s="485">
        <f>[9]IMWh!$E219</f>
        <v>255511</v>
      </c>
      <c r="AJ339" s="108">
        <f t="shared" si="169"/>
        <v>256903</v>
      </c>
      <c r="AK339" s="108">
        <f t="shared" si="170"/>
        <v>2970</v>
      </c>
      <c r="AL339" s="108">
        <f t="shared" si="171"/>
        <v>342</v>
      </c>
      <c r="BN339" s="4">
        <f t="shared" si="51"/>
        <v>2010</v>
      </c>
      <c r="BO339" s="4">
        <f t="shared" si="52"/>
        <v>11</v>
      </c>
      <c r="BP339" s="108">
        <f>C339+[4]MWh!$AL173</f>
        <v>237136.9352595995</v>
      </c>
      <c r="BQ339" s="108"/>
      <c r="BR339" s="108"/>
      <c r="BS339" s="108"/>
      <c r="BT339" s="175">
        <f t="shared" ref="BT339" si="222">BP339</f>
        <v>237136.9352595995</v>
      </c>
      <c r="BU339" s="108">
        <f t="shared" ref="BU339" si="223">BT339-BT327</f>
        <v>-101958.84724602089</v>
      </c>
      <c r="BW339" s="529">
        <f>BT339/[9]IMWh!$E219</f>
        <v>0.92808894826289079</v>
      </c>
    </row>
    <row r="340" spans="1:76" s="89" customFormat="1">
      <c r="A340" s="89">
        <f t="shared" si="88"/>
        <v>2010</v>
      </c>
      <c r="B340" s="89">
        <f t="shared" si="89"/>
        <v>12</v>
      </c>
      <c r="C340" s="89">
        <f>'[2]FPC wSEB'!$F437</f>
        <v>236720</v>
      </c>
      <c r="D340" s="89">
        <f>'[2]FPC wSEB'!$Z437</f>
        <v>2478</v>
      </c>
      <c r="F340" s="89">
        <f>'[2]FPC wSEB'!$G437</f>
        <v>68095</v>
      </c>
      <c r="G340" s="89">
        <f t="shared" ref="G340:G341" si="224">C340-F340</f>
        <v>168625</v>
      </c>
      <c r="H340" s="435">
        <v>2323</v>
      </c>
      <c r="I340" s="435">
        <v>729</v>
      </c>
      <c r="J340" s="435">
        <v>332</v>
      </c>
      <c r="K340" s="435">
        <v>106</v>
      </c>
      <c r="Z340" s="96">
        <f t="shared" ref="Z340:Z341" si="225">C340</f>
        <v>236720</v>
      </c>
      <c r="AA340" s="89">
        <f t="shared" ref="AA340:AA341" si="226">Z340-Z328</f>
        <v>-11416</v>
      </c>
      <c r="AB340" s="514">
        <f>[9]IMWh!$E220</f>
        <v>233061</v>
      </c>
      <c r="AJ340" s="117">
        <f t="shared" si="169"/>
        <v>234065</v>
      </c>
      <c r="AK340" s="117">
        <f t="shared" si="170"/>
        <v>2323</v>
      </c>
      <c r="AL340" s="117">
        <f t="shared" si="171"/>
        <v>332</v>
      </c>
      <c r="BN340" s="89">
        <f t="shared" si="51"/>
        <v>2010</v>
      </c>
      <c r="BO340" s="89">
        <f t="shared" si="52"/>
        <v>12</v>
      </c>
      <c r="BP340" s="117">
        <f>C340+[4]MWh!$AL174</f>
        <v>265536.24708405684</v>
      </c>
      <c r="BQ340" s="117"/>
      <c r="BR340" s="117"/>
      <c r="BS340" s="117"/>
      <c r="BT340" s="176">
        <f t="shared" ref="BT340" si="227">BP340</f>
        <v>265536.24708405684</v>
      </c>
      <c r="BU340" s="117">
        <f t="shared" ref="BU340" si="228">BT340-BT328</f>
        <v>17621.996603051375</v>
      </c>
      <c r="BW340" s="536">
        <f>BT340/[9]IMWh!$E220</f>
        <v>1.1393422626868366</v>
      </c>
    </row>
    <row r="341" spans="1:76">
      <c r="A341" s="4">
        <f t="shared" si="88"/>
        <v>2011</v>
      </c>
      <c r="B341" s="4">
        <f t="shared" si="89"/>
        <v>1</v>
      </c>
      <c r="C341" s="4">
        <f>'[2]FPC wSEB'!$F438</f>
        <v>262022</v>
      </c>
      <c r="D341" s="4">
        <f>'[2]FPC wSEB'!$Z438</f>
        <v>2395</v>
      </c>
      <c r="F341" s="4">
        <f>'[2]FPC wSEB'!$G438</f>
        <v>98826</v>
      </c>
      <c r="G341" s="4">
        <f t="shared" si="224"/>
        <v>163196</v>
      </c>
      <c r="H341" s="434">
        <v>1796</v>
      </c>
      <c r="I341" s="434">
        <v>697</v>
      </c>
      <c r="J341" s="434">
        <v>324</v>
      </c>
      <c r="K341" s="434">
        <v>109</v>
      </c>
      <c r="Z341" s="6">
        <f t="shared" si="225"/>
        <v>262022</v>
      </c>
      <c r="AA341" s="4">
        <f t="shared" si="226"/>
        <v>15965</v>
      </c>
      <c r="AB341" s="485">
        <f>[9]IMWh!$E221</f>
        <v>251518</v>
      </c>
      <c r="AJ341" s="108">
        <f t="shared" si="169"/>
        <v>259902</v>
      </c>
      <c r="AK341" s="108">
        <f t="shared" si="170"/>
        <v>1796</v>
      </c>
      <c r="AL341" s="108">
        <f t="shared" si="171"/>
        <v>324</v>
      </c>
      <c r="BN341" s="4">
        <f t="shared" si="51"/>
        <v>2011</v>
      </c>
      <c r="BO341" s="4">
        <f t="shared" si="52"/>
        <v>1</v>
      </c>
      <c r="BP341" s="108">
        <f>C341+[4]MWh!$AL175</f>
        <v>239001.59718324349</v>
      </c>
      <c r="BQ341" s="108"/>
      <c r="BR341" s="108"/>
      <c r="BS341" s="108"/>
      <c r="BT341" s="175">
        <f t="shared" ref="BT341" si="229">BP341</f>
        <v>239001.59718324349</v>
      </c>
      <c r="BU341" s="108">
        <f t="shared" ref="BU341" si="230">BT341-BT329</f>
        <v>9697.1092536425567</v>
      </c>
      <c r="BW341" s="529">
        <f>BT341/[9]IMWh!$E221</f>
        <v>0.95023655238688076</v>
      </c>
    </row>
    <row r="342" spans="1:76">
      <c r="A342" s="4">
        <f t="shared" si="88"/>
        <v>2011</v>
      </c>
      <c r="B342" s="4">
        <f t="shared" si="89"/>
        <v>2</v>
      </c>
      <c r="C342" s="4">
        <f>'[2]FPC wSEB'!$F439</f>
        <v>265854</v>
      </c>
      <c r="D342" s="4">
        <f>'[2]FPC wSEB'!$Z439</f>
        <v>2485</v>
      </c>
      <c r="F342" s="4">
        <f>'[2]FPC wSEB'!$G439</f>
        <v>96490</v>
      </c>
      <c r="G342" s="4">
        <f t="shared" ref="G342" si="231">C342-F342</f>
        <v>169364</v>
      </c>
      <c r="H342" s="434">
        <v>1948</v>
      </c>
      <c r="I342" s="434">
        <v>741</v>
      </c>
      <c r="J342" s="434">
        <v>329</v>
      </c>
      <c r="K342" s="434">
        <v>103</v>
      </c>
      <c r="Z342" s="6">
        <f t="shared" ref="Z342" si="232">C342</f>
        <v>265854</v>
      </c>
      <c r="AA342" s="4">
        <f t="shared" ref="AA342" si="233">Z342-Z330</f>
        <v>4544</v>
      </c>
      <c r="AB342" s="485">
        <f>[9]IMWh!$E222</f>
        <v>264392</v>
      </c>
      <c r="AJ342" s="108">
        <f t="shared" si="169"/>
        <v>263577</v>
      </c>
      <c r="AK342" s="108">
        <f t="shared" si="170"/>
        <v>1948</v>
      </c>
      <c r="AL342" s="108">
        <f t="shared" si="171"/>
        <v>329</v>
      </c>
      <c r="BN342" s="4">
        <f t="shared" si="51"/>
        <v>2011</v>
      </c>
      <c r="BO342" s="4">
        <f t="shared" si="52"/>
        <v>2</v>
      </c>
      <c r="BP342" s="108">
        <f>C342+[4]MWh!$AL176</f>
        <v>267840.82446366322</v>
      </c>
      <c r="BQ342" s="108"/>
      <c r="BR342" s="108"/>
      <c r="BS342" s="108"/>
      <c r="BT342" s="175">
        <f t="shared" ref="BT342" si="234">BP342</f>
        <v>267840.82446366322</v>
      </c>
      <c r="BU342" s="108">
        <f t="shared" ref="BU342" si="235">BT342-BT330</f>
        <v>-18904.932302021945</v>
      </c>
      <c r="BW342" s="529">
        <f>BT342/[9]IMWh!$E222</f>
        <v>1.0130443601306516</v>
      </c>
    </row>
    <row r="343" spans="1:76">
      <c r="A343" s="4">
        <f t="shared" si="88"/>
        <v>2011</v>
      </c>
      <c r="B343" s="4">
        <f t="shared" si="89"/>
        <v>3</v>
      </c>
      <c r="C343" s="4">
        <f>'[2]FPC wSEB'!$F440</f>
        <v>244090</v>
      </c>
      <c r="D343" s="4">
        <f>'[2]FPC wSEB'!$Z440</f>
        <v>2397</v>
      </c>
      <c r="F343" s="4">
        <f>'[2]FPC wSEB'!$G440</f>
        <v>83249</v>
      </c>
      <c r="G343" s="4">
        <f t="shared" ref="G343" si="236">C343-F343</f>
        <v>160841</v>
      </c>
      <c r="H343" s="434">
        <v>1950</v>
      </c>
      <c r="I343" s="434">
        <v>684</v>
      </c>
      <c r="J343" s="434">
        <v>335</v>
      </c>
      <c r="K343" s="434">
        <v>102</v>
      </c>
      <c r="Z343" s="6">
        <f t="shared" ref="Z343" si="237">C343</f>
        <v>244090</v>
      </c>
      <c r="AA343" s="4">
        <f t="shared" ref="AA343" si="238">Z343-Z331</f>
        <v>-16817</v>
      </c>
      <c r="AB343" s="485">
        <f>[9]IMWh!$E223</f>
        <v>244349</v>
      </c>
      <c r="AJ343" s="108">
        <f t="shared" si="169"/>
        <v>241805</v>
      </c>
      <c r="AK343" s="108">
        <f t="shared" si="170"/>
        <v>1950</v>
      </c>
      <c r="AL343" s="108">
        <f t="shared" si="171"/>
        <v>335</v>
      </c>
      <c r="BN343" s="4">
        <f t="shared" si="51"/>
        <v>2011</v>
      </c>
      <c r="BO343" s="4">
        <f t="shared" si="52"/>
        <v>3</v>
      </c>
      <c r="BP343" s="108">
        <f>C343+[4]MWh!$AL177</f>
        <v>268258.16236684134</v>
      </c>
      <c r="BQ343" s="108"/>
      <c r="BR343" s="108"/>
      <c r="BS343" s="108"/>
      <c r="BT343" s="175">
        <f t="shared" ref="BT343" si="239">BP343</f>
        <v>268258.16236684134</v>
      </c>
      <c r="BU343" s="108">
        <f t="shared" ref="BU343" si="240">BT343-BT331</f>
        <v>33370.407375277893</v>
      </c>
      <c r="BW343" s="529">
        <f>BT343/[9]IMWh!$E223</f>
        <v>1.0978484150409511</v>
      </c>
    </row>
    <row r="344" spans="1:76">
      <c r="A344" s="4">
        <f t="shared" si="88"/>
        <v>2011</v>
      </c>
      <c r="B344" s="4">
        <f t="shared" si="89"/>
        <v>4</v>
      </c>
      <c r="C344" s="4">
        <f>'[2]FPC wSEB'!$F441</f>
        <v>261361</v>
      </c>
      <c r="D344" s="4">
        <f>'[2]FPC wSEB'!$Z441</f>
        <v>2430</v>
      </c>
      <c r="F344" s="4">
        <f>'[2]FPC wSEB'!$G441</f>
        <v>85200</v>
      </c>
      <c r="G344" s="4">
        <f t="shared" ref="G344" si="241">C344-F344</f>
        <v>176161</v>
      </c>
      <c r="H344" s="434">
        <v>2205</v>
      </c>
      <c r="I344" s="434">
        <v>724</v>
      </c>
      <c r="J344" s="434">
        <v>335</v>
      </c>
      <c r="K344" s="434">
        <v>101</v>
      </c>
      <c r="Z344" s="6">
        <f t="shared" ref="Z344" si="242">C344</f>
        <v>261361</v>
      </c>
      <c r="AA344" s="4">
        <f t="shared" ref="AA344" si="243">Z344-Z332</f>
        <v>-30451</v>
      </c>
      <c r="AB344" s="485">
        <f>[9]IMWh!$E224</f>
        <v>266179</v>
      </c>
      <c r="AJ344" s="108">
        <f t="shared" si="169"/>
        <v>258821</v>
      </c>
      <c r="AK344" s="108">
        <f t="shared" si="170"/>
        <v>2205</v>
      </c>
      <c r="AL344" s="108">
        <f t="shared" si="171"/>
        <v>335</v>
      </c>
      <c r="BN344" s="4">
        <f t="shared" si="51"/>
        <v>2011</v>
      </c>
      <c r="BO344" s="4">
        <f t="shared" si="52"/>
        <v>4</v>
      </c>
      <c r="BP344" s="108">
        <f>C344+[4]MWh!$AL178</f>
        <v>288315.50888503157</v>
      </c>
      <c r="BQ344" s="108"/>
      <c r="BR344" s="108"/>
      <c r="BS344" s="108"/>
      <c r="BT344" s="175">
        <f t="shared" ref="BT344" si="244">BP344</f>
        <v>288315.50888503157</v>
      </c>
      <c r="BU344" s="108">
        <f t="shared" ref="BU344" si="245">BT344-BT332</f>
        <v>-46388.741194231494</v>
      </c>
      <c r="BW344" s="529">
        <f>BT344/[9]IMWh!$E224</f>
        <v>1.0831639944737623</v>
      </c>
    </row>
    <row r="345" spans="1:76">
      <c r="A345" s="4">
        <f t="shared" si="88"/>
        <v>2011</v>
      </c>
      <c r="B345" s="4">
        <f t="shared" si="89"/>
        <v>5</v>
      </c>
      <c r="C345" s="4">
        <f>'[2]FPC wSEB'!$F442</f>
        <v>299905</v>
      </c>
      <c r="D345" s="4">
        <f>'[2]FPC wSEB'!$Z442</f>
        <v>2414</v>
      </c>
      <c r="F345" s="4">
        <f>'[2]FPC wSEB'!$G442</f>
        <v>110470</v>
      </c>
      <c r="G345" s="4">
        <f t="shared" ref="G345" si="246">C345-F345</f>
        <v>189435</v>
      </c>
      <c r="H345" s="434">
        <v>2261</v>
      </c>
      <c r="I345" s="434">
        <v>708</v>
      </c>
      <c r="J345" s="434">
        <v>330</v>
      </c>
      <c r="K345" s="434">
        <v>103</v>
      </c>
      <c r="Z345" s="6">
        <f t="shared" ref="Z345" si="247">C345</f>
        <v>299905</v>
      </c>
      <c r="AA345" s="4">
        <f t="shared" ref="AA345" si="248">Z345-Z333</f>
        <v>13981</v>
      </c>
      <c r="AB345" s="485">
        <f>[9]IMWh!$E225</f>
        <v>299662</v>
      </c>
      <c r="AJ345" s="108">
        <f t="shared" si="169"/>
        <v>297314</v>
      </c>
      <c r="AK345" s="108">
        <f t="shared" si="170"/>
        <v>2261</v>
      </c>
      <c r="AL345" s="108">
        <f t="shared" si="171"/>
        <v>330</v>
      </c>
      <c r="BN345" s="4">
        <f t="shared" si="51"/>
        <v>2011</v>
      </c>
      <c r="BO345" s="4">
        <f t="shared" si="52"/>
        <v>5</v>
      </c>
      <c r="BP345" s="108">
        <f>C345+[4]MWh!$AL179</f>
        <v>309441.42778101016</v>
      </c>
      <c r="BQ345" s="108"/>
      <c r="BR345" s="108"/>
      <c r="BS345" s="108"/>
      <c r="BT345" s="175">
        <f t="shared" ref="BT345" si="249">BP345</f>
        <v>309441.42778101016</v>
      </c>
      <c r="BU345" s="108">
        <f t="shared" ref="BU345" si="250">BT345-BT333</f>
        <v>-5107.3459983674111</v>
      </c>
      <c r="BW345" s="529">
        <f>BT345/[9]IMWh!$E225</f>
        <v>1.032634861213668</v>
      </c>
    </row>
    <row r="346" spans="1:76">
      <c r="A346" s="4">
        <f t="shared" si="88"/>
        <v>2011</v>
      </c>
      <c r="B346" s="4">
        <f t="shared" si="89"/>
        <v>6</v>
      </c>
      <c r="C346" s="4">
        <f>'[2]FPC wSEB'!$F443</f>
        <v>287783</v>
      </c>
      <c r="D346" s="4">
        <f>'[2]FPC wSEB'!$Z443</f>
        <v>2414</v>
      </c>
      <c r="F346" s="4">
        <f>'[2]FPC wSEB'!$G443</f>
        <v>89357</v>
      </c>
      <c r="G346" s="4">
        <f t="shared" ref="G346" si="251">C346-F346</f>
        <v>198426</v>
      </c>
      <c r="H346" s="434">
        <v>2372</v>
      </c>
      <c r="I346" s="434">
        <v>703</v>
      </c>
      <c r="J346" s="434">
        <v>321</v>
      </c>
      <c r="K346" s="434">
        <v>107</v>
      </c>
      <c r="Z346" s="6">
        <f t="shared" ref="Z346" si="252">C346</f>
        <v>287783</v>
      </c>
      <c r="AA346" s="4">
        <f t="shared" ref="AA346" si="253">Z346-Z334</f>
        <v>-1395</v>
      </c>
      <c r="AB346" s="485">
        <f>[9]IMWh!$E226</f>
        <v>289502</v>
      </c>
      <c r="AJ346" s="108">
        <f t="shared" si="169"/>
        <v>285090</v>
      </c>
      <c r="AK346" s="108">
        <f t="shared" si="170"/>
        <v>2372</v>
      </c>
      <c r="AL346" s="108">
        <f t="shared" si="171"/>
        <v>321</v>
      </c>
      <c r="BN346" s="4">
        <f t="shared" si="51"/>
        <v>2011</v>
      </c>
      <c r="BO346" s="4">
        <f t="shared" si="52"/>
        <v>6</v>
      </c>
      <c r="BP346" s="108">
        <f>C346+[4]MWh!$AL180</f>
        <v>276242.54930211027</v>
      </c>
      <c r="BQ346" s="108"/>
      <c r="BR346" s="108"/>
      <c r="BS346" s="108"/>
      <c r="BT346" s="175">
        <f t="shared" ref="BT346" si="254">BP346</f>
        <v>276242.54930211027</v>
      </c>
      <c r="BU346" s="108">
        <f t="shared" ref="BU346" si="255">BT346-BT334</f>
        <v>6901.7044990680297</v>
      </c>
      <c r="BW346" s="529">
        <f>BT346/[9]IMWh!$E226</f>
        <v>0.95419910502210792</v>
      </c>
    </row>
    <row r="347" spans="1:76">
      <c r="A347" s="4">
        <f t="shared" si="88"/>
        <v>2011</v>
      </c>
      <c r="B347" s="4">
        <f t="shared" si="89"/>
        <v>7</v>
      </c>
      <c r="C347" s="4">
        <f>'[2]FPC wSEB'!$F444</f>
        <v>266234</v>
      </c>
      <c r="D347" s="4">
        <f>'[2]FPC wSEB'!$Z444</f>
        <v>2334</v>
      </c>
      <c r="F347" s="4">
        <f>'[2]FPC wSEB'!$G444</f>
        <v>87307</v>
      </c>
      <c r="G347" s="4">
        <f t="shared" ref="G347" si="256">C347-F347</f>
        <v>178927</v>
      </c>
      <c r="H347" s="434">
        <v>2203</v>
      </c>
      <c r="I347" s="434">
        <v>684</v>
      </c>
      <c r="J347" s="434">
        <v>318</v>
      </c>
      <c r="K347" s="434">
        <v>101</v>
      </c>
      <c r="Z347" s="6">
        <f t="shared" ref="Z347" si="257">C347</f>
        <v>266234</v>
      </c>
      <c r="AA347" s="4">
        <f t="shared" ref="AA347" si="258">Z347-Z335</f>
        <v>-21775</v>
      </c>
      <c r="AB347" s="485">
        <f>[9]IMWh!$E227</f>
        <v>268592</v>
      </c>
      <c r="AJ347" s="108">
        <f t="shared" si="169"/>
        <v>263713</v>
      </c>
      <c r="AK347" s="108">
        <f t="shared" si="170"/>
        <v>2203</v>
      </c>
      <c r="AL347" s="108">
        <f t="shared" si="171"/>
        <v>318</v>
      </c>
      <c r="BN347" s="4">
        <f t="shared" si="51"/>
        <v>2011</v>
      </c>
      <c r="BO347" s="4">
        <f t="shared" si="52"/>
        <v>7</v>
      </c>
      <c r="BP347" s="108">
        <f>C347+[4]MWh!$AL181</f>
        <v>254416.95016068543</v>
      </c>
      <c r="BQ347" s="108"/>
      <c r="BR347" s="108"/>
      <c r="BS347" s="108"/>
      <c r="BT347" s="175">
        <f t="shared" ref="BT347" si="259">BP347</f>
        <v>254416.95016068543</v>
      </c>
      <c r="BU347" s="108">
        <f t="shared" ref="BU347" si="260">BT347-BT335</f>
        <v>-34665.029656724044</v>
      </c>
      <c r="BW347" s="529">
        <f>BT347/[9]IMWh!$E227</f>
        <v>0.94722460147988563</v>
      </c>
    </row>
    <row r="348" spans="1:76">
      <c r="A348" s="4">
        <f t="shared" si="88"/>
        <v>2011</v>
      </c>
      <c r="B348" s="4">
        <f t="shared" si="89"/>
        <v>8</v>
      </c>
      <c r="C348" s="4">
        <f>'[2]FPC wSEB'!$F445</f>
        <v>296266</v>
      </c>
      <c r="D348" s="4">
        <f>'[2]FPC wSEB'!$Z445</f>
        <v>2443</v>
      </c>
      <c r="F348" s="4">
        <f>'[2]FPC wSEB'!$G445</f>
        <v>92483</v>
      </c>
      <c r="G348" s="4">
        <f t="shared" ref="G348" si="261">C348-F348</f>
        <v>203783</v>
      </c>
      <c r="H348" s="434">
        <v>2449</v>
      </c>
      <c r="I348" s="434">
        <v>726</v>
      </c>
      <c r="J348" s="434">
        <v>336</v>
      </c>
      <c r="K348" s="434">
        <v>100</v>
      </c>
      <c r="Z348" s="6">
        <f t="shared" ref="Z348" si="262">C348</f>
        <v>296266</v>
      </c>
      <c r="AA348" s="4">
        <f t="shared" ref="AA348" si="263">Z348-Z336</f>
        <v>19193</v>
      </c>
      <c r="AB348" s="485">
        <f>[9]IMWh!$E228</f>
        <v>294236</v>
      </c>
      <c r="AJ348" s="108">
        <f t="shared" si="169"/>
        <v>293481</v>
      </c>
      <c r="AK348" s="108">
        <f t="shared" si="170"/>
        <v>2449</v>
      </c>
      <c r="AL348" s="108">
        <f t="shared" si="171"/>
        <v>336</v>
      </c>
      <c r="BN348" s="4">
        <f t="shared" si="51"/>
        <v>2011</v>
      </c>
      <c r="BO348" s="4">
        <f t="shared" si="52"/>
        <v>8</v>
      </c>
      <c r="BP348" s="108">
        <f>C348+[4]MWh!$AL182</f>
        <v>298902.73179890297</v>
      </c>
      <c r="BQ348" s="108"/>
      <c r="BR348" s="108"/>
      <c r="BS348" s="108"/>
      <c r="BT348" s="175">
        <f t="shared" ref="BT348" si="264">BP348</f>
        <v>298902.73179890297</v>
      </c>
      <c r="BU348" s="108">
        <f t="shared" ref="BU348" si="265">BT348-BT336</f>
        <v>39059.881831565406</v>
      </c>
      <c r="BW348" s="529">
        <f>BT348/[9]IMWh!$E228</f>
        <v>1.0158605058487167</v>
      </c>
    </row>
    <row r="349" spans="1:76">
      <c r="A349" s="4">
        <f t="shared" si="88"/>
        <v>2011</v>
      </c>
      <c r="B349" s="4">
        <f t="shared" si="89"/>
        <v>9</v>
      </c>
      <c r="C349" s="4">
        <f>'[2]FPC wSEB'!$F446</f>
        <v>275919</v>
      </c>
      <c r="D349" s="4">
        <f>'[2]FPC wSEB'!$Z446</f>
        <v>2417</v>
      </c>
      <c r="F349" s="4">
        <f>'[2]FPC wSEB'!$G446</f>
        <v>91499</v>
      </c>
      <c r="G349" s="4">
        <f t="shared" ref="G349" si="266">C349-F349</f>
        <v>184420</v>
      </c>
      <c r="H349" s="434">
        <v>2326</v>
      </c>
      <c r="I349" s="434">
        <v>702</v>
      </c>
      <c r="J349" s="434">
        <v>344</v>
      </c>
      <c r="K349" s="434">
        <v>103</v>
      </c>
      <c r="Z349" s="6">
        <f t="shared" ref="Z349" si="267">C349</f>
        <v>275919</v>
      </c>
      <c r="AA349" s="4">
        <f t="shared" ref="AA349" si="268">Z349-Z337</f>
        <v>4743</v>
      </c>
      <c r="AB349" s="485">
        <f>[9]IMWh!$E229</f>
        <v>270418</v>
      </c>
      <c r="AJ349" s="108">
        <f t="shared" si="169"/>
        <v>273249</v>
      </c>
      <c r="AK349" s="108">
        <f t="shared" si="170"/>
        <v>2326</v>
      </c>
      <c r="AL349" s="108">
        <f t="shared" si="171"/>
        <v>344</v>
      </c>
      <c r="BN349" s="4">
        <f t="shared" si="51"/>
        <v>2011</v>
      </c>
      <c r="BO349" s="4">
        <f t="shared" si="52"/>
        <v>9</v>
      </c>
      <c r="BP349" s="108">
        <f>C349+[4]MWh!$AL183</f>
        <v>252350.96661049448</v>
      </c>
      <c r="BQ349" s="108"/>
      <c r="BR349" s="108"/>
      <c r="BS349" s="108"/>
      <c r="BT349" s="175">
        <f t="shared" ref="BT349" si="269">BP349</f>
        <v>252350.96661049448</v>
      </c>
      <c r="BU349" s="108">
        <f t="shared" ref="BU349" si="270">BT349-BT337</f>
        <v>-11678.499145383073</v>
      </c>
      <c r="BW349" s="529">
        <f>BT349/[9]IMWh!$E229</f>
        <v>0.93318849562711981</v>
      </c>
    </row>
    <row r="350" spans="1:76">
      <c r="A350" s="4">
        <f t="shared" ref="A350:A377" si="271">A338+1</f>
        <v>2011</v>
      </c>
      <c r="B350" s="4">
        <f t="shared" ref="B350:B377" si="272">B338</f>
        <v>10</v>
      </c>
      <c r="C350" s="4">
        <f>'[2]FPC wSEB'!$F447</f>
        <v>269587</v>
      </c>
      <c r="D350" s="4">
        <f>'[2]FPC wSEB'!$Z447</f>
        <v>2379</v>
      </c>
      <c r="F350" s="4">
        <f>'[2]FPC wSEB'!$G447</f>
        <v>93754</v>
      </c>
      <c r="G350" s="4">
        <f t="shared" ref="G350" si="273">C350-F350</f>
        <v>175833</v>
      </c>
      <c r="H350" s="434">
        <v>2205</v>
      </c>
      <c r="I350" s="434">
        <v>675</v>
      </c>
      <c r="J350" s="434">
        <v>336</v>
      </c>
      <c r="K350" s="434">
        <v>103</v>
      </c>
      <c r="Z350" s="6">
        <f t="shared" ref="Z350" si="274">C350</f>
        <v>269587</v>
      </c>
      <c r="AA350" s="4">
        <f t="shared" ref="AA350" si="275">Z350-Z338</f>
        <v>18624</v>
      </c>
      <c r="AB350" s="485">
        <f>[9]IMWh!$E230</f>
        <v>272315</v>
      </c>
      <c r="AJ350" s="108">
        <f t="shared" si="169"/>
        <v>267046</v>
      </c>
      <c r="AK350" s="108">
        <f t="shared" si="170"/>
        <v>2205</v>
      </c>
      <c r="AL350" s="108">
        <f t="shared" si="171"/>
        <v>336</v>
      </c>
      <c r="BN350" s="4">
        <f t="shared" si="51"/>
        <v>2011</v>
      </c>
      <c r="BO350" s="4">
        <f t="shared" si="52"/>
        <v>10</v>
      </c>
      <c r="BP350" s="108">
        <f>C350+[4]MWh!$AL184</f>
        <v>256073.77904261724</v>
      </c>
      <c r="BQ350" s="108"/>
      <c r="BR350" s="108"/>
      <c r="BS350" s="108"/>
      <c r="BT350" s="175">
        <f t="shared" ref="BT350" si="276">BP350</f>
        <v>256073.77904261724</v>
      </c>
      <c r="BU350" s="108">
        <f t="shared" ref="BU350" si="277">BT350-BT338</f>
        <v>6418.6849142604042</v>
      </c>
      <c r="BW350" s="529">
        <f>BT350/[9]IMWh!$E230</f>
        <v>0.94035869872249878</v>
      </c>
    </row>
    <row r="351" spans="1:76">
      <c r="A351" s="4">
        <f t="shared" si="271"/>
        <v>2011</v>
      </c>
      <c r="B351" s="4">
        <f t="shared" si="272"/>
        <v>11</v>
      </c>
      <c r="C351" s="4">
        <f>'[2]FPC wSEB'!$F448</f>
        <v>268193</v>
      </c>
      <c r="D351" s="4">
        <f>'[2]FPC wSEB'!$Z448</f>
        <v>2432</v>
      </c>
      <c r="F351" s="4">
        <f>'[2]FPC wSEB'!$G448</f>
        <v>94256</v>
      </c>
      <c r="G351" s="4">
        <f t="shared" ref="G351" si="278">C351-F351</f>
        <v>173937</v>
      </c>
      <c r="H351" s="434">
        <v>2089</v>
      </c>
      <c r="I351" s="434">
        <v>721</v>
      </c>
      <c r="J351" s="434">
        <v>253</v>
      </c>
      <c r="K351" s="434">
        <v>100</v>
      </c>
      <c r="Z351" s="6">
        <f t="shared" ref="Z351" si="279">C351</f>
        <v>268193</v>
      </c>
      <c r="AA351" s="4">
        <f t="shared" ref="AA351" si="280">Z351-Z339</f>
        <v>7978</v>
      </c>
      <c r="AB351" s="485">
        <f>[9]IMWh!$E231</f>
        <v>256818</v>
      </c>
      <c r="AJ351" s="108">
        <f t="shared" si="169"/>
        <v>265851</v>
      </c>
      <c r="AK351" s="108">
        <f t="shared" si="170"/>
        <v>2089</v>
      </c>
      <c r="AL351" s="108">
        <f t="shared" si="171"/>
        <v>253</v>
      </c>
      <c r="BN351" s="4">
        <f t="shared" si="51"/>
        <v>2011</v>
      </c>
      <c r="BO351" s="4">
        <f t="shared" si="52"/>
        <v>11</v>
      </c>
      <c r="BP351" s="108">
        <f>C351+[4]MWh!$AL185</f>
        <v>267797.73551185825</v>
      </c>
      <c r="BQ351" s="108"/>
      <c r="BR351" s="108"/>
      <c r="BS351" s="108"/>
      <c r="BT351" s="175">
        <f t="shared" ref="BT351" si="281">BP351</f>
        <v>267797.73551185825</v>
      </c>
      <c r="BU351" s="108">
        <f t="shared" ref="BU351" si="282">BT351-BT339</f>
        <v>30660.800252258749</v>
      </c>
      <c r="BW351" s="529">
        <f>BT351/[9]IMWh!$E231</f>
        <v>1.0427529827031525</v>
      </c>
    </row>
    <row r="352" spans="1:76" s="89" customFormat="1">
      <c r="A352" s="89">
        <f t="shared" si="271"/>
        <v>2011</v>
      </c>
      <c r="B352" s="89">
        <f t="shared" si="272"/>
        <v>12</v>
      </c>
      <c r="C352" s="89">
        <f>'[2]FPC wSEB'!$F449</f>
        <v>245524</v>
      </c>
      <c r="D352" s="89">
        <f>'[2]FPC wSEB'!$Z449</f>
        <v>2359</v>
      </c>
      <c r="F352" s="89">
        <f>'[2]FPC wSEB'!$G449</f>
        <v>85134</v>
      </c>
      <c r="G352" s="89">
        <f t="shared" ref="G352:G353" si="283">C352-F352</f>
        <v>160390</v>
      </c>
      <c r="H352" s="435">
        <v>2060</v>
      </c>
      <c r="I352" s="435">
        <v>699</v>
      </c>
      <c r="J352" s="435">
        <v>343</v>
      </c>
      <c r="K352" s="435">
        <v>97</v>
      </c>
      <c r="Z352" s="96">
        <f t="shared" ref="Z352" si="284">C352</f>
        <v>245524</v>
      </c>
      <c r="AA352" s="89">
        <f t="shared" ref="AA352" si="285">Z352-Z340</f>
        <v>8804</v>
      </c>
      <c r="AB352" s="514">
        <f>[9]IMWh!$E232</f>
        <v>255313</v>
      </c>
      <c r="AJ352" s="117">
        <f t="shared" si="169"/>
        <v>243121</v>
      </c>
      <c r="AK352" s="117">
        <f t="shared" si="170"/>
        <v>2060</v>
      </c>
      <c r="AL352" s="117">
        <f t="shared" si="171"/>
        <v>343</v>
      </c>
      <c r="BN352" s="89">
        <f t="shared" si="51"/>
        <v>2011</v>
      </c>
      <c r="BO352" s="89">
        <f t="shared" si="52"/>
        <v>12</v>
      </c>
      <c r="BP352" s="117">
        <f>C352+[4]MWh!$AL186</f>
        <v>234201.37108663487</v>
      </c>
      <c r="BQ352" s="117"/>
      <c r="BR352" s="117"/>
      <c r="BS352" s="117"/>
      <c r="BT352" s="176">
        <f t="shared" ref="BT352" si="286">BP352</f>
        <v>234201.37108663487</v>
      </c>
      <c r="BU352" s="117">
        <f t="shared" ref="BU352" si="287">BT352-BT340</f>
        <v>-31334.875997421972</v>
      </c>
      <c r="BW352" s="536">
        <f>BT352/[9]IMWh!$E232</f>
        <v>0.91731079532430726</v>
      </c>
      <c r="BX352" s="539" t="s">
        <v>312</v>
      </c>
    </row>
    <row r="353" spans="1:76">
      <c r="A353" s="4">
        <f t="shared" si="271"/>
        <v>2012</v>
      </c>
      <c r="B353" s="4">
        <f t="shared" si="272"/>
        <v>1</v>
      </c>
      <c r="C353" s="4">
        <f>'[2]FPC wSEB'!$F450</f>
        <v>248421</v>
      </c>
      <c r="D353" s="4">
        <f>'[2]FPC wSEB'!$Z450</f>
        <v>2391</v>
      </c>
      <c r="F353" s="4">
        <f>'[2]FPC wSEB'!$G450</f>
        <v>85513</v>
      </c>
      <c r="G353" s="4">
        <f t="shared" si="283"/>
        <v>162908</v>
      </c>
      <c r="H353" s="434">
        <v>1810</v>
      </c>
      <c r="I353" s="434">
        <v>703</v>
      </c>
      <c r="J353" s="434">
        <v>323</v>
      </c>
      <c r="K353" s="434">
        <v>101</v>
      </c>
      <c r="L353" s="574">
        <f>[5]IC!$E233</f>
        <v>2397</v>
      </c>
      <c r="Z353" s="6">
        <f t="shared" ref="Z353" si="288">C353</f>
        <v>248421</v>
      </c>
      <c r="AA353" s="4">
        <f t="shared" ref="AA353" si="289">Z353-Z341</f>
        <v>-13601</v>
      </c>
      <c r="AB353" s="485">
        <f>[9]IMWh!$E233</f>
        <v>256948</v>
      </c>
      <c r="AJ353" s="108">
        <f t="shared" si="169"/>
        <v>246288</v>
      </c>
      <c r="AK353" s="108">
        <f t="shared" si="170"/>
        <v>1810</v>
      </c>
      <c r="AL353" s="108">
        <f t="shared" si="171"/>
        <v>323</v>
      </c>
      <c r="BN353" s="4">
        <f t="shared" si="51"/>
        <v>2012</v>
      </c>
      <c r="BO353" s="4">
        <f t="shared" si="52"/>
        <v>1</v>
      </c>
      <c r="BP353" s="108">
        <f>C353+[4]MWh!$AL187</f>
        <v>260058.48155321926</v>
      </c>
      <c r="BQ353" s="108"/>
      <c r="BR353" s="108"/>
      <c r="BS353" s="108"/>
      <c r="BT353" s="175">
        <f t="shared" ref="BT353" si="290">BP353</f>
        <v>260058.48155321926</v>
      </c>
      <c r="BU353" s="108">
        <f t="shared" ref="BU353" si="291">BT353-BT341</f>
        <v>21056.884369975771</v>
      </c>
      <c r="BW353" s="529">
        <f>BT353/[9]IMWh!$E233</f>
        <v>1.01210549042304</v>
      </c>
      <c r="BX353" s="537">
        <f>AVERAGE(BW353,BW341,BW329,BW317,BW305,BW293,BW281,BW269,BW257,BW245)</f>
        <v>0.9590309601889031</v>
      </c>
    </row>
    <row r="354" spans="1:76">
      <c r="A354" s="4">
        <f t="shared" si="271"/>
        <v>2012</v>
      </c>
      <c r="B354" s="4">
        <f t="shared" si="272"/>
        <v>2</v>
      </c>
      <c r="C354" s="4">
        <f>'[2]FPC wSEB'!$F451</f>
        <v>253164</v>
      </c>
      <c r="D354" s="4">
        <f>'[2]FPC wSEB'!$Z451</f>
        <v>2394</v>
      </c>
      <c r="F354" s="4">
        <f>'[2]FPC wSEB'!$G451</f>
        <v>88547</v>
      </c>
      <c r="G354" s="4">
        <f t="shared" ref="G354" si="292">C354-F354</f>
        <v>164617</v>
      </c>
      <c r="H354" s="434">
        <v>1923</v>
      </c>
      <c r="I354" s="434">
        <v>687</v>
      </c>
      <c r="J354" s="434">
        <v>336</v>
      </c>
      <c r="K354" s="434">
        <v>101</v>
      </c>
      <c r="L354" s="574">
        <f>[5]IC!$E234</f>
        <v>2397</v>
      </c>
      <c r="Z354" s="6">
        <f t="shared" ref="Z354" si="293">C354</f>
        <v>253164</v>
      </c>
      <c r="AA354" s="4">
        <f t="shared" ref="AA354" si="294">Z354-Z342</f>
        <v>-12690</v>
      </c>
      <c r="AB354" s="485">
        <f>[9]IMWh!$E234</f>
        <v>251387</v>
      </c>
      <c r="AJ354" s="108">
        <f t="shared" si="169"/>
        <v>250905</v>
      </c>
      <c r="AK354" s="108">
        <f t="shared" si="170"/>
        <v>1923</v>
      </c>
      <c r="AL354" s="108">
        <f t="shared" si="171"/>
        <v>336</v>
      </c>
      <c r="BN354" s="4">
        <f t="shared" ref="BN354:BN376" si="295">BN342+1</f>
        <v>2012</v>
      </c>
      <c r="BO354" s="4">
        <f t="shared" ref="BO354:BO376" si="296">BO342</f>
        <v>2</v>
      </c>
      <c r="BP354" s="108">
        <f>C354+[4]MWh!$AL188</f>
        <v>264212.09041528834</v>
      </c>
      <c r="BQ354" s="108"/>
      <c r="BR354" s="108"/>
      <c r="BS354" s="108"/>
      <c r="BT354" s="175">
        <f t="shared" ref="BT354" si="297">BP354</f>
        <v>264212.09041528834</v>
      </c>
      <c r="BU354" s="108">
        <f t="shared" ref="BU354" si="298">BT354-BT342</f>
        <v>-3628.7340483748703</v>
      </c>
      <c r="BW354" s="529">
        <f>BT354/[9]IMWh!$E234</f>
        <v>1.0510173175832018</v>
      </c>
      <c r="BX354" s="537">
        <f t="shared" ref="BX354:BX363" si="299">AVERAGE(BW354,BW342,BW330,BW318,BW306,BW294,BW282,BW270,BW246)</f>
        <v>0.96037018390521545</v>
      </c>
    </row>
    <row r="355" spans="1:76">
      <c r="A355" s="4">
        <f t="shared" si="271"/>
        <v>2012</v>
      </c>
      <c r="B355" s="4">
        <f t="shared" si="272"/>
        <v>3</v>
      </c>
      <c r="C355" s="4">
        <f>'[2]FPC wSEB'!$F452</f>
        <v>255451</v>
      </c>
      <c r="D355" s="4">
        <f>'[2]FPC wSEB'!$Z452</f>
        <v>2371</v>
      </c>
      <c r="F355" s="4">
        <f>'[2]FPC wSEB'!$G452</f>
        <v>83689</v>
      </c>
      <c r="G355" s="4">
        <f t="shared" ref="G355" si="300">C355-F355</f>
        <v>171762</v>
      </c>
      <c r="H355" s="434">
        <v>2207</v>
      </c>
      <c r="I355" s="434">
        <v>696</v>
      </c>
      <c r="J355" s="434">
        <v>335</v>
      </c>
      <c r="K355" s="434">
        <v>102</v>
      </c>
      <c r="L355" s="574">
        <f>[5]IC!$E235</f>
        <v>2396</v>
      </c>
      <c r="Z355" s="6">
        <f t="shared" ref="Z355" si="301">C355</f>
        <v>255451</v>
      </c>
      <c r="AA355" s="4">
        <f t="shared" ref="AA355" si="302">Z355-Z343</f>
        <v>11361</v>
      </c>
      <c r="AB355" s="485">
        <f>[9]IMWh!$E235</f>
        <v>254306</v>
      </c>
      <c r="AJ355" s="108">
        <f t="shared" si="169"/>
        <v>252909</v>
      </c>
      <c r="AK355" s="108">
        <f t="shared" si="170"/>
        <v>2207</v>
      </c>
      <c r="AL355" s="108">
        <f t="shared" si="171"/>
        <v>335</v>
      </c>
      <c r="BN355" s="4">
        <f t="shared" si="295"/>
        <v>2012</v>
      </c>
      <c r="BO355" s="4">
        <f t="shared" si="296"/>
        <v>3</v>
      </c>
      <c r="BP355" s="108">
        <f>C355+[4]MWh!$AL189</f>
        <v>268834.67612380034</v>
      </c>
      <c r="BQ355" s="108"/>
      <c r="BR355" s="108"/>
      <c r="BS355" s="108"/>
      <c r="BT355" s="175">
        <f t="shared" ref="BT355" si="303">BP355</f>
        <v>268834.67612380034</v>
      </c>
      <c r="BU355" s="108">
        <f t="shared" ref="BU355" si="304">BT355-BT343</f>
        <v>576.5137569590006</v>
      </c>
      <c r="BW355" s="529">
        <f>BT355/[9]IMWh!$E235</f>
        <v>1.0571306855669955</v>
      </c>
      <c r="BX355" s="537">
        <f t="shared" si="299"/>
        <v>1.071987647504232</v>
      </c>
    </row>
    <row r="356" spans="1:76">
      <c r="A356" s="4">
        <f t="shared" si="271"/>
        <v>2012</v>
      </c>
      <c r="B356" s="4">
        <f t="shared" si="272"/>
        <v>4</v>
      </c>
      <c r="C356" s="4">
        <f>'[2]FPC wSEB'!$F453</f>
        <v>264787</v>
      </c>
      <c r="D356" s="4">
        <f>'[2]FPC wSEB'!$Z453</f>
        <v>2352</v>
      </c>
      <c r="F356" s="4">
        <f>'[2]FPC wSEB'!$G453</f>
        <v>88051</v>
      </c>
      <c r="G356" s="4">
        <f t="shared" ref="G356" si="305">C356-F356</f>
        <v>176736</v>
      </c>
      <c r="H356" s="434">
        <v>2233</v>
      </c>
      <c r="I356" s="434">
        <v>679</v>
      </c>
      <c r="J356" s="434">
        <v>328</v>
      </c>
      <c r="K356" s="434">
        <v>103</v>
      </c>
      <c r="L356" s="574">
        <f>[5]IC!$E236</f>
        <v>2369</v>
      </c>
      <c r="Z356" s="6">
        <f t="shared" ref="Z356" si="306">C356</f>
        <v>264787</v>
      </c>
      <c r="AA356" s="4">
        <f t="shared" ref="AA356" si="307">Z356-Z344</f>
        <v>3426</v>
      </c>
      <c r="AB356" s="485">
        <f>[9]IMWh!$E236</f>
        <v>263303</v>
      </c>
      <c r="AJ356" s="108">
        <f t="shared" si="169"/>
        <v>262226</v>
      </c>
      <c r="AK356" s="108">
        <f t="shared" si="170"/>
        <v>2233</v>
      </c>
      <c r="AL356" s="108">
        <f t="shared" si="171"/>
        <v>328</v>
      </c>
      <c r="BN356" s="4">
        <f t="shared" si="295"/>
        <v>2012</v>
      </c>
      <c r="BO356" s="4">
        <f t="shared" si="296"/>
        <v>4</v>
      </c>
      <c r="BP356" s="108">
        <f>C356+[4]MWh!$AL190</f>
        <v>263502.54504106945</v>
      </c>
      <c r="BQ356" s="108"/>
      <c r="BR356" s="108"/>
      <c r="BS356" s="108"/>
      <c r="BT356" s="175">
        <f t="shared" ref="BT356" si="308">BP356</f>
        <v>263502.54504106945</v>
      </c>
      <c r="BU356" s="108">
        <f t="shared" ref="BU356" si="309">BT356-BT344</f>
        <v>-24812.963843962119</v>
      </c>
      <c r="BW356" s="529">
        <f>BT356/[9]IMWh!$E236</f>
        <v>1.0007578532757677</v>
      </c>
      <c r="BX356" s="537">
        <f t="shared" si="299"/>
        <v>1.0614920545792006</v>
      </c>
    </row>
    <row r="357" spans="1:76">
      <c r="A357" s="4">
        <f t="shared" si="271"/>
        <v>2012</v>
      </c>
      <c r="B357" s="4">
        <f t="shared" si="272"/>
        <v>5</v>
      </c>
      <c r="C357" s="4">
        <f>'[2]FPC wSEB'!$F454</f>
        <v>269547</v>
      </c>
      <c r="D357" s="4">
        <f>'[2]FPC wSEB'!$Z454</f>
        <v>2366</v>
      </c>
      <c r="F357" s="4">
        <f>'[2]FPC wSEB'!$G454</f>
        <v>82840</v>
      </c>
      <c r="G357" s="4">
        <f t="shared" ref="G357" si="310">C357-F357</f>
        <v>186707</v>
      </c>
      <c r="H357" s="434">
        <v>2218</v>
      </c>
      <c r="I357" s="434">
        <v>671</v>
      </c>
      <c r="J357" s="434">
        <v>338</v>
      </c>
      <c r="K357" s="434">
        <v>97</v>
      </c>
      <c r="L357" s="574">
        <f>[5]IC!$E237</f>
        <v>2356</v>
      </c>
      <c r="Z357" s="6">
        <f t="shared" ref="Z357" si="311">C357</f>
        <v>269547</v>
      </c>
      <c r="AA357" s="4">
        <f t="shared" ref="AA357" si="312">Z357-Z345</f>
        <v>-30358</v>
      </c>
      <c r="AB357" s="485">
        <f>[9]IMWh!$E237</f>
        <v>268931</v>
      </c>
      <c r="AJ357" s="108">
        <f t="shared" si="169"/>
        <v>266991</v>
      </c>
      <c r="AK357" s="108">
        <f t="shared" si="170"/>
        <v>2218</v>
      </c>
      <c r="AL357" s="108">
        <f t="shared" si="171"/>
        <v>338</v>
      </c>
      <c r="BN357" s="4">
        <f t="shared" si="295"/>
        <v>2012</v>
      </c>
      <c r="BO357" s="4">
        <f t="shared" si="296"/>
        <v>5</v>
      </c>
      <c r="BP357" s="108">
        <f>C357+[4]MWh!$AL191</f>
        <v>304864.70009547786</v>
      </c>
      <c r="BQ357" s="108"/>
      <c r="BR357" s="108"/>
      <c r="BS357" s="108"/>
      <c r="BT357" s="175">
        <f t="shared" ref="BT357" si="313">BP357</f>
        <v>304864.70009547786</v>
      </c>
      <c r="BU357" s="108">
        <f t="shared" ref="BU357" si="314">BT357-BT345</f>
        <v>-4576.7276855322998</v>
      </c>
      <c r="BW357" s="529">
        <f>BT357/[9]IMWh!$E237</f>
        <v>1.133616801690686</v>
      </c>
      <c r="BX357" s="537">
        <f t="shared" si="299"/>
        <v>1.0994277704658921</v>
      </c>
    </row>
    <row r="358" spans="1:76">
      <c r="A358" s="4">
        <f t="shared" si="271"/>
        <v>2012</v>
      </c>
      <c r="B358" s="4">
        <f t="shared" si="272"/>
        <v>6</v>
      </c>
      <c r="C358" s="4">
        <f>'[2]FPC wSEB'!$F455</f>
        <v>273573</v>
      </c>
      <c r="D358" s="4">
        <f>'[2]FPC wSEB'!$Z455</f>
        <v>2347</v>
      </c>
      <c r="F358" s="4">
        <f>'[2]FPC wSEB'!$G455</f>
        <v>92171</v>
      </c>
      <c r="G358" s="4">
        <f t="shared" ref="G358" si="315">C358-F358</f>
        <v>181402</v>
      </c>
      <c r="H358" s="434">
        <v>2304</v>
      </c>
      <c r="I358" s="434">
        <v>686</v>
      </c>
      <c r="J358" s="434">
        <v>325</v>
      </c>
      <c r="K358" s="434">
        <v>99</v>
      </c>
      <c r="L358" s="574">
        <f>[5]IC!$E238</f>
        <v>2367</v>
      </c>
      <c r="Z358" s="6">
        <f t="shared" ref="Z358" si="316">C358</f>
        <v>273573</v>
      </c>
      <c r="AA358" s="4">
        <f t="shared" ref="AA358" si="317">Z358-Z346</f>
        <v>-14210</v>
      </c>
      <c r="AB358" s="485">
        <f>[9]IMWh!$E238</f>
        <v>267411</v>
      </c>
      <c r="AJ358" s="108">
        <f t="shared" si="169"/>
        <v>270944</v>
      </c>
      <c r="AK358" s="108">
        <f t="shared" si="170"/>
        <v>2304</v>
      </c>
      <c r="AL358" s="108">
        <f t="shared" si="171"/>
        <v>325</v>
      </c>
      <c r="BN358" s="4">
        <f t="shared" si="295"/>
        <v>2012</v>
      </c>
      <c r="BO358" s="4">
        <f t="shared" si="296"/>
        <v>6</v>
      </c>
      <c r="BP358" s="108">
        <f>C358+[4]MWh!$AL192</f>
        <v>242433.1474280048</v>
      </c>
      <c r="BQ358" s="108"/>
      <c r="BR358" s="108"/>
      <c r="BS358" s="108"/>
      <c r="BT358" s="175">
        <f t="shared" ref="BT358" si="318">BP358</f>
        <v>242433.1474280048</v>
      </c>
      <c r="BU358" s="108">
        <f t="shared" ref="BU358" si="319">BT358-BT346</f>
        <v>-33809.401874105475</v>
      </c>
      <c r="BW358" s="529">
        <f>BT358/[9]IMWh!$E238</f>
        <v>0.90659377298617039</v>
      </c>
      <c r="BX358" s="537">
        <f t="shared" si="299"/>
        <v>0.95807442122733066</v>
      </c>
    </row>
    <row r="359" spans="1:76">
      <c r="A359" s="4">
        <f t="shared" si="271"/>
        <v>2012</v>
      </c>
      <c r="B359" s="4">
        <f t="shared" si="272"/>
        <v>7</v>
      </c>
      <c r="C359" s="4">
        <f>'[2]FPC wSEB'!$F456</f>
        <v>273358</v>
      </c>
      <c r="D359" s="4">
        <f>'[2]FPC wSEB'!$Z456</f>
        <v>2325</v>
      </c>
      <c r="F359" s="4">
        <f>'[2]FPC wSEB'!$G456</f>
        <v>95115</v>
      </c>
      <c r="G359" s="4">
        <f t="shared" ref="G359" si="320">C359-F359</f>
        <v>178243</v>
      </c>
      <c r="H359" s="434">
        <v>2273</v>
      </c>
      <c r="I359" s="434">
        <v>663</v>
      </c>
      <c r="J359" s="434">
        <v>335</v>
      </c>
      <c r="K359" s="434">
        <v>100</v>
      </c>
      <c r="L359" s="574">
        <f>[5]IC!$E239</f>
        <v>2351</v>
      </c>
      <c r="Z359" s="6">
        <f t="shared" ref="Z359" si="321">C359</f>
        <v>273358</v>
      </c>
      <c r="AA359" s="4">
        <f t="shared" ref="AA359" si="322">Z359-Z347</f>
        <v>7124</v>
      </c>
      <c r="AB359" s="485">
        <f>[9]IMWh!$E239</f>
        <v>272203</v>
      </c>
      <c r="AJ359" s="108">
        <f t="shared" si="169"/>
        <v>270750</v>
      </c>
      <c r="AK359" s="108">
        <f t="shared" si="170"/>
        <v>2273</v>
      </c>
      <c r="AL359" s="108">
        <f t="shared" si="171"/>
        <v>335</v>
      </c>
      <c r="BN359" s="4">
        <f t="shared" si="295"/>
        <v>2012</v>
      </c>
      <c r="BO359" s="4">
        <f t="shared" si="296"/>
        <v>7</v>
      </c>
      <c r="BP359" s="108">
        <f>C359+[4]MWh!$AL193</f>
        <v>306351.42695744347</v>
      </c>
      <c r="BQ359" s="108"/>
      <c r="BR359" s="108"/>
      <c r="BS359" s="108"/>
      <c r="BT359" s="175">
        <f t="shared" ref="BT359" si="323">BP359</f>
        <v>306351.42695744347</v>
      </c>
      <c r="BU359" s="108">
        <f t="shared" ref="BU359" si="324">BT359-BT347</f>
        <v>51934.476796758041</v>
      </c>
      <c r="BW359" s="529">
        <f>BT359/[9]IMWh!$E239</f>
        <v>1.1254520595197095</v>
      </c>
      <c r="BX359" s="537">
        <f t="shared" si="299"/>
        <v>1.0030441376353347</v>
      </c>
    </row>
    <row r="360" spans="1:76">
      <c r="A360" s="4">
        <f t="shared" si="271"/>
        <v>2012</v>
      </c>
      <c r="B360" s="4">
        <f t="shared" si="272"/>
        <v>8</v>
      </c>
      <c r="C360" s="4">
        <f>'[2]FPC wSEB'!$F457</f>
        <v>270778</v>
      </c>
      <c r="D360" s="4">
        <f>'[2]FPC wSEB'!$Z457</f>
        <v>2389</v>
      </c>
      <c r="F360" s="4">
        <f>'[2]FPC wSEB'!$G457</f>
        <v>86610</v>
      </c>
      <c r="G360" s="4">
        <f t="shared" ref="G360" si="325">C360-F360</f>
        <v>184168</v>
      </c>
      <c r="H360" s="434">
        <v>2584</v>
      </c>
      <c r="I360" s="434">
        <v>720</v>
      </c>
      <c r="J360" s="434">
        <v>338</v>
      </c>
      <c r="K360" s="434">
        <v>99</v>
      </c>
      <c r="L360" s="574">
        <f>[5]IC!$E240</f>
        <v>2355</v>
      </c>
      <c r="Z360" s="6">
        <f t="shared" ref="Z360" si="326">C360</f>
        <v>270778</v>
      </c>
      <c r="AA360" s="4">
        <f t="shared" ref="AA360" si="327">Z360-Z348</f>
        <v>-25488</v>
      </c>
      <c r="AB360" s="485">
        <f>[9]IMWh!$E240</f>
        <v>276251</v>
      </c>
      <c r="AJ360" s="108">
        <f t="shared" si="169"/>
        <v>267856</v>
      </c>
      <c r="AK360" s="108">
        <f t="shared" si="170"/>
        <v>2584</v>
      </c>
      <c r="AL360" s="108">
        <f t="shared" si="171"/>
        <v>338</v>
      </c>
      <c r="BN360" s="4">
        <f t="shared" si="295"/>
        <v>2012</v>
      </c>
      <c r="BO360" s="4">
        <f t="shared" si="296"/>
        <v>8</v>
      </c>
      <c r="BP360" s="108">
        <f>C360+[4]MWh!$AL194</f>
        <v>231999.24254311403</v>
      </c>
      <c r="BQ360" s="108"/>
      <c r="BR360" s="108"/>
      <c r="BS360" s="108"/>
      <c r="BT360" s="175">
        <f t="shared" ref="BT360" si="328">BP360</f>
        <v>231999.24254311403</v>
      </c>
      <c r="BU360" s="108">
        <f t="shared" ref="BU360" si="329">BT360-BT348</f>
        <v>-66903.48925578894</v>
      </c>
      <c r="BW360" s="529">
        <f>BT360/[9]IMWh!$E240</f>
        <v>0.83981322255164337</v>
      </c>
      <c r="BX360" s="537">
        <f t="shared" si="299"/>
        <v>0.96745167268892507</v>
      </c>
    </row>
    <row r="361" spans="1:76">
      <c r="A361" s="4">
        <f t="shared" si="271"/>
        <v>2012</v>
      </c>
      <c r="B361" s="4">
        <f t="shared" si="272"/>
        <v>9</v>
      </c>
      <c r="C361" s="4">
        <f>'[2]FPC wSEB'!$F458</f>
        <v>275105</v>
      </c>
      <c r="D361" s="4">
        <f>'[2]FPC wSEB'!$Z458</f>
        <v>2361</v>
      </c>
      <c r="F361" s="4">
        <f>'[2]FPC wSEB'!$G458</f>
        <v>89986</v>
      </c>
      <c r="G361" s="4">
        <f t="shared" ref="G361" si="330">C361-F361</f>
        <v>185119</v>
      </c>
      <c r="H361" s="434">
        <v>2356</v>
      </c>
      <c r="I361" s="434">
        <v>687</v>
      </c>
      <c r="J361" s="434">
        <v>331</v>
      </c>
      <c r="K361" s="434">
        <v>97</v>
      </c>
      <c r="L361" s="574">
        <f>[5]IC!$E241</f>
        <v>2369</v>
      </c>
      <c r="Z361" s="6">
        <f t="shared" ref="Z361" si="331">C361</f>
        <v>275105</v>
      </c>
      <c r="AA361" s="4">
        <f t="shared" ref="AA361" si="332">Z361-Z349</f>
        <v>-814</v>
      </c>
      <c r="AB361" s="485">
        <f>[9]IMWh!$E241</f>
        <v>274478</v>
      </c>
      <c r="AJ361" s="108">
        <f t="shared" si="169"/>
        <v>272418</v>
      </c>
      <c r="AK361" s="108">
        <f t="shared" si="170"/>
        <v>2356</v>
      </c>
      <c r="AL361" s="108">
        <f t="shared" si="171"/>
        <v>331</v>
      </c>
      <c r="BN361" s="4">
        <f t="shared" si="295"/>
        <v>2012</v>
      </c>
      <c r="BO361" s="4">
        <f t="shared" si="296"/>
        <v>9</v>
      </c>
      <c r="BP361" s="108">
        <f>C361+[4]MWh!$AL195</f>
        <v>280929.839379863</v>
      </c>
      <c r="BQ361" s="108"/>
      <c r="BR361" s="108"/>
      <c r="BS361" s="108"/>
      <c r="BT361" s="175">
        <f t="shared" ref="BT361" si="333">BP361</f>
        <v>280929.839379863</v>
      </c>
      <c r="BU361" s="108">
        <f t="shared" ref="BU361" si="334">BT361-BT349</f>
        <v>28578.872769368521</v>
      </c>
      <c r="BW361" s="529">
        <f>BT361/[9]IMWh!$E241</f>
        <v>1.0235058524904108</v>
      </c>
      <c r="BX361" s="537">
        <f t="shared" si="299"/>
        <v>0.94046437456875642</v>
      </c>
    </row>
    <row r="362" spans="1:76">
      <c r="A362" s="4">
        <f t="shared" si="271"/>
        <v>2012</v>
      </c>
      <c r="B362" s="4">
        <f t="shared" si="272"/>
        <v>10</v>
      </c>
      <c r="C362" s="4">
        <f>'[2]FPC wSEB'!$F459</f>
        <v>252612</v>
      </c>
      <c r="D362" s="4">
        <f>'[2]FPC wSEB'!$Z459</f>
        <v>2376</v>
      </c>
      <c r="F362" s="4">
        <f>'[2]FPC wSEB'!$G459</f>
        <v>79109</v>
      </c>
      <c r="G362" s="4">
        <f t="shared" ref="G362" si="335">C362-F362</f>
        <v>173503</v>
      </c>
      <c r="H362" s="434">
        <v>2460</v>
      </c>
      <c r="I362" s="434">
        <v>704</v>
      </c>
      <c r="J362" s="434">
        <v>338</v>
      </c>
      <c r="K362" s="434">
        <v>98</v>
      </c>
      <c r="L362" s="574">
        <f>[5]IC!$E242</f>
        <v>2393</v>
      </c>
      <c r="Z362" s="6">
        <f t="shared" ref="Z362" si="336">C362</f>
        <v>252612</v>
      </c>
      <c r="AA362" s="4">
        <f t="shared" ref="AA362" si="337">Z362-Z350</f>
        <v>-16975</v>
      </c>
      <c r="AB362" s="485">
        <f>[9]IMWh!$E242</f>
        <v>283437</v>
      </c>
      <c r="AJ362" s="108">
        <f t="shared" si="169"/>
        <v>249814</v>
      </c>
      <c r="AK362" s="108">
        <f t="shared" si="170"/>
        <v>2460</v>
      </c>
      <c r="AL362" s="108">
        <f t="shared" si="171"/>
        <v>338</v>
      </c>
      <c r="BN362" s="4">
        <f t="shared" si="295"/>
        <v>2012</v>
      </c>
      <c r="BO362" s="4">
        <f t="shared" si="296"/>
        <v>10</v>
      </c>
      <c r="BP362" s="108">
        <f>C362+[4]MWh!$AL196</f>
        <v>226798.28215239814</v>
      </c>
      <c r="BQ362" s="108"/>
      <c r="BR362" s="108"/>
      <c r="BS362" s="108"/>
      <c r="BT362" s="175">
        <f t="shared" ref="BT362" si="338">BP362</f>
        <v>226798.28215239814</v>
      </c>
      <c r="BU362" s="108">
        <f t="shared" ref="BU362" si="339">BT362-BT350</f>
        <v>-29275.496890219103</v>
      </c>
      <c r="BW362" s="529">
        <f>BT362/[9]IMWh!$E242</f>
        <v>0.80017175651872596</v>
      </c>
      <c r="BX362" s="537">
        <f t="shared" si="299"/>
        <v>0.95183081162690308</v>
      </c>
    </row>
    <row r="363" spans="1:76">
      <c r="A363" s="4">
        <f t="shared" si="271"/>
        <v>2012</v>
      </c>
      <c r="B363" s="4">
        <f t="shared" si="272"/>
        <v>11</v>
      </c>
      <c r="C363" s="4">
        <f>'[2]FPC wSEB'!$F460</f>
        <v>264412</v>
      </c>
      <c r="D363" s="4">
        <f>'[2]FPC wSEB'!$Z460</f>
        <v>2469</v>
      </c>
      <c r="F363" s="4">
        <f>'[2]FPC wSEB'!$G460</f>
        <v>87454</v>
      </c>
      <c r="G363" s="4">
        <f t="shared" ref="G363" si="340">C363-F363</f>
        <v>176958</v>
      </c>
      <c r="H363" s="434">
        <v>2514</v>
      </c>
      <c r="I363" s="434">
        <v>751</v>
      </c>
      <c r="J363" s="434">
        <v>334</v>
      </c>
      <c r="K363" s="434">
        <v>96</v>
      </c>
      <c r="L363" s="574">
        <f>[5]IC!$E243</f>
        <v>2363</v>
      </c>
      <c r="Z363" s="6">
        <f t="shared" ref="Z363" si="341">C363</f>
        <v>264412</v>
      </c>
      <c r="AA363" s="4">
        <f t="shared" ref="AA363" si="342">Z363-Z351</f>
        <v>-3781</v>
      </c>
      <c r="AB363" s="485">
        <f>[9]IMWh!$E243</f>
        <v>226467</v>
      </c>
      <c r="AJ363" s="108">
        <f t="shared" si="169"/>
        <v>261564</v>
      </c>
      <c r="AK363" s="108">
        <f t="shared" si="170"/>
        <v>2514</v>
      </c>
      <c r="AL363" s="108">
        <f t="shared" si="171"/>
        <v>334</v>
      </c>
      <c r="BN363" s="4">
        <f t="shared" si="295"/>
        <v>2012</v>
      </c>
      <c r="BO363" s="4">
        <f t="shared" si="296"/>
        <v>11</v>
      </c>
      <c r="BP363" s="108">
        <f>C363+[4]MWh!$AL197</f>
        <v>251374.09735533124</v>
      </c>
      <c r="BQ363" s="108"/>
      <c r="BR363" s="108"/>
      <c r="BS363" s="108"/>
      <c r="BT363" s="175">
        <f t="shared" ref="BT363" si="343">BP363</f>
        <v>251374.09735533124</v>
      </c>
      <c r="BU363" s="108">
        <f t="shared" ref="BU363" si="344">BT363-BT351</f>
        <v>-16423.638156527013</v>
      </c>
      <c r="BW363" s="529">
        <f>BT363/[9]IMWh!$E243</f>
        <v>1.1099811334778631</v>
      </c>
      <c r="BX363" s="537">
        <f t="shared" si="299"/>
        <v>1.0426981186606501</v>
      </c>
    </row>
    <row r="364" spans="1:76" s="89" customFormat="1">
      <c r="A364" s="89">
        <f t="shared" si="271"/>
        <v>2012</v>
      </c>
      <c r="B364" s="89">
        <f t="shared" si="272"/>
        <v>12</v>
      </c>
      <c r="C364" s="89">
        <f>'[2]FPC wSEB'!$F461</f>
        <v>259044</v>
      </c>
      <c r="D364" s="89">
        <f>'[2]FPC wSEB'!$Z461</f>
        <v>2319</v>
      </c>
      <c r="F364" s="89">
        <f>'[2]FPC wSEB'!$G461</f>
        <v>93633</v>
      </c>
      <c r="G364" s="89">
        <f t="shared" ref="G364" si="345">C364-F364</f>
        <v>165411</v>
      </c>
      <c r="H364" s="435">
        <v>2228</v>
      </c>
      <c r="I364" s="435">
        <v>692</v>
      </c>
      <c r="J364" s="435">
        <v>324</v>
      </c>
      <c r="K364" s="435">
        <v>98</v>
      </c>
      <c r="L364" s="575">
        <f>[5]IC!$E244</f>
        <v>2341</v>
      </c>
      <c r="Z364" s="96">
        <f t="shared" ref="Z364" si="346">C364</f>
        <v>259044</v>
      </c>
      <c r="AA364" s="89">
        <f t="shared" ref="AA364" si="347">Z364-Z352</f>
        <v>13520</v>
      </c>
      <c r="AB364" s="514">
        <f>[9]IMWh!$E244</f>
        <v>256578</v>
      </c>
      <c r="AJ364" s="117">
        <f t="shared" si="169"/>
        <v>256492</v>
      </c>
      <c r="AK364" s="117">
        <f t="shared" si="170"/>
        <v>2228</v>
      </c>
      <c r="AL364" s="117">
        <f t="shared" si="171"/>
        <v>324</v>
      </c>
      <c r="BN364" s="89">
        <f t="shared" si="295"/>
        <v>2012</v>
      </c>
      <c r="BO364" s="89">
        <f t="shared" si="296"/>
        <v>12</v>
      </c>
      <c r="BP364" s="117">
        <f>C364+[4]MWh!$AL198</f>
        <v>300091.90924523468</v>
      </c>
      <c r="BQ364" s="117"/>
      <c r="BR364" s="117"/>
      <c r="BS364" s="117"/>
      <c r="BT364" s="176">
        <f t="shared" ref="BT364" si="348">BP364</f>
        <v>300091.90924523468</v>
      </c>
      <c r="BU364" s="117">
        <f t="shared" ref="BU364" si="349">BT364-BT352</f>
        <v>65890.538158599811</v>
      </c>
      <c r="BW364" s="536">
        <f>BT364/[9]IMWh!$E244</f>
        <v>1.1695932981207846</v>
      </c>
      <c r="BX364" s="443">
        <f>AVERAGE(BW364,BW352,BW340,BW328,BW316,BW304,BW292,BW280,BW256)+0.0029</f>
        <v>0.98476809263017262</v>
      </c>
    </row>
    <row r="365" spans="1:76">
      <c r="A365" s="4">
        <f t="shared" si="271"/>
        <v>2013</v>
      </c>
      <c r="B365" s="4">
        <f t="shared" si="272"/>
        <v>1</v>
      </c>
      <c r="C365" s="4">
        <f>'[2]FPC wSEB'!$F462</f>
        <v>250171</v>
      </c>
      <c r="D365" s="4">
        <f>'[2]FPC wSEB'!$Z462</f>
        <v>2309</v>
      </c>
      <c r="F365" s="4">
        <f>'[2]FPC wSEB'!$G462</f>
        <v>91423</v>
      </c>
      <c r="G365" s="4">
        <f t="shared" ref="G365" si="350">C365-F365</f>
        <v>158748</v>
      </c>
      <c r="H365" s="420">
        <f>ROUND([11]Jan!$Q$19/1000,0)</f>
        <v>2008</v>
      </c>
      <c r="I365" s="420">
        <f>[11]Jan!$P$19</f>
        <v>676</v>
      </c>
      <c r="J365" s="420">
        <f>ROUND([11]Jan!$Q$26/1000,0)</f>
        <v>336</v>
      </c>
      <c r="K365" s="420">
        <f>[11]Jan!$P$26</f>
        <v>100</v>
      </c>
      <c r="L365" s="574">
        <f>[5]IC!$E245</f>
        <v>2357</v>
      </c>
      <c r="Z365" s="6">
        <f t="shared" ref="Z365" si="351">C365</f>
        <v>250171</v>
      </c>
      <c r="AA365" s="4">
        <f t="shared" ref="AA365" si="352">Z365-Z353</f>
        <v>1750</v>
      </c>
      <c r="AB365" s="485">
        <f>[9]IMWh!$E245</f>
        <v>259787</v>
      </c>
      <c r="AJ365" s="108">
        <f t="shared" si="169"/>
        <v>247827</v>
      </c>
      <c r="AK365" s="108">
        <f t="shared" si="170"/>
        <v>2008</v>
      </c>
      <c r="AL365" s="108">
        <f t="shared" si="171"/>
        <v>336</v>
      </c>
      <c r="BN365" s="4">
        <f t="shared" si="295"/>
        <v>2013</v>
      </c>
      <c r="BO365" s="4">
        <f t="shared" si="296"/>
        <v>1</v>
      </c>
      <c r="BP365" s="108">
        <f>C365+[4]MWh!$AL199</f>
        <v>234830.56433679236</v>
      </c>
      <c r="BQ365" s="108"/>
      <c r="BR365" s="108"/>
      <c r="BS365" s="108"/>
      <c r="BT365" s="175">
        <f t="shared" ref="BT365" si="353">BP365</f>
        <v>234830.56433679236</v>
      </c>
      <c r="BU365" s="108">
        <f t="shared" ref="BU365" si="354">BT365-BT353</f>
        <v>-25227.917216426897</v>
      </c>
      <c r="BW365" s="529">
        <f>BT365/[9]IMWh!$E245</f>
        <v>0.90393500959167461</v>
      </c>
      <c r="BX365" s="538">
        <f>SUM(BX353:BX364)</f>
        <v>12.000640245681518</v>
      </c>
    </row>
    <row r="366" spans="1:76">
      <c r="A366" s="4">
        <f t="shared" si="271"/>
        <v>2013</v>
      </c>
      <c r="B366" s="4">
        <f t="shared" si="272"/>
        <v>2</v>
      </c>
      <c r="C366" s="4">
        <f>'[2]FPC wSEB'!$F463</f>
        <v>253946</v>
      </c>
      <c r="D366" s="4">
        <f>'[2]FPC wSEB'!$Z463</f>
        <v>2371</v>
      </c>
      <c r="F366" s="4">
        <f>'[2]FPC wSEB'!$G463</f>
        <v>88777</v>
      </c>
      <c r="G366" s="4">
        <f t="shared" ref="G366" si="355">C366-F366</f>
        <v>165169</v>
      </c>
      <c r="H366" s="420">
        <f>ROUND([11]Feb!$Q$19/1000,0)</f>
        <v>2083</v>
      </c>
      <c r="I366" s="420">
        <f>[11]Feb!$P$19</f>
        <v>709</v>
      </c>
      <c r="J366" s="420">
        <f>ROUND([11]Feb!$Q$26/1000,0)</f>
        <v>327</v>
      </c>
      <c r="K366" s="420">
        <f>[11]Feb!$P$26</f>
        <v>100</v>
      </c>
      <c r="L366" s="574">
        <f>[5]IC!$E246</f>
        <v>2366</v>
      </c>
      <c r="Z366" s="6">
        <f t="shared" ref="Z366" si="356">C366</f>
        <v>253946</v>
      </c>
      <c r="AA366" s="4">
        <f t="shared" ref="AA366" si="357">Z366-Z354</f>
        <v>782</v>
      </c>
      <c r="AB366" s="485">
        <f>[9]IMWh!$E246</f>
        <v>258406</v>
      </c>
      <c r="AJ366" s="108">
        <f t="shared" si="169"/>
        <v>251536</v>
      </c>
      <c r="AK366" s="108">
        <f t="shared" si="170"/>
        <v>2083</v>
      </c>
      <c r="AL366" s="108">
        <f t="shared" si="171"/>
        <v>327</v>
      </c>
      <c r="BN366" s="4">
        <f t="shared" si="295"/>
        <v>2013</v>
      </c>
      <c r="BO366" s="4">
        <f t="shared" si="296"/>
        <v>2</v>
      </c>
      <c r="BP366" s="108">
        <f>C366+[4]MWh!$AL200</f>
        <v>245807.13339105123</v>
      </c>
      <c r="BQ366" s="108"/>
      <c r="BR366" s="108"/>
      <c r="BS366" s="108"/>
      <c r="BT366" s="175">
        <f t="shared" ref="BT366" si="358">BP366</f>
        <v>245807.13339105123</v>
      </c>
      <c r="BU366" s="108">
        <f t="shared" ref="BU366" si="359">BT366-BT354</f>
        <v>-18404.957024237112</v>
      </c>
      <c r="BW366" s="529">
        <f>BT366/[9]IMWh!$E246</f>
        <v>0.95124390838854833</v>
      </c>
    </row>
    <row r="367" spans="1:76">
      <c r="A367" s="4">
        <f t="shared" si="271"/>
        <v>2013</v>
      </c>
      <c r="B367" s="4">
        <f t="shared" si="272"/>
        <v>3</v>
      </c>
      <c r="C367" s="4">
        <f>'[2]FPC wSEB'!$F464</f>
        <v>250408</v>
      </c>
      <c r="D367" s="4">
        <f>'[2]FPC wSEB'!$Z464</f>
        <v>2337</v>
      </c>
      <c r="F367" s="4">
        <f>'[2]FPC wSEB'!$G464</f>
        <v>84865</v>
      </c>
      <c r="G367" s="4">
        <f t="shared" ref="G367" si="360">C367-F367</f>
        <v>165543</v>
      </c>
      <c r="H367" s="420">
        <f>ROUND([11]Mar!$Q$19/1000,0)</f>
        <v>1923</v>
      </c>
      <c r="I367" s="420">
        <f>[11]Mar!$P$19</f>
        <v>689</v>
      </c>
      <c r="J367" s="420">
        <f>ROUND([11]Mar!$Q$26/1000,0)</f>
        <v>325</v>
      </c>
      <c r="K367" s="420">
        <f>[11]Mar!$P$26</f>
        <v>93</v>
      </c>
      <c r="L367" s="574">
        <f>[5]IC!$E247</f>
        <v>2360</v>
      </c>
      <c r="Z367" s="6">
        <f t="shared" ref="Z367" si="361">C367</f>
        <v>250408</v>
      </c>
      <c r="AA367" s="4">
        <f t="shared" ref="AA367" si="362">Z367-Z355</f>
        <v>-5043</v>
      </c>
      <c r="AB367" s="485">
        <f>[9]IMWh!$E247</f>
        <v>250400</v>
      </c>
      <c r="AJ367" s="108">
        <f t="shared" si="169"/>
        <v>248160</v>
      </c>
      <c r="AK367" s="108">
        <f t="shared" si="170"/>
        <v>1923</v>
      </c>
      <c r="AL367" s="108">
        <f t="shared" si="171"/>
        <v>325</v>
      </c>
      <c r="BN367" s="4">
        <f t="shared" si="295"/>
        <v>2013</v>
      </c>
      <c r="BO367" s="4">
        <f t="shared" si="296"/>
        <v>3</v>
      </c>
      <c r="BP367" s="108">
        <f>C367+[4]MWh!$AL201</f>
        <v>269513.92752595094</v>
      </c>
      <c r="BQ367" s="108"/>
      <c r="BR367" s="108"/>
      <c r="BS367" s="108"/>
      <c r="BT367" s="175">
        <f t="shared" ref="BT367" si="363">BP367</f>
        <v>269513.92752595094</v>
      </c>
      <c r="BU367" s="108">
        <f t="shared" ref="BU367" si="364">BT367-BT355</f>
        <v>679.25140215060674</v>
      </c>
      <c r="BW367" s="529">
        <f>BT367/[9]IMWh!$E247</f>
        <v>1.0763335763815933</v>
      </c>
    </row>
    <row r="368" spans="1:76">
      <c r="A368" s="4">
        <f t="shared" si="271"/>
        <v>2013</v>
      </c>
      <c r="B368" s="4">
        <f t="shared" si="272"/>
        <v>4</v>
      </c>
      <c r="C368" s="4">
        <f>'[2]FPC wSEB'!$F465</f>
        <v>268166</v>
      </c>
      <c r="D368" s="4">
        <f>'[2]FPC wSEB'!$Z465</f>
        <v>2320</v>
      </c>
      <c r="F368" s="4">
        <f>'[2]FPC wSEB'!$G465</f>
        <v>94756</v>
      </c>
      <c r="G368" s="4">
        <f t="shared" ref="G368" si="365">C368-F368</f>
        <v>173410</v>
      </c>
      <c r="H368" s="420">
        <f>ROUND([11]Apr!$Q$19/1000,0)</f>
        <v>2480</v>
      </c>
      <c r="I368" s="420">
        <f>[11]Apr!$P$19</f>
        <v>698</v>
      </c>
      <c r="J368" s="420">
        <f>ROUND([11]Apr!$Q$26/1000,0)</f>
        <v>328</v>
      </c>
      <c r="K368" s="420">
        <f>[11]Apr!$P$26</f>
        <v>91</v>
      </c>
      <c r="L368" s="574">
        <f>[5]IC!$E248</f>
        <v>2368</v>
      </c>
      <c r="Z368" s="6">
        <f t="shared" ref="Z368" si="366">C368</f>
        <v>268166</v>
      </c>
      <c r="AA368" s="4">
        <f t="shared" ref="AA368" si="367">Z368-Z356</f>
        <v>3379</v>
      </c>
      <c r="AB368" s="485">
        <f>[9]IMWh!$E248</f>
        <v>295108</v>
      </c>
      <c r="AJ368" s="108">
        <f t="shared" ref="AJ368" si="368">C368-AK368-AL368</f>
        <v>265358</v>
      </c>
      <c r="AK368" s="108">
        <f t="shared" ref="AK368" si="369">H368</f>
        <v>2480</v>
      </c>
      <c r="AL368" s="108">
        <f t="shared" ref="AL368" si="370">J368</f>
        <v>328</v>
      </c>
      <c r="BN368" s="4">
        <f t="shared" si="295"/>
        <v>2013</v>
      </c>
      <c r="BO368" s="4">
        <f t="shared" si="296"/>
        <v>4</v>
      </c>
      <c r="BP368" s="108">
        <f>C368+[4]MWh!$AL202</f>
        <v>282798.63397858222</v>
      </c>
      <c r="BQ368" s="108"/>
      <c r="BR368" s="108"/>
      <c r="BS368" s="108"/>
      <c r="BT368" s="175">
        <f t="shared" ref="BT368" si="371">BP368</f>
        <v>282798.63397858222</v>
      </c>
      <c r="BU368" s="108">
        <f t="shared" ref="BU368" si="372">BT368-BT356</f>
        <v>19296.088937512774</v>
      </c>
      <c r="BW368" s="529">
        <f>BT368/[9]IMWh!$E248</f>
        <v>0.9582886061326098</v>
      </c>
    </row>
    <row r="369" spans="1:75">
      <c r="A369" s="4">
        <f t="shared" si="271"/>
        <v>2013</v>
      </c>
      <c r="B369" s="4">
        <f t="shared" si="272"/>
        <v>5</v>
      </c>
      <c r="C369" s="4">
        <f>'[2]FPC wSEB'!$F466</f>
        <v>273779</v>
      </c>
      <c r="D369" s="4">
        <f>'[2]FPC wSEB'!$Z466</f>
        <v>2403</v>
      </c>
      <c r="F369" s="4">
        <f>'[2]FPC wSEB'!$G466</f>
        <v>86499</v>
      </c>
      <c r="G369" s="4">
        <f t="shared" ref="G369" si="373">C369-F369</f>
        <v>187280</v>
      </c>
      <c r="H369" s="420">
        <f>ROUND([11]May!$Q$19/1000,0)</f>
        <v>2514</v>
      </c>
      <c r="I369" s="420">
        <f>[11]May!$P$19</f>
        <v>740</v>
      </c>
      <c r="J369" s="420">
        <f>ROUND([11]May!$Q$26/1000,0)</f>
        <v>343</v>
      </c>
      <c r="K369" s="420">
        <f>[11]May!$P$26</f>
        <v>87</v>
      </c>
      <c r="L369" s="574">
        <f>[5]IC!$E249</f>
        <v>2356</v>
      </c>
      <c r="Z369" s="6">
        <f t="shared" ref="Z369" si="374">C369</f>
        <v>273779</v>
      </c>
      <c r="AA369" s="4">
        <f t="shared" ref="AA369" si="375">Z369-Z357</f>
        <v>4232</v>
      </c>
      <c r="AB369" s="485">
        <f>[9]IMWh!$E249</f>
        <v>272556</v>
      </c>
      <c r="AJ369" s="108">
        <f t="shared" ref="AJ369" si="376">C369-AK369-AL369</f>
        <v>270922</v>
      </c>
      <c r="AK369" s="108">
        <f t="shared" ref="AK369" si="377">H369</f>
        <v>2514</v>
      </c>
      <c r="AL369" s="108">
        <f t="shared" ref="AL369" si="378">J369</f>
        <v>343</v>
      </c>
      <c r="BN369" s="4">
        <f t="shared" si="295"/>
        <v>2013</v>
      </c>
      <c r="BO369" s="4">
        <f t="shared" si="296"/>
        <v>5</v>
      </c>
      <c r="BP369" s="108">
        <f>C369+[4]MWh!$AL203</f>
        <v>266910.71537503414</v>
      </c>
      <c r="BQ369" s="108"/>
      <c r="BR369" s="108"/>
      <c r="BS369" s="108"/>
      <c r="BT369" s="175">
        <f t="shared" ref="BT369" si="379">BP369</f>
        <v>266910.71537503414</v>
      </c>
      <c r="BU369" s="108">
        <f t="shared" ref="BU369" si="380">BT369-BT357</f>
        <v>-37953.984720443725</v>
      </c>
      <c r="BW369" s="529">
        <f>BT369/[9]IMWh!$E249</f>
        <v>0.97928761566442912</v>
      </c>
    </row>
    <row r="370" spans="1:75">
      <c r="A370" s="4">
        <f t="shared" si="271"/>
        <v>2013</v>
      </c>
      <c r="B370" s="4">
        <f t="shared" si="272"/>
        <v>6</v>
      </c>
      <c r="C370" s="4">
        <f>'[2]FPC wSEB'!$F467</f>
        <v>285459</v>
      </c>
      <c r="D370" s="4">
        <f>'[2]FPC wSEB'!$Z467</f>
        <v>2337</v>
      </c>
      <c r="F370" s="4">
        <f>'[2]FPC wSEB'!$G467</f>
        <v>95664</v>
      </c>
      <c r="G370" s="4">
        <f t="shared" ref="G370" si="381">C370-F370</f>
        <v>189795</v>
      </c>
      <c r="H370" s="420">
        <f>ROUND([11]Jun!$Q$19/1000,0)</f>
        <v>2600</v>
      </c>
      <c r="I370" s="420">
        <f>[11]Jun!$P$19</f>
        <v>706</v>
      </c>
      <c r="J370" s="420">
        <f>ROUND([11]Jun!$Q$26/1000,0)</f>
        <v>325</v>
      </c>
      <c r="K370" s="420">
        <f>[11]Jun!$P$26</f>
        <v>88</v>
      </c>
      <c r="L370" s="574">
        <f>[5]IC!$E250</f>
        <v>2347</v>
      </c>
      <c r="Z370" s="6">
        <f t="shared" ref="Z370" si="382">C370</f>
        <v>285459</v>
      </c>
      <c r="AA370" s="4">
        <f t="shared" ref="AA370" si="383">Z370-Z358</f>
        <v>11886</v>
      </c>
      <c r="AB370" s="485">
        <f>[9]IMWh!$E250</f>
        <v>285855</v>
      </c>
      <c r="AJ370" s="108">
        <f t="shared" ref="AJ370" si="384">C370-AK370-AL370</f>
        <v>282534</v>
      </c>
      <c r="AK370" s="108">
        <f t="shared" ref="AK370" si="385">H370</f>
        <v>2600</v>
      </c>
      <c r="AL370" s="108">
        <f t="shared" ref="AL370" si="386">J370</f>
        <v>325</v>
      </c>
      <c r="BN370" s="4">
        <f t="shared" si="295"/>
        <v>2013</v>
      </c>
      <c r="BO370" s="4">
        <f t="shared" si="296"/>
        <v>6</v>
      </c>
      <c r="BP370" s="108">
        <f>C370+[4]MWh!$AL204</f>
        <v>287983.40126890049</v>
      </c>
      <c r="BQ370" s="108"/>
      <c r="BR370" s="108"/>
      <c r="BS370" s="108"/>
      <c r="BT370" s="175">
        <f t="shared" ref="BT370" si="387">BP370</f>
        <v>287983.40126890049</v>
      </c>
      <c r="BU370" s="108">
        <f t="shared" ref="BU370" si="388">BT370-BT358</f>
        <v>45550.25384089569</v>
      </c>
      <c r="BW370" s="529">
        <f>BT370/[9]IMWh!$E250</f>
        <v>1.0074457374154746</v>
      </c>
    </row>
    <row r="371" spans="1:75">
      <c r="A371" s="4">
        <f t="shared" si="271"/>
        <v>2013</v>
      </c>
      <c r="B371" s="4">
        <f t="shared" si="272"/>
        <v>7</v>
      </c>
      <c r="C371" s="4">
        <f>'[2]FPC wSEB'!$F468</f>
        <v>273508</v>
      </c>
      <c r="D371" s="4">
        <f>'[2]FPC wSEB'!$Z468</f>
        <v>2361</v>
      </c>
      <c r="F371" s="4">
        <f>'[2]FPC wSEB'!$G468</f>
        <v>89215</v>
      </c>
      <c r="G371" s="4">
        <f t="shared" ref="G371" si="389">C371-F371</f>
        <v>184293</v>
      </c>
      <c r="H371" s="420">
        <f>ROUND([11]Jul!$Q$19/1000,0)</f>
        <v>2641</v>
      </c>
      <c r="I371" s="420">
        <f>[11]Jul!$P$19</f>
        <v>715</v>
      </c>
      <c r="J371" s="420">
        <f>ROUND([11]Jul!$Q$26/1000,0)</f>
        <v>339</v>
      </c>
      <c r="K371" s="420">
        <f>[11]Jul!$P$26</f>
        <v>91</v>
      </c>
      <c r="L371" s="574">
        <f>[5]IC!$E251</f>
        <v>2333</v>
      </c>
      <c r="Z371" s="6">
        <f t="shared" ref="Z371" si="390">C371</f>
        <v>273508</v>
      </c>
      <c r="AA371" s="4">
        <f t="shared" ref="AA371" si="391">Z371-Z359</f>
        <v>150</v>
      </c>
      <c r="AB371" s="485">
        <f>[9]IMWh!$E251</f>
        <v>273164</v>
      </c>
      <c r="AJ371" s="108">
        <f t="shared" ref="AJ371" si="392">C371-AK371-AL371</f>
        <v>270528</v>
      </c>
      <c r="AK371" s="108">
        <f t="shared" ref="AK371" si="393">H371</f>
        <v>2641</v>
      </c>
      <c r="AL371" s="108">
        <f t="shared" ref="AL371" si="394">J371</f>
        <v>339</v>
      </c>
      <c r="BN371" s="4">
        <f t="shared" si="295"/>
        <v>2013</v>
      </c>
      <c r="BO371" s="4">
        <f t="shared" si="296"/>
        <v>7</v>
      </c>
      <c r="BP371" s="108">
        <f>C371+[4]MWh!$AL205</f>
        <v>256540.55727139211</v>
      </c>
      <c r="BQ371" s="108"/>
      <c r="BR371" s="108"/>
      <c r="BS371" s="108"/>
      <c r="BT371" s="175">
        <f t="shared" ref="BT371" si="395">BP371</f>
        <v>256540.55727139211</v>
      </c>
      <c r="BU371" s="108">
        <f t="shared" ref="BU371" si="396">BT371-BT359</f>
        <v>-49810.869686051359</v>
      </c>
      <c r="BW371" s="529">
        <f>BT371/[9]IMWh!$E251</f>
        <v>0.9391448260802745</v>
      </c>
    </row>
    <row r="372" spans="1:75">
      <c r="A372" s="4">
        <f t="shared" si="271"/>
        <v>2013</v>
      </c>
      <c r="B372" s="4">
        <f t="shared" si="272"/>
        <v>8</v>
      </c>
      <c r="C372" s="4">
        <f>'[2]FPC wSEB'!$F469</f>
        <v>279816</v>
      </c>
      <c r="D372" s="4">
        <f>'[2]FPC wSEB'!$Z469</f>
        <v>2296</v>
      </c>
      <c r="F372" s="4">
        <f>'[2]FPC wSEB'!$G469</f>
        <v>92900</v>
      </c>
      <c r="G372" s="4">
        <f t="shared" ref="G372" si="397">C372-F372</f>
        <v>186916</v>
      </c>
      <c r="H372" s="420">
        <f>ROUND([11]Aug!$Q$19/1000,0)</f>
        <v>2635</v>
      </c>
      <c r="I372" s="420">
        <f>[11]Aug!$P$19</f>
        <v>676</v>
      </c>
      <c r="J372" s="420">
        <f>ROUND([11]Aug!$Q$26/1000,0)</f>
        <v>323</v>
      </c>
      <c r="K372" s="420">
        <f>[11]Aug!$P$26</f>
        <v>90</v>
      </c>
      <c r="L372" s="574">
        <f>[5]IC!$E252</f>
        <v>2334</v>
      </c>
      <c r="Z372" s="6">
        <f t="shared" ref="Z372" si="398">C372</f>
        <v>279816</v>
      </c>
      <c r="AA372" s="4">
        <f t="shared" ref="AA372" si="399">Z372-Z360</f>
        <v>9038</v>
      </c>
      <c r="AB372" s="485">
        <f>[9]IMWh!$E252</f>
        <v>279333</v>
      </c>
      <c r="AJ372" s="108">
        <f t="shared" ref="AJ372" si="400">C372-AK372-AL372</f>
        <v>276858</v>
      </c>
      <c r="AK372" s="108">
        <f t="shared" ref="AK372" si="401">H372</f>
        <v>2635</v>
      </c>
      <c r="AL372" s="108">
        <f t="shared" ref="AL372" si="402">J372</f>
        <v>323</v>
      </c>
      <c r="BN372" s="4">
        <f t="shared" si="295"/>
        <v>2013</v>
      </c>
      <c r="BO372" s="4">
        <f t="shared" si="296"/>
        <v>8</v>
      </c>
      <c r="BP372" s="108">
        <f>C372+[4]MWh!$AL206</f>
        <v>313159.6465117468</v>
      </c>
      <c r="BQ372" s="108"/>
      <c r="BR372" s="108"/>
      <c r="BS372" s="108"/>
      <c r="BT372" s="175">
        <f t="shared" ref="BT372" si="403">BP372</f>
        <v>313159.6465117468</v>
      </c>
      <c r="BU372" s="108">
        <f t="shared" ref="BU372" si="404">BT372-BT360</f>
        <v>81160.403968632774</v>
      </c>
      <c r="BW372" s="529">
        <f>BT372/[9]IMWh!$E252</f>
        <v>1.1210979243832515</v>
      </c>
    </row>
    <row r="373" spans="1:75">
      <c r="A373" s="4">
        <f t="shared" si="271"/>
        <v>2013</v>
      </c>
      <c r="B373" s="4">
        <f t="shared" si="272"/>
        <v>9</v>
      </c>
      <c r="C373" s="4">
        <f>'[2]FPC wSEB'!$F470</f>
        <v>273491</v>
      </c>
      <c r="D373" s="4">
        <f>'[2]FPC wSEB'!$Z470</f>
        <v>2314</v>
      </c>
      <c r="F373" s="4">
        <f>'[2]FPC wSEB'!$G470</f>
        <v>82893</v>
      </c>
      <c r="G373" s="4">
        <f t="shared" ref="G373" si="405">C373-F373</f>
        <v>190598</v>
      </c>
      <c r="H373" s="420">
        <f>ROUND([11]Sep!$Q$19/1000,0)</f>
        <v>2415</v>
      </c>
      <c r="I373" s="420">
        <f>[11]Sep!$P$19</f>
        <v>682</v>
      </c>
      <c r="J373" s="420">
        <f>ROUND([11]Sep!$Q$26/1000,0)</f>
        <v>321</v>
      </c>
      <c r="K373" s="420">
        <f>[11]Sep!$P$26</f>
        <v>86</v>
      </c>
      <c r="L373" s="574">
        <f>[5]IC!$E253</f>
        <v>2325</v>
      </c>
      <c r="Z373" s="6">
        <f t="shared" ref="Z373" si="406">C373</f>
        <v>273491</v>
      </c>
      <c r="AA373" s="4">
        <f t="shared" ref="AA373" si="407">Z373-Z361</f>
        <v>-1614</v>
      </c>
      <c r="AB373" s="485">
        <f>[9]IMWh!$E253</f>
        <v>274079</v>
      </c>
      <c r="AJ373" s="108">
        <f t="shared" ref="AJ373" si="408">C373-AK373-AL373</f>
        <v>270755</v>
      </c>
      <c r="AK373" s="108">
        <f t="shared" ref="AK373" si="409">H373</f>
        <v>2415</v>
      </c>
      <c r="AL373" s="108">
        <f t="shared" ref="AL373" si="410">J373</f>
        <v>321</v>
      </c>
      <c r="BN373" s="4">
        <f t="shared" si="295"/>
        <v>2013</v>
      </c>
      <c r="BO373" s="4">
        <f t="shared" si="296"/>
        <v>9</v>
      </c>
      <c r="BP373" s="108">
        <f>C373+[4]MWh!$AL207</f>
        <v>237491.66614375694</v>
      </c>
      <c r="BQ373" s="108"/>
      <c r="BR373" s="108"/>
      <c r="BS373" s="108"/>
      <c r="BT373" s="175">
        <f t="shared" ref="BT373" si="411">BP373</f>
        <v>237491.66614375694</v>
      </c>
      <c r="BU373" s="108">
        <f t="shared" ref="BU373" si="412">BT373-BT361</f>
        <v>-43438.173236106057</v>
      </c>
      <c r="BW373" s="529">
        <f>BT373/[9]IMWh!$E253</f>
        <v>0.86650807301455768</v>
      </c>
    </row>
    <row r="374" spans="1:75">
      <c r="A374" s="4">
        <f t="shared" si="271"/>
        <v>2013</v>
      </c>
      <c r="B374" s="4">
        <f t="shared" si="272"/>
        <v>10</v>
      </c>
      <c r="C374" s="4">
        <f>'[2]FPC wSEB'!$F471</f>
        <v>248953</v>
      </c>
      <c r="D374" s="4">
        <f>'[2]FPC wSEB'!$Z471</f>
        <v>2324</v>
      </c>
      <c r="F374" s="4">
        <f>'[2]FPC wSEB'!$G471</f>
        <v>76613</v>
      </c>
      <c r="G374" s="4">
        <f t="shared" ref="G374" si="413">C374-F374</f>
        <v>172340</v>
      </c>
      <c r="H374" s="420">
        <f>ROUND([11]Oct!$Q$19/1000,0)</f>
        <v>2716</v>
      </c>
      <c r="I374" s="420">
        <f>[11]Oct!$P$19</f>
        <v>688</v>
      </c>
      <c r="J374" s="420">
        <f>ROUND([11]Oct!$Q$26/1000,0)</f>
        <v>325</v>
      </c>
      <c r="K374" s="420">
        <f>[11]Oct!$P$26</f>
        <v>90</v>
      </c>
      <c r="L374" s="574">
        <f>[5]IC!$E254</f>
        <v>2320</v>
      </c>
      <c r="Z374" s="6">
        <f t="shared" ref="Z374" si="414">C374</f>
        <v>248953</v>
      </c>
      <c r="AA374" s="4">
        <f t="shared" ref="AA374" si="415">Z374-Z362</f>
        <v>-3659</v>
      </c>
      <c r="AB374" s="485">
        <f>[9]IMWh!$E254</f>
        <v>250247</v>
      </c>
      <c r="AJ374" s="108">
        <f t="shared" ref="AJ374" si="416">C374-AK374-AL374</f>
        <v>245912</v>
      </c>
      <c r="AK374" s="108">
        <f t="shared" ref="AK374" si="417">H374</f>
        <v>2716</v>
      </c>
      <c r="AL374" s="108">
        <f t="shared" ref="AL374" si="418">J374</f>
        <v>325</v>
      </c>
      <c r="BN374" s="4">
        <f t="shared" si="295"/>
        <v>2013</v>
      </c>
      <c r="BO374" s="4">
        <f t="shared" si="296"/>
        <v>10</v>
      </c>
      <c r="BP374" s="108">
        <f>C374+[4]MWh!$AL208</f>
        <v>230566.88385615515</v>
      </c>
      <c r="BQ374" s="108"/>
      <c r="BR374" s="108"/>
      <c r="BS374" s="108"/>
      <c r="BT374" s="175">
        <f t="shared" ref="BT374" si="419">BP374</f>
        <v>230566.88385615515</v>
      </c>
      <c r="BU374" s="108">
        <f t="shared" ref="BU374" si="420">BT374-BT362</f>
        <v>3768.6017037570127</v>
      </c>
      <c r="BW374" s="529">
        <f>BT374/[9]IMWh!$E254</f>
        <v>0.92135723447695739</v>
      </c>
    </row>
    <row r="375" spans="1:75">
      <c r="A375" s="4">
        <f t="shared" si="271"/>
        <v>2013</v>
      </c>
      <c r="B375" s="4">
        <f t="shared" si="272"/>
        <v>11</v>
      </c>
      <c r="C375" s="4">
        <f>'[2]FPC wSEB'!$F472</f>
        <v>288444</v>
      </c>
      <c r="D375" s="4">
        <f>'[2]FPC wSEB'!$Z472</f>
        <v>2431</v>
      </c>
      <c r="F375" s="4">
        <f>'[2]FPC wSEB'!$G472</f>
        <v>94849</v>
      </c>
      <c r="G375" s="4">
        <f t="shared" ref="G375" si="421">C375-F375</f>
        <v>193595</v>
      </c>
      <c r="H375" s="420">
        <f>ROUND([11]Nov!$Q$19/1000,0)</f>
        <v>4183</v>
      </c>
      <c r="I375" s="420">
        <f>[11]Nov!$P$19</f>
        <v>724</v>
      </c>
      <c r="J375" s="420">
        <f>ROUND([11]Nov!$Q$26/1000,0)</f>
        <v>336</v>
      </c>
      <c r="K375" s="420">
        <f>[11]Nov!$P$26</f>
        <v>87</v>
      </c>
      <c r="L375" s="574">
        <f>[5]IC!$E255</f>
        <v>2323</v>
      </c>
      <c r="Z375" s="6">
        <f t="shared" ref="Z375" si="422">C375</f>
        <v>288444</v>
      </c>
      <c r="AA375" s="4">
        <f t="shared" ref="AA375" si="423">Z375-Z363</f>
        <v>24032</v>
      </c>
      <c r="AB375" s="485">
        <f>[9]IMWh!$E255</f>
        <v>283727</v>
      </c>
      <c r="AJ375" s="108">
        <f t="shared" ref="AJ375" si="424">C375-AK375-AL375</f>
        <v>283925</v>
      </c>
      <c r="AK375" s="108">
        <f t="shared" ref="AK375" si="425">H375</f>
        <v>4183</v>
      </c>
      <c r="AL375" s="108">
        <f t="shared" ref="AL375" si="426">J375</f>
        <v>336</v>
      </c>
      <c r="BN375" s="4">
        <f t="shared" si="295"/>
        <v>2013</v>
      </c>
      <c r="BO375" s="4">
        <f t="shared" si="296"/>
        <v>11</v>
      </c>
      <c r="BP375" s="108">
        <f>C375+[4]MWh!$AL209</f>
        <v>309365.69785411085</v>
      </c>
      <c r="BQ375" s="108"/>
      <c r="BR375" s="108"/>
      <c r="BS375" s="108"/>
      <c r="BT375" s="175">
        <f t="shared" ref="BT375" si="427">BP375</f>
        <v>309365.69785411085</v>
      </c>
      <c r="BU375" s="108">
        <f t="shared" ref="BU375" si="428">BT375-BT363</f>
        <v>57991.600498779619</v>
      </c>
      <c r="BW375" s="529">
        <f>BT375/[9]IMWh!$E255</f>
        <v>1.0903639690762983</v>
      </c>
    </row>
    <row r="376" spans="1:75">
      <c r="A376" s="4">
        <f t="shared" si="271"/>
        <v>2013</v>
      </c>
      <c r="B376" s="4">
        <f t="shared" si="272"/>
        <v>12</v>
      </c>
      <c r="C376" s="4">
        <f>'[2]FPC wSEB'!$F473</f>
        <v>260213</v>
      </c>
      <c r="D376" s="4">
        <f>'[2]FPC wSEB'!$Z473</f>
        <v>2315</v>
      </c>
      <c r="F376" s="4">
        <f>'[2]FPC wSEB'!$G473</f>
        <v>90419</v>
      </c>
      <c r="G376" s="4">
        <f t="shared" ref="G376" si="429">C376-F376</f>
        <v>169794</v>
      </c>
      <c r="H376" s="420">
        <f>ROUND([11]Dec!$Q$19/1000,0)</f>
        <v>2484</v>
      </c>
      <c r="I376" s="420">
        <f>[11]Dec!$P$19</f>
        <v>709</v>
      </c>
      <c r="J376" s="420">
        <f>ROUND([11]Dec!$Q$26/1000,0)</f>
        <v>326</v>
      </c>
      <c r="K376" s="420">
        <f>[11]Dec!$P$26</f>
        <v>88</v>
      </c>
      <c r="L376" s="574">
        <f>[5]IC!$E256</f>
        <v>2312</v>
      </c>
      <c r="Z376" s="6">
        <f t="shared" ref="Z376" si="430">C376</f>
        <v>260213</v>
      </c>
      <c r="AA376" s="4">
        <f t="shared" ref="AA376" si="431">Z376-Z364</f>
        <v>1169</v>
      </c>
      <c r="AB376" s="485">
        <f>[9]IMWh!$E256</f>
        <v>259576</v>
      </c>
      <c r="AJ376" s="108">
        <f t="shared" ref="AJ376" si="432">C376-AK376-AL376</f>
        <v>257403</v>
      </c>
      <c r="AK376" s="108">
        <f t="shared" ref="AK376" si="433">H376</f>
        <v>2484</v>
      </c>
      <c r="AL376" s="108">
        <f t="shared" ref="AL376" si="434">J376</f>
        <v>326</v>
      </c>
      <c r="BN376" s="4">
        <f t="shared" si="295"/>
        <v>2013</v>
      </c>
      <c r="BO376" s="4">
        <f t="shared" si="296"/>
        <v>12</v>
      </c>
      <c r="BP376" s="108">
        <f>C376+[4]MWh!$AL210</f>
        <v>239123.96302306742</v>
      </c>
      <c r="BQ376" s="108"/>
      <c r="BR376" s="108"/>
      <c r="BS376" s="108"/>
      <c r="BT376" s="175">
        <f t="shared" ref="BT376" si="435">BP376</f>
        <v>239123.96302306742</v>
      </c>
      <c r="BU376" s="108">
        <f t="shared" ref="BU376" si="436">BT376-BT364</f>
        <v>-60967.946222167258</v>
      </c>
      <c r="BW376" s="529">
        <f>BT376/[9]IMWh!$E256</f>
        <v>0.9212098307357669</v>
      </c>
    </row>
    <row r="377" spans="1:75">
      <c r="A377" s="4">
        <f t="shared" si="271"/>
        <v>2014</v>
      </c>
      <c r="B377" s="4">
        <f t="shared" si="272"/>
        <v>1</v>
      </c>
      <c r="C377" s="5"/>
      <c r="E377" s="5"/>
      <c r="P377" s="6"/>
      <c r="Q377" s="6"/>
      <c r="R377" s="6"/>
      <c r="S377" s="5"/>
      <c r="W377" s="5"/>
      <c r="Z377" s="175"/>
      <c r="BT377" s="175"/>
    </row>
    <row r="378" spans="1:75">
      <c r="B378" s="354"/>
      <c r="C378" s="5"/>
      <c r="E378" s="5"/>
      <c r="P378" s="6"/>
      <c r="Q378" s="6"/>
      <c r="R378" s="6"/>
      <c r="S378" s="5"/>
      <c r="W378" s="5"/>
      <c r="Z378" s="175"/>
      <c r="BT378" s="175"/>
    </row>
    <row r="379" spans="1:75">
      <c r="B379" s="354"/>
      <c r="C379" s="5"/>
      <c r="E379" s="5"/>
      <c r="P379" s="6"/>
      <c r="Q379" s="6"/>
      <c r="R379" s="6"/>
      <c r="S379" s="5"/>
      <c r="W379" s="5"/>
      <c r="Z379" s="175"/>
      <c r="AA379" s="86"/>
      <c r="BT379" s="175"/>
      <c r="BU379" s="86"/>
    </row>
    <row r="380" spans="1:75">
      <c r="B380" s="354"/>
      <c r="C380" s="5"/>
      <c r="E380" s="5"/>
      <c r="P380" s="6"/>
      <c r="Q380" s="6"/>
      <c r="R380" s="6"/>
      <c r="S380" s="5"/>
      <c r="W380" s="5"/>
      <c r="Z380" s="175"/>
      <c r="AA380" s="86"/>
      <c r="BT380" s="175"/>
      <c r="BU380" s="86"/>
    </row>
    <row r="381" spans="1:75">
      <c r="B381" s="354"/>
      <c r="C381" s="5"/>
      <c r="E381" s="5"/>
      <c r="P381" s="6"/>
      <c r="Q381" s="6"/>
      <c r="R381" s="6"/>
      <c r="S381" s="5"/>
      <c r="W381" s="5"/>
      <c r="Z381" s="175"/>
      <c r="AA381" s="86"/>
      <c r="BT381" s="175"/>
      <c r="BU381" s="86"/>
    </row>
    <row r="382" spans="1:75">
      <c r="B382" s="354"/>
      <c r="C382" s="5"/>
      <c r="E382" s="5"/>
      <c r="P382" s="6"/>
      <c r="Q382" s="6"/>
      <c r="R382" s="6"/>
      <c r="S382" s="5"/>
      <c r="W382" s="5"/>
      <c r="Z382" s="175"/>
      <c r="AA382" s="86"/>
      <c r="BT382" s="175"/>
      <c r="BU382" s="86"/>
    </row>
    <row r="383" spans="1:75">
      <c r="B383" s="354"/>
      <c r="C383" s="5"/>
      <c r="E383" s="5"/>
      <c r="P383" s="6"/>
      <c r="Q383" s="6"/>
      <c r="R383" s="6"/>
      <c r="S383" s="5"/>
      <c r="W383" s="5"/>
      <c r="Z383" s="175"/>
      <c r="AA383" s="86"/>
      <c r="BT383" s="175"/>
      <c r="BU383" s="86"/>
    </row>
  </sheetData>
  <phoneticPr fontId="4" type="noConversion"/>
  <pageMargins left="0.75" right="0.75" top="1" bottom="1" header="0.5" footer="0.5"/>
  <pageSetup orientation="portrait" r:id="rId1"/>
  <headerFooter alignWithMargins="0">
    <oddFooter>&amp;R14LGBRA-NRGPOD1-6-DOC 33
14BGBRA-STAFFROG1-19A-DOC 33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dimension ref="A1:DG419"/>
  <sheetViews>
    <sheetView tabSelected="1" topLeftCell="AC1" zoomScale="80" zoomScaleNormal="80" workbookViewId="0">
      <selection activeCell="AW37" sqref="AW37"/>
    </sheetView>
  </sheetViews>
  <sheetFormatPr defaultColWidth="8.88671875" defaultRowHeight="12.75" customHeight="1"/>
  <cols>
    <col min="1" max="1" width="9.5546875" style="22" customWidth="1"/>
    <col min="2" max="2" width="4.21875" style="4" customWidth="1"/>
    <col min="3" max="5" width="8.88671875" style="4"/>
    <col min="6" max="7" width="8.88671875" style="13"/>
    <col min="8" max="9" width="8.88671875" style="4"/>
    <col min="10" max="10" width="9.33203125" style="4" customWidth="1"/>
    <col min="11" max="11" width="8.109375" style="6" customWidth="1"/>
    <col min="12" max="12" width="8.6640625" style="4" customWidth="1"/>
    <col min="13" max="13" width="7.77734375" style="4" customWidth="1"/>
    <col min="14" max="14" width="9.5546875" style="5" bestFit="1" customWidth="1"/>
    <col min="15" max="15" width="9.5546875" style="6" bestFit="1" customWidth="1"/>
    <col min="16" max="16" width="7.5546875" style="6" customWidth="1"/>
    <col min="17" max="17" width="8" style="5" bestFit="1" customWidth="1"/>
    <col min="18" max="18" width="7.21875" style="4" bestFit="1" customWidth="1"/>
    <col min="19" max="19" width="10" style="4" bestFit="1" customWidth="1"/>
    <col min="20" max="20" width="4.44140625" style="4" customWidth="1"/>
    <col min="21" max="21" width="5.77734375" style="4" bestFit="1" customWidth="1"/>
    <col min="22" max="22" width="3.21875" style="4" bestFit="1" customWidth="1"/>
    <col min="23" max="23" width="8.88671875" style="5"/>
    <col min="24" max="24" width="8.88671875" style="4"/>
    <col min="25" max="25" width="3.44140625" customWidth="1"/>
    <col min="26" max="26" width="10.109375" style="4" bestFit="1" customWidth="1"/>
    <col min="27" max="27" width="8.88671875" style="4"/>
    <col min="28" max="28" width="11.109375" style="4" bestFit="1" customWidth="1"/>
    <col min="29" max="30" width="9.33203125" style="4" customWidth="1"/>
    <col min="31" max="31" width="8.88671875" style="4"/>
    <col min="32" max="32" width="10" style="4" customWidth="1"/>
    <col min="33" max="33" width="8.88671875" style="4"/>
    <col min="34" max="34" width="8.5546875" style="4" customWidth="1"/>
    <col min="35" max="35" width="6.21875" style="4" customWidth="1"/>
    <col min="36" max="36" width="9.33203125" style="4" customWidth="1"/>
    <col min="37" max="37" width="9.5546875" style="4" bestFit="1" customWidth="1"/>
    <col min="38" max="38" width="8.88671875" style="4"/>
    <col min="39" max="39" width="9.5546875" style="4" bestFit="1" customWidth="1"/>
    <col min="40" max="40" width="7.88671875" style="4" customWidth="1"/>
    <col min="41" max="41" width="8.88671875" style="4" bestFit="1"/>
    <col min="42" max="42" width="9.44140625" style="4" customWidth="1"/>
    <col min="43" max="43" width="7.6640625" style="4" customWidth="1"/>
    <col min="44" max="44" width="8.88671875" style="4"/>
    <col min="45" max="45" width="9.109375" style="4" bestFit="1" customWidth="1"/>
    <col min="46" max="46" width="8.88671875" style="4"/>
    <col min="47" max="47" width="9.44140625" style="4" bestFit="1" customWidth="1"/>
    <col min="48" max="48" width="8.6640625" style="4" bestFit="1" customWidth="1"/>
    <col min="49" max="49" width="4.77734375" style="4" customWidth="1"/>
    <col min="50" max="50" width="5.21875" style="4" bestFit="1" customWidth="1"/>
    <col min="51" max="51" width="3.88671875" style="4" customWidth="1"/>
    <col min="52" max="53" width="8.88671875" style="4"/>
    <col min="54" max="54" width="5.77734375" style="4" bestFit="1" customWidth="1"/>
    <col min="55" max="55" width="1.6640625" style="4" customWidth="1"/>
    <col min="56" max="56" width="11" style="4" customWidth="1"/>
    <col min="57" max="57" width="8.88671875" style="4"/>
    <col min="58" max="58" width="9.44140625" style="4" bestFit="1" customWidth="1"/>
    <col min="59" max="59" width="1.5546875" style="4" customWidth="1"/>
    <col min="60" max="60" width="10.6640625" style="4" bestFit="1" customWidth="1"/>
    <col min="61" max="61" width="8.6640625" style="4" bestFit="1" customWidth="1"/>
    <col min="62" max="62" width="1.6640625" style="4" customWidth="1"/>
    <col min="63" max="63" width="9.33203125" style="9" bestFit="1" customWidth="1"/>
    <col min="64" max="64" width="4.88671875" style="257" customWidth="1"/>
    <col min="65" max="65" width="5.88671875" style="4" customWidth="1"/>
    <col min="66" max="66" width="5.77734375" style="4" bestFit="1" customWidth="1"/>
    <col min="67" max="67" width="3.21875" style="4" bestFit="1" customWidth="1"/>
    <col min="68" max="68" width="10.109375" style="4" bestFit="1" customWidth="1"/>
    <col min="69" max="71" width="8.88671875" style="4"/>
    <col min="72" max="72" width="10.77734375" style="6" bestFit="1" customWidth="1"/>
    <col min="73" max="73" width="10.5546875" style="4" bestFit="1" customWidth="1"/>
    <col min="74" max="74" width="11" style="4" customWidth="1"/>
    <col min="75" max="77" width="8.88671875" style="4"/>
    <col min="78" max="78" width="8.5546875" style="4" customWidth="1"/>
    <col min="79" max="84" width="8.88671875" style="4"/>
    <col min="85" max="85" width="11" style="4" bestFit="1" customWidth="1"/>
    <col min="86" max="86" width="8.88671875" style="4"/>
    <col min="87" max="87" width="11" style="4" bestFit="1" customWidth="1"/>
    <col min="88" max="106" width="8.88671875" style="4"/>
    <col min="107" max="110" width="3.44140625" style="4" customWidth="1"/>
    <col min="111" max="16384" width="8.88671875" style="4"/>
  </cols>
  <sheetData>
    <row r="1" spans="1:111" ht="12.75" customHeight="1">
      <c r="AJ1" s="592" t="s">
        <v>100</v>
      </c>
      <c r="AK1" s="591"/>
      <c r="AL1" s="591"/>
      <c r="AM1" s="591"/>
      <c r="AN1" s="591"/>
      <c r="AO1" s="591"/>
      <c r="AP1" s="591"/>
      <c r="AQ1" s="591"/>
      <c r="AR1" s="591"/>
      <c r="AS1" s="591"/>
      <c r="AT1" s="591"/>
      <c r="AU1" s="591"/>
    </row>
    <row r="2" spans="1:111" ht="12.75" customHeight="1">
      <c r="A2" s="14" t="s">
        <v>205</v>
      </c>
      <c r="AJ2" s="592" t="s">
        <v>244</v>
      </c>
      <c r="AK2" s="591"/>
      <c r="AL2" s="591"/>
      <c r="AM2" s="591"/>
      <c r="AN2" s="591"/>
      <c r="AO2" s="591"/>
      <c r="AP2" s="591"/>
      <c r="AQ2" s="591"/>
      <c r="AR2" s="591"/>
      <c r="AS2" s="591"/>
      <c r="AT2" s="591"/>
      <c r="AU2" s="591"/>
    </row>
    <row r="3" spans="1:111" ht="12.75" customHeight="1">
      <c r="A3" s="361" t="s">
        <v>259</v>
      </c>
      <c r="R3" s="13"/>
      <c r="T3" s="13"/>
    </row>
    <row r="4" spans="1:111" ht="12.75" customHeight="1">
      <c r="A4" s="14"/>
      <c r="R4" s="13"/>
      <c r="T4" s="13"/>
      <c r="AZ4" s="4" t="s">
        <v>185</v>
      </c>
    </row>
    <row r="5" spans="1:111" ht="12.75" customHeight="1">
      <c r="A5" s="14"/>
      <c r="R5" s="13"/>
      <c r="T5" s="13"/>
      <c r="AM5" s="288" t="s">
        <v>97</v>
      </c>
      <c r="AN5" s="23"/>
      <c r="AO5" s="23"/>
      <c r="AP5" s="23"/>
      <c r="AQ5" s="23"/>
      <c r="AR5" s="23"/>
      <c r="AS5" s="13" t="s">
        <v>210</v>
      </c>
      <c r="CF5" s="22" t="s">
        <v>130</v>
      </c>
      <c r="CG5" s="23"/>
      <c r="CI5" s="13" t="s">
        <v>157</v>
      </c>
      <c r="CK5" s="13" t="s">
        <v>157</v>
      </c>
    </row>
    <row r="6" spans="1:111" ht="12.75" customHeight="1">
      <c r="A6" s="14" t="s">
        <v>129</v>
      </c>
      <c r="D6" s="24"/>
      <c r="E6" s="24"/>
      <c r="M6" s="356" t="s">
        <v>234</v>
      </c>
      <c r="T6" s="13"/>
      <c r="AK6" s="29" t="s">
        <v>40</v>
      </c>
      <c r="AL6" s="29" t="s">
        <v>42</v>
      </c>
      <c r="AM6" s="288" t="s">
        <v>4</v>
      </c>
      <c r="AN6" s="29" t="s">
        <v>42</v>
      </c>
      <c r="AO6" s="289" t="s">
        <v>177</v>
      </c>
      <c r="AP6" s="29" t="s">
        <v>42</v>
      </c>
      <c r="AQ6" s="255" t="s">
        <v>40</v>
      </c>
      <c r="AR6" s="29"/>
      <c r="AS6" s="288" t="s">
        <v>3</v>
      </c>
      <c r="AT6" s="125" t="s">
        <v>42</v>
      </c>
      <c r="AW6" s="356" t="s">
        <v>219</v>
      </c>
      <c r="CG6" s="29" t="s">
        <v>40</v>
      </c>
      <c r="CI6" s="30" t="s">
        <v>3</v>
      </c>
      <c r="CK6" s="30" t="s">
        <v>3</v>
      </c>
    </row>
    <row r="7" spans="1:111" ht="12.75" customHeight="1">
      <c r="A7" s="22" t="s">
        <v>1</v>
      </c>
      <c r="C7" s="15" t="s">
        <v>203</v>
      </c>
      <c r="D7" s="4">
        <v>2007</v>
      </c>
      <c r="E7" s="4">
        <v>2008</v>
      </c>
      <c r="F7" s="4">
        <v>2009</v>
      </c>
      <c r="G7" s="355" t="s">
        <v>267</v>
      </c>
      <c r="H7" s="463" t="s">
        <v>287</v>
      </c>
      <c r="I7" s="463" t="s">
        <v>302</v>
      </c>
      <c r="K7" s="69"/>
      <c r="L7" s="69"/>
      <c r="M7" s="374" t="s">
        <v>235</v>
      </c>
      <c r="N7" s="4"/>
      <c r="T7" s="13"/>
      <c r="AJ7" s="22" t="s">
        <v>8</v>
      </c>
      <c r="AK7" s="123" t="s">
        <v>45</v>
      </c>
      <c r="AL7" s="229" t="s">
        <v>46</v>
      </c>
      <c r="AM7" s="37" t="s">
        <v>45</v>
      </c>
      <c r="AN7" s="229" t="s">
        <v>46</v>
      </c>
      <c r="AO7" s="295" t="s">
        <v>123</v>
      </c>
      <c r="AP7" s="229" t="s">
        <v>46</v>
      </c>
      <c r="AQ7" s="123" t="s">
        <v>43</v>
      </c>
      <c r="AR7" s="229" t="s">
        <v>9</v>
      </c>
      <c r="AS7" s="37" t="s">
        <v>43</v>
      </c>
      <c r="AT7" s="296" t="s">
        <v>46</v>
      </c>
      <c r="AU7" s="355" t="s">
        <v>217</v>
      </c>
      <c r="AV7" s="355" t="s">
        <v>218</v>
      </c>
      <c r="AW7" s="356" t="s">
        <v>42</v>
      </c>
      <c r="CF7" s="34" t="s">
        <v>8</v>
      </c>
      <c r="CG7" s="123" t="s">
        <v>45</v>
      </c>
      <c r="CH7" s="36" t="s">
        <v>42</v>
      </c>
      <c r="CI7" s="124" t="s">
        <v>45</v>
      </c>
      <c r="CJ7" s="36" t="s">
        <v>42</v>
      </c>
      <c r="CK7" s="124" t="s">
        <v>43</v>
      </c>
      <c r="CL7" s="36" t="s">
        <v>42</v>
      </c>
    </row>
    <row r="8" spans="1:111" ht="12.75" customHeight="1">
      <c r="A8" s="34" t="s">
        <v>6</v>
      </c>
      <c r="C8" s="38" t="s">
        <v>7</v>
      </c>
      <c r="D8" s="38" t="s">
        <v>7</v>
      </c>
      <c r="E8" s="38" t="s">
        <v>7</v>
      </c>
      <c r="F8" s="38" t="s">
        <v>7</v>
      </c>
      <c r="G8" s="38" t="s">
        <v>7</v>
      </c>
      <c r="H8" s="129" t="s">
        <v>7</v>
      </c>
      <c r="I8" s="129" t="s">
        <v>7</v>
      </c>
      <c r="K8" s="31" t="s">
        <v>226</v>
      </c>
      <c r="L8" s="38" t="s">
        <v>232</v>
      </c>
      <c r="M8" s="36" t="s">
        <v>229</v>
      </c>
      <c r="N8" s="31" t="s">
        <v>230</v>
      </c>
      <c r="O8" s="68" t="s">
        <v>231</v>
      </c>
      <c r="T8" s="13"/>
      <c r="AJ8" s="22">
        <v>1984</v>
      </c>
      <c r="AK8" s="84">
        <f>ROUND(SUM(C17:C28),0)</f>
        <v>4547724</v>
      </c>
      <c r="AL8" s="40"/>
      <c r="AM8" s="50">
        <f>ROUND(SUM(Z17:Z28),0)</f>
        <v>4641496</v>
      </c>
      <c r="AN8" s="29"/>
      <c r="AO8" s="50">
        <f>ROUND(AVERAGE(D17:D28),0)</f>
        <v>86803</v>
      </c>
      <c r="AP8" s="29"/>
      <c r="AQ8" s="50">
        <f>AK8/AO8*1000</f>
        <v>52391.322880545602</v>
      </c>
      <c r="AR8" s="23"/>
      <c r="AS8" s="50">
        <f t="shared" ref="AS8:AS31" si="0">ROUND(AM8/AO8*1000,0)</f>
        <v>53472</v>
      </c>
      <c r="AT8" s="23"/>
      <c r="CF8" s="22">
        <v>1984</v>
      </c>
      <c r="DA8" s="593" t="s">
        <v>288</v>
      </c>
      <c r="DB8" s="594"/>
      <c r="DC8" s="594"/>
      <c r="DD8" s="594"/>
      <c r="DE8" s="594"/>
      <c r="DF8" s="594"/>
      <c r="DG8" s="595"/>
    </row>
    <row r="9" spans="1:111" ht="12.75" customHeight="1">
      <c r="A9" s="226" t="s">
        <v>175</v>
      </c>
      <c r="C9" s="41">
        <v>659.34</v>
      </c>
      <c r="D9" s="5">
        <v>791.93600000000004</v>
      </c>
      <c r="E9" s="5">
        <v>759.24800000000005</v>
      </c>
      <c r="F9" s="5">
        <v>691.851</v>
      </c>
      <c r="G9" s="5">
        <v>608.351</v>
      </c>
      <c r="H9" s="5">
        <v>784.16746015607271</v>
      </c>
      <c r="I9" s="5">
        <v>852.21500000000003</v>
      </c>
      <c r="K9" s="4">
        <f>SUM(O17:O28)</f>
        <v>176.79999999999998</v>
      </c>
      <c r="L9" s="174">
        <f>E9*K9</f>
        <v>134235.04639999999</v>
      </c>
      <c r="M9" s="4">
        <v>23.47</v>
      </c>
      <c r="N9" s="108">
        <f>M9*L9</f>
        <v>3150496.5390079995</v>
      </c>
      <c r="O9" s="175">
        <f>SUM(N9:N10)*(1-0.38575)</f>
        <v>42285004.207569599</v>
      </c>
      <c r="T9" s="13"/>
      <c r="AJ9" s="22">
        <v>1985</v>
      </c>
      <c r="AK9" s="84">
        <f>ROUND(SUM(C29:C40),0)</f>
        <v>5106574</v>
      </c>
      <c r="AL9" s="290">
        <f>AK9/AK8-1</f>
        <v>0.12288564565483751</v>
      </c>
      <c r="AM9" s="50">
        <f>ROUND(SUM(Z29:Z40),0)</f>
        <v>4834159</v>
      </c>
      <c r="AN9" s="291">
        <f t="shared" ref="AN9:AN21" si="1">(AM9/AM8-1)*100</f>
        <v>4.1508815261286358</v>
      </c>
      <c r="AO9" s="50">
        <f>ROUND(AVERAGE(D29:D40),0)</f>
        <v>91817</v>
      </c>
      <c r="AP9" s="292">
        <f t="shared" ref="AP9:AP21" si="2">AO9/AO8-1</f>
        <v>5.7762980542147124E-2</v>
      </c>
      <c r="AQ9" s="50">
        <f>AK9/AO9*1000</f>
        <v>55616.868335929074</v>
      </c>
      <c r="AR9" s="47">
        <f>(AQ9/AQ8-1)*100</f>
        <v>6.1566406000815199</v>
      </c>
      <c r="AS9" s="50">
        <f t="shared" si="0"/>
        <v>52650</v>
      </c>
      <c r="AT9" s="47">
        <f t="shared" ref="AT9:AT21" si="3">(AS9/AS8-1)*100</f>
        <v>-1.5372531418312407</v>
      </c>
      <c r="CF9" s="22">
        <v>1985</v>
      </c>
      <c r="DA9" s="596" t="s">
        <v>289</v>
      </c>
      <c r="DB9" s="596"/>
      <c r="DC9" s="596"/>
      <c r="DD9" s="596"/>
      <c r="DE9" s="596"/>
      <c r="DF9" s="596"/>
      <c r="DG9" s="596"/>
    </row>
    <row r="10" spans="1:111" ht="12.75" customHeight="1">
      <c r="A10" s="226" t="s">
        <v>176</v>
      </c>
      <c r="C10" s="44">
        <v>682.91</v>
      </c>
      <c r="D10" s="6">
        <v>647.57600000000002</v>
      </c>
      <c r="E10" s="6">
        <v>793.84900000000005</v>
      </c>
      <c r="F10" s="6">
        <v>797.04</v>
      </c>
      <c r="G10" s="6">
        <v>702.01400000000001</v>
      </c>
      <c r="H10" s="6">
        <v>716.77624377457721</v>
      </c>
      <c r="I10" s="6">
        <v>727.822</v>
      </c>
      <c r="K10" s="4">
        <f>SUM(L17:L28)</f>
        <v>3525.7</v>
      </c>
      <c r="L10" s="174">
        <f>E10*K10</f>
        <v>2798873.4193000002</v>
      </c>
      <c r="M10" s="4">
        <f>M9</f>
        <v>23.47</v>
      </c>
      <c r="N10" s="108">
        <f>M10*L10</f>
        <v>65689559.150971003</v>
      </c>
      <c r="O10" s="176">
        <f>SUM(K9:K10)</f>
        <v>3702.5</v>
      </c>
      <c r="T10" s="13"/>
      <c r="AJ10" s="22">
        <v>1986</v>
      </c>
      <c r="AK10" s="84">
        <f>ROUND(SUM(C41:C52),0)</f>
        <v>5573024</v>
      </c>
      <c r="AL10" s="290">
        <f t="shared" ref="AL10:AL29" si="4">AK10/AK9-1</f>
        <v>9.1343041342395015E-2</v>
      </c>
      <c r="AM10" s="50">
        <f>ROUND(SUM(Z41:Z52),0)</f>
        <v>5387317</v>
      </c>
      <c r="AN10" s="291">
        <f t="shared" si="1"/>
        <v>11.442693548143534</v>
      </c>
      <c r="AO10" s="50">
        <f>ROUND(AVERAGE(D41:D52),0)</f>
        <v>96843</v>
      </c>
      <c r="AP10" s="292">
        <f t="shared" si="2"/>
        <v>5.4739318426870742E-2</v>
      </c>
      <c r="AQ10" s="50">
        <f>AK10/AO10*1000</f>
        <v>57546.998750555016</v>
      </c>
      <c r="AR10" s="47">
        <f>(AQ10/AQ9-1)*100</f>
        <v>3.4704047034217034</v>
      </c>
      <c r="AS10" s="50">
        <f t="shared" si="0"/>
        <v>55629</v>
      </c>
      <c r="AT10" s="47">
        <f t="shared" si="3"/>
        <v>5.6581196581196647</v>
      </c>
      <c r="CF10" s="22">
        <v>1986</v>
      </c>
      <c r="DA10"/>
    </row>
    <row r="11" spans="1:111" ht="12.75" customHeight="1">
      <c r="K11" s="4"/>
      <c r="L11" s="174"/>
      <c r="N11" s="108"/>
      <c r="O11" s="175">
        <f>O9/O10</f>
        <v>11420.662851470519</v>
      </c>
      <c r="R11" s="5"/>
      <c r="T11" s="13"/>
      <c r="AJ11" s="22">
        <v>1987</v>
      </c>
      <c r="AK11" s="84">
        <f>ROUND(SUM(C53:C64),0)</f>
        <v>6016378</v>
      </c>
      <c r="AL11" s="290">
        <f t="shared" si="4"/>
        <v>7.9553578093329635E-2</v>
      </c>
      <c r="AM11" s="50">
        <f>ROUND(SUM(Z53:Z64),0)</f>
        <v>6097676</v>
      </c>
      <c r="AN11" s="291">
        <f t="shared" si="1"/>
        <v>13.185765753156907</v>
      </c>
      <c r="AO11" s="50">
        <f>ROUND(AVERAGE(D53:D64),0)</f>
        <v>102525</v>
      </c>
      <c r="AP11" s="292">
        <f t="shared" si="2"/>
        <v>5.8672284006071607E-2</v>
      </c>
      <c r="AQ11" s="50">
        <f t="shared" ref="AQ11:AQ29" si="5">AK11/AO11*1000</f>
        <v>58682.058034625705</v>
      </c>
      <c r="AR11" s="47">
        <f t="shared" ref="AR11:AR29" si="6">(AQ11/AQ10-1)*100</f>
        <v>1.9724039632210033</v>
      </c>
      <c r="AS11" s="50">
        <f t="shared" si="0"/>
        <v>59475</v>
      </c>
      <c r="AT11" s="47">
        <f t="shared" si="3"/>
        <v>6.9136601412932208</v>
      </c>
      <c r="CF11" s="22">
        <v>1987</v>
      </c>
      <c r="DA11"/>
    </row>
    <row r="12" spans="1:111" ht="12.75" customHeight="1">
      <c r="A12" s="226"/>
      <c r="C12" s="5"/>
      <c r="K12" s="4"/>
      <c r="L12" s="374" t="s">
        <v>251</v>
      </c>
      <c r="N12" s="4"/>
      <c r="O12" s="24" t="str">
        <f>L12</f>
        <v>20Yr Normal</v>
      </c>
      <c r="P12" s="5"/>
      <c r="Q12" s="6"/>
      <c r="R12" s="5"/>
      <c r="T12" s="13"/>
      <c r="AB12" s="507" t="s">
        <v>305</v>
      </c>
      <c r="AJ12" s="22">
        <v>1988</v>
      </c>
      <c r="AK12" s="84">
        <f>ROUND(SUM(C65:C76),0)</f>
        <v>6479391</v>
      </c>
      <c r="AL12" s="290">
        <f t="shared" si="4"/>
        <v>7.6958761567175404E-2</v>
      </c>
      <c r="AM12" s="50">
        <f>ROUND(SUM(Z65:Z76),0)</f>
        <v>6556542</v>
      </c>
      <c r="AN12" s="291">
        <f t="shared" si="1"/>
        <v>7.525260443487003</v>
      </c>
      <c r="AO12" s="50">
        <f>ROUND(AVERAGE(D65:D76),0)</f>
        <v>106899</v>
      </c>
      <c r="AP12" s="292">
        <f t="shared" si="2"/>
        <v>4.2662765179224627E-2</v>
      </c>
      <c r="AQ12" s="50">
        <f t="shared" si="5"/>
        <v>60612.2695254399</v>
      </c>
      <c r="AR12" s="47">
        <f t="shared" si="6"/>
        <v>3.2892702735055179</v>
      </c>
      <c r="AS12" s="50">
        <f t="shared" si="0"/>
        <v>61334</v>
      </c>
      <c r="AT12" s="47">
        <f t="shared" si="3"/>
        <v>3.1256830601092966</v>
      </c>
      <c r="BA12" s="374" t="s">
        <v>251</v>
      </c>
      <c r="BE12" s="24" t="str">
        <f>BA12</f>
        <v>20Yr Normal</v>
      </c>
      <c r="BF12" s="5"/>
      <c r="BG12" s="46"/>
      <c r="BH12" s="6"/>
      <c r="BI12" s="5"/>
      <c r="BK12" s="4"/>
      <c r="BL12" s="258"/>
      <c r="CF12" s="22">
        <v>1988</v>
      </c>
      <c r="DA12"/>
    </row>
    <row r="13" spans="1:111" ht="12.75" customHeight="1">
      <c r="A13" s="51"/>
      <c r="B13" s="23"/>
      <c r="C13" s="23"/>
      <c r="D13" s="23"/>
      <c r="E13" s="5"/>
      <c r="K13" s="4"/>
      <c r="L13" s="374" t="s">
        <v>258</v>
      </c>
      <c r="N13" s="4"/>
      <c r="O13" s="24" t="str">
        <f>L13</f>
        <v>1989-08</v>
      </c>
      <c r="P13" s="5"/>
      <c r="Q13" s="6"/>
      <c r="R13" s="5"/>
      <c r="T13" s="13"/>
      <c r="X13" s="57"/>
      <c r="Z13" s="15"/>
      <c r="AA13" s="15"/>
      <c r="AB13" s="491" t="s">
        <v>304</v>
      </c>
      <c r="AC13" s="13"/>
      <c r="AD13" s="13"/>
      <c r="AE13" s="13" t="s">
        <v>14</v>
      </c>
      <c r="AF13" s="24" t="s">
        <v>184</v>
      </c>
      <c r="AG13" s="13" t="s">
        <v>14</v>
      </c>
      <c r="AJ13" s="22">
        <v>1989</v>
      </c>
      <c r="AK13" s="84">
        <f>ROUND(SUM(C77:C88),0)</f>
        <v>6989811</v>
      </c>
      <c r="AL13" s="290">
        <f t="shared" si="4"/>
        <v>7.8775921996372844E-2</v>
      </c>
      <c r="AM13" s="50">
        <f>ROUND(SUM(Z77:Z88),0)</f>
        <v>6783080</v>
      </c>
      <c r="AN13" s="291">
        <f t="shared" si="1"/>
        <v>3.4551444953757615</v>
      </c>
      <c r="AO13" s="50">
        <f>ROUND(AVERAGE(D77:D88),0)</f>
        <v>111079</v>
      </c>
      <c r="AP13" s="292">
        <f t="shared" si="2"/>
        <v>3.9102330236952643E-2</v>
      </c>
      <c r="AQ13" s="50">
        <f t="shared" si="5"/>
        <v>62926.484754093937</v>
      </c>
      <c r="AR13" s="47">
        <f t="shared" si="6"/>
        <v>3.818063977430719</v>
      </c>
      <c r="AS13" s="50">
        <f t="shared" si="0"/>
        <v>61065</v>
      </c>
      <c r="AT13" s="47">
        <f t="shared" si="3"/>
        <v>-0.4385821893240327</v>
      </c>
      <c r="BA13" s="374" t="s">
        <v>252</v>
      </c>
      <c r="BE13" s="24" t="str">
        <f>BA13</f>
        <v>1989-2008</v>
      </c>
      <c r="BF13" s="5"/>
      <c r="BG13" s="46"/>
      <c r="BH13" s="6"/>
      <c r="BI13" s="5"/>
      <c r="BJ13" s="13"/>
      <c r="BK13" s="4"/>
      <c r="BL13" s="258"/>
      <c r="BT13" s="205"/>
      <c r="CF13" s="51">
        <v>1989</v>
      </c>
      <c r="DA13"/>
      <c r="DB13" s="170" t="s">
        <v>4</v>
      </c>
      <c r="DC13" s="170"/>
      <c r="DD13" s="171"/>
      <c r="DE13" s="171"/>
    </row>
    <row r="14" spans="1:111" ht="12.75" customHeight="1">
      <c r="C14" s="52" t="s">
        <v>12</v>
      </c>
      <c r="D14" s="52" t="s">
        <v>12</v>
      </c>
      <c r="J14" s="13"/>
      <c r="K14" s="4"/>
      <c r="M14" s="6"/>
      <c r="N14" s="4"/>
      <c r="O14" s="4"/>
      <c r="P14" s="5"/>
      <c r="Q14" s="6"/>
      <c r="R14" s="5"/>
      <c r="S14" s="193" t="s">
        <v>12</v>
      </c>
      <c r="T14" s="13" t="s">
        <v>18</v>
      </c>
      <c r="W14" s="52" t="s">
        <v>15</v>
      </c>
      <c r="X14" s="45" t="s">
        <v>48</v>
      </c>
      <c r="Z14" s="58" t="s">
        <v>68</v>
      </c>
      <c r="AA14" s="45" t="s">
        <v>67</v>
      </c>
      <c r="AB14" s="508" t="s">
        <v>303</v>
      </c>
      <c r="AC14" s="13" t="s">
        <v>13</v>
      </c>
      <c r="AD14" s="13"/>
      <c r="AE14" s="24" t="s">
        <v>183</v>
      </c>
      <c r="AF14" s="13" t="s">
        <v>50</v>
      </c>
      <c r="AG14" s="13" t="s">
        <v>49</v>
      </c>
      <c r="AJ14" s="22">
        <v>1990</v>
      </c>
      <c r="AK14" s="84">
        <f>ROUND(SUM(C89:C100),0)</f>
        <v>7328748</v>
      </c>
      <c r="AL14" s="290">
        <f t="shared" si="4"/>
        <v>4.8490152308839241E-2</v>
      </c>
      <c r="AM14" s="50">
        <f>ROUND(SUM(Z89:Z100),0)</f>
        <v>7156830</v>
      </c>
      <c r="AN14" s="291">
        <f t="shared" si="1"/>
        <v>5.510033789959734</v>
      </c>
      <c r="AO14" s="50">
        <f>ROUND(AVERAGE(D89:D100),0)</f>
        <v>113595</v>
      </c>
      <c r="AP14" s="292">
        <f t="shared" si="2"/>
        <v>2.2650546007796146E-2</v>
      </c>
      <c r="AQ14" s="50">
        <f t="shared" si="5"/>
        <v>64516.466393767332</v>
      </c>
      <c r="AR14" s="47">
        <f t="shared" si="6"/>
        <v>2.5267288422144984</v>
      </c>
      <c r="AS14" s="50">
        <f t="shared" si="0"/>
        <v>63003</v>
      </c>
      <c r="AT14" s="47">
        <f t="shared" si="3"/>
        <v>3.1736674035863333</v>
      </c>
      <c r="BB14" s="6"/>
      <c r="BC14" s="6"/>
      <c r="BF14" s="5"/>
      <c r="BG14" s="239"/>
      <c r="BH14" s="6"/>
      <c r="BI14" s="5"/>
      <c r="BJ14" s="13"/>
      <c r="BK14" s="193" t="s">
        <v>12</v>
      </c>
      <c r="BL14" s="259"/>
      <c r="BP14" s="65" t="s">
        <v>12</v>
      </c>
      <c r="BQ14" s="107" t="s">
        <v>12</v>
      </c>
      <c r="BR14" s="265" t="s">
        <v>17</v>
      </c>
      <c r="BS14" s="265"/>
      <c r="BT14" s="171" t="s">
        <v>17</v>
      </c>
      <c r="BU14" s="13"/>
      <c r="BV14" s="13" t="s">
        <v>56</v>
      </c>
      <c r="CF14" s="22">
        <v>1990</v>
      </c>
      <c r="DB14" s="170" t="s">
        <v>177</v>
      </c>
      <c r="DC14" s="463"/>
      <c r="DD14" s="205"/>
      <c r="DE14" s="171"/>
      <c r="DF14" s="374"/>
      <c r="DG14" s="463" t="s">
        <v>297</v>
      </c>
    </row>
    <row r="15" spans="1:111" ht="12.75" customHeight="1">
      <c r="C15" s="52" t="s">
        <v>4</v>
      </c>
      <c r="D15" s="52" t="s">
        <v>4</v>
      </c>
      <c r="E15" s="15" t="s">
        <v>4</v>
      </c>
      <c r="F15" s="24" t="s">
        <v>211</v>
      </c>
      <c r="G15" s="24" t="s">
        <v>211</v>
      </c>
      <c r="H15" s="24" t="s">
        <v>212</v>
      </c>
      <c r="I15" s="24" t="s">
        <v>212</v>
      </c>
      <c r="J15" s="576" t="s">
        <v>328</v>
      </c>
      <c r="K15" s="13" t="s">
        <v>180</v>
      </c>
      <c r="L15" s="13" t="s">
        <v>19</v>
      </c>
      <c r="M15" s="6"/>
      <c r="N15" s="15" t="s">
        <v>20</v>
      </c>
      <c r="O15" s="15" t="s">
        <v>21</v>
      </c>
      <c r="P15" s="5"/>
      <c r="Q15" s="171" t="s">
        <v>23</v>
      </c>
      <c r="R15" s="170" t="s">
        <v>22</v>
      </c>
      <c r="S15" s="194" t="s">
        <v>179</v>
      </c>
      <c r="T15" s="13" t="s">
        <v>18</v>
      </c>
      <c r="W15" s="52" t="s">
        <v>25</v>
      </c>
      <c r="X15" s="15" t="s">
        <v>51</v>
      </c>
      <c r="Z15" s="58" t="s">
        <v>4</v>
      </c>
      <c r="AA15" s="13" t="s">
        <v>71</v>
      </c>
      <c r="AB15" s="508" t="s">
        <v>4</v>
      </c>
      <c r="AC15" s="13" t="s">
        <v>24</v>
      </c>
      <c r="AD15" s="24" t="s">
        <v>182</v>
      </c>
      <c r="AE15" s="13" t="s">
        <v>51</v>
      </c>
      <c r="AF15" s="13" t="s">
        <v>52</v>
      </c>
      <c r="AG15" s="13" t="s">
        <v>4</v>
      </c>
      <c r="AJ15" s="22">
        <v>1991</v>
      </c>
      <c r="AK15" s="84">
        <f>ROUND(SUM(C101:C112),0)</f>
        <v>7489197</v>
      </c>
      <c r="AL15" s="290">
        <f t="shared" si="4"/>
        <v>2.1893098248159104E-2</v>
      </c>
      <c r="AM15" s="50">
        <f>ROUND(SUM(Z101:Z112),0)</f>
        <v>7298361</v>
      </c>
      <c r="AN15" s="291">
        <f t="shared" si="1"/>
        <v>1.9775654863955161</v>
      </c>
      <c r="AO15" s="50">
        <f>ROUND(AVERAGE(D101:D112),0)</f>
        <v>114657</v>
      </c>
      <c r="AP15" s="292">
        <f t="shared" si="2"/>
        <v>9.3490030371055077E-3</v>
      </c>
      <c r="AQ15" s="50">
        <f t="shared" si="5"/>
        <v>65318.27101703341</v>
      </c>
      <c r="AR15" s="47">
        <f t="shared" si="6"/>
        <v>1.2427906673815325</v>
      </c>
      <c r="AS15" s="50">
        <f t="shared" si="0"/>
        <v>63654</v>
      </c>
      <c r="AT15" s="47">
        <f t="shared" si="3"/>
        <v>1.0332841293271722</v>
      </c>
      <c r="AZ15" s="13" t="s">
        <v>180</v>
      </c>
      <c r="BA15" s="13" t="s">
        <v>19</v>
      </c>
      <c r="BB15" s="6"/>
      <c r="BC15" s="6"/>
      <c r="BD15" s="15" t="s">
        <v>20</v>
      </c>
      <c r="BE15" s="15" t="s">
        <v>21</v>
      </c>
      <c r="BF15" s="5"/>
      <c r="BG15" s="205"/>
      <c r="BH15" s="58" t="s">
        <v>23</v>
      </c>
      <c r="BI15" s="52" t="s">
        <v>22</v>
      </c>
      <c r="BJ15" s="170"/>
      <c r="BK15" s="194" t="s">
        <v>179</v>
      </c>
      <c r="BL15" s="260"/>
      <c r="BM15" s="13" t="s">
        <v>18</v>
      </c>
      <c r="BP15" s="65" t="s">
        <v>28</v>
      </c>
      <c r="BQ15" s="107" t="s">
        <v>28</v>
      </c>
      <c r="BR15" s="107" t="s">
        <v>28</v>
      </c>
      <c r="BS15" s="107"/>
      <c r="BT15" s="283" t="s">
        <v>28</v>
      </c>
      <c r="BU15" s="13"/>
      <c r="BV15" s="4" t="s">
        <v>39</v>
      </c>
      <c r="BW15" s="374" t="s">
        <v>311</v>
      </c>
      <c r="CF15" s="22">
        <v>1991</v>
      </c>
      <c r="DA15" s="490" t="s">
        <v>290</v>
      </c>
      <c r="DB15" s="170" t="s">
        <v>5</v>
      </c>
      <c r="DC15" s="170"/>
      <c r="DD15" s="171"/>
      <c r="DE15" s="205"/>
      <c r="DF15" s="356"/>
      <c r="DG15" s="170" t="s">
        <v>298</v>
      </c>
    </row>
    <row r="16" spans="1:111" ht="12.75" customHeight="1">
      <c r="A16" s="34" t="s">
        <v>8</v>
      </c>
      <c r="B16" s="31" t="s">
        <v>29</v>
      </c>
      <c r="C16" s="67" t="s">
        <v>53</v>
      </c>
      <c r="D16" s="67" t="s">
        <v>47</v>
      </c>
      <c r="E16" s="31" t="s">
        <v>43</v>
      </c>
      <c r="F16" s="36" t="s">
        <v>5</v>
      </c>
      <c r="G16" s="36" t="s">
        <v>10</v>
      </c>
      <c r="H16" s="36" t="s">
        <v>5</v>
      </c>
      <c r="I16" s="36" t="s">
        <v>10</v>
      </c>
      <c r="J16" s="584" t="s">
        <v>331</v>
      </c>
      <c r="K16" s="129" t="s">
        <v>176</v>
      </c>
      <c r="L16" s="129" t="s">
        <v>181</v>
      </c>
      <c r="M16" s="68" t="s">
        <v>33</v>
      </c>
      <c r="N16" s="31" t="s">
        <v>34</v>
      </c>
      <c r="O16" s="31" t="s">
        <v>34</v>
      </c>
      <c r="P16" s="67" t="s">
        <v>33</v>
      </c>
      <c r="Q16" s="238" t="s">
        <v>178</v>
      </c>
      <c r="R16" s="185" t="s">
        <v>35</v>
      </c>
      <c r="S16" s="195" t="s">
        <v>35</v>
      </c>
      <c r="T16" s="36" t="s">
        <v>18</v>
      </c>
      <c r="U16" s="31" t="s">
        <v>8</v>
      </c>
      <c r="V16" s="31" t="s">
        <v>29</v>
      </c>
      <c r="W16" s="67" t="s">
        <v>43</v>
      </c>
      <c r="X16" s="38" t="s">
        <v>54</v>
      </c>
      <c r="Z16" s="128" t="s">
        <v>45</v>
      </c>
      <c r="AA16" s="31" t="s">
        <v>74</v>
      </c>
      <c r="AB16" s="513" t="s">
        <v>53</v>
      </c>
      <c r="AC16" s="36" t="s">
        <v>36</v>
      </c>
      <c r="AD16" s="36" t="s">
        <v>40</v>
      </c>
      <c r="AE16" s="129" t="s">
        <v>54</v>
      </c>
      <c r="AF16" s="36" t="s">
        <v>55</v>
      </c>
      <c r="AG16" s="36" t="s">
        <v>45</v>
      </c>
      <c r="AH16" s="36" t="s">
        <v>221</v>
      </c>
      <c r="AJ16" s="22">
        <v>1992</v>
      </c>
      <c r="AK16" s="84">
        <f>ROUND(SUM(C113:C124),0)</f>
        <v>7544084</v>
      </c>
      <c r="AL16" s="290">
        <f t="shared" si="4"/>
        <v>7.3288231034649431E-3</v>
      </c>
      <c r="AM16" s="50">
        <f>ROUND(SUM(Z113:Z124),0)</f>
        <v>7682479</v>
      </c>
      <c r="AN16" s="291">
        <f t="shared" si="1"/>
        <v>5.2630720787859131</v>
      </c>
      <c r="AO16" s="50">
        <f>ROUND(AVERAGE(D113:D124),0)</f>
        <v>116727</v>
      </c>
      <c r="AP16" s="292">
        <f t="shared" si="2"/>
        <v>1.8053847562730541E-2</v>
      </c>
      <c r="AQ16" s="50">
        <f t="shared" si="5"/>
        <v>64630.15412029779</v>
      </c>
      <c r="AR16" s="47">
        <f t="shared" si="6"/>
        <v>-1.0534830240013227</v>
      </c>
      <c r="AS16" s="50">
        <f t="shared" si="0"/>
        <v>65816</v>
      </c>
      <c r="AT16" s="47">
        <f t="shared" si="3"/>
        <v>3.3964872592452844</v>
      </c>
      <c r="AX16" s="31" t="s">
        <v>8</v>
      </c>
      <c r="AY16" s="31" t="s">
        <v>29</v>
      </c>
      <c r="AZ16" s="129" t="s">
        <v>176</v>
      </c>
      <c r="BA16" s="129" t="s">
        <v>181</v>
      </c>
      <c r="BB16" s="68" t="s">
        <v>33</v>
      </c>
      <c r="BC16" s="68"/>
      <c r="BD16" s="31" t="s">
        <v>34</v>
      </c>
      <c r="BE16" s="31" t="s">
        <v>34</v>
      </c>
      <c r="BF16" s="67" t="s">
        <v>33</v>
      </c>
      <c r="BG16" s="238"/>
      <c r="BH16" s="238" t="s">
        <v>178</v>
      </c>
      <c r="BI16" s="67" t="s">
        <v>35</v>
      </c>
      <c r="BJ16" s="240"/>
      <c r="BK16" s="195" t="s">
        <v>35</v>
      </c>
      <c r="BL16" s="261"/>
      <c r="BM16" s="36" t="s">
        <v>18</v>
      </c>
      <c r="BN16" s="31" t="s">
        <v>8</v>
      </c>
      <c r="BO16" s="31" t="s">
        <v>29</v>
      </c>
      <c r="BP16" s="281" t="s">
        <v>53</v>
      </c>
      <c r="BQ16" s="263" t="s">
        <v>43</v>
      </c>
      <c r="BR16" s="263" t="s">
        <v>43</v>
      </c>
      <c r="BS16" s="264" t="s">
        <v>186</v>
      </c>
      <c r="BT16" s="238" t="s">
        <v>53</v>
      </c>
      <c r="BU16" s="264" t="s">
        <v>186</v>
      </c>
      <c r="BV16" s="90" t="s">
        <v>40</v>
      </c>
      <c r="BW16" s="229" t="s">
        <v>310</v>
      </c>
      <c r="CF16" s="22">
        <v>1992</v>
      </c>
      <c r="DA16" s="493" t="s">
        <v>291</v>
      </c>
      <c r="DB16" s="185" t="s">
        <v>296</v>
      </c>
      <c r="DC16" s="185"/>
      <c r="DD16" s="202"/>
      <c r="DE16" s="202"/>
      <c r="DF16" s="36"/>
      <c r="DG16" s="185" t="s">
        <v>296</v>
      </c>
    </row>
    <row r="17" spans="1:90" ht="12.75" customHeight="1">
      <c r="A17" s="22">
        <v>1984</v>
      </c>
      <c r="B17" s="4">
        <v>1</v>
      </c>
      <c r="C17" s="5">
        <v>343263</v>
      </c>
      <c r="D17" s="5">
        <v>86027</v>
      </c>
      <c r="E17" s="74">
        <f t="shared" ref="E17:E80" si="7">ROUND((C17/D17)*1000,1)</f>
        <v>3990.2</v>
      </c>
      <c r="G17" s="347"/>
      <c r="J17" s="574">
        <f>D17</f>
        <v>86027</v>
      </c>
      <c r="K17" s="4">
        <f>'[7]COM 55 &amp; 65'!$S102</f>
        <v>47.4</v>
      </c>
      <c r="L17" s="423">
        <f>[7]Com20Yr!$T6</f>
        <v>70.8</v>
      </c>
      <c r="M17" s="44">
        <f t="shared" ref="M17:M48" si="8">(L17-K17)</f>
        <v>23.4</v>
      </c>
      <c r="N17" s="4">
        <f>'[7]COM 55 &amp; 65'!$J102</f>
        <v>132.80000000000001</v>
      </c>
      <c r="O17" s="423">
        <f>[7]Com20Yr!$S6</f>
        <v>54.9</v>
      </c>
      <c r="P17" s="41">
        <f t="shared" ref="P17:P48" si="9">(O17-N17)</f>
        <v>-77.900000000000006</v>
      </c>
      <c r="Q17" s="474">
        <f t="shared" ref="Q17:Q80" si="10">M17*$C$10</f>
        <v>15980.093999999999</v>
      </c>
      <c r="R17" s="472">
        <f t="shared" ref="R17:R80" si="11">P17*$C$9</f>
        <v>-51362.586000000003</v>
      </c>
      <c r="S17" s="241">
        <f t="shared" ref="S17:S80" si="12">ROUND(SUM(Q17,R17),0)</f>
        <v>-35382</v>
      </c>
      <c r="T17" s="13" t="s">
        <v>18</v>
      </c>
      <c r="U17" s="4">
        <v>1984</v>
      </c>
      <c r="V17" s="4">
        <v>1</v>
      </c>
      <c r="W17" s="242">
        <f t="shared" ref="W17:W80" si="13">Z17/D17*1000</f>
        <v>3578.8880235274974</v>
      </c>
      <c r="X17" s="80"/>
      <c r="Z17" s="175">
        <f t="shared" ref="Z17:Z80" si="14">S17+C17</f>
        <v>307881</v>
      </c>
      <c r="AA17" s="12">
        <f t="shared" ref="AA17:AA80" si="15">Z17-C17</f>
        <v>-35382</v>
      </c>
      <c r="AB17" s="379">
        <f>Z17</f>
        <v>307881</v>
      </c>
      <c r="AC17" s="107">
        <f>RESID!AC17</f>
        <v>31.95</v>
      </c>
      <c r="AD17" s="243">
        <f t="shared" ref="AD17:AD80" si="16">ROUND(C17/(AC17/30.42),1)</f>
        <v>326825.09999999998</v>
      </c>
      <c r="AE17" s="81"/>
      <c r="AG17" s="4">
        <f t="shared" ref="AG17:AG80" si="17">ROUND(Z17/(AC17/30.42),0)</f>
        <v>293137</v>
      </c>
      <c r="AJ17" s="22">
        <v>1993</v>
      </c>
      <c r="AK17" s="84">
        <f>ROUND(SUM(C125:C136),0)</f>
        <v>7884749</v>
      </c>
      <c r="AL17" s="290">
        <f t="shared" si="4"/>
        <v>4.5156575669093924E-2</v>
      </c>
      <c r="AM17" s="50">
        <f>ROUND(SUM(Z125:Z136),0)</f>
        <v>7985847</v>
      </c>
      <c r="AN17" s="291">
        <f t="shared" si="1"/>
        <v>3.9488295379655369</v>
      </c>
      <c r="AO17" s="50">
        <f>ROUND(AVERAGE(D125:D136),0)</f>
        <v>119811</v>
      </c>
      <c r="AP17" s="292">
        <f t="shared" si="2"/>
        <v>2.642062247808985E-2</v>
      </c>
      <c r="AQ17" s="50">
        <f t="shared" si="5"/>
        <v>65809.892246955627</v>
      </c>
      <c r="AR17" s="47">
        <f t="shared" si="6"/>
        <v>1.8253679613110085</v>
      </c>
      <c r="AS17" s="50">
        <f t="shared" si="0"/>
        <v>66654</v>
      </c>
      <c r="AT17" s="47">
        <f t="shared" si="3"/>
        <v>1.2732466269600007</v>
      </c>
      <c r="AX17" s="4">
        <v>1984</v>
      </c>
      <c r="AY17" s="4">
        <v>1</v>
      </c>
      <c r="AZ17" s="76">
        <f>'[8]COM 55 &amp; 65'!$S102</f>
        <v>44.4</v>
      </c>
      <c r="BA17" s="76">
        <f>[8]Com20Yr!$T6</f>
        <v>72.3</v>
      </c>
      <c r="BB17" s="362">
        <f>(BA17-AZ17)</f>
        <v>27.9</v>
      </c>
      <c r="BC17" s="362"/>
      <c r="BD17" s="76">
        <f>'[8]COM 55 &amp; 65'!$J102</f>
        <v>93.9</v>
      </c>
      <c r="BE17" s="76">
        <f>[8]Com20Yr!$S6</f>
        <v>52.4</v>
      </c>
      <c r="BF17" s="363">
        <f>(BE17-BD17)</f>
        <v>-41.500000000000007</v>
      </c>
      <c r="BG17" s="244"/>
      <c r="BH17" s="244">
        <f t="shared" ref="BH17:BH80" si="18">BB17*$C$10</f>
        <v>19053.188999999998</v>
      </c>
      <c r="BI17" s="242">
        <f t="shared" ref="BI17:BI80" si="19">BF17*$C$9</f>
        <v>-27362.610000000004</v>
      </c>
      <c r="BJ17" s="242"/>
      <c r="BK17" s="241">
        <f t="shared" ref="BK17:BK80" si="20">ROUND(SUM(BH17,BI17),0)</f>
        <v>-8309</v>
      </c>
      <c r="BL17" s="262"/>
      <c r="BM17" s="36" t="s">
        <v>18</v>
      </c>
      <c r="BN17" s="4">
        <v>1984</v>
      </c>
      <c r="BO17" s="4">
        <v>1</v>
      </c>
      <c r="CF17" s="22">
        <v>1993</v>
      </c>
    </row>
    <row r="18" spans="1:90" ht="12.75" customHeight="1">
      <c r="A18" s="22">
        <v>1984</v>
      </c>
      <c r="B18" s="4">
        <v>2</v>
      </c>
      <c r="C18" s="5">
        <v>314479</v>
      </c>
      <c r="D18" s="5">
        <v>84352</v>
      </c>
      <c r="E18" s="74">
        <f t="shared" si="7"/>
        <v>3728.2</v>
      </c>
      <c r="G18" s="347"/>
      <c r="J18" s="574">
        <f t="shared" ref="J18:J81" si="21">D18</f>
        <v>84352</v>
      </c>
      <c r="K18" s="4">
        <f>'[7]COM 55 &amp; 65'!$S103</f>
        <v>54.8</v>
      </c>
      <c r="L18" s="423">
        <f>[7]Com20Yr!$T7</f>
        <v>62.7</v>
      </c>
      <c r="M18" s="44">
        <f t="shared" si="8"/>
        <v>7.9000000000000057</v>
      </c>
      <c r="N18" s="4">
        <f>'[7]COM 55 &amp; 65'!$J103</f>
        <v>77.099999999999994</v>
      </c>
      <c r="O18" s="423">
        <f>[7]Com20Yr!$S7</f>
        <v>46.9</v>
      </c>
      <c r="P18" s="41">
        <f t="shared" si="9"/>
        <v>-30.199999999999996</v>
      </c>
      <c r="Q18" s="474">
        <f t="shared" si="10"/>
        <v>5394.9890000000032</v>
      </c>
      <c r="R18" s="472">
        <f t="shared" si="11"/>
        <v>-19912.067999999999</v>
      </c>
      <c r="S18" s="241">
        <f t="shared" si="12"/>
        <v>-14517</v>
      </c>
      <c r="T18" s="13" t="s">
        <v>18</v>
      </c>
      <c r="U18" s="4">
        <v>1984</v>
      </c>
      <c r="V18" s="4">
        <v>2</v>
      </c>
      <c r="W18" s="242">
        <f t="shared" si="13"/>
        <v>3556.0745447647951</v>
      </c>
      <c r="X18" s="80"/>
      <c r="Z18" s="175">
        <f t="shared" si="14"/>
        <v>299962</v>
      </c>
      <c r="AA18" s="12">
        <f t="shared" si="15"/>
        <v>-14517</v>
      </c>
      <c r="AB18" s="379">
        <f t="shared" ref="AB18:AB81" si="22">Z18</f>
        <v>299962</v>
      </c>
      <c r="AC18" s="107">
        <f>RESID!AC18</f>
        <v>29.65</v>
      </c>
      <c r="AD18" s="243">
        <f t="shared" si="16"/>
        <v>322645.90000000002</v>
      </c>
      <c r="AE18" s="81"/>
      <c r="AG18" s="4">
        <f t="shared" si="17"/>
        <v>307752</v>
      </c>
      <c r="AJ18" s="51">
        <v>1994</v>
      </c>
      <c r="AK18" s="84">
        <f>ROUND(SUM(C137:C148),0)</f>
        <v>8252062</v>
      </c>
      <c r="AL18" s="290">
        <f t="shared" si="4"/>
        <v>4.6585249574843779E-2</v>
      </c>
      <c r="AM18" s="50">
        <f>ROUND(SUM(Z137:Z148),0)</f>
        <v>8225929</v>
      </c>
      <c r="AN18" s="291">
        <f t="shared" si="1"/>
        <v>3.0063435976171338</v>
      </c>
      <c r="AO18" s="50">
        <f>ROUND(AVERAGE(D137:D148),0)</f>
        <v>122987</v>
      </c>
      <c r="AP18" s="292">
        <f t="shared" si="2"/>
        <v>2.6508417424109698E-2</v>
      </c>
      <c r="AQ18" s="50">
        <f t="shared" si="5"/>
        <v>67097.026514997517</v>
      </c>
      <c r="AR18" s="47">
        <f t="shared" si="6"/>
        <v>1.9558370696184157</v>
      </c>
      <c r="AS18" s="50">
        <f t="shared" si="0"/>
        <v>66885</v>
      </c>
      <c r="AT18" s="47">
        <f t="shared" si="3"/>
        <v>0.3465658475110267</v>
      </c>
      <c r="AX18" s="4">
        <v>1984</v>
      </c>
      <c r="AY18" s="4">
        <v>2</v>
      </c>
      <c r="AZ18" s="76">
        <f>'[8]COM 55 &amp; 65'!$S103</f>
        <v>64.599999999999994</v>
      </c>
      <c r="BA18" s="76">
        <f>[8]Com20Yr!$T7</f>
        <v>82.6</v>
      </c>
      <c r="BB18" s="362">
        <f t="shared" ref="BB18:BB81" si="23">(BA18-AZ18)</f>
        <v>18</v>
      </c>
      <c r="BC18" s="362"/>
      <c r="BD18" s="76">
        <f>'[8]COM 55 &amp; 65'!$J103</f>
        <v>54.6</v>
      </c>
      <c r="BE18" s="76">
        <f>[8]Com20Yr!$S7</f>
        <v>36.5</v>
      </c>
      <c r="BF18" s="363">
        <f t="shared" ref="BF18:BF81" si="24">(BE18-BD18)</f>
        <v>-18.100000000000001</v>
      </c>
      <c r="BG18" s="244"/>
      <c r="BH18" s="244">
        <f t="shared" si="18"/>
        <v>12292.38</v>
      </c>
      <c r="BI18" s="242">
        <f t="shared" si="19"/>
        <v>-11934.054000000002</v>
      </c>
      <c r="BJ18" s="242"/>
      <c r="BK18" s="241">
        <f t="shared" si="20"/>
        <v>358</v>
      </c>
      <c r="BL18" s="262"/>
      <c r="BM18" s="36" t="s">
        <v>18</v>
      </c>
      <c r="BN18" s="4">
        <v>1984</v>
      </c>
      <c r="BO18" s="4">
        <v>2</v>
      </c>
      <c r="CF18" s="51">
        <v>1994</v>
      </c>
    </row>
    <row r="19" spans="1:90" ht="12.75" customHeight="1">
      <c r="A19" s="22">
        <v>1984</v>
      </c>
      <c r="B19" s="4">
        <v>3</v>
      </c>
      <c r="C19" s="5">
        <v>315424</v>
      </c>
      <c r="D19" s="5">
        <v>85137</v>
      </c>
      <c r="E19" s="74">
        <f t="shared" si="7"/>
        <v>3704.9</v>
      </c>
      <c r="G19" s="347"/>
      <c r="J19" s="574">
        <f t="shared" si="21"/>
        <v>85137</v>
      </c>
      <c r="K19" s="4">
        <f>'[7]COM 55 &amp; 65'!$S104</f>
        <v>81.400000000000006</v>
      </c>
      <c r="L19" s="423">
        <f>[7]Com20Yr!$T8</f>
        <v>105.4</v>
      </c>
      <c r="M19" s="44">
        <f t="shared" si="8"/>
        <v>24</v>
      </c>
      <c r="N19" s="4">
        <f>'[7]COM 55 &amp; 65'!$J104</f>
        <v>47.8</v>
      </c>
      <c r="O19" s="423">
        <f>[7]Com20Yr!$S8</f>
        <v>26.8</v>
      </c>
      <c r="P19" s="41">
        <f t="shared" si="9"/>
        <v>-20.999999999999996</v>
      </c>
      <c r="Q19" s="474">
        <f t="shared" si="10"/>
        <v>16389.84</v>
      </c>
      <c r="R19" s="472">
        <f t="shared" si="11"/>
        <v>-13846.139999999998</v>
      </c>
      <c r="S19" s="241">
        <f t="shared" si="12"/>
        <v>2544</v>
      </c>
      <c r="T19" s="13" t="s">
        <v>18</v>
      </c>
      <c r="U19" s="4">
        <v>1984</v>
      </c>
      <c r="V19" s="4">
        <v>3</v>
      </c>
      <c r="W19" s="242">
        <f t="shared" si="13"/>
        <v>3734.7804127465147</v>
      </c>
      <c r="X19" s="80"/>
      <c r="Z19" s="175">
        <f t="shared" si="14"/>
        <v>317968</v>
      </c>
      <c r="AA19" s="12">
        <f t="shared" si="15"/>
        <v>2544</v>
      </c>
      <c r="AB19" s="379">
        <f t="shared" si="22"/>
        <v>317968</v>
      </c>
      <c r="AC19" s="107">
        <f>RESID!AC19</f>
        <v>29.4</v>
      </c>
      <c r="AD19" s="243">
        <f t="shared" si="16"/>
        <v>326367.3</v>
      </c>
      <c r="AE19" s="81"/>
      <c r="AG19" s="4">
        <f t="shared" si="17"/>
        <v>329000</v>
      </c>
      <c r="AJ19" s="22">
        <v>1995</v>
      </c>
      <c r="AK19" s="84">
        <f>ROUND(SUM(C149:C160),0)</f>
        <v>8612145</v>
      </c>
      <c r="AL19" s="290">
        <f t="shared" si="4"/>
        <v>4.3635518007499208E-2</v>
      </c>
      <c r="AM19" s="50">
        <f>ROUND(SUM(Z149:Z160),0)</f>
        <v>8593322</v>
      </c>
      <c r="AN19" s="291">
        <f t="shared" si="1"/>
        <v>4.4662797356991524</v>
      </c>
      <c r="AO19" s="50">
        <f>ROUND(AVERAGE(D149:D160),0)</f>
        <v>126189</v>
      </c>
      <c r="AP19" s="292">
        <f t="shared" si="2"/>
        <v>2.6035272020620059E-2</v>
      </c>
      <c r="AQ19" s="50">
        <f t="shared" si="5"/>
        <v>68247.98516510948</v>
      </c>
      <c r="AR19" s="47">
        <f t="shared" si="6"/>
        <v>1.7153646143390544</v>
      </c>
      <c r="AS19" s="50">
        <f t="shared" si="0"/>
        <v>68099</v>
      </c>
      <c r="AT19" s="47">
        <f t="shared" si="3"/>
        <v>1.8150556926067152</v>
      </c>
      <c r="AU19" s="108">
        <f>ROUND(SUM(F149:F160),0)</f>
        <v>963848</v>
      </c>
      <c r="AV19" s="108">
        <f>ROUND(AVERAGE(G149:G160),0)</f>
        <v>87935</v>
      </c>
      <c r="AX19" s="4">
        <v>1984</v>
      </c>
      <c r="AY19" s="4">
        <v>3</v>
      </c>
      <c r="AZ19" s="76">
        <f>'[8]COM 55 &amp; 65'!$S104</f>
        <v>121</v>
      </c>
      <c r="BA19" s="76">
        <f>[8]Com20Yr!$T8</f>
        <v>140.4</v>
      </c>
      <c r="BB19" s="362">
        <f t="shared" si="23"/>
        <v>19.400000000000006</v>
      </c>
      <c r="BC19" s="362"/>
      <c r="BD19" s="76">
        <f>'[8]COM 55 &amp; 65'!$J104</f>
        <v>32</v>
      </c>
      <c r="BE19" s="76">
        <f>[8]Com20Yr!$S8</f>
        <v>15.1</v>
      </c>
      <c r="BF19" s="363">
        <f t="shared" si="24"/>
        <v>-16.899999999999999</v>
      </c>
      <c r="BG19" s="244"/>
      <c r="BH19" s="244">
        <f t="shared" si="18"/>
        <v>13248.454000000003</v>
      </c>
      <c r="BI19" s="242">
        <f t="shared" si="19"/>
        <v>-11142.846</v>
      </c>
      <c r="BJ19" s="242"/>
      <c r="BK19" s="241">
        <f t="shared" si="20"/>
        <v>2106</v>
      </c>
      <c r="BL19" s="262"/>
      <c r="BM19" s="36" t="s">
        <v>18</v>
      </c>
      <c r="BN19" s="4">
        <v>1984</v>
      </c>
      <c r="BO19" s="4">
        <v>3</v>
      </c>
      <c r="CF19" s="22">
        <v>1995</v>
      </c>
    </row>
    <row r="20" spans="1:90" ht="12.75" customHeight="1">
      <c r="A20" s="22">
        <v>1984</v>
      </c>
      <c r="B20" s="4">
        <v>4</v>
      </c>
      <c r="C20" s="5">
        <v>322608</v>
      </c>
      <c r="D20" s="5">
        <v>85752</v>
      </c>
      <c r="E20" s="74">
        <f t="shared" si="7"/>
        <v>3762.1</v>
      </c>
      <c r="G20" s="347"/>
      <c r="J20" s="574">
        <f t="shared" si="21"/>
        <v>85752</v>
      </c>
      <c r="K20" s="4">
        <f>'[7]COM 55 &amp; 65'!$S105</f>
        <v>127.7</v>
      </c>
      <c r="L20" s="423">
        <f>[7]Com20Yr!$T9</f>
        <v>178.4</v>
      </c>
      <c r="M20" s="44">
        <f t="shared" si="8"/>
        <v>50.7</v>
      </c>
      <c r="N20" s="4">
        <f>'[7]COM 55 &amp; 65'!$J105</f>
        <v>15.1</v>
      </c>
      <c r="O20" s="423">
        <f>[7]Com20Yr!$S9</f>
        <v>9.5</v>
      </c>
      <c r="P20" s="41">
        <f t="shared" si="9"/>
        <v>-5.6</v>
      </c>
      <c r="Q20" s="474">
        <f t="shared" si="10"/>
        <v>34623.537000000004</v>
      </c>
      <c r="R20" s="472">
        <f t="shared" si="11"/>
        <v>-3692.3040000000001</v>
      </c>
      <c r="S20" s="241">
        <f t="shared" si="12"/>
        <v>30931</v>
      </c>
      <c r="T20" s="13" t="s">
        <v>18</v>
      </c>
      <c r="U20" s="4">
        <v>1984</v>
      </c>
      <c r="V20" s="4">
        <v>4</v>
      </c>
      <c r="W20" s="242">
        <f t="shared" si="13"/>
        <v>4122.8076313088904</v>
      </c>
      <c r="X20" s="80"/>
      <c r="Z20" s="175">
        <f t="shared" si="14"/>
        <v>353539</v>
      </c>
      <c r="AA20" s="12">
        <f t="shared" si="15"/>
        <v>30931</v>
      </c>
      <c r="AB20" s="379">
        <f t="shared" si="22"/>
        <v>353539</v>
      </c>
      <c r="AC20" s="107">
        <f>RESID!AC20</f>
        <v>29.6</v>
      </c>
      <c r="AD20" s="243">
        <f t="shared" si="16"/>
        <v>331545.09999999998</v>
      </c>
      <c r="AE20" s="81"/>
      <c r="AG20" s="4">
        <f t="shared" si="17"/>
        <v>363333</v>
      </c>
      <c r="AJ20" s="51">
        <v>1996</v>
      </c>
      <c r="AK20" s="84">
        <f>ROUND(SUM(C161:C172),0)</f>
        <v>8848017</v>
      </c>
      <c r="AL20" s="290">
        <f t="shared" si="4"/>
        <v>2.7388298733939109E-2</v>
      </c>
      <c r="AM20" s="50">
        <f>ROUND(SUM(Z161:Z172),0)</f>
        <v>8838991</v>
      </c>
      <c r="AN20" s="291">
        <f t="shared" si="1"/>
        <v>2.8588361986202848</v>
      </c>
      <c r="AO20" s="50">
        <f>ROUND(AVERAGE(D161:D172),0)</f>
        <v>129440</v>
      </c>
      <c r="AP20" s="292">
        <f t="shared" si="2"/>
        <v>2.5762942887256335E-2</v>
      </c>
      <c r="AQ20" s="50">
        <f t="shared" si="5"/>
        <v>68356.126390605685</v>
      </c>
      <c r="AR20" s="47">
        <f t="shared" si="6"/>
        <v>0.15845335980919639</v>
      </c>
      <c r="AS20" s="50">
        <f t="shared" si="0"/>
        <v>68286</v>
      </c>
      <c r="AT20" s="47">
        <f t="shared" si="3"/>
        <v>0.27460021439376092</v>
      </c>
      <c r="AU20" s="50">
        <f>ROUND(SUM(F161:F172),0)</f>
        <v>951755</v>
      </c>
      <c r="AV20" s="50">
        <f>ROUND(AVERAGE(G161:G172),0)</f>
        <v>92230</v>
      </c>
      <c r="AW20" s="47">
        <f t="shared" ref="AW20:AW27" si="25">(AV20/AV19-1)*100</f>
        <v>4.8842895320407198</v>
      </c>
      <c r="AX20" s="4">
        <v>1984</v>
      </c>
      <c r="AY20" s="4">
        <v>4</v>
      </c>
      <c r="AZ20" s="76">
        <f>'[8]COM 55 &amp; 65'!$S105</f>
        <v>183.9</v>
      </c>
      <c r="BA20" s="76">
        <f>[8]Com20Yr!$T9</f>
        <v>227.4</v>
      </c>
      <c r="BB20" s="362">
        <f t="shared" si="23"/>
        <v>43.5</v>
      </c>
      <c r="BC20" s="362"/>
      <c r="BD20" s="76">
        <f>'[8]COM 55 &amp; 65'!$J105</f>
        <v>5.7</v>
      </c>
      <c r="BE20" s="76">
        <f>[8]Com20Yr!$S9</f>
        <v>4.8</v>
      </c>
      <c r="BF20" s="363">
        <f t="shared" si="24"/>
        <v>-0.90000000000000036</v>
      </c>
      <c r="BG20" s="244"/>
      <c r="BH20" s="244">
        <f t="shared" si="18"/>
        <v>29706.584999999999</v>
      </c>
      <c r="BI20" s="242">
        <f t="shared" si="19"/>
        <v>-593.40600000000029</v>
      </c>
      <c r="BJ20" s="242"/>
      <c r="BK20" s="241">
        <f t="shared" si="20"/>
        <v>29113</v>
      </c>
      <c r="BL20" s="262"/>
      <c r="BM20" s="36" t="s">
        <v>18</v>
      </c>
      <c r="BN20" s="4">
        <v>1984</v>
      </c>
      <c r="BO20" s="4">
        <v>4</v>
      </c>
      <c r="CF20" s="51">
        <v>1996</v>
      </c>
    </row>
    <row r="21" spans="1:90" ht="12.75" customHeight="1">
      <c r="A21" s="22">
        <v>1984</v>
      </c>
      <c r="B21" s="4">
        <v>5</v>
      </c>
      <c r="C21" s="5">
        <v>371986</v>
      </c>
      <c r="D21" s="5">
        <v>86127</v>
      </c>
      <c r="E21" s="74">
        <f t="shared" si="7"/>
        <v>4319</v>
      </c>
      <c r="G21" s="347"/>
      <c r="J21" s="574">
        <f t="shared" si="21"/>
        <v>86127</v>
      </c>
      <c r="K21" s="4">
        <f>'[7]COM 55 &amp; 65'!$S106</f>
        <v>264.7</v>
      </c>
      <c r="L21" s="423">
        <f>[7]Com20Yr!$T10</f>
        <v>273.89999999999998</v>
      </c>
      <c r="M21" s="44">
        <f t="shared" si="8"/>
        <v>9.1999999999999886</v>
      </c>
      <c r="N21" s="4">
        <f>'[7]COM 55 &amp; 65'!$J106</f>
        <v>3.5</v>
      </c>
      <c r="O21" s="423">
        <f>[7]Com20Yr!$S10</f>
        <v>2</v>
      </c>
      <c r="P21" s="41">
        <f t="shared" si="9"/>
        <v>-1.5</v>
      </c>
      <c r="Q21" s="474">
        <f t="shared" si="10"/>
        <v>6282.7719999999917</v>
      </c>
      <c r="R21" s="472">
        <f t="shared" si="11"/>
        <v>-989.01</v>
      </c>
      <c r="S21" s="241">
        <f t="shared" si="12"/>
        <v>5294</v>
      </c>
      <c r="T21" s="13" t="s">
        <v>18</v>
      </c>
      <c r="U21" s="4">
        <v>1984</v>
      </c>
      <c r="V21" s="4">
        <v>5</v>
      </c>
      <c r="W21" s="242">
        <f t="shared" si="13"/>
        <v>4380.5078546797167</v>
      </c>
      <c r="X21" s="80"/>
      <c r="Z21" s="175">
        <f t="shared" si="14"/>
        <v>377280</v>
      </c>
      <c r="AA21" s="12">
        <f t="shared" si="15"/>
        <v>5294</v>
      </c>
      <c r="AB21" s="379">
        <f t="shared" si="22"/>
        <v>377280</v>
      </c>
      <c r="AC21" s="107">
        <f>RESID!AC21</f>
        <v>30.6</v>
      </c>
      <c r="AD21" s="243">
        <f t="shared" si="16"/>
        <v>369797.8</v>
      </c>
      <c r="AE21" s="81"/>
      <c r="AG21" s="4">
        <f t="shared" si="17"/>
        <v>375061</v>
      </c>
      <c r="AJ21" s="22">
        <v>1997</v>
      </c>
      <c r="AK21" s="84">
        <f>ROUND(SUM(C173:C184),0)</f>
        <v>9257316</v>
      </c>
      <c r="AL21" s="290">
        <f t="shared" si="4"/>
        <v>4.6258839692554732E-2</v>
      </c>
      <c r="AM21" s="50">
        <f>ROUND(SUM(Z173:Z184),0)</f>
        <v>9284409</v>
      </c>
      <c r="AN21" s="291">
        <f t="shared" si="1"/>
        <v>5.0392403386314122</v>
      </c>
      <c r="AO21" s="50">
        <f>ROUND(AVERAGE(D173:D184),0)</f>
        <v>132504</v>
      </c>
      <c r="AP21" s="292">
        <f t="shared" si="2"/>
        <v>2.367119901112491E-2</v>
      </c>
      <c r="AQ21" s="50">
        <f t="shared" si="5"/>
        <v>69864.426734287263</v>
      </c>
      <c r="AR21" s="47">
        <f t="shared" si="6"/>
        <v>2.2065327913151966</v>
      </c>
      <c r="AS21" s="50">
        <f t="shared" si="0"/>
        <v>70069</v>
      </c>
      <c r="AT21" s="47">
        <f t="shared" si="3"/>
        <v>2.611076941100654</v>
      </c>
      <c r="AU21" s="50">
        <f>ROUND(SUM(F173:F184),0)</f>
        <v>1018800</v>
      </c>
      <c r="AV21" s="50">
        <f>ROUND(AVERAGE(G173:G184),0)</f>
        <v>93182</v>
      </c>
      <c r="AW21" s="47">
        <f t="shared" si="25"/>
        <v>1.0322021034370632</v>
      </c>
      <c r="AX21" s="4">
        <v>1984</v>
      </c>
      <c r="AY21" s="4">
        <v>5</v>
      </c>
      <c r="AZ21" s="76">
        <f>'[8]COM 55 &amp; 65'!$S106</f>
        <v>366.5</v>
      </c>
      <c r="BA21" s="76">
        <f>[8]Com20Yr!$T10</f>
        <v>395.2</v>
      </c>
      <c r="BB21" s="362">
        <f t="shared" si="23"/>
        <v>28.699999999999989</v>
      </c>
      <c r="BC21" s="362"/>
      <c r="BD21" s="76">
        <f>'[8]COM 55 &amp; 65'!$J106</f>
        <v>0.5</v>
      </c>
      <c r="BE21" s="76">
        <f>[8]Com20Yr!$S10</f>
        <v>0.2</v>
      </c>
      <c r="BF21" s="363">
        <f t="shared" si="24"/>
        <v>-0.3</v>
      </c>
      <c r="BG21" s="244"/>
      <c r="BH21" s="244">
        <f t="shared" si="18"/>
        <v>19599.516999999993</v>
      </c>
      <c r="BI21" s="242">
        <f t="shared" si="19"/>
        <v>-197.80199999999999</v>
      </c>
      <c r="BJ21" s="242"/>
      <c r="BK21" s="241">
        <f t="shared" si="20"/>
        <v>19402</v>
      </c>
      <c r="BL21" s="262"/>
      <c r="BM21" s="36" t="s">
        <v>18</v>
      </c>
      <c r="BN21" s="4">
        <v>1984</v>
      </c>
      <c r="BO21" s="4">
        <v>5</v>
      </c>
      <c r="CF21" s="22">
        <v>1997</v>
      </c>
      <c r="CG21" s="84">
        <f>ROUND(SUM(BP173:BP184),0)</f>
        <v>9269846</v>
      </c>
      <c r="CH21" s="47"/>
      <c r="CI21" s="84">
        <f>ROUND(SUM(BT173:BT184),0)</f>
        <v>9306703</v>
      </c>
      <c r="CK21" s="4">
        <f t="shared" ref="CK21:CK36" si="26">ROUND(CI21/AO21*1000,0)</f>
        <v>70237</v>
      </c>
    </row>
    <row r="22" spans="1:90" ht="12.75" customHeight="1">
      <c r="A22" s="22">
        <v>1984</v>
      </c>
      <c r="B22" s="4">
        <v>6</v>
      </c>
      <c r="C22" s="5">
        <v>400841</v>
      </c>
      <c r="D22" s="5">
        <v>86618</v>
      </c>
      <c r="E22" s="74">
        <f t="shared" si="7"/>
        <v>4627.7</v>
      </c>
      <c r="G22" s="347"/>
      <c r="J22" s="574">
        <f t="shared" si="21"/>
        <v>86618</v>
      </c>
      <c r="K22" s="4">
        <f>'[7]COM 55 &amp; 65'!$S107</f>
        <v>366.4</v>
      </c>
      <c r="L22" s="423">
        <f>[7]Com20Yr!$T11</f>
        <v>442.7</v>
      </c>
      <c r="M22" s="44">
        <f t="shared" si="8"/>
        <v>76.300000000000011</v>
      </c>
      <c r="N22" s="4">
        <f>'[7]COM 55 &amp; 65'!$J107</f>
        <v>0.5</v>
      </c>
      <c r="O22" s="423">
        <f>[7]Com20Yr!$S11</f>
        <v>0.1</v>
      </c>
      <c r="P22" s="41">
        <f t="shared" si="9"/>
        <v>-0.4</v>
      </c>
      <c r="Q22" s="474">
        <f t="shared" si="10"/>
        <v>52106.033000000003</v>
      </c>
      <c r="R22" s="472">
        <f t="shared" si="11"/>
        <v>-263.73600000000005</v>
      </c>
      <c r="S22" s="241">
        <f t="shared" si="12"/>
        <v>51842</v>
      </c>
      <c r="T22" s="13" t="s">
        <v>18</v>
      </c>
      <c r="U22" s="4">
        <v>1984</v>
      </c>
      <c r="V22" s="4">
        <v>6</v>
      </c>
      <c r="W22" s="242">
        <f t="shared" si="13"/>
        <v>5226.2000969775336</v>
      </c>
      <c r="X22" s="80"/>
      <c r="Z22" s="175">
        <f t="shared" si="14"/>
        <v>452683</v>
      </c>
      <c r="AA22" s="12">
        <f t="shared" si="15"/>
        <v>51842</v>
      </c>
      <c r="AB22" s="379">
        <f t="shared" si="22"/>
        <v>452683</v>
      </c>
      <c r="AC22" s="107">
        <f>RESID!AC22</f>
        <v>30.65</v>
      </c>
      <c r="AD22" s="243">
        <f t="shared" si="16"/>
        <v>397833.1</v>
      </c>
      <c r="AE22" s="81"/>
      <c r="AG22" s="4">
        <f t="shared" si="17"/>
        <v>449286</v>
      </c>
      <c r="AJ22" s="51">
        <v>1998</v>
      </c>
      <c r="AK22" s="84">
        <f>ROUND(SUM(C185:C196),0)</f>
        <v>9999347</v>
      </c>
      <c r="AL22" s="290">
        <f t="shared" si="4"/>
        <v>8.0156170535822691E-2</v>
      </c>
      <c r="AM22" s="50">
        <f>ROUND(SUM(Z185:Z196),0)</f>
        <v>9798412</v>
      </c>
      <c r="AN22" s="291">
        <f t="shared" ref="AN22:AN27" si="27">(AM22/AM21-1)*100</f>
        <v>5.5361951417693955</v>
      </c>
      <c r="AO22" s="50">
        <f>ROUND(AVERAGE(D185:D196),0)</f>
        <v>136345</v>
      </c>
      <c r="AP22" s="292">
        <f t="shared" ref="AP22:AP27" si="28">AO22/AO21-1</f>
        <v>2.8987804141761719E-2</v>
      </c>
      <c r="AQ22" s="50">
        <f t="shared" si="5"/>
        <v>73338.567604239244</v>
      </c>
      <c r="AR22" s="47">
        <f t="shared" si="6"/>
        <v>4.9726892960348046</v>
      </c>
      <c r="AS22" s="50">
        <f t="shared" si="0"/>
        <v>71865</v>
      </c>
      <c r="AT22" s="47">
        <f t="shared" ref="AT22:AT27" si="29">(AS22/AS21-1)*100</f>
        <v>2.563187714966686</v>
      </c>
      <c r="AU22" s="50">
        <f>ROUND(SUM(F185:F196),0)</f>
        <v>1083237</v>
      </c>
      <c r="AV22" s="50">
        <f>ROUND(AVERAGE(G185:G196),0)</f>
        <v>95487</v>
      </c>
      <c r="AW22" s="47">
        <f t="shared" si="25"/>
        <v>2.4736537099439904</v>
      </c>
      <c r="AX22" s="4">
        <v>1984</v>
      </c>
      <c r="AY22" s="4">
        <v>6</v>
      </c>
      <c r="AZ22" s="76">
        <f>'[8]COM 55 &amp; 65'!$S107</f>
        <v>433</v>
      </c>
      <c r="BA22" s="76">
        <f>[8]Com20Yr!$T11</f>
        <v>485.1</v>
      </c>
      <c r="BB22" s="362">
        <f t="shared" si="23"/>
        <v>52.100000000000023</v>
      </c>
      <c r="BC22" s="362"/>
      <c r="BD22" s="76">
        <f>'[8]COM 55 &amp; 65'!$J107</f>
        <v>0.3</v>
      </c>
      <c r="BE22" s="76">
        <f>[8]Com20Yr!$S11</f>
        <v>0</v>
      </c>
      <c r="BF22" s="363">
        <f t="shared" si="24"/>
        <v>-0.3</v>
      </c>
      <c r="BG22" s="244"/>
      <c r="BH22" s="244">
        <f t="shared" si="18"/>
        <v>35579.611000000012</v>
      </c>
      <c r="BI22" s="242">
        <f t="shared" si="19"/>
        <v>-197.80199999999999</v>
      </c>
      <c r="BJ22" s="242"/>
      <c r="BK22" s="241">
        <f t="shared" si="20"/>
        <v>35382</v>
      </c>
      <c r="BL22" s="262"/>
      <c r="BM22" s="36" t="s">
        <v>18</v>
      </c>
      <c r="BN22" s="4">
        <v>1984</v>
      </c>
      <c r="BO22" s="4">
        <v>6</v>
      </c>
      <c r="CF22" s="51">
        <v>1998</v>
      </c>
      <c r="CG22" s="84">
        <f>ROUND(SUM(BP185:BP196),0)</f>
        <v>10034599</v>
      </c>
      <c r="CH22" s="47">
        <f t="shared" ref="CH22:CH27" si="30">(CG22/CG21-1)*100</f>
        <v>8.2498997286470477</v>
      </c>
      <c r="CI22" s="84">
        <f>ROUND(SUM(BT185:BT196),0)</f>
        <v>9824697</v>
      </c>
      <c r="CJ22" s="47">
        <f t="shared" ref="CJ22:CL27" si="31">(CI22/CI21-1)*100</f>
        <v>5.5658163798715909</v>
      </c>
      <c r="CK22" s="4">
        <f t="shared" si="26"/>
        <v>72058</v>
      </c>
      <c r="CL22" s="47">
        <f t="shared" si="31"/>
        <v>2.5926505972635461</v>
      </c>
    </row>
    <row r="23" spans="1:90" ht="12.75" customHeight="1">
      <c r="A23" s="22">
        <v>1984</v>
      </c>
      <c r="B23" s="4">
        <v>7</v>
      </c>
      <c r="C23" s="5">
        <v>432370</v>
      </c>
      <c r="D23" s="5">
        <v>86944</v>
      </c>
      <c r="E23" s="74">
        <f t="shared" si="7"/>
        <v>4973</v>
      </c>
      <c r="G23" s="347"/>
      <c r="J23" s="574">
        <f t="shared" si="21"/>
        <v>86944</v>
      </c>
      <c r="K23" s="4">
        <f>'[7]COM 55 &amp; 65'!$S108</f>
        <v>471.5</v>
      </c>
      <c r="L23" s="423">
        <f>[7]Com20Yr!$T12</f>
        <v>516.1</v>
      </c>
      <c r="M23" s="44">
        <f t="shared" si="8"/>
        <v>44.600000000000023</v>
      </c>
      <c r="N23" s="4">
        <f>'[7]COM 55 &amp; 65'!$J108</f>
        <v>0.1</v>
      </c>
      <c r="O23" s="423">
        <f>[7]Com20Yr!$S12</f>
        <v>0</v>
      </c>
      <c r="P23" s="41">
        <f t="shared" si="9"/>
        <v>-0.1</v>
      </c>
      <c r="Q23" s="474">
        <f t="shared" si="10"/>
        <v>30457.786000000015</v>
      </c>
      <c r="R23" s="472">
        <f t="shared" si="11"/>
        <v>-65.934000000000012</v>
      </c>
      <c r="S23" s="241">
        <f t="shared" si="12"/>
        <v>30392</v>
      </c>
      <c r="T23" s="13" t="s">
        <v>18</v>
      </c>
      <c r="U23" s="4">
        <v>1984</v>
      </c>
      <c r="V23" s="4">
        <v>7</v>
      </c>
      <c r="W23" s="242">
        <f t="shared" si="13"/>
        <v>5322.5294442399709</v>
      </c>
      <c r="X23" s="80"/>
      <c r="Z23" s="175">
        <f t="shared" si="14"/>
        <v>462762</v>
      </c>
      <c r="AA23" s="12">
        <f t="shared" si="15"/>
        <v>30392</v>
      </c>
      <c r="AB23" s="379">
        <f t="shared" si="22"/>
        <v>462762</v>
      </c>
      <c r="AC23" s="107">
        <f>RESID!AC23</f>
        <v>30.55</v>
      </c>
      <c r="AD23" s="243">
        <f t="shared" si="16"/>
        <v>430530.1</v>
      </c>
      <c r="AE23" s="81"/>
      <c r="AG23" s="4">
        <f t="shared" si="17"/>
        <v>460793</v>
      </c>
      <c r="AJ23" s="22">
        <v>1999</v>
      </c>
      <c r="AK23" s="84">
        <f>ROUND(SUM(C197:C208),0)</f>
        <v>10326848</v>
      </c>
      <c r="AL23" s="290">
        <f t="shared" si="4"/>
        <v>3.2752238721188487E-2</v>
      </c>
      <c r="AM23" s="50">
        <f>ROUND(SUM(Z197:Z208),0)</f>
        <v>10296617</v>
      </c>
      <c r="AN23" s="291">
        <f t="shared" si="27"/>
        <v>5.0845483941683645</v>
      </c>
      <c r="AO23" s="50">
        <f>ROUND(AVERAGE(D197:D208),0)</f>
        <v>140897</v>
      </c>
      <c r="AP23" s="292">
        <f t="shared" si="28"/>
        <v>3.3385896072463339E-2</v>
      </c>
      <c r="AQ23" s="50">
        <f t="shared" si="5"/>
        <v>73293.597450619956</v>
      </c>
      <c r="AR23" s="47">
        <f t="shared" si="6"/>
        <v>-6.1318560054191007E-2</v>
      </c>
      <c r="AS23" s="50">
        <f t="shared" si="0"/>
        <v>73079</v>
      </c>
      <c r="AT23" s="47">
        <f t="shared" si="29"/>
        <v>1.6892785083141959</v>
      </c>
      <c r="AU23" s="50">
        <f>ROUND(SUM(F197:F208),0)</f>
        <v>1042123</v>
      </c>
      <c r="AV23" s="50">
        <f>ROUND(AVERAGE(G197:G208),0)</f>
        <v>98103</v>
      </c>
      <c r="AW23" s="47">
        <f t="shared" si="25"/>
        <v>2.7396399509880931</v>
      </c>
      <c r="AX23" s="4">
        <v>1984</v>
      </c>
      <c r="AY23" s="4">
        <v>7</v>
      </c>
      <c r="AZ23" s="76">
        <f>'[8]COM 55 &amp; 65'!$S108</f>
        <v>497.6</v>
      </c>
      <c r="BA23" s="76">
        <f>[8]Com20Yr!$T12</f>
        <v>546.1</v>
      </c>
      <c r="BB23" s="362">
        <f t="shared" si="23"/>
        <v>48.5</v>
      </c>
      <c r="BC23" s="362"/>
      <c r="BD23" s="76">
        <f>'[8]COM 55 &amp; 65'!$J108</f>
        <v>0</v>
      </c>
      <c r="BE23" s="76">
        <f>[8]Com20Yr!$S12</f>
        <v>0</v>
      </c>
      <c r="BF23" s="363">
        <f t="shared" si="24"/>
        <v>0</v>
      </c>
      <c r="BG23" s="244"/>
      <c r="BH23" s="244">
        <f t="shared" si="18"/>
        <v>33121.135000000002</v>
      </c>
      <c r="BI23" s="242">
        <f t="shared" si="19"/>
        <v>0</v>
      </c>
      <c r="BJ23" s="242"/>
      <c r="BK23" s="241">
        <f t="shared" si="20"/>
        <v>33121</v>
      </c>
      <c r="BL23" s="262"/>
      <c r="BM23" s="36" t="s">
        <v>18</v>
      </c>
      <c r="BN23" s="4">
        <v>1984</v>
      </c>
      <c r="BO23" s="4">
        <v>7</v>
      </c>
      <c r="CF23" s="22">
        <v>1999</v>
      </c>
      <c r="CG23" s="84">
        <f>ROUND(SUM(BP197:BP208),0)</f>
        <v>10371480</v>
      </c>
      <c r="CH23" s="47">
        <f t="shared" si="30"/>
        <v>3.3571944429468425</v>
      </c>
      <c r="CI23" s="84">
        <f>ROUND(SUM(BT197:BT208),0)</f>
        <v>10367063</v>
      </c>
      <c r="CJ23" s="47">
        <f t="shared" si="31"/>
        <v>5.5204348795693248</v>
      </c>
      <c r="CK23" s="4">
        <f t="shared" si="26"/>
        <v>73579</v>
      </c>
      <c r="CL23" s="47">
        <f t="shared" si="31"/>
        <v>2.1107996336284574</v>
      </c>
    </row>
    <row r="24" spans="1:90" ht="12.75" customHeight="1">
      <c r="A24" s="22">
        <v>1984</v>
      </c>
      <c r="B24" s="4">
        <v>8</v>
      </c>
      <c r="C24" s="5">
        <v>447933</v>
      </c>
      <c r="D24" s="5">
        <v>87215</v>
      </c>
      <c r="E24" s="74">
        <f t="shared" si="7"/>
        <v>5136</v>
      </c>
      <c r="G24" s="347"/>
      <c r="J24" s="574">
        <f t="shared" si="21"/>
        <v>87215</v>
      </c>
      <c r="K24" s="4">
        <f>'[7]COM 55 &amp; 65'!$S109</f>
        <v>523.79999999999995</v>
      </c>
      <c r="L24" s="423">
        <f>[7]Com20Yr!$T13</f>
        <v>542</v>
      </c>
      <c r="M24" s="44">
        <f t="shared" si="8"/>
        <v>18.200000000000045</v>
      </c>
      <c r="N24" s="4">
        <f>'[7]COM 55 &amp; 65'!$J109</f>
        <v>0</v>
      </c>
      <c r="O24" s="423">
        <f>[7]Com20Yr!$S13</f>
        <v>0</v>
      </c>
      <c r="P24" s="41">
        <f t="shared" si="9"/>
        <v>0</v>
      </c>
      <c r="Q24" s="474">
        <f t="shared" si="10"/>
        <v>12428.96200000003</v>
      </c>
      <c r="R24" s="472">
        <f t="shared" si="11"/>
        <v>0</v>
      </c>
      <c r="S24" s="241">
        <f t="shared" si="12"/>
        <v>12429</v>
      </c>
      <c r="T24" s="13" t="s">
        <v>18</v>
      </c>
      <c r="U24" s="4">
        <v>1984</v>
      </c>
      <c r="V24" s="4">
        <v>8</v>
      </c>
      <c r="W24" s="242">
        <f t="shared" si="13"/>
        <v>5278.4727397810011</v>
      </c>
      <c r="X24" s="80"/>
      <c r="Z24" s="175">
        <f t="shared" si="14"/>
        <v>460362</v>
      </c>
      <c r="AA24" s="12">
        <f t="shared" si="15"/>
        <v>12429</v>
      </c>
      <c r="AB24" s="379">
        <f t="shared" si="22"/>
        <v>460362</v>
      </c>
      <c r="AC24" s="107">
        <f>RESID!AC24</f>
        <v>31.2</v>
      </c>
      <c r="AD24" s="243">
        <f t="shared" si="16"/>
        <v>436734.7</v>
      </c>
      <c r="AE24" s="81"/>
      <c r="AG24" s="4">
        <f t="shared" si="17"/>
        <v>448853</v>
      </c>
      <c r="AJ24" s="51">
        <v>2000</v>
      </c>
      <c r="AK24" s="84">
        <f>ROUND(SUM(C209:C220),0)</f>
        <v>10813409</v>
      </c>
      <c r="AL24" s="290">
        <f t="shared" si="4"/>
        <v>4.7116119071375806E-2</v>
      </c>
      <c r="AM24" s="549">
        <f>ROUND(SUM(AB209:AB220),0)</f>
        <v>10856259</v>
      </c>
      <c r="AN24" s="291">
        <f t="shared" si="27"/>
        <v>5.4352026495692707</v>
      </c>
      <c r="AO24" s="50">
        <f>ROUND(AVERAGE(D209:D220),0)</f>
        <v>143475</v>
      </c>
      <c r="AP24" s="292">
        <f t="shared" si="28"/>
        <v>1.8297053876235925E-2</v>
      </c>
      <c r="AQ24" s="50">
        <f t="shared" si="5"/>
        <v>75367.896846140444</v>
      </c>
      <c r="AR24" s="47">
        <f t="shared" si="6"/>
        <v>2.8301235956087467</v>
      </c>
      <c r="AS24" s="549">
        <f t="shared" si="0"/>
        <v>75667</v>
      </c>
      <c r="AT24" s="47">
        <f t="shared" si="29"/>
        <v>3.5413730346611105</v>
      </c>
      <c r="AU24" s="50">
        <f>ROUND(SUM(F209:F220),0)</f>
        <v>1027792</v>
      </c>
      <c r="AV24" s="50">
        <f>ROUND(AVERAGE(G209:G220),0)</f>
        <v>98637</v>
      </c>
      <c r="AW24" s="47">
        <f t="shared" si="25"/>
        <v>0.5443258615944524</v>
      </c>
      <c r="AX24" s="4">
        <v>1984</v>
      </c>
      <c r="AY24" s="4">
        <v>8</v>
      </c>
      <c r="AZ24" s="76">
        <f>'[8]COM 55 &amp; 65'!$S109</f>
        <v>541.29999999999995</v>
      </c>
      <c r="BA24" s="76">
        <f>[8]Com20Yr!$T13</f>
        <v>549</v>
      </c>
      <c r="BB24" s="362">
        <f t="shared" si="23"/>
        <v>7.7000000000000455</v>
      </c>
      <c r="BC24" s="362"/>
      <c r="BD24" s="76">
        <f>'[8]COM 55 &amp; 65'!$J109</f>
        <v>0</v>
      </c>
      <c r="BE24" s="76">
        <f>[8]Com20Yr!$S13</f>
        <v>0</v>
      </c>
      <c r="BF24" s="363">
        <f t="shared" si="24"/>
        <v>0</v>
      </c>
      <c r="BG24" s="244"/>
      <c r="BH24" s="244">
        <f t="shared" si="18"/>
        <v>5258.4070000000311</v>
      </c>
      <c r="BI24" s="242">
        <f t="shared" si="19"/>
        <v>0</v>
      </c>
      <c r="BJ24" s="242"/>
      <c r="BK24" s="241">
        <f t="shared" si="20"/>
        <v>5258</v>
      </c>
      <c r="BL24" s="262"/>
      <c r="BM24" s="36" t="s">
        <v>18</v>
      </c>
      <c r="BN24" s="4">
        <v>1984</v>
      </c>
      <c r="BO24" s="4">
        <v>8</v>
      </c>
      <c r="CF24" s="51">
        <v>2000</v>
      </c>
      <c r="CG24" s="84">
        <f>ROUND(SUM(BP209:BP220),0)</f>
        <v>10854465</v>
      </c>
      <c r="CH24" s="47">
        <f t="shared" si="30"/>
        <v>4.6568570734359938</v>
      </c>
      <c r="CI24" s="84">
        <f>ROUND(SUM(BT209:BT220),0)</f>
        <v>10828608</v>
      </c>
      <c r="CJ24" s="47">
        <f t="shared" si="31"/>
        <v>4.4520323644218207</v>
      </c>
      <c r="CK24" s="4">
        <f t="shared" si="26"/>
        <v>75474</v>
      </c>
      <c r="CL24" s="47">
        <f t="shared" si="31"/>
        <v>2.5754631076801759</v>
      </c>
    </row>
    <row r="25" spans="1:90" ht="12.75" customHeight="1">
      <c r="A25" s="22">
        <v>1984</v>
      </c>
      <c r="B25" s="4">
        <v>9</v>
      </c>
      <c r="C25" s="5">
        <v>459478</v>
      </c>
      <c r="D25" s="5">
        <v>87622</v>
      </c>
      <c r="E25" s="74">
        <f t="shared" si="7"/>
        <v>5243.9</v>
      </c>
      <c r="G25" s="347"/>
      <c r="J25" s="574">
        <f t="shared" si="21"/>
        <v>87622</v>
      </c>
      <c r="K25" s="4">
        <f>'[7]COM 55 &amp; 65'!$S110</f>
        <v>525.20000000000005</v>
      </c>
      <c r="L25" s="423">
        <f>[7]Com20Yr!$T14</f>
        <v>531.20000000000005</v>
      </c>
      <c r="M25" s="44">
        <f t="shared" si="8"/>
        <v>6</v>
      </c>
      <c r="N25" s="4">
        <f>'[7]COM 55 &amp; 65'!$J110</f>
        <v>0</v>
      </c>
      <c r="O25" s="423">
        <f>[7]Com20Yr!$S14</f>
        <v>0</v>
      </c>
      <c r="P25" s="41">
        <f t="shared" si="9"/>
        <v>0</v>
      </c>
      <c r="Q25" s="474">
        <f t="shared" si="10"/>
        <v>4097.46</v>
      </c>
      <c r="R25" s="472">
        <f t="shared" si="11"/>
        <v>0</v>
      </c>
      <c r="S25" s="241">
        <f t="shared" si="12"/>
        <v>4097</v>
      </c>
      <c r="T25" s="13" t="s">
        <v>18</v>
      </c>
      <c r="U25" s="4">
        <v>1984</v>
      </c>
      <c r="V25" s="4">
        <v>9</v>
      </c>
      <c r="W25" s="242">
        <f t="shared" si="13"/>
        <v>5290.6233594302803</v>
      </c>
      <c r="X25" s="80"/>
      <c r="Z25" s="175">
        <f t="shared" si="14"/>
        <v>463575</v>
      </c>
      <c r="AA25" s="12">
        <f t="shared" si="15"/>
        <v>4097</v>
      </c>
      <c r="AB25" s="379">
        <f t="shared" si="22"/>
        <v>463575</v>
      </c>
      <c r="AC25" s="107">
        <f>RESID!AC25</f>
        <v>31.9</v>
      </c>
      <c r="AD25" s="243">
        <f t="shared" si="16"/>
        <v>438160.5</v>
      </c>
      <c r="AE25" s="81"/>
      <c r="AG25" s="4">
        <f t="shared" si="17"/>
        <v>442067</v>
      </c>
      <c r="AJ25" s="22">
        <v>2001</v>
      </c>
      <c r="AK25" s="84">
        <f>ROUND(SUM(C221:C232),0)</f>
        <v>11060652</v>
      </c>
      <c r="AL25" s="290">
        <f t="shared" si="4"/>
        <v>2.2864482421778298E-2</v>
      </c>
      <c r="AM25" s="549">
        <f>ROUND(SUM(AB221:AB232),0)</f>
        <v>11058643</v>
      </c>
      <c r="AN25" s="291">
        <f t="shared" si="27"/>
        <v>1.8642149197066971</v>
      </c>
      <c r="AO25" s="50">
        <f>ROUND(AVERAGE(D221:D232),0)</f>
        <v>146983</v>
      </c>
      <c r="AP25" s="292">
        <f t="shared" si="28"/>
        <v>2.4450252657257421E-2</v>
      </c>
      <c r="AQ25" s="50">
        <f t="shared" si="5"/>
        <v>75251.233135804825</v>
      </c>
      <c r="AR25" s="47">
        <f t="shared" si="6"/>
        <v>-0.15479231240030922</v>
      </c>
      <c r="AS25" s="549">
        <f t="shared" si="0"/>
        <v>75238</v>
      </c>
      <c r="AT25" s="47">
        <f t="shared" si="29"/>
        <v>-0.56695785481121197</v>
      </c>
      <c r="AU25" s="50">
        <f>ROUND(SUM(F221:F232),0)</f>
        <v>1109862</v>
      </c>
      <c r="AV25" s="50">
        <f>ROUND(AVERAGE(G221:G232),0)</f>
        <v>100914</v>
      </c>
      <c r="AW25" s="47">
        <f t="shared" si="25"/>
        <v>2.3084643693543017</v>
      </c>
      <c r="AX25" s="4">
        <v>1984</v>
      </c>
      <c r="AY25" s="4">
        <v>9</v>
      </c>
      <c r="AZ25" s="76">
        <f>'[8]COM 55 &amp; 65'!$S110</f>
        <v>442.5</v>
      </c>
      <c r="BA25" s="76">
        <f>[8]Com20Yr!$T14</f>
        <v>487.9</v>
      </c>
      <c r="BB25" s="362">
        <f t="shared" si="23"/>
        <v>45.399999999999977</v>
      </c>
      <c r="BC25" s="362"/>
      <c r="BD25" s="76">
        <f>'[8]COM 55 &amp; 65'!$J110</f>
        <v>0</v>
      </c>
      <c r="BE25" s="76">
        <f>[8]Com20Yr!$S14</f>
        <v>0</v>
      </c>
      <c r="BF25" s="363">
        <f t="shared" si="24"/>
        <v>0</v>
      </c>
      <c r="BG25" s="244"/>
      <c r="BH25" s="244">
        <f t="shared" si="18"/>
        <v>31004.113999999983</v>
      </c>
      <c r="BI25" s="242">
        <f t="shared" si="19"/>
        <v>0</v>
      </c>
      <c r="BJ25" s="242"/>
      <c r="BK25" s="241">
        <f t="shared" si="20"/>
        <v>31004</v>
      </c>
      <c r="BL25" s="262"/>
      <c r="BM25" s="36" t="s">
        <v>18</v>
      </c>
      <c r="BN25" s="4">
        <v>1984</v>
      </c>
      <c r="BO25" s="4">
        <v>9</v>
      </c>
      <c r="CF25" s="22">
        <v>2001</v>
      </c>
      <c r="CG25" s="84">
        <f>ROUND(SUM(BP221:BP232),0)</f>
        <v>11001186</v>
      </c>
      <c r="CH25" s="47">
        <f t="shared" si="30"/>
        <v>1.3517110239887442</v>
      </c>
      <c r="CI25" s="84">
        <f>ROUND(SUM(BT221:BT232),0)</f>
        <v>11034903</v>
      </c>
      <c r="CJ25" s="47">
        <f t="shared" si="31"/>
        <v>1.9050925105055017</v>
      </c>
      <c r="CK25" s="4">
        <f t="shared" si="26"/>
        <v>75076</v>
      </c>
      <c r="CL25" s="47">
        <f t="shared" si="31"/>
        <v>-0.52733391631555326</v>
      </c>
    </row>
    <row r="26" spans="1:90" ht="12.75" customHeight="1">
      <c r="A26" s="22">
        <v>1984</v>
      </c>
      <c r="B26" s="4">
        <v>10</v>
      </c>
      <c r="C26" s="5">
        <v>402294</v>
      </c>
      <c r="D26" s="5">
        <v>88036</v>
      </c>
      <c r="E26" s="74">
        <f t="shared" si="7"/>
        <v>4569.7</v>
      </c>
      <c r="G26" s="347"/>
      <c r="J26" s="574">
        <f t="shared" si="21"/>
        <v>88036</v>
      </c>
      <c r="K26" s="4">
        <f>'[7]COM 55 &amp; 65'!$S111</f>
        <v>373.1</v>
      </c>
      <c r="L26" s="423">
        <f>[7]Com20Yr!$T15</f>
        <v>431.2</v>
      </c>
      <c r="M26" s="44">
        <f t="shared" si="8"/>
        <v>58.099999999999966</v>
      </c>
      <c r="N26" s="4">
        <f>'[7]COM 55 &amp; 65'!$J111</f>
        <v>0.5</v>
      </c>
      <c r="O26" s="423">
        <f>[7]Com20Yr!$S15</f>
        <v>0.2</v>
      </c>
      <c r="P26" s="41">
        <f t="shared" si="9"/>
        <v>-0.3</v>
      </c>
      <c r="Q26" s="474">
        <f t="shared" si="10"/>
        <v>39677.070999999974</v>
      </c>
      <c r="R26" s="472">
        <f t="shared" si="11"/>
        <v>-197.80199999999999</v>
      </c>
      <c r="S26" s="241">
        <f t="shared" si="12"/>
        <v>39479</v>
      </c>
      <c r="T26" s="13" t="s">
        <v>18</v>
      </c>
      <c r="U26" s="4">
        <v>1984</v>
      </c>
      <c r="V26" s="4">
        <v>10</v>
      </c>
      <c r="W26" s="242">
        <f t="shared" si="13"/>
        <v>5018.0948702803398</v>
      </c>
      <c r="X26" s="80"/>
      <c r="Z26" s="175">
        <f t="shared" si="14"/>
        <v>441773</v>
      </c>
      <c r="AA26" s="12">
        <f t="shared" si="15"/>
        <v>39479</v>
      </c>
      <c r="AB26" s="379">
        <f t="shared" si="22"/>
        <v>441773</v>
      </c>
      <c r="AC26" s="107">
        <f>RESID!AC26</f>
        <v>29.7</v>
      </c>
      <c r="AD26" s="243">
        <f t="shared" si="16"/>
        <v>412046.6</v>
      </c>
      <c r="AE26" s="81"/>
      <c r="AG26" s="4">
        <f t="shared" si="17"/>
        <v>452483</v>
      </c>
      <c r="AJ26" s="22">
        <v>2002</v>
      </c>
      <c r="AK26" s="84">
        <f>ROUND(SUM(C233:C244),0)</f>
        <v>11420082</v>
      </c>
      <c r="AL26" s="290">
        <f t="shared" si="4"/>
        <v>3.2496275988070034E-2</v>
      </c>
      <c r="AM26" s="549">
        <f>ROUND(SUM(AB233:AB244),0)</f>
        <v>11260100</v>
      </c>
      <c r="AN26" s="291">
        <f t="shared" si="27"/>
        <v>1.8217153768324001</v>
      </c>
      <c r="AO26" s="50">
        <f>ROUND(AVERAGE(D233:D244),0)</f>
        <v>150577</v>
      </c>
      <c r="AP26" s="292">
        <f t="shared" si="28"/>
        <v>2.4451807351870691E-2</v>
      </c>
      <c r="AQ26" s="50">
        <f t="shared" si="5"/>
        <v>75842.140565956288</v>
      </c>
      <c r="AR26" s="47">
        <f t="shared" si="6"/>
        <v>0.78524617541491093</v>
      </c>
      <c r="AS26" s="549">
        <f t="shared" si="0"/>
        <v>74780</v>
      </c>
      <c r="AT26" s="47">
        <f t="shared" si="29"/>
        <v>-0.60873494776575443</v>
      </c>
      <c r="AU26" s="50">
        <f>ROUND(SUM(F233:F244),0)</f>
        <v>1159927</v>
      </c>
      <c r="AV26" s="50">
        <f>ROUND(AVERAGE(G233:G244),0)</f>
        <v>104096</v>
      </c>
      <c r="AW26" s="47">
        <f t="shared" si="25"/>
        <v>3.1531799353905265</v>
      </c>
      <c r="AX26" s="4">
        <v>1984</v>
      </c>
      <c r="AY26" s="4">
        <v>10</v>
      </c>
      <c r="AZ26" s="76">
        <f>'[8]COM 55 &amp; 65'!$S111</f>
        <v>349.3</v>
      </c>
      <c r="BA26" s="76">
        <f>[8]Com20Yr!$T15</f>
        <v>332.5</v>
      </c>
      <c r="BB26" s="362">
        <f t="shared" si="23"/>
        <v>-16.800000000000011</v>
      </c>
      <c r="BC26" s="362"/>
      <c r="BD26" s="76">
        <f>'[8]COM 55 &amp; 65'!$J111</f>
        <v>0.6</v>
      </c>
      <c r="BE26" s="76">
        <f>[8]Com20Yr!$S15</f>
        <v>2</v>
      </c>
      <c r="BF26" s="363">
        <f t="shared" si="24"/>
        <v>1.4</v>
      </c>
      <c r="BG26" s="244"/>
      <c r="BH26" s="244">
        <f t="shared" si="18"/>
        <v>-11472.888000000008</v>
      </c>
      <c r="BI26" s="242">
        <f t="shared" si="19"/>
        <v>923.07600000000002</v>
      </c>
      <c r="BJ26" s="242"/>
      <c r="BK26" s="241">
        <f t="shared" si="20"/>
        <v>-10550</v>
      </c>
      <c r="BL26" s="262"/>
      <c r="BM26" s="36" t="s">
        <v>18</v>
      </c>
      <c r="BN26" s="4">
        <v>1984</v>
      </c>
      <c r="BO26" s="4">
        <v>10</v>
      </c>
      <c r="CF26" s="22">
        <v>2002</v>
      </c>
      <c r="CG26" s="84">
        <f>ROUND(SUM(BP233:BP244),0)</f>
        <v>11365210</v>
      </c>
      <c r="CH26" s="47">
        <f t="shared" si="30"/>
        <v>3.3089523256856213</v>
      </c>
      <c r="CI26" s="84">
        <f>ROUND(SUM(BT233:BT244),0)</f>
        <v>11241019</v>
      </c>
      <c r="CJ26" s="47">
        <f t="shared" si="31"/>
        <v>1.8678551139053923</v>
      </c>
      <c r="CK26" s="4">
        <f t="shared" si="26"/>
        <v>74653</v>
      </c>
      <c r="CL26" s="47">
        <f t="shared" si="31"/>
        <v>-0.56342905855399916</v>
      </c>
    </row>
    <row r="27" spans="1:90" ht="12.75" customHeight="1">
      <c r="A27" s="22">
        <v>1984</v>
      </c>
      <c r="B27" s="4">
        <v>11</v>
      </c>
      <c r="C27" s="5">
        <v>395063</v>
      </c>
      <c r="D27" s="5">
        <v>88684</v>
      </c>
      <c r="E27" s="74">
        <f t="shared" si="7"/>
        <v>4454.7</v>
      </c>
      <c r="G27" s="347"/>
      <c r="J27" s="574">
        <f t="shared" si="21"/>
        <v>88684</v>
      </c>
      <c r="K27" s="4">
        <f>'[7]COM 55 &amp; 65'!$S112</f>
        <v>302.10000000000002</v>
      </c>
      <c r="L27" s="423">
        <f>[7]Com20Yr!$T16</f>
        <v>251.9</v>
      </c>
      <c r="M27" s="44">
        <f t="shared" si="8"/>
        <v>-50.200000000000017</v>
      </c>
      <c r="N27" s="4">
        <f>'[7]COM 55 &amp; 65'!$J112</f>
        <v>7.3</v>
      </c>
      <c r="O27" s="423">
        <f>[7]Com20Yr!$S16</f>
        <v>6.3</v>
      </c>
      <c r="P27" s="41">
        <f t="shared" si="9"/>
        <v>-1</v>
      </c>
      <c r="Q27" s="474">
        <f t="shared" si="10"/>
        <v>-34282.082000000009</v>
      </c>
      <c r="R27" s="472">
        <f t="shared" si="11"/>
        <v>-659.34</v>
      </c>
      <c r="S27" s="241">
        <f t="shared" si="12"/>
        <v>-34941</v>
      </c>
      <c r="T27" s="13" t="s">
        <v>18</v>
      </c>
      <c r="U27" s="4">
        <v>1984</v>
      </c>
      <c r="V27" s="4">
        <v>11</v>
      </c>
      <c r="W27" s="242">
        <f t="shared" si="13"/>
        <v>4060.7324883857291</v>
      </c>
      <c r="X27" s="80"/>
      <c r="Z27" s="175">
        <f t="shared" si="14"/>
        <v>360122</v>
      </c>
      <c r="AA27" s="12">
        <f t="shared" si="15"/>
        <v>-34941</v>
      </c>
      <c r="AB27" s="379">
        <f t="shared" si="22"/>
        <v>360122</v>
      </c>
      <c r="AC27" s="107">
        <f>RESID!AC27</f>
        <v>30.15</v>
      </c>
      <c r="AD27" s="243">
        <f t="shared" si="16"/>
        <v>398600.9</v>
      </c>
      <c r="AE27" s="81"/>
      <c r="AG27" s="4">
        <f t="shared" si="17"/>
        <v>363347</v>
      </c>
      <c r="AJ27" s="22">
        <v>2003</v>
      </c>
      <c r="AK27" s="84">
        <f>ROUND(SUM(C245:C256),0)</f>
        <v>11552967</v>
      </c>
      <c r="AL27" s="290">
        <f t="shared" si="4"/>
        <v>1.1636081071922266E-2</v>
      </c>
      <c r="AM27" s="549">
        <f>ROUND(SUM(AB245:AB256),0)</f>
        <v>11502716</v>
      </c>
      <c r="AN27" s="291">
        <f t="shared" si="27"/>
        <v>2.1546522677418523</v>
      </c>
      <c r="AO27" s="50">
        <f>ROUND(AVERAGE(D245:D256),0)</f>
        <v>154294</v>
      </c>
      <c r="AP27" s="292">
        <f t="shared" si="28"/>
        <v>2.4685044860768945E-2</v>
      </c>
      <c r="AQ27" s="50">
        <f t="shared" si="5"/>
        <v>74876.320530934448</v>
      </c>
      <c r="AR27" s="47">
        <f t="shared" si="6"/>
        <v>-1.2734609384896123</v>
      </c>
      <c r="AS27" s="549">
        <f t="shared" si="0"/>
        <v>74551</v>
      </c>
      <c r="AT27" s="47">
        <f t="shared" si="29"/>
        <v>-0.30623161273067856</v>
      </c>
      <c r="AU27" s="50">
        <f>ROUND(SUM(F245:F256),0)</f>
        <v>1114973</v>
      </c>
      <c r="AV27" s="50">
        <f>ROUND(AVERAGE(G245:G256),0)</f>
        <v>105098</v>
      </c>
      <c r="AW27" s="47">
        <f t="shared" si="25"/>
        <v>0.96257300952966585</v>
      </c>
      <c r="AX27" s="4">
        <v>1984</v>
      </c>
      <c r="AY27" s="4">
        <v>11</v>
      </c>
      <c r="AZ27" s="76">
        <f>'[8]COM 55 &amp; 65'!$S112</f>
        <v>128.4</v>
      </c>
      <c r="BA27" s="76">
        <f>[8]Com20Yr!$T16</f>
        <v>146</v>
      </c>
      <c r="BB27" s="362">
        <f t="shared" si="23"/>
        <v>17.599999999999994</v>
      </c>
      <c r="BC27" s="362"/>
      <c r="BD27" s="76">
        <f>'[8]COM 55 &amp; 65'!$J112</f>
        <v>27.1</v>
      </c>
      <c r="BE27" s="76">
        <f>[8]Com20Yr!$S16</f>
        <v>14</v>
      </c>
      <c r="BF27" s="363">
        <f t="shared" si="24"/>
        <v>-13.100000000000001</v>
      </c>
      <c r="BG27" s="244"/>
      <c r="BH27" s="244">
        <f t="shared" si="18"/>
        <v>12019.215999999995</v>
      </c>
      <c r="BI27" s="242">
        <f t="shared" si="19"/>
        <v>-8637.3540000000012</v>
      </c>
      <c r="BJ27" s="242"/>
      <c r="BK27" s="241">
        <f t="shared" si="20"/>
        <v>3382</v>
      </c>
      <c r="BL27" s="262"/>
      <c r="BM27" s="36" t="s">
        <v>18</v>
      </c>
      <c r="BN27" s="4">
        <v>1984</v>
      </c>
      <c r="BO27" s="4">
        <v>11</v>
      </c>
      <c r="CF27" s="22">
        <v>2003</v>
      </c>
      <c r="CG27" s="84">
        <f>ROUND(SUM(BP245:BP256),0)</f>
        <v>11607077</v>
      </c>
      <c r="CH27" s="47">
        <f t="shared" si="30"/>
        <v>2.1281348958796187</v>
      </c>
      <c r="CI27" s="84">
        <f>ROUND(SUM(BT245:BT256),0)</f>
        <v>11544812</v>
      </c>
      <c r="CJ27" s="47">
        <f t="shared" si="31"/>
        <v>2.7025396896847242</v>
      </c>
      <c r="CK27" s="4">
        <f t="shared" si="26"/>
        <v>74823</v>
      </c>
      <c r="CL27" s="47">
        <f t="shared" si="31"/>
        <v>0.22772025236761362</v>
      </c>
    </row>
    <row r="28" spans="1:90" s="89" customFormat="1" ht="12.75" customHeight="1">
      <c r="A28" s="225">
        <v>1984</v>
      </c>
      <c r="B28" s="89">
        <v>12</v>
      </c>
      <c r="C28" s="103">
        <v>341985</v>
      </c>
      <c r="D28" s="103">
        <v>89125</v>
      </c>
      <c r="E28" s="109">
        <f t="shared" si="7"/>
        <v>3837.1</v>
      </c>
      <c r="F28" s="90"/>
      <c r="G28" s="348"/>
      <c r="J28" s="575">
        <f t="shared" si="21"/>
        <v>89125</v>
      </c>
      <c r="K28" s="89">
        <f>'[7]COM 55 &amp; 65'!$S113</f>
        <v>112.9</v>
      </c>
      <c r="L28" s="369">
        <f>[7]Com20Yr!$T17</f>
        <v>119.4</v>
      </c>
      <c r="M28" s="93">
        <f t="shared" si="8"/>
        <v>6.5</v>
      </c>
      <c r="N28" s="89">
        <f>'[7]COM 55 &amp; 65'!$J113</f>
        <v>34.4</v>
      </c>
      <c r="O28" s="369">
        <f>[7]Com20Yr!$S17</f>
        <v>30.1</v>
      </c>
      <c r="P28" s="94">
        <f t="shared" si="9"/>
        <v>-4.2999999999999972</v>
      </c>
      <c r="Q28" s="475">
        <f t="shared" si="10"/>
        <v>4438.915</v>
      </c>
      <c r="R28" s="473">
        <f t="shared" si="11"/>
        <v>-2835.1619999999984</v>
      </c>
      <c r="S28" s="329">
        <f t="shared" si="12"/>
        <v>1604</v>
      </c>
      <c r="T28" s="90" t="s">
        <v>18</v>
      </c>
      <c r="U28" s="89">
        <v>1984</v>
      </c>
      <c r="V28" s="89">
        <v>12</v>
      </c>
      <c r="W28" s="328">
        <f t="shared" si="13"/>
        <v>3855.136044880785</v>
      </c>
      <c r="X28" s="134"/>
      <c r="Y28" s="330"/>
      <c r="Z28" s="176">
        <f t="shared" si="14"/>
        <v>343589</v>
      </c>
      <c r="AA28" s="105">
        <f t="shared" si="15"/>
        <v>1604</v>
      </c>
      <c r="AB28" s="517">
        <f t="shared" si="22"/>
        <v>343589</v>
      </c>
      <c r="AC28" s="110">
        <f>RESID!AC28</f>
        <v>30.15</v>
      </c>
      <c r="AD28" s="331">
        <f t="shared" si="16"/>
        <v>345047.6</v>
      </c>
      <c r="AE28" s="88"/>
      <c r="AG28" s="89">
        <f t="shared" si="17"/>
        <v>346666</v>
      </c>
      <c r="AJ28" s="225">
        <v>2004</v>
      </c>
      <c r="AK28" s="116">
        <f>ROUND(SUM(C257:C268),0)</f>
        <v>11733536</v>
      </c>
      <c r="AL28" s="476">
        <f t="shared" si="4"/>
        <v>1.5629664656706899E-2</v>
      </c>
      <c r="AM28" s="548">
        <f>ROUND(SUM(AB257:AB268),0)</f>
        <v>11781151</v>
      </c>
      <c r="AN28" s="88">
        <f t="shared" ref="AN28:AN33" si="32">(AM28/AM27-1)*100</f>
        <v>2.4206022299429142</v>
      </c>
      <c r="AO28" s="117">
        <f>ROUND(AVERAGE(D257:D268),0)</f>
        <v>158780</v>
      </c>
      <c r="AP28" s="477">
        <f t="shared" ref="AP28:AP33" si="33">AO28/AO27-1</f>
        <v>2.9074364524868113E-2</v>
      </c>
      <c r="AQ28" s="117">
        <f t="shared" si="5"/>
        <v>73898.072805139178</v>
      </c>
      <c r="AR28" s="309">
        <f t="shared" si="6"/>
        <v>-1.3064847723000983</v>
      </c>
      <c r="AS28" s="548">
        <f t="shared" si="0"/>
        <v>74198</v>
      </c>
      <c r="AT28" s="309">
        <f t="shared" ref="AT28:AT33" si="34">(AS28/AS27-1)*100</f>
        <v>-0.4735013614840855</v>
      </c>
      <c r="AU28" s="117">
        <f>ROUND(SUM(F257:F268),0)</f>
        <v>1168152</v>
      </c>
      <c r="AV28" s="117">
        <f>ROUND(AVERAGE(G257:G268),0)</f>
        <v>109049</v>
      </c>
      <c r="AW28" s="309">
        <f t="shared" ref="AW28:AW33" si="35">(AV28/AV27-1)*100</f>
        <v>3.7593484176673186</v>
      </c>
      <c r="AX28" s="89">
        <v>1984</v>
      </c>
      <c r="AY28" s="89">
        <v>12</v>
      </c>
      <c r="AZ28" s="92">
        <f>'[8]COM 55 &amp; 65'!$S113</f>
        <v>144</v>
      </c>
      <c r="BA28" s="92">
        <f>[8]Com20Yr!$T17</f>
        <v>75.7</v>
      </c>
      <c r="BB28" s="364">
        <f t="shared" si="23"/>
        <v>-68.3</v>
      </c>
      <c r="BC28" s="364"/>
      <c r="BD28" s="92">
        <f>'[8]COM 55 &amp; 65'!$J113</f>
        <v>27.1</v>
      </c>
      <c r="BE28" s="92">
        <f>[8]Com20Yr!$S17</f>
        <v>44.3</v>
      </c>
      <c r="BF28" s="365">
        <f t="shared" si="24"/>
        <v>17.199999999999996</v>
      </c>
      <c r="BG28" s="327"/>
      <c r="BH28" s="327">
        <f t="shared" si="18"/>
        <v>-46642.752999999997</v>
      </c>
      <c r="BI28" s="328">
        <f t="shared" si="19"/>
        <v>11340.647999999997</v>
      </c>
      <c r="BJ28" s="328"/>
      <c r="BK28" s="329">
        <f t="shared" si="20"/>
        <v>-35302</v>
      </c>
      <c r="BL28" s="332"/>
      <c r="BM28" s="113" t="s">
        <v>18</v>
      </c>
      <c r="BN28" s="89">
        <v>1984</v>
      </c>
      <c r="BO28" s="89">
        <v>12</v>
      </c>
      <c r="BT28" s="96"/>
      <c r="CF28" s="225">
        <v>2004</v>
      </c>
      <c r="CG28" s="116">
        <f>ROUND(SUM(BP257:BP268),0)</f>
        <v>11843011</v>
      </c>
      <c r="CH28" s="309">
        <f t="shared" ref="CH28:CH33" si="36">(CG28/CG27-1)*100</f>
        <v>2.0326736869239248</v>
      </c>
      <c r="CI28" s="478">
        <f>ROUND(SUM(BT257:BT268),0)</f>
        <v>11896260</v>
      </c>
      <c r="CJ28" s="309">
        <f t="shared" ref="CJ28:CJ33" si="37">(CI28/CI27-1)*100</f>
        <v>3.0442072161937395</v>
      </c>
      <c r="CK28" s="89">
        <f t="shared" si="26"/>
        <v>74923</v>
      </c>
      <c r="CL28" s="309">
        <f t="shared" ref="CL28:CL33" si="38">(CK28/CK27-1)*100</f>
        <v>0.13364874437005181</v>
      </c>
    </row>
    <row r="29" spans="1:90" ht="12.75" customHeight="1">
      <c r="A29" s="22">
        <v>1985</v>
      </c>
      <c r="B29" s="4">
        <v>1</v>
      </c>
      <c r="C29" s="5">
        <v>367243</v>
      </c>
      <c r="D29" s="5">
        <v>89466</v>
      </c>
      <c r="E29" s="74">
        <f t="shared" si="7"/>
        <v>4104.8</v>
      </c>
      <c r="G29" s="347"/>
      <c r="J29" s="574">
        <f t="shared" si="21"/>
        <v>89466</v>
      </c>
      <c r="K29" s="4">
        <f>'[7]COM 55 &amp; 65'!$S114</f>
        <v>127.3</v>
      </c>
      <c r="L29" s="4">
        <f>L17</f>
        <v>70.8</v>
      </c>
      <c r="M29" s="44">
        <f t="shared" si="8"/>
        <v>-56.5</v>
      </c>
      <c r="N29" s="4">
        <f>'[7]COM 55 &amp; 65'!$J114</f>
        <v>53.7</v>
      </c>
      <c r="O29" s="4">
        <f t="shared" ref="O29:O92" si="39">O17</f>
        <v>54.9</v>
      </c>
      <c r="P29" s="41">
        <f t="shared" si="9"/>
        <v>1.1999999999999957</v>
      </c>
      <c r="Q29" s="474">
        <f t="shared" si="10"/>
        <v>-38584.415000000001</v>
      </c>
      <c r="R29" s="472">
        <f t="shared" si="11"/>
        <v>791.20799999999724</v>
      </c>
      <c r="S29" s="241">
        <f t="shared" si="12"/>
        <v>-37793</v>
      </c>
      <c r="T29" s="13" t="s">
        <v>18</v>
      </c>
      <c r="U29" s="4">
        <v>1985</v>
      </c>
      <c r="V29" s="4">
        <v>1</v>
      </c>
      <c r="W29" s="242">
        <f t="shared" si="13"/>
        <v>3682.404488856102</v>
      </c>
      <c r="X29" s="131">
        <f>W29-W17</f>
        <v>103.51646532860468</v>
      </c>
      <c r="Z29" s="175">
        <f t="shared" si="14"/>
        <v>329450</v>
      </c>
      <c r="AA29" s="12">
        <f t="shared" si="15"/>
        <v>-37793</v>
      </c>
      <c r="AB29" s="379">
        <f t="shared" si="22"/>
        <v>329450</v>
      </c>
      <c r="AC29" s="107">
        <f>RESID!AC29</f>
        <v>31.85</v>
      </c>
      <c r="AD29" s="243">
        <f t="shared" si="16"/>
        <v>350754.5</v>
      </c>
      <c r="AE29" s="243">
        <f t="shared" ref="AE29:AE92" si="40">AD29-AD17</f>
        <v>23929.400000000023</v>
      </c>
      <c r="AG29" s="4">
        <f t="shared" si="17"/>
        <v>314658</v>
      </c>
      <c r="AJ29" s="22">
        <v>2005</v>
      </c>
      <c r="AK29" s="84">
        <f>ROUND(SUM(C269:C280),0)</f>
        <v>11944717</v>
      </c>
      <c r="AL29" s="290">
        <f t="shared" si="4"/>
        <v>1.7998069806066885E-2</v>
      </c>
      <c r="AM29" s="549">
        <f>ROUND(SUM(AB269:AB280),0)</f>
        <v>11930888</v>
      </c>
      <c r="AN29" s="291">
        <f t="shared" si="32"/>
        <v>1.2709878686725906</v>
      </c>
      <c r="AO29" s="50">
        <f>ROUND(AVERAGE(D269:D280),0)</f>
        <v>161001</v>
      </c>
      <c r="AP29" s="292">
        <f t="shared" si="33"/>
        <v>1.3987907796951804E-2</v>
      </c>
      <c r="AQ29" s="50">
        <f t="shared" si="5"/>
        <v>74190.328010385027</v>
      </c>
      <c r="AR29" s="47">
        <f t="shared" si="6"/>
        <v>0.39548420432626852</v>
      </c>
      <c r="AS29" s="549">
        <f t="shared" si="0"/>
        <v>74104</v>
      </c>
      <c r="AT29" s="47">
        <f t="shared" si="34"/>
        <v>-0.12668805089085522</v>
      </c>
      <c r="AU29" s="50">
        <f>ROUND(SUM(F269:F280),0)</f>
        <v>1213088</v>
      </c>
      <c r="AV29" s="50">
        <f>ROUND(AVERAGE(G269:G280),0)</f>
        <v>111765</v>
      </c>
      <c r="AW29" s="47">
        <f t="shared" si="35"/>
        <v>2.4906234811873595</v>
      </c>
      <c r="AX29" s="4">
        <v>1985</v>
      </c>
      <c r="AY29" s="4">
        <v>1</v>
      </c>
      <c r="AZ29" s="76">
        <f>'[8]COM 55 &amp; 65'!$S114</f>
        <v>44.5</v>
      </c>
      <c r="BA29" s="76">
        <f>BA17</f>
        <v>72.3</v>
      </c>
      <c r="BB29" s="362">
        <f t="shared" si="23"/>
        <v>27.799999999999997</v>
      </c>
      <c r="BC29" s="362"/>
      <c r="BD29" s="76">
        <f>'[8]COM 55 &amp; 65'!$J114</f>
        <v>151.80000000000001</v>
      </c>
      <c r="BE29" s="76">
        <f>BE17</f>
        <v>52.4</v>
      </c>
      <c r="BF29" s="363">
        <f t="shared" si="24"/>
        <v>-99.4</v>
      </c>
      <c r="BG29" s="244"/>
      <c r="BH29" s="244">
        <f t="shared" si="18"/>
        <v>18984.897999999997</v>
      </c>
      <c r="BI29" s="242">
        <f t="shared" si="19"/>
        <v>-65538.396000000008</v>
      </c>
      <c r="BJ29" s="242"/>
      <c r="BK29" s="241">
        <f t="shared" si="20"/>
        <v>-46553</v>
      </c>
      <c r="BL29" s="262"/>
      <c r="BM29" s="36" t="s">
        <v>18</v>
      </c>
      <c r="BN29" s="4">
        <v>1985</v>
      </c>
      <c r="BO29" s="4">
        <v>1</v>
      </c>
      <c r="CF29" s="22">
        <v>2005</v>
      </c>
      <c r="CG29" s="84">
        <f>ROUND(SUM(BP269:BP280),0)</f>
        <v>11856937</v>
      </c>
      <c r="CH29" s="47">
        <f t="shared" si="36"/>
        <v>0.11758833965449522</v>
      </c>
      <c r="CI29" s="84">
        <f>ROUND(SUM(BT269:BT280),0)</f>
        <v>11876235</v>
      </c>
      <c r="CJ29" s="47">
        <f t="shared" si="37"/>
        <v>-0.16833021470613607</v>
      </c>
      <c r="CK29" s="4">
        <f t="shared" si="26"/>
        <v>73765</v>
      </c>
      <c r="CL29" s="47">
        <f t="shared" si="38"/>
        <v>-1.5455868024505159</v>
      </c>
    </row>
    <row r="30" spans="1:90" ht="12.75" customHeight="1">
      <c r="A30" s="22">
        <v>1985</v>
      </c>
      <c r="B30" s="4">
        <v>2</v>
      </c>
      <c r="C30" s="5">
        <v>363268</v>
      </c>
      <c r="D30" s="5">
        <v>89803</v>
      </c>
      <c r="E30" s="74">
        <f t="shared" si="7"/>
        <v>4045.2</v>
      </c>
      <c r="G30" s="347"/>
      <c r="J30" s="574">
        <f t="shared" si="21"/>
        <v>89803</v>
      </c>
      <c r="K30" s="4">
        <f>'[7]COM 55 &amp; 65'!$S115</f>
        <v>48.9</v>
      </c>
      <c r="L30" s="4">
        <f t="shared" ref="L30:L93" si="41">L18</f>
        <v>62.7</v>
      </c>
      <c r="M30" s="44">
        <f t="shared" si="8"/>
        <v>13.800000000000004</v>
      </c>
      <c r="N30" s="4">
        <f>'[7]COM 55 &amp; 65'!$J115</f>
        <v>131.80000000000001</v>
      </c>
      <c r="O30" s="4">
        <f t="shared" si="39"/>
        <v>46.9</v>
      </c>
      <c r="P30" s="41">
        <f t="shared" si="9"/>
        <v>-84.9</v>
      </c>
      <c r="Q30" s="474">
        <f t="shared" si="10"/>
        <v>9424.1580000000031</v>
      </c>
      <c r="R30" s="472">
        <f t="shared" si="11"/>
        <v>-55977.966000000008</v>
      </c>
      <c r="S30" s="241">
        <f t="shared" si="12"/>
        <v>-46554</v>
      </c>
      <c r="T30" s="13" t="s">
        <v>18</v>
      </c>
      <c r="U30" s="4">
        <v>1985</v>
      </c>
      <c r="V30" s="4">
        <v>2</v>
      </c>
      <c r="W30" s="242">
        <f t="shared" si="13"/>
        <v>3526.7641392826522</v>
      </c>
      <c r="X30" s="131">
        <f t="shared" ref="X30:X45" si="42">W30-W18</f>
        <v>-29.310405482142869</v>
      </c>
      <c r="Z30" s="175">
        <f t="shared" si="14"/>
        <v>316714</v>
      </c>
      <c r="AA30" s="12">
        <f t="shared" si="15"/>
        <v>-46554</v>
      </c>
      <c r="AB30" s="379">
        <f t="shared" si="22"/>
        <v>316714</v>
      </c>
      <c r="AC30" s="107">
        <f>RESID!AC30</f>
        <v>29.65</v>
      </c>
      <c r="AD30" s="243">
        <f t="shared" si="16"/>
        <v>372701.9</v>
      </c>
      <c r="AE30" s="243">
        <f t="shared" si="40"/>
        <v>50056</v>
      </c>
      <c r="AG30" s="4">
        <f t="shared" si="17"/>
        <v>324939</v>
      </c>
      <c r="AJ30" s="22">
        <v>2006</v>
      </c>
      <c r="AK30" s="84">
        <f>ROUND(SUM(C281:C292),0)</f>
        <v>11975028</v>
      </c>
      <c r="AL30" s="290">
        <f t="shared" ref="AL30:AL35" si="43">AK30/AK29-1</f>
        <v>2.5376072116234383E-3</v>
      </c>
      <c r="AM30" s="549">
        <f>ROUND(SUM(AB281:AB292),0)</f>
        <v>11986939</v>
      </c>
      <c r="AN30" s="291">
        <f t="shared" si="32"/>
        <v>0.46979738641415025</v>
      </c>
      <c r="AO30" s="50">
        <f>ROUND(AVERAGE(D281:D292),0)</f>
        <v>162774</v>
      </c>
      <c r="AP30" s="292">
        <f t="shared" si="33"/>
        <v>1.101235396053446E-2</v>
      </c>
      <c r="AQ30" s="50">
        <f t="shared" ref="AQ30:AQ35" si="44">AK30/AO30*1000</f>
        <v>73568.432304913556</v>
      </c>
      <c r="AR30" s="47">
        <f t="shared" ref="AR30:AR35" si="45">(AQ30/AQ29-1)*100</f>
        <v>-0.83824363923072909</v>
      </c>
      <c r="AS30" s="549">
        <f t="shared" si="0"/>
        <v>73642</v>
      </c>
      <c r="AT30" s="47">
        <f t="shared" si="34"/>
        <v>-0.62344812695670493</v>
      </c>
      <c r="AU30" s="50">
        <f>ROUND(SUM(F281:F292),0)</f>
        <v>1238528</v>
      </c>
      <c r="AV30" s="50">
        <f>ROUND(AVERAGE(G281:G292),0)</f>
        <v>112321</v>
      </c>
      <c r="AW30" s="47">
        <f t="shared" si="35"/>
        <v>0.49747237507269393</v>
      </c>
      <c r="AX30" s="4">
        <v>1985</v>
      </c>
      <c r="AY30" s="4">
        <v>2</v>
      </c>
      <c r="AZ30" s="76">
        <f>'[8]COM 55 &amp; 65'!$S115</f>
        <v>89.3</v>
      </c>
      <c r="BA30" s="76">
        <f t="shared" ref="BA30:BA93" si="46">BA18</f>
        <v>82.6</v>
      </c>
      <c r="BB30" s="362">
        <f t="shared" si="23"/>
        <v>-6.7000000000000028</v>
      </c>
      <c r="BC30" s="362"/>
      <c r="BD30" s="76">
        <f>'[8]COM 55 &amp; 65'!$J115</f>
        <v>55.2</v>
      </c>
      <c r="BE30" s="76">
        <f t="shared" ref="BE30:BE93" si="47">BE18</f>
        <v>36.5</v>
      </c>
      <c r="BF30" s="363">
        <f t="shared" si="24"/>
        <v>-18.700000000000003</v>
      </c>
      <c r="BG30" s="244"/>
      <c r="BH30" s="244">
        <f t="shared" si="18"/>
        <v>-4575.4970000000021</v>
      </c>
      <c r="BI30" s="242">
        <f t="shared" si="19"/>
        <v>-12329.658000000003</v>
      </c>
      <c r="BJ30" s="242"/>
      <c r="BK30" s="241">
        <f t="shared" si="20"/>
        <v>-16905</v>
      </c>
      <c r="BL30" s="262"/>
      <c r="BM30" s="36" t="s">
        <v>18</v>
      </c>
      <c r="BN30" s="4">
        <v>1985</v>
      </c>
      <c r="BO30" s="4">
        <v>2</v>
      </c>
      <c r="CF30" s="22">
        <v>2006</v>
      </c>
      <c r="CG30" s="84">
        <f>ROUND(SUM(BP281:BP292),0)</f>
        <v>11937942</v>
      </c>
      <c r="CH30" s="47">
        <f t="shared" si="36"/>
        <v>0.68318655990160515</v>
      </c>
      <c r="CI30" s="84">
        <f>ROUND(SUM(BT281:BT292),0)</f>
        <v>11929592</v>
      </c>
      <c r="CJ30" s="47">
        <f t="shared" si="37"/>
        <v>0.44927538062358163</v>
      </c>
      <c r="CK30" s="4">
        <f t="shared" si="26"/>
        <v>73289</v>
      </c>
      <c r="CL30" s="47">
        <f t="shared" si="38"/>
        <v>-0.64529248288484053</v>
      </c>
    </row>
    <row r="31" spans="1:90" ht="12.75" customHeight="1">
      <c r="A31" s="22">
        <v>1985</v>
      </c>
      <c r="B31" s="4">
        <v>3</v>
      </c>
      <c r="C31" s="5">
        <v>363087</v>
      </c>
      <c r="D31" s="5">
        <v>90229</v>
      </c>
      <c r="E31" s="74">
        <f t="shared" si="7"/>
        <v>4024.1</v>
      </c>
      <c r="G31" s="347"/>
      <c r="J31" s="574">
        <f t="shared" si="21"/>
        <v>90229</v>
      </c>
      <c r="K31" s="4">
        <f>'[7]COM 55 &amp; 65'!$S116</f>
        <v>131</v>
      </c>
      <c r="L31" s="4">
        <f t="shared" si="41"/>
        <v>105.4</v>
      </c>
      <c r="M31" s="44">
        <f t="shared" si="8"/>
        <v>-25.599999999999994</v>
      </c>
      <c r="N31" s="4">
        <f>'[7]COM 55 &amp; 65'!$J116</f>
        <v>36.200000000000003</v>
      </c>
      <c r="O31" s="4">
        <f t="shared" si="39"/>
        <v>26.8</v>
      </c>
      <c r="P31" s="41">
        <f t="shared" si="9"/>
        <v>-9.4000000000000021</v>
      </c>
      <c r="Q31" s="474">
        <f t="shared" si="10"/>
        <v>-17482.495999999996</v>
      </c>
      <c r="R31" s="472">
        <f t="shared" si="11"/>
        <v>-6197.7960000000021</v>
      </c>
      <c r="S31" s="241">
        <f t="shared" si="12"/>
        <v>-23680</v>
      </c>
      <c r="T31" s="13" t="s">
        <v>18</v>
      </c>
      <c r="U31" s="4">
        <v>1985</v>
      </c>
      <c r="V31" s="4">
        <v>3</v>
      </c>
      <c r="W31" s="242">
        <f t="shared" si="13"/>
        <v>3761.6176617273823</v>
      </c>
      <c r="X31" s="131">
        <f t="shared" si="42"/>
        <v>26.837248980867571</v>
      </c>
      <c r="Z31" s="175">
        <f t="shared" si="14"/>
        <v>339407</v>
      </c>
      <c r="AA31" s="12">
        <f t="shared" si="15"/>
        <v>-23680</v>
      </c>
      <c r="AB31" s="379">
        <f t="shared" si="22"/>
        <v>339407</v>
      </c>
      <c r="AC31" s="107">
        <f>RESID!AC31</f>
        <v>29.4</v>
      </c>
      <c r="AD31" s="243">
        <f t="shared" si="16"/>
        <v>375683.9</v>
      </c>
      <c r="AE31" s="243">
        <f t="shared" si="40"/>
        <v>49316.600000000035</v>
      </c>
      <c r="AG31" s="4">
        <f t="shared" si="17"/>
        <v>351182</v>
      </c>
      <c r="AJ31" s="22">
        <v>2007</v>
      </c>
      <c r="AK31" s="84">
        <f>ROUND(SUM(C293:C304),0)</f>
        <v>12183638</v>
      </c>
      <c r="AL31" s="290">
        <f t="shared" si="43"/>
        <v>1.7420418557685169E-2</v>
      </c>
      <c r="AM31" s="549">
        <f>ROUND(SUM(AB293:AB304),0)</f>
        <v>12123442</v>
      </c>
      <c r="AN31" s="291">
        <f t="shared" si="32"/>
        <v>1.1387644502070193</v>
      </c>
      <c r="AO31" s="50">
        <f>ROUND(AVERAGE(D293:D304),0)</f>
        <v>162837</v>
      </c>
      <c r="AP31" s="292">
        <f t="shared" si="33"/>
        <v>3.8703969921494163E-4</v>
      </c>
      <c r="AQ31" s="50">
        <f t="shared" si="44"/>
        <v>74821.06646523824</v>
      </c>
      <c r="AR31" s="47">
        <f t="shared" si="45"/>
        <v>1.7026788815248661</v>
      </c>
      <c r="AS31" s="549">
        <f t="shared" si="0"/>
        <v>74451</v>
      </c>
      <c r="AT31" s="47">
        <f t="shared" si="34"/>
        <v>1.0985578881616442</v>
      </c>
      <c r="AU31" s="50">
        <f>ROUND(SUM(F293:F304),0)</f>
        <v>1206467</v>
      </c>
      <c r="AV31" s="50">
        <f>ROUND(AVERAGE(G293:G304),0)</f>
        <v>110563</v>
      </c>
      <c r="AW31" s="47">
        <f t="shared" si="35"/>
        <v>-1.5651570053685449</v>
      </c>
      <c r="AX31" s="4">
        <v>1985</v>
      </c>
      <c r="AY31" s="4">
        <v>3</v>
      </c>
      <c r="AZ31" s="76">
        <f>'[8]COM 55 &amp; 65'!$S116</f>
        <v>171.4</v>
      </c>
      <c r="BA31" s="76">
        <f t="shared" si="46"/>
        <v>140.4</v>
      </c>
      <c r="BB31" s="362">
        <f t="shared" si="23"/>
        <v>-31</v>
      </c>
      <c r="BC31" s="362"/>
      <c r="BD31" s="76">
        <f>'[8]COM 55 &amp; 65'!$J116</f>
        <v>8.4</v>
      </c>
      <c r="BE31" s="76">
        <f t="shared" si="47"/>
        <v>15.1</v>
      </c>
      <c r="BF31" s="363">
        <f t="shared" si="24"/>
        <v>6.6999999999999993</v>
      </c>
      <c r="BG31" s="244"/>
      <c r="BH31" s="244">
        <f t="shared" si="18"/>
        <v>-21170.21</v>
      </c>
      <c r="BI31" s="242">
        <f t="shared" si="19"/>
        <v>4417.5779999999995</v>
      </c>
      <c r="BJ31" s="242"/>
      <c r="BK31" s="241">
        <f t="shared" si="20"/>
        <v>-16753</v>
      </c>
      <c r="BL31" s="262"/>
      <c r="BM31" s="36" t="s">
        <v>18</v>
      </c>
      <c r="BN31" s="4">
        <v>1985</v>
      </c>
      <c r="BO31" s="4">
        <v>3</v>
      </c>
      <c r="CF31" s="22">
        <v>2007</v>
      </c>
      <c r="CG31" s="84">
        <f>ROUND(SUM(BP293:BP304),0)</f>
        <v>12201228</v>
      </c>
      <c r="CH31" s="47">
        <f t="shared" si="36"/>
        <v>2.2054555131864495</v>
      </c>
      <c r="CI31" s="84">
        <f>ROUND(SUM(BT293:BT304),0)</f>
        <v>12153606</v>
      </c>
      <c r="CJ31" s="47">
        <f t="shared" si="37"/>
        <v>1.8778010178386761</v>
      </c>
      <c r="CK31" s="4">
        <f t="shared" si="26"/>
        <v>74637</v>
      </c>
      <c r="CL31" s="47">
        <f t="shared" si="38"/>
        <v>1.8392937548608934</v>
      </c>
    </row>
    <row r="32" spans="1:90" ht="12.75" customHeight="1">
      <c r="A32" s="22">
        <v>1985</v>
      </c>
      <c r="B32" s="4">
        <v>4</v>
      </c>
      <c r="C32" s="5">
        <v>373358</v>
      </c>
      <c r="D32" s="5">
        <v>90693</v>
      </c>
      <c r="E32" s="74">
        <f t="shared" si="7"/>
        <v>4116.7</v>
      </c>
      <c r="G32" s="347"/>
      <c r="J32" s="574">
        <f t="shared" si="21"/>
        <v>90693</v>
      </c>
      <c r="K32" s="4">
        <f>'[7]COM 55 &amp; 65'!$S117</f>
        <v>157.9</v>
      </c>
      <c r="L32" s="4">
        <f t="shared" si="41"/>
        <v>178.4</v>
      </c>
      <c r="M32" s="44">
        <f t="shared" si="8"/>
        <v>20.5</v>
      </c>
      <c r="N32" s="4">
        <f>'[7]COM 55 &amp; 65'!$J117</f>
        <v>9.4</v>
      </c>
      <c r="O32" s="4">
        <f t="shared" si="39"/>
        <v>9.5</v>
      </c>
      <c r="P32" s="41">
        <f t="shared" si="9"/>
        <v>9.9999999999999645E-2</v>
      </c>
      <c r="Q32" s="474">
        <f t="shared" si="10"/>
        <v>13999.654999999999</v>
      </c>
      <c r="R32" s="472">
        <f t="shared" si="11"/>
        <v>65.93399999999977</v>
      </c>
      <c r="S32" s="241">
        <f t="shared" si="12"/>
        <v>14066</v>
      </c>
      <c r="T32" s="13" t="s">
        <v>18</v>
      </c>
      <c r="U32" s="4">
        <v>1985</v>
      </c>
      <c r="V32" s="4">
        <v>4</v>
      </c>
      <c r="W32" s="242">
        <f t="shared" si="13"/>
        <v>4271.8181116513952</v>
      </c>
      <c r="X32" s="131">
        <f t="shared" si="42"/>
        <v>149.01048034250471</v>
      </c>
      <c r="Z32" s="175">
        <f t="shared" si="14"/>
        <v>387424</v>
      </c>
      <c r="AA32" s="12">
        <f t="shared" si="15"/>
        <v>14066</v>
      </c>
      <c r="AB32" s="379">
        <f t="shared" si="22"/>
        <v>387424</v>
      </c>
      <c r="AC32" s="107">
        <f>RESID!AC32</f>
        <v>30.35</v>
      </c>
      <c r="AD32" s="243">
        <f t="shared" si="16"/>
        <v>374219.1</v>
      </c>
      <c r="AE32" s="243">
        <f t="shared" si="40"/>
        <v>42674</v>
      </c>
      <c r="AG32" s="4">
        <f t="shared" si="17"/>
        <v>388318</v>
      </c>
      <c r="AJ32" s="22">
        <v>2008</v>
      </c>
      <c r="AK32" s="84">
        <f>ROUND(SUM(C305:C316),0)</f>
        <v>12138925</v>
      </c>
      <c r="AL32" s="290">
        <f t="shared" si="43"/>
        <v>-3.6699219067408695E-3</v>
      </c>
      <c r="AM32" s="549">
        <f>ROUND(SUM(AB305:AB316),0)</f>
        <v>12172762</v>
      </c>
      <c r="AN32" s="291">
        <f t="shared" si="32"/>
        <v>0.40681516024905218</v>
      </c>
      <c r="AO32" s="50">
        <f>ROUND(AVERAGE(D305:D316),0)</f>
        <v>162569</v>
      </c>
      <c r="AP32" s="292">
        <f t="shared" si="33"/>
        <v>-1.6458175967378752E-3</v>
      </c>
      <c r="AQ32" s="50">
        <f t="shared" si="44"/>
        <v>74669.371159323113</v>
      </c>
      <c r="AR32" s="47">
        <f t="shared" si="45"/>
        <v>-0.20274411082553678</v>
      </c>
      <c r="AS32" s="549">
        <f t="shared" ref="AS32:AS37" si="48">ROUND(AM32/AO32*1000,0)</f>
        <v>74878</v>
      </c>
      <c r="AT32" s="47">
        <f t="shared" si="34"/>
        <v>0.5735315845321054</v>
      </c>
      <c r="AU32" s="50">
        <f>ROUND(SUM(F305:F316),0)</f>
        <v>1136013</v>
      </c>
      <c r="AV32" s="50">
        <f>ROUND(AVERAGE(G305:G316),0)</f>
        <v>108708</v>
      </c>
      <c r="AW32" s="47">
        <f t="shared" si="35"/>
        <v>-1.6777764713330812</v>
      </c>
      <c r="AX32" s="4">
        <v>1985</v>
      </c>
      <c r="AY32" s="4">
        <v>4</v>
      </c>
      <c r="AZ32" s="76">
        <f>'[8]COM 55 &amp; 65'!$S117</f>
        <v>222.6</v>
      </c>
      <c r="BA32" s="76">
        <f t="shared" si="46"/>
        <v>227.4</v>
      </c>
      <c r="BB32" s="362">
        <f t="shared" si="23"/>
        <v>4.8000000000000114</v>
      </c>
      <c r="BC32" s="362"/>
      <c r="BD32" s="76">
        <f>'[8]COM 55 &amp; 65'!$J117</f>
        <v>4.5999999999999996</v>
      </c>
      <c r="BE32" s="76">
        <f t="shared" si="47"/>
        <v>4.8</v>
      </c>
      <c r="BF32" s="363">
        <f t="shared" si="24"/>
        <v>0.20000000000000018</v>
      </c>
      <c r="BG32" s="244"/>
      <c r="BH32" s="244">
        <f t="shared" si="18"/>
        <v>3277.9680000000076</v>
      </c>
      <c r="BI32" s="242">
        <f t="shared" si="19"/>
        <v>131.86800000000014</v>
      </c>
      <c r="BJ32" s="242"/>
      <c r="BK32" s="241">
        <f t="shared" si="20"/>
        <v>3410</v>
      </c>
      <c r="BL32" s="262"/>
      <c r="BM32" s="36" t="s">
        <v>18</v>
      </c>
      <c r="BN32" s="4">
        <v>1985</v>
      </c>
      <c r="BO32" s="4">
        <v>4</v>
      </c>
      <c r="CF32" s="22">
        <v>2008</v>
      </c>
      <c r="CG32" s="84">
        <f>ROUND(SUM(BP305:BP316),0)</f>
        <v>12089890</v>
      </c>
      <c r="CH32" s="47">
        <f t="shared" si="36"/>
        <v>-0.91251470753599406</v>
      </c>
      <c r="CI32" s="84">
        <f>ROUND(SUM(BT305:BT316),0)</f>
        <v>12135511</v>
      </c>
      <c r="CJ32" s="47">
        <f t="shared" si="37"/>
        <v>-0.14888585330148363</v>
      </c>
      <c r="CK32" s="4">
        <f t="shared" si="26"/>
        <v>74648</v>
      </c>
      <c r="CL32" s="47">
        <f t="shared" si="38"/>
        <v>1.4737998579783529E-2</v>
      </c>
    </row>
    <row r="33" spans="1:90" ht="12.75" customHeight="1">
      <c r="A33" s="22">
        <v>1985</v>
      </c>
      <c r="B33" s="4">
        <v>5</v>
      </c>
      <c r="C33" s="5">
        <v>405858</v>
      </c>
      <c r="D33" s="5">
        <v>91146</v>
      </c>
      <c r="E33" s="74">
        <f t="shared" si="7"/>
        <v>4452.8</v>
      </c>
      <c r="G33" s="347"/>
      <c r="J33" s="574">
        <f t="shared" si="21"/>
        <v>91146</v>
      </c>
      <c r="K33" s="4">
        <f>'[7]COM 55 &amp; 65'!$S118</f>
        <v>293.5</v>
      </c>
      <c r="L33" s="4">
        <f t="shared" si="41"/>
        <v>273.89999999999998</v>
      </c>
      <c r="M33" s="44">
        <f t="shared" si="8"/>
        <v>-19.600000000000023</v>
      </c>
      <c r="N33" s="4">
        <f>'[7]COM 55 &amp; 65'!$J118</f>
        <v>1.5</v>
      </c>
      <c r="O33" s="4">
        <f t="shared" si="39"/>
        <v>2</v>
      </c>
      <c r="P33" s="41">
        <f t="shared" si="9"/>
        <v>0.5</v>
      </c>
      <c r="Q33" s="474">
        <f t="shared" si="10"/>
        <v>-13385.036000000015</v>
      </c>
      <c r="R33" s="472">
        <f t="shared" si="11"/>
        <v>329.67</v>
      </c>
      <c r="S33" s="241">
        <f t="shared" si="12"/>
        <v>-13055</v>
      </c>
      <c r="T33" s="13" t="s">
        <v>18</v>
      </c>
      <c r="U33" s="4">
        <v>1985</v>
      </c>
      <c r="V33" s="4">
        <v>5</v>
      </c>
      <c r="W33" s="242">
        <f t="shared" si="13"/>
        <v>4309.6021767274488</v>
      </c>
      <c r="X33" s="131">
        <f t="shared" si="42"/>
        <v>-70.905677952267979</v>
      </c>
      <c r="Z33" s="175">
        <f t="shared" si="14"/>
        <v>392803</v>
      </c>
      <c r="AA33" s="12">
        <f t="shared" si="15"/>
        <v>-13055</v>
      </c>
      <c r="AB33" s="379">
        <f t="shared" si="22"/>
        <v>392803</v>
      </c>
      <c r="AC33" s="107">
        <f>RESID!AC33</f>
        <v>29.85</v>
      </c>
      <c r="AD33" s="243">
        <f t="shared" si="16"/>
        <v>413608.1</v>
      </c>
      <c r="AE33" s="243">
        <f t="shared" si="40"/>
        <v>43810.299999999988</v>
      </c>
      <c r="AG33" s="4">
        <f t="shared" si="17"/>
        <v>400304</v>
      </c>
      <c r="AJ33" s="22">
        <v>2009</v>
      </c>
      <c r="AK33" s="84">
        <f>ROUND(SUM(C317:C328),0)</f>
        <v>11883476</v>
      </c>
      <c r="AL33" s="290">
        <f t="shared" si="43"/>
        <v>-2.1043790945244334E-2</v>
      </c>
      <c r="AM33" s="549">
        <f>ROUND(SUM(AB317:AB328),0)</f>
        <v>11743713</v>
      </c>
      <c r="AN33" s="291">
        <f t="shared" si="32"/>
        <v>-3.5246643284408297</v>
      </c>
      <c r="AO33" s="50">
        <f>ROUND(AVERAGE(D317:D328),0)</f>
        <v>161390</v>
      </c>
      <c r="AP33" s="292">
        <f t="shared" si="33"/>
        <v>-7.2523051750333911E-3</v>
      </c>
      <c r="AQ33" s="50">
        <f t="shared" si="44"/>
        <v>73632.046595204156</v>
      </c>
      <c r="AR33" s="47">
        <f t="shared" si="45"/>
        <v>-1.3892236508937561</v>
      </c>
      <c r="AS33" s="549">
        <f t="shared" si="48"/>
        <v>72766</v>
      </c>
      <c r="AT33" s="47">
        <f t="shared" si="34"/>
        <v>-2.82058815673496</v>
      </c>
      <c r="AU33" s="50">
        <f>ROUND(SUM(F317:F328),0)</f>
        <v>1144461</v>
      </c>
      <c r="AV33" s="50">
        <f>ROUND(AVERAGE(G317:G328),0)</f>
        <v>107492</v>
      </c>
      <c r="AW33" s="47">
        <f t="shared" si="35"/>
        <v>-1.1185929278433981</v>
      </c>
      <c r="AX33" s="4">
        <v>1985</v>
      </c>
      <c r="AY33" s="4">
        <v>5</v>
      </c>
      <c r="AZ33" s="76">
        <f>'[8]COM 55 &amp; 65'!$S118</f>
        <v>409.6</v>
      </c>
      <c r="BA33" s="76">
        <f t="shared" si="46"/>
        <v>395.2</v>
      </c>
      <c r="BB33" s="362">
        <f t="shared" si="23"/>
        <v>-14.400000000000034</v>
      </c>
      <c r="BC33" s="362"/>
      <c r="BD33" s="76">
        <f>'[8]COM 55 &amp; 65'!$J118</f>
        <v>0</v>
      </c>
      <c r="BE33" s="76">
        <f t="shared" si="47"/>
        <v>0.2</v>
      </c>
      <c r="BF33" s="363">
        <f t="shared" si="24"/>
        <v>0.2</v>
      </c>
      <c r="BG33" s="244"/>
      <c r="BH33" s="244">
        <f t="shared" si="18"/>
        <v>-9833.9040000000223</v>
      </c>
      <c r="BI33" s="242">
        <f t="shared" si="19"/>
        <v>131.86800000000002</v>
      </c>
      <c r="BJ33" s="242"/>
      <c r="BK33" s="241">
        <f t="shared" si="20"/>
        <v>-9702</v>
      </c>
      <c r="BL33" s="262"/>
      <c r="BM33" s="36" t="s">
        <v>18</v>
      </c>
      <c r="BN33" s="4">
        <v>1985</v>
      </c>
      <c r="BO33" s="4">
        <v>5</v>
      </c>
      <c r="CF33" s="22">
        <v>2009</v>
      </c>
      <c r="CG33" s="84">
        <f>ROUND(SUM(BP317:BP328),0)</f>
        <v>11954344</v>
      </c>
      <c r="CH33" s="47">
        <f t="shared" si="36"/>
        <v>-1.1211516399239341</v>
      </c>
      <c r="CI33" s="84">
        <f>ROUND(SUM(BT317:BT328),0)</f>
        <v>11827311</v>
      </c>
      <c r="CJ33" s="47">
        <f t="shared" si="37"/>
        <v>-2.5396540780194599</v>
      </c>
      <c r="CK33" s="4">
        <f t="shared" si="26"/>
        <v>73284</v>
      </c>
      <c r="CL33" s="47">
        <f t="shared" si="38"/>
        <v>-1.8272425249169388</v>
      </c>
    </row>
    <row r="34" spans="1:90" ht="12.75" customHeight="1">
      <c r="A34" s="22">
        <v>1985</v>
      </c>
      <c r="B34" s="4">
        <v>6</v>
      </c>
      <c r="C34" s="5">
        <v>470171</v>
      </c>
      <c r="D34" s="5">
        <v>91654</v>
      </c>
      <c r="E34" s="74">
        <f t="shared" si="7"/>
        <v>5129.8</v>
      </c>
      <c r="G34" s="347"/>
      <c r="J34" s="574">
        <f t="shared" si="21"/>
        <v>91654</v>
      </c>
      <c r="K34" s="4">
        <f>'[7]COM 55 &amp; 65'!$S119</f>
        <v>473.6</v>
      </c>
      <c r="L34" s="4">
        <f t="shared" si="41"/>
        <v>442.7</v>
      </c>
      <c r="M34" s="44">
        <f t="shared" si="8"/>
        <v>-30.900000000000034</v>
      </c>
      <c r="N34" s="4">
        <f>'[7]COM 55 &amp; 65'!$J119</f>
        <v>0</v>
      </c>
      <c r="O34" s="4">
        <f t="shared" si="39"/>
        <v>0.1</v>
      </c>
      <c r="P34" s="41">
        <f t="shared" si="9"/>
        <v>0.1</v>
      </c>
      <c r="Q34" s="474">
        <f t="shared" si="10"/>
        <v>-21101.919000000024</v>
      </c>
      <c r="R34" s="472">
        <f t="shared" si="11"/>
        <v>65.934000000000012</v>
      </c>
      <c r="S34" s="241">
        <f t="shared" si="12"/>
        <v>-21036</v>
      </c>
      <c r="T34" s="13" t="s">
        <v>18</v>
      </c>
      <c r="U34" s="4">
        <v>1985</v>
      </c>
      <c r="V34" s="4">
        <v>6</v>
      </c>
      <c r="W34" s="242">
        <f t="shared" si="13"/>
        <v>4900.3316821960852</v>
      </c>
      <c r="X34" s="131">
        <f t="shared" si="42"/>
        <v>-325.86841478144834</v>
      </c>
      <c r="Z34" s="175">
        <f t="shared" si="14"/>
        <v>449135</v>
      </c>
      <c r="AA34" s="12">
        <f t="shared" si="15"/>
        <v>-21036</v>
      </c>
      <c r="AB34" s="379">
        <f t="shared" si="22"/>
        <v>449135</v>
      </c>
      <c r="AC34" s="107">
        <f>RESID!AC34</f>
        <v>30.8</v>
      </c>
      <c r="AD34" s="243">
        <f t="shared" si="16"/>
        <v>464370.2</v>
      </c>
      <c r="AE34" s="243">
        <f t="shared" si="40"/>
        <v>66537.100000000035</v>
      </c>
      <c r="AG34" s="4">
        <f t="shared" si="17"/>
        <v>443594</v>
      </c>
      <c r="AJ34" s="22">
        <v>2010</v>
      </c>
      <c r="AK34" s="84">
        <f>ROUND(SUM(C329:C340),0)</f>
        <v>11895889</v>
      </c>
      <c r="AL34" s="290">
        <f t="shared" si="43"/>
        <v>1.0445596894377296E-3</v>
      </c>
      <c r="AM34" s="549">
        <f>ROUND(SUM(AB329:AB340),0)</f>
        <v>11713800</v>
      </c>
      <c r="AN34" s="291">
        <f t="shared" ref="AN34" si="49">(AM34/AM33-1)*100</f>
        <v>-0.25471501219418435</v>
      </c>
      <c r="AO34" s="50">
        <f>ROUND(AVERAGE(D329:D340),0)</f>
        <v>161674</v>
      </c>
      <c r="AP34" s="292">
        <f t="shared" ref="AP34" si="50">AO34/AO33-1</f>
        <v>1.75971249767648E-3</v>
      </c>
      <c r="AQ34" s="50">
        <f t="shared" si="44"/>
        <v>73579.4809307619</v>
      </c>
      <c r="AR34" s="47">
        <f t="shared" si="45"/>
        <v>-7.1389655554787712E-2</v>
      </c>
      <c r="AS34" s="549">
        <f t="shared" si="48"/>
        <v>72453</v>
      </c>
      <c r="AT34" s="47">
        <f t="shared" ref="AT34" si="51">(AS34/AS33-1)*100</f>
        <v>-0.4301459472830671</v>
      </c>
      <c r="AU34" s="50">
        <f>ROUND(SUM(F329:F340),0)</f>
        <v>1192880</v>
      </c>
      <c r="AV34" s="50">
        <f>ROUND(AVERAGE(G329:G340),0)</f>
        <v>108197</v>
      </c>
      <c r="AW34" s="47">
        <f t="shared" ref="AW34" si="52">(AV34/AV33-1)*100</f>
        <v>0.65586276187994397</v>
      </c>
      <c r="AX34" s="4">
        <v>1985</v>
      </c>
      <c r="AY34" s="4">
        <v>6</v>
      </c>
      <c r="AZ34" s="76">
        <f>'[8]COM 55 &amp; 65'!$S119</f>
        <v>532.20000000000005</v>
      </c>
      <c r="BA34" s="76">
        <f t="shared" si="46"/>
        <v>485.1</v>
      </c>
      <c r="BB34" s="362">
        <f t="shared" si="23"/>
        <v>-47.100000000000023</v>
      </c>
      <c r="BC34" s="362"/>
      <c r="BD34" s="76">
        <f>'[8]COM 55 &amp; 65'!$J119</f>
        <v>0</v>
      </c>
      <c r="BE34" s="76">
        <f t="shared" si="47"/>
        <v>0</v>
      </c>
      <c r="BF34" s="363">
        <f t="shared" si="24"/>
        <v>0</v>
      </c>
      <c r="BG34" s="244"/>
      <c r="BH34" s="244">
        <f t="shared" si="18"/>
        <v>-32165.061000000012</v>
      </c>
      <c r="BI34" s="242">
        <f t="shared" si="19"/>
        <v>0</v>
      </c>
      <c r="BJ34" s="242"/>
      <c r="BK34" s="241">
        <f t="shared" si="20"/>
        <v>-32165</v>
      </c>
      <c r="BL34" s="262"/>
      <c r="BM34" s="36" t="s">
        <v>18</v>
      </c>
      <c r="BN34" s="4">
        <v>1985</v>
      </c>
      <c r="BO34" s="4">
        <v>6</v>
      </c>
      <c r="CF34" s="22">
        <v>2010</v>
      </c>
      <c r="CG34" s="84">
        <f>ROUND(SUM(BP329:BP340),0)</f>
        <v>11988044</v>
      </c>
      <c r="CH34" s="47">
        <f t="shared" ref="CH34" si="53">(CG34/CG33-1)*100</f>
        <v>0.28190589128103127</v>
      </c>
      <c r="CI34" s="84">
        <f>ROUND(SUM(BT329:BT340),0)</f>
        <v>11793372</v>
      </c>
      <c r="CJ34" s="47">
        <f t="shared" ref="CJ34" si="54">(CI34/CI33-1)*100</f>
        <v>-0.2869544903317367</v>
      </c>
      <c r="CK34" s="4">
        <f t="shared" si="26"/>
        <v>72945</v>
      </c>
      <c r="CL34" s="47">
        <f t="shared" ref="CL34" si="55">(CK34/CK33-1)*100</f>
        <v>-0.46258392009169702</v>
      </c>
    </row>
    <row r="35" spans="1:90" ht="12.75" customHeight="1">
      <c r="A35" s="22">
        <v>1985</v>
      </c>
      <c r="B35" s="4">
        <v>7</v>
      </c>
      <c r="C35" s="5">
        <v>481557</v>
      </c>
      <c r="D35" s="5">
        <v>91866</v>
      </c>
      <c r="E35" s="74">
        <f t="shared" si="7"/>
        <v>5242</v>
      </c>
      <c r="G35" s="347"/>
      <c r="J35" s="574">
        <f t="shared" si="21"/>
        <v>91866</v>
      </c>
      <c r="K35" s="4">
        <f>'[7]COM 55 &amp; 65'!$S120</f>
        <v>523</v>
      </c>
      <c r="L35" s="4">
        <f t="shared" si="41"/>
        <v>516.1</v>
      </c>
      <c r="M35" s="44">
        <f t="shared" si="8"/>
        <v>-6.8999999999999773</v>
      </c>
      <c r="N35" s="4">
        <f>'[7]COM 55 &amp; 65'!$J120</f>
        <v>0</v>
      </c>
      <c r="O35" s="4">
        <f t="shared" si="39"/>
        <v>0</v>
      </c>
      <c r="P35" s="41">
        <f t="shared" si="9"/>
        <v>0</v>
      </c>
      <c r="Q35" s="474">
        <f t="shared" si="10"/>
        <v>-4712.0789999999843</v>
      </c>
      <c r="R35" s="472">
        <f t="shared" si="11"/>
        <v>0</v>
      </c>
      <c r="S35" s="241">
        <f t="shared" si="12"/>
        <v>-4712</v>
      </c>
      <c r="T35" s="13" t="s">
        <v>18</v>
      </c>
      <c r="U35" s="4">
        <v>1985</v>
      </c>
      <c r="V35" s="4">
        <v>7</v>
      </c>
      <c r="W35" s="242">
        <f t="shared" si="13"/>
        <v>5190.6581324973331</v>
      </c>
      <c r="X35" s="131">
        <f t="shared" si="42"/>
        <v>-131.87131174263777</v>
      </c>
      <c r="Z35" s="175">
        <f t="shared" si="14"/>
        <v>476845</v>
      </c>
      <c r="AA35" s="12">
        <f t="shared" si="15"/>
        <v>-4712</v>
      </c>
      <c r="AB35" s="379">
        <f t="shared" si="22"/>
        <v>476845</v>
      </c>
      <c r="AC35" s="107">
        <f>RESID!AC35</f>
        <v>30.4</v>
      </c>
      <c r="AD35" s="243">
        <f t="shared" si="16"/>
        <v>481873.8</v>
      </c>
      <c r="AE35" s="243">
        <f t="shared" si="40"/>
        <v>51343.700000000012</v>
      </c>
      <c r="AG35" s="4">
        <f t="shared" si="17"/>
        <v>477159</v>
      </c>
      <c r="AJ35" s="22">
        <v>2011</v>
      </c>
      <c r="AK35" s="84">
        <f>ROUND(SUM(C341:C352),0)</f>
        <v>11891810</v>
      </c>
      <c r="AL35" s="290">
        <f t="shared" si="43"/>
        <v>-3.4289156531297493E-4</v>
      </c>
      <c r="AM35" s="549">
        <f>ROUND(SUM(AB341:AB352),0)</f>
        <v>11782069</v>
      </c>
      <c r="AN35" s="291">
        <f t="shared" ref="AN35" si="56">(AM35/AM34-1)*100</f>
        <v>0.58280831156414248</v>
      </c>
      <c r="AO35" s="50">
        <f>ROUND(AVERAGE(D341:D352),0)</f>
        <v>162071</v>
      </c>
      <c r="AP35" s="292">
        <f t="shared" ref="AP35" si="57">AO35/AO34-1</f>
        <v>2.4555587169241555E-3</v>
      </c>
      <c r="AQ35" s="50">
        <f t="shared" si="44"/>
        <v>73374.076793504093</v>
      </c>
      <c r="AR35" s="47">
        <f t="shared" si="45"/>
        <v>-0.27915953559266571</v>
      </c>
      <c r="AS35" s="549">
        <f t="shared" si="48"/>
        <v>72697</v>
      </c>
      <c r="AT35" s="47">
        <f t="shared" ref="AT35" si="58">(AS35/AS34-1)*100</f>
        <v>0.33677004402854482</v>
      </c>
      <c r="AU35" s="50">
        <f>ROUND(SUM(F341:F352),0)</f>
        <v>1214045</v>
      </c>
      <c r="AV35" s="50">
        <f>ROUND(AVERAGE(G341:G352),0)</f>
        <v>109061</v>
      </c>
      <c r="AW35" s="47">
        <f t="shared" ref="AW35" si="59">(AV35/AV34-1)*100</f>
        <v>0.79854339769125371</v>
      </c>
      <c r="AX35" s="4">
        <v>1985</v>
      </c>
      <c r="AY35" s="4">
        <v>7</v>
      </c>
      <c r="AZ35" s="76">
        <f>'[8]COM 55 &amp; 65'!$S120</f>
        <v>529.79999999999995</v>
      </c>
      <c r="BA35" s="76">
        <f t="shared" si="46"/>
        <v>546.1</v>
      </c>
      <c r="BB35" s="362">
        <f t="shared" si="23"/>
        <v>16.300000000000068</v>
      </c>
      <c r="BC35" s="362"/>
      <c r="BD35" s="76">
        <f>'[8]COM 55 &amp; 65'!$J120</f>
        <v>0</v>
      </c>
      <c r="BE35" s="76">
        <f t="shared" si="47"/>
        <v>0</v>
      </c>
      <c r="BF35" s="363">
        <f t="shared" si="24"/>
        <v>0</v>
      </c>
      <c r="BG35" s="244"/>
      <c r="BH35" s="244">
        <f t="shared" si="18"/>
        <v>11131.433000000046</v>
      </c>
      <c r="BI35" s="242">
        <f t="shared" si="19"/>
        <v>0</v>
      </c>
      <c r="BJ35" s="242"/>
      <c r="BK35" s="241">
        <f t="shared" si="20"/>
        <v>11131</v>
      </c>
      <c r="BL35" s="262"/>
      <c r="BM35" s="36" t="s">
        <v>18</v>
      </c>
      <c r="BN35" s="4">
        <v>1985</v>
      </c>
      <c r="BO35" s="4">
        <v>7</v>
      </c>
      <c r="CF35" s="22">
        <v>2011</v>
      </c>
      <c r="CG35" s="84">
        <f>ROUND(SUM(BP341:BP352),0)</f>
        <v>11750401</v>
      </c>
      <c r="CH35" s="47">
        <f t="shared" ref="CH35" si="60">(CG35/CG34-1)*100</f>
        <v>-1.9823333981757174</v>
      </c>
      <c r="CI35" s="84">
        <f>ROUND(SUM(BT341:BT352),0)</f>
        <v>11643717</v>
      </c>
      <c r="CJ35" s="47">
        <f t="shared" ref="CJ35" si="61">(CI35/CI34-1)*100</f>
        <v>-1.268975488944124</v>
      </c>
      <c r="CK35" s="4">
        <f t="shared" si="26"/>
        <v>71843</v>
      </c>
      <c r="CL35" s="47">
        <f t="shared" ref="CL35" si="62">(CK35/CK34-1)*100</f>
        <v>-1.5107272602645883</v>
      </c>
    </row>
    <row r="36" spans="1:90" ht="12.75" customHeight="1">
      <c r="A36" s="22">
        <v>1985</v>
      </c>
      <c r="B36" s="4">
        <v>8</v>
      </c>
      <c r="C36" s="5">
        <v>487522</v>
      </c>
      <c r="D36" s="5">
        <v>92416</v>
      </c>
      <c r="E36" s="74">
        <f t="shared" si="7"/>
        <v>5275.3</v>
      </c>
      <c r="G36" s="347"/>
      <c r="J36" s="574">
        <f t="shared" si="21"/>
        <v>92416</v>
      </c>
      <c r="K36" s="4">
        <f>'[7]COM 55 &amp; 65'!$S121</f>
        <v>530.9</v>
      </c>
      <c r="L36" s="4">
        <f t="shared" si="41"/>
        <v>542</v>
      </c>
      <c r="M36" s="44">
        <f t="shared" si="8"/>
        <v>11.100000000000023</v>
      </c>
      <c r="N36" s="4">
        <f>'[7]COM 55 &amp; 65'!$J121</f>
        <v>0</v>
      </c>
      <c r="O36" s="4">
        <f t="shared" si="39"/>
        <v>0</v>
      </c>
      <c r="P36" s="41">
        <f t="shared" si="9"/>
        <v>0</v>
      </c>
      <c r="Q36" s="474">
        <f t="shared" si="10"/>
        <v>7580.3010000000149</v>
      </c>
      <c r="R36" s="472">
        <f t="shared" si="11"/>
        <v>0</v>
      </c>
      <c r="S36" s="241">
        <f t="shared" si="12"/>
        <v>7580</v>
      </c>
      <c r="T36" s="13" t="s">
        <v>18</v>
      </c>
      <c r="U36" s="4">
        <v>1985</v>
      </c>
      <c r="V36" s="4">
        <v>8</v>
      </c>
      <c r="W36" s="242">
        <f t="shared" si="13"/>
        <v>5357.3190789473683</v>
      </c>
      <c r="X36" s="131">
        <f t="shared" si="42"/>
        <v>78.846339166367216</v>
      </c>
      <c r="Z36" s="175">
        <f t="shared" si="14"/>
        <v>495102</v>
      </c>
      <c r="AA36" s="12">
        <f t="shared" si="15"/>
        <v>7580</v>
      </c>
      <c r="AB36" s="379">
        <f t="shared" si="22"/>
        <v>495102</v>
      </c>
      <c r="AC36" s="107">
        <f>RESID!AC36</f>
        <v>31.2</v>
      </c>
      <c r="AD36" s="243">
        <f t="shared" si="16"/>
        <v>475334</v>
      </c>
      <c r="AE36" s="243">
        <f t="shared" si="40"/>
        <v>38599.299999999988</v>
      </c>
      <c r="AG36" s="4">
        <f t="shared" si="17"/>
        <v>482724</v>
      </c>
      <c r="AJ36" s="22">
        <v>2012</v>
      </c>
      <c r="AK36" s="84">
        <f>ROUND(SUM(C353:C364),0)</f>
        <v>11723459</v>
      </c>
      <c r="AL36" s="290">
        <f t="shared" ref="AL36" si="63">AK36/AK35-1</f>
        <v>-1.4156886125829438E-2</v>
      </c>
      <c r="AM36" s="549">
        <f>ROUND(SUM(AB353:AB364),0)</f>
        <v>11643033</v>
      </c>
      <c r="AN36" s="291">
        <f t="shared" ref="AN36" si="64">(AM36/AM35-1)*100</f>
        <v>-1.1800643842775016</v>
      </c>
      <c r="AO36" s="50">
        <f>ROUND(AVERAGE(D353:D364),0)</f>
        <v>163297</v>
      </c>
      <c r="AP36" s="292">
        <f t="shared" ref="AP36" si="65">AO36/AO35-1</f>
        <v>7.5645858913686581E-3</v>
      </c>
      <c r="AQ36" s="50">
        <f t="shared" ref="AQ36" si="66">AK36/AO36*1000</f>
        <v>71792.249704526112</v>
      </c>
      <c r="AR36" s="47">
        <f t="shared" ref="AR36" si="67">(AQ36/AQ35-1)*100</f>
        <v>-2.155839171141738</v>
      </c>
      <c r="AS36" s="549">
        <f t="shared" si="48"/>
        <v>71300</v>
      </c>
      <c r="AT36" s="47">
        <f t="shared" ref="AT36" si="68">(AS36/AS35-1)*100</f>
        <v>-1.9216748971759512</v>
      </c>
      <c r="AU36" s="50">
        <f>ROUND(SUM(F353:F364),0)</f>
        <v>1214123</v>
      </c>
      <c r="AV36" s="50">
        <f>ROUND(AVERAGE(G353:G364),0)</f>
        <v>110143</v>
      </c>
      <c r="AW36" s="47">
        <f t="shared" ref="AW36" si="69">(AV36/AV35-1)*100</f>
        <v>0.99210533554616731</v>
      </c>
      <c r="AX36" s="4">
        <v>1985</v>
      </c>
      <c r="AY36" s="4">
        <v>8</v>
      </c>
      <c r="AZ36" s="76">
        <f>'[8]COM 55 &amp; 65'!$S121</f>
        <v>535.20000000000005</v>
      </c>
      <c r="BA36" s="76">
        <f t="shared" si="46"/>
        <v>549</v>
      </c>
      <c r="BB36" s="362">
        <f t="shared" si="23"/>
        <v>13.799999999999955</v>
      </c>
      <c r="BC36" s="362"/>
      <c r="BD36" s="76">
        <f>'[8]COM 55 &amp; 65'!$J121</f>
        <v>0</v>
      </c>
      <c r="BE36" s="76">
        <f t="shared" si="47"/>
        <v>0</v>
      </c>
      <c r="BF36" s="363">
        <f t="shared" si="24"/>
        <v>0</v>
      </c>
      <c r="BG36" s="244"/>
      <c r="BH36" s="244">
        <f t="shared" si="18"/>
        <v>9424.1579999999685</v>
      </c>
      <c r="BI36" s="242">
        <f t="shared" si="19"/>
        <v>0</v>
      </c>
      <c r="BJ36" s="242"/>
      <c r="BK36" s="241">
        <f t="shared" si="20"/>
        <v>9424</v>
      </c>
      <c r="BL36" s="262"/>
      <c r="BM36" s="36" t="s">
        <v>18</v>
      </c>
      <c r="BN36" s="4">
        <v>1985</v>
      </c>
      <c r="BO36" s="4">
        <v>8</v>
      </c>
      <c r="CF36" s="22">
        <v>2012</v>
      </c>
      <c r="CG36" s="84">
        <f>ROUND(SUM(BP353:BP364),0)</f>
        <v>11820117</v>
      </c>
      <c r="CH36" s="47">
        <f t="shared" ref="CH36" si="70">(CG36/CG35-1)*100</f>
        <v>0.59330741138110543</v>
      </c>
      <c r="CI36" s="84">
        <f>ROUND(SUM(BT353:BT364),0)</f>
        <v>11743552</v>
      </c>
      <c r="CJ36" s="47">
        <f t="shared" ref="CJ36" si="71">(CI36/CI35-1)*100</f>
        <v>0.85741520512736535</v>
      </c>
      <c r="CK36" s="4">
        <f t="shared" si="26"/>
        <v>71915</v>
      </c>
      <c r="CL36" s="47">
        <f t="shared" ref="CL36" si="72">(CK36/CK35-1)*100</f>
        <v>0.10021853207689002</v>
      </c>
    </row>
    <row r="37" spans="1:90" ht="12.75" customHeight="1">
      <c r="A37" s="22">
        <v>1985</v>
      </c>
      <c r="B37" s="4">
        <v>9</v>
      </c>
      <c r="C37" s="5">
        <v>479393</v>
      </c>
      <c r="D37" s="5">
        <v>92852</v>
      </c>
      <c r="E37" s="74">
        <f t="shared" si="7"/>
        <v>5163</v>
      </c>
      <c r="G37" s="347"/>
      <c r="J37" s="574">
        <f t="shared" si="21"/>
        <v>92852</v>
      </c>
      <c r="K37" s="4">
        <f>'[7]COM 55 &amp; 65'!$S122</f>
        <v>512.29999999999995</v>
      </c>
      <c r="L37" s="4">
        <f t="shared" si="41"/>
        <v>531.20000000000005</v>
      </c>
      <c r="M37" s="44">
        <f t="shared" si="8"/>
        <v>18.900000000000091</v>
      </c>
      <c r="N37" s="4">
        <f>'[7]COM 55 &amp; 65'!$J122</f>
        <v>0</v>
      </c>
      <c r="O37" s="4">
        <f t="shared" si="39"/>
        <v>0</v>
      </c>
      <c r="P37" s="41">
        <f t="shared" si="9"/>
        <v>0</v>
      </c>
      <c r="Q37" s="474">
        <f t="shared" si="10"/>
        <v>12906.999000000062</v>
      </c>
      <c r="R37" s="472">
        <f t="shared" si="11"/>
        <v>0</v>
      </c>
      <c r="S37" s="241">
        <f t="shared" si="12"/>
        <v>12907</v>
      </c>
      <c r="T37" s="13" t="s">
        <v>18</v>
      </c>
      <c r="U37" s="4">
        <v>1985</v>
      </c>
      <c r="V37" s="4">
        <v>9</v>
      </c>
      <c r="W37" s="242">
        <f t="shared" si="13"/>
        <v>5301.985956145264</v>
      </c>
      <c r="X37" s="131">
        <f t="shared" si="42"/>
        <v>11.362596714983738</v>
      </c>
      <c r="Z37" s="175">
        <f t="shared" si="14"/>
        <v>492300</v>
      </c>
      <c r="AA37" s="12">
        <f t="shared" si="15"/>
        <v>12907</v>
      </c>
      <c r="AB37" s="379">
        <f t="shared" si="22"/>
        <v>492300</v>
      </c>
      <c r="AC37" s="107">
        <f>RESID!AC37</f>
        <v>30.5</v>
      </c>
      <c r="AD37" s="243">
        <f t="shared" si="16"/>
        <v>478135.6</v>
      </c>
      <c r="AE37" s="243">
        <f t="shared" si="40"/>
        <v>39975.099999999977</v>
      </c>
      <c r="AG37" s="4">
        <f t="shared" si="17"/>
        <v>491009</v>
      </c>
      <c r="AJ37" s="22">
        <v>2013</v>
      </c>
      <c r="AK37" s="84">
        <f>ROUND(SUM(C365:C376),0)</f>
        <v>11717885</v>
      </c>
      <c r="AL37" s="290">
        <f t="shared" ref="AL37" si="73">AK37/AK36-1</f>
        <v>-4.7545694491701873E-4</v>
      </c>
      <c r="AM37" s="549">
        <f>ROUND(SUM(AB365:AB376),0)</f>
        <v>11575323</v>
      </c>
      <c r="AN37" s="291">
        <f t="shared" ref="AN37" si="74">(AM37/AM36-1)*100</f>
        <v>-0.58154949831371594</v>
      </c>
      <c r="AO37" s="50">
        <f>ROUND(AVERAGE(D365:D376),0)</f>
        <v>165936</v>
      </c>
      <c r="AP37" s="292">
        <f t="shared" ref="AP37" si="75">AO37/AO36-1</f>
        <v>1.6160737796775182E-2</v>
      </c>
      <c r="AQ37" s="50">
        <f t="shared" ref="AQ37" si="76">AK37/AO37*1000</f>
        <v>70616.894465336038</v>
      </c>
      <c r="AR37" s="47">
        <f t="shared" ref="AR37" si="77">(AQ37/AQ36-1)*100</f>
        <v>-1.6371617326765175</v>
      </c>
      <c r="AS37" s="549">
        <f t="shared" si="48"/>
        <v>69758</v>
      </c>
      <c r="AT37" s="47">
        <f t="shared" ref="AT37" si="78">(AS37/AS36-1)*100</f>
        <v>-2.1626928471248252</v>
      </c>
      <c r="AU37" s="50">
        <f>ROUND(SUM(F365:F376),0)</f>
        <v>1193917</v>
      </c>
      <c r="AV37" s="50">
        <f>ROUND(AVERAGE(G365:G376),0)</f>
        <v>112418</v>
      </c>
      <c r="AW37" s="47">
        <f t="shared" ref="AW37" si="79">(AV37/AV36-1)*100</f>
        <v>2.0654966725075496</v>
      </c>
      <c r="AX37" s="4">
        <v>1985</v>
      </c>
      <c r="AY37" s="4">
        <v>9</v>
      </c>
      <c r="AZ37" s="76">
        <f>'[8]COM 55 &amp; 65'!$S122</f>
        <v>457.4</v>
      </c>
      <c r="BA37" s="76">
        <f t="shared" si="46"/>
        <v>487.9</v>
      </c>
      <c r="BB37" s="362">
        <f t="shared" si="23"/>
        <v>30.5</v>
      </c>
      <c r="BC37" s="362"/>
      <c r="BD37" s="76">
        <f>'[8]COM 55 &amp; 65'!$J122</f>
        <v>0</v>
      </c>
      <c r="BE37" s="76">
        <f t="shared" si="47"/>
        <v>0</v>
      </c>
      <c r="BF37" s="363">
        <f t="shared" si="24"/>
        <v>0</v>
      </c>
      <c r="BG37" s="244"/>
      <c r="BH37" s="244">
        <f t="shared" si="18"/>
        <v>20828.754999999997</v>
      </c>
      <c r="BI37" s="242">
        <f t="shared" si="19"/>
        <v>0</v>
      </c>
      <c r="BJ37" s="242"/>
      <c r="BK37" s="241">
        <f t="shared" si="20"/>
        <v>20829</v>
      </c>
      <c r="BL37" s="262"/>
      <c r="BM37" s="36" t="s">
        <v>18</v>
      </c>
      <c r="BN37" s="4">
        <v>1985</v>
      </c>
      <c r="BO37" s="4">
        <v>9</v>
      </c>
    </row>
    <row r="38" spans="1:90" ht="12.75" customHeight="1">
      <c r="A38" s="22">
        <v>1985</v>
      </c>
      <c r="B38" s="4">
        <v>10</v>
      </c>
      <c r="C38" s="5">
        <v>450822</v>
      </c>
      <c r="D38" s="5">
        <v>93305</v>
      </c>
      <c r="E38" s="74">
        <f t="shared" si="7"/>
        <v>4831.7</v>
      </c>
      <c r="G38" s="347"/>
      <c r="J38" s="574">
        <f t="shared" si="21"/>
        <v>93305</v>
      </c>
      <c r="K38" s="4">
        <f>'[7]COM 55 &amp; 65'!$S123</f>
        <v>437.2</v>
      </c>
      <c r="L38" s="4">
        <f t="shared" si="41"/>
        <v>431.2</v>
      </c>
      <c r="M38" s="44">
        <f t="shared" si="8"/>
        <v>-6</v>
      </c>
      <c r="N38" s="4">
        <f>'[7]COM 55 &amp; 65'!$J123</f>
        <v>0.2</v>
      </c>
      <c r="O38" s="4">
        <f t="shared" si="39"/>
        <v>0.2</v>
      </c>
      <c r="P38" s="41">
        <f t="shared" si="9"/>
        <v>0</v>
      </c>
      <c r="Q38" s="474">
        <f t="shared" si="10"/>
        <v>-4097.46</v>
      </c>
      <c r="R38" s="472">
        <f t="shared" si="11"/>
        <v>0</v>
      </c>
      <c r="S38" s="241">
        <f t="shared" si="12"/>
        <v>-4097</v>
      </c>
      <c r="T38" s="13" t="s">
        <v>18</v>
      </c>
      <c r="U38" s="4">
        <v>1985</v>
      </c>
      <c r="V38" s="4">
        <v>10</v>
      </c>
      <c r="W38" s="242">
        <f t="shared" si="13"/>
        <v>4787.7927227908476</v>
      </c>
      <c r="X38" s="131">
        <f t="shared" si="42"/>
        <v>-230.3021474894922</v>
      </c>
      <c r="Z38" s="175">
        <f t="shared" si="14"/>
        <v>446725</v>
      </c>
      <c r="AA38" s="12">
        <f t="shared" si="15"/>
        <v>-4097</v>
      </c>
      <c r="AB38" s="379">
        <f t="shared" si="22"/>
        <v>446725</v>
      </c>
      <c r="AC38" s="107">
        <f>RESID!AC38</f>
        <v>29.7</v>
      </c>
      <c r="AD38" s="243">
        <f t="shared" si="16"/>
        <v>461751</v>
      </c>
      <c r="AE38" s="243">
        <f t="shared" si="40"/>
        <v>49704.400000000023</v>
      </c>
      <c r="AG38" s="4">
        <f t="shared" si="17"/>
        <v>457555</v>
      </c>
      <c r="AX38" s="4">
        <v>1985</v>
      </c>
      <c r="AY38" s="4">
        <v>10</v>
      </c>
      <c r="AZ38" s="76">
        <f>'[8]COM 55 &amp; 65'!$S123</f>
        <v>440.3</v>
      </c>
      <c r="BA38" s="76">
        <f t="shared" si="46"/>
        <v>332.5</v>
      </c>
      <c r="BB38" s="362">
        <f t="shared" si="23"/>
        <v>-107.80000000000001</v>
      </c>
      <c r="BC38" s="362"/>
      <c r="BD38" s="76">
        <f>'[8]COM 55 &amp; 65'!$J123</f>
        <v>0.2</v>
      </c>
      <c r="BE38" s="76">
        <f t="shared" si="47"/>
        <v>2</v>
      </c>
      <c r="BF38" s="363">
        <f t="shared" si="24"/>
        <v>1.8</v>
      </c>
      <c r="BG38" s="244"/>
      <c r="BH38" s="244">
        <f t="shared" si="18"/>
        <v>-73617.698000000004</v>
      </c>
      <c r="BI38" s="242">
        <f t="shared" si="19"/>
        <v>1186.8120000000001</v>
      </c>
      <c r="BJ38" s="242"/>
      <c r="BK38" s="241">
        <f t="shared" si="20"/>
        <v>-72431</v>
      </c>
      <c r="BL38" s="262"/>
      <c r="BM38" s="36" t="s">
        <v>18</v>
      </c>
      <c r="BN38" s="4">
        <v>1985</v>
      </c>
      <c r="BO38" s="4">
        <v>10</v>
      </c>
    </row>
    <row r="39" spans="1:90" ht="12.75" customHeight="1">
      <c r="A39" s="22">
        <v>1985</v>
      </c>
      <c r="B39" s="4">
        <v>11</v>
      </c>
      <c r="C39" s="5">
        <v>441492</v>
      </c>
      <c r="D39" s="5">
        <v>93946</v>
      </c>
      <c r="E39" s="74">
        <f t="shared" si="7"/>
        <v>4699.3999999999996</v>
      </c>
      <c r="G39" s="347"/>
      <c r="J39" s="574">
        <f t="shared" si="21"/>
        <v>93946</v>
      </c>
      <c r="K39" s="4">
        <f>'[7]COM 55 &amp; 65'!$S124</f>
        <v>366.4</v>
      </c>
      <c r="L39" s="4">
        <f t="shared" si="41"/>
        <v>251.9</v>
      </c>
      <c r="M39" s="44">
        <f t="shared" si="8"/>
        <v>-114.49999999999997</v>
      </c>
      <c r="N39" s="4">
        <f>'[7]COM 55 &amp; 65'!$J124</f>
        <v>2.2999999999999998</v>
      </c>
      <c r="O39" s="4">
        <f t="shared" si="39"/>
        <v>6.3</v>
      </c>
      <c r="P39" s="41">
        <f t="shared" si="9"/>
        <v>4</v>
      </c>
      <c r="Q39" s="474">
        <f t="shared" si="10"/>
        <v>-78193.194999999978</v>
      </c>
      <c r="R39" s="472">
        <f t="shared" si="11"/>
        <v>2637.36</v>
      </c>
      <c r="S39" s="241">
        <f t="shared" si="12"/>
        <v>-75556</v>
      </c>
      <c r="T39" s="13" t="s">
        <v>18</v>
      </c>
      <c r="U39" s="4">
        <v>1985</v>
      </c>
      <c r="V39" s="4">
        <v>11</v>
      </c>
      <c r="W39" s="242">
        <f t="shared" si="13"/>
        <v>3895.173823260171</v>
      </c>
      <c r="X39" s="131">
        <f t="shared" si="42"/>
        <v>-165.55866512555804</v>
      </c>
      <c r="Z39" s="175">
        <f t="shared" si="14"/>
        <v>365936</v>
      </c>
      <c r="AA39" s="12">
        <f t="shared" si="15"/>
        <v>-75556</v>
      </c>
      <c r="AB39" s="379">
        <f t="shared" si="22"/>
        <v>365936</v>
      </c>
      <c r="AC39" s="107">
        <f>RESID!AC39</f>
        <v>29.95</v>
      </c>
      <c r="AD39" s="243">
        <f t="shared" si="16"/>
        <v>448420.3</v>
      </c>
      <c r="AE39" s="243">
        <f t="shared" si="40"/>
        <v>49819.399999999965</v>
      </c>
      <c r="AG39" s="4">
        <f t="shared" si="17"/>
        <v>371679</v>
      </c>
      <c r="AX39" s="4">
        <v>1985</v>
      </c>
      <c r="AY39" s="4">
        <v>11</v>
      </c>
      <c r="AZ39" s="76">
        <f>'[8]COM 55 &amp; 65'!$S124</f>
        <v>276.2</v>
      </c>
      <c r="BA39" s="76">
        <f t="shared" si="46"/>
        <v>146</v>
      </c>
      <c r="BB39" s="362">
        <f t="shared" si="23"/>
        <v>-130.19999999999999</v>
      </c>
      <c r="BC39" s="362"/>
      <c r="BD39" s="76">
        <f>'[8]COM 55 &amp; 65'!$J124</f>
        <v>3.7</v>
      </c>
      <c r="BE39" s="76">
        <f t="shared" si="47"/>
        <v>14</v>
      </c>
      <c r="BF39" s="363">
        <f t="shared" si="24"/>
        <v>10.3</v>
      </c>
      <c r="BG39" s="244"/>
      <c r="BH39" s="244">
        <f t="shared" si="18"/>
        <v>-88914.881999999983</v>
      </c>
      <c r="BI39" s="242">
        <f t="shared" si="19"/>
        <v>6791.2020000000011</v>
      </c>
      <c r="BJ39" s="242"/>
      <c r="BK39" s="241">
        <f t="shared" si="20"/>
        <v>-82124</v>
      </c>
      <c r="BL39" s="262"/>
      <c r="BM39" s="36" t="s">
        <v>18</v>
      </c>
      <c r="BN39" s="4">
        <v>1985</v>
      </c>
      <c r="BO39" s="4">
        <v>11</v>
      </c>
    </row>
    <row r="40" spans="1:90" s="89" customFormat="1" ht="12.75" customHeight="1">
      <c r="A40" s="225">
        <v>1985</v>
      </c>
      <c r="B40" s="89">
        <v>12</v>
      </c>
      <c r="C40" s="103">
        <v>422803</v>
      </c>
      <c r="D40" s="103">
        <v>94423</v>
      </c>
      <c r="E40" s="109">
        <f t="shared" si="7"/>
        <v>4477.8</v>
      </c>
      <c r="F40" s="90"/>
      <c r="G40" s="348"/>
      <c r="J40" s="575">
        <f t="shared" si="21"/>
        <v>94423</v>
      </c>
      <c r="K40" s="89">
        <f>'[7]COM 55 &amp; 65'!$S125</f>
        <v>250</v>
      </c>
      <c r="L40" s="89">
        <f t="shared" si="41"/>
        <v>119.4</v>
      </c>
      <c r="M40" s="93">
        <f t="shared" si="8"/>
        <v>-130.6</v>
      </c>
      <c r="N40" s="89">
        <f>'[7]COM 55 &amp; 65'!$J125</f>
        <v>16.899999999999999</v>
      </c>
      <c r="O40" s="89">
        <f t="shared" si="39"/>
        <v>30.1</v>
      </c>
      <c r="P40" s="94">
        <f t="shared" si="9"/>
        <v>13.200000000000003</v>
      </c>
      <c r="Q40" s="475">
        <f t="shared" si="10"/>
        <v>-89188.045999999988</v>
      </c>
      <c r="R40" s="473">
        <f t="shared" si="11"/>
        <v>8703.2880000000023</v>
      </c>
      <c r="S40" s="329">
        <f t="shared" si="12"/>
        <v>-80485</v>
      </c>
      <c r="T40" s="90" t="s">
        <v>18</v>
      </c>
      <c r="U40" s="89">
        <v>1985</v>
      </c>
      <c r="V40" s="89">
        <v>12</v>
      </c>
      <c r="W40" s="328">
        <f t="shared" si="13"/>
        <v>3625.3667009097362</v>
      </c>
      <c r="X40" s="133">
        <f t="shared" si="42"/>
        <v>-229.76934397104878</v>
      </c>
      <c r="Y40" s="330"/>
      <c r="Z40" s="176">
        <f t="shared" si="14"/>
        <v>342318</v>
      </c>
      <c r="AA40" s="105">
        <f t="shared" si="15"/>
        <v>-80485</v>
      </c>
      <c r="AB40" s="517">
        <f t="shared" si="22"/>
        <v>342318</v>
      </c>
      <c r="AC40" s="110">
        <f>RESID!AC40</f>
        <v>31.65</v>
      </c>
      <c r="AD40" s="331">
        <f t="shared" si="16"/>
        <v>406371.8</v>
      </c>
      <c r="AE40" s="331">
        <f t="shared" si="40"/>
        <v>61324.200000000012</v>
      </c>
      <c r="AG40" s="89">
        <f t="shared" si="17"/>
        <v>329015</v>
      </c>
      <c r="AX40" s="89">
        <v>1985</v>
      </c>
      <c r="AY40" s="89">
        <v>12</v>
      </c>
      <c r="AZ40" s="92">
        <f>'[8]COM 55 &amp; 65'!$S125</f>
        <v>73</v>
      </c>
      <c r="BA40" s="92">
        <f t="shared" si="46"/>
        <v>75.7</v>
      </c>
      <c r="BB40" s="364">
        <f t="shared" si="23"/>
        <v>2.7000000000000028</v>
      </c>
      <c r="BC40" s="364"/>
      <c r="BD40" s="92">
        <f>'[8]COM 55 &amp; 65'!$J125</f>
        <v>96.3</v>
      </c>
      <c r="BE40" s="92">
        <f t="shared" si="47"/>
        <v>44.3</v>
      </c>
      <c r="BF40" s="365">
        <f t="shared" si="24"/>
        <v>-52</v>
      </c>
      <c r="BG40" s="327"/>
      <c r="BH40" s="327">
        <f t="shared" si="18"/>
        <v>1843.8570000000018</v>
      </c>
      <c r="BI40" s="328">
        <f t="shared" si="19"/>
        <v>-34285.68</v>
      </c>
      <c r="BJ40" s="328"/>
      <c r="BK40" s="329">
        <f t="shared" si="20"/>
        <v>-32442</v>
      </c>
      <c r="BL40" s="332"/>
      <c r="BM40" s="113" t="s">
        <v>18</v>
      </c>
      <c r="BN40" s="89">
        <v>1985</v>
      </c>
      <c r="BO40" s="89">
        <v>12</v>
      </c>
      <c r="BT40" s="96"/>
    </row>
    <row r="41" spans="1:90" ht="12.75" customHeight="1">
      <c r="A41" s="22">
        <v>1986</v>
      </c>
      <c r="B41" s="4">
        <v>1</v>
      </c>
      <c r="C41" s="5">
        <v>402835</v>
      </c>
      <c r="D41" s="5">
        <v>94471</v>
      </c>
      <c r="E41" s="74">
        <f t="shared" si="7"/>
        <v>4264.1000000000004</v>
      </c>
      <c r="G41" s="347"/>
      <c r="J41" s="574">
        <f t="shared" si="21"/>
        <v>94471</v>
      </c>
      <c r="K41" s="4">
        <f>'[7]COM 55 &amp; 65'!$S126</f>
        <v>60.1</v>
      </c>
      <c r="L41" s="4">
        <f t="shared" si="41"/>
        <v>70.8</v>
      </c>
      <c r="M41" s="44">
        <f t="shared" si="8"/>
        <v>10.699999999999996</v>
      </c>
      <c r="N41" s="4">
        <f>'[7]COM 55 &amp; 65'!$J126</f>
        <v>96.4</v>
      </c>
      <c r="O41" s="4">
        <f t="shared" si="39"/>
        <v>54.9</v>
      </c>
      <c r="P41" s="41">
        <f t="shared" si="9"/>
        <v>-41.500000000000007</v>
      </c>
      <c r="Q41" s="474">
        <f t="shared" si="10"/>
        <v>7307.136999999997</v>
      </c>
      <c r="R41" s="472">
        <f t="shared" si="11"/>
        <v>-27362.610000000004</v>
      </c>
      <c r="S41" s="241">
        <f t="shared" si="12"/>
        <v>-20055</v>
      </c>
      <c r="T41" s="13" t="s">
        <v>18</v>
      </c>
      <c r="U41" s="4">
        <v>1986</v>
      </c>
      <c r="V41" s="4">
        <v>1</v>
      </c>
      <c r="W41" s="242">
        <f t="shared" si="13"/>
        <v>4051.8254279090938</v>
      </c>
      <c r="X41" s="131">
        <f t="shared" si="42"/>
        <v>369.4209390529918</v>
      </c>
      <c r="Z41" s="175">
        <f t="shared" si="14"/>
        <v>382780</v>
      </c>
      <c r="AA41" s="12">
        <f t="shared" si="15"/>
        <v>-20055</v>
      </c>
      <c r="AB41" s="379">
        <f t="shared" si="22"/>
        <v>382780</v>
      </c>
      <c r="AC41" s="107">
        <f>RESID!AC41</f>
        <v>31.95</v>
      </c>
      <c r="AD41" s="243">
        <f t="shared" si="16"/>
        <v>383544.3</v>
      </c>
      <c r="AE41" s="243">
        <f t="shared" si="40"/>
        <v>32789.799999999988</v>
      </c>
      <c r="AG41" s="4">
        <f t="shared" si="17"/>
        <v>364450</v>
      </c>
      <c r="AX41" s="4">
        <v>1986</v>
      </c>
      <c r="AY41" s="4">
        <v>1</v>
      </c>
      <c r="AZ41" s="76">
        <f>'[8]COM 55 &amp; 65'!$S126</f>
        <v>52.2</v>
      </c>
      <c r="BA41" s="76">
        <f t="shared" si="46"/>
        <v>72.3</v>
      </c>
      <c r="BB41" s="362">
        <f t="shared" si="23"/>
        <v>20.099999999999994</v>
      </c>
      <c r="BC41" s="362"/>
      <c r="BD41" s="76">
        <f>'[8]COM 55 &amp; 65'!$J126</f>
        <v>74.8</v>
      </c>
      <c r="BE41" s="76">
        <f t="shared" si="47"/>
        <v>52.4</v>
      </c>
      <c r="BF41" s="363">
        <f t="shared" si="24"/>
        <v>-22.4</v>
      </c>
      <c r="BG41" s="244"/>
      <c r="BH41" s="244">
        <f t="shared" si="18"/>
        <v>13726.490999999996</v>
      </c>
      <c r="BI41" s="242">
        <f t="shared" si="19"/>
        <v>-14769.216</v>
      </c>
      <c r="BJ41" s="242"/>
      <c r="BK41" s="241">
        <f t="shared" si="20"/>
        <v>-1043</v>
      </c>
      <c r="BL41" s="262"/>
      <c r="BM41" s="36" t="s">
        <v>18</v>
      </c>
      <c r="BN41" s="4">
        <v>1986</v>
      </c>
      <c r="BO41" s="4">
        <v>1</v>
      </c>
    </row>
    <row r="42" spans="1:90" ht="12.75" customHeight="1">
      <c r="A42" s="22">
        <v>1986</v>
      </c>
      <c r="B42" s="4">
        <v>2</v>
      </c>
      <c r="C42" s="5">
        <v>374487</v>
      </c>
      <c r="D42" s="5">
        <v>94745</v>
      </c>
      <c r="E42" s="74">
        <f t="shared" si="7"/>
        <v>3952.6</v>
      </c>
      <c r="G42" s="347"/>
      <c r="J42" s="574">
        <f t="shared" si="21"/>
        <v>94745</v>
      </c>
      <c r="K42" s="4">
        <f>'[7]COM 55 &amp; 65'!$S127</f>
        <v>65.8</v>
      </c>
      <c r="L42" s="4">
        <f t="shared" si="41"/>
        <v>62.7</v>
      </c>
      <c r="M42" s="44">
        <f t="shared" si="8"/>
        <v>-3.0999999999999943</v>
      </c>
      <c r="N42" s="4">
        <f>'[7]COM 55 &amp; 65'!$J127</f>
        <v>67.599999999999994</v>
      </c>
      <c r="O42" s="4">
        <f t="shared" si="39"/>
        <v>46.9</v>
      </c>
      <c r="P42" s="41">
        <f t="shared" si="9"/>
        <v>-20.699999999999996</v>
      </c>
      <c r="Q42" s="474">
        <f t="shared" si="10"/>
        <v>-2117.0209999999961</v>
      </c>
      <c r="R42" s="472">
        <f t="shared" si="11"/>
        <v>-13648.337999999998</v>
      </c>
      <c r="S42" s="241">
        <f t="shared" si="12"/>
        <v>-15765</v>
      </c>
      <c r="T42" s="13" t="s">
        <v>18</v>
      </c>
      <c r="U42" s="4">
        <v>1986</v>
      </c>
      <c r="V42" s="4">
        <v>2</v>
      </c>
      <c r="W42" s="242">
        <f t="shared" si="13"/>
        <v>3786.1839674916882</v>
      </c>
      <c r="X42" s="131">
        <f t="shared" si="42"/>
        <v>259.41982820903604</v>
      </c>
      <c r="Z42" s="175">
        <f t="shared" si="14"/>
        <v>358722</v>
      </c>
      <c r="AA42" s="12">
        <f t="shared" si="15"/>
        <v>-15765</v>
      </c>
      <c r="AB42" s="379">
        <f t="shared" si="22"/>
        <v>358722</v>
      </c>
      <c r="AC42" s="107">
        <f>RESID!AC42</f>
        <v>29.65</v>
      </c>
      <c r="AD42" s="243">
        <f t="shared" si="16"/>
        <v>384212.3</v>
      </c>
      <c r="AE42" s="243">
        <f t="shared" si="40"/>
        <v>11510.399999999965</v>
      </c>
      <c r="AG42" s="4">
        <f t="shared" si="17"/>
        <v>368038</v>
      </c>
      <c r="AX42" s="4">
        <v>1986</v>
      </c>
      <c r="AY42" s="4">
        <v>2</v>
      </c>
      <c r="AZ42" s="76">
        <f>'[8]COM 55 &amp; 65'!$S127</f>
        <v>97.5</v>
      </c>
      <c r="BA42" s="76">
        <f t="shared" si="46"/>
        <v>82.6</v>
      </c>
      <c r="BB42" s="362">
        <f t="shared" si="23"/>
        <v>-14.900000000000006</v>
      </c>
      <c r="BC42" s="362"/>
      <c r="BD42" s="76">
        <f>'[8]COM 55 &amp; 65'!$J127</f>
        <v>30.4</v>
      </c>
      <c r="BE42" s="76">
        <f t="shared" si="47"/>
        <v>36.5</v>
      </c>
      <c r="BF42" s="363">
        <f t="shared" si="24"/>
        <v>6.1000000000000014</v>
      </c>
      <c r="BG42" s="244"/>
      <c r="BH42" s="244">
        <f t="shared" si="18"/>
        <v>-10175.359000000004</v>
      </c>
      <c r="BI42" s="242">
        <f t="shared" si="19"/>
        <v>4021.9740000000011</v>
      </c>
      <c r="BJ42" s="242"/>
      <c r="BK42" s="241">
        <f t="shared" si="20"/>
        <v>-6153</v>
      </c>
      <c r="BL42" s="262"/>
      <c r="BM42" s="36" t="s">
        <v>18</v>
      </c>
      <c r="BN42" s="4">
        <v>1986</v>
      </c>
      <c r="BO42" s="4">
        <v>2</v>
      </c>
    </row>
    <row r="43" spans="1:90" ht="12.75" customHeight="1">
      <c r="A43" s="22">
        <v>1986</v>
      </c>
      <c r="B43" s="4">
        <v>3</v>
      </c>
      <c r="C43" s="5">
        <v>383821</v>
      </c>
      <c r="D43" s="5">
        <v>95206</v>
      </c>
      <c r="E43" s="74">
        <f t="shared" si="7"/>
        <v>4031.5</v>
      </c>
      <c r="G43" s="347"/>
      <c r="J43" s="574">
        <f t="shared" si="21"/>
        <v>95206</v>
      </c>
      <c r="K43" s="4">
        <f>'[7]COM 55 &amp; 65'!$S128</f>
        <v>100.2</v>
      </c>
      <c r="L43" s="4">
        <f t="shared" si="41"/>
        <v>105.4</v>
      </c>
      <c r="M43" s="44">
        <f t="shared" si="8"/>
        <v>5.2000000000000028</v>
      </c>
      <c r="N43" s="4">
        <f>'[7]COM 55 &amp; 65'!$J128</f>
        <v>44.5</v>
      </c>
      <c r="O43" s="4">
        <f t="shared" si="39"/>
        <v>26.8</v>
      </c>
      <c r="P43" s="41">
        <f t="shared" si="9"/>
        <v>-17.7</v>
      </c>
      <c r="Q43" s="474">
        <f t="shared" si="10"/>
        <v>3551.1320000000019</v>
      </c>
      <c r="R43" s="472">
        <f t="shared" si="11"/>
        <v>-11670.317999999999</v>
      </c>
      <c r="S43" s="241">
        <f t="shared" si="12"/>
        <v>-8119</v>
      </c>
      <c r="T43" s="13" t="s">
        <v>18</v>
      </c>
      <c r="U43" s="4">
        <v>1986</v>
      </c>
      <c r="V43" s="4">
        <v>3</v>
      </c>
      <c r="W43" s="242">
        <f t="shared" si="13"/>
        <v>3946.2008696930866</v>
      </c>
      <c r="X43" s="131">
        <f t="shared" si="42"/>
        <v>184.58320796570433</v>
      </c>
      <c r="Z43" s="175">
        <f t="shared" si="14"/>
        <v>375702</v>
      </c>
      <c r="AA43" s="12">
        <f t="shared" si="15"/>
        <v>-8119</v>
      </c>
      <c r="AB43" s="379">
        <f t="shared" si="22"/>
        <v>375702</v>
      </c>
      <c r="AC43" s="107">
        <f>RESID!AC43</f>
        <v>29.4</v>
      </c>
      <c r="AD43" s="243">
        <f t="shared" si="16"/>
        <v>397137.2</v>
      </c>
      <c r="AE43" s="243">
        <f t="shared" si="40"/>
        <v>21453.299999999988</v>
      </c>
      <c r="AG43" s="4">
        <f t="shared" si="17"/>
        <v>388737</v>
      </c>
      <c r="AX43" s="4">
        <v>1986</v>
      </c>
      <c r="AY43" s="4">
        <v>3</v>
      </c>
      <c r="AZ43" s="76">
        <f>'[8]COM 55 &amp; 65'!$S128</f>
        <v>138.30000000000001</v>
      </c>
      <c r="BA43" s="76">
        <f t="shared" si="46"/>
        <v>140.4</v>
      </c>
      <c r="BB43" s="362">
        <f t="shared" si="23"/>
        <v>2.0999999999999943</v>
      </c>
      <c r="BC43" s="362"/>
      <c r="BD43" s="76">
        <f>'[8]COM 55 &amp; 65'!$J128</f>
        <v>39.1</v>
      </c>
      <c r="BE43" s="76">
        <f t="shared" si="47"/>
        <v>15.1</v>
      </c>
      <c r="BF43" s="363">
        <f t="shared" si="24"/>
        <v>-24</v>
      </c>
      <c r="BG43" s="244"/>
      <c r="BH43" s="244">
        <f t="shared" si="18"/>
        <v>1434.110999999996</v>
      </c>
      <c r="BI43" s="242">
        <f t="shared" si="19"/>
        <v>-15824.16</v>
      </c>
      <c r="BJ43" s="242"/>
      <c r="BK43" s="241">
        <f t="shared" si="20"/>
        <v>-14390</v>
      </c>
      <c r="BL43" s="262"/>
      <c r="BM43" s="36" t="s">
        <v>18</v>
      </c>
      <c r="BN43" s="4">
        <v>1986</v>
      </c>
      <c r="BO43" s="4">
        <v>3</v>
      </c>
    </row>
    <row r="44" spans="1:90" ht="12.75" customHeight="1">
      <c r="A44" s="22">
        <v>1986</v>
      </c>
      <c r="B44" s="4">
        <v>4</v>
      </c>
      <c r="C44" s="5">
        <v>415926</v>
      </c>
      <c r="D44" s="5">
        <v>95771</v>
      </c>
      <c r="E44" s="74">
        <f t="shared" si="7"/>
        <v>4342.8999999999996</v>
      </c>
      <c r="G44" s="347"/>
      <c r="J44" s="574">
        <f t="shared" si="21"/>
        <v>95771</v>
      </c>
      <c r="K44" s="4">
        <f>'[7]COM 55 &amp; 65'!$S129</f>
        <v>165.8</v>
      </c>
      <c r="L44" s="4">
        <f t="shared" si="41"/>
        <v>178.4</v>
      </c>
      <c r="M44" s="44">
        <f t="shared" si="8"/>
        <v>12.599999999999994</v>
      </c>
      <c r="N44" s="4">
        <f>'[7]COM 55 &amp; 65'!$J129</f>
        <v>18.5</v>
      </c>
      <c r="O44" s="4">
        <f t="shared" si="39"/>
        <v>9.5</v>
      </c>
      <c r="P44" s="41">
        <f t="shared" si="9"/>
        <v>-9</v>
      </c>
      <c r="Q44" s="474">
        <f t="shared" si="10"/>
        <v>8604.6659999999956</v>
      </c>
      <c r="R44" s="472">
        <f t="shared" si="11"/>
        <v>-5934.06</v>
      </c>
      <c r="S44" s="241">
        <f t="shared" si="12"/>
        <v>2671</v>
      </c>
      <c r="T44" s="13" t="s">
        <v>18</v>
      </c>
      <c r="U44" s="4">
        <v>1986</v>
      </c>
      <c r="V44" s="4">
        <v>4</v>
      </c>
      <c r="W44" s="242">
        <f t="shared" si="13"/>
        <v>4370.8116235603675</v>
      </c>
      <c r="X44" s="131">
        <f t="shared" si="42"/>
        <v>98.993511908972323</v>
      </c>
      <c r="Z44" s="175">
        <f t="shared" si="14"/>
        <v>418597</v>
      </c>
      <c r="AA44" s="12">
        <f t="shared" si="15"/>
        <v>2671</v>
      </c>
      <c r="AB44" s="379">
        <f t="shared" si="22"/>
        <v>418597</v>
      </c>
      <c r="AC44" s="107">
        <f>RESID!AC44</f>
        <v>30.75</v>
      </c>
      <c r="AD44" s="243">
        <f t="shared" si="16"/>
        <v>411462.40000000002</v>
      </c>
      <c r="AE44" s="243">
        <f t="shared" si="40"/>
        <v>37243.300000000047</v>
      </c>
      <c r="AG44" s="4">
        <f t="shared" si="17"/>
        <v>414105</v>
      </c>
      <c r="AX44" s="4">
        <v>1986</v>
      </c>
      <c r="AY44" s="4">
        <v>4</v>
      </c>
      <c r="AZ44" s="76">
        <f>'[8]COM 55 &amp; 65'!$S129</f>
        <v>187.2</v>
      </c>
      <c r="BA44" s="76">
        <f t="shared" si="46"/>
        <v>227.4</v>
      </c>
      <c r="BB44" s="362">
        <f t="shared" si="23"/>
        <v>40.200000000000017</v>
      </c>
      <c r="BC44" s="362"/>
      <c r="BD44" s="76">
        <f>'[8]COM 55 &amp; 65'!$J129</f>
        <v>6.8</v>
      </c>
      <c r="BE44" s="76">
        <f t="shared" si="47"/>
        <v>4.8</v>
      </c>
      <c r="BF44" s="363">
        <f t="shared" si="24"/>
        <v>-2</v>
      </c>
      <c r="BG44" s="244"/>
      <c r="BH44" s="244">
        <f t="shared" si="18"/>
        <v>27452.982000000011</v>
      </c>
      <c r="BI44" s="242">
        <f t="shared" si="19"/>
        <v>-1318.68</v>
      </c>
      <c r="BJ44" s="242"/>
      <c r="BK44" s="241">
        <f t="shared" si="20"/>
        <v>26134</v>
      </c>
      <c r="BL44" s="262"/>
      <c r="BM44" s="36" t="s">
        <v>18</v>
      </c>
      <c r="BN44" s="4">
        <v>1986</v>
      </c>
      <c r="BO44" s="4">
        <v>4</v>
      </c>
    </row>
    <row r="45" spans="1:90" ht="12.75" customHeight="1">
      <c r="A45" s="22">
        <v>1986</v>
      </c>
      <c r="B45" s="4">
        <v>5</v>
      </c>
      <c r="C45" s="5">
        <v>420014</v>
      </c>
      <c r="D45" s="5">
        <v>96055</v>
      </c>
      <c r="E45" s="74">
        <f t="shared" si="7"/>
        <v>4372.6000000000004</v>
      </c>
      <c r="G45" s="347"/>
      <c r="J45" s="574">
        <f t="shared" si="21"/>
        <v>96055</v>
      </c>
      <c r="K45" s="4">
        <f>'[7]COM 55 &amp; 65'!$S130</f>
        <v>238.1</v>
      </c>
      <c r="L45" s="4">
        <f t="shared" si="41"/>
        <v>273.89999999999998</v>
      </c>
      <c r="M45" s="44">
        <f t="shared" si="8"/>
        <v>35.799999999999983</v>
      </c>
      <c r="N45" s="4">
        <f>'[7]COM 55 &amp; 65'!$J130</f>
        <v>5.0999999999999996</v>
      </c>
      <c r="O45" s="4">
        <f t="shared" si="39"/>
        <v>2</v>
      </c>
      <c r="P45" s="41">
        <f t="shared" si="9"/>
        <v>-3.0999999999999996</v>
      </c>
      <c r="Q45" s="474">
        <f t="shared" si="10"/>
        <v>24448.177999999989</v>
      </c>
      <c r="R45" s="472">
        <f t="shared" si="11"/>
        <v>-2043.954</v>
      </c>
      <c r="S45" s="241">
        <f t="shared" si="12"/>
        <v>22404</v>
      </c>
      <c r="T45" s="13" t="s">
        <v>18</v>
      </c>
      <c r="U45" s="4">
        <v>1986</v>
      </c>
      <c r="V45" s="4">
        <v>5</v>
      </c>
      <c r="W45" s="242">
        <f t="shared" si="13"/>
        <v>4605.8820467440537</v>
      </c>
      <c r="X45" s="131">
        <f t="shared" si="42"/>
        <v>296.27987001660495</v>
      </c>
      <c r="Z45" s="175">
        <f t="shared" si="14"/>
        <v>442418</v>
      </c>
      <c r="AA45" s="12">
        <f t="shared" si="15"/>
        <v>22404</v>
      </c>
      <c r="AB45" s="379">
        <f t="shared" si="22"/>
        <v>442418</v>
      </c>
      <c r="AC45" s="107">
        <f>RESID!AC45</f>
        <v>29.45</v>
      </c>
      <c r="AD45" s="243">
        <f t="shared" si="16"/>
        <v>433848.1</v>
      </c>
      <c r="AE45" s="243">
        <f t="shared" si="40"/>
        <v>20240</v>
      </c>
      <c r="AG45" s="4">
        <f t="shared" si="17"/>
        <v>456990</v>
      </c>
      <c r="AX45" s="4">
        <v>1986</v>
      </c>
      <c r="AY45" s="4">
        <v>5</v>
      </c>
      <c r="AZ45" s="76">
        <f>'[8]COM 55 &amp; 65'!$S130</f>
        <v>386.1</v>
      </c>
      <c r="BA45" s="76">
        <f t="shared" si="46"/>
        <v>395.2</v>
      </c>
      <c r="BB45" s="362">
        <f t="shared" si="23"/>
        <v>9.0999999999999659</v>
      </c>
      <c r="BC45" s="362"/>
      <c r="BD45" s="76">
        <f>'[8]COM 55 &amp; 65'!$J130</f>
        <v>0.1</v>
      </c>
      <c r="BE45" s="76">
        <f t="shared" si="47"/>
        <v>0.2</v>
      </c>
      <c r="BF45" s="363">
        <f t="shared" si="24"/>
        <v>0.1</v>
      </c>
      <c r="BG45" s="244"/>
      <c r="BH45" s="244">
        <f t="shared" si="18"/>
        <v>6214.4809999999761</v>
      </c>
      <c r="BI45" s="242">
        <f t="shared" si="19"/>
        <v>65.934000000000012</v>
      </c>
      <c r="BJ45" s="242"/>
      <c r="BK45" s="241">
        <f t="shared" si="20"/>
        <v>6280</v>
      </c>
      <c r="BL45" s="262"/>
      <c r="BM45" s="36" t="s">
        <v>18</v>
      </c>
      <c r="BN45" s="4">
        <v>1986</v>
      </c>
      <c r="BO45" s="4">
        <v>5</v>
      </c>
    </row>
    <row r="46" spans="1:90" ht="12.75" customHeight="1">
      <c r="A46" s="22">
        <v>1986</v>
      </c>
      <c r="B46" s="4">
        <v>6</v>
      </c>
      <c r="C46" s="5">
        <v>493223</v>
      </c>
      <c r="D46" s="5">
        <v>96471</v>
      </c>
      <c r="E46" s="74">
        <f t="shared" si="7"/>
        <v>5112.7</v>
      </c>
      <c r="G46" s="347"/>
      <c r="J46" s="574">
        <f t="shared" si="21"/>
        <v>96471</v>
      </c>
      <c r="K46" s="4">
        <f>'[7]COM 55 &amp; 65'!$S131</f>
        <v>446.2</v>
      </c>
      <c r="L46" s="4">
        <f t="shared" si="41"/>
        <v>442.7</v>
      </c>
      <c r="M46" s="44">
        <f t="shared" si="8"/>
        <v>-3.5</v>
      </c>
      <c r="N46" s="4">
        <f>'[7]COM 55 &amp; 65'!$J131</f>
        <v>0.1</v>
      </c>
      <c r="O46" s="4">
        <f t="shared" si="39"/>
        <v>0.1</v>
      </c>
      <c r="P46" s="41">
        <f t="shared" si="9"/>
        <v>0</v>
      </c>
      <c r="Q46" s="474">
        <f t="shared" si="10"/>
        <v>-2390.1849999999999</v>
      </c>
      <c r="R46" s="472">
        <f t="shared" si="11"/>
        <v>0</v>
      </c>
      <c r="S46" s="241">
        <f t="shared" si="12"/>
        <v>-2390</v>
      </c>
      <c r="T46" s="13" t="s">
        <v>18</v>
      </c>
      <c r="U46" s="4">
        <v>1986</v>
      </c>
      <c r="V46" s="4">
        <v>6</v>
      </c>
      <c r="W46" s="242">
        <f t="shared" si="13"/>
        <v>5087.8813322138258</v>
      </c>
      <c r="X46" s="131">
        <f t="shared" ref="X46:X61" si="80">W46-W34</f>
        <v>187.54965001774053</v>
      </c>
      <c r="Z46" s="175">
        <f t="shared" si="14"/>
        <v>490833</v>
      </c>
      <c r="AA46" s="12">
        <f t="shared" si="15"/>
        <v>-2390</v>
      </c>
      <c r="AB46" s="379">
        <f t="shared" si="22"/>
        <v>490833</v>
      </c>
      <c r="AC46" s="107">
        <f>RESID!AC46</f>
        <v>30.8</v>
      </c>
      <c r="AD46" s="243">
        <f t="shared" si="16"/>
        <v>487137.8</v>
      </c>
      <c r="AE46" s="243">
        <f t="shared" si="40"/>
        <v>22767.599999999977</v>
      </c>
      <c r="AG46" s="4">
        <f t="shared" si="17"/>
        <v>484777</v>
      </c>
      <c r="AX46" s="4">
        <v>1986</v>
      </c>
      <c r="AY46" s="4">
        <v>6</v>
      </c>
      <c r="AZ46" s="76">
        <f>'[8]COM 55 &amp; 65'!$S131</f>
        <v>498.9</v>
      </c>
      <c r="BA46" s="76">
        <f t="shared" si="46"/>
        <v>485.1</v>
      </c>
      <c r="BB46" s="362">
        <f t="shared" si="23"/>
        <v>-13.799999999999955</v>
      </c>
      <c r="BC46" s="362"/>
      <c r="BD46" s="76">
        <f>'[8]COM 55 &amp; 65'!$J131</f>
        <v>0</v>
      </c>
      <c r="BE46" s="76">
        <f t="shared" si="47"/>
        <v>0</v>
      </c>
      <c r="BF46" s="363">
        <f t="shared" si="24"/>
        <v>0</v>
      </c>
      <c r="BG46" s="244"/>
      <c r="BH46" s="244">
        <f t="shared" si="18"/>
        <v>-9424.1579999999685</v>
      </c>
      <c r="BI46" s="242">
        <f t="shared" si="19"/>
        <v>0</v>
      </c>
      <c r="BJ46" s="242"/>
      <c r="BK46" s="241">
        <f t="shared" si="20"/>
        <v>-9424</v>
      </c>
      <c r="BL46" s="262"/>
      <c r="BM46" s="36" t="s">
        <v>18</v>
      </c>
      <c r="BN46" s="4">
        <v>1986</v>
      </c>
      <c r="BO46" s="4">
        <v>6</v>
      </c>
    </row>
    <row r="47" spans="1:90" ht="12.75" customHeight="1">
      <c r="A47" s="22">
        <v>1986</v>
      </c>
      <c r="B47" s="4">
        <v>7</v>
      </c>
      <c r="C47" s="5">
        <v>527036</v>
      </c>
      <c r="D47" s="5">
        <v>96962</v>
      </c>
      <c r="E47" s="74">
        <f t="shared" si="7"/>
        <v>5435.5</v>
      </c>
      <c r="G47" s="347"/>
      <c r="J47" s="574">
        <f t="shared" si="21"/>
        <v>96962</v>
      </c>
      <c r="K47" s="4">
        <f>'[7]COM 55 &amp; 65'!$S132</f>
        <v>506</v>
      </c>
      <c r="L47" s="4">
        <f t="shared" si="41"/>
        <v>516.1</v>
      </c>
      <c r="M47" s="44">
        <f t="shared" si="8"/>
        <v>10.100000000000023</v>
      </c>
      <c r="N47" s="4">
        <f>'[7]COM 55 &amp; 65'!$J132</f>
        <v>0</v>
      </c>
      <c r="O47" s="4">
        <f t="shared" si="39"/>
        <v>0</v>
      </c>
      <c r="P47" s="41">
        <f t="shared" si="9"/>
        <v>0</v>
      </c>
      <c r="Q47" s="474">
        <f t="shared" si="10"/>
        <v>6897.3910000000151</v>
      </c>
      <c r="R47" s="472">
        <f t="shared" si="11"/>
        <v>0</v>
      </c>
      <c r="S47" s="241">
        <f t="shared" si="12"/>
        <v>6897</v>
      </c>
      <c r="T47" s="13" t="s">
        <v>18</v>
      </c>
      <c r="U47" s="4">
        <v>1986</v>
      </c>
      <c r="V47" s="4">
        <v>7</v>
      </c>
      <c r="W47" s="242">
        <f t="shared" si="13"/>
        <v>5506.6211505538258</v>
      </c>
      <c r="X47" s="131">
        <f t="shared" si="80"/>
        <v>315.96301805649273</v>
      </c>
      <c r="Z47" s="175">
        <f t="shared" si="14"/>
        <v>533933</v>
      </c>
      <c r="AA47" s="12">
        <f t="shared" si="15"/>
        <v>6897</v>
      </c>
      <c r="AB47" s="379">
        <f t="shared" si="22"/>
        <v>533933</v>
      </c>
      <c r="AC47" s="107">
        <f>RESID!AC47</f>
        <v>30.4</v>
      </c>
      <c r="AD47" s="243">
        <f t="shared" si="16"/>
        <v>527382.69999999995</v>
      </c>
      <c r="AE47" s="243">
        <f t="shared" si="40"/>
        <v>45508.899999999965</v>
      </c>
      <c r="AG47" s="4">
        <f t="shared" si="17"/>
        <v>534284</v>
      </c>
      <c r="AX47" s="4">
        <v>1986</v>
      </c>
      <c r="AY47" s="4">
        <v>7</v>
      </c>
      <c r="AZ47" s="76">
        <f>'[8]COM 55 &amp; 65'!$S132</f>
        <v>546</v>
      </c>
      <c r="BA47" s="76">
        <f t="shared" si="46"/>
        <v>546.1</v>
      </c>
      <c r="BB47" s="362">
        <f t="shared" si="23"/>
        <v>0.10000000000002274</v>
      </c>
      <c r="BC47" s="362"/>
      <c r="BD47" s="76">
        <f>'[8]COM 55 &amp; 65'!$J132</f>
        <v>0</v>
      </c>
      <c r="BE47" s="76">
        <f t="shared" si="47"/>
        <v>0</v>
      </c>
      <c r="BF47" s="363">
        <f t="shared" si="24"/>
        <v>0</v>
      </c>
      <c r="BG47" s="244"/>
      <c r="BH47" s="244">
        <f t="shared" si="18"/>
        <v>68.291000000015529</v>
      </c>
      <c r="BI47" s="242">
        <f t="shared" si="19"/>
        <v>0</v>
      </c>
      <c r="BJ47" s="242"/>
      <c r="BK47" s="241">
        <f t="shared" si="20"/>
        <v>68</v>
      </c>
      <c r="BL47" s="262"/>
      <c r="BM47" s="36" t="s">
        <v>18</v>
      </c>
      <c r="BN47" s="4">
        <v>1986</v>
      </c>
      <c r="BO47" s="4">
        <v>7</v>
      </c>
    </row>
    <row r="48" spans="1:90" ht="12.75" customHeight="1">
      <c r="A48" s="22">
        <v>1986</v>
      </c>
      <c r="B48" s="4">
        <v>8</v>
      </c>
      <c r="C48" s="5">
        <v>545359</v>
      </c>
      <c r="D48" s="5">
        <v>97439</v>
      </c>
      <c r="E48" s="74">
        <f t="shared" si="7"/>
        <v>5596.9</v>
      </c>
      <c r="G48" s="347"/>
      <c r="J48" s="574">
        <f t="shared" si="21"/>
        <v>97439</v>
      </c>
      <c r="K48" s="4">
        <f>'[7]COM 55 &amp; 65'!$S133</f>
        <v>555.20000000000005</v>
      </c>
      <c r="L48" s="4">
        <f t="shared" si="41"/>
        <v>542</v>
      </c>
      <c r="M48" s="44">
        <f t="shared" si="8"/>
        <v>-13.200000000000045</v>
      </c>
      <c r="N48" s="4">
        <f>'[7]COM 55 &amp; 65'!$J133</f>
        <v>0</v>
      </c>
      <c r="O48" s="4">
        <f t="shared" si="39"/>
        <v>0</v>
      </c>
      <c r="P48" s="41">
        <f t="shared" si="9"/>
        <v>0</v>
      </c>
      <c r="Q48" s="474">
        <f t="shared" si="10"/>
        <v>-9014.4120000000312</v>
      </c>
      <c r="R48" s="472">
        <f t="shared" si="11"/>
        <v>0</v>
      </c>
      <c r="S48" s="241">
        <f t="shared" si="12"/>
        <v>-9014</v>
      </c>
      <c r="T48" s="13" t="s">
        <v>18</v>
      </c>
      <c r="U48" s="4">
        <v>1986</v>
      </c>
      <c r="V48" s="4">
        <v>8</v>
      </c>
      <c r="W48" s="242">
        <f t="shared" si="13"/>
        <v>5504.4181487905253</v>
      </c>
      <c r="X48" s="131">
        <f t="shared" si="80"/>
        <v>147.09906984315694</v>
      </c>
      <c r="Z48" s="175">
        <f t="shared" si="14"/>
        <v>536345</v>
      </c>
      <c r="AA48" s="12">
        <f t="shared" si="15"/>
        <v>-9014</v>
      </c>
      <c r="AB48" s="379">
        <f t="shared" si="22"/>
        <v>536345</v>
      </c>
      <c r="AC48" s="107">
        <f>RESID!AC48</f>
        <v>31.2</v>
      </c>
      <c r="AD48" s="243">
        <f t="shared" si="16"/>
        <v>531725</v>
      </c>
      <c r="AE48" s="243">
        <f t="shared" si="40"/>
        <v>56391</v>
      </c>
      <c r="AG48" s="4">
        <f t="shared" si="17"/>
        <v>522936</v>
      </c>
      <c r="AX48" s="4">
        <v>1986</v>
      </c>
      <c r="AY48" s="4">
        <v>8</v>
      </c>
      <c r="AZ48" s="76">
        <f>'[8]COM 55 &amp; 65'!$S133</f>
        <v>551.9</v>
      </c>
      <c r="BA48" s="76">
        <f t="shared" si="46"/>
        <v>549</v>
      </c>
      <c r="BB48" s="362">
        <f t="shared" si="23"/>
        <v>-2.8999999999999773</v>
      </c>
      <c r="BC48" s="362"/>
      <c r="BD48" s="76">
        <f>'[8]COM 55 &amp; 65'!$J133</f>
        <v>0</v>
      </c>
      <c r="BE48" s="76">
        <f t="shared" si="47"/>
        <v>0</v>
      </c>
      <c r="BF48" s="363">
        <f t="shared" si="24"/>
        <v>0</v>
      </c>
      <c r="BG48" s="244"/>
      <c r="BH48" s="244">
        <f t="shared" si="18"/>
        <v>-1980.4389999999844</v>
      </c>
      <c r="BI48" s="242">
        <f t="shared" si="19"/>
        <v>0</v>
      </c>
      <c r="BJ48" s="242"/>
      <c r="BK48" s="241">
        <f t="shared" si="20"/>
        <v>-1980</v>
      </c>
      <c r="BL48" s="262"/>
      <c r="BM48" s="36" t="s">
        <v>18</v>
      </c>
      <c r="BN48" s="4">
        <v>1986</v>
      </c>
      <c r="BO48" s="4">
        <v>8</v>
      </c>
    </row>
    <row r="49" spans="1:72" ht="12.75" customHeight="1">
      <c r="A49" s="22">
        <v>1986</v>
      </c>
      <c r="B49" s="4">
        <v>9</v>
      </c>
      <c r="C49" s="5">
        <v>535182</v>
      </c>
      <c r="D49" s="5">
        <v>97968</v>
      </c>
      <c r="E49" s="74">
        <f t="shared" si="7"/>
        <v>5462.8</v>
      </c>
      <c r="G49" s="347"/>
      <c r="J49" s="574">
        <f t="shared" si="21"/>
        <v>97968</v>
      </c>
      <c r="K49" s="4">
        <f>'[7]COM 55 &amp; 65'!$S134</f>
        <v>534.1</v>
      </c>
      <c r="L49" s="4">
        <f t="shared" si="41"/>
        <v>531.20000000000005</v>
      </c>
      <c r="M49" s="44">
        <f t="shared" ref="M49:M80" si="81">(L49-K49)</f>
        <v>-2.8999999999999773</v>
      </c>
      <c r="N49" s="4">
        <f>'[7]COM 55 &amp; 65'!$J134</f>
        <v>0</v>
      </c>
      <c r="O49" s="4">
        <f t="shared" si="39"/>
        <v>0</v>
      </c>
      <c r="P49" s="41">
        <f t="shared" ref="P49:P80" si="82">(O49-N49)</f>
        <v>0</v>
      </c>
      <c r="Q49" s="474">
        <f t="shared" si="10"/>
        <v>-1980.4389999999844</v>
      </c>
      <c r="R49" s="472">
        <f t="shared" si="11"/>
        <v>0</v>
      </c>
      <c r="S49" s="241">
        <f t="shared" si="12"/>
        <v>-1980</v>
      </c>
      <c r="T49" s="13" t="s">
        <v>18</v>
      </c>
      <c r="U49" s="4">
        <v>1986</v>
      </c>
      <c r="V49" s="4">
        <v>9</v>
      </c>
      <c r="W49" s="242">
        <f t="shared" si="13"/>
        <v>5442.6139147476724</v>
      </c>
      <c r="X49" s="131">
        <f t="shared" si="80"/>
        <v>140.6279586024084</v>
      </c>
      <c r="Z49" s="175">
        <f t="shared" si="14"/>
        <v>533202</v>
      </c>
      <c r="AA49" s="12">
        <f t="shared" si="15"/>
        <v>-1980</v>
      </c>
      <c r="AB49" s="379">
        <f t="shared" si="22"/>
        <v>533202</v>
      </c>
      <c r="AC49" s="107">
        <f>RESID!AC49</f>
        <v>30.55</v>
      </c>
      <c r="AD49" s="243">
        <f t="shared" si="16"/>
        <v>532904.6</v>
      </c>
      <c r="AE49" s="243">
        <f t="shared" si="40"/>
        <v>54769</v>
      </c>
      <c r="AG49" s="4">
        <f t="shared" si="17"/>
        <v>530933</v>
      </c>
      <c r="AX49" s="4">
        <v>1986</v>
      </c>
      <c r="AY49" s="4">
        <v>9</v>
      </c>
      <c r="AZ49" s="76">
        <f>'[8]COM 55 &amp; 65'!$S134</f>
        <v>505.1</v>
      </c>
      <c r="BA49" s="76">
        <f t="shared" si="46"/>
        <v>487.9</v>
      </c>
      <c r="BB49" s="362">
        <f t="shared" si="23"/>
        <v>-17.200000000000045</v>
      </c>
      <c r="BC49" s="362"/>
      <c r="BD49" s="76">
        <f>'[8]COM 55 &amp; 65'!$J134</f>
        <v>0</v>
      </c>
      <c r="BE49" s="76">
        <f t="shared" si="47"/>
        <v>0</v>
      </c>
      <c r="BF49" s="363">
        <f t="shared" si="24"/>
        <v>0</v>
      </c>
      <c r="BG49" s="244"/>
      <c r="BH49" s="244">
        <f t="shared" si="18"/>
        <v>-11746.052000000031</v>
      </c>
      <c r="BI49" s="242">
        <f t="shared" si="19"/>
        <v>0</v>
      </c>
      <c r="BJ49" s="242"/>
      <c r="BK49" s="241">
        <f t="shared" si="20"/>
        <v>-11746</v>
      </c>
      <c r="BL49" s="262"/>
      <c r="BM49" s="36" t="s">
        <v>18</v>
      </c>
      <c r="BN49" s="4">
        <v>1986</v>
      </c>
      <c r="BO49" s="4">
        <v>9</v>
      </c>
    </row>
    <row r="50" spans="1:72" ht="12.75" customHeight="1">
      <c r="A50" s="22">
        <v>1986</v>
      </c>
      <c r="B50" s="4">
        <v>10</v>
      </c>
      <c r="C50" s="5">
        <v>520334</v>
      </c>
      <c r="D50" s="5">
        <v>98384</v>
      </c>
      <c r="E50" s="74">
        <f t="shared" si="7"/>
        <v>5288.8</v>
      </c>
      <c r="G50" s="347"/>
      <c r="J50" s="574">
        <f t="shared" si="21"/>
        <v>98384</v>
      </c>
      <c r="K50" s="4">
        <f>'[7]COM 55 &amp; 65'!$S135</f>
        <v>480.2</v>
      </c>
      <c r="L50" s="4">
        <f t="shared" si="41"/>
        <v>431.2</v>
      </c>
      <c r="M50" s="44">
        <f t="shared" si="81"/>
        <v>-49</v>
      </c>
      <c r="N50" s="4">
        <f>'[7]COM 55 &amp; 65'!$J135</f>
        <v>0.2</v>
      </c>
      <c r="O50" s="4">
        <f t="shared" si="39"/>
        <v>0.2</v>
      </c>
      <c r="P50" s="41">
        <f t="shared" si="82"/>
        <v>0</v>
      </c>
      <c r="Q50" s="474">
        <f t="shared" si="10"/>
        <v>-33462.589999999997</v>
      </c>
      <c r="R50" s="472">
        <f t="shared" si="11"/>
        <v>0</v>
      </c>
      <c r="S50" s="241">
        <f t="shared" si="12"/>
        <v>-33463</v>
      </c>
      <c r="T50" s="13" t="s">
        <v>18</v>
      </c>
      <c r="U50" s="4">
        <v>1986</v>
      </c>
      <c r="V50" s="4">
        <v>10</v>
      </c>
      <c r="W50" s="242">
        <f t="shared" si="13"/>
        <v>4948.6806797853305</v>
      </c>
      <c r="X50" s="131">
        <f t="shared" si="80"/>
        <v>160.88795699448292</v>
      </c>
      <c r="Z50" s="175">
        <f t="shared" si="14"/>
        <v>486871</v>
      </c>
      <c r="AA50" s="12">
        <f t="shared" si="15"/>
        <v>-33463</v>
      </c>
      <c r="AB50" s="379">
        <f t="shared" si="22"/>
        <v>486871</v>
      </c>
      <c r="AC50" s="107">
        <f>RESID!AC50</f>
        <v>29.65</v>
      </c>
      <c r="AD50" s="243">
        <f t="shared" si="16"/>
        <v>533846.9</v>
      </c>
      <c r="AE50" s="243">
        <f t="shared" si="40"/>
        <v>72095.900000000023</v>
      </c>
      <c r="AG50" s="4">
        <f t="shared" si="17"/>
        <v>499515</v>
      </c>
      <c r="AX50" s="4">
        <v>1986</v>
      </c>
      <c r="AY50" s="4">
        <v>10</v>
      </c>
      <c r="AZ50" s="76">
        <f>'[8]COM 55 &amp; 65'!$S135</f>
        <v>370.6</v>
      </c>
      <c r="BA50" s="76">
        <f t="shared" si="46"/>
        <v>332.5</v>
      </c>
      <c r="BB50" s="362">
        <f t="shared" si="23"/>
        <v>-38.100000000000023</v>
      </c>
      <c r="BC50" s="362"/>
      <c r="BD50" s="76">
        <f>'[8]COM 55 &amp; 65'!$J135</f>
        <v>1.5</v>
      </c>
      <c r="BE50" s="76">
        <f t="shared" si="47"/>
        <v>2</v>
      </c>
      <c r="BF50" s="363">
        <f t="shared" si="24"/>
        <v>0.5</v>
      </c>
      <c r="BG50" s="244"/>
      <c r="BH50" s="244">
        <f t="shared" si="18"/>
        <v>-26018.871000000014</v>
      </c>
      <c r="BI50" s="242">
        <f t="shared" si="19"/>
        <v>329.67</v>
      </c>
      <c r="BJ50" s="242"/>
      <c r="BK50" s="241">
        <f t="shared" si="20"/>
        <v>-25689</v>
      </c>
      <c r="BL50" s="262"/>
      <c r="BM50" s="36" t="s">
        <v>18</v>
      </c>
      <c r="BN50" s="4">
        <v>1986</v>
      </c>
      <c r="BO50" s="4">
        <v>10</v>
      </c>
    </row>
    <row r="51" spans="1:72" ht="12.75" customHeight="1">
      <c r="A51" s="22">
        <v>1986</v>
      </c>
      <c r="B51" s="4">
        <v>11</v>
      </c>
      <c r="C51" s="5">
        <v>479072</v>
      </c>
      <c r="D51" s="5">
        <v>99063</v>
      </c>
      <c r="E51" s="74">
        <f t="shared" si="7"/>
        <v>4836</v>
      </c>
      <c r="G51" s="347"/>
      <c r="J51" s="574">
        <f t="shared" si="21"/>
        <v>99063</v>
      </c>
      <c r="K51" s="4">
        <f>'[7]COM 55 &amp; 65'!$S136</f>
        <v>318.7</v>
      </c>
      <c r="L51" s="4">
        <f t="shared" si="41"/>
        <v>251.9</v>
      </c>
      <c r="M51" s="44">
        <f t="shared" si="81"/>
        <v>-66.799999999999983</v>
      </c>
      <c r="N51" s="4">
        <f>'[7]COM 55 &amp; 65'!$J136</f>
        <v>1.5</v>
      </c>
      <c r="O51" s="4">
        <f t="shared" si="39"/>
        <v>6.3</v>
      </c>
      <c r="P51" s="41">
        <f t="shared" si="82"/>
        <v>4.8</v>
      </c>
      <c r="Q51" s="474">
        <f t="shared" si="10"/>
        <v>-45618.387999999984</v>
      </c>
      <c r="R51" s="472">
        <f t="shared" si="11"/>
        <v>3164.8319999999999</v>
      </c>
      <c r="S51" s="241">
        <f t="shared" si="12"/>
        <v>-42454</v>
      </c>
      <c r="T51" s="13" t="s">
        <v>18</v>
      </c>
      <c r="U51" s="4">
        <v>1986</v>
      </c>
      <c r="V51" s="4">
        <v>11</v>
      </c>
      <c r="W51" s="242">
        <f t="shared" si="13"/>
        <v>4407.4780695113213</v>
      </c>
      <c r="X51" s="131">
        <f t="shared" si="80"/>
        <v>512.30424625115029</v>
      </c>
      <c r="Z51" s="175">
        <f t="shared" si="14"/>
        <v>436618</v>
      </c>
      <c r="AA51" s="12">
        <f t="shared" si="15"/>
        <v>-42454</v>
      </c>
      <c r="AB51" s="379">
        <f t="shared" si="22"/>
        <v>436618</v>
      </c>
      <c r="AC51" s="107">
        <f>RESID!AC51</f>
        <v>30.05</v>
      </c>
      <c r="AD51" s="243">
        <f t="shared" si="16"/>
        <v>484970.7</v>
      </c>
      <c r="AE51" s="243">
        <f t="shared" si="40"/>
        <v>36550.400000000023</v>
      </c>
      <c r="AG51" s="4">
        <f t="shared" si="17"/>
        <v>441994</v>
      </c>
      <c r="AX51" s="4">
        <v>1986</v>
      </c>
      <c r="AY51" s="4">
        <v>11</v>
      </c>
      <c r="AZ51" s="76">
        <f>'[8]COM 55 &amp; 65'!$S136</f>
        <v>316.3</v>
      </c>
      <c r="BA51" s="76">
        <f t="shared" si="46"/>
        <v>146</v>
      </c>
      <c r="BB51" s="362">
        <f t="shared" si="23"/>
        <v>-170.3</v>
      </c>
      <c r="BC51" s="362"/>
      <c r="BD51" s="76">
        <f>'[8]COM 55 &amp; 65'!$J136</f>
        <v>1.6</v>
      </c>
      <c r="BE51" s="76">
        <f t="shared" si="47"/>
        <v>14</v>
      </c>
      <c r="BF51" s="363">
        <f t="shared" si="24"/>
        <v>12.4</v>
      </c>
      <c r="BG51" s="244"/>
      <c r="BH51" s="244">
        <f t="shared" si="18"/>
        <v>-116299.573</v>
      </c>
      <c r="BI51" s="242">
        <f t="shared" si="19"/>
        <v>8175.8160000000007</v>
      </c>
      <c r="BJ51" s="242"/>
      <c r="BK51" s="241">
        <f t="shared" si="20"/>
        <v>-108124</v>
      </c>
      <c r="BL51" s="262"/>
      <c r="BM51" s="36" t="s">
        <v>18</v>
      </c>
      <c r="BN51" s="4">
        <v>1986</v>
      </c>
      <c r="BO51" s="4">
        <v>11</v>
      </c>
    </row>
    <row r="52" spans="1:72" s="89" customFormat="1" ht="12.75" customHeight="1">
      <c r="A52" s="225">
        <v>1986</v>
      </c>
      <c r="B52" s="89">
        <v>12</v>
      </c>
      <c r="C52" s="103">
        <v>475735</v>
      </c>
      <c r="D52" s="103">
        <v>99576</v>
      </c>
      <c r="E52" s="109">
        <f t="shared" si="7"/>
        <v>4777.6000000000004</v>
      </c>
      <c r="F52" s="90"/>
      <c r="G52" s="348"/>
      <c r="J52" s="575">
        <f t="shared" si="21"/>
        <v>99576</v>
      </c>
      <c r="K52" s="89">
        <f>'[7]COM 55 &amp; 65'!$S137</f>
        <v>266.7</v>
      </c>
      <c r="L52" s="89">
        <f t="shared" si="41"/>
        <v>119.4</v>
      </c>
      <c r="M52" s="93">
        <f t="shared" si="81"/>
        <v>-147.29999999999998</v>
      </c>
      <c r="N52" s="89">
        <f>'[7]COM 55 &amp; 65'!$J137</f>
        <v>5.6</v>
      </c>
      <c r="O52" s="89">
        <f t="shared" si="39"/>
        <v>30.1</v>
      </c>
      <c r="P52" s="94">
        <f t="shared" si="82"/>
        <v>24.5</v>
      </c>
      <c r="Q52" s="475">
        <f t="shared" si="10"/>
        <v>-100592.64299999998</v>
      </c>
      <c r="R52" s="473">
        <f t="shared" si="11"/>
        <v>16153.83</v>
      </c>
      <c r="S52" s="329">
        <f t="shared" si="12"/>
        <v>-84439</v>
      </c>
      <c r="T52" s="90" t="s">
        <v>18</v>
      </c>
      <c r="U52" s="89">
        <v>1986</v>
      </c>
      <c r="V52" s="89">
        <v>12</v>
      </c>
      <c r="W52" s="328">
        <f t="shared" si="13"/>
        <v>3929.6215955651965</v>
      </c>
      <c r="X52" s="133">
        <f t="shared" si="80"/>
        <v>304.25489465546025</v>
      </c>
      <c r="Z52" s="176">
        <f t="shared" si="14"/>
        <v>391296</v>
      </c>
      <c r="AA52" s="105">
        <f t="shared" si="15"/>
        <v>-84439</v>
      </c>
      <c r="AB52" s="517">
        <f t="shared" si="22"/>
        <v>391296</v>
      </c>
      <c r="AC52" s="110">
        <f>RESID!AC52</f>
        <v>31.6</v>
      </c>
      <c r="AD52" s="331">
        <f t="shared" si="16"/>
        <v>457970.2</v>
      </c>
      <c r="AE52" s="331">
        <f t="shared" si="40"/>
        <v>51598.400000000023</v>
      </c>
      <c r="AG52" s="89">
        <f t="shared" si="17"/>
        <v>376684</v>
      </c>
      <c r="AX52" s="89">
        <v>1986</v>
      </c>
      <c r="AY52" s="89">
        <v>12</v>
      </c>
      <c r="AZ52" s="92">
        <f>'[8]COM 55 &amp; 65'!$S137</f>
        <v>118.3</v>
      </c>
      <c r="BA52" s="92">
        <f t="shared" si="46"/>
        <v>75.7</v>
      </c>
      <c r="BB52" s="364">
        <f t="shared" si="23"/>
        <v>-42.599999999999994</v>
      </c>
      <c r="BC52" s="364"/>
      <c r="BD52" s="92">
        <f>'[8]COM 55 &amp; 65'!$J137</f>
        <v>13.3</v>
      </c>
      <c r="BE52" s="92">
        <f t="shared" si="47"/>
        <v>44.3</v>
      </c>
      <c r="BF52" s="365">
        <f t="shared" si="24"/>
        <v>30.999999999999996</v>
      </c>
      <c r="BG52" s="327"/>
      <c r="BH52" s="327">
        <f t="shared" si="18"/>
        <v>-29091.965999999993</v>
      </c>
      <c r="BI52" s="328">
        <f t="shared" si="19"/>
        <v>20439.539999999997</v>
      </c>
      <c r="BJ52" s="328"/>
      <c r="BK52" s="329">
        <f t="shared" si="20"/>
        <v>-8652</v>
      </c>
      <c r="BL52" s="332"/>
      <c r="BM52" s="113" t="s">
        <v>18</v>
      </c>
      <c r="BN52" s="89">
        <v>1986</v>
      </c>
      <c r="BO52" s="89">
        <v>12</v>
      </c>
      <c r="BT52" s="96"/>
    </row>
    <row r="53" spans="1:72" ht="12.75" customHeight="1">
      <c r="A53" s="22">
        <v>1987</v>
      </c>
      <c r="B53" s="4">
        <v>1</v>
      </c>
      <c r="C53" s="5">
        <v>433548</v>
      </c>
      <c r="D53" s="5">
        <v>99818</v>
      </c>
      <c r="E53" s="74">
        <f t="shared" si="7"/>
        <v>4343.3999999999996</v>
      </c>
      <c r="G53" s="347"/>
      <c r="J53" s="574">
        <f t="shared" si="21"/>
        <v>99818</v>
      </c>
      <c r="K53" s="4">
        <f>'[7]COM 55 &amp; 65'!$S138</f>
        <v>84.1</v>
      </c>
      <c r="L53" s="4">
        <f t="shared" si="41"/>
        <v>70.8</v>
      </c>
      <c r="M53" s="44">
        <f t="shared" si="81"/>
        <v>-13.299999999999997</v>
      </c>
      <c r="N53" s="4">
        <f>'[7]COM 55 &amp; 65'!$J138</f>
        <v>35.5</v>
      </c>
      <c r="O53" s="4">
        <f t="shared" si="39"/>
        <v>54.9</v>
      </c>
      <c r="P53" s="41">
        <f t="shared" si="82"/>
        <v>19.399999999999999</v>
      </c>
      <c r="Q53" s="474">
        <f t="shared" si="10"/>
        <v>-9082.7029999999977</v>
      </c>
      <c r="R53" s="472">
        <f t="shared" si="11"/>
        <v>12791.196</v>
      </c>
      <c r="S53" s="241">
        <f t="shared" si="12"/>
        <v>3708</v>
      </c>
      <c r="T53" s="13" t="s">
        <v>18</v>
      </c>
      <c r="U53" s="4">
        <v>1987</v>
      </c>
      <c r="V53" s="4">
        <v>1</v>
      </c>
      <c r="W53" s="242">
        <f t="shared" si="13"/>
        <v>4380.5325692760825</v>
      </c>
      <c r="X53" s="131">
        <f t="shared" si="80"/>
        <v>328.70714136698871</v>
      </c>
      <c r="Z53" s="175">
        <f t="shared" si="14"/>
        <v>437256</v>
      </c>
      <c r="AA53" s="12">
        <f t="shared" si="15"/>
        <v>3708</v>
      </c>
      <c r="AB53" s="379">
        <f t="shared" si="22"/>
        <v>437256</v>
      </c>
      <c r="AC53" s="107">
        <f>RESID!AC53</f>
        <v>32</v>
      </c>
      <c r="AD53" s="243">
        <f t="shared" si="16"/>
        <v>412141.6</v>
      </c>
      <c r="AE53" s="243">
        <f t="shared" si="40"/>
        <v>28597.299999999988</v>
      </c>
      <c r="AG53" s="4">
        <f t="shared" si="17"/>
        <v>415666</v>
      </c>
      <c r="AX53" s="4">
        <v>1987</v>
      </c>
      <c r="AY53" s="4">
        <v>1</v>
      </c>
      <c r="AZ53" s="76">
        <f>'[8]COM 55 &amp; 65'!$S138</f>
        <v>48.1</v>
      </c>
      <c r="BA53" s="76">
        <f t="shared" si="46"/>
        <v>72.3</v>
      </c>
      <c r="BB53" s="362">
        <f t="shared" si="23"/>
        <v>24.199999999999996</v>
      </c>
      <c r="BC53" s="362"/>
      <c r="BD53" s="76">
        <f>'[8]COM 55 &amp; 65'!$J138</f>
        <v>80.099999999999994</v>
      </c>
      <c r="BE53" s="76">
        <f t="shared" si="47"/>
        <v>52.4</v>
      </c>
      <c r="BF53" s="363">
        <f t="shared" si="24"/>
        <v>-27.699999999999996</v>
      </c>
      <c r="BG53" s="244"/>
      <c r="BH53" s="244">
        <f t="shared" si="18"/>
        <v>16526.421999999995</v>
      </c>
      <c r="BI53" s="242">
        <f t="shared" si="19"/>
        <v>-18263.717999999997</v>
      </c>
      <c r="BJ53" s="242"/>
      <c r="BK53" s="241">
        <f t="shared" si="20"/>
        <v>-1737</v>
      </c>
      <c r="BL53" s="262"/>
      <c r="BM53" s="36" t="s">
        <v>18</v>
      </c>
      <c r="BN53" s="4">
        <v>1987</v>
      </c>
      <c r="BO53" s="4">
        <v>1</v>
      </c>
    </row>
    <row r="54" spans="1:72" ht="12.75" customHeight="1">
      <c r="A54" s="22">
        <v>1987</v>
      </c>
      <c r="B54" s="4">
        <v>2</v>
      </c>
      <c r="C54" s="5">
        <v>404059</v>
      </c>
      <c r="D54" s="5">
        <v>100355</v>
      </c>
      <c r="E54" s="74">
        <f t="shared" si="7"/>
        <v>4026.3</v>
      </c>
      <c r="G54" s="347"/>
      <c r="J54" s="574">
        <f t="shared" si="21"/>
        <v>100355</v>
      </c>
      <c r="K54" s="4">
        <f>'[7]COM 55 &amp; 65'!$S139</f>
        <v>48.5</v>
      </c>
      <c r="L54" s="4">
        <f t="shared" si="41"/>
        <v>62.7</v>
      </c>
      <c r="M54" s="44">
        <f t="shared" si="81"/>
        <v>14.200000000000003</v>
      </c>
      <c r="N54" s="4">
        <f>'[7]COM 55 &amp; 65'!$J139</f>
        <v>69.400000000000006</v>
      </c>
      <c r="O54" s="4">
        <f t="shared" si="39"/>
        <v>46.9</v>
      </c>
      <c r="P54" s="41">
        <f t="shared" si="82"/>
        <v>-22.500000000000007</v>
      </c>
      <c r="Q54" s="474">
        <f t="shared" si="10"/>
        <v>9697.3220000000019</v>
      </c>
      <c r="R54" s="472">
        <f t="shared" si="11"/>
        <v>-14835.150000000005</v>
      </c>
      <c r="S54" s="241">
        <f t="shared" si="12"/>
        <v>-5138</v>
      </c>
      <c r="T54" s="13" t="s">
        <v>18</v>
      </c>
      <c r="U54" s="4">
        <v>1987</v>
      </c>
      <c r="V54" s="4">
        <v>2</v>
      </c>
      <c r="W54" s="242">
        <f t="shared" si="13"/>
        <v>3975.0984006775948</v>
      </c>
      <c r="X54" s="131">
        <f t="shared" si="80"/>
        <v>188.91443318590655</v>
      </c>
      <c r="Z54" s="175">
        <f t="shared" si="14"/>
        <v>398921</v>
      </c>
      <c r="AA54" s="12">
        <f t="shared" si="15"/>
        <v>-5138</v>
      </c>
      <c r="AB54" s="379">
        <f t="shared" si="22"/>
        <v>398921</v>
      </c>
      <c r="AC54" s="107">
        <f>RESID!AC54</f>
        <v>29.55</v>
      </c>
      <c r="AD54" s="243">
        <f t="shared" si="16"/>
        <v>415955.20000000001</v>
      </c>
      <c r="AE54" s="243">
        <f t="shared" si="40"/>
        <v>31742.900000000023</v>
      </c>
      <c r="AG54" s="4">
        <f t="shared" si="17"/>
        <v>410666</v>
      </c>
      <c r="AX54" s="4">
        <v>1987</v>
      </c>
      <c r="AY54" s="4">
        <v>2</v>
      </c>
      <c r="AZ54" s="76">
        <f>'[8]COM 55 &amp; 65'!$S139</f>
        <v>65.3</v>
      </c>
      <c r="BA54" s="76">
        <f t="shared" si="46"/>
        <v>82.6</v>
      </c>
      <c r="BB54" s="362">
        <f t="shared" si="23"/>
        <v>17.299999999999997</v>
      </c>
      <c r="BC54" s="362"/>
      <c r="BD54" s="76">
        <f>'[8]COM 55 &amp; 65'!$J139</f>
        <v>31.8</v>
      </c>
      <c r="BE54" s="76">
        <f t="shared" si="47"/>
        <v>36.5</v>
      </c>
      <c r="BF54" s="363">
        <f t="shared" si="24"/>
        <v>4.6999999999999993</v>
      </c>
      <c r="BG54" s="244"/>
      <c r="BH54" s="244">
        <f t="shared" si="18"/>
        <v>11814.342999999997</v>
      </c>
      <c r="BI54" s="242">
        <f t="shared" si="19"/>
        <v>3098.8979999999997</v>
      </c>
      <c r="BJ54" s="242"/>
      <c r="BK54" s="241">
        <f t="shared" si="20"/>
        <v>14913</v>
      </c>
      <c r="BL54" s="262"/>
      <c r="BM54" s="36" t="s">
        <v>18</v>
      </c>
      <c r="BN54" s="4">
        <v>1987</v>
      </c>
      <c r="BO54" s="4">
        <v>2</v>
      </c>
    </row>
    <row r="55" spans="1:72" ht="12.75" customHeight="1">
      <c r="A55" s="22">
        <v>1987</v>
      </c>
      <c r="B55" s="4">
        <v>3</v>
      </c>
      <c r="C55" s="5">
        <v>410883</v>
      </c>
      <c r="D55" s="5">
        <v>100874</v>
      </c>
      <c r="E55" s="74">
        <f t="shared" si="7"/>
        <v>4073.2</v>
      </c>
      <c r="G55" s="347"/>
      <c r="J55" s="574">
        <f t="shared" si="21"/>
        <v>100874</v>
      </c>
      <c r="K55" s="4">
        <f>'[7]COM 55 &amp; 65'!$S140</f>
        <v>78.7</v>
      </c>
      <c r="L55" s="4">
        <f t="shared" si="41"/>
        <v>105.4</v>
      </c>
      <c r="M55" s="44">
        <f t="shared" si="81"/>
        <v>26.700000000000003</v>
      </c>
      <c r="N55" s="4">
        <f>'[7]COM 55 &amp; 65'!$J140</f>
        <v>22.7</v>
      </c>
      <c r="O55" s="4">
        <f t="shared" si="39"/>
        <v>26.8</v>
      </c>
      <c r="P55" s="41">
        <f t="shared" si="82"/>
        <v>4.1000000000000014</v>
      </c>
      <c r="Q55" s="474">
        <f t="shared" si="10"/>
        <v>18233.697</v>
      </c>
      <c r="R55" s="472">
        <f t="shared" si="11"/>
        <v>2703.2940000000012</v>
      </c>
      <c r="S55" s="241">
        <f t="shared" si="12"/>
        <v>20937</v>
      </c>
      <c r="T55" s="13" t="s">
        <v>18</v>
      </c>
      <c r="U55" s="4">
        <v>1987</v>
      </c>
      <c r="V55" s="4">
        <v>3</v>
      </c>
      <c r="W55" s="242">
        <f t="shared" si="13"/>
        <v>4280.7859309633805</v>
      </c>
      <c r="X55" s="131">
        <f t="shared" si="80"/>
        <v>334.58506127029386</v>
      </c>
      <c r="Z55" s="175">
        <f t="shared" si="14"/>
        <v>431820</v>
      </c>
      <c r="AA55" s="12">
        <f t="shared" si="15"/>
        <v>20937</v>
      </c>
      <c r="AB55" s="379">
        <f t="shared" si="22"/>
        <v>431820</v>
      </c>
      <c r="AC55" s="107">
        <f>RESID!AC55</f>
        <v>29.4</v>
      </c>
      <c r="AD55" s="243">
        <f t="shared" si="16"/>
        <v>425138.1</v>
      </c>
      <c r="AE55" s="243">
        <f t="shared" si="40"/>
        <v>28000.899999999965</v>
      </c>
      <c r="AG55" s="4">
        <f t="shared" si="17"/>
        <v>446802</v>
      </c>
      <c r="AX55" s="4">
        <v>1987</v>
      </c>
      <c r="AY55" s="4">
        <v>3</v>
      </c>
      <c r="AZ55" s="76">
        <f>'[8]COM 55 &amp; 65'!$S140</f>
        <v>115</v>
      </c>
      <c r="BA55" s="76">
        <f t="shared" si="46"/>
        <v>140.4</v>
      </c>
      <c r="BB55" s="362">
        <f t="shared" si="23"/>
        <v>25.400000000000006</v>
      </c>
      <c r="BC55" s="362"/>
      <c r="BD55" s="76">
        <f>'[8]COM 55 &amp; 65'!$J140</f>
        <v>15</v>
      </c>
      <c r="BE55" s="76">
        <f t="shared" si="47"/>
        <v>15.1</v>
      </c>
      <c r="BF55" s="363">
        <f t="shared" si="24"/>
        <v>9.9999999999999645E-2</v>
      </c>
      <c r="BG55" s="244"/>
      <c r="BH55" s="244">
        <f t="shared" si="18"/>
        <v>17345.914000000004</v>
      </c>
      <c r="BI55" s="242">
        <f t="shared" si="19"/>
        <v>65.93399999999977</v>
      </c>
      <c r="BJ55" s="242"/>
      <c r="BK55" s="241">
        <f t="shared" si="20"/>
        <v>17412</v>
      </c>
      <c r="BL55" s="262"/>
      <c r="BM55" s="36" t="s">
        <v>18</v>
      </c>
      <c r="BN55" s="4">
        <v>1987</v>
      </c>
      <c r="BO55" s="4">
        <v>3</v>
      </c>
    </row>
    <row r="56" spans="1:72" ht="12.75" customHeight="1">
      <c r="A56" s="22">
        <v>1987</v>
      </c>
      <c r="B56" s="4">
        <v>4</v>
      </c>
      <c r="C56" s="5">
        <v>426751</v>
      </c>
      <c r="D56" s="5">
        <v>101482</v>
      </c>
      <c r="E56" s="74">
        <f t="shared" si="7"/>
        <v>4205.2</v>
      </c>
      <c r="G56" s="347"/>
      <c r="J56" s="574">
        <f t="shared" si="21"/>
        <v>101482</v>
      </c>
      <c r="K56" s="4">
        <f>'[7]COM 55 &amp; 65'!$S141</f>
        <v>114.8</v>
      </c>
      <c r="L56" s="4">
        <f t="shared" si="41"/>
        <v>178.4</v>
      </c>
      <c r="M56" s="44">
        <f t="shared" si="81"/>
        <v>63.600000000000009</v>
      </c>
      <c r="N56" s="4">
        <f>'[7]COM 55 &amp; 65'!$J141</f>
        <v>25</v>
      </c>
      <c r="O56" s="4">
        <f t="shared" si="39"/>
        <v>9.5</v>
      </c>
      <c r="P56" s="41">
        <f t="shared" si="82"/>
        <v>-15.5</v>
      </c>
      <c r="Q56" s="474">
        <f t="shared" si="10"/>
        <v>43433.076000000001</v>
      </c>
      <c r="R56" s="472">
        <f t="shared" si="11"/>
        <v>-10219.77</v>
      </c>
      <c r="S56" s="241">
        <f t="shared" si="12"/>
        <v>33213</v>
      </c>
      <c r="T56" s="13" t="s">
        <v>18</v>
      </c>
      <c r="U56" s="4">
        <v>1987</v>
      </c>
      <c r="V56" s="4">
        <v>4</v>
      </c>
      <c r="W56" s="242">
        <f t="shared" si="13"/>
        <v>4532.4688122031494</v>
      </c>
      <c r="X56" s="131">
        <f t="shared" si="80"/>
        <v>161.65718864278188</v>
      </c>
      <c r="Z56" s="175">
        <f t="shared" si="14"/>
        <v>459964</v>
      </c>
      <c r="AA56" s="12">
        <f t="shared" si="15"/>
        <v>33213</v>
      </c>
      <c r="AB56" s="379">
        <f t="shared" si="22"/>
        <v>459964</v>
      </c>
      <c r="AC56" s="107">
        <f>RESID!AC56</f>
        <v>29.75</v>
      </c>
      <c r="AD56" s="243">
        <f t="shared" si="16"/>
        <v>436361.9</v>
      </c>
      <c r="AE56" s="243">
        <f t="shared" si="40"/>
        <v>24899.5</v>
      </c>
      <c r="AG56" s="4">
        <f t="shared" si="17"/>
        <v>470323</v>
      </c>
      <c r="AX56" s="4">
        <v>1987</v>
      </c>
      <c r="AY56" s="4">
        <v>4</v>
      </c>
      <c r="AZ56" s="76">
        <f>'[8]COM 55 &amp; 65'!$S141</f>
        <v>149.1</v>
      </c>
      <c r="BA56" s="76">
        <f t="shared" si="46"/>
        <v>227.4</v>
      </c>
      <c r="BB56" s="362">
        <f t="shared" si="23"/>
        <v>78.300000000000011</v>
      </c>
      <c r="BC56" s="362"/>
      <c r="BD56" s="76">
        <f>'[8]COM 55 &amp; 65'!$J141</f>
        <v>23.6</v>
      </c>
      <c r="BE56" s="76">
        <f t="shared" si="47"/>
        <v>4.8</v>
      </c>
      <c r="BF56" s="363">
        <f t="shared" si="24"/>
        <v>-18.8</v>
      </c>
      <c r="BG56" s="244"/>
      <c r="BH56" s="244">
        <f t="shared" si="18"/>
        <v>53471.853000000003</v>
      </c>
      <c r="BI56" s="242">
        <f t="shared" si="19"/>
        <v>-12395.592000000001</v>
      </c>
      <c r="BJ56" s="242"/>
      <c r="BK56" s="241">
        <f t="shared" si="20"/>
        <v>41076</v>
      </c>
      <c r="BL56" s="262"/>
      <c r="BM56" s="36" t="s">
        <v>18</v>
      </c>
      <c r="BN56" s="4">
        <v>1987</v>
      </c>
      <c r="BO56" s="4">
        <v>4</v>
      </c>
    </row>
    <row r="57" spans="1:72" ht="12.75" customHeight="1">
      <c r="A57" s="22">
        <v>1987</v>
      </c>
      <c r="B57" s="4">
        <v>5</v>
      </c>
      <c r="C57" s="5">
        <v>474597</v>
      </c>
      <c r="D57" s="5">
        <v>101665</v>
      </c>
      <c r="E57" s="74">
        <f t="shared" si="7"/>
        <v>4668.2</v>
      </c>
      <c r="G57" s="347"/>
      <c r="J57" s="574">
        <f t="shared" si="21"/>
        <v>101665</v>
      </c>
      <c r="K57" s="4">
        <f>'[7]COM 55 &amp; 65'!$S142</f>
        <v>242</v>
      </c>
      <c r="L57" s="4">
        <f t="shared" si="41"/>
        <v>273.89999999999998</v>
      </c>
      <c r="M57" s="44">
        <f t="shared" si="81"/>
        <v>31.899999999999977</v>
      </c>
      <c r="N57" s="4">
        <f>'[7]COM 55 &amp; 65'!$J142</f>
        <v>7</v>
      </c>
      <c r="O57" s="4">
        <f t="shared" si="39"/>
        <v>2</v>
      </c>
      <c r="P57" s="41">
        <f t="shared" si="82"/>
        <v>-5</v>
      </c>
      <c r="Q57" s="474">
        <f t="shared" si="10"/>
        <v>21784.828999999983</v>
      </c>
      <c r="R57" s="472">
        <f t="shared" si="11"/>
        <v>-3296.7000000000003</v>
      </c>
      <c r="S57" s="241">
        <f t="shared" si="12"/>
        <v>18488</v>
      </c>
      <c r="T57" s="13" t="s">
        <v>18</v>
      </c>
      <c r="U57" s="4">
        <v>1987</v>
      </c>
      <c r="V57" s="4">
        <v>5</v>
      </c>
      <c r="W57" s="242">
        <f t="shared" si="13"/>
        <v>4850.0959032115279</v>
      </c>
      <c r="X57" s="131">
        <f t="shared" si="80"/>
        <v>244.21385646747422</v>
      </c>
      <c r="Z57" s="175">
        <f t="shared" si="14"/>
        <v>493085</v>
      </c>
      <c r="AA57" s="12">
        <f t="shared" si="15"/>
        <v>18488</v>
      </c>
      <c r="AB57" s="379">
        <f t="shared" si="22"/>
        <v>493085</v>
      </c>
      <c r="AC57" s="107">
        <f>RESID!AC57</f>
        <v>30.5</v>
      </c>
      <c r="AD57" s="243">
        <f t="shared" si="16"/>
        <v>473352.2</v>
      </c>
      <c r="AE57" s="243">
        <f t="shared" si="40"/>
        <v>39504.100000000035</v>
      </c>
      <c r="AG57" s="4">
        <f t="shared" si="17"/>
        <v>491792</v>
      </c>
      <c r="AX57" s="4">
        <v>1987</v>
      </c>
      <c r="AY57" s="4">
        <v>5</v>
      </c>
      <c r="AZ57" s="76">
        <f>'[8]COM 55 &amp; 65'!$S142</f>
        <v>379</v>
      </c>
      <c r="BA57" s="76">
        <f t="shared" si="46"/>
        <v>395.2</v>
      </c>
      <c r="BB57" s="362">
        <f t="shared" si="23"/>
        <v>16.199999999999989</v>
      </c>
      <c r="BC57" s="362"/>
      <c r="BD57" s="76">
        <f>'[8]COM 55 &amp; 65'!$J142</f>
        <v>0.1</v>
      </c>
      <c r="BE57" s="76">
        <f t="shared" si="47"/>
        <v>0.2</v>
      </c>
      <c r="BF57" s="363">
        <f t="shared" si="24"/>
        <v>0.1</v>
      </c>
      <c r="BG57" s="244"/>
      <c r="BH57" s="244">
        <f t="shared" si="18"/>
        <v>11063.141999999993</v>
      </c>
      <c r="BI57" s="242">
        <f t="shared" si="19"/>
        <v>65.934000000000012</v>
      </c>
      <c r="BJ57" s="242"/>
      <c r="BK57" s="241">
        <f t="shared" si="20"/>
        <v>11129</v>
      </c>
      <c r="BL57" s="262"/>
      <c r="BM57" s="36" t="s">
        <v>18</v>
      </c>
      <c r="BN57" s="4">
        <v>1987</v>
      </c>
      <c r="BO57" s="4">
        <v>5</v>
      </c>
    </row>
    <row r="58" spans="1:72" ht="12.75" customHeight="1">
      <c r="A58" s="22">
        <v>1987</v>
      </c>
      <c r="B58" s="4">
        <v>6</v>
      </c>
      <c r="C58" s="5">
        <v>549575</v>
      </c>
      <c r="D58" s="5">
        <v>102486</v>
      </c>
      <c r="E58" s="74">
        <f t="shared" si="7"/>
        <v>5362.4</v>
      </c>
      <c r="G58" s="347"/>
      <c r="J58" s="574">
        <f t="shared" si="21"/>
        <v>102486</v>
      </c>
      <c r="K58" s="4">
        <f>'[7]COM 55 &amp; 65'!$S143</f>
        <v>435.4</v>
      </c>
      <c r="L58" s="4">
        <f t="shared" si="41"/>
        <v>442.7</v>
      </c>
      <c r="M58" s="44">
        <f t="shared" si="81"/>
        <v>7.3000000000000114</v>
      </c>
      <c r="N58" s="4">
        <f>'[7]COM 55 &amp; 65'!$J143</f>
        <v>0</v>
      </c>
      <c r="O58" s="4">
        <f t="shared" si="39"/>
        <v>0.1</v>
      </c>
      <c r="P58" s="41">
        <f t="shared" si="82"/>
        <v>0.1</v>
      </c>
      <c r="Q58" s="474">
        <f t="shared" si="10"/>
        <v>4985.2430000000077</v>
      </c>
      <c r="R58" s="472">
        <f t="shared" si="11"/>
        <v>65.934000000000012</v>
      </c>
      <c r="S58" s="241">
        <f t="shared" si="12"/>
        <v>5051</v>
      </c>
      <c r="T58" s="13" t="s">
        <v>18</v>
      </c>
      <c r="U58" s="4">
        <v>1987</v>
      </c>
      <c r="V58" s="4">
        <v>6</v>
      </c>
      <c r="W58" s="242">
        <f t="shared" si="13"/>
        <v>5411.7245282282456</v>
      </c>
      <c r="X58" s="131">
        <f t="shared" si="80"/>
        <v>323.84319601441985</v>
      </c>
      <c r="Z58" s="175">
        <f t="shared" si="14"/>
        <v>554626</v>
      </c>
      <c r="AA58" s="12">
        <f t="shared" si="15"/>
        <v>5051</v>
      </c>
      <c r="AB58" s="379">
        <f t="shared" si="22"/>
        <v>554626</v>
      </c>
      <c r="AC58" s="107">
        <f>RESID!AC58</f>
        <v>30.75</v>
      </c>
      <c r="AD58" s="243">
        <f t="shared" si="16"/>
        <v>543677.1</v>
      </c>
      <c r="AE58" s="243">
        <f t="shared" si="40"/>
        <v>56539.299999999988</v>
      </c>
      <c r="AG58" s="4">
        <f t="shared" si="17"/>
        <v>548674</v>
      </c>
      <c r="AX58" s="4">
        <v>1987</v>
      </c>
      <c r="AY58" s="4">
        <v>6</v>
      </c>
      <c r="AZ58" s="76">
        <f>'[8]COM 55 &amp; 65'!$S143</f>
        <v>520</v>
      </c>
      <c r="BA58" s="76">
        <f t="shared" si="46"/>
        <v>485.1</v>
      </c>
      <c r="BB58" s="362">
        <f t="shared" si="23"/>
        <v>-34.899999999999977</v>
      </c>
      <c r="BC58" s="362"/>
      <c r="BD58" s="76">
        <f>'[8]COM 55 &amp; 65'!$J143</f>
        <v>0</v>
      </c>
      <c r="BE58" s="76">
        <f t="shared" si="47"/>
        <v>0</v>
      </c>
      <c r="BF58" s="363">
        <f t="shared" si="24"/>
        <v>0</v>
      </c>
      <c r="BG58" s="244"/>
      <c r="BH58" s="244">
        <f t="shared" si="18"/>
        <v>-23833.558999999983</v>
      </c>
      <c r="BI58" s="242">
        <f t="shared" si="19"/>
        <v>0</v>
      </c>
      <c r="BJ58" s="242"/>
      <c r="BK58" s="241">
        <f t="shared" si="20"/>
        <v>-23834</v>
      </c>
      <c r="BL58" s="262"/>
      <c r="BM58" s="36" t="s">
        <v>18</v>
      </c>
      <c r="BN58" s="4">
        <v>1987</v>
      </c>
      <c r="BO58" s="4">
        <v>6</v>
      </c>
    </row>
    <row r="59" spans="1:72" ht="12.75" customHeight="1">
      <c r="A59" s="22">
        <v>1987</v>
      </c>
      <c r="B59" s="4">
        <v>7</v>
      </c>
      <c r="C59" s="5">
        <v>605499</v>
      </c>
      <c r="D59" s="5">
        <v>102883</v>
      </c>
      <c r="E59" s="74">
        <f t="shared" si="7"/>
        <v>5885.3</v>
      </c>
      <c r="G59" s="347"/>
      <c r="J59" s="574">
        <f t="shared" si="21"/>
        <v>102883</v>
      </c>
      <c r="K59" s="4">
        <f>'[7]COM 55 &amp; 65'!$S144</f>
        <v>553.29999999999995</v>
      </c>
      <c r="L59" s="4">
        <f t="shared" si="41"/>
        <v>516.1</v>
      </c>
      <c r="M59" s="44">
        <f t="shared" si="81"/>
        <v>-37.199999999999932</v>
      </c>
      <c r="N59" s="4">
        <f>'[7]COM 55 &amp; 65'!$J144</f>
        <v>0</v>
      </c>
      <c r="O59" s="4">
        <f t="shared" si="39"/>
        <v>0</v>
      </c>
      <c r="P59" s="41">
        <f t="shared" si="82"/>
        <v>0</v>
      </c>
      <c r="Q59" s="474">
        <f t="shared" si="10"/>
        <v>-25404.251999999953</v>
      </c>
      <c r="R59" s="472">
        <f t="shared" si="11"/>
        <v>0</v>
      </c>
      <c r="S59" s="241">
        <f t="shared" si="12"/>
        <v>-25404</v>
      </c>
      <c r="T59" s="13" t="s">
        <v>18</v>
      </c>
      <c r="U59" s="4">
        <v>1987</v>
      </c>
      <c r="V59" s="4">
        <v>7</v>
      </c>
      <c r="W59" s="242">
        <f t="shared" si="13"/>
        <v>5638.3950701282038</v>
      </c>
      <c r="X59" s="131">
        <f t="shared" si="80"/>
        <v>131.77391957437794</v>
      </c>
      <c r="Z59" s="175">
        <f t="shared" si="14"/>
        <v>580095</v>
      </c>
      <c r="AA59" s="12">
        <f t="shared" si="15"/>
        <v>-25404</v>
      </c>
      <c r="AB59" s="379">
        <f t="shared" si="22"/>
        <v>580095</v>
      </c>
      <c r="AC59" s="107">
        <f>RESID!AC59</f>
        <v>30.8</v>
      </c>
      <c r="AD59" s="243">
        <f t="shared" si="16"/>
        <v>598028.6</v>
      </c>
      <c r="AE59" s="243">
        <f t="shared" si="40"/>
        <v>70645.900000000023</v>
      </c>
      <c r="AG59" s="4">
        <f t="shared" si="17"/>
        <v>572938</v>
      </c>
      <c r="AX59" s="4">
        <v>1987</v>
      </c>
      <c r="AY59" s="4">
        <v>7</v>
      </c>
      <c r="AZ59" s="76">
        <f>'[8]COM 55 &amp; 65'!$S144</f>
        <v>568.9</v>
      </c>
      <c r="BA59" s="76">
        <f t="shared" si="46"/>
        <v>546.1</v>
      </c>
      <c r="BB59" s="362">
        <f t="shared" si="23"/>
        <v>-22.799999999999955</v>
      </c>
      <c r="BC59" s="362"/>
      <c r="BD59" s="76">
        <f>'[8]COM 55 &amp; 65'!$J144</f>
        <v>0</v>
      </c>
      <c r="BE59" s="76">
        <f t="shared" si="47"/>
        <v>0</v>
      </c>
      <c r="BF59" s="363">
        <f t="shared" si="24"/>
        <v>0</v>
      </c>
      <c r="BG59" s="244"/>
      <c r="BH59" s="244">
        <f t="shared" si="18"/>
        <v>-15570.347999999969</v>
      </c>
      <c r="BI59" s="242">
        <f t="shared" si="19"/>
        <v>0</v>
      </c>
      <c r="BJ59" s="242"/>
      <c r="BK59" s="241">
        <f t="shared" si="20"/>
        <v>-15570</v>
      </c>
      <c r="BL59" s="262"/>
      <c r="BM59" s="36" t="s">
        <v>18</v>
      </c>
      <c r="BN59" s="4">
        <v>1987</v>
      </c>
      <c r="BO59" s="4">
        <v>7</v>
      </c>
    </row>
    <row r="60" spans="1:72" ht="12.75" customHeight="1">
      <c r="A60" s="22">
        <v>1987</v>
      </c>
      <c r="B60" s="4">
        <v>8</v>
      </c>
      <c r="C60" s="5">
        <v>608940</v>
      </c>
      <c r="D60" s="5">
        <v>103348</v>
      </c>
      <c r="E60" s="74">
        <f t="shared" si="7"/>
        <v>5892.1</v>
      </c>
      <c r="G60" s="347"/>
      <c r="J60" s="574">
        <f t="shared" si="21"/>
        <v>103348</v>
      </c>
      <c r="K60" s="4">
        <f>'[7]COM 55 &amp; 65'!$S145</f>
        <v>568.5</v>
      </c>
      <c r="L60" s="4">
        <f t="shared" si="41"/>
        <v>542</v>
      </c>
      <c r="M60" s="44">
        <f t="shared" si="81"/>
        <v>-26.5</v>
      </c>
      <c r="N60" s="4">
        <f>'[7]COM 55 &amp; 65'!$J145</f>
        <v>0</v>
      </c>
      <c r="O60" s="4">
        <f t="shared" si="39"/>
        <v>0</v>
      </c>
      <c r="P60" s="41">
        <f t="shared" si="82"/>
        <v>0</v>
      </c>
      <c r="Q60" s="474">
        <f t="shared" si="10"/>
        <v>-18097.114999999998</v>
      </c>
      <c r="R60" s="472">
        <f t="shared" si="11"/>
        <v>0</v>
      </c>
      <c r="S60" s="241">
        <f t="shared" si="12"/>
        <v>-18097</v>
      </c>
      <c r="T60" s="13" t="s">
        <v>18</v>
      </c>
      <c r="U60" s="4">
        <v>1987</v>
      </c>
      <c r="V60" s="4">
        <v>8</v>
      </c>
      <c r="W60" s="242">
        <f t="shared" si="13"/>
        <v>5717.0240352982155</v>
      </c>
      <c r="X60" s="131">
        <f t="shared" si="80"/>
        <v>212.60588650769023</v>
      </c>
      <c r="Z60" s="175">
        <f t="shared" si="14"/>
        <v>590843</v>
      </c>
      <c r="AA60" s="12">
        <f t="shared" si="15"/>
        <v>-18097</v>
      </c>
      <c r="AB60" s="379">
        <f t="shared" si="22"/>
        <v>590843</v>
      </c>
      <c r="AC60" s="107">
        <f>RESID!AC60</f>
        <v>30.8</v>
      </c>
      <c r="AD60" s="243">
        <f t="shared" si="16"/>
        <v>601427.1</v>
      </c>
      <c r="AE60" s="243">
        <f t="shared" si="40"/>
        <v>69702.099999999977</v>
      </c>
      <c r="AG60" s="4">
        <f t="shared" si="17"/>
        <v>583553</v>
      </c>
      <c r="AX60" s="4">
        <v>1987</v>
      </c>
      <c r="AY60" s="4">
        <v>8</v>
      </c>
      <c r="AZ60" s="76">
        <f>'[8]COM 55 &amp; 65'!$S145</f>
        <v>585.4</v>
      </c>
      <c r="BA60" s="76">
        <f t="shared" si="46"/>
        <v>549</v>
      </c>
      <c r="BB60" s="362">
        <f t="shared" si="23"/>
        <v>-36.399999999999977</v>
      </c>
      <c r="BC60" s="362"/>
      <c r="BD60" s="76">
        <f>'[8]COM 55 &amp; 65'!$J145</f>
        <v>0</v>
      </c>
      <c r="BE60" s="76">
        <f t="shared" si="47"/>
        <v>0</v>
      </c>
      <c r="BF60" s="363">
        <f t="shared" si="24"/>
        <v>0</v>
      </c>
      <c r="BG60" s="244"/>
      <c r="BH60" s="244">
        <f t="shared" si="18"/>
        <v>-24857.923999999985</v>
      </c>
      <c r="BI60" s="242">
        <f t="shared" si="19"/>
        <v>0</v>
      </c>
      <c r="BJ60" s="242"/>
      <c r="BK60" s="241">
        <f t="shared" si="20"/>
        <v>-24858</v>
      </c>
      <c r="BL60" s="262"/>
      <c r="BM60" s="36" t="s">
        <v>18</v>
      </c>
      <c r="BN60" s="4">
        <v>1987</v>
      </c>
      <c r="BO60" s="4">
        <v>8</v>
      </c>
    </row>
    <row r="61" spans="1:72" ht="12.75" customHeight="1">
      <c r="A61" s="22">
        <v>1987</v>
      </c>
      <c r="B61" s="4">
        <v>9</v>
      </c>
      <c r="C61" s="5">
        <v>603758</v>
      </c>
      <c r="D61" s="5">
        <v>103862</v>
      </c>
      <c r="E61" s="74">
        <f t="shared" si="7"/>
        <v>5813.1</v>
      </c>
      <c r="G61" s="347"/>
      <c r="J61" s="574">
        <f t="shared" si="21"/>
        <v>103862</v>
      </c>
      <c r="K61" s="4">
        <f>'[7]COM 55 &amp; 65'!$S146</f>
        <v>551</v>
      </c>
      <c r="L61" s="4">
        <f t="shared" si="41"/>
        <v>531.20000000000005</v>
      </c>
      <c r="M61" s="44">
        <f t="shared" si="81"/>
        <v>-19.799999999999955</v>
      </c>
      <c r="N61" s="4">
        <f>'[7]COM 55 &amp; 65'!$J146</f>
        <v>0</v>
      </c>
      <c r="O61" s="4">
        <f t="shared" si="39"/>
        <v>0</v>
      </c>
      <c r="P61" s="41">
        <f t="shared" si="82"/>
        <v>0</v>
      </c>
      <c r="Q61" s="474">
        <f t="shared" si="10"/>
        <v>-13521.617999999968</v>
      </c>
      <c r="R61" s="472">
        <f t="shared" si="11"/>
        <v>0</v>
      </c>
      <c r="S61" s="241">
        <f t="shared" si="12"/>
        <v>-13522</v>
      </c>
      <c r="T61" s="13" t="s">
        <v>18</v>
      </c>
      <c r="U61" s="4">
        <v>1987</v>
      </c>
      <c r="V61" s="4">
        <v>9</v>
      </c>
      <c r="W61" s="242">
        <f t="shared" si="13"/>
        <v>5682.8869076274295</v>
      </c>
      <c r="X61" s="131">
        <f t="shared" si="80"/>
        <v>240.27299287975711</v>
      </c>
      <c r="Z61" s="175">
        <f t="shared" si="14"/>
        <v>590236</v>
      </c>
      <c r="AA61" s="12">
        <f t="shared" si="15"/>
        <v>-13522</v>
      </c>
      <c r="AB61" s="379">
        <f t="shared" si="22"/>
        <v>590236</v>
      </c>
      <c r="AC61" s="107">
        <f>RESID!AC61</f>
        <v>30.25</v>
      </c>
      <c r="AD61" s="243">
        <f t="shared" si="16"/>
        <v>607151</v>
      </c>
      <c r="AE61" s="243">
        <f t="shared" si="40"/>
        <v>74246.400000000023</v>
      </c>
      <c r="AG61" s="4">
        <f t="shared" si="17"/>
        <v>593553</v>
      </c>
      <c r="AX61" s="4">
        <v>1987</v>
      </c>
      <c r="AY61" s="4">
        <v>9</v>
      </c>
      <c r="AZ61" s="76">
        <f>'[8]COM 55 &amp; 65'!$S146</f>
        <v>493.4</v>
      </c>
      <c r="BA61" s="76">
        <f t="shared" si="46"/>
        <v>487.9</v>
      </c>
      <c r="BB61" s="362">
        <f t="shared" si="23"/>
        <v>-5.5</v>
      </c>
      <c r="BC61" s="362"/>
      <c r="BD61" s="76">
        <f>'[8]COM 55 &amp; 65'!$J146</f>
        <v>0</v>
      </c>
      <c r="BE61" s="76">
        <f t="shared" si="47"/>
        <v>0</v>
      </c>
      <c r="BF61" s="363">
        <f t="shared" si="24"/>
        <v>0</v>
      </c>
      <c r="BG61" s="244"/>
      <c r="BH61" s="244">
        <f t="shared" si="18"/>
        <v>-3756.0049999999997</v>
      </c>
      <c r="BI61" s="242">
        <f t="shared" si="19"/>
        <v>0</v>
      </c>
      <c r="BJ61" s="242"/>
      <c r="BK61" s="241">
        <f t="shared" si="20"/>
        <v>-3756</v>
      </c>
      <c r="BL61" s="262"/>
      <c r="BM61" s="36" t="s">
        <v>18</v>
      </c>
      <c r="BN61" s="4">
        <v>1987</v>
      </c>
      <c r="BO61" s="4">
        <v>9</v>
      </c>
    </row>
    <row r="62" spans="1:72" ht="12.75" customHeight="1">
      <c r="A62" s="22">
        <v>1987</v>
      </c>
      <c r="B62" s="4">
        <v>10</v>
      </c>
      <c r="C62" s="5">
        <v>547787</v>
      </c>
      <c r="D62" s="5">
        <v>104189</v>
      </c>
      <c r="E62" s="74">
        <f t="shared" si="7"/>
        <v>5257.6</v>
      </c>
      <c r="G62" s="347"/>
      <c r="J62" s="574">
        <f t="shared" si="21"/>
        <v>104189</v>
      </c>
      <c r="K62" s="4">
        <f>'[7]COM 55 &amp; 65'!$S147</f>
        <v>395.1</v>
      </c>
      <c r="L62" s="4">
        <f t="shared" si="41"/>
        <v>431.2</v>
      </c>
      <c r="M62" s="44">
        <f t="shared" si="81"/>
        <v>36.099999999999966</v>
      </c>
      <c r="N62" s="4">
        <f>'[7]COM 55 &amp; 65'!$J147</f>
        <v>1.2</v>
      </c>
      <c r="O62" s="4">
        <f t="shared" si="39"/>
        <v>0.2</v>
      </c>
      <c r="P62" s="41">
        <f t="shared" si="82"/>
        <v>-1</v>
      </c>
      <c r="Q62" s="474">
        <f t="shared" si="10"/>
        <v>24653.050999999974</v>
      </c>
      <c r="R62" s="472">
        <f t="shared" si="11"/>
        <v>-659.34</v>
      </c>
      <c r="S62" s="241">
        <f t="shared" si="12"/>
        <v>23994</v>
      </c>
      <c r="T62" s="13" t="s">
        <v>18</v>
      </c>
      <c r="U62" s="4">
        <v>1987</v>
      </c>
      <c r="V62" s="4">
        <v>10</v>
      </c>
      <c r="W62" s="242">
        <f t="shared" si="13"/>
        <v>5487.9209897397996</v>
      </c>
      <c r="X62" s="131">
        <f t="shared" ref="X62:X77" si="83">W62-W50</f>
        <v>539.24030995446901</v>
      </c>
      <c r="Z62" s="175">
        <f t="shared" si="14"/>
        <v>571781</v>
      </c>
      <c r="AA62" s="12">
        <f t="shared" si="15"/>
        <v>23994</v>
      </c>
      <c r="AB62" s="379">
        <f t="shared" si="22"/>
        <v>571781</v>
      </c>
      <c r="AC62" s="107">
        <f>RESID!AC62</f>
        <v>29.95</v>
      </c>
      <c r="AD62" s="243">
        <f t="shared" si="16"/>
        <v>556383.30000000005</v>
      </c>
      <c r="AE62" s="243">
        <f t="shared" si="40"/>
        <v>22536.400000000023</v>
      </c>
      <c r="AG62" s="4">
        <f t="shared" si="17"/>
        <v>580754</v>
      </c>
      <c r="AX62" s="4">
        <v>1987</v>
      </c>
      <c r="AY62" s="4">
        <v>10</v>
      </c>
      <c r="AZ62" s="76">
        <f>'[8]COM 55 &amp; 65'!$S147</f>
        <v>213.8</v>
      </c>
      <c r="BA62" s="76">
        <f t="shared" si="46"/>
        <v>332.5</v>
      </c>
      <c r="BB62" s="362">
        <f t="shared" si="23"/>
        <v>118.69999999999999</v>
      </c>
      <c r="BC62" s="362"/>
      <c r="BD62" s="76">
        <f>'[8]COM 55 &amp; 65'!$J147</f>
        <v>5.0999999999999996</v>
      </c>
      <c r="BE62" s="76">
        <f t="shared" si="47"/>
        <v>2</v>
      </c>
      <c r="BF62" s="363">
        <f t="shared" si="24"/>
        <v>-3.0999999999999996</v>
      </c>
      <c r="BG62" s="244"/>
      <c r="BH62" s="244">
        <f t="shared" si="18"/>
        <v>81061.416999999987</v>
      </c>
      <c r="BI62" s="242">
        <f t="shared" si="19"/>
        <v>-2043.954</v>
      </c>
      <c r="BJ62" s="242"/>
      <c r="BK62" s="241">
        <f t="shared" si="20"/>
        <v>79017</v>
      </c>
      <c r="BL62" s="262"/>
      <c r="BM62" s="36" t="s">
        <v>18</v>
      </c>
      <c r="BN62" s="4">
        <v>1987</v>
      </c>
      <c r="BO62" s="4">
        <v>10</v>
      </c>
    </row>
    <row r="63" spans="1:72" ht="12.75" customHeight="1">
      <c r="A63" s="22">
        <v>1987</v>
      </c>
      <c r="B63" s="4">
        <v>11</v>
      </c>
      <c r="C63" s="5">
        <v>479612</v>
      </c>
      <c r="D63" s="5">
        <v>104661</v>
      </c>
      <c r="E63" s="74">
        <f t="shared" si="7"/>
        <v>4582.5</v>
      </c>
      <c r="G63" s="347"/>
      <c r="J63" s="574">
        <f t="shared" si="21"/>
        <v>104661</v>
      </c>
      <c r="K63" s="4">
        <f>'[7]COM 55 &amp; 65'!$S148</f>
        <v>195</v>
      </c>
      <c r="L63" s="4">
        <f t="shared" si="41"/>
        <v>251.9</v>
      </c>
      <c r="M63" s="44">
        <f t="shared" si="81"/>
        <v>56.900000000000006</v>
      </c>
      <c r="N63" s="4">
        <f>'[7]COM 55 &amp; 65'!$J148</f>
        <v>7.5</v>
      </c>
      <c r="O63" s="4">
        <f t="shared" si="39"/>
        <v>6.3</v>
      </c>
      <c r="P63" s="41">
        <f t="shared" si="82"/>
        <v>-1.2000000000000002</v>
      </c>
      <c r="Q63" s="474">
        <f t="shared" si="10"/>
        <v>38857.579000000005</v>
      </c>
      <c r="R63" s="472">
        <f t="shared" si="11"/>
        <v>-791.2080000000002</v>
      </c>
      <c r="S63" s="241">
        <f t="shared" si="12"/>
        <v>38066</v>
      </c>
      <c r="T63" s="13" t="s">
        <v>18</v>
      </c>
      <c r="U63" s="4">
        <v>1987</v>
      </c>
      <c r="V63" s="4">
        <v>11</v>
      </c>
      <c r="W63" s="242">
        <f t="shared" si="13"/>
        <v>4946.2359427102738</v>
      </c>
      <c r="X63" s="131">
        <f t="shared" si="83"/>
        <v>538.75787319895244</v>
      </c>
      <c r="Z63" s="175">
        <f t="shared" si="14"/>
        <v>517678</v>
      </c>
      <c r="AA63" s="12">
        <f t="shared" si="15"/>
        <v>38066</v>
      </c>
      <c r="AB63" s="379">
        <f t="shared" si="22"/>
        <v>517678</v>
      </c>
      <c r="AC63" s="107">
        <f>RESID!AC63</f>
        <v>30.05</v>
      </c>
      <c r="AD63" s="243">
        <f t="shared" si="16"/>
        <v>485517.4</v>
      </c>
      <c r="AE63" s="243">
        <f t="shared" si="40"/>
        <v>546.70000000001164</v>
      </c>
      <c r="AG63" s="4">
        <f t="shared" si="17"/>
        <v>524052</v>
      </c>
      <c r="AX63" s="4">
        <v>1987</v>
      </c>
      <c r="AY63" s="4">
        <v>11</v>
      </c>
      <c r="AZ63" s="76">
        <f>'[8]COM 55 &amp; 65'!$S148</f>
        <v>154.4</v>
      </c>
      <c r="BA63" s="76">
        <f t="shared" si="46"/>
        <v>146</v>
      </c>
      <c r="BB63" s="362">
        <f t="shared" si="23"/>
        <v>-8.4000000000000057</v>
      </c>
      <c r="BC63" s="362"/>
      <c r="BD63" s="76">
        <f>'[8]COM 55 &amp; 65'!$J148</f>
        <v>16.5</v>
      </c>
      <c r="BE63" s="76">
        <f t="shared" si="47"/>
        <v>14</v>
      </c>
      <c r="BF63" s="363">
        <f t="shared" si="24"/>
        <v>-2.5</v>
      </c>
      <c r="BG63" s="244"/>
      <c r="BH63" s="244">
        <f t="shared" si="18"/>
        <v>-5736.4440000000041</v>
      </c>
      <c r="BI63" s="242">
        <f t="shared" si="19"/>
        <v>-1648.3500000000001</v>
      </c>
      <c r="BJ63" s="242"/>
      <c r="BK63" s="241">
        <f t="shared" si="20"/>
        <v>-7385</v>
      </c>
      <c r="BL63" s="262"/>
      <c r="BM63" s="36" t="s">
        <v>18</v>
      </c>
      <c r="BN63" s="4">
        <v>1987</v>
      </c>
      <c r="BO63" s="4">
        <v>11</v>
      </c>
    </row>
    <row r="64" spans="1:72" s="89" customFormat="1" ht="12.75" customHeight="1">
      <c r="A64" s="225">
        <v>1987</v>
      </c>
      <c r="B64" s="89">
        <v>12</v>
      </c>
      <c r="C64" s="103">
        <v>471369</v>
      </c>
      <c r="D64" s="103">
        <v>104681</v>
      </c>
      <c r="E64" s="109">
        <f t="shared" si="7"/>
        <v>4502.8999999999996</v>
      </c>
      <c r="F64" s="90"/>
      <c r="G64" s="348"/>
      <c r="J64" s="575">
        <f t="shared" si="21"/>
        <v>104681</v>
      </c>
      <c r="K64" s="89">
        <f>'[7]COM 55 &amp; 65'!$S149</f>
        <v>119.3</v>
      </c>
      <c r="L64" s="89">
        <f t="shared" si="41"/>
        <v>119.4</v>
      </c>
      <c r="M64" s="93">
        <f t="shared" si="81"/>
        <v>0.10000000000000853</v>
      </c>
      <c r="N64" s="89">
        <f>'[7]COM 55 &amp; 65'!$J149</f>
        <v>30.2</v>
      </c>
      <c r="O64" s="89">
        <f t="shared" si="39"/>
        <v>30.1</v>
      </c>
      <c r="P64" s="94">
        <f t="shared" si="82"/>
        <v>-9.9999999999997868E-2</v>
      </c>
      <c r="Q64" s="475">
        <f t="shared" si="10"/>
        <v>68.291000000005823</v>
      </c>
      <c r="R64" s="473">
        <f t="shared" si="11"/>
        <v>-65.933999999998591</v>
      </c>
      <c r="S64" s="329">
        <f t="shared" si="12"/>
        <v>2</v>
      </c>
      <c r="T64" s="90" t="s">
        <v>18</v>
      </c>
      <c r="U64" s="89">
        <v>1987</v>
      </c>
      <c r="V64" s="89">
        <v>12</v>
      </c>
      <c r="W64" s="328">
        <f t="shared" si="13"/>
        <v>4502.9279429886992</v>
      </c>
      <c r="X64" s="133">
        <f t="shared" si="83"/>
        <v>573.30634742350276</v>
      </c>
      <c r="Z64" s="176">
        <f t="shared" si="14"/>
        <v>471371</v>
      </c>
      <c r="AA64" s="105">
        <f t="shared" si="15"/>
        <v>2</v>
      </c>
      <c r="AB64" s="517">
        <f t="shared" si="22"/>
        <v>471371</v>
      </c>
      <c r="AC64" s="110">
        <f>RESID!AC64</f>
        <v>31.75</v>
      </c>
      <c r="AD64" s="331">
        <f t="shared" si="16"/>
        <v>451623.5</v>
      </c>
      <c r="AE64" s="331">
        <f t="shared" si="40"/>
        <v>-6346.7000000000116</v>
      </c>
      <c r="AG64" s="89">
        <f t="shared" si="17"/>
        <v>451625</v>
      </c>
      <c r="AX64" s="89">
        <v>1987</v>
      </c>
      <c r="AY64" s="89">
        <v>12</v>
      </c>
      <c r="AZ64" s="92">
        <f>'[8]COM 55 &amp; 65'!$S149</f>
        <v>91.9</v>
      </c>
      <c r="BA64" s="92">
        <f t="shared" si="46"/>
        <v>75.7</v>
      </c>
      <c r="BB64" s="364">
        <f t="shared" si="23"/>
        <v>-16.200000000000003</v>
      </c>
      <c r="BC64" s="364"/>
      <c r="BD64" s="92">
        <f>'[8]COM 55 &amp; 65'!$J149</f>
        <v>41.8</v>
      </c>
      <c r="BE64" s="92">
        <f t="shared" si="47"/>
        <v>44.3</v>
      </c>
      <c r="BF64" s="365">
        <f t="shared" si="24"/>
        <v>2.5</v>
      </c>
      <c r="BG64" s="327"/>
      <c r="BH64" s="327">
        <f t="shared" si="18"/>
        <v>-11063.142000000002</v>
      </c>
      <c r="BI64" s="328">
        <f t="shared" si="19"/>
        <v>1648.3500000000001</v>
      </c>
      <c r="BJ64" s="328"/>
      <c r="BK64" s="329">
        <f t="shared" si="20"/>
        <v>-9415</v>
      </c>
      <c r="BL64" s="332"/>
      <c r="BM64" s="113" t="s">
        <v>18</v>
      </c>
      <c r="BN64" s="89">
        <v>1987</v>
      </c>
      <c r="BO64" s="89">
        <v>12</v>
      </c>
      <c r="BT64" s="96"/>
    </row>
    <row r="65" spans="1:72" ht="12.75" customHeight="1">
      <c r="A65" s="22">
        <v>1988</v>
      </c>
      <c r="B65" s="4">
        <v>1</v>
      </c>
      <c r="C65" s="5">
        <v>476400</v>
      </c>
      <c r="D65" s="5">
        <v>104701</v>
      </c>
      <c r="E65" s="74">
        <f t="shared" si="7"/>
        <v>4550.1000000000004</v>
      </c>
      <c r="G65" s="347"/>
      <c r="J65" s="574">
        <f t="shared" si="21"/>
        <v>104701</v>
      </c>
      <c r="K65" s="4">
        <f>'[7]COM 55 &amp; 65'!$S150</f>
        <v>82</v>
      </c>
      <c r="L65" s="4">
        <f t="shared" si="41"/>
        <v>70.8</v>
      </c>
      <c r="M65" s="44">
        <f t="shared" si="81"/>
        <v>-11.200000000000003</v>
      </c>
      <c r="N65" s="4">
        <f>'[7]COM 55 &amp; 65'!$J150</f>
        <v>53.7</v>
      </c>
      <c r="O65" s="4">
        <f t="shared" si="39"/>
        <v>54.9</v>
      </c>
      <c r="P65" s="41">
        <f t="shared" si="82"/>
        <v>1.1999999999999957</v>
      </c>
      <c r="Q65" s="474">
        <f t="shared" si="10"/>
        <v>-7648.5920000000015</v>
      </c>
      <c r="R65" s="472">
        <f t="shared" si="11"/>
        <v>791.20799999999724</v>
      </c>
      <c r="S65" s="241">
        <f t="shared" si="12"/>
        <v>-6857</v>
      </c>
      <c r="T65" s="13" t="s">
        <v>18</v>
      </c>
      <c r="U65" s="4">
        <v>1988</v>
      </c>
      <c r="V65" s="4">
        <v>1</v>
      </c>
      <c r="W65" s="242">
        <f t="shared" si="13"/>
        <v>4484.6085519718054</v>
      </c>
      <c r="X65" s="131">
        <f t="shared" si="83"/>
        <v>104.07598269572281</v>
      </c>
      <c r="Z65" s="175">
        <f t="shared" si="14"/>
        <v>469543</v>
      </c>
      <c r="AA65" s="12">
        <f t="shared" si="15"/>
        <v>-6857</v>
      </c>
      <c r="AB65" s="379">
        <f t="shared" si="22"/>
        <v>469543</v>
      </c>
      <c r="AC65" s="107">
        <f>RESID!AC65</f>
        <v>31.85</v>
      </c>
      <c r="AD65" s="243">
        <f t="shared" si="16"/>
        <v>455010.6</v>
      </c>
      <c r="AE65" s="243">
        <f t="shared" si="40"/>
        <v>42869</v>
      </c>
      <c r="AG65" s="4">
        <f t="shared" si="17"/>
        <v>448461</v>
      </c>
      <c r="AX65" s="4">
        <v>1988</v>
      </c>
      <c r="AY65" s="4">
        <v>1</v>
      </c>
      <c r="AZ65" s="76">
        <f>'[8]COM 55 &amp; 65'!$S150</f>
        <v>38.200000000000003</v>
      </c>
      <c r="BA65" s="76">
        <f t="shared" si="46"/>
        <v>72.3</v>
      </c>
      <c r="BB65" s="362">
        <f t="shared" si="23"/>
        <v>34.099999999999994</v>
      </c>
      <c r="BC65" s="362"/>
      <c r="BD65" s="76">
        <f>'[8]COM 55 &amp; 65'!$J150</f>
        <v>95.4</v>
      </c>
      <c r="BE65" s="76">
        <f t="shared" si="47"/>
        <v>52.4</v>
      </c>
      <c r="BF65" s="363">
        <f t="shared" si="24"/>
        <v>-43.000000000000007</v>
      </c>
      <c r="BG65" s="244"/>
      <c r="BH65" s="244">
        <f t="shared" si="18"/>
        <v>23287.230999999996</v>
      </c>
      <c r="BI65" s="242">
        <f t="shared" si="19"/>
        <v>-28351.620000000006</v>
      </c>
      <c r="BJ65" s="242"/>
      <c r="BK65" s="241">
        <f t="shared" si="20"/>
        <v>-5064</v>
      </c>
      <c r="BL65" s="262"/>
      <c r="BM65" s="36" t="s">
        <v>18</v>
      </c>
      <c r="BN65" s="4">
        <v>1988</v>
      </c>
      <c r="BO65" s="4">
        <v>1</v>
      </c>
    </row>
    <row r="66" spans="1:72" ht="12.75" customHeight="1">
      <c r="A66" s="22">
        <v>1988</v>
      </c>
      <c r="B66" s="4">
        <v>2</v>
      </c>
      <c r="C66" s="5">
        <v>466217</v>
      </c>
      <c r="D66" s="5">
        <v>105289</v>
      </c>
      <c r="E66" s="74">
        <f t="shared" si="7"/>
        <v>4428</v>
      </c>
      <c r="G66" s="347"/>
      <c r="J66" s="574">
        <f t="shared" si="21"/>
        <v>105289</v>
      </c>
      <c r="K66" s="4">
        <f>'[7]COM 55 &amp; 65'!$S151</f>
        <v>45.6</v>
      </c>
      <c r="L66" s="4">
        <f t="shared" si="41"/>
        <v>62.7</v>
      </c>
      <c r="M66" s="44">
        <f t="shared" si="81"/>
        <v>17.100000000000001</v>
      </c>
      <c r="N66" s="4">
        <f>'[7]COM 55 &amp; 65'!$J151</f>
        <v>91.7</v>
      </c>
      <c r="O66" s="4">
        <f t="shared" si="39"/>
        <v>46.9</v>
      </c>
      <c r="P66" s="41">
        <f t="shared" si="82"/>
        <v>-44.800000000000004</v>
      </c>
      <c r="Q66" s="474">
        <f t="shared" si="10"/>
        <v>11677.761</v>
      </c>
      <c r="R66" s="472">
        <f t="shared" si="11"/>
        <v>-29538.432000000004</v>
      </c>
      <c r="S66" s="241">
        <f t="shared" si="12"/>
        <v>-17861</v>
      </c>
      <c r="T66" s="13" t="s">
        <v>18</v>
      </c>
      <c r="U66" s="4">
        <v>1988</v>
      </c>
      <c r="V66" s="4">
        <v>2</v>
      </c>
      <c r="W66" s="242">
        <f t="shared" si="13"/>
        <v>4258.3365783700101</v>
      </c>
      <c r="X66" s="131">
        <f t="shared" si="83"/>
        <v>283.23817769241532</v>
      </c>
      <c r="Z66" s="175">
        <f t="shared" si="14"/>
        <v>448356</v>
      </c>
      <c r="AA66" s="12">
        <f t="shared" si="15"/>
        <v>-17861</v>
      </c>
      <c r="AB66" s="379">
        <f t="shared" si="22"/>
        <v>448356</v>
      </c>
      <c r="AC66" s="107">
        <f>RESID!AC66</f>
        <v>29.55</v>
      </c>
      <c r="AD66" s="243">
        <f t="shared" si="16"/>
        <v>479943.2</v>
      </c>
      <c r="AE66" s="243">
        <f t="shared" si="40"/>
        <v>63988</v>
      </c>
      <c r="AG66" s="4">
        <f t="shared" si="17"/>
        <v>461556</v>
      </c>
      <c r="AX66" s="4">
        <v>1988</v>
      </c>
      <c r="AY66" s="4">
        <v>2</v>
      </c>
      <c r="AZ66" s="76">
        <f>'[8]COM 55 &amp; 65'!$S151</f>
        <v>52.3</v>
      </c>
      <c r="BA66" s="76">
        <f t="shared" si="46"/>
        <v>82.6</v>
      </c>
      <c r="BB66" s="362">
        <f t="shared" si="23"/>
        <v>30.299999999999997</v>
      </c>
      <c r="BC66" s="362"/>
      <c r="BD66" s="76">
        <f>'[8]COM 55 &amp; 65'!$J151</f>
        <v>73.099999999999994</v>
      </c>
      <c r="BE66" s="76">
        <f t="shared" si="47"/>
        <v>36.5</v>
      </c>
      <c r="BF66" s="363">
        <f t="shared" si="24"/>
        <v>-36.599999999999994</v>
      </c>
      <c r="BG66" s="244"/>
      <c r="BH66" s="244">
        <f t="shared" si="18"/>
        <v>20692.172999999999</v>
      </c>
      <c r="BI66" s="242">
        <f t="shared" si="19"/>
        <v>-24131.843999999997</v>
      </c>
      <c r="BJ66" s="242"/>
      <c r="BK66" s="241">
        <f t="shared" si="20"/>
        <v>-3440</v>
      </c>
      <c r="BL66" s="262"/>
      <c r="BM66" s="36" t="s">
        <v>18</v>
      </c>
      <c r="BN66" s="4">
        <v>1988</v>
      </c>
      <c r="BO66" s="4">
        <v>2</v>
      </c>
    </row>
    <row r="67" spans="1:72" ht="12.75" customHeight="1">
      <c r="A67" s="22">
        <v>1988</v>
      </c>
      <c r="B67" s="4">
        <v>3</v>
      </c>
      <c r="C67" s="5">
        <v>449075</v>
      </c>
      <c r="D67" s="5">
        <v>105665</v>
      </c>
      <c r="E67" s="74">
        <f t="shared" si="7"/>
        <v>4250</v>
      </c>
      <c r="G67" s="347"/>
      <c r="J67" s="574">
        <f t="shared" si="21"/>
        <v>105665</v>
      </c>
      <c r="K67" s="4">
        <f>'[7]COM 55 &amp; 65'!$S152</f>
        <v>59.2</v>
      </c>
      <c r="L67" s="4">
        <f t="shared" si="41"/>
        <v>105.4</v>
      </c>
      <c r="M67" s="44">
        <f t="shared" si="81"/>
        <v>46.2</v>
      </c>
      <c r="N67" s="4">
        <f>'[7]COM 55 &amp; 65'!$J152</f>
        <v>57.4</v>
      </c>
      <c r="O67" s="4">
        <f t="shared" si="39"/>
        <v>26.8</v>
      </c>
      <c r="P67" s="41">
        <f t="shared" si="82"/>
        <v>-30.599999999999998</v>
      </c>
      <c r="Q67" s="474">
        <f t="shared" si="10"/>
        <v>31550.441999999999</v>
      </c>
      <c r="R67" s="472">
        <f t="shared" si="11"/>
        <v>-20175.804</v>
      </c>
      <c r="S67" s="241">
        <f t="shared" si="12"/>
        <v>11375</v>
      </c>
      <c r="T67" s="13" t="s">
        <v>18</v>
      </c>
      <c r="U67" s="4">
        <v>1988</v>
      </c>
      <c r="V67" s="4">
        <v>3</v>
      </c>
      <c r="W67" s="242">
        <f t="shared" si="13"/>
        <v>4357.6397104055268</v>
      </c>
      <c r="X67" s="131">
        <f t="shared" si="83"/>
        <v>76.853779442146333</v>
      </c>
      <c r="Z67" s="175">
        <f t="shared" si="14"/>
        <v>460450</v>
      </c>
      <c r="AA67" s="12">
        <f t="shared" si="15"/>
        <v>11375</v>
      </c>
      <c r="AB67" s="379">
        <f t="shared" si="22"/>
        <v>460450</v>
      </c>
      <c r="AC67" s="107">
        <f>RESID!AC67</f>
        <v>29.4</v>
      </c>
      <c r="AD67" s="243">
        <f t="shared" si="16"/>
        <v>464655.2</v>
      </c>
      <c r="AE67" s="243">
        <f t="shared" si="40"/>
        <v>39517.100000000035</v>
      </c>
      <c r="AG67" s="4">
        <f t="shared" si="17"/>
        <v>476425</v>
      </c>
      <c r="AX67" s="4">
        <v>1988</v>
      </c>
      <c r="AY67" s="4">
        <v>3</v>
      </c>
      <c r="AZ67" s="76">
        <f>'[8]COM 55 &amp; 65'!$S152</f>
        <v>113.4</v>
      </c>
      <c r="BA67" s="76">
        <f t="shared" si="46"/>
        <v>140.4</v>
      </c>
      <c r="BB67" s="362">
        <f t="shared" si="23"/>
        <v>27</v>
      </c>
      <c r="BC67" s="362"/>
      <c r="BD67" s="76">
        <f>'[8]COM 55 &amp; 65'!$J152</f>
        <v>29</v>
      </c>
      <c r="BE67" s="76">
        <f t="shared" si="47"/>
        <v>15.1</v>
      </c>
      <c r="BF67" s="363">
        <f t="shared" si="24"/>
        <v>-13.9</v>
      </c>
      <c r="BG67" s="244"/>
      <c r="BH67" s="244">
        <f t="shared" si="18"/>
        <v>18438.57</v>
      </c>
      <c r="BI67" s="242">
        <f t="shared" si="19"/>
        <v>-9164.8260000000009</v>
      </c>
      <c r="BJ67" s="242"/>
      <c r="BK67" s="241">
        <f t="shared" si="20"/>
        <v>9274</v>
      </c>
      <c r="BL67" s="262"/>
      <c r="BM67" s="36" t="s">
        <v>18</v>
      </c>
      <c r="BN67" s="4">
        <v>1988</v>
      </c>
      <c r="BO67" s="4">
        <v>3</v>
      </c>
    </row>
    <row r="68" spans="1:72" ht="12.75" customHeight="1">
      <c r="A68" s="22">
        <v>1988</v>
      </c>
      <c r="B68" s="4">
        <v>4</v>
      </c>
      <c r="C68" s="5">
        <v>506540</v>
      </c>
      <c r="D68" s="5">
        <v>105868</v>
      </c>
      <c r="E68" s="74">
        <f t="shared" si="7"/>
        <v>4784.6000000000004</v>
      </c>
      <c r="G68" s="347"/>
      <c r="J68" s="574">
        <f t="shared" si="21"/>
        <v>105868</v>
      </c>
      <c r="K68" s="4">
        <f>'[7]COM 55 &amp; 65'!$S153</f>
        <v>160.9</v>
      </c>
      <c r="L68" s="4">
        <f t="shared" si="41"/>
        <v>178.4</v>
      </c>
      <c r="M68" s="44">
        <f t="shared" si="81"/>
        <v>17.5</v>
      </c>
      <c r="N68" s="4">
        <f>'[7]COM 55 &amp; 65'!$J153</f>
        <v>21.5</v>
      </c>
      <c r="O68" s="4">
        <f t="shared" si="39"/>
        <v>9.5</v>
      </c>
      <c r="P68" s="41">
        <f t="shared" si="82"/>
        <v>-12</v>
      </c>
      <c r="Q68" s="474">
        <f t="shared" si="10"/>
        <v>11950.924999999999</v>
      </c>
      <c r="R68" s="472">
        <f t="shared" si="11"/>
        <v>-7912.08</v>
      </c>
      <c r="S68" s="241">
        <f t="shared" si="12"/>
        <v>4039</v>
      </c>
      <c r="T68" s="13" t="s">
        <v>18</v>
      </c>
      <c r="U68" s="4">
        <v>1988</v>
      </c>
      <c r="V68" s="4">
        <v>4</v>
      </c>
      <c r="W68" s="242">
        <f t="shared" si="13"/>
        <v>4822.7887558091215</v>
      </c>
      <c r="X68" s="131">
        <f t="shared" si="83"/>
        <v>290.31994360597218</v>
      </c>
      <c r="Z68" s="175">
        <f t="shared" si="14"/>
        <v>510579</v>
      </c>
      <c r="AA68" s="12">
        <f t="shared" si="15"/>
        <v>4039</v>
      </c>
      <c r="AB68" s="379">
        <f t="shared" si="22"/>
        <v>510579</v>
      </c>
      <c r="AC68" s="107">
        <f>RESID!AC68</f>
        <v>32.049999999999997</v>
      </c>
      <c r="AD68" s="243">
        <f t="shared" si="16"/>
        <v>480778.4</v>
      </c>
      <c r="AE68" s="243">
        <f t="shared" si="40"/>
        <v>44416.5</v>
      </c>
      <c r="AG68" s="4">
        <f t="shared" si="17"/>
        <v>484612</v>
      </c>
      <c r="AX68" s="4">
        <v>1988</v>
      </c>
      <c r="AY68" s="4">
        <v>4</v>
      </c>
      <c r="AZ68" s="76">
        <f>'[8]COM 55 &amp; 65'!$S153</f>
        <v>215.7</v>
      </c>
      <c r="BA68" s="76">
        <f t="shared" si="46"/>
        <v>227.4</v>
      </c>
      <c r="BB68" s="362">
        <f t="shared" si="23"/>
        <v>11.700000000000017</v>
      </c>
      <c r="BC68" s="362"/>
      <c r="BD68" s="76">
        <f>'[8]COM 55 &amp; 65'!$J153</f>
        <v>4.9000000000000004</v>
      </c>
      <c r="BE68" s="76">
        <f t="shared" si="47"/>
        <v>4.8</v>
      </c>
      <c r="BF68" s="363">
        <f t="shared" si="24"/>
        <v>-0.10000000000000053</v>
      </c>
      <c r="BG68" s="244"/>
      <c r="BH68" s="244">
        <f t="shared" si="18"/>
        <v>7990.0470000000114</v>
      </c>
      <c r="BI68" s="242">
        <f t="shared" si="19"/>
        <v>-65.934000000000353</v>
      </c>
      <c r="BJ68" s="242"/>
      <c r="BK68" s="241">
        <f t="shared" si="20"/>
        <v>7924</v>
      </c>
      <c r="BL68" s="262"/>
      <c r="BM68" s="36" t="s">
        <v>18</v>
      </c>
      <c r="BN68" s="4">
        <v>1988</v>
      </c>
      <c r="BO68" s="4">
        <v>4</v>
      </c>
    </row>
    <row r="69" spans="1:72" ht="12.75" customHeight="1">
      <c r="A69" s="22">
        <v>1988</v>
      </c>
      <c r="B69" s="4">
        <v>5</v>
      </c>
      <c r="C69" s="5">
        <v>507701</v>
      </c>
      <c r="D69" s="5">
        <v>106211</v>
      </c>
      <c r="E69" s="74">
        <f t="shared" si="7"/>
        <v>4780.1000000000004</v>
      </c>
      <c r="G69" s="347"/>
      <c r="J69" s="574">
        <f t="shared" si="21"/>
        <v>106211</v>
      </c>
      <c r="K69" s="4">
        <f>'[7]COM 55 &amp; 65'!$S154</f>
        <v>238.5</v>
      </c>
      <c r="L69" s="4">
        <f t="shared" si="41"/>
        <v>273.89999999999998</v>
      </c>
      <c r="M69" s="44">
        <f t="shared" si="81"/>
        <v>35.399999999999977</v>
      </c>
      <c r="N69" s="4">
        <f>'[7]COM 55 &amp; 65'!$J154</f>
        <v>2.8</v>
      </c>
      <c r="O69" s="4">
        <f t="shared" si="39"/>
        <v>2</v>
      </c>
      <c r="P69" s="41">
        <f t="shared" si="82"/>
        <v>-0.79999999999999982</v>
      </c>
      <c r="Q69" s="474">
        <f t="shared" si="10"/>
        <v>24175.013999999985</v>
      </c>
      <c r="R69" s="472">
        <f t="shared" si="11"/>
        <v>-527.47199999999987</v>
      </c>
      <c r="S69" s="241">
        <f t="shared" si="12"/>
        <v>23648</v>
      </c>
      <c r="T69" s="13" t="s">
        <v>18</v>
      </c>
      <c r="U69" s="4">
        <v>1988</v>
      </c>
      <c r="V69" s="4">
        <v>5</v>
      </c>
      <c r="W69" s="242">
        <f t="shared" si="13"/>
        <v>5002.7680748698349</v>
      </c>
      <c r="X69" s="131">
        <f t="shared" si="83"/>
        <v>152.67217165830698</v>
      </c>
      <c r="Z69" s="175">
        <f t="shared" si="14"/>
        <v>531349</v>
      </c>
      <c r="AA69" s="12">
        <f t="shared" si="15"/>
        <v>23648</v>
      </c>
      <c r="AB69" s="379">
        <f t="shared" si="22"/>
        <v>531349</v>
      </c>
      <c r="AC69" s="107">
        <f>RESID!AC69</f>
        <v>29.55</v>
      </c>
      <c r="AD69" s="243">
        <f t="shared" si="16"/>
        <v>522648.5</v>
      </c>
      <c r="AE69" s="243">
        <f t="shared" si="40"/>
        <v>49296.299999999988</v>
      </c>
      <c r="AG69" s="4">
        <f t="shared" si="17"/>
        <v>546993</v>
      </c>
      <c r="AX69" s="4">
        <v>1988</v>
      </c>
      <c r="AY69" s="4">
        <v>5</v>
      </c>
      <c r="AZ69" s="76">
        <f>'[8]COM 55 &amp; 65'!$S154</f>
        <v>318.60000000000002</v>
      </c>
      <c r="BA69" s="76">
        <f t="shared" si="46"/>
        <v>395.2</v>
      </c>
      <c r="BB69" s="362">
        <f t="shared" si="23"/>
        <v>76.599999999999966</v>
      </c>
      <c r="BC69" s="362"/>
      <c r="BD69" s="76">
        <f>'[8]COM 55 &amp; 65'!$J154</f>
        <v>0.5</v>
      </c>
      <c r="BE69" s="76">
        <f t="shared" si="47"/>
        <v>0.2</v>
      </c>
      <c r="BF69" s="363">
        <f t="shared" si="24"/>
        <v>-0.3</v>
      </c>
      <c r="BG69" s="244"/>
      <c r="BH69" s="244">
        <f t="shared" si="18"/>
        <v>52310.905999999974</v>
      </c>
      <c r="BI69" s="242">
        <f t="shared" si="19"/>
        <v>-197.80199999999999</v>
      </c>
      <c r="BJ69" s="242"/>
      <c r="BK69" s="241">
        <f t="shared" si="20"/>
        <v>52113</v>
      </c>
      <c r="BL69" s="262"/>
      <c r="BM69" s="36" t="s">
        <v>18</v>
      </c>
      <c r="BN69" s="4">
        <v>1988</v>
      </c>
      <c r="BO69" s="4">
        <v>5</v>
      </c>
    </row>
    <row r="70" spans="1:72" ht="12.75" customHeight="1">
      <c r="A70" s="22">
        <v>1988</v>
      </c>
      <c r="B70" s="4">
        <v>6</v>
      </c>
      <c r="C70" s="5">
        <v>568824</v>
      </c>
      <c r="D70" s="5">
        <v>106616</v>
      </c>
      <c r="E70" s="74">
        <f t="shared" si="7"/>
        <v>5335.3</v>
      </c>
      <c r="G70" s="347"/>
      <c r="J70" s="574">
        <f t="shared" si="21"/>
        <v>106616</v>
      </c>
      <c r="K70" s="4">
        <f>'[7]COM 55 &amp; 65'!$S155</f>
        <v>379.7</v>
      </c>
      <c r="L70" s="4">
        <f t="shared" si="41"/>
        <v>442.7</v>
      </c>
      <c r="M70" s="44">
        <f t="shared" si="81"/>
        <v>63</v>
      </c>
      <c r="N70" s="4">
        <f>'[7]COM 55 &amp; 65'!$J155</f>
        <v>0.2</v>
      </c>
      <c r="O70" s="4">
        <f t="shared" si="39"/>
        <v>0.1</v>
      </c>
      <c r="P70" s="41">
        <f t="shared" si="82"/>
        <v>-0.1</v>
      </c>
      <c r="Q70" s="474">
        <f t="shared" si="10"/>
        <v>43023.329999999994</v>
      </c>
      <c r="R70" s="472">
        <f t="shared" si="11"/>
        <v>-65.934000000000012</v>
      </c>
      <c r="S70" s="241">
        <f t="shared" si="12"/>
        <v>42957</v>
      </c>
      <c r="T70" s="13" t="s">
        <v>18</v>
      </c>
      <c r="U70" s="4">
        <v>1988</v>
      </c>
      <c r="V70" s="4">
        <v>6</v>
      </c>
      <c r="W70" s="242">
        <f t="shared" si="13"/>
        <v>5738.1725069407967</v>
      </c>
      <c r="X70" s="131">
        <f t="shared" si="83"/>
        <v>326.44797871255105</v>
      </c>
      <c r="Z70" s="175">
        <f t="shared" si="14"/>
        <v>611781</v>
      </c>
      <c r="AA70" s="12">
        <f t="shared" si="15"/>
        <v>42957</v>
      </c>
      <c r="AB70" s="379">
        <f t="shared" si="22"/>
        <v>611781</v>
      </c>
      <c r="AC70" s="107">
        <f>RESID!AC70</f>
        <v>30.65</v>
      </c>
      <c r="AD70" s="243">
        <f t="shared" si="16"/>
        <v>564555.5</v>
      </c>
      <c r="AE70" s="243">
        <f t="shared" si="40"/>
        <v>20878.400000000023</v>
      </c>
      <c r="AG70" s="4">
        <f t="shared" si="17"/>
        <v>607190</v>
      </c>
      <c r="AX70" s="4">
        <v>1988</v>
      </c>
      <c r="AY70" s="4">
        <v>6</v>
      </c>
      <c r="AZ70" s="76">
        <f>'[8]COM 55 &amp; 65'!$S155</f>
        <v>464.1</v>
      </c>
      <c r="BA70" s="76">
        <f t="shared" si="46"/>
        <v>485.1</v>
      </c>
      <c r="BB70" s="362">
        <f t="shared" si="23"/>
        <v>21</v>
      </c>
      <c r="BC70" s="362"/>
      <c r="BD70" s="76">
        <f>'[8]COM 55 &amp; 65'!$J155</f>
        <v>0</v>
      </c>
      <c r="BE70" s="76">
        <f t="shared" si="47"/>
        <v>0</v>
      </c>
      <c r="BF70" s="363">
        <f t="shared" si="24"/>
        <v>0</v>
      </c>
      <c r="BG70" s="244"/>
      <c r="BH70" s="244">
        <f t="shared" si="18"/>
        <v>14341.109999999999</v>
      </c>
      <c r="BI70" s="242">
        <f t="shared" si="19"/>
        <v>0</v>
      </c>
      <c r="BJ70" s="242"/>
      <c r="BK70" s="241">
        <f t="shared" si="20"/>
        <v>14341</v>
      </c>
      <c r="BL70" s="262"/>
      <c r="BM70" s="36" t="s">
        <v>18</v>
      </c>
      <c r="BN70" s="4">
        <v>1988</v>
      </c>
      <c r="BO70" s="4">
        <v>6</v>
      </c>
    </row>
    <row r="71" spans="1:72" ht="12.75" customHeight="1">
      <c r="A71" s="22">
        <v>1988</v>
      </c>
      <c r="B71" s="4">
        <v>7</v>
      </c>
      <c r="C71" s="5">
        <v>615848</v>
      </c>
      <c r="D71" s="5">
        <v>106931</v>
      </c>
      <c r="E71" s="74">
        <f t="shared" si="7"/>
        <v>5759.3</v>
      </c>
      <c r="G71" s="347"/>
      <c r="J71" s="574">
        <f t="shared" si="21"/>
        <v>106931</v>
      </c>
      <c r="K71" s="4">
        <f>'[7]COM 55 &amp; 65'!$S156</f>
        <v>499</v>
      </c>
      <c r="L71" s="4">
        <f t="shared" si="41"/>
        <v>516.1</v>
      </c>
      <c r="M71" s="44">
        <f t="shared" si="81"/>
        <v>17.100000000000023</v>
      </c>
      <c r="N71" s="4">
        <f>'[7]COM 55 &amp; 65'!$J156</f>
        <v>0</v>
      </c>
      <c r="O71" s="4">
        <f t="shared" si="39"/>
        <v>0</v>
      </c>
      <c r="P71" s="41">
        <f t="shared" si="82"/>
        <v>0</v>
      </c>
      <c r="Q71" s="474">
        <f t="shared" si="10"/>
        <v>11677.761000000015</v>
      </c>
      <c r="R71" s="472">
        <f t="shared" si="11"/>
        <v>0</v>
      </c>
      <c r="S71" s="241">
        <f t="shared" si="12"/>
        <v>11678</v>
      </c>
      <c r="T71" s="13" t="s">
        <v>18</v>
      </c>
      <c r="U71" s="4">
        <v>1988</v>
      </c>
      <c r="V71" s="4">
        <v>7</v>
      </c>
      <c r="W71" s="242">
        <f t="shared" si="13"/>
        <v>5868.5133403783748</v>
      </c>
      <c r="X71" s="131">
        <f t="shared" si="83"/>
        <v>230.11827025017101</v>
      </c>
      <c r="Z71" s="175">
        <f t="shared" si="14"/>
        <v>627526</v>
      </c>
      <c r="AA71" s="12">
        <f t="shared" si="15"/>
        <v>11678</v>
      </c>
      <c r="AB71" s="379">
        <f t="shared" si="22"/>
        <v>627526</v>
      </c>
      <c r="AC71" s="107">
        <f>RESID!AC71</f>
        <v>30.65</v>
      </c>
      <c r="AD71" s="243">
        <f t="shared" si="16"/>
        <v>611226.6</v>
      </c>
      <c r="AE71" s="243">
        <f t="shared" si="40"/>
        <v>13198</v>
      </c>
      <c r="AG71" s="4">
        <f t="shared" si="17"/>
        <v>622817</v>
      </c>
      <c r="AX71" s="4">
        <v>1988</v>
      </c>
      <c r="AY71" s="4">
        <v>7</v>
      </c>
      <c r="AZ71" s="76">
        <f>'[8]COM 55 &amp; 65'!$S156</f>
        <v>518.5</v>
      </c>
      <c r="BA71" s="76">
        <f t="shared" si="46"/>
        <v>546.1</v>
      </c>
      <c r="BB71" s="362">
        <f t="shared" si="23"/>
        <v>27.600000000000023</v>
      </c>
      <c r="BC71" s="362"/>
      <c r="BD71" s="76">
        <f>'[8]COM 55 &amp; 65'!$J156</f>
        <v>0</v>
      </c>
      <c r="BE71" s="76">
        <f t="shared" si="47"/>
        <v>0</v>
      </c>
      <c r="BF71" s="363">
        <f t="shared" si="24"/>
        <v>0</v>
      </c>
      <c r="BG71" s="244"/>
      <c r="BH71" s="244">
        <f t="shared" si="18"/>
        <v>18848.316000000013</v>
      </c>
      <c r="BI71" s="242">
        <f t="shared" si="19"/>
        <v>0</v>
      </c>
      <c r="BJ71" s="242"/>
      <c r="BK71" s="241">
        <f t="shared" si="20"/>
        <v>18848</v>
      </c>
      <c r="BL71" s="262"/>
      <c r="BM71" s="36" t="s">
        <v>18</v>
      </c>
      <c r="BN71" s="4">
        <v>1988</v>
      </c>
      <c r="BO71" s="4">
        <v>7</v>
      </c>
    </row>
    <row r="72" spans="1:72" ht="12.75" customHeight="1">
      <c r="A72" s="22">
        <v>1988</v>
      </c>
      <c r="B72" s="4">
        <v>8</v>
      </c>
      <c r="C72" s="5">
        <v>611346</v>
      </c>
      <c r="D72" s="5">
        <v>107491</v>
      </c>
      <c r="E72" s="74">
        <f t="shared" si="7"/>
        <v>5687.4</v>
      </c>
      <c r="G72" s="347"/>
      <c r="J72" s="574">
        <f t="shared" si="21"/>
        <v>107491</v>
      </c>
      <c r="K72" s="4">
        <f>'[7]COM 55 &amp; 65'!$S157</f>
        <v>510.2</v>
      </c>
      <c r="L72" s="4">
        <f t="shared" si="41"/>
        <v>542</v>
      </c>
      <c r="M72" s="44">
        <f t="shared" si="81"/>
        <v>31.800000000000011</v>
      </c>
      <c r="N72" s="4">
        <f>'[7]COM 55 &amp; 65'!$J157</f>
        <v>0</v>
      </c>
      <c r="O72" s="4">
        <f t="shared" si="39"/>
        <v>0</v>
      </c>
      <c r="P72" s="41">
        <f t="shared" si="82"/>
        <v>0</v>
      </c>
      <c r="Q72" s="474">
        <f t="shared" si="10"/>
        <v>21716.538000000008</v>
      </c>
      <c r="R72" s="472">
        <f t="shared" si="11"/>
        <v>0</v>
      </c>
      <c r="S72" s="241">
        <f t="shared" si="12"/>
        <v>21717</v>
      </c>
      <c r="T72" s="13" t="s">
        <v>18</v>
      </c>
      <c r="U72" s="4">
        <v>1988</v>
      </c>
      <c r="V72" s="4">
        <v>8</v>
      </c>
      <c r="W72" s="242">
        <f t="shared" si="13"/>
        <v>5889.4512098687337</v>
      </c>
      <c r="X72" s="131">
        <f t="shared" si="83"/>
        <v>172.42717457051822</v>
      </c>
      <c r="Z72" s="175">
        <f t="shared" si="14"/>
        <v>633063</v>
      </c>
      <c r="AA72" s="12">
        <f t="shared" si="15"/>
        <v>21717</v>
      </c>
      <c r="AB72" s="379">
        <f t="shared" si="22"/>
        <v>633063</v>
      </c>
      <c r="AC72" s="107">
        <f>RESID!AC72</f>
        <v>29.7</v>
      </c>
      <c r="AD72" s="243">
        <f t="shared" si="16"/>
        <v>626166.5</v>
      </c>
      <c r="AE72" s="243">
        <f t="shared" si="40"/>
        <v>24739.400000000023</v>
      </c>
      <c r="AG72" s="4">
        <f t="shared" si="17"/>
        <v>648410</v>
      </c>
      <c r="AX72" s="4">
        <v>1988</v>
      </c>
      <c r="AY72" s="4">
        <v>8</v>
      </c>
      <c r="AZ72" s="76">
        <f>'[8]COM 55 &amp; 65'!$S157</f>
        <v>554</v>
      </c>
      <c r="BA72" s="76">
        <f t="shared" si="46"/>
        <v>549</v>
      </c>
      <c r="BB72" s="362">
        <f t="shared" si="23"/>
        <v>-5</v>
      </c>
      <c r="BC72" s="362"/>
      <c r="BD72" s="76">
        <f>'[8]COM 55 &amp; 65'!$J157</f>
        <v>0</v>
      </c>
      <c r="BE72" s="76">
        <f t="shared" si="47"/>
        <v>0</v>
      </c>
      <c r="BF72" s="363">
        <f t="shared" si="24"/>
        <v>0</v>
      </c>
      <c r="BG72" s="244"/>
      <c r="BH72" s="244">
        <f t="shared" si="18"/>
        <v>-3414.5499999999997</v>
      </c>
      <c r="BI72" s="242">
        <f t="shared" si="19"/>
        <v>0</v>
      </c>
      <c r="BJ72" s="242"/>
      <c r="BK72" s="241">
        <f t="shared" si="20"/>
        <v>-3415</v>
      </c>
      <c r="BL72" s="262"/>
      <c r="BM72" s="36" t="s">
        <v>18</v>
      </c>
      <c r="BN72" s="4">
        <v>1988</v>
      </c>
      <c r="BO72" s="4">
        <v>8</v>
      </c>
    </row>
    <row r="73" spans="1:72" ht="12.75" customHeight="1">
      <c r="A73" s="22">
        <v>1988</v>
      </c>
      <c r="B73" s="4">
        <v>9</v>
      </c>
      <c r="C73" s="5">
        <v>658613</v>
      </c>
      <c r="D73" s="5">
        <v>107933</v>
      </c>
      <c r="E73" s="74">
        <f t="shared" si="7"/>
        <v>6102.1</v>
      </c>
      <c r="G73" s="347"/>
      <c r="J73" s="574">
        <f t="shared" si="21"/>
        <v>107933</v>
      </c>
      <c r="K73" s="4">
        <f>'[7]COM 55 &amp; 65'!$S158</f>
        <v>562.20000000000005</v>
      </c>
      <c r="L73" s="4">
        <f t="shared" si="41"/>
        <v>531.20000000000005</v>
      </c>
      <c r="M73" s="44">
        <f t="shared" si="81"/>
        <v>-31</v>
      </c>
      <c r="N73" s="4">
        <f>'[7]COM 55 &amp; 65'!$J158</f>
        <v>0</v>
      </c>
      <c r="O73" s="4">
        <f t="shared" si="39"/>
        <v>0</v>
      </c>
      <c r="P73" s="41">
        <f t="shared" si="82"/>
        <v>0</v>
      </c>
      <c r="Q73" s="474">
        <f t="shared" si="10"/>
        <v>-21170.21</v>
      </c>
      <c r="R73" s="472">
        <f t="shared" si="11"/>
        <v>0</v>
      </c>
      <c r="S73" s="241">
        <f t="shared" si="12"/>
        <v>-21170</v>
      </c>
      <c r="T73" s="13" t="s">
        <v>18</v>
      </c>
      <c r="U73" s="4">
        <v>1988</v>
      </c>
      <c r="V73" s="4">
        <v>9</v>
      </c>
      <c r="W73" s="242">
        <f t="shared" si="13"/>
        <v>5905.9138539649603</v>
      </c>
      <c r="X73" s="131">
        <f t="shared" si="83"/>
        <v>223.02694633753072</v>
      </c>
      <c r="Z73" s="175">
        <f t="shared" si="14"/>
        <v>637443</v>
      </c>
      <c r="AA73" s="12">
        <f t="shared" si="15"/>
        <v>-21170</v>
      </c>
      <c r="AB73" s="379">
        <f t="shared" si="22"/>
        <v>637443</v>
      </c>
      <c r="AC73" s="107">
        <f>RESID!AC73</f>
        <v>31.85</v>
      </c>
      <c r="AD73" s="243">
        <f t="shared" si="16"/>
        <v>629042.6</v>
      </c>
      <c r="AE73" s="243">
        <f t="shared" si="40"/>
        <v>21891.599999999977</v>
      </c>
      <c r="AG73" s="4">
        <f t="shared" si="17"/>
        <v>608823</v>
      </c>
      <c r="AX73" s="4">
        <v>1988</v>
      </c>
      <c r="AY73" s="4">
        <v>9</v>
      </c>
      <c r="AZ73" s="76">
        <f>'[8]COM 55 &amp; 65'!$S158</f>
        <v>508.8</v>
      </c>
      <c r="BA73" s="76">
        <f t="shared" si="46"/>
        <v>487.9</v>
      </c>
      <c r="BB73" s="362">
        <f t="shared" si="23"/>
        <v>-20.900000000000034</v>
      </c>
      <c r="BC73" s="362"/>
      <c r="BD73" s="76">
        <f>'[8]COM 55 &amp; 65'!$J158</f>
        <v>0</v>
      </c>
      <c r="BE73" s="76">
        <f t="shared" si="47"/>
        <v>0</v>
      </c>
      <c r="BF73" s="363">
        <f t="shared" si="24"/>
        <v>0</v>
      </c>
      <c r="BG73" s="244"/>
      <c r="BH73" s="244">
        <f t="shared" si="18"/>
        <v>-14272.819000000023</v>
      </c>
      <c r="BI73" s="242">
        <f t="shared" si="19"/>
        <v>0</v>
      </c>
      <c r="BJ73" s="242"/>
      <c r="BK73" s="241">
        <f t="shared" si="20"/>
        <v>-14273</v>
      </c>
      <c r="BL73" s="262"/>
      <c r="BM73" s="36" t="s">
        <v>18</v>
      </c>
      <c r="BN73" s="4">
        <v>1988</v>
      </c>
      <c r="BO73" s="4">
        <v>9</v>
      </c>
    </row>
    <row r="74" spans="1:72" ht="12.75" customHeight="1">
      <c r="A74" s="22">
        <v>1988</v>
      </c>
      <c r="B74" s="4">
        <v>10</v>
      </c>
      <c r="C74" s="5">
        <v>584098</v>
      </c>
      <c r="D74" s="5">
        <v>108210</v>
      </c>
      <c r="E74" s="74">
        <f t="shared" si="7"/>
        <v>5397.8</v>
      </c>
      <c r="G74" s="347"/>
      <c r="J74" s="574">
        <f t="shared" si="21"/>
        <v>108210</v>
      </c>
      <c r="K74" s="4">
        <f>'[7]COM 55 &amp; 65'!$S159</f>
        <v>419.4</v>
      </c>
      <c r="L74" s="4">
        <f t="shared" si="41"/>
        <v>431.2</v>
      </c>
      <c r="M74" s="44">
        <f t="shared" si="81"/>
        <v>11.800000000000011</v>
      </c>
      <c r="N74" s="4">
        <f>'[7]COM 55 &amp; 65'!$J159</f>
        <v>0.9</v>
      </c>
      <c r="O74" s="4">
        <f t="shared" si="39"/>
        <v>0.2</v>
      </c>
      <c r="P74" s="41">
        <f t="shared" si="82"/>
        <v>-0.7</v>
      </c>
      <c r="Q74" s="474">
        <f t="shared" si="10"/>
        <v>8058.338000000007</v>
      </c>
      <c r="R74" s="472">
        <f t="shared" si="11"/>
        <v>-461.53800000000001</v>
      </c>
      <c r="S74" s="241">
        <f t="shared" si="12"/>
        <v>7597</v>
      </c>
      <c r="T74" s="13" t="s">
        <v>18</v>
      </c>
      <c r="U74" s="4">
        <v>1988</v>
      </c>
      <c r="V74" s="4">
        <v>10</v>
      </c>
      <c r="W74" s="242">
        <f t="shared" si="13"/>
        <v>5468.0251363090292</v>
      </c>
      <c r="X74" s="131">
        <f t="shared" si="83"/>
        <v>-19.89585343077033</v>
      </c>
      <c r="Z74" s="175">
        <f t="shared" si="14"/>
        <v>591695</v>
      </c>
      <c r="AA74" s="12">
        <f t="shared" si="15"/>
        <v>7597</v>
      </c>
      <c r="AB74" s="379">
        <f t="shared" si="22"/>
        <v>591695</v>
      </c>
      <c r="AC74" s="107">
        <f>RESID!AC74</f>
        <v>29.75</v>
      </c>
      <c r="AD74" s="243">
        <f t="shared" si="16"/>
        <v>597252.5</v>
      </c>
      <c r="AE74" s="243">
        <f t="shared" si="40"/>
        <v>40869.199999999953</v>
      </c>
      <c r="AG74" s="4">
        <f t="shared" si="17"/>
        <v>605021</v>
      </c>
      <c r="AX74" s="4">
        <v>1988</v>
      </c>
      <c r="AY74" s="4">
        <v>10</v>
      </c>
      <c r="AZ74" s="76">
        <f>'[8]COM 55 &amp; 65'!$S159</f>
        <v>265.89999999999998</v>
      </c>
      <c r="BA74" s="76">
        <f t="shared" si="46"/>
        <v>332.5</v>
      </c>
      <c r="BB74" s="362">
        <f t="shared" si="23"/>
        <v>66.600000000000023</v>
      </c>
      <c r="BC74" s="362"/>
      <c r="BD74" s="76">
        <f>'[8]COM 55 &amp; 65'!$J159</f>
        <v>2.9</v>
      </c>
      <c r="BE74" s="76">
        <f t="shared" si="47"/>
        <v>2</v>
      </c>
      <c r="BF74" s="363">
        <f t="shared" si="24"/>
        <v>-0.89999999999999991</v>
      </c>
      <c r="BG74" s="244"/>
      <c r="BH74" s="244">
        <f t="shared" si="18"/>
        <v>45481.806000000011</v>
      </c>
      <c r="BI74" s="242">
        <f t="shared" si="19"/>
        <v>-593.40599999999995</v>
      </c>
      <c r="BJ74" s="242"/>
      <c r="BK74" s="241">
        <f t="shared" si="20"/>
        <v>44888</v>
      </c>
      <c r="BL74" s="262"/>
      <c r="BM74" s="36" t="s">
        <v>18</v>
      </c>
      <c r="BN74" s="4">
        <v>1988</v>
      </c>
      <c r="BO74" s="4">
        <v>10</v>
      </c>
    </row>
    <row r="75" spans="1:72" ht="12.75" customHeight="1">
      <c r="A75" s="22">
        <v>1988</v>
      </c>
      <c r="B75" s="4">
        <v>11</v>
      </c>
      <c r="C75" s="5">
        <v>518994</v>
      </c>
      <c r="D75" s="5">
        <v>108816</v>
      </c>
      <c r="E75" s="74">
        <f t="shared" si="7"/>
        <v>4769.5</v>
      </c>
      <c r="G75" s="347"/>
      <c r="J75" s="574">
        <f t="shared" si="21"/>
        <v>108816</v>
      </c>
      <c r="K75" s="4">
        <f>'[7]COM 55 &amp; 65'!$S160</f>
        <v>224.5</v>
      </c>
      <c r="L75" s="4">
        <f t="shared" si="41"/>
        <v>251.9</v>
      </c>
      <c r="M75" s="44">
        <f t="shared" si="81"/>
        <v>27.400000000000006</v>
      </c>
      <c r="N75" s="4">
        <f>'[7]COM 55 &amp; 65'!$J160</f>
        <v>4</v>
      </c>
      <c r="O75" s="4">
        <f t="shared" si="39"/>
        <v>6.3</v>
      </c>
      <c r="P75" s="41">
        <f t="shared" si="82"/>
        <v>2.2999999999999998</v>
      </c>
      <c r="Q75" s="474">
        <f t="shared" si="10"/>
        <v>18711.734000000004</v>
      </c>
      <c r="R75" s="472">
        <f t="shared" si="11"/>
        <v>1516.482</v>
      </c>
      <c r="S75" s="241">
        <f t="shared" si="12"/>
        <v>20228</v>
      </c>
      <c r="T75" s="13" t="s">
        <v>18</v>
      </c>
      <c r="U75" s="4">
        <v>1988</v>
      </c>
      <c r="V75" s="4">
        <v>11</v>
      </c>
      <c r="W75" s="242">
        <f t="shared" si="13"/>
        <v>4955.3558300249961</v>
      </c>
      <c r="X75" s="131">
        <f t="shared" si="83"/>
        <v>9.1198873147222912</v>
      </c>
      <c r="Z75" s="175">
        <f t="shared" si="14"/>
        <v>539222</v>
      </c>
      <c r="AA75" s="12">
        <f t="shared" si="15"/>
        <v>20228</v>
      </c>
      <c r="AB75" s="379">
        <f t="shared" si="22"/>
        <v>539222</v>
      </c>
      <c r="AC75" s="107">
        <f>RESID!AC75</f>
        <v>30.1</v>
      </c>
      <c r="AD75" s="243">
        <f t="shared" si="16"/>
        <v>524511.5</v>
      </c>
      <c r="AE75" s="243">
        <f t="shared" si="40"/>
        <v>38994.099999999977</v>
      </c>
      <c r="AG75" s="4">
        <f t="shared" si="17"/>
        <v>544955</v>
      </c>
      <c r="AX75" s="4">
        <v>1988</v>
      </c>
      <c r="AY75" s="4">
        <v>11</v>
      </c>
      <c r="AZ75" s="76">
        <f>'[8]COM 55 &amp; 65'!$S160</f>
        <v>195.8</v>
      </c>
      <c r="BA75" s="76">
        <f t="shared" si="46"/>
        <v>146</v>
      </c>
      <c r="BB75" s="362">
        <f t="shared" si="23"/>
        <v>-49.800000000000011</v>
      </c>
      <c r="BC75" s="362"/>
      <c r="BD75" s="76">
        <f>'[8]COM 55 &amp; 65'!$J160</f>
        <v>6.7</v>
      </c>
      <c r="BE75" s="76">
        <f t="shared" si="47"/>
        <v>14</v>
      </c>
      <c r="BF75" s="363">
        <f t="shared" si="24"/>
        <v>7.3</v>
      </c>
      <c r="BG75" s="244"/>
      <c r="BH75" s="244">
        <f t="shared" si="18"/>
        <v>-34008.918000000005</v>
      </c>
      <c r="BI75" s="242">
        <f t="shared" si="19"/>
        <v>4813.1819999999998</v>
      </c>
      <c r="BJ75" s="242"/>
      <c r="BK75" s="241">
        <f t="shared" si="20"/>
        <v>-29196</v>
      </c>
      <c r="BL75" s="262"/>
      <c r="BM75" s="36" t="s">
        <v>18</v>
      </c>
      <c r="BN75" s="4">
        <v>1988</v>
      </c>
      <c r="BO75" s="4">
        <v>11</v>
      </c>
    </row>
    <row r="76" spans="1:72" s="89" customFormat="1" ht="12.75" customHeight="1">
      <c r="A76" s="225">
        <v>1988</v>
      </c>
      <c r="B76" s="89">
        <v>12</v>
      </c>
      <c r="C76" s="103">
        <v>515735</v>
      </c>
      <c r="D76" s="103">
        <v>109054</v>
      </c>
      <c r="E76" s="109">
        <f t="shared" si="7"/>
        <v>4729.2</v>
      </c>
      <c r="F76" s="90"/>
      <c r="G76" s="348"/>
      <c r="J76" s="575">
        <f t="shared" si="21"/>
        <v>109054</v>
      </c>
      <c r="K76" s="89">
        <f>'[7]COM 55 &amp; 65'!$S161</f>
        <v>148.4</v>
      </c>
      <c r="L76" s="89">
        <f t="shared" si="41"/>
        <v>119.4</v>
      </c>
      <c r="M76" s="93">
        <f t="shared" si="81"/>
        <v>-29</v>
      </c>
      <c r="N76" s="89">
        <f>'[7]COM 55 &amp; 65'!$J161</f>
        <v>30.7</v>
      </c>
      <c r="O76" s="89">
        <f t="shared" si="39"/>
        <v>30.1</v>
      </c>
      <c r="P76" s="94">
        <f t="shared" si="82"/>
        <v>-0.59999999999999787</v>
      </c>
      <c r="Q76" s="475">
        <f t="shared" si="10"/>
        <v>-19804.39</v>
      </c>
      <c r="R76" s="473">
        <f t="shared" si="11"/>
        <v>-395.60399999999862</v>
      </c>
      <c r="S76" s="329">
        <f t="shared" si="12"/>
        <v>-20200</v>
      </c>
      <c r="T76" s="90" t="s">
        <v>18</v>
      </c>
      <c r="U76" s="89">
        <v>1988</v>
      </c>
      <c r="V76" s="89">
        <v>12</v>
      </c>
      <c r="W76" s="328">
        <f t="shared" si="13"/>
        <v>4543.9415335521853</v>
      </c>
      <c r="X76" s="133">
        <f t="shared" si="83"/>
        <v>41.013590563486105</v>
      </c>
      <c r="Z76" s="176">
        <f t="shared" si="14"/>
        <v>495535</v>
      </c>
      <c r="AA76" s="105">
        <f t="shared" si="15"/>
        <v>-20200</v>
      </c>
      <c r="AB76" s="517">
        <f t="shared" si="22"/>
        <v>495535</v>
      </c>
      <c r="AC76" s="110">
        <f>RESID!AC76</f>
        <v>31.55</v>
      </c>
      <c r="AD76" s="331">
        <f t="shared" si="16"/>
        <v>497263.4</v>
      </c>
      <c r="AE76" s="331">
        <f t="shared" si="40"/>
        <v>45639.900000000023</v>
      </c>
      <c r="AG76" s="89">
        <f t="shared" si="17"/>
        <v>477787</v>
      </c>
      <c r="AX76" s="89">
        <v>1988</v>
      </c>
      <c r="AY76" s="89">
        <v>12</v>
      </c>
      <c r="AZ76" s="92">
        <f>'[8]COM 55 &amp; 65'!$S161</f>
        <v>81.8</v>
      </c>
      <c r="BA76" s="92">
        <f t="shared" si="46"/>
        <v>75.7</v>
      </c>
      <c r="BB76" s="364">
        <f t="shared" si="23"/>
        <v>-6.0999999999999943</v>
      </c>
      <c r="BC76" s="364"/>
      <c r="BD76" s="92">
        <f>'[8]COM 55 &amp; 65'!$J161</f>
        <v>57.2</v>
      </c>
      <c r="BE76" s="92">
        <f t="shared" si="47"/>
        <v>44.3</v>
      </c>
      <c r="BF76" s="365">
        <f t="shared" si="24"/>
        <v>-12.900000000000006</v>
      </c>
      <c r="BG76" s="327"/>
      <c r="BH76" s="327">
        <f t="shared" si="18"/>
        <v>-4165.7509999999957</v>
      </c>
      <c r="BI76" s="328">
        <f t="shared" si="19"/>
        <v>-8505.4860000000044</v>
      </c>
      <c r="BJ76" s="328"/>
      <c r="BK76" s="329">
        <f t="shared" si="20"/>
        <v>-12671</v>
      </c>
      <c r="BL76" s="332"/>
      <c r="BM76" s="113" t="s">
        <v>18</v>
      </c>
      <c r="BN76" s="89">
        <v>1988</v>
      </c>
      <c r="BO76" s="89">
        <v>12</v>
      </c>
      <c r="BT76" s="96"/>
    </row>
    <row r="77" spans="1:72" ht="12.75" customHeight="1">
      <c r="A77" s="22">
        <v>1989</v>
      </c>
      <c r="B77" s="4">
        <v>1</v>
      </c>
      <c r="C77" s="5">
        <v>494062</v>
      </c>
      <c r="D77" s="5">
        <v>109333</v>
      </c>
      <c r="E77" s="74">
        <f t="shared" si="7"/>
        <v>4518.8999999999996</v>
      </c>
      <c r="G77" s="347"/>
      <c r="J77" s="574">
        <f t="shared" si="21"/>
        <v>109333</v>
      </c>
      <c r="K77" s="4">
        <f>'[7]COM 55 &amp; 65'!$S162</f>
        <v>120.6</v>
      </c>
      <c r="L77" s="4">
        <f t="shared" si="41"/>
        <v>70.8</v>
      </c>
      <c r="M77" s="44">
        <f t="shared" si="81"/>
        <v>-49.8</v>
      </c>
      <c r="N77" s="4">
        <f>'[7]COM 55 &amp; 65'!$J162</f>
        <v>36.4</v>
      </c>
      <c r="O77" s="4">
        <f t="shared" si="39"/>
        <v>54.9</v>
      </c>
      <c r="P77" s="41">
        <f t="shared" si="82"/>
        <v>18.5</v>
      </c>
      <c r="Q77" s="474">
        <f t="shared" si="10"/>
        <v>-34008.917999999998</v>
      </c>
      <c r="R77" s="472">
        <f t="shared" si="11"/>
        <v>12197.79</v>
      </c>
      <c r="S77" s="241">
        <f t="shared" si="12"/>
        <v>-21811</v>
      </c>
      <c r="T77" s="13" t="s">
        <v>18</v>
      </c>
      <c r="U77" s="4">
        <v>1989</v>
      </c>
      <c r="V77" s="4">
        <v>1</v>
      </c>
      <c r="W77" s="242">
        <f t="shared" si="13"/>
        <v>4319.3820712868019</v>
      </c>
      <c r="X77" s="131">
        <f t="shared" si="83"/>
        <v>-165.22648068500348</v>
      </c>
      <c r="Z77" s="175">
        <f t="shared" si="14"/>
        <v>472251</v>
      </c>
      <c r="AA77" s="12">
        <f t="shared" si="15"/>
        <v>-21811</v>
      </c>
      <c r="AB77" s="379">
        <f t="shared" si="22"/>
        <v>472251</v>
      </c>
      <c r="AC77" s="107">
        <f>RESID!AC77</f>
        <v>30.5</v>
      </c>
      <c r="AD77" s="243">
        <f t="shared" si="16"/>
        <v>492766.1</v>
      </c>
      <c r="AE77" s="243">
        <f t="shared" si="40"/>
        <v>37755.5</v>
      </c>
      <c r="AG77" s="4">
        <f t="shared" si="17"/>
        <v>471012</v>
      </c>
      <c r="AX77" s="4">
        <v>1989</v>
      </c>
      <c r="AY77" s="4">
        <v>1</v>
      </c>
      <c r="AZ77" s="76">
        <f>'[8]COM 55 &amp; 65'!$S162</f>
        <v>137.6</v>
      </c>
      <c r="BA77" s="76">
        <f t="shared" si="46"/>
        <v>72.3</v>
      </c>
      <c r="BB77" s="362">
        <f t="shared" si="23"/>
        <v>-65.3</v>
      </c>
      <c r="BC77" s="362"/>
      <c r="BD77" s="76">
        <f>'[8]COM 55 &amp; 65'!$J162</f>
        <v>13.7</v>
      </c>
      <c r="BE77" s="76">
        <f t="shared" si="47"/>
        <v>52.4</v>
      </c>
      <c r="BF77" s="363">
        <f t="shared" si="24"/>
        <v>38.700000000000003</v>
      </c>
      <c r="BG77" s="244"/>
      <c r="BH77" s="244">
        <f t="shared" si="18"/>
        <v>-44594.022999999994</v>
      </c>
      <c r="BI77" s="242">
        <f t="shared" si="19"/>
        <v>25516.458000000002</v>
      </c>
      <c r="BJ77" s="242"/>
      <c r="BK77" s="241">
        <f t="shared" si="20"/>
        <v>-19078</v>
      </c>
      <c r="BL77" s="262"/>
      <c r="BM77" s="36" t="s">
        <v>18</v>
      </c>
      <c r="BN77" s="4">
        <v>1989</v>
      </c>
      <c r="BO77" s="4">
        <v>1</v>
      </c>
    </row>
    <row r="78" spans="1:72" ht="12.75" customHeight="1">
      <c r="A78" s="22">
        <v>1989</v>
      </c>
      <c r="B78" s="4">
        <v>2</v>
      </c>
      <c r="C78" s="5">
        <v>488084</v>
      </c>
      <c r="D78" s="5">
        <v>109488</v>
      </c>
      <c r="E78" s="74">
        <f t="shared" si="7"/>
        <v>4457.8999999999996</v>
      </c>
      <c r="G78" s="347"/>
      <c r="J78" s="574">
        <f t="shared" si="21"/>
        <v>109488</v>
      </c>
      <c r="K78" s="4">
        <f>'[7]COM 55 &amp; 65'!$S163</f>
        <v>134.1</v>
      </c>
      <c r="L78" s="4">
        <f t="shared" si="41"/>
        <v>62.7</v>
      </c>
      <c r="M78" s="44">
        <f t="shared" si="81"/>
        <v>-71.399999999999991</v>
      </c>
      <c r="N78" s="4">
        <f>'[7]COM 55 &amp; 65'!$J163</f>
        <v>16.3</v>
      </c>
      <c r="O78" s="4">
        <f t="shared" si="39"/>
        <v>46.9</v>
      </c>
      <c r="P78" s="41">
        <f t="shared" si="82"/>
        <v>30.599999999999998</v>
      </c>
      <c r="Q78" s="474">
        <f t="shared" si="10"/>
        <v>-48759.77399999999</v>
      </c>
      <c r="R78" s="472">
        <f t="shared" si="11"/>
        <v>20175.804</v>
      </c>
      <c r="S78" s="241">
        <f t="shared" si="12"/>
        <v>-28584</v>
      </c>
      <c r="T78" s="13" t="s">
        <v>18</v>
      </c>
      <c r="U78" s="4">
        <v>1989</v>
      </c>
      <c r="V78" s="4">
        <v>2</v>
      </c>
      <c r="W78" s="242">
        <f t="shared" si="13"/>
        <v>4196.8069560134436</v>
      </c>
      <c r="X78" s="131">
        <f t="shared" ref="X78:X93" si="84">W78-W66</f>
        <v>-61.529622356566506</v>
      </c>
      <c r="Z78" s="175">
        <f t="shared" si="14"/>
        <v>459500</v>
      </c>
      <c r="AA78" s="12">
        <f t="shared" si="15"/>
        <v>-28584</v>
      </c>
      <c r="AB78" s="379">
        <f t="shared" si="22"/>
        <v>459500</v>
      </c>
      <c r="AC78" s="107">
        <f>RESID!AC78</f>
        <v>29.65</v>
      </c>
      <c r="AD78" s="243">
        <f t="shared" si="16"/>
        <v>500759.4</v>
      </c>
      <c r="AE78" s="243">
        <f t="shared" si="40"/>
        <v>20816.200000000012</v>
      </c>
      <c r="AG78" s="4">
        <f t="shared" si="17"/>
        <v>471433</v>
      </c>
      <c r="AX78" s="4">
        <v>1989</v>
      </c>
      <c r="AY78" s="4">
        <v>2</v>
      </c>
      <c r="AZ78" s="76">
        <f>'[8]COM 55 &amp; 65'!$S163</f>
        <v>119.3</v>
      </c>
      <c r="BA78" s="76">
        <f t="shared" si="46"/>
        <v>82.6</v>
      </c>
      <c r="BB78" s="362">
        <f t="shared" si="23"/>
        <v>-36.700000000000003</v>
      </c>
      <c r="BC78" s="362"/>
      <c r="BD78" s="76">
        <f>'[8]COM 55 &amp; 65'!$J163</f>
        <v>57</v>
      </c>
      <c r="BE78" s="76">
        <f t="shared" si="47"/>
        <v>36.5</v>
      </c>
      <c r="BF78" s="363">
        <f t="shared" si="24"/>
        <v>-20.5</v>
      </c>
      <c r="BG78" s="244"/>
      <c r="BH78" s="244">
        <f t="shared" si="18"/>
        <v>-25062.797000000002</v>
      </c>
      <c r="BI78" s="242">
        <f t="shared" si="19"/>
        <v>-13516.470000000001</v>
      </c>
      <c r="BJ78" s="242"/>
      <c r="BK78" s="241">
        <f t="shared" si="20"/>
        <v>-38579</v>
      </c>
      <c r="BL78" s="262"/>
      <c r="BM78" s="36" t="s">
        <v>18</v>
      </c>
      <c r="BN78" s="4">
        <v>1989</v>
      </c>
      <c r="BO78" s="4">
        <v>2</v>
      </c>
    </row>
    <row r="79" spans="1:72" ht="12.75" customHeight="1">
      <c r="A79" s="22">
        <v>1989</v>
      </c>
      <c r="B79" s="4">
        <v>3</v>
      </c>
      <c r="C79" s="5">
        <v>507168</v>
      </c>
      <c r="D79" s="5">
        <v>109950</v>
      </c>
      <c r="E79" s="74">
        <f t="shared" si="7"/>
        <v>4612.7</v>
      </c>
      <c r="G79" s="347"/>
      <c r="J79" s="574">
        <f t="shared" si="21"/>
        <v>109950</v>
      </c>
      <c r="K79" s="4">
        <f>'[7]COM 55 &amp; 65'!$S164</f>
        <v>126.9</v>
      </c>
      <c r="L79" s="4">
        <f t="shared" si="41"/>
        <v>105.4</v>
      </c>
      <c r="M79" s="44">
        <f t="shared" si="81"/>
        <v>-21.5</v>
      </c>
      <c r="N79" s="4">
        <f>'[7]COM 55 &amp; 65'!$J164</f>
        <v>60.9</v>
      </c>
      <c r="O79" s="4">
        <f t="shared" si="39"/>
        <v>26.8</v>
      </c>
      <c r="P79" s="41">
        <f t="shared" si="82"/>
        <v>-34.099999999999994</v>
      </c>
      <c r="Q79" s="474">
        <f t="shared" si="10"/>
        <v>-14682.564999999999</v>
      </c>
      <c r="R79" s="472">
        <f t="shared" si="11"/>
        <v>-22483.493999999999</v>
      </c>
      <c r="S79" s="241">
        <f t="shared" si="12"/>
        <v>-37166</v>
      </c>
      <c r="T79" s="13" t="s">
        <v>18</v>
      </c>
      <c r="U79" s="4">
        <v>1989</v>
      </c>
      <c r="V79" s="4">
        <v>3</v>
      </c>
      <c r="W79" s="242">
        <f t="shared" si="13"/>
        <v>4274.6884947703502</v>
      </c>
      <c r="X79" s="131">
        <f t="shared" si="84"/>
        <v>-82.951215635176595</v>
      </c>
      <c r="Z79" s="175">
        <f t="shared" si="14"/>
        <v>470002</v>
      </c>
      <c r="AA79" s="12">
        <f t="shared" si="15"/>
        <v>-37166</v>
      </c>
      <c r="AB79" s="379">
        <f t="shared" si="22"/>
        <v>470002</v>
      </c>
      <c r="AC79" s="107">
        <f>RESID!AC79</f>
        <v>29.55</v>
      </c>
      <c r="AD79" s="243">
        <f t="shared" si="16"/>
        <v>522099.8</v>
      </c>
      <c r="AE79" s="243">
        <f t="shared" si="40"/>
        <v>57444.599999999977</v>
      </c>
      <c r="AG79" s="4">
        <f t="shared" si="17"/>
        <v>483840</v>
      </c>
      <c r="AX79" s="4">
        <v>1989</v>
      </c>
      <c r="AY79" s="4">
        <v>3</v>
      </c>
      <c r="AZ79" s="76">
        <f>'[8]COM 55 &amp; 65'!$S164</f>
        <v>205.3</v>
      </c>
      <c r="BA79" s="76">
        <f t="shared" si="46"/>
        <v>140.4</v>
      </c>
      <c r="BB79" s="362">
        <f t="shared" si="23"/>
        <v>-64.900000000000006</v>
      </c>
      <c r="BC79" s="362"/>
      <c r="BD79" s="76">
        <f>'[8]COM 55 &amp; 65'!$J164</f>
        <v>19.899999999999999</v>
      </c>
      <c r="BE79" s="76">
        <f t="shared" si="47"/>
        <v>15.1</v>
      </c>
      <c r="BF79" s="363">
        <f t="shared" si="24"/>
        <v>-4.7999999999999989</v>
      </c>
      <c r="BG79" s="244"/>
      <c r="BH79" s="244">
        <f t="shared" si="18"/>
        <v>-44320.859000000004</v>
      </c>
      <c r="BI79" s="242">
        <f t="shared" si="19"/>
        <v>-3164.8319999999994</v>
      </c>
      <c r="BJ79" s="242"/>
      <c r="BK79" s="241">
        <f t="shared" si="20"/>
        <v>-47486</v>
      </c>
      <c r="BL79" s="262"/>
      <c r="BM79" s="36" t="s">
        <v>18</v>
      </c>
      <c r="BN79" s="4">
        <v>1989</v>
      </c>
      <c r="BO79" s="4">
        <v>3</v>
      </c>
    </row>
    <row r="80" spans="1:72" ht="12.75" customHeight="1">
      <c r="A80" s="22">
        <v>1989</v>
      </c>
      <c r="B80" s="4">
        <v>4</v>
      </c>
      <c r="C80" s="5">
        <v>572925</v>
      </c>
      <c r="D80" s="5">
        <v>110432</v>
      </c>
      <c r="E80" s="74">
        <f t="shared" si="7"/>
        <v>5188</v>
      </c>
      <c r="G80" s="347"/>
      <c r="J80" s="574">
        <f t="shared" si="21"/>
        <v>110432</v>
      </c>
      <c r="K80" s="4">
        <f>'[7]COM 55 &amp; 65'!$S165</f>
        <v>226.9</v>
      </c>
      <c r="L80" s="4">
        <f t="shared" si="41"/>
        <v>178.4</v>
      </c>
      <c r="M80" s="44">
        <f t="shared" si="81"/>
        <v>-48.5</v>
      </c>
      <c r="N80" s="4">
        <f>'[7]COM 55 &amp; 65'!$J165</f>
        <v>11.3</v>
      </c>
      <c r="O80" s="4">
        <f t="shared" si="39"/>
        <v>9.5</v>
      </c>
      <c r="P80" s="41">
        <f t="shared" si="82"/>
        <v>-1.8000000000000007</v>
      </c>
      <c r="Q80" s="474">
        <f t="shared" si="10"/>
        <v>-33121.135000000002</v>
      </c>
      <c r="R80" s="472">
        <f t="shared" si="11"/>
        <v>-1186.8120000000006</v>
      </c>
      <c r="S80" s="241">
        <f t="shared" si="12"/>
        <v>-34308</v>
      </c>
      <c r="T80" s="13" t="s">
        <v>18</v>
      </c>
      <c r="U80" s="4">
        <v>1989</v>
      </c>
      <c r="V80" s="4">
        <v>4</v>
      </c>
      <c r="W80" s="242">
        <f t="shared" si="13"/>
        <v>4877.3634453781515</v>
      </c>
      <c r="X80" s="131">
        <f t="shared" si="84"/>
        <v>54.574689569029943</v>
      </c>
      <c r="Z80" s="175">
        <f t="shared" si="14"/>
        <v>538617</v>
      </c>
      <c r="AA80" s="12">
        <f t="shared" si="15"/>
        <v>-34308</v>
      </c>
      <c r="AB80" s="379">
        <f t="shared" si="22"/>
        <v>538617</v>
      </c>
      <c r="AC80" s="107">
        <f>RESID!AC80</f>
        <v>32.049999999999997</v>
      </c>
      <c r="AD80" s="243">
        <f t="shared" si="16"/>
        <v>543787.19999999995</v>
      </c>
      <c r="AE80" s="243">
        <f t="shared" si="40"/>
        <v>63008.79999999993</v>
      </c>
      <c r="AG80" s="4">
        <f t="shared" si="17"/>
        <v>511224</v>
      </c>
      <c r="AX80" s="4">
        <v>1989</v>
      </c>
      <c r="AY80" s="4">
        <v>4</v>
      </c>
      <c r="AZ80" s="76">
        <f>'[8]COM 55 &amp; 65'!$S165</f>
        <v>240.8</v>
      </c>
      <c r="BA80" s="76">
        <f t="shared" si="46"/>
        <v>227.4</v>
      </c>
      <c r="BB80" s="362">
        <f t="shared" si="23"/>
        <v>-13.400000000000006</v>
      </c>
      <c r="BC80" s="362"/>
      <c r="BD80" s="76">
        <f>'[8]COM 55 &amp; 65'!$J165</f>
        <v>4.3</v>
      </c>
      <c r="BE80" s="76">
        <f t="shared" si="47"/>
        <v>4.8</v>
      </c>
      <c r="BF80" s="363">
        <f t="shared" si="24"/>
        <v>0.5</v>
      </c>
      <c r="BG80" s="244"/>
      <c r="BH80" s="244">
        <f t="shared" si="18"/>
        <v>-9150.9940000000042</v>
      </c>
      <c r="BI80" s="242">
        <f t="shared" si="19"/>
        <v>329.67</v>
      </c>
      <c r="BJ80" s="242"/>
      <c r="BK80" s="241">
        <f t="shared" si="20"/>
        <v>-8821</v>
      </c>
      <c r="BL80" s="262"/>
      <c r="BM80" s="36" t="s">
        <v>18</v>
      </c>
      <c r="BN80" s="4">
        <v>1989</v>
      </c>
      <c r="BO80" s="4">
        <v>4</v>
      </c>
    </row>
    <row r="81" spans="1:72" ht="12.75" customHeight="1">
      <c r="A81" s="22">
        <v>1989</v>
      </c>
      <c r="B81" s="4">
        <v>5</v>
      </c>
      <c r="C81" s="5">
        <v>550076</v>
      </c>
      <c r="D81" s="5">
        <v>110709</v>
      </c>
      <c r="E81" s="74">
        <f t="shared" ref="E81:E144" si="85">ROUND((C81/D81)*1000,1)</f>
        <v>4968.7</v>
      </c>
      <c r="G81" s="347"/>
      <c r="J81" s="574">
        <f t="shared" si="21"/>
        <v>110709</v>
      </c>
      <c r="K81" s="4">
        <f>'[7]COM 55 &amp; 65'!$S166</f>
        <v>289.39999999999998</v>
      </c>
      <c r="L81" s="4">
        <f t="shared" si="41"/>
        <v>273.89999999999998</v>
      </c>
      <c r="M81" s="44">
        <f t="shared" ref="M81:M112" si="86">(L81-K81)</f>
        <v>-15.5</v>
      </c>
      <c r="N81" s="4">
        <f>'[7]COM 55 &amp; 65'!$J166</f>
        <v>1.6</v>
      </c>
      <c r="O81" s="4">
        <f t="shared" si="39"/>
        <v>2</v>
      </c>
      <c r="P81" s="41">
        <f t="shared" ref="P81:P112" si="87">(O81-N81)</f>
        <v>0.39999999999999991</v>
      </c>
      <c r="Q81" s="474">
        <f t="shared" ref="Q81:Q144" si="88">M81*$C$10</f>
        <v>-10585.105</v>
      </c>
      <c r="R81" s="472">
        <f t="shared" ref="R81:R144" si="89">P81*$C$9</f>
        <v>263.73599999999993</v>
      </c>
      <c r="S81" s="241">
        <f t="shared" ref="S81:S144" si="90">ROUND(SUM(Q81,R81),0)</f>
        <v>-10321</v>
      </c>
      <c r="T81" s="13" t="s">
        <v>18</v>
      </c>
      <c r="U81" s="4">
        <v>1989</v>
      </c>
      <c r="V81" s="4">
        <v>5</v>
      </c>
      <c r="W81" s="242">
        <f t="shared" ref="W81:W144" si="91">Z81/D81*1000</f>
        <v>4875.4392145173379</v>
      </c>
      <c r="X81" s="131">
        <f t="shared" si="84"/>
        <v>-127.32886035249703</v>
      </c>
      <c r="Z81" s="175">
        <f t="shared" ref="Z81:Z144" si="92">S81+C81</f>
        <v>539755</v>
      </c>
      <c r="AA81" s="12">
        <f t="shared" ref="AA81:AA144" si="93">Z81-C81</f>
        <v>-10321</v>
      </c>
      <c r="AB81" s="379">
        <f t="shared" si="22"/>
        <v>539755</v>
      </c>
      <c r="AC81" s="107">
        <f>RESID!AC81</f>
        <v>29.4</v>
      </c>
      <c r="AD81" s="243">
        <f t="shared" ref="AD81:AD144" si="94">ROUND(C81/(AC81/30.42),1)</f>
        <v>569160.30000000005</v>
      </c>
      <c r="AE81" s="243">
        <f t="shared" si="40"/>
        <v>46511.800000000047</v>
      </c>
      <c r="AG81" s="4">
        <f t="shared" ref="AG81:AG144" si="95">ROUND(Z81/(AC81/30.42),0)</f>
        <v>558481</v>
      </c>
      <c r="AX81" s="4">
        <v>1989</v>
      </c>
      <c r="AY81" s="4">
        <v>5</v>
      </c>
      <c r="AZ81" s="76">
        <f>'[8]COM 55 &amp; 65'!$S166</f>
        <v>404.1</v>
      </c>
      <c r="BA81" s="76">
        <f t="shared" si="46"/>
        <v>395.2</v>
      </c>
      <c r="BB81" s="362">
        <f t="shared" si="23"/>
        <v>-8.9000000000000341</v>
      </c>
      <c r="BC81" s="362"/>
      <c r="BD81" s="76">
        <f>'[8]COM 55 &amp; 65'!$J166</f>
        <v>0.7</v>
      </c>
      <c r="BE81" s="76">
        <f t="shared" si="47"/>
        <v>0.2</v>
      </c>
      <c r="BF81" s="363">
        <f t="shared" si="24"/>
        <v>-0.49999999999999994</v>
      </c>
      <c r="BG81" s="244"/>
      <c r="BH81" s="244">
        <f t="shared" ref="BH81:BH144" si="96">BB81*$C$10</f>
        <v>-6077.8990000000231</v>
      </c>
      <c r="BI81" s="242">
        <f t="shared" ref="BI81:BI144" si="97">BF81*$C$9</f>
        <v>-329.66999999999996</v>
      </c>
      <c r="BJ81" s="242"/>
      <c r="BK81" s="241">
        <f t="shared" ref="BK81:BK144" si="98">ROUND(SUM(BH81,BI81),0)</f>
        <v>-6408</v>
      </c>
      <c r="BL81" s="262"/>
      <c r="BM81" s="36" t="s">
        <v>18</v>
      </c>
      <c r="BN81" s="4">
        <v>1989</v>
      </c>
      <c r="BO81" s="4">
        <v>5</v>
      </c>
    </row>
    <row r="82" spans="1:72" ht="12.75" customHeight="1">
      <c r="A82" s="22">
        <v>1989</v>
      </c>
      <c r="B82" s="4">
        <v>6</v>
      </c>
      <c r="C82" s="5">
        <v>639250</v>
      </c>
      <c r="D82" s="5">
        <v>111053</v>
      </c>
      <c r="E82" s="74">
        <f t="shared" si="85"/>
        <v>5756.3</v>
      </c>
      <c r="G82" s="347"/>
      <c r="J82" s="574">
        <f t="shared" ref="J82:J145" si="99">D82</f>
        <v>111053</v>
      </c>
      <c r="K82" s="4">
        <f>'[7]COM 55 &amp; 65'!$S167</f>
        <v>476.1</v>
      </c>
      <c r="L82" s="4">
        <f t="shared" si="41"/>
        <v>442.7</v>
      </c>
      <c r="M82" s="44">
        <f t="shared" si="86"/>
        <v>-33.400000000000034</v>
      </c>
      <c r="N82" s="4">
        <f>'[7]COM 55 &amp; 65'!$J167</f>
        <v>0.3</v>
      </c>
      <c r="O82" s="4">
        <f t="shared" si="39"/>
        <v>0.1</v>
      </c>
      <c r="P82" s="41">
        <f t="shared" si="87"/>
        <v>-0.19999999999999998</v>
      </c>
      <c r="Q82" s="474">
        <f t="shared" si="88"/>
        <v>-22809.194000000021</v>
      </c>
      <c r="R82" s="472">
        <f t="shared" si="89"/>
        <v>-131.86799999999999</v>
      </c>
      <c r="S82" s="241">
        <f t="shared" si="90"/>
        <v>-22941</v>
      </c>
      <c r="T82" s="13" t="s">
        <v>18</v>
      </c>
      <c r="U82" s="4">
        <v>1989</v>
      </c>
      <c r="V82" s="4">
        <v>6</v>
      </c>
      <c r="W82" s="242">
        <f t="shared" si="91"/>
        <v>5549.6834844623745</v>
      </c>
      <c r="X82" s="131">
        <f t="shared" si="84"/>
        <v>-188.48902247842216</v>
      </c>
      <c r="Z82" s="175">
        <f t="shared" si="92"/>
        <v>616309</v>
      </c>
      <c r="AA82" s="12">
        <f t="shared" si="93"/>
        <v>-22941</v>
      </c>
      <c r="AB82" s="379">
        <f t="shared" ref="AB82:AB145" si="100">Z82</f>
        <v>616309</v>
      </c>
      <c r="AC82" s="107">
        <f>RESID!AC82</f>
        <v>30.8</v>
      </c>
      <c r="AD82" s="243">
        <f t="shared" si="94"/>
        <v>631363.1</v>
      </c>
      <c r="AE82" s="243">
        <f t="shared" si="40"/>
        <v>66807.599999999977</v>
      </c>
      <c r="AG82" s="4">
        <f t="shared" si="95"/>
        <v>608705</v>
      </c>
      <c r="AX82" s="4">
        <v>1989</v>
      </c>
      <c r="AY82" s="4">
        <v>6</v>
      </c>
      <c r="AZ82" s="76">
        <f>'[8]COM 55 &amp; 65'!$S167</f>
        <v>503.7</v>
      </c>
      <c r="BA82" s="76">
        <f t="shared" si="46"/>
        <v>485.1</v>
      </c>
      <c r="BB82" s="362">
        <f t="shared" ref="BB82:BB145" si="101">(BA82-AZ82)</f>
        <v>-18.599999999999966</v>
      </c>
      <c r="BC82" s="362"/>
      <c r="BD82" s="76">
        <f>'[8]COM 55 &amp; 65'!$J167</f>
        <v>0</v>
      </c>
      <c r="BE82" s="76">
        <f t="shared" si="47"/>
        <v>0</v>
      </c>
      <c r="BF82" s="363">
        <f t="shared" ref="BF82:BF145" si="102">(BE82-BD82)</f>
        <v>0</v>
      </c>
      <c r="BG82" s="244"/>
      <c r="BH82" s="244">
        <f t="shared" si="96"/>
        <v>-12702.125999999977</v>
      </c>
      <c r="BI82" s="242">
        <f t="shared" si="97"/>
        <v>0</v>
      </c>
      <c r="BJ82" s="242"/>
      <c r="BK82" s="241">
        <f t="shared" si="98"/>
        <v>-12702</v>
      </c>
      <c r="BL82" s="262"/>
      <c r="BM82" s="36" t="s">
        <v>18</v>
      </c>
      <c r="BN82" s="4">
        <v>1989</v>
      </c>
      <c r="BO82" s="4">
        <v>6</v>
      </c>
    </row>
    <row r="83" spans="1:72" ht="12.75" customHeight="1">
      <c r="A83" s="22">
        <v>1989</v>
      </c>
      <c r="B83" s="4">
        <v>7</v>
      </c>
      <c r="C83" s="5">
        <v>660155</v>
      </c>
      <c r="D83" s="5">
        <v>111217</v>
      </c>
      <c r="E83" s="74">
        <f t="shared" si="85"/>
        <v>5935.7</v>
      </c>
      <c r="G83" s="347"/>
      <c r="J83" s="574">
        <f t="shared" si="99"/>
        <v>111217</v>
      </c>
      <c r="K83" s="4">
        <f>'[7]COM 55 &amp; 65'!$S168</f>
        <v>528.4</v>
      </c>
      <c r="L83" s="4">
        <f t="shared" si="41"/>
        <v>516.1</v>
      </c>
      <c r="M83" s="44">
        <f t="shared" si="86"/>
        <v>-12.299999999999955</v>
      </c>
      <c r="N83" s="4">
        <f>'[7]COM 55 &amp; 65'!$J168</f>
        <v>0</v>
      </c>
      <c r="O83" s="4">
        <f t="shared" si="39"/>
        <v>0</v>
      </c>
      <c r="P83" s="41">
        <f t="shared" si="87"/>
        <v>0</v>
      </c>
      <c r="Q83" s="474">
        <f t="shared" si="88"/>
        <v>-8399.7929999999687</v>
      </c>
      <c r="R83" s="472">
        <f t="shared" si="89"/>
        <v>0</v>
      </c>
      <c r="S83" s="241">
        <f t="shared" si="90"/>
        <v>-8400</v>
      </c>
      <c r="T83" s="13" t="s">
        <v>18</v>
      </c>
      <c r="U83" s="4">
        <v>1989</v>
      </c>
      <c r="V83" s="4">
        <v>7</v>
      </c>
      <c r="W83" s="242">
        <f t="shared" si="91"/>
        <v>5860.2102196606629</v>
      </c>
      <c r="X83" s="131">
        <f t="shared" si="84"/>
        <v>-8.3031207177118631</v>
      </c>
      <c r="Z83" s="175">
        <f t="shared" si="92"/>
        <v>651755</v>
      </c>
      <c r="AA83" s="12">
        <f t="shared" si="93"/>
        <v>-8400</v>
      </c>
      <c r="AB83" s="379">
        <f t="shared" si="100"/>
        <v>651755</v>
      </c>
      <c r="AC83" s="107">
        <f>RESID!AC83</f>
        <v>30.5</v>
      </c>
      <c r="AD83" s="243">
        <f t="shared" si="94"/>
        <v>658423.4</v>
      </c>
      <c r="AE83" s="243">
        <f t="shared" si="40"/>
        <v>47196.800000000047</v>
      </c>
      <c r="AG83" s="4">
        <f t="shared" si="95"/>
        <v>650045</v>
      </c>
      <c r="AX83" s="4">
        <v>1989</v>
      </c>
      <c r="AY83" s="4">
        <v>7</v>
      </c>
      <c r="AZ83" s="76">
        <f>'[8]COM 55 &amp; 65'!$S168</f>
        <v>567.70000000000005</v>
      </c>
      <c r="BA83" s="76">
        <f t="shared" si="46"/>
        <v>546.1</v>
      </c>
      <c r="BB83" s="362">
        <f t="shared" si="101"/>
        <v>-21.600000000000023</v>
      </c>
      <c r="BC83" s="362"/>
      <c r="BD83" s="76">
        <f>'[8]COM 55 &amp; 65'!$J168</f>
        <v>0</v>
      </c>
      <c r="BE83" s="76">
        <f t="shared" si="47"/>
        <v>0</v>
      </c>
      <c r="BF83" s="363">
        <f t="shared" si="102"/>
        <v>0</v>
      </c>
      <c r="BG83" s="244"/>
      <c r="BH83" s="244">
        <f t="shared" si="96"/>
        <v>-14750.856000000014</v>
      </c>
      <c r="BI83" s="242">
        <f t="shared" si="97"/>
        <v>0</v>
      </c>
      <c r="BJ83" s="242"/>
      <c r="BK83" s="241">
        <f t="shared" si="98"/>
        <v>-14751</v>
      </c>
      <c r="BL83" s="262"/>
      <c r="BM83" s="36" t="s">
        <v>18</v>
      </c>
      <c r="BN83" s="4">
        <v>1989</v>
      </c>
      <c r="BO83" s="4">
        <v>7</v>
      </c>
    </row>
    <row r="84" spans="1:72" ht="12.75" customHeight="1">
      <c r="A84" s="22">
        <v>1989</v>
      </c>
      <c r="B84" s="4">
        <v>8</v>
      </c>
      <c r="C84" s="5">
        <v>659443</v>
      </c>
      <c r="D84" s="5">
        <v>111463</v>
      </c>
      <c r="E84" s="74">
        <f t="shared" si="85"/>
        <v>5916.3</v>
      </c>
      <c r="G84" s="347"/>
      <c r="J84" s="574">
        <f t="shared" si="99"/>
        <v>111463</v>
      </c>
      <c r="K84" s="4">
        <f>'[7]COM 55 &amp; 65'!$S169</f>
        <v>540.70000000000005</v>
      </c>
      <c r="L84" s="4">
        <f t="shared" si="41"/>
        <v>542</v>
      </c>
      <c r="M84" s="44">
        <f t="shared" si="86"/>
        <v>1.2999999999999545</v>
      </c>
      <c r="N84" s="4">
        <f>'[7]COM 55 &amp; 65'!$J169</f>
        <v>0</v>
      </c>
      <c r="O84" s="4">
        <f t="shared" si="39"/>
        <v>0</v>
      </c>
      <c r="P84" s="41">
        <f t="shared" si="87"/>
        <v>0</v>
      </c>
      <c r="Q84" s="474">
        <f t="shared" si="88"/>
        <v>887.78299999996887</v>
      </c>
      <c r="R84" s="472">
        <f t="shared" si="89"/>
        <v>0</v>
      </c>
      <c r="S84" s="241">
        <f t="shared" si="90"/>
        <v>888</v>
      </c>
      <c r="T84" s="13" t="s">
        <v>18</v>
      </c>
      <c r="U84" s="4">
        <v>1989</v>
      </c>
      <c r="V84" s="4">
        <v>8</v>
      </c>
      <c r="W84" s="242">
        <f t="shared" si="91"/>
        <v>5924.2170047459695</v>
      </c>
      <c r="X84" s="131">
        <f t="shared" si="84"/>
        <v>34.765794877235749</v>
      </c>
      <c r="Z84" s="175">
        <f t="shared" si="92"/>
        <v>660331</v>
      </c>
      <c r="AA84" s="12">
        <f t="shared" si="93"/>
        <v>888</v>
      </c>
      <c r="AB84" s="379">
        <f t="shared" si="100"/>
        <v>660331</v>
      </c>
      <c r="AC84" s="107">
        <f>RESID!AC84</f>
        <v>29.7</v>
      </c>
      <c r="AD84" s="243">
        <f t="shared" si="94"/>
        <v>675429.5</v>
      </c>
      <c r="AE84" s="243">
        <f t="shared" si="40"/>
        <v>49263</v>
      </c>
      <c r="AG84" s="4">
        <f t="shared" si="95"/>
        <v>676339</v>
      </c>
      <c r="AX84" s="4">
        <v>1989</v>
      </c>
      <c r="AY84" s="4">
        <v>8</v>
      </c>
      <c r="AZ84" s="76">
        <f>'[8]COM 55 &amp; 65'!$S169</f>
        <v>566.6</v>
      </c>
      <c r="BA84" s="76">
        <f t="shared" si="46"/>
        <v>549</v>
      </c>
      <c r="BB84" s="362">
        <f t="shared" si="101"/>
        <v>-17.600000000000023</v>
      </c>
      <c r="BC84" s="362"/>
      <c r="BD84" s="76">
        <f>'[8]COM 55 &amp; 65'!$J169</f>
        <v>0</v>
      </c>
      <c r="BE84" s="76">
        <f t="shared" si="47"/>
        <v>0</v>
      </c>
      <c r="BF84" s="363">
        <f t="shared" si="102"/>
        <v>0</v>
      </c>
      <c r="BG84" s="244"/>
      <c r="BH84" s="244">
        <f t="shared" si="96"/>
        <v>-12019.216000000015</v>
      </c>
      <c r="BI84" s="242">
        <f t="shared" si="97"/>
        <v>0</v>
      </c>
      <c r="BJ84" s="242"/>
      <c r="BK84" s="241">
        <f t="shared" si="98"/>
        <v>-12019</v>
      </c>
      <c r="BL84" s="262"/>
      <c r="BM84" s="36" t="s">
        <v>18</v>
      </c>
      <c r="BN84" s="4">
        <v>1989</v>
      </c>
      <c r="BO84" s="4">
        <v>8</v>
      </c>
    </row>
    <row r="85" spans="1:72" ht="12.75" customHeight="1">
      <c r="A85" s="22">
        <v>1989</v>
      </c>
      <c r="B85" s="4">
        <v>9</v>
      </c>
      <c r="C85" s="5">
        <v>703698</v>
      </c>
      <c r="D85" s="5">
        <v>111818</v>
      </c>
      <c r="E85" s="74">
        <f t="shared" si="85"/>
        <v>6293.2</v>
      </c>
      <c r="G85" s="347"/>
      <c r="J85" s="574">
        <f t="shared" si="99"/>
        <v>111818</v>
      </c>
      <c r="K85" s="4">
        <f>'[7]COM 55 &amp; 65'!$S170</f>
        <v>575.5</v>
      </c>
      <c r="L85" s="4">
        <f t="shared" si="41"/>
        <v>531.20000000000005</v>
      </c>
      <c r="M85" s="44">
        <f t="shared" si="86"/>
        <v>-44.299999999999955</v>
      </c>
      <c r="N85" s="4">
        <f>'[7]COM 55 &amp; 65'!$J170</f>
        <v>0</v>
      </c>
      <c r="O85" s="4">
        <f t="shared" si="39"/>
        <v>0</v>
      </c>
      <c r="P85" s="41">
        <f t="shared" si="87"/>
        <v>0</v>
      </c>
      <c r="Q85" s="474">
        <f t="shared" si="88"/>
        <v>-30252.912999999968</v>
      </c>
      <c r="R85" s="472">
        <f t="shared" si="89"/>
        <v>0</v>
      </c>
      <c r="S85" s="241">
        <f t="shared" si="90"/>
        <v>-30253</v>
      </c>
      <c r="T85" s="13" t="s">
        <v>18</v>
      </c>
      <c r="U85" s="4">
        <v>1989</v>
      </c>
      <c r="V85" s="4">
        <v>9</v>
      </c>
      <c r="W85" s="242">
        <f t="shared" si="91"/>
        <v>6022.6886547783006</v>
      </c>
      <c r="X85" s="131">
        <f t="shared" si="84"/>
        <v>116.77480081334033</v>
      </c>
      <c r="Z85" s="175">
        <f t="shared" si="92"/>
        <v>673445</v>
      </c>
      <c r="AA85" s="12">
        <f t="shared" si="93"/>
        <v>-30253</v>
      </c>
      <c r="AB85" s="379">
        <f t="shared" si="100"/>
        <v>673445</v>
      </c>
      <c r="AC85" s="107">
        <f>RESID!AC85</f>
        <v>31.9</v>
      </c>
      <c r="AD85" s="243">
        <f t="shared" si="94"/>
        <v>671049.9</v>
      </c>
      <c r="AE85" s="243">
        <f t="shared" si="40"/>
        <v>42007.300000000047</v>
      </c>
      <c r="AG85" s="4">
        <f t="shared" si="95"/>
        <v>642201</v>
      </c>
      <c r="AX85" s="4">
        <v>1989</v>
      </c>
      <c r="AY85" s="4">
        <v>9</v>
      </c>
      <c r="AZ85" s="76">
        <f>'[8]COM 55 &amp; 65'!$S170</f>
        <v>506.8</v>
      </c>
      <c r="BA85" s="76">
        <f t="shared" si="46"/>
        <v>487.9</v>
      </c>
      <c r="BB85" s="362">
        <f t="shared" si="101"/>
        <v>-18.900000000000034</v>
      </c>
      <c r="BC85" s="362"/>
      <c r="BD85" s="76">
        <f>'[8]COM 55 &amp; 65'!$J170</f>
        <v>0</v>
      </c>
      <c r="BE85" s="76">
        <f t="shared" si="47"/>
        <v>0</v>
      </c>
      <c r="BF85" s="363">
        <f t="shared" si="102"/>
        <v>0</v>
      </c>
      <c r="BG85" s="244"/>
      <c r="BH85" s="244">
        <f t="shared" si="96"/>
        <v>-12906.999000000023</v>
      </c>
      <c r="BI85" s="242">
        <f t="shared" si="97"/>
        <v>0</v>
      </c>
      <c r="BJ85" s="242"/>
      <c r="BK85" s="241">
        <f t="shared" si="98"/>
        <v>-12907</v>
      </c>
      <c r="BL85" s="262"/>
      <c r="BM85" s="36" t="s">
        <v>18</v>
      </c>
      <c r="BN85" s="4">
        <v>1989</v>
      </c>
      <c r="BO85" s="4">
        <v>9</v>
      </c>
    </row>
    <row r="86" spans="1:72" ht="12.75" customHeight="1">
      <c r="A86" s="22">
        <v>1989</v>
      </c>
      <c r="B86" s="4">
        <v>10</v>
      </c>
      <c r="C86" s="5">
        <v>632299</v>
      </c>
      <c r="D86" s="5">
        <v>112092</v>
      </c>
      <c r="E86" s="74">
        <f t="shared" si="85"/>
        <v>5640.9</v>
      </c>
      <c r="G86" s="347"/>
      <c r="J86" s="574">
        <f t="shared" si="99"/>
        <v>112092</v>
      </c>
      <c r="K86" s="4">
        <f>'[7]COM 55 &amp; 65'!$S171</f>
        <v>454</v>
      </c>
      <c r="L86" s="4">
        <f t="shared" si="41"/>
        <v>431.2</v>
      </c>
      <c r="M86" s="44">
        <f t="shared" si="86"/>
        <v>-22.800000000000011</v>
      </c>
      <c r="N86" s="4">
        <f>'[7]COM 55 &amp; 65'!$J171</f>
        <v>1.3</v>
      </c>
      <c r="O86" s="4">
        <f t="shared" si="39"/>
        <v>0.2</v>
      </c>
      <c r="P86" s="41">
        <f t="shared" si="87"/>
        <v>-1.1000000000000001</v>
      </c>
      <c r="Q86" s="474">
        <f t="shared" si="88"/>
        <v>-15570.348000000007</v>
      </c>
      <c r="R86" s="472">
        <f t="shared" si="89"/>
        <v>-725.27400000000011</v>
      </c>
      <c r="S86" s="241">
        <f t="shared" si="90"/>
        <v>-16296</v>
      </c>
      <c r="T86" s="13" t="s">
        <v>18</v>
      </c>
      <c r="U86" s="4">
        <v>1989</v>
      </c>
      <c r="V86" s="4">
        <v>10</v>
      </c>
      <c r="W86" s="242">
        <f t="shared" si="91"/>
        <v>5495.5126146379762</v>
      </c>
      <c r="X86" s="131">
        <f t="shared" si="84"/>
        <v>27.487478328946963</v>
      </c>
      <c r="Z86" s="175">
        <f t="shared" si="92"/>
        <v>616003</v>
      </c>
      <c r="AA86" s="12">
        <f t="shared" si="93"/>
        <v>-16296</v>
      </c>
      <c r="AB86" s="379">
        <f t="shared" si="100"/>
        <v>616003</v>
      </c>
      <c r="AC86" s="107">
        <f>RESID!AC86</f>
        <v>29.7</v>
      </c>
      <c r="AD86" s="243">
        <f t="shared" si="94"/>
        <v>647627.5</v>
      </c>
      <c r="AE86" s="243">
        <f t="shared" si="40"/>
        <v>50375</v>
      </c>
      <c r="AG86" s="4">
        <f t="shared" si="95"/>
        <v>630936</v>
      </c>
      <c r="AX86" s="4">
        <v>1989</v>
      </c>
      <c r="AY86" s="4">
        <v>10</v>
      </c>
      <c r="AZ86" s="76">
        <f>'[8]COM 55 &amp; 65'!$S171</f>
        <v>328.7</v>
      </c>
      <c r="BA86" s="76">
        <f t="shared" si="46"/>
        <v>332.5</v>
      </c>
      <c r="BB86" s="362">
        <f t="shared" si="101"/>
        <v>3.8000000000000114</v>
      </c>
      <c r="BC86" s="362"/>
      <c r="BD86" s="76">
        <f>'[8]COM 55 &amp; 65'!$J171</f>
        <v>7.9</v>
      </c>
      <c r="BE86" s="76">
        <f t="shared" si="47"/>
        <v>2</v>
      </c>
      <c r="BF86" s="363">
        <f t="shared" si="102"/>
        <v>-5.9</v>
      </c>
      <c r="BG86" s="244"/>
      <c r="BH86" s="244">
        <f t="shared" si="96"/>
        <v>2595.0580000000077</v>
      </c>
      <c r="BI86" s="242">
        <f t="shared" si="97"/>
        <v>-3890.1060000000002</v>
      </c>
      <c r="BJ86" s="242"/>
      <c r="BK86" s="241">
        <f t="shared" si="98"/>
        <v>-1295</v>
      </c>
      <c r="BL86" s="262"/>
      <c r="BM86" s="36" t="s">
        <v>18</v>
      </c>
      <c r="BN86" s="4">
        <v>1989</v>
      </c>
      <c r="BO86" s="4">
        <v>10</v>
      </c>
    </row>
    <row r="87" spans="1:72" ht="12.75" customHeight="1">
      <c r="A87" s="22">
        <v>1989</v>
      </c>
      <c r="B87" s="4">
        <v>11</v>
      </c>
      <c r="C87" s="5">
        <v>554752</v>
      </c>
      <c r="D87" s="5">
        <v>112655</v>
      </c>
      <c r="E87" s="74">
        <f t="shared" si="85"/>
        <v>4924.3</v>
      </c>
      <c r="G87" s="347"/>
      <c r="J87" s="574">
        <f t="shared" si="99"/>
        <v>112655</v>
      </c>
      <c r="K87" s="4">
        <f>'[7]COM 55 &amp; 65'!$S172</f>
        <v>241.5</v>
      </c>
      <c r="L87" s="4">
        <f t="shared" si="41"/>
        <v>251.9</v>
      </c>
      <c r="M87" s="44">
        <f t="shared" si="86"/>
        <v>10.400000000000006</v>
      </c>
      <c r="N87" s="4">
        <f>'[7]COM 55 &amp; 65'!$J172</f>
        <v>9.6</v>
      </c>
      <c r="O87" s="4">
        <f t="shared" si="39"/>
        <v>6.3</v>
      </c>
      <c r="P87" s="41">
        <f t="shared" si="87"/>
        <v>-3.3</v>
      </c>
      <c r="Q87" s="474">
        <f t="shared" si="88"/>
        <v>7102.2640000000038</v>
      </c>
      <c r="R87" s="472">
        <f t="shared" si="89"/>
        <v>-2175.8220000000001</v>
      </c>
      <c r="S87" s="241">
        <f t="shared" si="90"/>
        <v>4926</v>
      </c>
      <c r="T87" s="13" t="s">
        <v>18</v>
      </c>
      <c r="U87" s="4">
        <v>1989</v>
      </c>
      <c r="V87" s="4">
        <v>11</v>
      </c>
      <c r="W87" s="242">
        <f t="shared" si="91"/>
        <v>4968.0706582042521</v>
      </c>
      <c r="X87" s="131">
        <f t="shared" si="84"/>
        <v>12.714828179256074</v>
      </c>
      <c r="Z87" s="175">
        <f t="shared" si="92"/>
        <v>559678</v>
      </c>
      <c r="AA87" s="12">
        <f t="shared" si="93"/>
        <v>4926</v>
      </c>
      <c r="AB87" s="379">
        <f t="shared" si="100"/>
        <v>559678</v>
      </c>
      <c r="AC87" s="107">
        <f>RESID!AC87</f>
        <v>29.45</v>
      </c>
      <c r="AD87" s="243">
        <f t="shared" si="94"/>
        <v>573024</v>
      </c>
      <c r="AE87" s="243">
        <f t="shared" si="40"/>
        <v>48512.5</v>
      </c>
      <c r="AG87" s="4">
        <f t="shared" si="95"/>
        <v>578112</v>
      </c>
      <c r="AX87" s="4">
        <v>1989</v>
      </c>
      <c r="AY87" s="4">
        <v>11</v>
      </c>
      <c r="AZ87" s="76">
        <f>'[8]COM 55 &amp; 65'!$S172</f>
        <v>163.5</v>
      </c>
      <c r="BA87" s="76">
        <f t="shared" si="46"/>
        <v>146</v>
      </c>
      <c r="BB87" s="362">
        <f t="shared" si="101"/>
        <v>-17.5</v>
      </c>
      <c r="BC87" s="362"/>
      <c r="BD87" s="76">
        <f>'[8]COM 55 &amp; 65'!$J172</f>
        <v>14.3</v>
      </c>
      <c r="BE87" s="76">
        <f t="shared" si="47"/>
        <v>14</v>
      </c>
      <c r="BF87" s="363">
        <f t="shared" si="102"/>
        <v>-0.30000000000000071</v>
      </c>
      <c r="BG87" s="244"/>
      <c r="BH87" s="244">
        <f t="shared" si="96"/>
        <v>-11950.924999999999</v>
      </c>
      <c r="BI87" s="242">
        <f t="shared" si="97"/>
        <v>-197.80200000000048</v>
      </c>
      <c r="BJ87" s="242"/>
      <c r="BK87" s="241">
        <f t="shared" si="98"/>
        <v>-12149</v>
      </c>
      <c r="BL87" s="262"/>
      <c r="BM87" s="36" t="s">
        <v>18</v>
      </c>
      <c r="BN87" s="4">
        <v>1989</v>
      </c>
      <c r="BO87" s="4">
        <v>11</v>
      </c>
    </row>
    <row r="88" spans="1:72" s="89" customFormat="1" ht="12.75" customHeight="1">
      <c r="A88" s="225">
        <v>1989</v>
      </c>
      <c r="B88" s="89">
        <v>12</v>
      </c>
      <c r="C88" s="103">
        <v>527899</v>
      </c>
      <c r="D88" s="103">
        <v>112732</v>
      </c>
      <c r="E88" s="109">
        <f t="shared" si="85"/>
        <v>4682.8</v>
      </c>
      <c r="F88" s="90"/>
      <c r="G88" s="348"/>
      <c r="J88" s="575">
        <f t="shared" si="99"/>
        <v>112732</v>
      </c>
      <c r="K88" s="89">
        <f>'[7]COM 55 &amp; 65'!$S173</f>
        <v>106.5</v>
      </c>
      <c r="L88" s="89">
        <f t="shared" si="41"/>
        <v>119.4</v>
      </c>
      <c r="M88" s="93">
        <f t="shared" si="86"/>
        <v>12.900000000000006</v>
      </c>
      <c r="N88" s="89">
        <f>'[7]COM 55 &amp; 65'!$J173</f>
        <v>47.2</v>
      </c>
      <c r="O88" s="89">
        <f t="shared" si="39"/>
        <v>30.1</v>
      </c>
      <c r="P88" s="94">
        <f t="shared" si="87"/>
        <v>-17.100000000000001</v>
      </c>
      <c r="Q88" s="475">
        <f t="shared" si="88"/>
        <v>8809.5390000000043</v>
      </c>
      <c r="R88" s="473">
        <f t="shared" si="89"/>
        <v>-11274.714000000002</v>
      </c>
      <c r="S88" s="329">
        <f t="shared" si="90"/>
        <v>-2465</v>
      </c>
      <c r="T88" s="90" t="s">
        <v>18</v>
      </c>
      <c r="U88" s="89">
        <v>1989</v>
      </c>
      <c r="V88" s="89">
        <v>12</v>
      </c>
      <c r="W88" s="328">
        <f t="shared" si="91"/>
        <v>4660.9126068906789</v>
      </c>
      <c r="X88" s="133">
        <f t="shared" si="84"/>
        <v>116.97107333849362</v>
      </c>
      <c r="Z88" s="176">
        <f t="shared" si="92"/>
        <v>525434</v>
      </c>
      <c r="AA88" s="105">
        <f t="shared" si="93"/>
        <v>-2465</v>
      </c>
      <c r="AB88" s="517">
        <f t="shared" si="100"/>
        <v>525434</v>
      </c>
      <c r="AC88" s="110">
        <f>RESID!AC88</f>
        <v>30.8</v>
      </c>
      <c r="AD88" s="331">
        <f t="shared" si="94"/>
        <v>521386</v>
      </c>
      <c r="AE88" s="331">
        <f t="shared" si="40"/>
        <v>24122.599999999977</v>
      </c>
      <c r="AG88" s="89">
        <f t="shared" si="95"/>
        <v>518951</v>
      </c>
      <c r="AX88" s="89">
        <v>1989</v>
      </c>
      <c r="AY88" s="89">
        <v>12</v>
      </c>
      <c r="AZ88" s="92">
        <f>'[8]COM 55 &amp; 65'!$S173</f>
        <v>32</v>
      </c>
      <c r="BA88" s="92">
        <f t="shared" si="46"/>
        <v>75.7</v>
      </c>
      <c r="BB88" s="364">
        <f t="shared" si="101"/>
        <v>43.7</v>
      </c>
      <c r="BC88" s="364"/>
      <c r="BD88" s="92">
        <f>'[8]COM 55 &amp; 65'!$J173</f>
        <v>149.4</v>
      </c>
      <c r="BE88" s="92">
        <f t="shared" si="47"/>
        <v>44.3</v>
      </c>
      <c r="BF88" s="365">
        <f t="shared" si="102"/>
        <v>-105.10000000000001</v>
      </c>
      <c r="BG88" s="327"/>
      <c r="BH88" s="327">
        <f t="shared" si="96"/>
        <v>29843.167000000001</v>
      </c>
      <c r="BI88" s="328">
        <f t="shared" si="97"/>
        <v>-69296.634000000005</v>
      </c>
      <c r="BJ88" s="328"/>
      <c r="BK88" s="329">
        <f t="shared" si="98"/>
        <v>-39453</v>
      </c>
      <c r="BL88" s="332"/>
      <c r="BM88" s="113" t="s">
        <v>18</v>
      </c>
      <c r="BN88" s="89">
        <v>1989</v>
      </c>
      <c r="BO88" s="89">
        <v>12</v>
      </c>
      <c r="BT88" s="96"/>
    </row>
    <row r="89" spans="1:72" ht="12.75" customHeight="1">
      <c r="A89" s="22">
        <v>1990</v>
      </c>
      <c r="B89" s="4">
        <v>1</v>
      </c>
      <c r="C89" s="5">
        <v>525783</v>
      </c>
      <c r="D89" s="5">
        <v>112770</v>
      </c>
      <c r="E89" s="74">
        <f t="shared" si="85"/>
        <v>4662.3999999999996</v>
      </c>
      <c r="G89" s="347"/>
      <c r="J89" s="574">
        <f t="shared" si="99"/>
        <v>112770</v>
      </c>
      <c r="K89" s="4">
        <f>'[7]COM 55 &amp; 65'!$S174</f>
        <v>50.4</v>
      </c>
      <c r="L89" s="4">
        <f t="shared" si="41"/>
        <v>70.8</v>
      </c>
      <c r="M89" s="44">
        <f t="shared" si="86"/>
        <v>20.399999999999999</v>
      </c>
      <c r="N89" s="4">
        <f>'[7]COM 55 &amp; 65'!$J174</f>
        <v>124.2</v>
      </c>
      <c r="O89" s="4">
        <f t="shared" si="39"/>
        <v>54.9</v>
      </c>
      <c r="P89" s="41">
        <f t="shared" si="87"/>
        <v>-69.300000000000011</v>
      </c>
      <c r="Q89" s="474">
        <f t="shared" si="88"/>
        <v>13931.363999999998</v>
      </c>
      <c r="R89" s="472">
        <f t="shared" si="89"/>
        <v>-45692.26200000001</v>
      </c>
      <c r="S89" s="241">
        <f t="shared" si="90"/>
        <v>-31761</v>
      </c>
      <c r="T89" s="13" t="s">
        <v>18</v>
      </c>
      <c r="U89" s="4">
        <v>1990</v>
      </c>
      <c r="V89" s="4">
        <v>1</v>
      </c>
      <c r="W89" s="242">
        <f t="shared" si="91"/>
        <v>4380.7927640329872</v>
      </c>
      <c r="X89" s="131">
        <f t="shared" si="84"/>
        <v>61.410692746185305</v>
      </c>
      <c r="Z89" s="175">
        <f t="shared" si="92"/>
        <v>494022</v>
      </c>
      <c r="AA89" s="12">
        <f t="shared" si="93"/>
        <v>-31761</v>
      </c>
      <c r="AB89" s="379">
        <f t="shared" si="100"/>
        <v>494022</v>
      </c>
      <c r="AC89" s="107">
        <f>RESID!AC89</f>
        <v>30.5</v>
      </c>
      <c r="AD89" s="243">
        <f t="shared" si="94"/>
        <v>524403.9</v>
      </c>
      <c r="AE89" s="243">
        <f t="shared" si="40"/>
        <v>31637.800000000047</v>
      </c>
      <c r="AG89" s="4">
        <f t="shared" si="95"/>
        <v>492726</v>
      </c>
      <c r="AX89" s="4">
        <v>1990</v>
      </c>
      <c r="AY89" s="4">
        <v>1</v>
      </c>
      <c r="AZ89" s="76">
        <f>'[8]COM 55 &amp; 65'!$S174</f>
        <v>112.4</v>
      </c>
      <c r="BA89" s="76">
        <f t="shared" si="46"/>
        <v>72.3</v>
      </c>
      <c r="BB89" s="362">
        <f t="shared" si="101"/>
        <v>-40.100000000000009</v>
      </c>
      <c r="BC89" s="362"/>
      <c r="BD89" s="76">
        <f>'[8]COM 55 &amp; 65'!$J174</f>
        <v>30.2</v>
      </c>
      <c r="BE89" s="76">
        <f t="shared" si="47"/>
        <v>52.4</v>
      </c>
      <c r="BF89" s="363">
        <f t="shared" si="102"/>
        <v>22.2</v>
      </c>
      <c r="BG89" s="244"/>
      <c r="BH89" s="244">
        <f t="shared" si="96"/>
        <v>-27384.691000000006</v>
      </c>
      <c r="BI89" s="242">
        <f t="shared" si="97"/>
        <v>14637.348</v>
      </c>
      <c r="BJ89" s="242"/>
      <c r="BK89" s="241">
        <f t="shared" si="98"/>
        <v>-12747</v>
      </c>
      <c r="BL89" s="262"/>
      <c r="BM89" s="36" t="s">
        <v>18</v>
      </c>
      <c r="BN89" s="4">
        <v>1990</v>
      </c>
      <c r="BO89" s="4">
        <v>1</v>
      </c>
    </row>
    <row r="90" spans="1:72" ht="12.75" customHeight="1">
      <c r="A90" s="22">
        <v>1990</v>
      </c>
      <c r="B90" s="4">
        <v>2</v>
      </c>
      <c r="C90" s="5">
        <v>534689</v>
      </c>
      <c r="D90" s="5">
        <v>112762</v>
      </c>
      <c r="E90" s="74">
        <f t="shared" si="85"/>
        <v>4741.7</v>
      </c>
      <c r="G90" s="347"/>
      <c r="J90" s="574">
        <f t="shared" si="99"/>
        <v>112762</v>
      </c>
      <c r="K90" s="4">
        <f>'[7]COM 55 &amp; 65'!$S175</f>
        <v>147.1</v>
      </c>
      <c r="L90" s="4">
        <f t="shared" si="41"/>
        <v>62.7</v>
      </c>
      <c r="M90" s="44">
        <f t="shared" si="86"/>
        <v>-84.399999999999991</v>
      </c>
      <c r="N90" s="4">
        <f>'[7]COM 55 &amp; 65'!$J175</f>
        <v>21.4</v>
      </c>
      <c r="O90" s="4">
        <f t="shared" si="39"/>
        <v>46.9</v>
      </c>
      <c r="P90" s="41">
        <f t="shared" si="87"/>
        <v>25.5</v>
      </c>
      <c r="Q90" s="474">
        <f t="shared" si="88"/>
        <v>-57637.603999999992</v>
      </c>
      <c r="R90" s="472">
        <f t="shared" si="89"/>
        <v>16813.170000000002</v>
      </c>
      <c r="S90" s="241">
        <f t="shared" si="90"/>
        <v>-40824</v>
      </c>
      <c r="T90" s="13" t="s">
        <v>18</v>
      </c>
      <c r="U90" s="4">
        <v>1990</v>
      </c>
      <c r="V90" s="4">
        <v>2</v>
      </c>
      <c r="W90" s="242">
        <f t="shared" si="91"/>
        <v>4379.7112502438767</v>
      </c>
      <c r="X90" s="131">
        <f t="shared" si="84"/>
        <v>182.90429423043315</v>
      </c>
      <c r="Z90" s="175">
        <f t="shared" si="92"/>
        <v>493865</v>
      </c>
      <c r="AA90" s="12">
        <f t="shared" si="93"/>
        <v>-40824</v>
      </c>
      <c r="AB90" s="379">
        <f t="shared" si="100"/>
        <v>493865</v>
      </c>
      <c r="AC90" s="107">
        <f>RESID!AC90</f>
        <v>31.05</v>
      </c>
      <c r="AD90" s="243">
        <f t="shared" si="94"/>
        <v>523840.2</v>
      </c>
      <c r="AE90" s="243">
        <f t="shared" si="40"/>
        <v>23080.799999999988</v>
      </c>
      <c r="AG90" s="4">
        <f t="shared" si="95"/>
        <v>483845</v>
      </c>
      <c r="AX90" s="4">
        <v>1990</v>
      </c>
      <c r="AY90" s="4">
        <v>2</v>
      </c>
      <c r="AZ90" s="76">
        <f>'[8]COM 55 &amp; 65'!$S175</f>
        <v>149.19999999999999</v>
      </c>
      <c r="BA90" s="76">
        <f t="shared" si="46"/>
        <v>82.6</v>
      </c>
      <c r="BB90" s="362">
        <f t="shared" si="101"/>
        <v>-66.599999999999994</v>
      </c>
      <c r="BC90" s="362"/>
      <c r="BD90" s="76">
        <f>'[8]COM 55 &amp; 65'!$J175</f>
        <v>9</v>
      </c>
      <c r="BE90" s="76">
        <f t="shared" si="47"/>
        <v>36.5</v>
      </c>
      <c r="BF90" s="363">
        <f t="shared" si="102"/>
        <v>27.5</v>
      </c>
      <c r="BG90" s="244"/>
      <c r="BH90" s="244">
        <f t="shared" si="96"/>
        <v>-45481.805999999997</v>
      </c>
      <c r="BI90" s="242">
        <f t="shared" si="97"/>
        <v>18131.850000000002</v>
      </c>
      <c r="BJ90" s="242"/>
      <c r="BK90" s="241">
        <f t="shared" si="98"/>
        <v>-27350</v>
      </c>
      <c r="BL90" s="262"/>
      <c r="BM90" s="36" t="s">
        <v>18</v>
      </c>
      <c r="BN90" s="4">
        <v>1990</v>
      </c>
      <c r="BO90" s="4">
        <v>2</v>
      </c>
    </row>
    <row r="91" spans="1:72" ht="12.75" customHeight="1">
      <c r="A91" s="22">
        <v>1990</v>
      </c>
      <c r="B91" s="4">
        <v>3</v>
      </c>
      <c r="C91" s="5">
        <v>526975</v>
      </c>
      <c r="D91" s="5">
        <v>112986</v>
      </c>
      <c r="E91" s="74">
        <f t="shared" si="85"/>
        <v>4664.1000000000004</v>
      </c>
      <c r="G91" s="347"/>
      <c r="J91" s="574">
        <f t="shared" si="99"/>
        <v>112986</v>
      </c>
      <c r="K91" s="4">
        <f>'[7]COM 55 &amp; 65'!$S176</f>
        <v>141.1</v>
      </c>
      <c r="L91" s="4">
        <f t="shared" si="41"/>
        <v>105.4</v>
      </c>
      <c r="M91" s="44">
        <f t="shared" si="86"/>
        <v>-35.699999999999989</v>
      </c>
      <c r="N91" s="4">
        <f>'[7]COM 55 &amp; 65'!$J176</f>
        <v>9.3000000000000007</v>
      </c>
      <c r="O91" s="4">
        <f t="shared" si="39"/>
        <v>26.8</v>
      </c>
      <c r="P91" s="41">
        <f t="shared" si="87"/>
        <v>17.5</v>
      </c>
      <c r="Q91" s="474">
        <f t="shared" si="88"/>
        <v>-24379.886999999992</v>
      </c>
      <c r="R91" s="472">
        <f t="shared" si="89"/>
        <v>11538.45</v>
      </c>
      <c r="S91" s="241">
        <f t="shared" si="90"/>
        <v>-12841</v>
      </c>
      <c r="T91" s="13" t="s">
        <v>18</v>
      </c>
      <c r="U91" s="4">
        <v>1990</v>
      </c>
      <c r="V91" s="4">
        <v>3</v>
      </c>
      <c r="W91" s="242">
        <f t="shared" si="91"/>
        <v>4550.422176198821</v>
      </c>
      <c r="X91" s="131">
        <f t="shared" si="84"/>
        <v>275.73368142847085</v>
      </c>
      <c r="Z91" s="175">
        <f t="shared" si="92"/>
        <v>514134</v>
      </c>
      <c r="AA91" s="12">
        <f t="shared" si="93"/>
        <v>-12841</v>
      </c>
      <c r="AB91" s="379">
        <f t="shared" si="100"/>
        <v>514134</v>
      </c>
      <c r="AC91" s="107">
        <f>RESID!AC91</f>
        <v>29.4</v>
      </c>
      <c r="AD91" s="243">
        <f t="shared" si="94"/>
        <v>545257.80000000005</v>
      </c>
      <c r="AE91" s="243">
        <f t="shared" si="40"/>
        <v>23158.000000000058</v>
      </c>
      <c r="AG91" s="4">
        <f t="shared" si="95"/>
        <v>531971</v>
      </c>
      <c r="AX91" s="4">
        <v>1990</v>
      </c>
      <c r="AY91" s="4">
        <v>3</v>
      </c>
      <c r="AZ91" s="76">
        <f>'[8]COM 55 &amp; 65'!$S176</f>
        <v>173.9</v>
      </c>
      <c r="BA91" s="76">
        <f t="shared" si="46"/>
        <v>140.4</v>
      </c>
      <c r="BB91" s="362">
        <f t="shared" si="101"/>
        <v>-33.5</v>
      </c>
      <c r="BC91" s="362"/>
      <c r="BD91" s="76">
        <f>'[8]COM 55 &amp; 65'!$J176</f>
        <v>7.1</v>
      </c>
      <c r="BE91" s="76">
        <f t="shared" si="47"/>
        <v>15.1</v>
      </c>
      <c r="BF91" s="363">
        <f t="shared" si="102"/>
        <v>8</v>
      </c>
      <c r="BG91" s="244"/>
      <c r="BH91" s="244">
        <f t="shared" si="96"/>
        <v>-22877.485000000001</v>
      </c>
      <c r="BI91" s="242">
        <f t="shared" si="97"/>
        <v>5274.72</v>
      </c>
      <c r="BJ91" s="242"/>
      <c r="BK91" s="241">
        <f t="shared" si="98"/>
        <v>-17603</v>
      </c>
      <c r="BL91" s="262"/>
      <c r="BM91" s="36" t="s">
        <v>18</v>
      </c>
      <c r="BN91" s="4">
        <v>1990</v>
      </c>
      <c r="BO91" s="4">
        <v>3</v>
      </c>
    </row>
    <row r="92" spans="1:72" ht="12.75" customHeight="1">
      <c r="A92" s="22">
        <v>1990</v>
      </c>
      <c r="B92" s="4">
        <v>4</v>
      </c>
      <c r="C92" s="5">
        <v>546297</v>
      </c>
      <c r="D92" s="5">
        <v>113305</v>
      </c>
      <c r="E92" s="74">
        <f t="shared" si="85"/>
        <v>4821.5</v>
      </c>
      <c r="G92" s="347"/>
      <c r="J92" s="574">
        <f t="shared" si="99"/>
        <v>113305</v>
      </c>
      <c r="K92" s="4">
        <f>'[7]COM 55 &amp; 65'!$S177</f>
        <v>180.6</v>
      </c>
      <c r="L92" s="4">
        <f t="shared" si="41"/>
        <v>178.4</v>
      </c>
      <c r="M92" s="44">
        <f t="shared" si="86"/>
        <v>-2.1999999999999886</v>
      </c>
      <c r="N92" s="4">
        <f>'[7]COM 55 &amp; 65'!$J177</f>
        <v>7.1</v>
      </c>
      <c r="O92" s="4">
        <f t="shared" si="39"/>
        <v>9.5</v>
      </c>
      <c r="P92" s="41">
        <f t="shared" si="87"/>
        <v>2.4000000000000004</v>
      </c>
      <c r="Q92" s="474">
        <f t="shared" si="88"/>
        <v>-1502.4019999999921</v>
      </c>
      <c r="R92" s="472">
        <f t="shared" si="89"/>
        <v>1582.4160000000004</v>
      </c>
      <c r="S92" s="241">
        <f t="shared" si="90"/>
        <v>80</v>
      </c>
      <c r="T92" s="13" t="s">
        <v>18</v>
      </c>
      <c r="U92" s="4">
        <v>1990</v>
      </c>
      <c r="V92" s="4">
        <v>4</v>
      </c>
      <c r="W92" s="242">
        <f t="shared" si="91"/>
        <v>4822.1790741803097</v>
      </c>
      <c r="X92" s="131">
        <f t="shared" si="84"/>
        <v>-55.184371197841756</v>
      </c>
      <c r="Z92" s="175">
        <f t="shared" si="92"/>
        <v>546377</v>
      </c>
      <c r="AA92" s="12">
        <f t="shared" si="93"/>
        <v>80</v>
      </c>
      <c r="AB92" s="379">
        <f t="shared" si="100"/>
        <v>546377</v>
      </c>
      <c r="AC92" s="107">
        <f>RESID!AC92</f>
        <v>30</v>
      </c>
      <c r="AD92" s="243">
        <f t="shared" si="94"/>
        <v>553945.19999999995</v>
      </c>
      <c r="AE92" s="243">
        <f t="shared" si="40"/>
        <v>10158</v>
      </c>
      <c r="AG92" s="4">
        <f t="shared" si="95"/>
        <v>554026</v>
      </c>
      <c r="AX92" s="4">
        <v>1990</v>
      </c>
      <c r="AY92" s="4">
        <v>4</v>
      </c>
      <c r="AZ92" s="76">
        <f>'[8]COM 55 &amp; 65'!$S177</f>
        <v>220.3</v>
      </c>
      <c r="BA92" s="76">
        <f t="shared" si="46"/>
        <v>227.4</v>
      </c>
      <c r="BB92" s="362">
        <f t="shared" si="101"/>
        <v>7.0999999999999943</v>
      </c>
      <c r="BC92" s="362"/>
      <c r="BD92" s="76">
        <f>'[8]COM 55 &amp; 65'!$J177</f>
        <v>3.8</v>
      </c>
      <c r="BE92" s="76">
        <f t="shared" si="47"/>
        <v>4.8</v>
      </c>
      <c r="BF92" s="363">
        <f t="shared" si="102"/>
        <v>1</v>
      </c>
      <c r="BG92" s="244"/>
      <c r="BH92" s="244">
        <f t="shared" si="96"/>
        <v>4848.6609999999955</v>
      </c>
      <c r="BI92" s="242">
        <f t="shared" si="97"/>
        <v>659.34</v>
      </c>
      <c r="BJ92" s="242"/>
      <c r="BK92" s="241">
        <f t="shared" si="98"/>
        <v>5508</v>
      </c>
      <c r="BL92" s="262"/>
      <c r="BM92" s="36" t="s">
        <v>18</v>
      </c>
      <c r="BN92" s="4">
        <v>1990</v>
      </c>
      <c r="BO92" s="4">
        <v>4</v>
      </c>
    </row>
    <row r="93" spans="1:72" ht="12.75" customHeight="1">
      <c r="A93" s="22">
        <v>1990</v>
      </c>
      <c r="B93" s="4">
        <v>5</v>
      </c>
      <c r="C93" s="5">
        <v>596510</v>
      </c>
      <c r="D93" s="5">
        <v>113274</v>
      </c>
      <c r="E93" s="74">
        <f t="shared" si="85"/>
        <v>5266.1</v>
      </c>
      <c r="G93" s="347"/>
      <c r="J93" s="574">
        <f t="shared" si="99"/>
        <v>113274</v>
      </c>
      <c r="K93" s="4">
        <f>'[7]COM 55 &amp; 65'!$S178</f>
        <v>306.3</v>
      </c>
      <c r="L93" s="4">
        <f t="shared" si="41"/>
        <v>273.89999999999998</v>
      </c>
      <c r="M93" s="44">
        <f t="shared" si="86"/>
        <v>-32.400000000000034</v>
      </c>
      <c r="N93" s="4">
        <f>'[7]COM 55 &amp; 65'!$J178</f>
        <v>1.6</v>
      </c>
      <c r="O93" s="4">
        <f t="shared" ref="O93:O156" si="103">O81</f>
        <v>2</v>
      </c>
      <c r="P93" s="41">
        <f t="shared" si="87"/>
        <v>0.39999999999999991</v>
      </c>
      <c r="Q93" s="474">
        <f t="shared" si="88"/>
        <v>-22126.284000000021</v>
      </c>
      <c r="R93" s="472">
        <f t="shared" si="89"/>
        <v>263.73599999999993</v>
      </c>
      <c r="S93" s="241">
        <f t="shared" si="90"/>
        <v>-21863</v>
      </c>
      <c r="T93" s="13" t="s">
        <v>18</v>
      </c>
      <c r="U93" s="4">
        <v>1990</v>
      </c>
      <c r="V93" s="4">
        <v>5</v>
      </c>
      <c r="W93" s="242">
        <f t="shared" si="91"/>
        <v>5073.0706075533662</v>
      </c>
      <c r="X93" s="131">
        <f t="shared" si="84"/>
        <v>197.63139303602838</v>
      </c>
      <c r="Z93" s="175">
        <f t="shared" si="92"/>
        <v>574647</v>
      </c>
      <c r="AA93" s="12">
        <f t="shared" si="93"/>
        <v>-21863</v>
      </c>
      <c r="AB93" s="379">
        <f t="shared" si="100"/>
        <v>574647</v>
      </c>
      <c r="AC93" s="107">
        <f>RESID!AC93</f>
        <v>30.2</v>
      </c>
      <c r="AD93" s="243">
        <f t="shared" si="94"/>
        <v>600855.4</v>
      </c>
      <c r="AE93" s="243">
        <f t="shared" ref="AE93:AE156" si="104">AD93-AD81</f>
        <v>31695.099999999977</v>
      </c>
      <c r="AG93" s="4">
        <f t="shared" si="95"/>
        <v>578833</v>
      </c>
      <c r="AX93" s="4">
        <v>1990</v>
      </c>
      <c r="AY93" s="4">
        <v>5</v>
      </c>
      <c r="AZ93" s="76">
        <f>'[8]COM 55 &amp; 65'!$S178</f>
        <v>438.2</v>
      </c>
      <c r="BA93" s="76">
        <f t="shared" si="46"/>
        <v>395.2</v>
      </c>
      <c r="BB93" s="362">
        <f t="shared" si="101"/>
        <v>-43</v>
      </c>
      <c r="BC93" s="362"/>
      <c r="BD93" s="76">
        <f>'[8]COM 55 &amp; 65'!$J178</f>
        <v>0.1</v>
      </c>
      <c r="BE93" s="76">
        <f t="shared" si="47"/>
        <v>0.2</v>
      </c>
      <c r="BF93" s="363">
        <f t="shared" si="102"/>
        <v>0.1</v>
      </c>
      <c r="BG93" s="244"/>
      <c r="BH93" s="244">
        <f t="shared" si="96"/>
        <v>-29365.129999999997</v>
      </c>
      <c r="BI93" s="242">
        <f t="shared" si="97"/>
        <v>65.934000000000012</v>
      </c>
      <c r="BJ93" s="242"/>
      <c r="BK93" s="241">
        <f t="shared" si="98"/>
        <v>-29299</v>
      </c>
      <c r="BL93" s="262"/>
      <c r="BM93" s="36" t="s">
        <v>18</v>
      </c>
      <c r="BN93" s="4">
        <v>1990</v>
      </c>
      <c r="BO93" s="4">
        <v>5</v>
      </c>
    </row>
    <row r="94" spans="1:72" ht="12.75" customHeight="1">
      <c r="A94" s="22">
        <v>1990</v>
      </c>
      <c r="B94" s="4">
        <v>6</v>
      </c>
      <c r="C94" s="5">
        <v>664343</v>
      </c>
      <c r="D94" s="5">
        <v>113572</v>
      </c>
      <c r="E94" s="74">
        <f t="shared" si="85"/>
        <v>5849.5</v>
      </c>
      <c r="G94" s="347"/>
      <c r="J94" s="574">
        <f t="shared" si="99"/>
        <v>113572</v>
      </c>
      <c r="K94" s="4">
        <f>'[7]COM 55 &amp; 65'!$S179</f>
        <v>470.9</v>
      </c>
      <c r="L94" s="4">
        <f t="shared" ref="L94:L157" si="105">L82</f>
        <v>442.7</v>
      </c>
      <c r="M94" s="44">
        <f t="shared" si="86"/>
        <v>-28.199999999999989</v>
      </c>
      <c r="N94" s="4">
        <f>'[7]COM 55 &amp; 65'!$J179</f>
        <v>0</v>
      </c>
      <c r="O94" s="4">
        <f t="shared" si="103"/>
        <v>0.1</v>
      </c>
      <c r="P94" s="41">
        <f t="shared" si="87"/>
        <v>0.1</v>
      </c>
      <c r="Q94" s="474">
        <f t="shared" si="88"/>
        <v>-19258.061999999991</v>
      </c>
      <c r="R94" s="472">
        <f t="shared" si="89"/>
        <v>65.934000000000012</v>
      </c>
      <c r="S94" s="241">
        <f t="shared" si="90"/>
        <v>-19192</v>
      </c>
      <c r="T94" s="13" t="s">
        <v>18</v>
      </c>
      <c r="U94" s="4">
        <v>1990</v>
      </c>
      <c r="V94" s="4">
        <v>6</v>
      </c>
      <c r="W94" s="242">
        <f t="shared" si="91"/>
        <v>5680.5462614024582</v>
      </c>
      <c r="X94" s="131">
        <f t="shared" ref="X94:X109" si="106">W94-W82</f>
        <v>130.86277694008368</v>
      </c>
      <c r="Z94" s="175">
        <f t="shared" si="92"/>
        <v>645151</v>
      </c>
      <c r="AA94" s="12">
        <f t="shared" si="93"/>
        <v>-19192</v>
      </c>
      <c r="AB94" s="379">
        <f t="shared" si="100"/>
        <v>645151</v>
      </c>
      <c r="AC94" s="107">
        <f>RESID!AC94</f>
        <v>30.8</v>
      </c>
      <c r="AD94" s="243">
        <f t="shared" si="94"/>
        <v>656146.6</v>
      </c>
      <c r="AE94" s="243">
        <f t="shared" si="104"/>
        <v>24783.5</v>
      </c>
      <c r="AG94" s="4">
        <f t="shared" si="95"/>
        <v>637191</v>
      </c>
      <c r="AX94" s="4">
        <v>1990</v>
      </c>
      <c r="AY94" s="4">
        <v>6</v>
      </c>
      <c r="AZ94" s="76">
        <f>'[8]COM 55 &amp; 65'!$S179</f>
        <v>501.6</v>
      </c>
      <c r="BA94" s="76">
        <f t="shared" ref="BA94:BA157" si="107">BA82</f>
        <v>485.1</v>
      </c>
      <c r="BB94" s="362">
        <f t="shared" si="101"/>
        <v>-16.5</v>
      </c>
      <c r="BC94" s="362"/>
      <c r="BD94" s="76">
        <f>'[8]COM 55 &amp; 65'!$J179</f>
        <v>0</v>
      </c>
      <c r="BE94" s="76">
        <f t="shared" ref="BE94:BE157" si="108">BE82</f>
        <v>0</v>
      </c>
      <c r="BF94" s="363">
        <f t="shared" si="102"/>
        <v>0</v>
      </c>
      <c r="BG94" s="244"/>
      <c r="BH94" s="244">
        <f t="shared" si="96"/>
        <v>-11268.014999999999</v>
      </c>
      <c r="BI94" s="242">
        <f t="shared" si="97"/>
        <v>0</v>
      </c>
      <c r="BJ94" s="242"/>
      <c r="BK94" s="241">
        <f t="shared" si="98"/>
        <v>-11268</v>
      </c>
      <c r="BL94" s="262"/>
      <c r="BM94" s="36" t="s">
        <v>18</v>
      </c>
      <c r="BN94" s="4">
        <v>1990</v>
      </c>
      <c r="BO94" s="4">
        <v>6</v>
      </c>
    </row>
    <row r="95" spans="1:72" ht="12.75" customHeight="1">
      <c r="A95" s="22">
        <v>1990</v>
      </c>
      <c r="B95" s="4">
        <v>7</v>
      </c>
      <c r="C95" s="5">
        <v>687094</v>
      </c>
      <c r="D95" s="5">
        <v>113726</v>
      </c>
      <c r="E95" s="74">
        <f t="shared" si="85"/>
        <v>6041.7</v>
      </c>
      <c r="G95" s="347"/>
      <c r="J95" s="574">
        <f t="shared" si="99"/>
        <v>113726</v>
      </c>
      <c r="K95" s="4">
        <f>'[7]COM 55 &amp; 65'!$S180</f>
        <v>512.5</v>
      </c>
      <c r="L95" s="4">
        <f t="shared" si="105"/>
        <v>516.1</v>
      </c>
      <c r="M95" s="44">
        <f t="shared" si="86"/>
        <v>3.6000000000000227</v>
      </c>
      <c r="N95" s="4">
        <f>'[7]COM 55 &amp; 65'!$J180</f>
        <v>0</v>
      </c>
      <c r="O95" s="4">
        <f t="shared" si="103"/>
        <v>0</v>
      </c>
      <c r="P95" s="41">
        <f t="shared" si="87"/>
        <v>0</v>
      </c>
      <c r="Q95" s="474">
        <f t="shared" si="88"/>
        <v>2458.4760000000156</v>
      </c>
      <c r="R95" s="472">
        <f t="shared" si="89"/>
        <v>0</v>
      </c>
      <c r="S95" s="241">
        <f t="shared" si="90"/>
        <v>2458</v>
      </c>
      <c r="T95" s="13" t="s">
        <v>18</v>
      </c>
      <c r="U95" s="4">
        <v>1990</v>
      </c>
      <c r="V95" s="4">
        <v>7</v>
      </c>
      <c r="W95" s="242">
        <f t="shared" si="91"/>
        <v>6063.2748887677399</v>
      </c>
      <c r="X95" s="131">
        <f t="shared" si="106"/>
        <v>203.06466910707695</v>
      </c>
      <c r="Z95" s="175">
        <f t="shared" si="92"/>
        <v>689552</v>
      </c>
      <c r="AA95" s="12">
        <f t="shared" si="93"/>
        <v>2458</v>
      </c>
      <c r="AB95" s="379">
        <f t="shared" si="100"/>
        <v>689552</v>
      </c>
      <c r="AC95" s="107">
        <f>RESID!AC95</f>
        <v>30.45</v>
      </c>
      <c r="AD95" s="243">
        <f t="shared" si="94"/>
        <v>686417.1</v>
      </c>
      <c r="AE95" s="243">
        <f t="shared" si="104"/>
        <v>27993.699999999953</v>
      </c>
      <c r="AG95" s="4">
        <f t="shared" si="95"/>
        <v>688873</v>
      </c>
      <c r="AX95" s="4">
        <v>1990</v>
      </c>
      <c r="AY95" s="4">
        <v>7</v>
      </c>
      <c r="AZ95" s="76">
        <f>'[8]COM 55 &amp; 65'!$S180</f>
        <v>539.70000000000005</v>
      </c>
      <c r="BA95" s="76">
        <f t="shared" si="107"/>
        <v>546.1</v>
      </c>
      <c r="BB95" s="362">
        <f t="shared" si="101"/>
        <v>6.3999999999999773</v>
      </c>
      <c r="BC95" s="362"/>
      <c r="BD95" s="76">
        <f>'[8]COM 55 &amp; 65'!$J180</f>
        <v>0</v>
      </c>
      <c r="BE95" s="76">
        <f t="shared" si="108"/>
        <v>0</v>
      </c>
      <c r="BF95" s="363">
        <f t="shared" si="102"/>
        <v>0</v>
      </c>
      <c r="BG95" s="244"/>
      <c r="BH95" s="244">
        <f t="shared" si="96"/>
        <v>4370.6239999999843</v>
      </c>
      <c r="BI95" s="242">
        <f t="shared" si="97"/>
        <v>0</v>
      </c>
      <c r="BJ95" s="242"/>
      <c r="BK95" s="241">
        <f t="shared" si="98"/>
        <v>4371</v>
      </c>
      <c r="BL95" s="262"/>
      <c r="BM95" s="36" t="s">
        <v>18</v>
      </c>
      <c r="BN95" s="4">
        <v>1990</v>
      </c>
      <c r="BO95" s="4">
        <v>7</v>
      </c>
    </row>
    <row r="96" spans="1:72" ht="12.75" customHeight="1">
      <c r="A96" s="22">
        <v>1990</v>
      </c>
      <c r="B96" s="4">
        <v>8</v>
      </c>
      <c r="C96" s="5">
        <v>715761</v>
      </c>
      <c r="D96" s="5">
        <v>113857</v>
      </c>
      <c r="E96" s="74">
        <f t="shared" si="85"/>
        <v>6286.5</v>
      </c>
      <c r="G96" s="347"/>
      <c r="J96" s="574">
        <f t="shared" si="99"/>
        <v>113857</v>
      </c>
      <c r="K96" s="4">
        <f>'[7]COM 55 &amp; 65'!$S181</f>
        <v>555.6</v>
      </c>
      <c r="L96" s="4">
        <f t="shared" si="105"/>
        <v>542</v>
      </c>
      <c r="M96" s="44">
        <f t="shared" si="86"/>
        <v>-13.600000000000023</v>
      </c>
      <c r="N96" s="4">
        <f>'[7]COM 55 &amp; 65'!$J181</f>
        <v>0</v>
      </c>
      <c r="O96" s="4">
        <f t="shared" si="103"/>
        <v>0</v>
      </c>
      <c r="P96" s="41">
        <f t="shared" si="87"/>
        <v>0</v>
      </c>
      <c r="Q96" s="474">
        <f t="shared" si="88"/>
        <v>-9287.5760000000155</v>
      </c>
      <c r="R96" s="472">
        <f t="shared" si="89"/>
        <v>0</v>
      </c>
      <c r="S96" s="241">
        <f t="shared" si="90"/>
        <v>-9288</v>
      </c>
      <c r="T96" s="13" t="s">
        <v>18</v>
      </c>
      <c r="U96" s="4">
        <v>1990</v>
      </c>
      <c r="V96" s="4">
        <v>8</v>
      </c>
      <c r="W96" s="242">
        <f t="shared" si="91"/>
        <v>6204.9149371580143</v>
      </c>
      <c r="X96" s="131">
        <f t="shared" si="106"/>
        <v>280.69793241204479</v>
      </c>
      <c r="Z96" s="175">
        <f t="shared" si="92"/>
        <v>706473</v>
      </c>
      <c r="AA96" s="12">
        <f t="shared" si="93"/>
        <v>-9288</v>
      </c>
      <c r="AB96" s="379">
        <f t="shared" si="100"/>
        <v>706473</v>
      </c>
      <c r="AC96" s="107">
        <f>RESID!AC96</f>
        <v>31.15</v>
      </c>
      <c r="AD96" s="243">
        <f t="shared" si="94"/>
        <v>698987.1</v>
      </c>
      <c r="AE96" s="243">
        <f t="shared" si="104"/>
        <v>23557.599999999977</v>
      </c>
      <c r="AG96" s="4">
        <f t="shared" si="95"/>
        <v>689917</v>
      </c>
      <c r="AX96" s="4">
        <v>1990</v>
      </c>
      <c r="AY96" s="4">
        <v>8</v>
      </c>
      <c r="AZ96" s="76">
        <f>'[8]COM 55 &amp; 65'!$S181</f>
        <v>552.5</v>
      </c>
      <c r="BA96" s="76">
        <f t="shared" si="107"/>
        <v>549</v>
      </c>
      <c r="BB96" s="362">
        <f t="shared" si="101"/>
        <v>-3.5</v>
      </c>
      <c r="BC96" s="362"/>
      <c r="BD96" s="76">
        <f>'[8]COM 55 &amp; 65'!$J181</f>
        <v>0</v>
      </c>
      <c r="BE96" s="76">
        <f t="shared" si="108"/>
        <v>0</v>
      </c>
      <c r="BF96" s="363">
        <f t="shared" si="102"/>
        <v>0</v>
      </c>
      <c r="BG96" s="244"/>
      <c r="BH96" s="244">
        <f t="shared" si="96"/>
        <v>-2390.1849999999999</v>
      </c>
      <c r="BI96" s="242">
        <f t="shared" si="97"/>
        <v>0</v>
      </c>
      <c r="BJ96" s="242"/>
      <c r="BK96" s="241">
        <f t="shared" si="98"/>
        <v>-2390</v>
      </c>
      <c r="BL96" s="262"/>
      <c r="BM96" s="36" t="s">
        <v>18</v>
      </c>
      <c r="BN96" s="4">
        <v>1990</v>
      </c>
      <c r="BO96" s="4">
        <v>8</v>
      </c>
    </row>
    <row r="97" spans="1:72" ht="12.75" customHeight="1">
      <c r="A97" s="22">
        <v>1990</v>
      </c>
      <c r="B97" s="4">
        <v>9</v>
      </c>
      <c r="C97" s="5">
        <v>707699</v>
      </c>
      <c r="D97" s="5">
        <v>113986</v>
      </c>
      <c r="E97" s="74">
        <f t="shared" si="85"/>
        <v>6208.6</v>
      </c>
      <c r="G97" s="347"/>
      <c r="J97" s="574">
        <f t="shared" si="99"/>
        <v>113986</v>
      </c>
      <c r="K97" s="4">
        <f>'[7]COM 55 &amp; 65'!$S182</f>
        <v>536.9</v>
      </c>
      <c r="L97" s="4">
        <f t="shared" si="105"/>
        <v>531.20000000000005</v>
      </c>
      <c r="M97" s="44">
        <f t="shared" si="86"/>
        <v>-5.6999999999999318</v>
      </c>
      <c r="N97" s="4">
        <f>'[7]COM 55 &amp; 65'!$J182</f>
        <v>0</v>
      </c>
      <c r="O97" s="4">
        <f t="shared" si="103"/>
        <v>0</v>
      </c>
      <c r="P97" s="41">
        <f t="shared" si="87"/>
        <v>0</v>
      </c>
      <c r="Q97" s="474">
        <f t="shared" si="88"/>
        <v>-3892.5869999999532</v>
      </c>
      <c r="R97" s="472">
        <f t="shared" si="89"/>
        <v>0</v>
      </c>
      <c r="S97" s="241">
        <f t="shared" si="90"/>
        <v>-3893</v>
      </c>
      <c r="T97" s="13" t="s">
        <v>18</v>
      </c>
      <c r="U97" s="4">
        <v>1990</v>
      </c>
      <c r="V97" s="4">
        <v>9</v>
      </c>
      <c r="W97" s="242">
        <f t="shared" si="91"/>
        <v>6174.4951134349831</v>
      </c>
      <c r="X97" s="131">
        <f t="shared" si="106"/>
        <v>151.80645865668248</v>
      </c>
      <c r="Z97" s="175">
        <f t="shared" si="92"/>
        <v>703806</v>
      </c>
      <c r="AA97" s="12">
        <f t="shared" si="93"/>
        <v>-3893</v>
      </c>
      <c r="AB97" s="379">
        <f t="shared" si="100"/>
        <v>703806</v>
      </c>
      <c r="AC97" s="107">
        <f>RESID!AC97</f>
        <v>30.5</v>
      </c>
      <c r="AD97" s="243">
        <f t="shared" si="94"/>
        <v>705842.7</v>
      </c>
      <c r="AE97" s="243">
        <f t="shared" si="104"/>
        <v>34792.79999999993</v>
      </c>
      <c r="AG97" s="4">
        <f t="shared" si="95"/>
        <v>701960</v>
      </c>
      <c r="AX97" s="4">
        <v>1990</v>
      </c>
      <c r="AY97" s="4">
        <v>9</v>
      </c>
      <c r="AZ97" s="76">
        <f>'[8]COM 55 &amp; 65'!$S182</f>
        <v>494.3</v>
      </c>
      <c r="BA97" s="76">
        <f t="shared" si="107"/>
        <v>487.9</v>
      </c>
      <c r="BB97" s="362">
        <f t="shared" si="101"/>
        <v>-6.4000000000000341</v>
      </c>
      <c r="BC97" s="362"/>
      <c r="BD97" s="76">
        <f>'[8]COM 55 &amp; 65'!$J182</f>
        <v>0.1</v>
      </c>
      <c r="BE97" s="76">
        <f t="shared" si="108"/>
        <v>0</v>
      </c>
      <c r="BF97" s="363">
        <f t="shared" si="102"/>
        <v>-0.1</v>
      </c>
      <c r="BG97" s="244"/>
      <c r="BH97" s="244">
        <f t="shared" si="96"/>
        <v>-4370.6240000000234</v>
      </c>
      <c r="BI97" s="242">
        <f t="shared" si="97"/>
        <v>-65.934000000000012</v>
      </c>
      <c r="BJ97" s="242"/>
      <c r="BK97" s="241">
        <f t="shared" si="98"/>
        <v>-4437</v>
      </c>
      <c r="BL97" s="262"/>
      <c r="BM97" s="36" t="s">
        <v>18</v>
      </c>
      <c r="BN97" s="4">
        <v>1990</v>
      </c>
      <c r="BO97" s="4">
        <v>9</v>
      </c>
    </row>
    <row r="98" spans="1:72" ht="12.75" customHeight="1">
      <c r="A98" s="22">
        <v>1990</v>
      </c>
      <c r="B98" s="4">
        <v>10</v>
      </c>
      <c r="C98" s="5">
        <v>667161</v>
      </c>
      <c r="D98" s="5">
        <v>114184</v>
      </c>
      <c r="E98" s="74">
        <f t="shared" si="85"/>
        <v>5842.9</v>
      </c>
      <c r="G98" s="347"/>
      <c r="J98" s="574">
        <f t="shared" si="99"/>
        <v>114184</v>
      </c>
      <c r="K98" s="4">
        <f>'[7]COM 55 &amp; 65'!$S183</f>
        <v>461.6</v>
      </c>
      <c r="L98" s="4">
        <f t="shared" si="105"/>
        <v>431.2</v>
      </c>
      <c r="M98" s="44">
        <f t="shared" si="86"/>
        <v>-30.400000000000034</v>
      </c>
      <c r="N98" s="4">
        <f>'[7]COM 55 &amp; 65'!$J183</f>
        <v>0.1</v>
      </c>
      <c r="O98" s="4">
        <f t="shared" si="103"/>
        <v>0.2</v>
      </c>
      <c r="P98" s="41">
        <f t="shared" si="87"/>
        <v>0.1</v>
      </c>
      <c r="Q98" s="474">
        <f t="shared" si="88"/>
        <v>-20760.464000000022</v>
      </c>
      <c r="R98" s="472">
        <f t="shared" si="89"/>
        <v>65.934000000000012</v>
      </c>
      <c r="S98" s="241">
        <f t="shared" si="90"/>
        <v>-20695</v>
      </c>
      <c r="T98" s="13" t="s">
        <v>18</v>
      </c>
      <c r="U98" s="4">
        <v>1990</v>
      </c>
      <c r="V98" s="4">
        <v>10</v>
      </c>
      <c r="W98" s="242">
        <f t="shared" si="91"/>
        <v>5661.616338541302</v>
      </c>
      <c r="X98" s="131">
        <f t="shared" si="106"/>
        <v>166.10372390332577</v>
      </c>
      <c r="Z98" s="175">
        <f t="shared" si="92"/>
        <v>646466</v>
      </c>
      <c r="AA98" s="12">
        <f t="shared" si="93"/>
        <v>-20695</v>
      </c>
      <c r="AB98" s="379">
        <f t="shared" si="100"/>
        <v>646466</v>
      </c>
      <c r="AC98" s="107">
        <f>RESID!AC98</f>
        <v>29.7</v>
      </c>
      <c r="AD98" s="243">
        <f t="shared" si="94"/>
        <v>683334.6</v>
      </c>
      <c r="AE98" s="243">
        <f t="shared" si="104"/>
        <v>35707.099999999977</v>
      </c>
      <c r="AG98" s="4">
        <f t="shared" si="95"/>
        <v>662138</v>
      </c>
      <c r="AX98" s="4">
        <v>1990</v>
      </c>
      <c r="AY98" s="4">
        <v>10</v>
      </c>
      <c r="AZ98" s="76">
        <f>'[8]COM 55 &amp; 65'!$S183</f>
        <v>370.9</v>
      </c>
      <c r="BA98" s="76">
        <f t="shared" si="107"/>
        <v>332.5</v>
      </c>
      <c r="BB98" s="362">
        <f t="shared" si="101"/>
        <v>-38.399999999999977</v>
      </c>
      <c r="BC98" s="362"/>
      <c r="BD98" s="76">
        <f>'[8]COM 55 &amp; 65'!$J183</f>
        <v>3.4</v>
      </c>
      <c r="BE98" s="76">
        <f t="shared" si="108"/>
        <v>2</v>
      </c>
      <c r="BF98" s="363">
        <f t="shared" si="102"/>
        <v>-1.4</v>
      </c>
      <c r="BG98" s="244"/>
      <c r="BH98" s="244">
        <f t="shared" si="96"/>
        <v>-26223.743999999984</v>
      </c>
      <c r="BI98" s="242">
        <f t="shared" si="97"/>
        <v>-923.07600000000002</v>
      </c>
      <c r="BJ98" s="242"/>
      <c r="BK98" s="241">
        <f t="shared" si="98"/>
        <v>-27147</v>
      </c>
      <c r="BL98" s="262"/>
      <c r="BM98" s="36" t="s">
        <v>18</v>
      </c>
      <c r="BN98" s="4">
        <v>1990</v>
      </c>
      <c r="BO98" s="4">
        <v>10</v>
      </c>
    </row>
    <row r="99" spans="1:72" ht="12.75" customHeight="1">
      <c r="A99" s="22">
        <v>1990</v>
      </c>
      <c r="B99" s="4">
        <v>11</v>
      </c>
      <c r="C99" s="5">
        <v>597104</v>
      </c>
      <c r="D99" s="5">
        <v>114354</v>
      </c>
      <c r="E99" s="74">
        <f t="shared" si="85"/>
        <v>5221.5</v>
      </c>
      <c r="G99" s="347"/>
      <c r="J99" s="574">
        <f t="shared" si="99"/>
        <v>114354</v>
      </c>
      <c r="K99" s="4">
        <f>'[7]COM 55 &amp; 65'!$S184</f>
        <v>267.60000000000002</v>
      </c>
      <c r="L99" s="4">
        <f t="shared" si="105"/>
        <v>251.9</v>
      </c>
      <c r="M99" s="44">
        <f t="shared" si="86"/>
        <v>-15.700000000000017</v>
      </c>
      <c r="N99" s="4">
        <f>'[7]COM 55 &amp; 65'!$J184</f>
        <v>5.7</v>
      </c>
      <c r="O99" s="4">
        <f t="shared" si="103"/>
        <v>6.3</v>
      </c>
      <c r="P99" s="41">
        <f t="shared" si="87"/>
        <v>0.59999999999999964</v>
      </c>
      <c r="Q99" s="474">
        <f t="shared" si="88"/>
        <v>-10721.687000000011</v>
      </c>
      <c r="R99" s="472">
        <f t="shared" si="89"/>
        <v>395.60399999999976</v>
      </c>
      <c r="S99" s="241">
        <f t="shared" si="90"/>
        <v>-10326</v>
      </c>
      <c r="T99" s="13" t="s">
        <v>18</v>
      </c>
      <c r="U99" s="4">
        <v>1990</v>
      </c>
      <c r="V99" s="4">
        <v>11</v>
      </c>
      <c r="W99" s="242">
        <f t="shared" si="91"/>
        <v>5131.2415831540657</v>
      </c>
      <c r="X99" s="131">
        <f t="shared" si="106"/>
        <v>163.17092494981353</v>
      </c>
      <c r="Z99" s="175">
        <f t="shared" si="92"/>
        <v>586778</v>
      </c>
      <c r="AA99" s="12">
        <f t="shared" si="93"/>
        <v>-10326</v>
      </c>
      <c r="AB99" s="379">
        <f t="shared" si="100"/>
        <v>586778</v>
      </c>
      <c r="AC99" s="107">
        <f>RESID!AC99</f>
        <v>30.15</v>
      </c>
      <c r="AD99" s="243">
        <f t="shared" si="94"/>
        <v>602451.19999999995</v>
      </c>
      <c r="AE99" s="243">
        <f t="shared" si="104"/>
        <v>29427.199999999953</v>
      </c>
      <c r="AG99" s="4">
        <f t="shared" si="95"/>
        <v>592033</v>
      </c>
      <c r="AX99" s="4">
        <v>1990</v>
      </c>
      <c r="AY99" s="4">
        <v>11</v>
      </c>
      <c r="AZ99" s="76">
        <f>'[8]COM 55 &amp; 65'!$S184</f>
        <v>158.69999999999999</v>
      </c>
      <c r="BA99" s="76">
        <f t="shared" si="107"/>
        <v>146</v>
      </c>
      <c r="BB99" s="362">
        <f t="shared" si="101"/>
        <v>-12.699999999999989</v>
      </c>
      <c r="BC99" s="362"/>
      <c r="BD99" s="76">
        <f>'[8]COM 55 &amp; 65'!$J184</f>
        <v>8.8000000000000007</v>
      </c>
      <c r="BE99" s="76">
        <f t="shared" si="108"/>
        <v>14</v>
      </c>
      <c r="BF99" s="363">
        <f t="shared" si="102"/>
        <v>5.1999999999999993</v>
      </c>
      <c r="BG99" s="244"/>
      <c r="BH99" s="244">
        <f t="shared" si="96"/>
        <v>-8672.9569999999912</v>
      </c>
      <c r="BI99" s="242">
        <f t="shared" si="97"/>
        <v>3428.5679999999998</v>
      </c>
      <c r="BJ99" s="242"/>
      <c r="BK99" s="241">
        <f t="shared" si="98"/>
        <v>-5244</v>
      </c>
      <c r="BL99" s="262"/>
      <c r="BM99" s="36" t="s">
        <v>18</v>
      </c>
      <c r="BN99" s="4">
        <v>1990</v>
      </c>
      <c r="BO99" s="4">
        <v>11</v>
      </c>
    </row>
    <row r="100" spans="1:72" s="89" customFormat="1" ht="12.75" customHeight="1">
      <c r="A100" s="225">
        <v>1990</v>
      </c>
      <c r="B100" s="89">
        <v>12</v>
      </c>
      <c r="C100" s="103">
        <v>559332</v>
      </c>
      <c r="D100" s="103">
        <v>114366</v>
      </c>
      <c r="E100" s="109">
        <f t="shared" si="85"/>
        <v>4890.7</v>
      </c>
      <c r="F100" s="90"/>
      <c r="G100" s="348"/>
      <c r="J100" s="575">
        <f t="shared" si="99"/>
        <v>114366</v>
      </c>
      <c r="K100" s="89">
        <f>'[7]COM 55 &amp; 65'!$S185</f>
        <v>134</v>
      </c>
      <c r="L100" s="89">
        <f t="shared" si="105"/>
        <v>119.4</v>
      </c>
      <c r="M100" s="93">
        <f t="shared" si="86"/>
        <v>-14.599999999999994</v>
      </c>
      <c r="N100" s="89">
        <f>'[7]COM 55 &amp; 65'!$J185</f>
        <v>20.7</v>
      </c>
      <c r="O100" s="89">
        <f t="shared" si="103"/>
        <v>30.1</v>
      </c>
      <c r="P100" s="94">
        <f t="shared" si="87"/>
        <v>9.4000000000000021</v>
      </c>
      <c r="Q100" s="475">
        <f t="shared" si="88"/>
        <v>-9970.4859999999953</v>
      </c>
      <c r="R100" s="473">
        <f t="shared" si="89"/>
        <v>6197.7960000000021</v>
      </c>
      <c r="S100" s="329">
        <f t="shared" si="90"/>
        <v>-3773</v>
      </c>
      <c r="T100" s="90" t="s">
        <v>18</v>
      </c>
      <c r="U100" s="89">
        <v>1990</v>
      </c>
      <c r="V100" s="89">
        <v>12</v>
      </c>
      <c r="W100" s="328">
        <f t="shared" si="91"/>
        <v>4857.7286955913469</v>
      </c>
      <c r="X100" s="133">
        <f t="shared" si="106"/>
        <v>196.81608870066793</v>
      </c>
      <c r="Z100" s="176">
        <f t="shared" si="92"/>
        <v>555559</v>
      </c>
      <c r="AA100" s="105">
        <f t="shared" si="93"/>
        <v>-3773</v>
      </c>
      <c r="AB100" s="517">
        <f t="shared" si="100"/>
        <v>555559</v>
      </c>
      <c r="AC100" s="110">
        <f>RESID!AC100</f>
        <v>31.65</v>
      </c>
      <c r="AD100" s="331">
        <f t="shared" si="94"/>
        <v>537594.9</v>
      </c>
      <c r="AE100" s="331">
        <f t="shared" si="104"/>
        <v>16208.900000000023</v>
      </c>
      <c r="AG100" s="89">
        <f t="shared" si="95"/>
        <v>533969</v>
      </c>
      <c r="AX100" s="89">
        <v>1990</v>
      </c>
      <c r="AY100" s="89">
        <v>12</v>
      </c>
      <c r="AZ100" s="92">
        <f>'[8]COM 55 &amp; 65'!$S185</f>
        <v>132.4</v>
      </c>
      <c r="BA100" s="92">
        <f t="shared" si="107"/>
        <v>75.7</v>
      </c>
      <c r="BB100" s="364">
        <f t="shared" si="101"/>
        <v>-56.7</v>
      </c>
      <c r="BC100" s="364"/>
      <c r="BD100" s="92">
        <f>'[8]COM 55 &amp; 65'!$J185</f>
        <v>28</v>
      </c>
      <c r="BE100" s="92">
        <f t="shared" si="108"/>
        <v>44.3</v>
      </c>
      <c r="BF100" s="365">
        <f t="shared" si="102"/>
        <v>16.299999999999997</v>
      </c>
      <c r="BG100" s="327"/>
      <c r="BH100" s="327">
        <f t="shared" si="96"/>
        <v>-38720.997000000003</v>
      </c>
      <c r="BI100" s="328">
        <f t="shared" si="97"/>
        <v>10747.241999999998</v>
      </c>
      <c r="BJ100" s="328"/>
      <c r="BK100" s="329">
        <f t="shared" si="98"/>
        <v>-27974</v>
      </c>
      <c r="BL100" s="332"/>
      <c r="BM100" s="113" t="s">
        <v>18</v>
      </c>
      <c r="BN100" s="89">
        <v>1990</v>
      </c>
      <c r="BO100" s="89">
        <v>12</v>
      </c>
      <c r="BT100" s="96"/>
    </row>
    <row r="101" spans="1:72" ht="12.75" customHeight="1">
      <c r="A101" s="22">
        <v>1991</v>
      </c>
      <c r="B101" s="4">
        <v>1</v>
      </c>
      <c r="C101" s="5">
        <v>569429</v>
      </c>
      <c r="D101" s="5">
        <v>114039</v>
      </c>
      <c r="E101" s="74">
        <f t="shared" si="85"/>
        <v>4993.3</v>
      </c>
      <c r="G101" s="347"/>
      <c r="J101" s="574">
        <f t="shared" si="99"/>
        <v>114039</v>
      </c>
      <c r="K101" s="4">
        <f>'[7]COM 55 &amp; 65'!$S186</f>
        <v>156.4</v>
      </c>
      <c r="L101" s="4">
        <f t="shared" si="105"/>
        <v>70.8</v>
      </c>
      <c r="M101" s="44">
        <f t="shared" si="86"/>
        <v>-85.600000000000009</v>
      </c>
      <c r="N101" s="4">
        <f>'[7]COM 55 &amp; 65'!$J186</f>
        <v>21.6</v>
      </c>
      <c r="O101" s="4">
        <f t="shared" si="103"/>
        <v>54.9</v>
      </c>
      <c r="P101" s="41">
        <f t="shared" si="87"/>
        <v>33.299999999999997</v>
      </c>
      <c r="Q101" s="474">
        <f t="shared" si="88"/>
        <v>-58457.096000000005</v>
      </c>
      <c r="R101" s="472">
        <f t="shared" si="89"/>
        <v>21956.022000000001</v>
      </c>
      <c r="S101" s="241">
        <f t="shared" si="90"/>
        <v>-36501</v>
      </c>
      <c r="T101" s="13" t="s">
        <v>18</v>
      </c>
      <c r="U101" s="4">
        <v>1991</v>
      </c>
      <c r="V101" s="4">
        <v>1</v>
      </c>
      <c r="W101" s="242">
        <f t="shared" si="91"/>
        <v>4673.2082883925677</v>
      </c>
      <c r="X101" s="131">
        <f t="shared" si="106"/>
        <v>292.41552435958056</v>
      </c>
      <c r="Z101" s="175">
        <f t="shared" si="92"/>
        <v>532928</v>
      </c>
      <c r="AA101" s="12">
        <f t="shared" si="93"/>
        <v>-36501</v>
      </c>
      <c r="AB101" s="379">
        <f t="shared" si="100"/>
        <v>532928</v>
      </c>
      <c r="AC101" s="107">
        <f>RESID!AC101</f>
        <v>31.8</v>
      </c>
      <c r="AD101" s="243">
        <f t="shared" si="94"/>
        <v>544717.9</v>
      </c>
      <c r="AE101" s="243">
        <f t="shared" si="104"/>
        <v>20314</v>
      </c>
      <c r="AG101" s="4">
        <f t="shared" si="95"/>
        <v>509801</v>
      </c>
      <c r="AX101" s="4">
        <v>1991</v>
      </c>
      <c r="AY101" s="4">
        <v>1</v>
      </c>
      <c r="AZ101" s="76">
        <f>'[8]COM 55 &amp; 65'!$S186</f>
        <v>121.3</v>
      </c>
      <c r="BA101" s="76">
        <f t="shared" si="107"/>
        <v>72.3</v>
      </c>
      <c r="BB101" s="362">
        <f t="shared" si="101"/>
        <v>-49</v>
      </c>
      <c r="BC101" s="362"/>
      <c r="BD101" s="76">
        <f>'[8]COM 55 &amp; 65'!$J186</f>
        <v>27.6</v>
      </c>
      <c r="BE101" s="76">
        <f t="shared" si="108"/>
        <v>52.4</v>
      </c>
      <c r="BF101" s="363">
        <f t="shared" si="102"/>
        <v>24.799999999999997</v>
      </c>
      <c r="BG101" s="244"/>
      <c r="BH101" s="244">
        <f t="shared" si="96"/>
        <v>-33462.589999999997</v>
      </c>
      <c r="BI101" s="242">
        <f t="shared" si="97"/>
        <v>16351.632</v>
      </c>
      <c r="BJ101" s="242"/>
      <c r="BK101" s="241">
        <f t="shared" si="98"/>
        <v>-17111</v>
      </c>
      <c r="BL101" s="262"/>
      <c r="BM101" s="36" t="s">
        <v>18</v>
      </c>
      <c r="BN101" s="4">
        <v>1991</v>
      </c>
      <c r="BO101" s="4">
        <v>1</v>
      </c>
    </row>
    <row r="102" spans="1:72" ht="12.75" customHeight="1">
      <c r="A102" s="22">
        <v>1991</v>
      </c>
      <c r="B102" s="4">
        <v>2</v>
      </c>
      <c r="C102" s="5">
        <v>519836</v>
      </c>
      <c r="D102" s="5">
        <v>114021</v>
      </c>
      <c r="E102" s="74">
        <f t="shared" si="85"/>
        <v>4559.1000000000004</v>
      </c>
      <c r="G102" s="347"/>
      <c r="J102" s="574">
        <f t="shared" si="99"/>
        <v>114021</v>
      </c>
      <c r="K102" s="4">
        <f>'[7]COM 55 &amp; 65'!$S187</f>
        <v>94.2</v>
      </c>
      <c r="L102" s="4">
        <f t="shared" si="105"/>
        <v>62.7</v>
      </c>
      <c r="M102" s="44">
        <f t="shared" si="86"/>
        <v>-31.5</v>
      </c>
      <c r="N102" s="4">
        <f>'[7]COM 55 &amp; 65'!$J187</f>
        <v>31</v>
      </c>
      <c r="O102" s="4">
        <f t="shared" si="103"/>
        <v>46.9</v>
      </c>
      <c r="P102" s="41">
        <f t="shared" si="87"/>
        <v>15.899999999999999</v>
      </c>
      <c r="Q102" s="474">
        <f t="shared" si="88"/>
        <v>-21511.664999999997</v>
      </c>
      <c r="R102" s="472">
        <f t="shared" si="89"/>
        <v>10483.505999999999</v>
      </c>
      <c r="S102" s="241">
        <f t="shared" si="90"/>
        <v>-11028</v>
      </c>
      <c r="T102" s="13" t="s">
        <v>18</v>
      </c>
      <c r="U102" s="4">
        <v>1991</v>
      </c>
      <c r="V102" s="4">
        <v>2</v>
      </c>
      <c r="W102" s="242">
        <f t="shared" si="91"/>
        <v>4462.4060480087001</v>
      </c>
      <c r="X102" s="131">
        <f t="shared" si="106"/>
        <v>82.694797764823306</v>
      </c>
      <c r="Z102" s="175">
        <f t="shared" si="92"/>
        <v>508808</v>
      </c>
      <c r="AA102" s="12">
        <f t="shared" si="93"/>
        <v>-11028</v>
      </c>
      <c r="AB102" s="379">
        <f t="shared" si="100"/>
        <v>508808</v>
      </c>
      <c r="AC102" s="107">
        <f>RESID!AC102</f>
        <v>29.6</v>
      </c>
      <c r="AD102" s="243">
        <f t="shared" si="94"/>
        <v>534236.9</v>
      </c>
      <c r="AE102" s="243">
        <f t="shared" si="104"/>
        <v>10396.700000000012</v>
      </c>
      <c r="AG102" s="4">
        <f t="shared" si="95"/>
        <v>522903</v>
      </c>
      <c r="AX102" s="4">
        <v>1991</v>
      </c>
      <c r="AY102" s="4">
        <v>2</v>
      </c>
      <c r="AZ102" s="76">
        <f>'[8]COM 55 &amp; 65'!$S187</f>
        <v>84.8</v>
      </c>
      <c r="BA102" s="76">
        <f t="shared" si="107"/>
        <v>82.6</v>
      </c>
      <c r="BB102" s="362">
        <f t="shared" si="101"/>
        <v>-2.2000000000000028</v>
      </c>
      <c r="BC102" s="362"/>
      <c r="BD102" s="76">
        <f>'[8]COM 55 &amp; 65'!$J187</f>
        <v>32.700000000000003</v>
      </c>
      <c r="BE102" s="76">
        <f t="shared" si="108"/>
        <v>36.5</v>
      </c>
      <c r="BF102" s="363">
        <f t="shared" si="102"/>
        <v>3.7999999999999972</v>
      </c>
      <c r="BG102" s="244"/>
      <c r="BH102" s="244">
        <f t="shared" si="96"/>
        <v>-1502.4020000000019</v>
      </c>
      <c r="BI102" s="242">
        <f t="shared" si="97"/>
        <v>2505.4919999999984</v>
      </c>
      <c r="BJ102" s="242"/>
      <c r="BK102" s="241">
        <f t="shared" si="98"/>
        <v>1003</v>
      </c>
      <c r="BL102" s="262"/>
      <c r="BM102" s="36" t="s">
        <v>18</v>
      </c>
      <c r="BN102" s="4">
        <v>1991</v>
      </c>
      <c r="BO102" s="4">
        <v>2</v>
      </c>
    </row>
    <row r="103" spans="1:72" ht="12.75" customHeight="1">
      <c r="A103" s="22">
        <v>1991</v>
      </c>
      <c r="B103" s="4">
        <v>3</v>
      </c>
      <c r="C103" s="5">
        <v>524892</v>
      </c>
      <c r="D103" s="5">
        <v>113887</v>
      </c>
      <c r="E103" s="74">
        <f t="shared" si="85"/>
        <v>4608.8999999999996</v>
      </c>
      <c r="G103" s="347"/>
      <c r="J103" s="574">
        <f t="shared" si="99"/>
        <v>113887</v>
      </c>
      <c r="K103" s="4">
        <f>'[7]COM 55 &amp; 65'!$S188</f>
        <v>101.6</v>
      </c>
      <c r="L103" s="4">
        <f t="shared" si="105"/>
        <v>105.4</v>
      </c>
      <c r="M103" s="44">
        <f t="shared" si="86"/>
        <v>3.8000000000000114</v>
      </c>
      <c r="N103" s="4">
        <f>'[7]COM 55 &amp; 65'!$J188</f>
        <v>29.6</v>
      </c>
      <c r="O103" s="4">
        <f t="shared" si="103"/>
        <v>26.8</v>
      </c>
      <c r="P103" s="41">
        <f t="shared" si="87"/>
        <v>-2.8000000000000007</v>
      </c>
      <c r="Q103" s="474">
        <f t="shared" si="88"/>
        <v>2595.0580000000077</v>
      </c>
      <c r="R103" s="472">
        <f t="shared" si="89"/>
        <v>-1846.1520000000005</v>
      </c>
      <c r="S103" s="241">
        <f t="shared" si="90"/>
        <v>749</v>
      </c>
      <c r="T103" s="13" t="s">
        <v>18</v>
      </c>
      <c r="U103" s="4">
        <v>1991</v>
      </c>
      <c r="V103" s="4">
        <v>3</v>
      </c>
      <c r="W103" s="242">
        <f t="shared" si="91"/>
        <v>4615.460939352165</v>
      </c>
      <c r="X103" s="131">
        <f t="shared" si="106"/>
        <v>65.038763153344007</v>
      </c>
      <c r="Z103" s="175">
        <f t="shared" si="92"/>
        <v>525641</v>
      </c>
      <c r="AA103" s="12">
        <f t="shared" si="93"/>
        <v>749</v>
      </c>
      <c r="AB103" s="379">
        <f t="shared" si="100"/>
        <v>525641</v>
      </c>
      <c r="AC103" s="107">
        <f>RESID!AC103</f>
        <v>29.4</v>
      </c>
      <c r="AD103" s="243">
        <f t="shared" si="94"/>
        <v>543102.5</v>
      </c>
      <c r="AE103" s="243">
        <f t="shared" si="104"/>
        <v>-2155.3000000000466</v>
      </c>
      <c r="AG103" s="4">
        <f t="shared" si="95"/>
        <v>543878</v>
      </c>
      <c r="AX103" s="4">
        <v>1991</v>
      </c>
      <c r="AY103" s="4">
        <v>3</v>
      </c>
      <c r="AZ103" s="76">
        <f>'[8]COM 55 &amp; 65'!$S188</f>
        <v>156.1</v>
      </c>
      <c r="BA103" s="76">
        <f t="shared" si="107"/>
        <v>140.4</v>
      </c>
      <c r="BB103" s="362">
        <f t="shared" si="101"/>
        <v>-15.699999999999989</v>
      </c>
      <c r="BC103" s="362"/>
      <c r="BD103" s="76">
        <f>'[8]COM 55 &amp; 65'!$J188</f>
        <v>13.5</v>
      </c>
      <c r="BE103" s="76">
        <f t="shared" si="108"/>
        <v>15.1</v>
      </c>
      <c r="BF103" s="363">
        <f t="shared" si="102"/>
        <v>1.5999999999999996</v>
      </c>
      <c r="BG103" s="244"/>
      <c r="BH103" s="244">
        <f t="shared" si="96"/>
        <v>-10721.686999999993</v>
      </c>
      <c r="BI103" s="242">
        <f t="shared" si="97"/>
        <v>1054.9439999999997</v>
      </c>
      <c r="BJ103" s="242"/>
      <c r="BK103" s="241">
        <f t="shared" si="98"/>
        <v>-9667</v>
      </c>
      <c r="BL103" s="262"/>
      <c r="BM103" s="36" t="s">
        <v>18</v>
      </c>
      <c r="BN103" s="4">
        <v>1991</v>
      </c>
      <c r="BO103" s="4">
        <v>3</v>
      </c>
    </row>
    <row r="104" spans="1:72" ht="12.75" customHeight="1">
      <c r="A104" s="22">
        <v>1991</v>
      </c>
      <c r="B104" s="4">
        <v>4</v>
      </c>
      <c r="C104" s="5">
        <v>583591</v>
      </c>
      <c r="D104" s="5">
        <v>113982</v>
      </c>
      <c r="E104" s="74">
        <f t="shared" si="85"/>
        <v>5120</v>
      </c>
      <c r="G104" s="347"/>
      <c r="J104" s="574">
        <f t="shared" si="99"/>
        <v>113982</v>
      </c>
      <c r="K104" s="4">
        <f>'[7]COM 55 &amp; 65'!$S189</f>
        <v>219.1</v>
      </c>
      <c r="L104" s="4">
        <f t="shared" si="105"/>
        <v>178.4</v>
      </c>
      <c r="M104" s="44">
        <f t="shared" si="86"/>
        <v>-40.699999999999989</v>
      </c>
      <c r="N104" s="4">
        <f>'[7]COM 55 &amp; 65'!$J189</f>
        <v>6.4</v>
      </c>
      <c r="O104" s="4">
        <f t="shared" si="103"/>
        <v>9.5</v>
      </c>
      <c r="P104" s="41">
        <f t="shared" si="87"/>
        <v>3.0999999999999996</v>
      </c>
      <c r="Q104" s="474">
        <f t="shared" si="88"/>
        <v>-27794.436999999991</v>
      </c>
      <c r="R104" s="472">
        <f t="shared" si="89"/>
        <v>2043.954</v>
      </c>
      <c r="S104" s="241">
        <f t="shared" si="90"/>
        <v>-25750</v>
      </c>
      <c r="T104" s="13" t="s">
        <v>18</v>
      </c>
      <c r="U104" s="4">
        <v>1991</v>
      </c>
      <c r="V104" s="4">
        <v>4</v>
      </c>
      <c r="W104" s="242">
        <f t="shared" si="91"/>
        <v>4894.1148602410913</v>
      </c>
      <c r="X104" s="131">
        <f t="shared" si="106"/>
        <v>71.935786060781538</v>
      </c>
      <c r="Z104" s="175">
        <f t="shared" si="92"/>
        <v>557841</v>
      </c>
      <c r="AA104" s="12">
        <f t="shared" si="93"/>
        <v>-25750</v>
      </c>
      <c r="AB104" s="379">
        <f t="shared" si="100"/>
        <v>557841</v>
      </c>
      <c r="AC104" s="107">
        <f>RESID!AC104</f>
        <v>30.75</v>
      </c>
      <c r="AD104" s="243">
        <f t="shared" si="94"/>
        <v>577328.1</v>
      </c>
      <c r="AE104" s="243">
        <f t="shared" si="104"/>
        <v>23382.900000000023</v>
      </c>
      <c r="AG104" s="4">
        <f t="shared" si="95"/>
        <v>551854</v>
      </c>
      <c r="AX104" s="4">
        <v>1991</v>
      </c>
      <c r="AY104" s="4">
        <v>4</v>
      </c>
      <c r="AZ104" s="76">
        <f>'[8]COM 55 &amp; 65'!$S189</f>
        <v>324.89999999999998</v>
      </c>
      <c r="BA104" s="76">
        <f t="shared" si="107"/>
        <v>227.4</v>
      </c>
      <c r="BB104" s="362">
        <f t="shared" si="101"/>
        <v>-97.499999999999972</v>
      </c>
      <c r="BC104" s="362"/>
      <c r="BD104" s="76">
        <f>'[8]COM 55 &amp; 65'!$J189</f>
        <v>1.2</v>
      </c>
      <c r="BE104" s="76">
        <f t="shared" si="108"/>
        <v>4.8</v>
      </c>
      <c r="BF104" s="363">
        <f t="shared" si="102"/>
        <v>3.5999999999999996</v>
      </c>
      <c r="BG104" s="244"/>
      <c r="BH104" s="244">
        <f t="shared" si="96"/>
        <v>-66583.724999999977</v>
      </c>
      <c r="BI104" s="242">
        <f t="shared" si="97"/>
        <v>2373.6239999999998</v>
      </c>
      <c r="BJ104" s="242"/>
      <c r="BK104" s="241">
        <f t="shared" si="98"/>
        <v>-64210</v>
      </c>
      <c r="BL104" s="262"/>
      <c r="BM104" s="36" t="s">
        <v>18</v>
      </c>
      <c r="BN104" s="4">
        <v>1991</v>
      </c>
      <c r="BO104" s="4">
        <v>4</v>
      </c>
    </row>
    <row r="105" spans="1:72" ht="12.75" customHeight="1">
      <c r="A105" s="22">
        <v>1991</v>
      </c>
      <c r="B105" s="4">
        <v>5</v>
      </c>
      <c r="C105" s="5">
        <v>633467</v>
      </c>
      <c r="D105" s="5">
        <v>114314</v>
      </c>
      <c r="E105" s="74">
        <f t="shared" si="85"/>
        <v>5541.5</v>
      </c>
      <c r="G105" s="347"/>
      <c r="J105" s="574">
        <f t="shared" si="99"/>
        <v>114314</v>
      </c>
      <c r="K105" s="4">
        <f>'[7]COM 55 &amp; 65'!$S190</f>
        <v>382.4</v>
      </c>
      <c r="L105" s="4">
        <f t="shared" si="105"/>
        <v>273.89999999999998</v>
      </c>
      <c r="M105" s="44">
        <f t="shared" si="86"/>
        <v>-108.5</v>
      </c>
      <c r="N105" s="4">
        <f>'[7]COM 55 &amp; 65'!$J190</f>
        <v>0.2</v>
      </c>
      <c r="O105" s="4">
        <f t="shared" si="103"/>
        <v>2</v>
      </c>
      <c r="P105" s="41">
        <f t="shared" si="87"/>
        <v>1.8</v>
      </c>
      <c r="Q105" s="474">
        <f t="shared" si="88"/>
        <v>-74095.735000000001</v>
      </c>
      <c r="R105" s="472">
        <f t="shared" si="89"/>
        <v>1186.8120000000001</v>
      </c>
      <c r="S105" s="241">
        <f t="shared" si="90"/>
        <v>-72909</v>
      </c>
      <c r="T105" s="13" t="s">
        <v>18</v>
      </c>
      <c r="U105" s="4">
        <v>1991</v>
      </c>
      <c r="V105" s="4">
        <v>5</v>
      </c>
      <c r="W105" s="242">
        <f t="shared" si="91"/>
        <v>4903.6688419616148</v>
      </c>
      <c r="X105" s="131">
        <f t="shared" si="106"/>
        <v>-169.40176559175143</v>
      </c>
      <c r="Z105" s="175">
        <f t="shared" si="92"/>
        <v>560558</v>
      </c>
      <c r="AA105" s="12">
        <f t="shared" si="93"/>
        <v>-72909</v>
      </c>
      <c r="AB105" s="379">
        <f t="shared" si="100"/>
        <v>560558</v>
      </c>
      <c r="AC105" s="107">
        <f>RESID!AC105</f>
        <v>29.45</v>
      </c>
      <c r="AD105" s="243">
        <f t="shared" si="94"/>
        <v>654331.6</v>
      </c>
      <c r="AE105" s="243">
        <f t="shared" si="104"/>
        <v>53476.199999999953</v>
      </c>
      <c r="AG105" s="4">
        <f t="shared" si="95"/>
        <v>579021</v>
      </c>
      <c r="AX105" s="4">
        <v>1991</v>
      </c>
      <c r="AY105" s="4">
        <v>5</v>
      </c>
      <c r="AZ105" s="76">
        <f>'[8]COM 55 &amp; 65'!$S190</f>
        <v>460.8</v>
      </c>
      <c r="BA105" s="76">
        <f t="shared" si="107"/>
        <v>395.2</v>
      </c>
      <c r="BB105" s="362">
        <f t="shared" si="101"/>
        <v>-65.600000000000023</v>
      </c>
      <c r="BC105" s="362"/>
      <c r="BD105" s="76">
        <f>'[8]COM 55 &amp; 65'!$J190</f>
        <v>0</v>
      </c>
      <c r="BE105" s="76">
        <f t="shared" si="108"/>
        <v>0.2</v>
      </c>
      <c r="BF105" s="363">
        <f t="shared" si="102"/>
        <v>0.2</v>
      </c>
      <c r="BG105" s="244"/>
      <c r="BH105" s="244">
        <f t="shared" si="96"/>
        <v>-44798.896000000015</v>
      </c>
      <c r="BI105" s="242">
        <f t="shared" si="97"/>
        <v>131.86800000000002</v>
      </c>
      <c r="BJ105" s="242"/>
      <c r="BK105" s="241">
        <f t="shared" si="98"/>
        <v>-44667</v>
      </c>
      <c r="BL105" s="262"/>
      <c r="BM105" s="36" t="s">
        <v>18</v>
      </c>
      <c r="BN105" s="4">
        <v>1991</v>
      </c>
      <c r="BO105" s="4">
        <v>5</v>
      </c>
    </row>
    <row r="106" spans="1:72" ht="12.75" customHeight="1">
      <c r="A106" s="22">
        <v>1991</v>
      </c>
      <c r="B106" s="4">
        <v>6</v>
      </c>
      <c r="C106" s="5">
        <v>669885</v>
      </c>
      <c r="D106" s="5">
        <v>114639</v>
      </c>
      <c r="E106" s="74">
        <f t="shared" si="85"/>
        <v>5843.4</v>
      </c>
      <c r="G106" s="347"/>
      <c r="J106" s="574">
        <f t="shared" si="99"/>
        <v>114639</v>
      </c>
      <c r="K106" s="4">
        <f>'[7]COM 55 &amp; 65'!$S191</f>
        <v>462.6</v>
      </c>
      <c r="L106" s="4">
        <f t="shared" si="105"/>
        <v>442.7</v>
      </c>
      <c r="M106" s="44">
        <f t="shared" si="86"/>
        <v>-19.900000000000034</v>
      </c>
      <c r="N106" s="4">
        <f>'[7]COM 55 &amp; 65'!$J191</f>
        <v>0</v>
      </c>
      <c r="O106" s="4">
        <f t="shared" si="103"/>
        <v>0.1</v>
      </c>
      <c r="P106" s="41">
        <f t="shared" si="87"/>
        <v>0.1</v>
      </c>
      <c r="Q106" s="474">
        <f t="shared" si="88"/>
        <v>-13589.909000000023</v>
      </c>
      <c r="R106" s="472">
        <f t="shared" si="89"/>
        <v>65.934000000000012</v>
      </c>
      <c r="S106" s="241">
        <f t="shared" si="90"/>
        <v>-13524</v>
      </c>
      <c r="T106" s="13" t="s">
        <v>18</v>
      </c>
      <c r="U106" s="4">
        <v>1991</v>
      </c>
      <c r="V106" s="4">
        <v>6</v>
      </c>
      <c r="W106" s="242">
        <f t="shared" si="91"/>
        <v>5725.459922016068</v>
      </c>
      <c r="X106" s="131">
        <f t="shared" si="106"/>
        <v>44.913660613609864</v>
      </c>
      <c r="Z106" s="175">
        <f t="shared" si="92"/>
        <v>656361</v>
      </c>
      <c r="AA106" s="12">
        <f t="shared" si="93"/>
        <v>-13524</v>
      </c>
      <c r="AB106" s="379">
        <f t="shared" si="100"/>
        <v>656361</v>
      </c>
      <c r="AC106" s="107">
        <f>RESID!AC106</f>
        <v>30.8</v>
      </c>
      <c r="AD106" s="243">
        <f t="shared" si="94"/>
        <v>661620.19999999995</v>
      </c>
      <c r="AE106" s="243">
        <f t="shared" si="104"/>
        <v>5473.5999999999767</v>
      </c>
      <c r="AG106" s="4">
        <f t="shared" si="95"/>
        <v>648263</v>
      </c>
      <c r="AX106" s="4">
        <v>1991</v>
      </c>
      <c r="AY106" s="4">
        <v>6</v>
      </c>
      <c r="AZ106" s="76">
        <f>'[8]COM 55 &amp; 65'!$S191</f>
        <v>489.2</v>
      </c>
      <c r="BA106" s="76">
        <f t="shared" si="107"/>
        <v>485.1</v>
      </c>
      <c r="BB106" s="362">
        <f t="shared" si="101"/>
        <v>-4.0999999999999659</v>
      </c>
      <c r="BC106" s="362"/>
      <c r="BD106" s="76">
        <f>'[8]COM 55 &amp; 65'!$J191</f>
        <v>0</v>
      </c>
      <c r="BE106" s="76">
        <f t="shared" si="108"/>
        <v>0</v>
      </c>
      <c r="BF106" s="363">
        <f t="shared" si="102"/>
        <v>0</v>
      </c>
      <c r="BG106" s="244"/>
      <c r="BH106" s="244">
        <f t="shared" si="96"/>
        <v>-2799.9309999999764</v>
      </c>
      <c r="BI106" s="242">
        <f t="shared" si="97"/>
        <v>0</v>
      </c>
      <c r="BJ106" s="242"/>
      <c r="BK106" s="241">
        <f t="shared" si="98"/>
        <v>-2800</v>
      </c>
      <c r="BL106" s="262"/>
      <c r="BM106" s="36" t="s">
        <v>18</v>
      </c>
      <c r="BN106" s="4">
        <v>1991</v>
      </c>
      <c r="BO106" s="4">
        <v>6</v>
      </c>
    </row>
    <row r="107" spans="1:72" ht="12.75" customHeight="1">
      <c r="A107" s="22">
        <v>1991</v>
      </c>
      <c r="B107" s="4">
        <v>7</v>
      </c>
      <c r="C107" s="5">
        <v>703622</v>
      </c>
      <c r="D107" s="5">
        <v>114844</v>
      </c>
      <c r="E107" s="74">
        <f t="shared" si="85"/>
        <v>6126.8</v>
      </c>
      <c r="G107" s="347"/>
      <c r="J107" s="574">
        <f t="shared" si="99"/>
        <v>114844</v>
      </c>
      <c r="K107" s="4">
        <f>'[7]COM 55 &amp; 65'!$S192</f>
        <v>529.29999999999995</v>
      </c>
      <c r="L107" s="4">
        <f t="shared" si="105"/>
        <v>516.1</v>
      </c>
      <c r="M107" s="44">
        <f t="shared" si="86"/>
        <v>-13.199999999999932</v>
      </c>
      <c r="N107" s="4">
        <f>'[7]COM 55 &amp; 65'!$J192</f>
        <v>0</v>
      </c>
      <c r="O107" s="4">
        <f t="shared" si="103"/>
        <v>0</v>
      </c>
      <c r="P107" s="41">
        <f t="shared" si="87"/>
        <v>0</v>
      </c>
      <c r="Q107" s="474">
        <f t="shared" si="88"/>
        <v>-9014.411999999953</v>
      </c>
      <c r="R107" s="472">
        <f t="shared" si="89"/>
        <v>0</v>
      </c>
      <c r="S107" s="241">
        <f t="shared" si="90"/>
        <v>-9014</v>
      </c>
      <c r="T107" s="13" t="s">
        <v>18</v>
      </c>
      <c r="U107" s="4">
        <v>1991</v>
      </c>
      <c r="V107" s="4">
        <v>7</v>
      </c>
      <c r="W107" s="242">
        <f t="shared" si="91"/>
        <v>6048.2741806276335</v>
      </c>
      <c r="X107" s="131">
        <f t="shared" si="106"/>
        <v>-15.000708140106326</v>
      </c>
      <c r="Z107" s="175">
        <f t="shared" si="92"/>
        <v>694608</v>
      </c>
      <c r="AA107" s="12">
        <f t="shared" si="93"/>
        <v>-9014</v>
      </c>
      <c r="AB107" s="379">
        <f t="shared" si="100"/>
        <v>694608</v>
      </c>
      <c r="AC107" s="107">
        <f>RESID!AC107</f>
        <v>30.45</v>
      </c>
      <c r="AD107" s="243">
        <f t="shared" si="94"/>
        <v>702928.8</v>
      </c>
      <c r="AE107" s="243">
        <f t="shared" si="104"/>
        <v>16511.70000000007</v>
      </c>
      <c r="AG107" s="4">
        <f t="shared" si="95"/>
        <v>693924</v>
      </c>
      <c r="AX107" s="4">
        <v>1991</v>
      </c>
      <c r="AY107" s="4">
        <v>7</v>
      </c>
      <c r="AZ107" s="76">
        <f>'[8]COM 55 &amp; 65'!$S192</f>
        <v>548.5</v>
      </c>
      <c r="BA107" s="76">
        <f t="shared" si="107"/>
        <v>546.1</v>
      </c>
      <c r="BB107" s="362">
        <f t="shared" si="101"/>
        <v>-2.3999999999999773</v>
      </c>
      <c r="BC107" s="362"/>
      <c r="BD107" s="76">
        <f>'[8]COM 55 &amp; 65'!$J192</f>
        <v>0</v>
      </c>
      <c r="BE107" s="76">
        <f t="shared" si="108"/>
        <v>0</v>
      </c>
      <c r="BF107" s="363">
        <f t="shared" si="102"/>
        <v>0</v>
      </c>
      <c r="BG107" s="244"/>
      <c r="BH107" s="244">
        <f t="shared" si="96"/>
        <v>-1638.9839999999845</v>
      </c>
      <c r="BI107" s="242">
        <f t="shared" si="97"/>
        <v>0</v>
      </c>
      <c r="BJ107" s="242"/>
      <c r="BK107" s="241">
        <f t="shared" si="98"/>
        <v>-1639</v>
      </c>
      <c r="BL107" s="262"/>
      <c r="BM107" s="36" t="s">
        <v>18</v>
      </c>
      <c r="BN107" s="4">
        <v>1991</v>
      </c>
      <c r="BO107" s="4">
        <v>7</v>
      </c>
    </row>
    <row r="108" spans="1:72" ht="12.75" customHeight="1">
      <c r="A108" s="22">
        <v>1991</v>
      </c>
      <c r="B108" s="4">
        <v>8</v>
      </c>
      <c r="C108" s="5">
        <v>731935</v>
      </c>
      <c r="D108" s="5">
        <v>114843</v>
      </c>
      <c r="E108" s="74">
        <f t="shared" si="85"/>
        <v>6373.4</v>
      </c>
      <c r="G108" s="347"/>
      <c r="J108" s="574">
        <f t="shared" si="99"/>
        <v>114843</v>
      </c>
      <c r="K108" s="4">
        <f>'[7]COM 55 &amp; 65'!$S193</f>
        <v>561.1</v>
      </c>
      <c r="L108" s="4">
        <f t="shared" si="105"/>
        <v>542</v>
      </c>
      <c r="M108" s="44">
        <f t="shared" si="86"/>
        <v>-19.100000000000023</v>
      </c>
      <c r="N108" s="4">
        <f>'[7]COM 55 &amp; 65'!$J193</f>
        <v>0</v>
      </c>
      <c r="O108" s="4">
        <f t="shared" si="103"/>
        <v>0</v>
      </c>
      <c r="P108" s="41">
        <f t="shared" si="87"/>
        <v>0</v>
      </c>
      <c r="Q108" s="474">
        <f t="shared" si="88"/>
        <v>-13043.581000000015</v>
      </c>
      <c r="R108" s="472">
        <f t="shared" si="89"/>
        <v>0</v>
      </c>
      <c r="S108" s="241">
        <f t="shared" si="90"/>
        <v>-13044</v>
      </c>
      <c r="T108" s="13" t="s">
        <v>18</v>
      </c>
      <c r="U108" s="4">
        <v>1991</v>
      </c>
      <c r="V108" s="4">
        <v>8</v>
      </c>
      <c r="W108" s="242">
        <f t="shared" si="91"/>
        <v>6259.7720366064968</v>
      </c>
      <c r="X108" s="131">
        <f t="shared" si="106"/>
        <v>54.857099448482586</v>
      </c>
      <c r="Z108" s="175">
        <f t="shared" si="92"/>
        <v>718891</v>
      </c>
      <c r="AA108" s="12">
        <f t="shared" si="93"/>
        <v>-13044</v>
      </c>
      <c r="AB108" s="379">
        <f t="shared" si="100"/>
        <v>718891</v>
      </c>
      <c r="AC108" s="107">
        <f>RESID!AC108</f>
        <v>31.15</v>
      </c>
      <c r="AD108" s="243">
        <f t="shared" si="94"/>
        <v>714782.1</v>
      </c>
      <c r="AE108" s="243">
        <f t="shared" si="104"/>
        <v>15795</v>
      </c>
      <c r="AG108" s="4">
        <f t="shared" si="95"/>
        <v>702044</v>
      </c>
      <c r="AX108" s="4">
        <v>1991</v>
      </c>
      <c r="AY108" s="4">
        <v>8</v>
      </c>
      <c r="AZ108" s="76">
        <f>'[8]COM 55 &amp; 65'!$S193</f>
        <v>562</v>
      </c>
      <c r="BA108" s="76">
        <f t="shared" si="107"/>
        <v>549</v>
      </c>
      <c r="BB108" s="362">
        <f t="shared" si="101"/>
        <v>-13</v>
      </c>
      <c r="BC108" s="362"/>
      <c r="BD108" s="76">
        <f>'[8]COM 55 &amp; 65'!$J193</f>
        <v>0</v>
      </c>
      <c r="BE108" s="76">
        <f t="shared" si="108"/>
        <v>0</v>
      </c>
      <c r="BF108" s="363">
        <f t="shared" si="102"/>
        <v>0</v>
      </c>
      <c r="BG108" s="244"/>
      <c r="BH108" s="244">
        <f t="shared" si="96"/>
        <v>-8877.83</v>
      </c>
      <c r="BI108" s="242">
        <f t="shared" si="97"/>
        <v>0</v>
      </c>
      <c r="BJ108" s="242"/>
      <c r="BK108" s="241">
        <f t="shared" si="98"/>
        <v>-8878</v>
      </c>
      <c r="BL108" s="262"/>
      <c r="BM108" s="36" t="s">
        <v>18</v>
      </c>
      <c r="BN108" s="4">
        <v>1991</v>
      </c>
      <c r="BO108" s="4">
        <v>8</v>
      </c>
    </row>
    <row r="109" spans="1:72" ht="12.75" customHeight="1">
      <c r="A109" s="22">
        <v>1991</v>
      </c>
      <c r="B109" s="4">
        <v>9</v>
      </c>
      <c r="C109" s="5">
        <v>727573</v>
      </c>
      <c r="D109" s="5">
        <v>115057</v>
      </c>
      <c r="E109" s="74">
        <f t="shared" si="85"/>
        <v>6323.6</v>
      </c>
      <c r="G109" s="347"/>
      <c r="J109" s="574">
        <f t="shared" si="99"/>
        <v>115057</v>
      </c>
      <c r="K109" s="4">
        <f>'[7]COM 55 &amp; 65'!$S194</f>
        <v>543.5</v>
      </c>
      <c r="L109" s="4">
        <f t="shared" si="105"/>
        <v>531.20000000000005</v>
      </c>
      <c r="M109" s="44">
        <f t="shared" si="86"/>
        <v>-12.299999999999955</v>
      </c>
      <c r="N109" s="4">
        <f>'[7]COM 55 &amp; 65'!$J194</f>
        <v>0</v>
      </c>
      <c r="O109" s="4">
        <f t="shared" si="103"/>
        <v>0</v>
      </c>
      <c r="P109" s="41">
        <f t="shared" si="87"/>
        <v>0</v>
      </c>
      <c r="Q109" s="474">
        <f t="shared" si="88"/>
        <v>-8399.7929999999687</v>
      </c>
      <c r="R109" s="472">
        <f t="shared" si="89"/>
        <v>0</v>
      </c>
      <c r="S109" s="241">
        <f t="shared" si="90"/>
        <v>-8400</v>
      </c>
      <c r="T109" s="13" t="s">
        <v>18</v>
      </c>
      <c r="U109" s="4">
        <v>1991</v>
      </c>
      <c r="V109" s="4">
        <v>9</v>
      </c>
      <c r="W109" s="242">
        <f t="shared" si="91"/>
        <v>6250.5801472313724</v>
      </c>
      <c r="X109" s="131">
        <f t="shared" si="106"/>
        <v>76.085033796389325</v>
      </c>
      <c r="Z109" s="175">
        <f t="shared" si="92"/>
        <v>719173</v>
      </c>
      <c r="AA109" s="12">
        <f t="shared" si="93"/>
        <v>-8400</v>
      </c>
      <c r="AB109" s="379">
        <f t="shared" si="100"/>
        <v>719173</v>
      </c>
      <c r="AC109" s="107">
        <f>RESID!AC109</f>
        <v>30.55</v>
      </c>
      <c r="AD109" s="243">
        <f t="shared" si="94"/>
        <v>724476.9</v>
      </c>
      <c r="AE109" s="243">
        <f t="shared" si="104"/>
        <v>18634.20000000007</v>
      </c>
      <c r="AG109" s="4">
        <f t="shared" si="95"/>
        <v>716113</v>
      </c>
      <c r="AX109" s="4">
        <v>1991</v>
      </c>
      <c r="AY109" s="4">
        <v>9</v>
      </c>
      <c r="AZ109" s="76">
        <f>'[8]COM 55 &amp; 65'!$S194</f>
        <v>501.6</v>
      </c>
      <c r="BA109" s="76">
        <f t="shared" si="107"/>
        <v>487.9</v>
      </c>
      <c r="BB109" s="362">
        <f t="shared" si="101"/>
        <v>-13.700000000000045</v>
      </c>
      <c r="BC109" s="362"/>
      <c r="BD109" s="76">
        <f>'[8]COM 55 &amp; 65'!$J194</f>
        <v>0</v>
      </c>
      <c r="BE109" s="76">
        <f t="shared" si="108"/>
        <v>0</v>
      </c>
      <c r="BF109" s="363">
        <f t="shared" si="102"/>
        <v>0</v>
      </c>
      <c r="BG109" s="244"/>
      <c r="BH109" s="244">
        <f t="shared" si="96"/>
        <v>-9355.8670000000311</v>
      </c>
      <c r="BI109" s="242">
        <f t="shared" si="97"/>
        <v>0</v>
      </c>
      <c r="BJ109" s="242"/>
      <c r="BK109" s="241">
        <f t="shared" si="98"/>
        <v>-9356</v>
      </c>
      <c r="BL109" s="262"/>
      <c r="BM109" s="36" t="s">
        <v>18</v>
      </c>
      <c r="BN109" s="4">
        <v>1991</v>
      </c>
      <c r="BO109" s="4">
        <v>9</v>
      </c>
    </row>
    <row r="110" spans="1:72" ht="12.75" customHeight="1">
      <c r="A110" s="22">
        <v>1991</v>
      </c>
      <c r="B110" s="4">
        <v>10</v>
      </c>
      <c r="C110" s="5">
        <v>661561</v>
      </c>
      <c r="D110" s="5">
        <v>115306</v>
      </c>
      <c r="E110" s="74">
        <f t="shared" si="85"/>
        <v>5737.4</v>
      </c>
      <c r="G110" s="347"/>
      <c r="J110" s="574">
        <f t="shared" si="99"/>
        <v>115306</v>
      </c>
      <c r="K110" s="4">
        <f>'[7]COM 55 &amp; 65'!$S195</f>
        <v>417.9</v>
      </c>
      <c r="L110" s="4">
        <f t="shared" si="105"/>
        <v>431.2</v>
      </c>
      <c r="M110" s="44">
        <f t="shared" si="86"/>
        <v>13.300000000000011</v>
      </c>
      <c r="N110" s="4">
        <f>'[7]COM 55 &amp; 65'!$J195</f>
        <v>0.5</v>
      </c>
      <c r="O110" s="4">
        <f t="shared" si="103"/>
        <v>0.2</v>
      </c>
      <c r="P110" s="41">
        <f t="shared" si="87"/>
        <v>-0.3</v>
      </c>
      <c r="Q110" s="474">
        <f t="shared" si="88"/>
        <v>9082.7030000000068</v>
      </c>
      <c r="R110" s="472">
        <f t="shared" si="89"/>
        <v>-197.80199999999999</v>
      </c>
      <c r="S110" s="241">
        <f t="shared" si="90"/>
        <v>8885</v>
      </c>
      <c r="T110" s="13" t="s">
        <v>18</v>
      </c>
      <c r="U110" s="4">
        <v>1991</v>
      </c>
      <c r="V110" s="4">
        <v>10</v>
      </c>
      <c r="W110" s="242">
        <f t="shared" si="91"/>
        <v>5814.4936083117964</v>
      </c>
      <c r="X110" s="131">
        <f t="shared" ref="X110:X125" si="109">W110-W98</f>
        <v>152.87726977049442</v>
      </c>
      <c r="Z110" s="175">
        <f t="shared" si="92"/>
        <v>670446</v>
      </c>
      <c r="AA110" s="12">
        <f t="shared" si="93"/>
        <v>8885</v>
      </c>
      <c r="AB110" s="379">
        <f t="shared" si="100"/>
        <v>670446</v>
      </c>
      <c r="AC110" s="107">
        <f>RESID!AC110</f>
        <v>29.65</v>
      </c>
      <c r="AD110" s="243">
        <f t="shared" si="94"/>
        <v>678741.5</v>
      </c>
      <c r="AE110" s="243">
        <f t="shared" si="104"/>
        <v>-4593.0999999999767</v>
      </c>
      <c r="AG110" s="4">
        <f t="shared" si="95"/>
        <v>687857</v>
      </c>
      <c r="AX110" s="4">
        <v>1991</v>
      </c>
      <c r="AY110" s="4">
        <v>10</v>
      </c>
      <c r="AZ110" s="76">
        <f>'[8]COM 55 &amp; 65'!$S195</f>
        <v>319.7</v>
      </c>
      <c r="BA110" s="76">
        <f t="shared" si="107"/>
        <v>332.5</v>
      </c>
      <c r="BB110" s="362">
        <f t="shared" si="101"/>
        <v>12.800000000000011</v>
      </c>
      <c r="BC110" s="362"/>
      <c r="BD110" s="76">
        <f>'[8]COM 55 &amp; 65'!$J195</f>
        <v>1.7</v>
      </c>
      <c r="BE110" s="76">
        <f t="shared" si="108"/>
        <v>2</v>
      </c>
      <c r="BF110" s="363">
        <f t="shared" si="102"/>
        <v>0.30000000000000004</v>
      </c>
      <c r="BG110" s="244"/>
      <c r="BH110" s="244">
        <f t="shared" si="96"/>
        <v>8741.2480000000069</v>
      </c>
      <c r="BI110" s="242">
        <f t="shared" si="97"/>
        <v>197.80200000000005</v>
      </c>
      <c r="BJ110" s="242"/>
      <c r="BK110" s="241">
        <f t="shared" si="98"/>
        <v>8939</v>
      </c>
      <c r="BL110" s="262"/>
      <c r="BM110" s="36" t="s">
        <v>18</v>
      </c>
      <c r="BN110" s="4">
        <v>1991</v>
      </c>
      <c r="BO110" s="4">
        <v>10</v>
      </c>
    </row>
    <row r="111" spans="1:72" ht="12.75" customHeight="1">
      <c r="A111" s="22">
        <v>1991</v>
      </c>
      <c r="B111" s="4">
        <v>11</v>
      </c>
      <c r="C111" s="5">
        <v>590603</v>
      </c>
      <c r="D111" s="5">
        <v>115448</v>
      </c>
      <c r="E111" s="74">
        <f t="shared" si="85"/>
        <v>5115.7</v>
      </c>
      <c r="G111" s="347"/>
      <c r="J111" s="574">
        <f t="shared" si="99"/>
        <v>115448</v>
      </c>
      <c r="K111" s="4">
        <f>'[7]COM 55 &amp; 65'!$S196</f>
        <v>232.7</v>
      </c>
      <c r="L111" s="4">
        <f t="shared" si="105"/>
        <v>251.9</v>
      </c>
      <c r="M111" s="44">
        <f t="shared" si="86"/>
        <v>19.200000000000017</v>
      </c>
      <c r="N111" s="4">
        <f>'[7]COM 55 &amp; 65'!$J196</f>
        <v>11.6</v>
      </c>
      <c r="O111" s="4">
        <f t="shared" si="103"/>
        <v>6.3</v>
      </c>
      <c r="P111" s="41">
        <f t="shared" si="87"/>
        <v>-5.3</v>
      </c>
      <c r="Q111" s="474">
        <f t="shared" si="88"/>
        <v>13111.87200000001</v>
      </c>
      <c r="R111" s="472">
        <f t="shared" si="89"/>
        <v>-3494.502</v>
      </c>
      <c r="S111" s="241">
        <f t="shared" si="90"/>
        <v>9617</v>
      </c>
      <c r="T111" s="13" t="s">
        <v>18</v>
      </c>
      <c r="U111" s="4">
        <v>1991</v>
      </c>
      <c r="V111" s="4">
        <v>11</v>
      </c>
      <c r="W111" s="242">
        <f t="shared" si="91"/>
        <v>5199.0506548402745</v>
      </c>
      <c r="X111" s="131">
        <f t="shared" si="109"/>
        <v>67.809071686208881</v>
      </c>
      <c r="Z111" s="175">
        <f t="shared" si="92"/>
        <v>600220</v>
      </c>
      <c r="AA111" s="12">
        <f t="shared" si="93"/>
        <v>9617</v>
      </c>
      <c r="AB111" s="379">
        <f t="shared" si="100"/>
        <v>600220</v>
      </c>
      <c r="AC111" s="107">
        <f>RESID!AC111</f>
        <v>30.1</v>
      </c>
      <c r="AD111" s="243">
        <f t="shared" si="94"/>
        <v>596881.80000000005</v>
      </c>
      <c r="AE111" s="243">
        <f t="shared" si="104"/>
        <v>-5569.3999999999069</v>
      </c>
      <c r="AG111" s="4">
        <f t="shared" si="95"/>
        <v>606601</v>
      </c>
      <c r="AX111" s="4">
        <v>1991</v>
      </c>
      <c r="AY111" s="4">
        <v>11</v>
      </c>
      <c r="AZ111" s="76">
        <f>'[8]COM 55 &amp; 65'!$S196</f>
        <v>123.1</v>
      </c>
      <c r="BA111" s="76">
        <f t="shared" si="107"/>
        <v>146</v>
      </c>
      <c r="BB111" s="362">
        <f t="shared" si="101"/>
        <v>22.900000000000006</v>
      </c>
      <c r="BC111" s="362"/>
      <c r="BD111" s="76">
        <f>'[8]COM 55 &amp; 65'!$J196</f>
        <v>30.9</v>
      </c>
      <c r="BE111" s="76">
        <f t="shared" si="108"/>
        <v>14</v>
      </c>
      <c r="BF111" s="363">
        <f t="shared" si="102"/>
        <v>-16.899999999999999</v>
      </c>
      <c r="BG111" s="244"/>
      <c r="BH111" s="244">
        <f t="shared" si="96"/>
        <v>15638.639000000003</v>
      </c>
      <c r="BI111" s="242">
        <f t="shared" si="97"/>
        <v>-11142.846</v>
      </c>
      <c r="BJ111" s="242"/>
      <c r="BK111" s="241">
        <f t="shared" si="98"/>
        <v>4496</v>
      </c>
      <c r="BL111" s="262"/>
      <c r="BM111" s="36" t="s">
        <v>18</v>
      </c>
      <c r="BN111" s="4">
        <v>1991</v>
      </c>
      <c r="BO111" s="4">
        <v>11</v>
      </c>
    </row>
    <row r="112" spans="1:72" s="89" customFormat="1" ht="12.75" customHeight="1">
      <c r="A112" s="225">
        <v>1991</v>
      </c>
      <c r="B112" s="89">
        <v>12</v>
      </c>
      <c r="C112" s="103">
        <v>572803</v>
      </c>
      <c r="D112" s="103">
        <v>115508</v>
      </c>
      <c r="E112" s="109">
        <f t="shared" si="85"/>
        <v>4959</v>
      </c>
      <c r="F112" s="90"/>
      <c r="G112" s="348"/>
      <c r="J112" s="575">
        <f t="shared" si="99"/>
        <v>115508</v>
      </c>
      <c r="K112" s="89">
        <f>'[7]COM 55 &amp; 65'!$S197</f>
        <v>147.6</v>
      </c>
      <c r="L112" s="89">
        <f t="shared" si="105"/>
        <v>119.4</v>
      </c>
      <c r="M112" s="93">
        <f t="shared" si="86"/>
        <v>-28.199999999999989</v>
      </c>
      <c r="N112" s="89">
        <f>'[7]COM 55 &amp; 65'!$J197</f>
        <v>31.1</v>
      </c>
      <c r="O112" s="89">
        <f t="shared" si="103"/>
        <v>30.1</v>
      </c>
      <c r="P112" s="94">
        <f t="shared" si="87"/>
        <v>-1</v>
      </c>
      <c r="Q112" s="475">
        <f t="shared" si="88"/>
        <v>-19258.061999999991</v>
      </c>
      <c r="R112" s="473">
        <f t="shared" si="89"/>
        <v>-659.34</v>
      </c>
      <c r="S112" s="329">
        <f t="shared" si="90"/>
        <v>-19917</v>
      </c>
      <c r="T112" s="90" t="s">
        <v>18</v>
      </c>
      <c r="U112" s="89">
        <v>1991</v>
      </c>
      <c r="V112" s="89">
        <v>12</v>
      </c>
      <c r="W112" s="328">
        <f t="shared" si="91"/>
        <v>4786.5602382518964</v>
      </c>
      <c r="X112" s="133">
        <f t="shared" si="109"/>
        <v>-71.16845733945047</v>
      </c>
      <c r="Z112" s="176">
        <f t="shared" si="92"/>
        <v>552886</v>
      </c>
      <c r="AA112" s="105">
        <f t="shared" si="93"/>
        <v>-19917</v>
      </c>
      <c r="AB112" s="517">
        <f t="shared" si="100"/>
        <v>552886</v>
      </c>
      <c r="AC112" s="110">
        <f>RESID!AC112</f>
        <v>31.65</v>
      </c>
      <c r="AD112" s="331">
        <f t="shared" si="94"/>
        <v>550542.4</v>
      </c>
      <c r="AE112" s="331">
        <f t="shared" si="104"/>
        <v>12947.5</v>
      </c>
      <c r="AG112" s="89">
        <f t="shared" si="95"/>
        <v>531399</v>
      </c>
      <c r="AX112" s="89">
        <v>1991</v>
      </c>
      <c r="AY112" s="89">
        <v>12</v>
      </c>
      <c r="AZ112" s="92">
        <f>'[8]COM 55 &amp; 65'!$S197</f>
        <v>111.6</v>
      </c>
      <c r="BA112" s="92">
        <f t="shared" si="107"/>
        <v>75.7</v>
      </c>
      <c r="BB112" s="364">
        <f t="shared" si="101"/>
        <v>-35.899999999999991</v>
      </c>
      <c r="BC112" s="364"/>
      <c r="BD112" s="92">
        <f>'[8]COM 55 &amp; 65'!$J197</f>
        <v>27.7</v>
      </c>
      <c r="BE112" s="92">
        <f t="shared" si="108"/>
        <v>44.3</v>
      </c>
      <c r="BF112" s="365">
        <f t="shared" si="102"/>
        <v>16.599999999999998</v>
      </c>
      <c r="BG112" s="327"/>
      <c r="BH112" s="327">
        <f t="shared" si="96"/>
        <v>-24516.468999999994</v>
      </c>
      <c r="BI112" s="328">
        <f t="shared" si="97"/>
        <v>10945.044</v>
      </c>
      <c r="BJ112" s="328"/>
      <c r="BK112" s="329">
        <f t="shared" si="98"/>
        <v>-13571</v>
      </c>
      <c r="BL112" s="332"/>
      <c r="BM112" s="113" t="s">
        <v>18</v>
      </c>
      <c r="BN112" s="89">
        <v>1991</v>
      </c>
      <c r="BO112" s="89">
        <v>12</v>
      </c>
      <c r="BT112" s="96"/>
    </row>
    <row r="113" spans="1:72" ht="12.75" customHeight="1">
      <c r="A113" s="22">
        <v>1992</v>
      </c>
      <c r="B113" s="4">
        <v>1</v>
      </c>
      <c r="C113" s="5">
        <v>567243</v>
      </c>
      <c r="D113" s="5">
        <v>115375</v>
      </c>
      <c r="E113" s="74">
        <f t="shared" si="85"/>
        <v>4916.5</v>
      </c>
      <c r="G113" s="347"/>
      <c r="J113" s="574">
        <f t="shared" si="99"/>
        <v>115375</v>
      </c>
      <c r="K113" s="4">
        <f>'[7]COM 55 &amp; 65'!$S198</f>
        <v>69.5</v>
      </c>
      <c r="L113" s="4">
        <f t="shared" si="105"/>
        <v>70.8</v>
      </c>
      <c r="M113" s="44">
        <f t="shared" ref="M113:M144" si="110">(L113-K113)</f>
        <v>1.2999999999999972</v>
      </c>
      <c r="N113" s="4">
        <f>'[7]COM 55 &amp; 65'!$J198</f>
        <v>42.1</v>
      </c>
      <c r="O113" s="4">
        <f t="shared" si="103"/>
        <v>54.9</v>
      </c>
      <c r="P113" s="41">
        <f t="shared" ref="P113:P144" si="111">(O113-N113)</f>
        <v>12.799999999999997</v>
      </c>
      <c r="Q113" s="474">
        <f t="shared" si="88"/>
        <v>887.78299999999797</v>
      </c>
      <c r="R113" s="472">
        <f t="shared" si="89"/>
        <v>8439.5519999999979</v>
      </c>
      <c r="S113" s="241">
        <f t="shared" si="90"/>
        <v>9327</v>
      </c>
      <c r="T113" s="13" t="s">
        <v>18</v>
      </c>
      <c r="U113" s="4">
        <v>1992</v>
      </c>
      <c r="V113" s="4">
        <v>1</v>
      </c>
      <c r="W113" s="242">
        <f t="shared" si="91"/>
        <v>4997.3564463705306</v>
      </c>
      <c r="X113" s="131">
        <f t="shared" si="109"/>
        <v>324.14815797796291</v>
      </c>
      <c r="Z113" s="175">
        <f t="shared" si="92"/>
        <v>576570</v>
      </c>
      <c r="AA113" s="12">
        <f t="shared" si="93"/>
        <v>9327</v>
      </c>
      <c r="AB113" s="379">
        <f t="shared" si="100"/>
        <v>576570</v>
      </c>
      <c r="AC113" s="107">
        <f>RESID!AC113</f>
        <v>31.95</v>
      </c>
      <c r="AD113" s="243">
        <f t="shared" si="94"/>
        <v>540079.30000000005</v>
      </c>
      <c r="AE113" s="243">
        <f t="shared" si="104"/>
        <v>-4638.5999999999767</v>
      </c>
      <c r="AG113" s="4">
        <f t="shared" si="95"/>
        <v>548960</v>
      </c>
      <c r="AX113" s="4">
        <v>1992</v>
      </c>
      <c r="AY113" s="4">
        <v>1</v>
      </c>
      <c r="AZ113" s="76">
        <f>'[8]COM 55 &amp; 65'!$S198</f>
        <v>38.200000000000003</v>
      </c>
      <c r="BA113" s="76">
        <f t="shared" si="107"/>
        <v>72.3</v>
      </c>
      <c r="BB113" s="362">
        <f t="shared" si="101"/>
        <v>34.099999999999994</v>
      </c>
      <c r="BC113" s="362"/>
      <c r="BD113" s="76">
        <f>'[8]COM 55 &amp; 65'!$J198</f>
        <v>68.099999999999994</v>
      </c>
      <c r="BE113" s="76">
        <f t="shared" si="108"/>
        <v>52.4</v>
      </c>
      <c r="BF113" s="363">
        <f t="shared" si="102"/>
        <v>-15.699999999999996</v>
      </c>
      <c r="BG113" s="244"/>
      <c r="BH113" s="244">
        <f t="shared" si="96"/>
        <v>23287.230999999996</v>
      </c>
      <c r="BI113" s="242">
        <f t="shared" si="97"/>
        <v>-10351.637999999997</v>
      </c>
      <c r="BJ113" s="242"/>
      <c r="BK113" s="241">
        <f t="shared" si="98"/>
        <v>12936</v>
      </c>
      <c r="BL113" s="262"/>
      <c r="BM113" s="36" t="s">
        <v>18</v>
      </c>
      <c r="BN113" s="4">
        <v>1992</v>
      </c>
      <c r="BO113" s="4">
        <v>1</v>
      </c>
    </row>
    <row r="114" spans="1:72" ht="12.75" customHeight="1">
      <c r="A114" s="22">
        <v>1992</v>
      </c>
      <c r="B114" s="4">
        <v>2</v>
      </c>
      <c r="C114" s="5">
        <v>526725</v>
      </c>
      <c r="D114" s="5">
        <v>115661</v>
      </c>
      <c r="E114" s="74">
        <f t="shared" si="85"/>
        <v>4554</v>
      </c>
      <c r="G114" s="347"/>
      <c r="J114" s="574">
        <f t="shared" si="99"/>
        <v>115661</v>
      </c>
      <c r="K114" s="4">
        <f>'[7]COM 55 &amp; 65'!$S199</f>
        <v>42.9</v>
      </c>
      <c r="L114" s="4">
        <f t="shared" si="105"/>
        <v>62.7</v>
      </c>
      <c r="M114" s="44">
        <f t="shared" si="110"/>
        <v>19.800000000000004</v>
      </c>
      <c r="N114" s="4">
        <f>'[7]COM 55 &amp; 65'!$J199</f>
        <v>58.7</v>
      </c>
      <c r="O114" s="4">
        <f t="shared" si="103"/>
        <v>46.9</v>
      </c>
      <c r="P114" s="41">
        <f t="shared" si="111"/>
        <v>-11.800000000000004</v>
      </c>
      <c r="Q114" s="474">
        <f t="shared" si="88"/>
        <v>13521.618000000002</v>
      </c>
      <c r="R114" s="472">
        <f t="shared" si="89"/>
        <v>-7780.2120000000032</v>
      </c>
      <c r="S114" s="241">
        <f t="shared" si="90"/>
        <v>5741</v>
      </c>
      <c r="T114" s="13" t="s">
        <v>18</v>
      </c>
      <c r="U114" s="4">
        <v>1992</v>
      </c>
      <c r="V114" s="4">
        <v>2</v>
      </c>
      <c r="W114" s="242">
        <f t="shared" si="91"/>
        <v>4603.6779899879821</v>
      </c>
      <c r="X114" s="131">
        <f t="shared" si="109"/>
        <v>141.27194197928202</v>
      </c>
      <c r="Z114" s="175">
        <f t="shared" si="92"/>
        <v>532466</v>
      </c>
      <c r="AA114" s="12">
        <f t="shared" si="93"/>
        <v>5741</v>
      </c>
      <c r="AB114" s="379">
        <f t="shared" si="100"/>
        <v>532466</v>
      </c>
      <c r="AC114" s="107">
        <f>RESID!AC114</f>
        <v>29.5</v>
      </c>
      <c r="AD114" s="243">
        <f t="shared" si="94"/>
        <v>543151.69999999995</v>
      </c>
      <c r="AE114" s="243">
        <f t="shared" si="104"/>
        <v>8914.7999999999302</v>
      </c>
      <c r="AG114" s="4">
        <f t="shared" si="95"/>
        <v>549072</v>
      </c>
      <c r="AX114" s="4">
        <v>1992</v>
      </c>
      <c r="AY114" s="4">
        <v>2</v>
      </c>
      <c r="AZ114" s="76">
        <f>'[8]COM 55 &amp; 65'!$S199</f>
        <v>79.7</v>
      </c>
      <c r="BA114" s="76">
        <f t="shared" si="107"/>
        <v>82.6</v>
      </c>
      <c r="BB114" s="362">
        <f t="shared" si="101"/>
        <v>2.8999999999999915</v>
      </c>
      <c r="BC114" s="362"/>
      <c r="BD114" s="76">
        <f>'[8]COM 55 &amp; 65'!$J199</f>
        <v>26.2</v>
      </c>
      <c r="BE114" s="76">
        <f t="shared" si="108"/>
        <v>36.5</v>
      </c>
      <c r="BF114" s="363">
        <f t="shared" si="102"/>
        <v>10.3</v>
      </c>
      <c r="BG114" s="244"/>
      <c r="BH114" s="244">
        <f t="shared" si="96"/>
        <v>1980.4389999999942</v>
      </c>
      <c r="BI114" s="242">
        <f t="shared" si="97"/>
        <v>6791.2020000000011</v>
      </c>
      <c r="BJ114" s="242"/>
      <c r="BK114" s="241">
        <f t="shared" si="98"/>
        <v>8772</v>
      </c>
      <c r="BL114" s="262"/>
      <c r="BM114" s="36" t="s">
        <v>18</v>
      </c>
      <c r="BN114" s="4">
        <v>1992</v>
      </c>
      <c r="BO114" s="4">
        <v>2</v>
      </c>
    </row>
    <row r="115" spans="1:72" ht="12.75" customHeight="1">
      <c r="A115" s="22">
        <v>1992</v>
      </c>
      <c r="B115" s="4">
        <v>3</v>
      </c>
      <c r="C115" s="5">
        <v>533105</v>
      </c>
      <c r="D115" s="5">
        <v>115759</v>
      </c>
      <c r="E115" s="74">
        <f t="shared" si="85"/>
        <v>4605.3</v>
      </c>
      <c r="G115" s="347"/>
      <c r="J115" s="574">
        <f t="shared" si="99"/>
        <v>115759</v>
      </c>
      <c r="K115" s="4">
        <f>'[7]COM 55 &amp; 65'!$S200</f>
        <v>110.7</v>
      </c>
      <c r="L115" s="4">
        <f t="shared" si="105"/>
        <v>105.4</v>
      </c>
      <c r="M115" s="44">
        <f t="shared" si="110"/>
        <v>-5.2999999999999972</v>
      </c>
      <c r="N115" s="4">
        <f>'[7]COM 55 &amp; 65'!$J200</f>
        <v>17.8</v>
      </c>
      <c r="O115" s="4">
        <f t="shared" si="103"/>
        <v>26.8</v>
      </c>
      <c r="P115" s="41">
        <f t="shared" si="111"/>
        <v>9</v>
      </c>
      <c r="Q115" s="474">
        <f t="shared" si="88"/>
        <v>-3619.422999999998</v>
      </c>
      <c r="R115" s="472">
        <f t="shared" si="89"/>
        <v>5934.06</v>
      </c>
      <c r="S115" s="241">
        <f t="shared" si="90"/>
        <v>2315</v>
      </c>
      <c r="T115" s="13" t="s">
        <v>18</v>
      </c>
      <c r="U115" s="4">
        <v>1992</v>
      </c>
      <c r="V115" s="4">
        <v>3</v>
      </c>
      <c r="W115" s="242">
        <f t="shared" si="91"/>
        <v>4625.2991128119629</v>
      </c>
      <c r="X115" s="131">
        <f t="shared" si="109"/>
        <v>9.8381734597978721</v>
      </c>
      <c r="Z115" s="175">
        <f t="shared" si="92"/>
        <v>535420</v>
      </c>
      <c r="AA115" s="12">
        <f t="shared" si="93"/>
        <v>2315</v>
      </c>
      <c r="AB115" s="379">
        <f t="shared" si="100"/>
        <v>535420</v>
      </c>
      <c r="AC115" s="107">
        <f>RESID!AC115</f>
        <v>29.4</v>
      </c>
      <c r="AD115" s="243">
        <f t="shared" si="94"/>
        <v>551600.5</v>
      </c>
      <c r="AE115" s="243">
        <f t="shared" si="104"/>
        <v>8498</v>
      </c>
      <c r="AG115" s="4">
        <f t="shared" si="95"/>
        <v>553996</v>
      </c>
      <c r="AX115" s="4">
        <v>1992</v>
      </c>
      <c r="AY115" s="4">
        <v>3</v>
      </c>
      <c r="AZ115" s="76">
        <f>'[8]COM 55 &amp; 65'!$S200</f>
        <v>114.2</v>
      </c>
      <c r="BA115" s="76">
        <f t="shared" si="107"/>
        <v>140.4</v>
      </c>
      <c r="BB115" s="362">
        <f t="shared" si="101"/>
        <v>26.200000000000003</v>
      </c>
      <c r="BC115" s="362"/>
      <c r="BD115" s="76">
        <f>'[8]COM 55 &amp; 65'!$J200</f>
        <v>18.600000000000001</v>
      </c>
      <c r="BE115" s="76">
        <f t="shared" si="108"/>
        <v>15.1</v>
      </c>
      <c r="BF115" s="363">
        <f t="shared" si="102"/>
        <v>-3.5000000000000018</v>
      </c>
      <c r="BG115" s="244"/>
      <c r="BH115" s="244">
        <f t="shared" si="96"/>
        <v>17892.242000000002</v>
      </c>
      <c r="BI115" s="242">
        <f t="shared" si="97"/>
        <v>-2307.6900000000014</v>
      </c>
      <c r="BJ115" s="242"/>
      <c r="BK115" s="241">
        <f t="shared" si="98"/>
        <v>15585</v>
      </c>
      <c r="BL115" s="262"/>
      <c r="BM115" s="36" t="s">
        <v>18</v>
      </c>
      <c r="BN115" s="4">
        <v>1992</v>
      </c>
      <c r="BO115" s="4">
        <v>3</v>
      </c>
    </row>
    <row r="116" spans="1:72" ht="12.75" customHeight="1">
      <c r="A116" s="22">
        <v>1992</v>
      </c>
      <c r="B116" s="4">
        <v>4</v>
      </c>
      <c r="C116" s="5">
        <v>550310</v>
      </c>
      <c r="D116" s="5">
        <v>116051</v>
      </c>
      <c r="E116" s="74">
        <f t="shared" si="85"/>
        <v>4742</v>
      </c>
      <c r="G116" s="347"/>
      <c r="J116" s="574">
        <f t="shared" si="99"/>
        <v>116051</v>
      </c>
      <c r="K116" s="4">
        <f>'[7]COM 55 &amp; 65'!$S201</f>
        <v>116</v>
      </c>
      <c r="L116" s="4">
        <f t="shared" si="105"/>
        <v>178.4</v>
      </c>
      <c r="M116" s="44">
        <f t="shared" si="110"/>
        <v>62.400000000000006</v>
      </c>
      <c r="N116" s="4">
        <f>'[7]COM 55 &amp; 65'!$J201</f>
        <v>14.5</v>
      </c>
      <c r="O116" s="4">
        <f t="shared" si="103"/>
        <v>9.5</v>
      </c>
      <c r="P116" s="41">
        <f t="shared" si="111"/>
        <v>-5</v>
      </c>
      <c r="Q116" s="474">
        <f t="shared" si="88"/>
        <v>42613.584000000003</v>
      </c>
      <c r="R116" s="472">
        <f t="shared" si="89"/>
        <v>-3296.7000000000003</v>
      </c>
      <c r="S116" s="241">
        <f t="shared" si="90"/>
        <v>39317</v>
      </c>
      <c r="T116" s="13" t="s">
        <v>18</v>
      </c>
      <c r="U116" s="4">
        <v>1992</v>
      </c>
      <c r="V116" s="4">
        <v>4</v>
      </c>
      <c r="W116" s="242">
        <f t="shared" si="91"/>
        <v>5080.7575979526246</v>
      </c>
      <c r="X116" s="131">
        <f t="shared" si="109"/>
        <v>186.6427377115333</v>
      </c>
      <c r="Z116" s="175">
        <f t="shared" si="92"/>
        <v>589627</v>
      </c>
      <c r="AA116" s="12">
        <f t="shared" si="93"/>
        <v>39317</v>
      </c>
      <c r="AB116" s="379">
        <f t="shared" si="100"/>
        <v>589627</v>
      </c>
      <c r="AC116" s="107">
        <f>RESID!AC116</f>
        <v>29.75</v>
      </c>
      <c r="AD116" s="243">
        <f t="shared" si="94"/>
        <v>562703.5</v>
      </c>
      <c r="AE116" s="243">
        <f t="shared" si="104"/>
        <v>-14624.599999999977</v>
      </c>
      <c r="AG116" s="4">
        <f t="shared" si="95"/>
        <v>602906</v>
      </c>
      <c r="AX116" s="4">
        <v>1992</v>
      </c>
      <c r="AY116" s="4">
        <v>4</v>
      </c>
      <c r="AZ116" s="76">
        <f>'[8]COM 55 &amp; 65'!$S201</f>
        <v>177.8</v>
      </c>
      <c r="BA116" s="76">
        <f t="shared" si="107"/>
        <v>227.4</v>
      </c>
      <c r="BB116" s="362">
        <f t="shared" si="101"/>
        <v>49.599999999999994</v>
      </c>
      <c r="BC116" s="362"/>
      <c r="BD116" s="76">
        <f>'[8]COM 55 &amp; 65'!$J201</f>
        <v>7</v>
      </c>
      <c r="BE116" s="76">
        <f t="shared" si="108"/>
        <v>4.8</v>
      </c>
      <c r="BF116" s="363">
        <f t="shared" si="102"/>
        <v>-2.2000000000000002</v>
      </c>
      <c r="BG116" s="244"/>
      <c r="BH116" s="244">
        <f t="shared" si="96"/>
        <v>33872.335999999996</v>
      </c>
      <c r="BI116" s="242">
        <f t="shared" si="97"/>
        <v>-1450.5480000000002</v>
      </c>
      <c r="BJ116" s="242"/>
      <c r="BK116" s="241">
        <f t="shared" si="98"/>
        <v>32422</v>
      </c>
      <c r="BL116" s="262"/>
      <c r="BM116" s="36" t="s">
        <v>18</v>
      </c>
      <c r="BN116" s="4">
        <v>1992</v>
      </c>
      <c r="BO116" s="4">
        <v>4</v>
      </c>
    </row>
    <row r="117" spans="1:72" ht="12.75" customHeight="1">
      <c r="A117" s="22">
        <v>1992</v>
      </c>
      <c r="B117" s="4">
        <v>5</v>
      </c>
      <c r="C117" s="5">
        <v>590440</v>
      </c>
      <c r="D117" s="5">
        <v>116429</v>
      </c>
      <c r="E117" s="74">
        <f t="shared" si="85"/>
        <v>5071.2</v>
      </c>
      <c r="G117" s="347"/>
      <c r="J117" s="574">
        <f t="shared" si="99"/>
        <v>116429</v>
      </c>
      <c r="K117" s="4">
        <f>'[7]COM 55 &amp; 65'!$S202</f>
        <v>213.1</v>
      </c>
      <c r="L117" s="4">
        <f t="shared" si="105"/>
        <v>273.89999999999998</v>
      </c>
      <c r="M117" s="44">
        <f t="shared" si="110"/>
        <v>60.799999999999983</v>
      </c>
      <c r="N117" s="4">
        <f>'[7]COM 55 &amp; 65'!$J202</f>
        <v>4.8</v>
      </c>
      <c r="O117" s="4">
        <f t="shared" si="103"/>
        <v>2</v>
      </c>
      <c r="P117" s="41">
        <f t="shared" si="111"/>
        <v>-2.8</v>
      </c>
      <c r="Q117" s="474">
        <f t="shared" si="88"/>
        <v>41520.927999999985</v>
      </c>
      <c r="R117" s="472">
        <f t="shared" si="89"/>
        <v>-1846.152</v>
      </c>
      <c r="S117" s="241">
        <f t="shared" si="90"/>
        <v>39675</v>
      </c>
      <c r="T117" s="13" t="s">
        <v>18</v>
      </c>
      <c r="U117" s="4">
        <v>1992</v>
      </c>
      <c r="V117" s="4">
        <v>5</v>
      </c>
      <c r="W117" s="242">
        <f t="shared" si="91"/>
        <v>5412.01075333465</v>
      </c>
      <c r="X117" s="131">
        <f t="shared" si="109"/>
        <v>508.34191137303515</v>
      </c>
      <c r="Z117" s="175">
        <f t="shared" si="92"/>
        <v>630115</v>
      </c>
      <c r="AA117" s="12">
        <f t="shared" si="93"/>
        <v>39675</v>
      </c>
      <c r="AB117" s="379">
        <f t="shared" si="100"/>
        <v>630115</v>
      </c>
      <c r="AC117" s="107">
        <f>RESID!AC117</f>
        <v>30.5</v>
      </c>
      <c r="AD117" s="243">
        <f t="shared" si="94"/>
        <v>588891.30000000005</v>
      </c>
      <c r="AE117" s="243">
        <f t="shared" si="104"/>
        <v>-65440.29999999993</v>
      </c>
      <c r="AG117" s="4">
        <f t="shared" si="95"/>
        <v>628462</v>
      </c>
      <c r="AX117" s="4">
        <v>1992</v>
      </c>
      <c r="AY117" s="4">
        <v>5</v>
      </c>
      <c r="AZ117" s="76">
        <f>'[8]COM 55 &amp; 65'!$S202</f>
        <v>309.5</v>
      </c>
      <c r="BA117" s="76">
        <f t="shared" si="107"/>
        <v>395.2</v>
      </c>
      <c r="BB117" s="362">
        <f t="shared" si="101"/>
        <v>85.699999999999989</v>
      </c>
      <c r="BC117" s="362"/>
      <c r="BD117" s="76">
        <f>'[8]COM 55 &amp; 65'!$J202</f>
        <v>1.9</v>
      </c>
      <c r="BE117" s="76">
        <f t="shared" si="108"/>
        <v>0.2</v>
      </c>
      <c r="BF117" s="363">
        <f t="shared" si="102"/>
        <v>-1.7</v>
      </c>
      <c r="BG117" s="244"/>
      <c r="BH117" s="244">
        <f t="shared" si="96"/>
        <v>58525.386999999988</v>
      </c>
      <c r="BI117" s="242">
        <f t="shared" si="97"/>
        <v>-1120.8779999999999</v>
      </c>
      <c r="BJ117" s="242"/>
      <c r="BK117" s="241">
        <f t="shared" si="98"/>
        <v>57405</v>
      </c>
      <c r="BL117" s="262"/>
      <c r="BM117" s="36" t="s">
        <v>18</v>
      </c>
      <c r="BN117" s="4">
        <v>1992</v>
      </c>
      <c r="BO117" s="4">
        <v>5</v>
      </c>
    </row>
    <row r="118" spans="1:72" ht="12.75" customHeight="1">
      <c r="A118" s="22">
        <v>1992</v>
      </c>
      <c r="B118" s="4">
        <v>6</v>
      </c>
      <c r="C118" s="5">
        <v>661436</v>
      </c>
      <c r="D118" s="5">
        <v>116682</v>
      </c>
      <c r="E118" s="74">
        <f t="shared" si="85"/>
        <v>5668.7</v>
      </c>
      <c r="G118" s="347"/>
      <c r="J118" s="574">
        <f t="shared" si="99"/>
        <v>116682</v>
      </c>
      <c r="K118" s="4">
        <f>'[7]COM 55 &amp; 65'!$S203</f>
        <v>393.9</v>
      </c>
      <c r="L118" s="4">
        <f t="shared" si="105"/>
        <v>442.7</v>
      </c>
      <c r="M118" s="44">
        <f t="shared" si="110"/>
        <v>48.800000000000011</v>
      </c>
      <c r="N118" s="4">
        <f>'[7]COM 55 &amp; 65'!$J203</f>
        <v>0.8</v>
      </c>
      <c r="O118" s="4">
        <f t="shared" si="103"/>
        <v>0.1</v>
      </c>
      <c r="P118" s="41">
        <f t="shared" si="111"/>
        <v>-0.70000000000000007</v>
      </c>
      <c r="Q118" s="474">
        <f t="shared" si="88"/>
        <v>33326.008000000009</v>
      </c>
      <c r="R118" s="472">
        <f t="shared" si="89"/>
        <v>-461.53800000000007</v>
      </c>
      <c r="S118" s="241">
        <f t="shared" si="90"/>
        <v>32864</v>
      </c>
      <c r="T118" s="13" t="s">
        <v>18</v>
      </c>
      <c r="U118" s="4">
        <v>1992</v>
      </c>
      <c r="V118" s="4">
        <v>6</v>
      </c>
      <c r="W118" s="242">
        <f t="shared" si="91"/>
        <v>5950.3608097221504</v>
      </c>
      <c r="X118" s="131">
        <f t="shared" si="109"/>
        <v>224.90088770608236</v>
      </c>
      <c r="Z118" s="175">
        <f t="shared" si="92"/>
        <v>694300</v>
      </c>
      <c r="AA118" s="12">
        <f t="shared" si="93"/>
        <v>32864</v>
      </c>
      <c r="AB118" s="379">
        <f t="shared" si="100"/>
        <v>694300</v>
      </c>
      <c r="AC118" s="107">
        <f>RESID!AC118</f>
        <v>30.75</v>
      </c>
      <c r="AD118" s="243">
        <f t="shared" si="94"/>
        <v>654337.69999999995</v>
      </c>
      <c r="AE118" s="243">
        <f t="shared" si="104"/>
        <v>-7282.5</v>
      </c>
      <c r="AG118" s="4">
        <f t="shared" si="95"/>
        <v>686849</v>
      </c>
      <c r="AX118" s="4">
        <v>1992</v>
      </c>
      <c r="AY118" s="4">
        <v>6</v>
      </c>
      <c r="AZ118" s="76">
        <f>'[8]COM 55 &amp; 65'!$S203</f>
        <v>479.4</v>
      </c>
      <c r="BA118" s="76">
        <f t="shared" si="107"/>
        <v>485.1</v>
      </c>
      <c r="BB118" s="362">
        <f t="shared" si="101"/>
        <v>5.7000000000000455</v>
      </c>
      <c r="BC118" s="362"/>
      <c r="BD118" s="76">
        <f>'[8]COM 55 &amp; 65'!$J203</f>
        <v>0</v>
      </c>
      <c r="BE118" s="76">
        <f t="shared" si="108"/>
        <v>0</v>
      </c>
      <c r="BF118" s="363">
        <f t="shared" si="102"/>
        <v>0</v>
      </c>
      <c r="BG118" s="244"/>
      <c r="BH118" s="244">
        <f t="shared" si="96"/>
        <v>3892.5870000000309</v>
      </c>
      <c r="BI118" s="242">
        <f t="shared" si="97"/>
        <v>0</v>
      </c>
      <c r="BJ118" s="242"/>
      <c r="BK118" s="241">
        <f t="shared" si="98"/>
        <v>3893</v>
      </c>
      <c r="BL118" s="262"/>
      <c r="BM118" s="36" t="s">
        <v>18</v>
      </c>
      <c r="BN118" s="4">
        <v>1992</v>
      </c>
      <c r="BO118" s="4">
        <v>6</v>
      </c>
    </row>
    <row r="119" spans="1:72" ht="12.75" customHeight="1">
      <c r="A119" s="22">
        <v>1992</v>
      </c>
      <c r="B119" s="4">
        <v>7</v>
      </c>
      <c r="C119" s="5">
        <v>749121</v>
      </c>
      <c r="D119" s="5">
        <v>117032</v>
      </c>
      <c r="E119" s="74">
        <f t="shared" si="85"/>
        <v>6401</v>
      </c>
      <c r="G119" s="347"/>
      <c r="J119" s="574">
        <f t="shared" si="99"/>
        <v>117032</v>
      </c>
      <c r="K119" s="4">
        <f>'[7]COM 55 &amp; 65'!$S204</f>
        <v>530.70000000000005</v>
      </c>
      <c r="L119" s="4">
        <f t="shared" si="105"/>
        <v>516.1</v>
      </c>
      <c r="M119" s="44">
        <f t="shared" si="110"/>
        <v>-14.600000000000023</v>
      </c>
      <c r="N119" s="4">
        <f>'[7]COM 55 &amp; 65'!$J204</f>
        <v>0</v>
      </c>
      <c r="O119" s="4">
        <f t="shared" si="103"/>
        <v>0</v>
      </c>
      <c r="P119" s="41">
        <f t="shared" si="111"/>
        <v>0</v>
      </c>
      <c r="Q119" s="474">
        <f t="shared" si="88"/>
        <v>-9970.4860000000153</v>
      </c>
      <c r="R119" s="472">
        <f t="shared" si="89"/>
        <v>0</v>
      </c>
      <c r="S119" s="241">
        <f t="shared" si="90"/>
        <v>-9970</v>
      </c>
      <c r="T119" s="13" t="s">
        <v>18</v>
      </c>
      <c r="U119" s="4">
        <v>1992</v>
      </c>
      <c r="V119" s="4">
        <v>7</v>
      </c>
      <c r="W119" s="242">
        <f t="shared" si="91"/>
        <v>6315.8025155513014</v>
      </c>
      <c r="X119" s="131">
        <f t="shared" si="109"/>
        <v>267.5283349236679</v>
      </c>
      <c r="Z119" s="175">
        <f t="shared" si="92"/>
        <v>739151</v>
      </c>
      <c r="AA119" s="12">
        <f t="shared" si="93"/>
        <v>-9970</v>
      </c>
      <c r="AB119" s="379">
        <f t="shared" si="100"/>
        <v>739151</v>
      </c>
      <c r="AC119" s="107">
        <f>RESID!AC119</f>
        <v>30.8</v>
      </c>
      <c r="AD119" s="243">
        <f t="shared" si="94"/>
        <v>739878.6</v>
      </c>
      <c r="AE119" s="243">
        <f t="shared" si="104"/>
        <v>36949.79999999993</v>
      </c>
      <c r="AG119" s="4">
        <f t="shared" si="95"/>
        <v>730032</v>
      </c>
      <c r="AX119" s="4">
        <v>1992</v>
      </c>
      <c r="AY119" s="4">
        <v>7</v>
      </c>
      <c r="AZ119" s="76">
        <f>'[8]COM 55 &amp; 65'!$S204</f>
        <v>588.5</v>
      </c>
      <c r="BA119" s="76">
        <f t="shared" si="107"/>
        <v>546.1</v>
      </c>
      <c r="BB119" s="362">
        <f t="shared" si="101"/>
        <v>-42.399999999999977</v>
      </c>
      <c r="BC119" s="362"/>
      <c r="BD119" s="76">
        <f>'[8]COM 55 &amp; 65'!$J204</f>
        <v>0</v>
      </c>
      <c r="BE119" s="76">
        <f t="shared" si="108"/>
        <v>0</v>
      </c>
      <c r="BF119" s="363">
        <f t="shared" si="102"/>
        <v>0</v>
      </c>
      <c r="BG119" s="244"/>
      <c r="BH119" s="244">
        <f t="shared" si="96"/>
        <v>-28955.383999999984</v>
      </c>
      <c r="BI119" s="242">
        <f t="shared" si="97"/>
        <v>0</v>
      </c>
      <c r="BJ119" s="242"/>
      <c r="BK119" s="241">
        <f t="shared" si="98"/>
        <v>-28955</v>
      </c>
      <c r="BL119" s="262"/>
      <c r="BM119" s="36" t="s">
        <v>18</v>
      </c>
      <c r="BN119" s="4">
        <v>1992</v>
      </c>
      <c r="BO119" s="4">
        <v>7</v>
      </c>
    </row>
    <row r="120" spans="1:72" ht="12.75" customHeight="1">
      <c r="A120" s="22">
        <v>1992</v>
      </c>
      <c r="B120" s="4">
        <v>8</v>
      </c>
      <c r="C120" s="5">
        <v>757441</v>
      </c>
      <c r="D120" s="5">
        <v>117293</v>
      </c>
      <c r="E120" s="74">
        <f t="shared" si="85"/>
        <v>6457.7</v>
      </c>
      <c r="G120" s="347"/>
      <c r="J120" s="574">
        <f t="shared" si="99"/>
        <v>117293</v>
      </c>
      <c r="K120" s="4">
        <f>'[7]COM 55 &amp; 65'!$S205</f>
        <v>556.9</v>
      </c>
      <c r="L120" s="4">
        <f t="shared" si="105"/>
        <v>542</v>
      </c>
      <c r="M120" s="44">
        <f t="shared" si="110"/>
        <v>-14.899999999999977</v>
      </c>
      <c r="N120" s="4">
        <f>'[7]COM 55 &amp; 65'!$J205</f>
        <v>0</v>
      </c>
      <c r="O120" s="4">
        <f t="shared" si="103"/>
        <v>0</v>
      </c>
      <c r="P120" s="41">
        <f t="shared" si="111"/>
        <v>0</v>
      </c>
      <c r="Q120" s="474">
        <f t="shared" si="88"/>
        <v>-10175.358999999984</v>
      </c>
      <c r="R120" s="472">
        <f t="shared" si="89"/>
        <v>0</v>
      </c>
      <c r="S120" s="241">
        <f t="shared" si="90"/>
        <v>-10175</v>
      </c>
      <c r="T120" s="13" t="s">
        <v>18</v>
      </c>
      <c r="U120" s="4">
        <v>1992</v>
      </c>
      <c r="V120" s="4">
        <v>8</v>
      </c>
      <c r="W120" s="242">
        <f t="shared" si="91"/>
        <v>6370.9343268566754</v>
      </c>
      <c r="X120" s="131">
        <f t="shared" si="109"/>
        <v>111.16229025017856</v>
      </c>
      <c r="Z120" s="175">
        <f t="shared" si="92"/>
        <v>747266</v>
      </c>
      <c r="AA120" s="12">
        <f t="shared" si="93"/>
        <v>-10175</v>
      </c>
      <c r="AB120" s="379">
        <f t="shared" si="100"/>
        <v>747266</v>
      </c>
      <c r="AC120" s="107">
        <f>RESID!AC120</f>
        <v>30.8</v>
      </c>
      <c r="AD120" s="243">
        <f t="shared" si="94"/>
        <v>748095.9</v>
      </c>
      <c r="AE120" s="243">
        <f t="shared" si="104"/>
        <v>33313.800000000047</v>
      </c>
      <c r="AG120" s="4">
        <f t="shared" si="95"/>
        <v>738046</v>
      </c>
      <c r="AX120" s="4">
        <v>1992</v>
      </c>
      <c r="AY120" s="4">
        <v>8</v>
      </c>
      <c r="AZ120" s="76">
        <f>'[8]COM 55 &amp; 65'!$S205</f>
        <v>525.4</v>
      </c>
      <c r="BA120" s="76">
        <f t="shared" si="107"/>
        <v>549</v>
      </c>
      <c r="BB120" s="362">
        <f t="shared" si="101"/>
        <v>23.600000000000023</v>
      </c>
      <c r="BC120" s="362"/>
      <c r="BD120" s="76">
        <f>'[8]COM 55 &amp; 65'!$J205</f>
        <v>0</v>
      </c>
      <c r="BE120" s="76">
        <f t="shared" si="108"/>
        <v>0</v>
      </c>
      <c r="BF120" s="363">
        <f t="shared" si="102"/>
        <v>0</v>
      </c>
      <c r="BG120" s="244"/>
      <c r="BH120" s="244">
        <f t="shared" si="96"/>
        <v>16116.676000000014</v>
      </c>
      <c r="BI120" s="242">
        <f t="shared" si="97"/>
        <v>0</v>
      </c>
      <c r="BJ120" s="242"/>
      <c r="BK120" s="241">
        <f t="shared" si="98"/>
        <v>16117</v>
      </c>
      <c r="BL120" s="262"/>
      <c r="BM120" s="36" t="s">
        <v>18</v>
      </c>
      <c r="BN120" s="4">
        <v>1992</v>
      </c>
      <c r="BO120" s="4">
        <v>8</v>
      </c>
    </row>
    <row r="121" spans="1:72" ht="12.75" customHeight="1">
      <c r="A121" s="22">
        <v>1992</v>
      </c>
      <c r="B121" s="4">
        <v>9</v>
      </c>
      <c r="C121" s="5">
        <v>722136</v>
      </c>
      <c r="D121" s="5">
        <v>117512</v>
      </c>
      <c r="E121" s="74">
        <f t="shared" si="85"/>
        <v>6145.2</v>
      </c>
      <c r="G121" s="347"/>
      <c r="J121" s="574">
        <f t="shared" si="99"/>
        <v>117512</v>
      </c>
      <c r="K121" s="4">
        <f>'[7]COM 55 &amp; 65'!$S206</f>
        <v>509.2</v>
      </c>
      <c r="L121" s="4">
        <f t="shared" si="105"/>
        <v>531.20000000000005</v>
      </c>
      <c r="M121" s="44">
        <f t="shared" si="110"/>
        <v>22.000000000000057</v>
      </c>
      <c r="N121" s="4">
        <f>'[7]COM 55 &amp; 65'!$J206</f>
        <v>0</v>
      </c>
      <c r="O121" s="4">
        <f t="shared" si="103"/>
        <v>0</v>
      </c>
      <c r="P121" s="41">
        <f t="shared" si="111"/>
        <v>0</v>
      </c>
      <c r="Q121" s="474">
        <f t="shared" si="88"/>
        <v>15024.020000000039</v>
      </c>
      <c r="R121" s="472">
        <f t="shared" si="89"/>
        <v>0</v>
      </c>
      <c r="S121" s="241">
        <f t="shared" si="90"/>
        <v>15024</v>
      </c>
      <c r="T121" s="13" t="s">
        <v>18</v>
      </c>
      <c r="U121" s="4">
        <v>1992</v>
      </c>
      <c r="V121" s="4">
        <v>9</v>
      </c>
      <c r="W121" s="242">
        <f t="shared" si="91"/>
        <v>6273.0614745728099</v>
      </c>
      <c r="X121" s="131">
        <f t="shared" si="109"/>
        <v>22.481327341437463</v>
      </c>
      <c r="Z121" s="175">
        <f t="shared" si="92"/>
        <v>737160</v>
      </c>
      <c r="AA121" s="12">
        <f t="shared" si="93"/>
        <v>15024</v>
      </c>
      <c r="AB121" s="379">
        <f t="shared" si="100"/>
        <v>737160</v>
      </c>
      <c r="AC121" s="107">
        <f>RESID!AC121</f>
        <v>30.25</v>
      </c>
      <c r="AD121" s="243">
        <f t="shared" si="94"/>
        <v>726194.3</v>
      </c>
      <c r="AE121" s="243">
        <f t="shared" si="104"/>
        <v>1717.4000000000233</v>
      </c>
      <c r="AG121" s="4">
        <f t="shared" si="95"/>
        <v>741303</v>
      </c>
      <c r="AX121" s="4">
        <v>1992</v>
      </c>
      <c r="AY121" s="4">
        <v>9</v>
      </c>
      <c r="AZ121" s="76">
        <f>'[8]COM 55 &amp; 65'!$S206</f>
        <v>489.6</v>
      </c>
      <c r="BA121" s="76">
        <f t="shared" si="107"/>
        <v>487.9</v>
      </c>
      <c r="BB121" s="362">
        <f t="shared" si="101"/>
        <v>-1.7000000000000455</v>
      </c>
      <c r="BC121" s="362"/>
      <c r="BD121" s="76">
        <f>'[8]COM 55 &amp; 65'!$J206</f>
        <v>0</v>
      </c>
      <c r="BE121" s="76">
        <f t="shared" si="108"/>
        <v>0</v>
      </c>
      <c r="BF121" s="363">
        <f t="shared" si="102"/>
        <v>0</v>
      </c>
      <c r="BG121" s="244"/>
      <c r="BH121" s="244">
        <f t="shared" si="96"/>
        <v>-1160.947000000031</v>
      </c>
      <c r="BI121" s="242">
        <f t="shared" si="97"/>
        <v>0</v>
      </c>
      <c r="BJ121" s="242"/>
      <c r="BK121" s="241">
        <f t="shared" si="98"/>
        <v>-1161</v>
      </c>
      <c r="BL121" s="262"/>
      <c r="BM121" s="36" t="s">
        <v>18</v>
      </c>
      <c r="BN121" s="4">
        <v>1992</v>
      </c>
      <c r="BO121" s="4">
        <v>9</v>
      </c>
    </row>
    <row r="122" spans="1:72" ht="12.75" customHeight="1">
      <c r="A122" s="22">
        <v>1992</v>
      </c>
      <c r="B122" s="4">
        <v>10</v>
      </c>
      <c r="C122" s="5">
        <v>678283</v>
      </c>
      <c r="D122" s="5">
        <v>117514</v>
      </c>
      <c r="E122" s="74">
        <f t="shared" si="85"/>
        <v>5771.9</v>
      </c>
      <c r="G122" s="347"/>
      <c r="J122" s="574">
        <f t="shared" si="99"/>
        <v>117514</v>
      </c>
      <c r="K122" s="4">
        <f>'[7]COM 55 &amp; 65'!$S207</f>
        <v>403.1</v>
      </c>
      <c r="L122" s="4">
        <f t="shared" si="105"/>
        <v>431.2</v>
      </c>
      <c r="M122" s="44">
        <f t="shared" si="110"/>
        <v>28.099999999999966</v>
      </c>
      <c r="N122" s="4">
        <f>'[7]COM 55 &amp; 65'!$J207</f>
        <v>0.4</v>
      </c>
      <c r="O122" s="4">
        <f t="shared" si="103"/>
        <v>0.2</v>
      </c>
      <c r="P122" s="41">
        <f t="shared" si="111"/>
        <v>-0.2</v>
      </c>
      <c r="Q122" s="474">
        <f t="shared" si="88"/>
        <v>19189.770999999975</v>
      </c>
      <c r="R122" s="472">
        <f t="shared" si="89"/>
        <v>-131.86800000000002</v>
      </c>
      <c r="S122" s="241">
        <f t="shared" si="90"/>
        <v>19058</v>
      </c>
      <c r="T122" s="13" t="s">
        <v>18</v>
      </c>
      <c r="U122" s="4">
        <v>1992</v>
      </c>
      <c r="V122" s="4">
        <v>10</v>
      </c>
      <c r="W122" s="242">
        <f t="shared" si="91"/>
        <v>5934.1099783855543</v>
      </c>
      <c r="X122" s="131">
        <f t="shared" si="109"/>
        <v>119.61637007375793</v>
      </c>
      <c r="Z122" s="175">
        <f t="shared" si="92"/>
        <v>697341</v>
      </c>
      <c r="AA122" s="12">
        <f t="shared" si="93"/>
        <v>19058</v>
      </c>
      <c r="AB122" s="379">
        <f t="shared" si="100"/>
        <v>697341</v>
      </c>
      <c r="AC122" s="107">
        <f>RESID!AC122</f>
        <v>29.95</v>
      </c>
      <c r="AD122" s="243">
        <f t="shared" si="94"/>
        <v>688927.2</v>
      </c>
      <c r="AE122" s="243">
        <f t="shared" si="104"/>
        <v>10185.699999999953</v>
      </c>
      <c r="AG122" s="4">
        <f t="shared" si="95"/>
        <v>708284</v>
      </c>
      <c r="AX122" s="4">
        <v>1992</v>
      </c>
      <c r="AY122" s="4">
        <v>10</v>
      </c>
      <c r="AZ122" s="76">
        <f>'[8]COM 55 &amp; 65'!$S207</f>
        <v>249.7</v>
      </c>
      <c r="BA122" s="76">
        <f t="shared" si="107"/>
        <v>332.5</v>
      </c>
      <c r="BB122" s="362">
        <f t="shared" si="101"/>
        <v>82.800000000000011</v>
      </c>
      <c r="BC122" s="362"/>
      <c r="BD122" s="76">
        <f>'[8]COM 55 &amp; 65'!$J207</f>
        <v>1.4</v>
      </c>
      <c r="BE122" s="76">
        <f t="shared" si="108"/>
        <v>2</v>
      </c>
      <c r="BF122" s="363">
        <f t="shared" si="102"/>
        <v>0.60000000000000009</v>
      </c>
      <c r="BG122" s="244"/>
      <c r="BH122" s="244">
        <f t="shared" si="96"/>
        <v>56544.948000000004</v>
      </c>
      <c r="BI122" s="242">
        <f t="shared" si="97"/>
        <v>395.6040000000001</v>
      </c>
      <c r="BJ122" s="242"/>
      <c r="BK122" s="241">
        <f t="shared" si="98"/>
        <v>56941</v>
      </c>
      <c r="BL122" s="262"/>
      <c r="BM122" s="36" t="s">
        <v>18</v>
      </c>
      <c r="BN122" s="4">
        <v>1992</v>
      </c>
      <c r="BO122" s="4">
        <v>10</v>
      </c>
    </row>
    <row r="123" spans="1:72" ht="12.75" customHeight="1">
      <c r="A123" s="22">
        <v>1992</v>
      </c>
      <c r="B123" s="4">
        <v>11</v>
      </c>
      <c r="C123" s="5">
        <v>607484</v>
      </c>
      <c r="D123" s="5">
        <v>117719</v>
      </c>
      <c r="E123" s="74">
        <f t="shared" si="85"/>
        <v>5160.5</v>
      </c>
      <c r="G123" s="347"/>
      <c r="J123" s="574">
        <f t="shared" si="99"/>
        <v>117719</v>
      </c>
      <c r="K123" s="4">
        <f>'[7]COM 55 &amp; 65'!$S208</f>
        <v>228.8</v>
      </c>
      <c r="L123" s="4">
        <f t="shared" si="105"/>
        <v>251.9</v>
      </c>
      <c r="M123" s="44">
        <f t="shared" si="110"/>
        <v>23.099999999999994</v>
      </c>
      <c r="N123" s="4">
        <f>'[7]COM 55 &amp; 65'!$J208</f>
        <v>3.1</v>
      </c>
      <c r="O123" s="4">
        <f t="shared" si="103"/>
        <v>6.3</v>
      </c>
      <c r="P123" s="41">
        <f t="shared" si="111"/>
        <v>3.1999999999999997</v>
      </c>
      <c r="Q123" s="474">
        <f t="shared" si="88"/>
        <v>15775.220999999996</v>
      </c>
      <c r="R123" s="472">
        <f t="shared" si="89"/>
        <v>2109.8879999999999</v>
      </c>
      <c r="S123" s="241">
        <f t="shared" si="90"/>
        <v>17885</v>
      </c>
      <c r="T123" s="13" t="s">
        <v>18</v>
      </c>
      <c r="U123" s="4">
        <v>1992</v>
      </c>
      <c r="V123" s="4">
        <v>11</v>
      </c>
      <c r="W123" s="242">
        <f t="shared" si="91"/>
        <v>5312.3879747534384</v>
      </c>
      <c r="X123" s="131">
        <f t="shared" si="109"/>
        <v>113.33731991316381</v>
      </c>
      <c r="Z123" s="175">
        <f t="shared" si="92"/>
        <v>625369</v>
      </c>
      <c r="AA123" s="12">
        <f t="shared" si="93"/>
        <v>17885</v>
      </c>
      <c r="AB123" s="379">
        <f t="shared" si="100"/>
        <v>625369</v>
      </c>
      <c r="AC123" s="107">
        <f>RESID!AC123</f>
        <v>30</v>
      </c>
      <c r="AD123" s="243">
        <f t="shared" si="94"/>
        <v>615988.80000000005</v>
      </c>
      <c r="AE123" s="243">
        <f t="shared" si="104"/>
        <v>19107</v>
      </c>
      <c r="AG123" s="4">
        <f t="shared" si="95"/>
        <v>634124</v>
      </c>
      <c r="AX123" s="4">
        <v>1992</v>
      </c>
      <c r="AY123" s="4">
        <v>11</v>
      </c>
      <c r="AZ123" s="76">
        <f>'[8]COM 55 &amp; 65'!$S208</f>
        <v>201.3</v>
      </c>
      <c r="BA123" s="76">
        <f t="shared" si="107"/>
        <v>146</v>
      </c>
      <c r="BB123" s="362">
        <f t="shared" si="101"/>
        <v>-55.300000000000011</v>
      </c>
      <c r="BC123" s="362"/>
      <c r="BD123" s="76">
        <f>'[8]COM 55 &amp; 65'!$J208</f>
        <v>15.2</v>
      </c>
      <c r="BE123" s="76">
        <f t="shared" si="108"/>
        <v>14</v>
      </c>
      <c r="BF123" s="363">
        <f t="shared" si="102"/>
        <v>-1.1999999999999993</v>
      </c>
      <c r="BG123" s="244"/>
      <c r="BH123" s="244">
        <f t="shared" si="96"/>
        <v>-37764.923000000003</v>
      </c>
      <c r="BI123" s="242">
        <f t="shared" si="97"/>
        <v>-791.20799999999952</v>
      </c>
      <c r="BJ123" s="242"/>
      <c r="BK123" s="241">
        <f t="shared" si="98"/>
        <v>-38556</v>
      </c>
      <c r="BL123" s="262"/>
      <c r="BM123" s="36" t="s">
        <v>18</v>
      </c>
      <c r="BN123" s="4">
        <v>1992</v>
      </c>
      <c r="BO123" s="4">
        <v>11</v>
      </c>
    </row>
    <row r="124" spans="1:72" s="89" customFormat="1" ht="12.75" customHeight="1">
      <c r="A124" s="225">
        <v>1992</v>
      </c>
      <c r="B124" s="89">
        <v>12</v>
      </c>
      <c r="C124" s="103">
        <v>600360</v>
      </c>
      <c r="D124" s="103">
        <v>117694</v>
      </c>
      <c r="E124" s="109">
        <f t="shared" si="85"/>
        <v>5101</v>
      </c>
      <c r="F124" s="90"/>
      <c r="G124" s="348"/>
      <c r="J124" s="575">
        <f t="shared" si="99"/>
        <v>117694</v>
      </c>
      <c r="K124" s="89">
        <f>'[7]COM 55 &amp; 65'!$S209</f>
        <v>152.30000000000001</v>
      </c>
      <c r="L124" s="89">
        <f t="shared" si="105"/>
        <v>119.4</v>
      </c>
      <c r="M124" s="93">
        <f t="shared" si="110"/>
        <v>-32.900000000000006</v>
      </c>
      <c r="N124" s="89">
        <f>'[7]COM 55 &amp; 65'!$J209</f>
        <v>30.4</v>
      </c>
      <c r="O124" s="89">
        <f t="shared" si="103"/>
        <v>30.1</v>
      </c>
      <c r="P124" s="94">
        <f t="shared" si="111"/>
        <v>-0.29999999999999716</v>
      </c>
      <c r="Q124" s="475">
        <f t="shared" si="88"/>
        <v>-22467.739000000001</v>
      </c>
      <c r="R124" s="473">
        <f t="shared" si="89"/>
        <v>-197.80199999999815</v>
      </c>
      <c r="S124" s="329">
        <f t="shared" si="90"/>
        <v>-22666</v>
      </c>
      <c r="T124" s="90" t="s">
        <v>18</v>
      </c>
      <c r="U124" s="89">
        <v>1992</v>
      </c>
      <c r="V124" s="89">
        <v>12</v>
      </c>
      <c r="W124" s="328">
        <f t="shared" si="91"/>
        <v>4908.4405322276416</v>
      </c>
      <c r="X124" s="133">
        <f t="shared" si="109"/>
        <v>121.88029397574519</v>
      </c>
      <c r="Z124" s="176">
        <f t="shared" si="92"/>
        <v>577694</v>
      </c>
      <c r="AA124" s="105">
        <f t="shared" si="93"/>
        <v>-22666</v>
      </c>
      <c r="AB124" s="517">
        <f t="shared" si="100"/>
        <v>577694</v>
      </c>
      <c r="AC124" s="110">
        <f>RESID!AC124</f>
        <v>31.8</v>
      </c>
      <c r="AD124" s="331">
        <f t="shared" si="94"/>
        <v>574306.6</v>
      </c>
      <c r="AE124" s="331">
        <f t="shared" si="104"/>
        <v>23764.199999999953</v>
      </c>
      <c r="AG124" s="89">
        <f t="shared" si="95"/>
        <v>552624</v>
      </c>
      <c r="AX124" s="89">
        <v>1992</v>
      </c>
      <c r="AY124" s="89">
        <v>12</v>
      </c>
      <c r="AZ124" s="92">
        <f>'[8]COM 55 &amp; 65'!$S209</f>
        <v>81.2</v>
      </c>
      <c r="BA124" s="92">
        <f t="shared" si="107"/>
        <v>75.7</v>
      </c>
      <c r="BB124" s="364">
        <f t="shared" si="101"/>
        <v>-5.5</v>
      </c>
      <c r="BC124" s="364"/>
      <c r="BD124" s="92">
        <f>'[8]COM 55 &amp; 65'!$J209</f>
        <v>30.3</v>
      </c>
      <c r="BE124" s="92">
        <f t="shared" si="108"/>
        <v>44.3</v>
      </c>
      <c r="BF124" s="365">
        <f t="shared" si="102"/>
        <v>13.999999999999996</v>
      </c>
      <c r="BG124" s="327"/>
      <c r="BH124" s="327">
        <f t="shared" si="96"/>
        <v>-3756.0049999999997</v>
      </c>
      <c r="BI124" s="328">
        <f t="shared" si="97"/>
        <v>9230.7599999999984</v>
      </c>
      <c r="BJ124" s="328"/>
      <c r="BK124" s="329">
        <f t="shared" si="98"/>
        <v>5475</v>
      </c>
      <c r="BL124" s="332"/>
      <c r="BM124" s="113" t="s">
        <v>18</v>
      </c>
      <c r="BN124" s="89">
        <v>1992</v>
      </c>
      <c r="BO124" s="89">
        <v>12</v>
      </c>
      <c r="BT124" s="96"/>
    </row>
    <row r="125" spans="1:72" ht="12.75" customHeight="1">
      <c r="A125" s="22">
        <v>1993</v>
      </c>
      <c r="B125" s="4">
        <v>1</v>
      </c>
      <c r="C125" s="5">
        <v>587362</v>
      </c>
      <c r="D125" s="5">
        <v>117673</v>
      </c>
      <c r="E125" s="74">
        <f t="shared" si="85"/>
        <v>4991.5</v>
      </c>
      <c r="G125" s="347"/>
      <c r="J125" s="574">
        <f t="shared" si="99"/>
        <v>117673</v>
      </c>
      <c r="K125" s="4">
        <f>'[7]COM 55 &amp; 65'!$S210</f>
        <v>126</v>
      </c>
      <c r="L125" s="4">
        <f t="shared" si="105"/>
        <v>70.8</v>
      </c>
      <c r="M125" s="44">
        <f t="shared" si="110"/>
        <v>-55.2</v>
      </c>
      <c r="N125" s="4">
        <f>'[7]COM 55 &amp; 65'!$J210</f>
        <v>15.7</v>
      </c>
      <c r="O125" s="4">
        <f t="shared" si="103"/>
        <v>54.9</v>
      </c>
      <c r="P125" s="41">
        <f t="shared" si="111"/>
        <v>39.200000000000003</v>
      </c>
      <c r="Q125" s="474">
        <f t="shared" si="88"/>
        <v>-37696.631999999998</v>
      </c>
      <c r="R125" s="472">
        <f t="shared" si="89"/>
        <v>25846.128000000004</v>
      </c>
      <c r="S125" s="241">
        <f t="shared" si="90"/>
        <v>-11851</v>
      </c>
      <c r="T125" s="13" t="s">
        <v>18</v>
      </c>
      <c r="U125" s="4">
        <v>1993</v>
      </c>
      <c r="V125" s="4">
        <v>1</v>
      </c>
      <c r="W125" s="242">
        <f t="shared" si="91"/>
        <v>4890.7650862984719</v>
      </c>
      <c r="X125" s="131">
        <f t="shared" si="109"/>
        <v>-106.59136007205871</v>
      </c>
      <c r="Z125" s="175">
        <f t="shared" si="92"/>
        <v>575511</v>
      </c>
      <c r="AA125" s="12">
        <f t="shared" si="93"/>
        <v>-11851</v>
      </c>
      <c r="AB125" s="379">
        <f t="shared" si="100"/>
        <v>575511</v>
      </c>
      <c r="AC125" s="107">
        <f>RESID!AC125</f>
        <v>31.85</v>
      </c>
      <c r="AD125" s="243">
        <f t="shared" si="94"/>
        <v>560990.6</v>
      </c>
      <c r="AE125" s="243">
        <f t="shared" si="104"/>
        <v>20911.29999999993</v>
      </c>
      <c r="AG125" s="4">
        <f t="shared" si="95"/>
        <v>549672</v>
      </c>
      <c r="AX125" s="4">
        <v>1993</v>
      </c>
      <c r="AY125" s="4">
        <v>1</v>
      </c>
      <c r="AZ125" s="76">
        <f>'[8]COM 55 &amp; 65'!$S210</f>
        <v>121.2</v>
      </c>
      <c r="BA125" s="76">
        <f t="shared" si="107"/>
        <v>72.3</v>
      </c>
      <c r="BB125" s="362">
        <f t="shared" si="101"/>
        <v>-48.900000000000006</v>
      </c>
      <c r="BC125" s="362"/>
      <c r="BD125" s="76">
        <f>'[8]COM 55 &amp; 65'!$J210</f>
        <v>20.8</v>
      </c>
      <c r="BE125" s="76">
        <f t="shared" si="108"/>
        <v>52.4</v>
      </c>
      <c r="BF125" s="363">
        <f t="shared" si="102"/>
        <v>31.599999999999998</v>
      </c>
      <c r="BG125" s="244"/>
      <c r="BH125" s="244">
        <f t="shared" si="96"/>
        <v>-33394.298999999999</v>
      </c>
      <c r="BI125" s="242">
        <f t="shared" si="97"/>
        <v>20835.144</v>
      </c>
      <c r="BJ125" s="242"/>
      <c r="BK125" s="241">
        <f t="shared" si="98"/>
        <v>-12559</v>
      </c>
      <c r="BL125" s="262"/>
      <c r="BM125" s="36" t="s">
        <v>18</v>
      </c>
      <c r="BN125" s="4">
        <v>1993</v>
      </c>
      <c r="BO125" s="4">
        <v>1</v>
      </c>
    </row>
    <row r="126" spans="1:72" ht="12.75" customHeight="1">
      <c r="A126" s="22">
        <v>1993</v>
      </c>
      <c r="B126" s="4">
        <v>2</v>
      </c>
      <c r="C126" s="5">
        <v>540229</v>
      </c>
      <c r="D126" s="5">
        <v>117913</v>
      </c>
      <c r="E126" s="74">
        <f t="shared" si="85"/>
        <v>4581.6000000000004</v>
      </c>
      <c r="G126" s="347"/>
      <c r="J126" s="574">
        <f t="shared" si="99"/>
        <v>117913</v>
      </c>
      <c r="K126" s="4">
        <f>'[7]COM 55 &amp; 65'!$S211</f>
        <v>67.599999999999994</v>
      </c>
      <c r="L126" s="4">
        <f t="shared" si="105"/>
        <v>62.7</v>
      </c>
      <c r="M126" s="44">
        <f t="shared" si="110"/>
        <v>-4.8999999999999915</v>
      </c>
      <c r="N126" s="4">
        <f>'[7]COM 55 &amp; 65'!$J211</f>
        <v>30.1</v>
      </c>
      <c r="O126" s="4">
        <f t="shared" si="103"/>
        <v>46.9</v>
      </c>
      <c r="P126" s="41">
        <f t="shared" si="111"/>
        <v>16.799999999999997</v>
      </c>
      <c r="Q126" s="474">
        <f t="shared" si="88"/>
        <v>-3346.2589999999941</v>
      </c>
      <c r="R126" s="472">
        <f t="shared" si="89"/>
        <v>11076.911999999998</v>
      </c>
      <c r="S126" s="241">
        <f t="shared" si="90"/>
        <v>7731</v>
      </c>
      <c r="T126" s="13" t="s">
        <v>18</v>
      </c>
      <c r="U126" s="4">
        <v>1993</v>
      </c>
      <c r="V126" s="4">
        <v>2</v>
      </c>
      <c r="W126" s="242">
        <f t="shared" si="91"/>
        <v>4647.155105883151</v>
      </c>
      <c r="X126" s="131">
        <f t="shared" ref="X126:X141" si="112">W126-W114</f>
        <v>43.477115895168936</v>
      </c>
      <c r="Z126" s="175">
        <f t="shared" si="92"/>
        <v>547960</v>
      </c>
      <c r="AA126" s="12">
        <f t="shared" si="93"/>
        <v>7731</v>
      </c>
      <c r="AB126" s="379">
        <f t="shared" si="100"/>
        <v>547960</v>
      </c>
      <c r="AC126" s="107">
        <f>RESID!AC126</f>
        <v>29.55</v>
      </c>
      <c r="AD126" s="243">
        <f t="shared" si="94"/>
        <v>556134.19999999995</v>
      </c>
      <c r="AE126" s="243">
        <f t="shared" si="104"/>
        <v>12982.5</v>
      </c>
      <c r="AG126" s="4">
        <f t="shared" si="95"/>
        <v>564093</v>
      </c>
      <c r="AX126" s="4">
        <v>1993</v>
      </c>
      <c r="AY126" s="4">
        <v>2</v>
      </c>
      <c r="AZ126" s="76">
        <f>'[8]COM 55 &amp; 65'!$S211</f>
        <v>29.8</v>
      </c>
      <c r="BA126" s="76">
        <f t="shared" si="107"/>
        <v>82.6</v>
      </c>
      <c r="BB126" s="362">
        <f t="shared" si="101"/>
        <v>52.8</v>
      </c>
      <c r="BC126" s="362"/>
      <c r="BD126" s="76">
        <f>'[8]COM 55 &amp; 65'!$J211</f>
        <v>40.299999999999997</v>
      </c>
      <c r="BE126" s="76">
        <f t="shared" si="108"/>
        <v>36.5</v>
      </c>
      <c r="BF126" s="363">
        <f t="shared" si="102"/>
        <v>-3.7999999999999972</v>
      </c>
      <c r="BG126" s="244"/>
      <c r="BH126" s="244">
        <f t="shared" si="96"/>
        <v>36057.647999999994</v>
      </c>
      <c r="BI126" s="242">
        <f t="shared" si="97"/>
        <v>-2505.4919999999984</v>
      </c>
      <c r="BJ126" s="242"/>
      <c r="BK126" s="241">
        <f t="shared" si="98"/>
        <v>33552</v>
      </c>
      <c r="BL126" s="262"/>
      <c r="BM126" s="36" t="s">
        <v>18</v>
      </c>
      <c r="BN126" s="4">
        <v>1993</v>
      </c>
      <c r="BO126" s="4">
        <v>2</v>
      </c>
    </row>
    <row r="127" spans="1:72" ht="12.75" customHeight="1">
      <c r="A127" s="22">
        <v>1993</v>
      </c>
      <c r="B127" s="4">
        <v>3</v>
      </c>
      <c r="C127" s="5">
        <v>536596</v>
      </c>
      <c r="D127" s="5">
        <v>118212</v>
      </c>
      <c r="E127" s="74">
        <f t="shared" si="85"/>
        <v>4539.3</v>
      </c>
      <c r="G127" s="347"/>
      <c r="J127" s="574">
        <f t="shared" si="99"/>
        <v>118212</v>
      </c>
      <c r="K127" s="4">
        <f>'[7]COM 55 &amp; 65'!$S212</f>
        <v>44</v>
      </c>
      <c r="L127" s="4">
        <f t="shared" si="105"/>
        <v>105.4</v>
      </c>
      <c r="M127" s="44">
        <f t="shared" si="110"/>
        <v>61.400000000000006</v>
      </c>
      <c r="N127" s="4">
        <f>'[7]COM 55 &amp; 65'!$J212</f>
        <v>45.1</v>
      </c>
      <c r="O127" s="4">
        <f t="shared" si="103"/>
        <v>26.8</v>
      </c>
      <c r="P127" s="41">
        <f t="shared" si="111"/>
        <v>-18.3</v>
      </c>
      <c r="Q127" s="474">
        <f t="shared" si="88"/>
        <v>41930.673999999999</v>
      </c>
      <c r="R127" s="472">
        <f t="shared" si="89"/>
        <v>-12065.922</v>
      </c>
      <c r="S127" s="241">
        <f t="shared" si="90"/>
        <v>29865</v>
      </c>
      <c r="T127" s="13" t="s">
        <v>18</v>
      </c>
      <c r="U127" s="4">
        <v>1993</v>
      </c>
      <c r="V127" s="4">
        <v>3</v>
      </c>
      <c r="W127" s="242">
        <f t="shared" si="91"/>
        <v>4791.907758941562</v>
      </c>
      <c r="X127" s="131">
        <f t="shared" si="112"/>
        <v>166.60864612959904</v>
      </c>
      <c r="Z127" s="175">
        <f t="shared" si="92"/>
        <v>566461</v>
      </c>
      <c r="AA127" s="12">
        <f t="shared" si="93"/>
        <v>29865</v>
      </c>
      <c r="AB127" s="379">
        <f t="shared" si="100"/>
        <v>566461</v>
      </c>
      <c r="AC127" s="107">
        <f>RESID!AC127</f>
        <v>29.4</v>
      </c>
      <c r="AD127" s="243">
        <f t="shared" si="94"/>
        <v>555212.6</v>
      </c>
      <c r="AE127" s="243">
        <f t="shared" si="104"/>
        <v>3612.0999999999767</v>
      </c>
      <c r="AG127" s="4">
        <f t="shared" si="95"/>
        <v>586114</v>
      </c>
      <c r="AX127" s="4">
        <v>1993</v>
      </c>
      <c r="AY127" s="4">
        <v>3</v>
      </c>
      <c r="AZ127" s="76">
        <f>'[8]COM 55 &amp; 65'!$S212</f>
        <v>94</v>
      </c>
      <c r="BA127" s="76">
        <f t="shared" si="107"/>
        <v>140.4</v>
      </c>
      <c r="BB127" s="362">
        <f t="shared" si="101"/>
        <v>46.400000000000006</v>
      </c>
      <c r="BC127" s="362"/>
      <c r="BD127" s="76">
        <f>'[8]COM 55 &amp; 65'!$J212</f>
        <v>33.4</v>
      </c>
      <c r="BE127" s="76">
        <f t="shared" si="108"/>
        <v>15.1</v>
      </c>
      <c r="BF127" s="363">
        <f t="shared" si="102"/>
        <v>-18.299999999999997</v>
      </c>
      <c r="BG127" s="244"/>
      <c r="BH127" s="244">
        <f t="shared" si="96"/>
        <v>31687.024000000001</v>
      </c>
      <c r="BI127" s="242">
        <f t="shared" si="97"/>
        <v>-12065.921999999999</v>
      </c>
      <c r="BJ127" s="242"/>
      <c r="BK127" s="241">
        <f t="shared" si="98"/>
        <v>19621</v>
      </c>
      <c r="BL127" s="262"/>
      <c r="BM127" s="36" t="s">
        <v>18</v>
      </c>
      <c r="BN127" s="4">
        <v>1993</v>
      </c>
      <c r="BO127" s="4">
        <v>3</v>
      </c>
    </row>
    <row r="128" spans="1:72" ht="12.75" customHeight="1">
      <c r="A128" s="22">
        <v>1993</v>
      </c>
      <c r="B128" s="4">
        <v>4</v>
      </c>
      <c r="C128" s="5">
        <v>574646</v>
      </c>
      <c r="D128" s="5">
        <v>119362</v>
      </c>
      <c r="E128" s="74">
        <f t="shared" si="85"/>
        <v>4814.3</v>
      </c>
      <c r="G128" s="347"/>
      <c r="J128" s="574">
        <f t="shared" si="99"/>
        <v>119362</v>
      </c>
      <c r="K128" s="4">
        <f>'[7]COM 55 &amp; 65'!$S213</f>
        <v>118.1</v>
      </c>
      <c r="L128" s="4">
        <f t="shared" si="105"/>
        <v>178.4</v>
      </c>
      <c r="M128" s="44">
        <f t="shared" si="110"/>
        <v>60.300000000000011</v>
      </c>
      <c r="N128" s="4">
        <f>'[7]COM 55 &amp; 65'!$J213</f>
        <v>18.8</v>
      </c>
      <c r="O128" s="4">
        <f t="shared" si="103"/>
        <v>9.5</v>
      </c>
      <c r="P128" s="41">
        <f t="shared" si="111"/>
        <v>-9.3000000000000007</v>
      </c>
      <c r="Q128" s="474">
        <f t="shared" si="88"/>
        <v>41179.473000000005</v>
      </c>
      <c r="R128" s="472">
        <f t="shared" si="89"/>
        <v>-6131.862000000001</v>
      </c>
      <c r="S128" s="241">
        <f t="shared" si="90"/>
        <v>35048</v>
      </c>
      <c r="T128" s="13" t="s">
        <v>18</v>
      </c>
      <c r="U128" s="4">
        <v>1993</v>
      </c>
      <c r="V128" s="4">
        <v>4</v>
      </c>
      <c r="W128" s="242">
        <f t="shared" si="91"/>
        <v>5107.9405505939912</v>
      </c>
      <c r="X128" s="131">
        <f t="shared" si="112"/>
        <v>27.182952641366683</v>
      </c>
      <c r="Z128" s="175">
        <f t="shared" si="92"/>
        <v>609694</v>
      </c>
      <c r="AA128" s="12">
        <f t="shared" si="93"/>
        <v>35048</v>
      </c>
      <c r="AB128" s="379">
        <f t="shared" si="100"/>
        <v>609694</v>
      </c>
      <c r="AC128" s="107">
        <f>RESID!AC128</f>
        <v>30.25</v>
      </c>
      <c r="AD128" s="243">
        <f t="shared" si="94"/>
        <v>577875.4</v>
      </c>
      <c r="AE128" s="243">
        <f t="shared" si="104"/>
        <v>15171.900000000023</v>
      </c>
      <c r="AG128" s="4">
        <f t="shared" si="95"/>
        <v>613120</v>
      </c>
      <c r="AX128" s="4">
        <v>1993</v>
      </c>
      <c r="AY128" s="4">
        <v>4</v>
      </c>
      <c r="AZ128" s="76">
        <f>'[8]COM 55 &amp; 65'!$S213</f>
        <v>138.30000000000001</v>
      </c>
      <c r="BA128" s="76">
        <f t="shared" si="107"/>
        <v>227.4</v>
      </c>
      <c r="BB128" s="362">
        <f t="shared" si="101"/>
        <v>89.1</v>
      </c>
      <c r="BC128" s="362"/>
      <c r="BD128" s="76">
        <f>'[8]COM 55 &amp; 65'!$J213</f>
        <v>6.6</v>
      </c>
      <c r="BE128" s="76">
        <f t="shared" si="108"/>
        <v>4.8</v>
      </c>
      <c r="BF128" s="363">
        <f t="shared" si="102"/>
        <v>-1.7999999999999998</v>
      </c>
      <c r="BG128" s="244"/>
      <c r="BH128" s="244">
        <f t="shared" si="96"/>
        <v>60847.280999999995</v>
      </c>
      <c r="BI128" s="242">
        <f t="shared" si="97"/>
        <v>-1186.8119999999999</v>
      </c>
      <c r="BJ128" s="242"/>
      <c r="BK128" s="241">
        <f t="shared" si="98"/>
        <v>59660</v>
      </c>
      <c r="BL128" s="262"/>
      <c r="BM128" s="36" t="s">
        <v>18</v>
      </c>
      <c r="BN128" s="4">
        <v>1993</v>
      </c>
      <c r="BO128" s="4">
        <v>4</v>
      </c>
    </row>
    <row r="129" spans="1:72" ht="12.75" customHeight="1">
      <c r="A129" s="22">
        <v>1993</v>
      </c>
      <c r="B129" s="4">
        <v>5</v>
      </c>
      <c r="C129" s="5">
        <v>605561</v>
      </c>
      <c r="D129" s="5">
        <v>119803</v>
      </c>
      <c r="E129" s="74">
        <f t="shared" si="85"/>
        <v>5054.6000000000004</v>
      </c>
      <c r="G129" s="347"/>
      <c r="J129" s="574">
        <f t="shared" si="99"/>
        <v>119803</v>
      </c>
      <c r="K129" s="4">
        <f>'[7]COM 55 &amp; 65'!$S214</f>
        <v>203.1</v>
      </c>
      <c r="L129" s="4">
        <f t="shared" si="105"/>
        <v>273.89999999999998</v>
      </c>
      <c r="M129" s="44">
        <f t="shared" si="110"/>
        <v>70.799999999999983</v>
      </c>
      <c r="N129" s="4">
        <f>'[7]COM 55 &amp; 65'!$J214</f>
        <v>4.3</v>
      </c>
      <c r="O129" s="4">
        <f t="shared" si="103"/>
        <v>2</v>
      </c>
      <c r="P129" s="41">
        <f t="shared" si="111"/>
        <v>-2.2999999999999998</v>
      </c>
      <c r="Q129" s="474">
        <f t="shared" si="88"/>
        <v>48350.027999999984</v>
      </c>
      <c r="R129" s="472">
        <f t="shared" si="89"/>
        <v>-1516.482</v>
      </c>
      <c r="S129" s="241">
        <f t="shared" si="90"/>
        <v>46834</v>
      </c>
      <c r="T129" s="13" t="s">
        <v>18</v>
      </c>
      <c r="U129" s="4">
        <v>1993</v>
      </c>
      <c r="V129" s="4">
        <v>5</v>
      </c>
      <c r="W129" s="242">
        <f t="shared" si="91"/>
        <v>5445.5648022169726</v>
      </c>
      <c r="X129" s="131">
        <f t="shared" si="112"/>
        <v>33.554048882322604</v>
      </c>
      <c r="Z129" s="175">
        <f t="shared" si="92"/>
        <v>652395</v>
      </c>
      <c r="AA129" s="12">
        <f t="shared" si="93"/>
        <v>46834</v>
      </c>
      <c r="AB129" s="379">
        <f t="shared" si="100"/>
        <v>652395</v>
      </c>
      <c r="AC129" s="107">
        <f>RESID!AC129</f>
        <v>29.95</v>
      </c>
      <c r="AD129" s="243">
        <f t="shared" si="94"/>
        <v>615064</v>
      </c>
      <c r="AE129" s="243">
        <f t="shared" si="104"/>
        <v>26172.699999999953</v>
      </c>
      <c r="AG129" s="4">
        <f t="shared" si="95"/>
        <v>662633</v>
      </c>
      <c r="AX129" s="4">
        <v>1993</v>
      </c>
      <c r="AY129" s="4">
        <v>5</v>
      </c>
      <c r="AZ129" s="76">
        <f>'[8]COM 55 &amp; 65'!$S214</f>
        <v>325.3</v>
      </c>
      <c r="BA129" s="76">
        <f t="shared" si="107"/>
        <v>395.2</v>
      </c>
      <c r="BB129" s="362">
        <f t="shared" si="101"/>
        <v>69.899999999999977</v>
      </c>
      <c r="BC129" s="362"/>
      <c r="BD129" s="76">
        <f>'[8]COM 55 &amp; 65'!$J214</f>
        <v>0.2</v>
      </c>
      <c r="BE129" s="76">
        <f t="shared" si="108"/>
        <v>0.2</v>
      </c>
      <c r="BF129" s="363">
        <f t="shared" si="102"/>
        <v>0</v>
      </c>
      <c r="BG129" s="244"/>
      <c r="BH129" s="244">
        <f t="shared" si="96"/>
        <v>47735.408999999985</v>
      </c>
      <c r="BI129" s="242">
        <f t="shared" si="97"/>
        <v>0</v>
      </c>
      <c r="BJ129" s="242"/>
      <c r="BK129" s="241">
        <f t="shared" si="98"/>
        <v>47735</v>
      </c>
      <c r="BL129" s="262"/>
      <c r="BM129" s="36" t="s">
        <v>18</v>
      </c>
      <c r="BN129" s="4">
        <v>1993</v>
      </c>
      <c r="BO129" s="4">
        <v>5</v>
      </c>
    </row>
    <row r="130" spans="1:72" ht="12.75" customHeight="1">
      <c r="A130" s="22">
        <v>1993</v>
      </c>
      <c r="B130" s="4">
        <v>6</v>
      </c>
      <c r="C130" s="5">
        <v>702618</v>
      </c>
      <c r="D130" s="5">
        <v>119990</v>
      </c>
      <c r="E130" s="74">
        <f t="shared" si="85"/>
        <v>5855.6</v>
      </c>
      <c r="G130" s="347"/>
      <c r="J130" s="574">
        <f t="shared" si="99"/>
        <v>119990</v>
      </c>
      <c r="K130" s="4">
        <f>'[7]COM 55 &amp; 65'!$S215</f>
        <v>395.5</v>
      </c>
      <c r="L130" s="4">
        <f t="shared" si="105"/>
        <v>442.7</v>
      </c>
      <c r="M130" s="44">
        <f t="shared" si="110"/>
        <v>47.199999999999989</v>
      </c>
      <c r="N130" s="4">
        <f>'[7]COM 55 &amp; 65'!$J215</f>
        <v>0.2</v>
      </c>
      <c r="O130" s="4">
        <f t="shared" si="103"/>
        <v>0.1</v>
      </c>
      <c r="P130" s="41">
        <f t="shared" si="111"/>
        <v>-0.1</v>
      </c>
      <c r="Q130" s="474">
        <f t="shared" si="88"/>
        <v>32233.351999999992</v>
      </c>
      <c r="R130" s="472">
        <f t="shared" si="89"/>
        <v>-65.934000000000012</v>
      </c>
      <c r="S130" s="241">
        <f t="shared" si="90"/>
        <v>32167</v>
      </c>
      <c r="T130" s="13" t="s">
        <v>18</v>
      </c>
      <c r="U130" s="4">
        <v>1993</v>
      </c>
      <c r="V130" s="4">
        <v>6</v>
      </c>
      <c r="W130" s="242">
        <f t="shared" si="91"/>
        <v>6123.7186432202679</v>
      </c>
      <c r="X130" s="131">
        <f t="shared" si="112"/>
        <v>173.35783349811754</v>
      </c>
      <c r="Z130" s="175">
        <f t="shared" si="92"/>
        <v>734785</v>
      </c>
      <c r="AA130" s="12">
        <f t="shared" si="93"/>
        <v>32167</v>
      </c>
      <c r="AB130" s="379">
        <f t="shared" si="100"/>
        <v>734785</v>
      </c>
      <c r="AC130" s="107">
        <f>RESID!AC130</f>
        <v>30.6</v>
      </c>
      <c r="AD130" s="243">
        <f t="shared" si="94"/>
        <v>698485</v>
      </c>
      <c r="AE130" s="243">
        <f t="shared" si="104"/>
        <v>44147.300000000047</v>
      </c>
      <c r="AG130" s="4">
        <f t="shared" si="95"/>
        <v>730463</v>
      </c>
      <c r="AX130" s="4">
        <v>1993</v>
      </c>
      <c r="AY130" s="4">
        <v>6</v>
      </c>
      <c r="AZ130" s="76">
        <f>'[8]COM 55 &amp; 65'!$S215</f>
        <v>497.9</v>
      </c>
      <c r="BA130" s="76">
        <f t="shared" si="107"/>
        <v>485.1</v>
      </c>
      <c r="BB130" s="362">
        <f t="shared" si="101"/>
        <v>-12.799999999999955</v>
      </c>
      <c r="BC130" s="362"/>
      <c r="BD130" s="76">
        <f>'[8]COM 55 &amp; 65'!$J215</f>
        <v>0</v>
      </c>
      <c r="BE130" s="76">
        <f t="shared" si="108"/>
        <v>0</v>
      </c>
      <c r="BF130" s="363">
        <f t="shared" si="102"/>
        <v>0</v>
      </c>
      <c r="BG130" s="244"/>
      <c r="BH130" s="244">
        <f t="shared" si="96"/>
        <v>-8741.2479999999687</v>
      </c>
      <c r="BI130" s="242">
        <f t="shared" si="97"/>
        <v>0</v>
      </c>
      <c r="BJ130" s="242"/>
      <c r="BK130" s="241">
        <f t="shared" si="98"/>
        <v>-8741</v>
      </c>
      <c r="BL130" s="262"/>
      <c r="BM130" s="36" t="s">
        <v>18</v>
      </c>
      <c r="BN130" s="4">
        <v>1993</v>
      </c>
      <c r="BO130" s="4">
        <v>6</v>
      </c>
    </row>
    <row r="131" spans="1:72" ht="12.75" customHeight="1">
      <c r="A131" s="22">
        <v>1993</v>
      </c>
      <c r="B131" s="4">
        <v>7</v>
      </c>
      <c r="C131" s="5">
        <v>752628</v>
      </c>
      <c r="D131" s="5">
        <v>120182</v>
      </c>
      <c r="E131" s="74">
        <f t="shared" si="85"/>
        <v>6262.4</v>
      </c>
      <c r="G131" s="347"/>
      <c r="J131" s="574">
        <f t="shared" si="99"/>
        <v>120182</v>
      </c>
      <c r="K131" s="4">
        <f>'[7]COM 55 &amp; 65'!$S216</f>
        <v>519.70000000000005</v>
      </c>
      <c r="L131" s="4">
        <f t="shared" si="105"/>
        <v>516.1</v>
      </c>
      <c r="M131" s="44">
        <f t="shared" si="110"/>
        <v>-3.6000000000000227</v>
      </c>
      <c r="N131" s="4">
        <f>'[7]COM 55 &amp; 65'!$J216</f>
        <v>0</v>
      </c>
      <c r="O131" s="4">
        <f t="shared" si="103"/>
        <v>0</v>
      </c>
      <c r="P131" s="41">
        <f t="shared" si="111"/>
        <v>0</v>
      </c>
      <c r="Q131" s="474">
        <f t="shared" si="88"/>
        <v>-2458.4760000000156</v>
      </c>
      <c r="R131" s="472">
        <f t="shared" si="89"/>
        <v>0</v>
      </c>
      <c r="S131" s="241">
        <f t="shared" si="90"/>
        <v>-2458</v>
      </c>
      <c r="T131" s="13" t="s">
        <v>18</v>
      </c>
      <c r="U131" s="4">
        <v>1993</v>
      </c>
      <c r="V131" s="4">
        <v>7</v>
      </c>
      <c r="W131" s="242">
        <f t="shared" si="91"/>
        <v>6241.9497096070954</v>
      </c>
      <c r="X131" s="131">
        <f t="shared" si="112"/>
        <v>-73.852805944206011</v>
      </c>
      <c r="Z131" s="175">
        <f t="shared" si="92"/>
        <v>750170</v>
      </c>
      <c r="AA131" s="12">
        <f t="shared" si="93"/>
        <v>-2458</v>
      </c>
      <c r="AB131" s="379">
        <f t="shared" si="100"/>
        <v>750170</v>
      </c>
      <c r="AC131" s="107">
        <f>RESID!AC131</f>
        <v>30.65</v>
      </c>
      <c r="AD131" s="243">
        <f t="shared" si="94"/>
        <v>746980.2</v>
      </c>
      <c r="AE131" s="243">
        <f t="shared" si="104"/>
        <v>7101.5999999999767</v>
      </c>
      <c r="AG131" s="4">
        <f t="shared" si="95"/>
        <v>744541</v>
      </c>
      <c r="AX131" s="4">
        <v>1993</v>
      </c>
      <c r="AY131" s="4">
        <v>7</v>
      </c>
      <c r="AZ131" s="76">
        <f>'[8]COM 55 &amp; 65'!$S216</f>
        <v>575.70000000000005</v>
      </c>
      <c r="BA131" s="76">
        <f t="shared" si="107"/>
        <v>546.1</v>
      </c>
      <c r="BB131" s="362">
        <f t="shared" si="101"/>
        <v>-29.600000000000023</v>
      </c>
      <c r="BC131" s="362"/>
      <c r="BD131" s="76">
        <f>'[8]COM 55 &amp; 65'!$J216</f>
        <v>0</v>
      </c>
      <c r="BE131" s="76">
        <f t="shared" si="108"/>
        <v>0</v>
      </c>
      <c r="BF131" s="363">
        <f t="shared" si="102"/>
        <v>0</v>
      </c>
      <c r="BG131" s="244"/>
      <c r="BH131" s="244">
        <f t="shared" si="96"/>
        <v>-20214.136000000013</v>
      </c>
      <c r="BI131" s="242">
        <f t="shared" si="97"/>
        <v>0</v>
      </c>
      <c r="BJ131" s="242"/>
      <c r="BK131" s="241">
        <f t="shared" si="98"/>
        <v>-20214</v>
      </c>
      <c r="BL131" s="262"/>
      <c r="BM131" s="36" t="s">
        <v>18</v>
      </c>
      <c r="BN131" s="4">
        <v>1993</v>
      </c>
      <c r="BO131" s="4">
        <v>7</v>
      </c>
    </row>
    <row r="132" spans="1:72" ht="12.75" customHeight="1">
      <c r="A132" s="22">
        <v>1993</v>
      </c>
      <c r="B132" s="4">
        <v>8</v>
      </c>
      <c r="C132" s="5">
        <v>811379</v>
      </c>
      <c r="D132" s="5">
        <v>120365</v>
      </c>
      <c r="E132" s="74">
        <f t="shared" si="85"/>
        <v>6741</v>
      </c>
      <c r="G132" s="347"/>
      <c r="J132" s="574">
        <f t="shared" si="99"/>
        <v>120365</v>
      </c>
      <c r="K132" s="4">
        <f>'[7]COM 55 &amp; 65'!$S217</f>
        <v>592.70000000000005</v>
      </c>
      <c r="L132" s="4">
        <f t="shared" si="105"/>
        <v>542</v>
      </c>
      <c r="M132" s="44">
        <f t="shared" si="110"/>
        <v>-50.700000000000045</v>
      </c>
      <c r="N132" s="4">
        <f>'[7]COM 55 &amp; 65'!$J217</f>
        <v>0</v>
      </c>
      <c r="O132" s="4">
        <f t="shared" si="103"/>
        <v>0</v>
      </c>
      <c r="P132" s="41">
        <f t="shared" si="111"/>
        <v>0</v>
      </c>
      <c r="Q132" s="474">
        <f t="shared" si="88"/>
        <v>-34623.537000000033</v>
      </c>
      <c r="R132" s="472">
        <f t="shared" si="89"/>
        <v>0</v>
      </c>
      <c r="S132" s="241">
        <f t="shared" si="90"/>
        <v>-34624</v>
      </c>
      <c r="T132" s="13" t="s">
        <v>18</v>
      </c>
      <c r="U132" s="4">
        <v>1993</v>
      </c>
      <c r="V132" s="4">
        <v>8</v>
      </c>
      <c r="W132" s="242">
        <f t="shared" si="91"/>
        <v>6453.3294562372785</v>
      </c>
      <c r="X132" s="131">
        <f t="shared" si="112"/>
        <v>82.395129380603066</v>
      </c>
      <c r="Z132" s="175">
        <f t="shared" si="92"/>
        <v>776755</v>
      </c>
      <c r="AA132" s="12">
        <f t="shared" si="93"/>
        <v>-34624</v>
      </c>
      <c r="AB132" s="379">
        <f t="shared" si="100"/>
        <v>776755</v>
      </c>
      <c r="AC132" s="107">
        <f>RESID!AC132</f>
        <v>31.15</v>
      </c>
      <c r="AD132" s="243">
        <f t="shared" si="94"/>
        <v>792364.3</v>
      </c>
      <c r="AE132" s="243">
        <f t="shared" si="104"/>
        <v>44268.400000000023</v>
      </c>
      <c r="AG132" s="4">
        <f t="shared" si="95"/>
        <v>758552</v>
      </c>
      <c r="AX132" s="4">
        <v>1993</v>
      </c>
      <c r="AY132" s="4">
        <v>8</v>
      </c>
      <c r="AZ132" s="76">
        <f>'[8]COM 55 &amp; 65'!$S217</f>
        <v>564.20000000000005</v>
      </c>
      <c r="BA132" s="76">
        <f t="shared" si="107"/>
        <v>549</v>
      </c>
      <c r="BB132" s="362">
        <f t="shared" si="101"/>
        <v>-15.200000000000045</v>
      </c>
      <c r="BC132" s="362"/>
      <c r="BD132" s="76">
        <f>'[8]COM 55 &amp; 65'!$J217</f>
        <v>0</v>
      </c>
      <c r="BE132" s="76">
        <f t="shared" si="108"/>
        <v>0</v>
      </c>
      <c r="BF132" s="363">
        <f t="shared" si="102"/>
        <v>0</v>
      </c>
      <c r="BG132" s="244"/>
      <c r="BH132" s="244">
        <f t="shared" si="96"/>
        <v>-10380.232000000031</v>
      </c>
      <c r="BI132" s="242">
        <f t="shared" si="97"/>
        <v>0</v>
      </c>
      <c r="BJ132" s="242"/>
      <c r="BK132" s="241">
        <f t="shared" si="98"/>
        <v>-10380</v>
      </c>
      <c r="BL132" s="262"/>
      <c r="BM132" s="36" t="s">
        <v>18</v>
      </c>
      <c r="BN132" s="4">
        <v>1993</v>
      </c>
      <c r="BO132" s="4">
        <v>8</v>
      </c>
    </row>
    <row r="133" spans="1:72" ht="12.75" customHeight="1">
      <c r="A133" s="22">
        <v>1993</v>
      </c>
      <c r="B133" s="4">
        <v>9</v>
      </c>
      <c r="C133" s="5">
        <v>778621</v>
      </c>
      <c r="D133" s="5">
        <v>120809</v>
      </c>
      <c r="E133" s="74">
        <f t="shared" si="85"/>
        <v>6445.1</v>
      </c>
      <c r="G133" s="347"/>
      <c r="J133" s="574">
        <f t="shared" si="99"/>
        <v>120809</v>
      </c>
      <c r="K133" s="4">
        <f>'[7]COM 55 &amp; 65'!$S218</f>
        <v>526.70000000000005</v>
      </c>
      <c r="L133" s="4">
        <f t="shared" si="105"/>
        <v>531.20000000000005</v>
      </c>
      <c r="M133" s="44">
        <f t="shared" si="110"/>
        <v>4.5</v>
      </c>
      <c r="N133" s="4">
        <f>'[7]COM 55 &amp; 65'!$J218</f>
        <v>0</v>
      </c>
      <c r="O133" s="4">
        <f t="shared" si="103"/>
        <v>0</v>
      </c>
      <c r="P133" s="41">
        <f t="shared" si="111"/>
        <v>0</v>
      </c>
      <c r="Q133" s="474">
        <f t="shared" si="88"/>
        <v>3073.0949999999998</v>
      </c>
      <c r="R133" s="472">
        <f t="shared" si="89"/>
        <v>0</v>
      </c>
      <c r="S133" s="241">
        <f t="shared" si="90"/>
        <v>3073</v>
      </c>
      <c r="T133" s="13" t="s">
        <v>18</v>
      </c>
      <c r="U133" s="4">
        <v>1993</v>
      </c>
      <c r="V133" s="4">
        <v>9</v>
      </c>
      <c r="W133" s="242">
        <f t="shared" si="91"/>
        <v>6470.4947479078546</v>
      </c>
      <c r="X133" s="131">
        <f t="shared" si="112"/>
        <v>197.43327333504476</v>
      </c>
      <c r="Z133" s="175">
        <f t="shared" si="92"/>
        <v>781694</v>
      </c>
      <c r="AA133" s="12">
        <f t="shared" si="93"/>
        <v>3073</v>
      </c>
      <c r="AB133" s="379">
        <f t="shared" si="100"/>
        <v>781694</v>
      </c>
      <c r="AC133" s="107">
        <f>RESID!AC133</f>
        <v>30.3</v>
      </c>
      <c r="AD133" s="243">
        <f t="shared" si="94"/>
        <v>781704.6</v>
      </c>
      <c r="AE133" s="243">
        <f t="shared" si="104"/>
        <v>55510.29999999993</v>
      </c>
      <c r="AG133" s="4">
        <f t="shared" si="95"/>
        <v>784790</v>
      </c>
      <c r="AX133" s="4">
        <v>1993</v>
      </c>
      <c r="AY133" s="4">
        <v>9</v>
      </c>
      <c r="AZ133" s="76">
        <f>'[8]COM 55 &amp; 65'!$S218</f>
        <v>490.5</v>
      </c>
      <c r="BA133" s="76">
        <f t="shared" si="107"/>
        <v>487.9</v>
      </c>
      <c r="BB133" s="362">
        <f t="shared" si="101"/>
        <v>-2.6000000000000227</v>
      </c>
      <c r="BC133" s="362"/>
      <c r="BD133" s="76">
        <f>'[8]COM 55 &amp; 65'!$J218</f>
        <v>0.1</v>
      </c>
      <c r="BE133" s="76">
        <f t="shared" si="108"/>
        <v>0</v>
      </c>
      <c r="BF133" s="363">
        <f t="shared" si="102"/>
        <v>-0.1</v>
      </c>
      <c r="BG133" s="244"/>
      <c r="BH133" s="244">
        <f t="shared" si="96"/>
        <v>-1775.5660000000155</v>
      </c>
      <c r="BI133" s="242">
        <f t="shared" si="97"/>
        <v>-65.934000000000012</v>
      </c>
      <c r="BJ133" s="242"/>
      <c r="BK133" s="241">
        <f t="shared" si="98"/>
        <v>-1842</v>
      </c>
      <c r="BL133" s="262"/>
      <c r="BM133" s="36" t="s">
        <v>18</v>
      </c>
      <c r="BN133" s="4">
        <v>1993</v>
      </c>
      <c r="BO133" s="4">
        <v>9</v>
      </c>
    </row>
    <row r="134" spans="1:72" ht="12.75" customHeight="1">
      <c r="A134" s="22">
        <v>1993</v>
      </c>
      <c r="B134" s="4">
        <v>10</v>
      </c>
      <c r="C134" s="5">
        <v>718655</v>
      </c>
      <c r="D134" s="5">
        <v>121191</v>
      </c>
      <c r="E134" s="74">
        <f t="shared" si="85"/>
        <v>5929.9</v>
      </c>
      <c r="G134" s="347"/>
      <c r="J134" s="574">
        <f t="shared" si="99"/>
        <v>121191</v>
      </c>
      <c r="K134" s="4">
        <f>'[7]COM 55 &amp; 65'!$S219</f>
        <v>427.4</v>
      </c>
      <c r="L134" s="4">
        <f t="shared" si="105"/>
        <v>431.2</v>
      </c>
      <c r="M134" s="44">
        <f t="shared" si="110"/>
        <v>3.8000000000000114</v>
      </c>
      <c r="N134" s="4">
        <f>'[7]COM 55 &amp; 65'!$J219</f>
        <v>0.4</v>
      </c>
      <c r="O134" s="4">
        <f t="shared" si="103"/>
        <v>0.2</v>
      </c>
      <c r="P134" s="41">
        <f t="shared" si="111"/>
        <v>-0.2</v>
      </c>
      <c r="Q134" s="474">
        <f t="shared" si="88"/>
        <v>2595.0580000000077</v>
      </c>
      <c r="R134" s="472">
        <f t="shared" si="89"/>
        <v>-131.86800000000002</v>
      </c>
      <c r="S134" s="241">
        <f t="shared" si="90"/>
        <v>2463</v>
      </c>
      <c r="T134" s="13" t="s">
        <v>18</v>
      </c>
      <c r="U134" s="4">
        <v>1993</v>
      </c>
      <c r="V134" s="4">
        <v>10</v>
      </c>
      <c r="W134" s="242">
        <f t="shared" si="91"/>
        <v>5950.2603328630012</v>
      </c>
      <c r="X134" s="131">
        <f t="shared" si="112"/>
        <v>16.150354477446854</v>
      </c>
      <c r="Z134" s="175">
        <f t="shared" si="92"/>
        <v>721118</v>
      </c>
      <c r="AA134" s="12">
        <f t="shared" si="93"/>
        <v>2463</v>
      </c>
      <c r="AB134" s="379">
        <f t="shared" si="100"/>
        <v>721118</v>
      </c>
      <c r="AC134" s="107">
        <f>RESID!AC134</f>
        <v>29.9</v>
      </c>
      <c r="AD134" s="243">
        <f t="shared" si="94"/>
        <v>731153.3</v>
      </c>
      <c r="AE134" s="243">
        <f t="shared" si="104"/>
        <v>42226.100000000093</v>
      </c>
      <c r="AG134" s="4">
        <f t="shared" si="95"/>
        <v>733659</v>
      </c>
      <c r="AX134" s="4">
        <v>1993</v>
      </c>
      <c r="AY134" s="4">
        <v>10</v>
      </c>
      <c r="AZ134" s="76">
        <f>'[8]COM 55 &amp; 65'!$S219</f>
        <v>325</v>
      </c>
      <c r="BA134" s="76">
        <f t="shared" si="107"/>
        <v>332.5</v>
      </c>
      <c r="BB134" s="362">
        <f t="shared" si="101"/>
        <v>7.5</v>
      </c>
      <c r="BC134" s="362"/>
      <c r="BD134" s="76">
        <f>'[8]COM 55 &amp; 65'!$J219</f>
        <v>2.9</v>
      </c>
      <c r="BE134" s="76">
        <f t="shared" si="108"/>
        <v>2</v>
      </c>
      <c r="BF134" s="363">
        <f t="shared" si="102"/>
        <v>-0.89999999999999991</v>
      </c>
      <c r="BG134" s="244"/>
      <c r="BH134" s="244">
        <f t="shared" si="96"/>
        <v>5121.8249999999998</v>
      </c>
      <c r="BI134" s="242">
        <f t="shared" si="97"/>
        <v>-593.40599999999995</v>
      </c>
      <c r="BJ134" s="242"/>
      <c r="BK134" s="241">
        <f t="shared" si="98"/>
        <v>4528</v>
      </c>
      <c r="BL134" s="262"/>
      <c r="BM134" s="36" t="s">
        <v>18</v>
      </c>
      <c r="BN134" s="4">
        <v>1993</v>
      </c>
      <c r="BO134" s="4">
        <v>10</v>
      </c>
    </row>
    <row r="135" spans="1:72" ht="12.75" customHeight="1">
      <c r="A135" s="22">
        <v>1993</v>
      </c>
      <c r="B135" s="4">
        <v>11</v>
      </c>
      <c r="C135" s="5">
        <v>641283</v>
      </c>
      <c r="D135" s="5">
        <v>120762</v>
      </c>
      <c r="E135" s="74">
        <f t="shared" si="85"/>
        <v>5310.3</v>
      </c>
      <c r="G135" s="347"/>
      <c r="J135" s="574">
        <f t="shared" si="99"/>
        <v>120762</v>
      </c>
      <c r="K135" s="4">
        <f>'[7]COM 55 &amp; 65'!$S220</f>
        <v>254.4</v>
      </c>
      <c r="L135" s="4">
        <f t="shared" si="105"/>
        <v>251.9</v>
      </c>
      <c r="M135" s="44">
        <f t="shared" si="110"/>
        <v>-2.5</v>
      </c>
      <c r="N135" s="4">
        <f>'[7]COM 55 &amp; 65'!$J220</f>
        <v>11.7</v>
      </c>
      <c r="O135" s="4">
        <f t="shared" si="103"/>
        <v>6.3</v>
      </c>
      <c r="P135" s="41">
        <f t="shared" si="111"/>
        <v>-5.3999999999999995</v>
      </c>
      <c r="Q135" s="474">
        <f t="shared" si="88"/>
        <v>-1707.2749999999999</v>
      </c>
      <c r="R135" s="472">
        <f t="shared" si="89"/>
        <v>-3560.4359999999997</v>
      </c>
      <c r="S135" s="241">
        <f t="shared" si="90"/>
        <v>-5268</v>
      </c>
      <c r="T135" s="13" t="s">
        <v>18</v>
      </c>
      <c r="U135" s="4">
        <v>1993</v>
      </c>
      <c r="V135" s="4">
        <v>11</v>
      </c>
      <c r="W135" s="242">
        <f t="shared" si="91"/>
        <v>5266.6815720176874</v>
      </c>
      <c r="X135" s="131">
        <f t="shared" si="112"/>
        <v>-45.706402735750999</v>
      </c>
      <c r="Z135" s="175">
        <f t="shared" si="92"/>
        <v>636015</v>
      </c>
      <c r="AA135" s="12">
        <f t="shared" si="93"/>
        <v>-5268</v>
      </c>
      <c r="AB135" s="379">
        <f t="shared" si="100"/>
        <v>636015</v>
      </c>
      <c r="AC135" s="107">
        <f>RESID!AC135</f>
        <v>30.05</v>
      </c>
      <c r="AD135" s="243">
        <f t="shared" si="94"/>
        <v>649179</v>
      </c>
      <c r="AE135" s="243">
        <f t="shared" si="104"/>
        <v>33190.199999999953</v>
      </c>
      <c r="AG135" s="4">
        <f t="shared" si="95"/>
        <v>643846</v>
      </c>
      <c r="AX135" s="4">
        <v>1993</v>
      </c>
      <c r="AY135" s="4">
        <v>11</v>
      </c>
      <c r="AZ135" s="76">
        <f>'[8]COM 55 &amp; 65'!$S220</f>
        <v>155.6</v>
      </c>
      <c r="BA135" s="76">
        <f t="shared" si="107"/>
        <v>146</v>
      </c>
      <c r="BB135" s="362">
        <f t="shared" si="101"/>
        <v>-9.5999999999999943</v>
      </c>
      <c r="BC135" s="362"/>
      <c r="BD135" s="76">
        <f>'[8]COM 55 &amp; 65'!$J220</f>
        <v>18.100000000000001</v>
      </c>
      <c r="BE135" s="76">
        <f t="shared" si="108"/>
        <v>14</v>
      </c>
      <c r="BF135" s="363">
        <f t="shared" si="102"/>
        <v>-4.1000000000000014</v>
      </c>
      <c r="BG135" s="244"/>
      <c r="BH135" s="244">
        <f t="shared" si="96"/>
        <v>-6555.9359999999961</v>
      </c>
      <c r="BI135" s="242">
        <f t="shared" si="97"/>
        <v>-2703.2940000000012</v>
      </c>
      <c r="BJ135" s="242"/>
      <c r="BK135" s="241">
        <f t="shared" si="98"/>
        <v>-9259</v>
      </c>
      <c r="BL135" s="262"/>
      <c r="BM135" s="36" t="s">
        <v>18</v>
      </c>
      <c r="BN135" s="4">
        <v>1993</v>
      </c>
      <c r="BO135" s="4">
        <v>11</v>
      </c>
    </row>
    <row r="136" spans="1:72" s="89" customFormat="1" ht="12.75" customHeight="1">
      <c r="A136" s="225">
        <v>1993</v>
      </c>
      <c r="B136" s="89">
        <v>12</v>
      </c>
      <c r="C136" s="103">
        <v>635171</v>
      </c>
      <c r="D136" s="103">
        <v>121473</v>
      </c>
      <c r="E136" s="109">
        <f t="shared" si="85"/>
        <v>5228.8999999999996</v>
      </c>
      <c r="F136" s="90"/>
      <c r="G136" s="348"/>
      <c r="J136" s="575">
        <f t="shared" si="99"/>
        <v>121473</v>
      </c>
      <c r="K136" s="89">
        <f>'[7]COM 55 &amp; 65'!$S221</f>
        <v>126.5</v>
      </c>
      <c r="L136" s="89">
        <f t="shared" si="105"/>
        <v>119.4</v>
      </c>
      <c r="M136" s="93">
        <f t="shared" si="110"/>
        <v>-7.0999999999999943</v>
      </c>
      <c r="N136" s="89">
        <f>'[7]COM 55 &amp; 65'!$J221</f>
        <v>25.6</v>
      </c>
      <c r="O136" s="89">
        <f t="shared" si="103"/>
        <v>30.1</v>
      </c>
      <c r="P136" s="94">
        <f t="shared" si="111"/>
        <v>4.5</v>
      </c>
      <c r="Q136" s="475">
        <f t="shared" si="88"/>
        <v>-4848.6609999999955</v>
      </c>
      <c r="R136" s="473">
        <f t="shared" si="89"/>
        <v>2967.03</v>
      </c>
      <c r="S136" s="329">
        <f t="shared" si="90"/>
        <v>-1882</v>
      </c>
      <c r="T136" s="90" t="s">
        <v>18</v>
      </c>
      <c r="U136" s="89">
        <v>1993</v>
      </c>
      <c r="V136" s="89">
        <v>12</v>
      </c>
      <c r="W136" s="328">
        <f t="shared" si="91"/>
        <v>5213.4136804063455</v>
      </c>
      <c r="X136" s="133">
        <f t="shared" si="112"/>
        <v>304.97314817870392</v>
      </c>
      <c r="Z136" s="176">
        <f t="shared" si="92"/>
        <v>633289</v>
      </c>
      <c r="AA136" s="105">
        <f t="shared" si="93"/>
        <v>-1882</v>
      </c>
      <c r="AB136" s="517">
        <f t="shared" si="100"/>
        <v>633289</v>
      </c>
      <c r="AC136" s="110">
        <f>RESID!AC136</f>
        <v>31.7</v>
      </c>
      <c r="AD136" s="331">
        <f t="shared" si="94"/>
        <v>609523.69999999995</v>
      </c>
      <c r="AE136" s="331">
        <f t="shared" si="104"/>
        <v>35217.099999999977</v>
      </c>
      <c r="AG136" s="89">
        <f t="shared" si="95"/>
        <v>607718</v>
      </c>
      <c r="AX136" s="89">
        <v>1993</v>
      </c>
      <c r="AY136" s="89">
        <v>12</v>
      </c>
      <c r="AZ136" s="92">
        <f>'[8]COM 55 &amp; 65'!$S221</f>
        <v>40.200000000000003</v>
      </c>
      <c r="BA136" s="92">
        <f t="shared" si="107"/>
        <v>75.7</v>
      </c>
      <c r="BB136" s="364">
        <f t="shared" si="101"/>
        <v>35.5</v>
      </c>
      <c r="BC136" s="364"/>
      <c r="BD136" s="92">
        <f>'[8]COM 55 &amp; 65'!$J221</f>
        <v>74.7</v>
      </c>
      <c r="BE136" s="92">
        <f t="shared" si="108"/>
        <v>44.3</v>
      </c>
      <c r="BF136" s="365">
        <f t="shared" si="102"/>
        <v>-30.400000000000006</v>
      </c>
      <c r="BG136" s="327"/>
      <c r="BH136" s="327">
        <f t="shared" si="96"/>
        <v>24243.305</v>
      </c>
      <c r="BI136" s="328">
        <f t="shared" si="97"/>
        <v>-20043.936000000005</v>
      </c>
      <c r="BJ136" s="328"/>
      <c r="BK136" s="329">
        <f t="shared" si="98"/>
        <v>4199</v>
      </c>
      <c r="BL136" s="332"/>
      <c r="BM136" s="113" t="s">
        <v>18</v>
      </c>
      <c r="BN136" s="89">
        <v>1993</v>
      </c>
      <c r="BO136" s="89">
        <v>12</v>
      </c>
      <c r="BT136" s="96"/>
    </row>
    <row r="137" spans="1:72" ht="12.75" customHeight="1">
      <c r="A137" s="22">
        <v>1994</v>
      </c>
      <c r="B137" s="4">
        <v>1</v>
      </c>
      <c r="C137" s="5">
        <v>570422</v>
      </c>
      <c r="D137" s="5">
        <v>121501</v>
      </c>
      <c r="E137" s="74">
        <f t="shared" si="85"/>
        <v>4694.8</v>
      </c>
      <c r="G137" s="347"/>
      <c r="H137" s="13"/>
      <c r="I137" s="13"/>
      <c r="J137" s="574">
        <f t="shared" si="99"/>
        <v>121501</v>
      </c>
      <c r="K137" s="4">
        <f>'[7]COM 55 &amp; 65'!$S222</f>
        <v>28.4</v>
      </c>
      <c r="L137" s="4">
        <f t="shared" si="105"/>
        <v>70.8</v>
      </c>
      <c r="M137" s="44">
        <f t="shared" si="110"/>
        <v>42.4</v>
      </c>
      <c r="N137" s="4">
        <f>'[7]COM 55 &amp; 65'!$J222</f>
        <v>83.6</v>
      </c>
      <c r="O137" s="4">
        <f t="shared" si="103"/>
        <v>54.9</v>
      </c>
      <c r="P137" s="41">
        <f t="shared" si="111"/>
        <v>-28.699999999999996</v>
      </c>
      <c r="Q137" s="474">
        <f t="shared" si="88"/>
        <v>28955.383999999998</v>
      </c>
      <c r="R137" s="472">
        <f t="shared" si="89"/>
        <v>-18923.057999999997</v>
      </c>
      <c r="S137" s="241">
        <f t="shared" si="90"/>
        <v>10032</v>
      </c>
      <c r="T137" s="13" t="s">
        <v>18</v>
      </c>
      <c r="U137" s="4">
        <v>1994</v>
      </c>
      <c r="V137" s="4">
        <v>1</v>
      </c>
      <c r="W137" s="242">
        <f t="shared" si="91"/>
        <v>4777.3598571205175</v>
      </c>
      <c r="X137" s="131">
        <f t="shared" si="112"/>
        <v>-113.40522917795442</v>
      </c>
      <c r="Z137" s="175">
        <f t="shared" si="92"/>
        <v>580454</v>
      </c>
      <c r="AA137" s="12">
        <f t="shared" si="93"/>
        <v>10032</v>
      </c>
      <c r="AB137" s="379">
        <f t="shared" si="100"/>
        <v>580454</v>
      </c>
      <c r="AC137" s="107">
        <f>RESID!AC137</f>
        <v>30.65</v>
      </c>
      <c r="AD137" s="243">
        <f t="shared" si="94"/>
        <v>566141.5</v>
      </c>
      <c r="AE137" s="243">
        <f t="shared" si="104"/>
        <v>5150.9000000000233</v>
      </c>
      <c r="AG137" s="4">
        <f t="shared" si="95"/>
        <v>576098</v>
      </c>
      <c r="AX137" s="4">
        <v>1994</v>
      </c>
      <c r="AY137" s="4">
        <v>1</v>
      </c>
      <c r="AZ137" s="76">
        <f>'[8]COM 55 &amp; 65'!$S222</f>
        <v>47</v>
      </c>
      <c r="BA137" s="76">
        <f t="shared" si="107"/>
        <v>72.3</v>
      </c>
      <c r="BB137" s="362">
        <f t="shared" si="101"/>
        <v>25.299999999999997</v>
      </c>
      <c r="BC137" s="362"/>
      <c r="BD137" s="76">
        <f>'[8]COM 55 &amp; 65'!$J222</f>
        <v>63.2</v>
      </c>
      <c r="BE137" s="76">
        <f t="shared" si="108"/>
        <v>52.4</v>
      </c>
      <c r="BF137" s="363">
        <f t="shared" si="102"/>
        <v>-10.800000000000004</v>
      </c>
      <c r="BG137" s="244"/>
      <c r="BH137" s="244">
        <f t="shared" si="96"/>
        <v>17277.622999999996</v>
      </c>
      <c r="BI137" s="242">
        <f t="shared" si="97"/>
        <v>-7120.872000000003</v>
      </c>
      <c r="BJ137" s="242"/>
      <c r="BK137" s="241">
        <f t="shared" si="98"/>
        <v>10157</v>
      </c>
      <c r="BL137" s="262"/>
      <c r="BM137" s="36" t="s">
        <v>18</v>
      </c>
      <c r="BN137" s="4">
        <v>1994</v>
      </c>
      <c r="BO137" s="4">
        <v>1</v>
      </c>
    </row>
    <row r="138" spans="1:72" ht="12.75" customHeight="1">
      <c r="A138" s="22">
        <v>1994</v>
      </c>
      <c r="B138" s="4">
        <v>2</v>
      </c>
      <c r="C138" s="5">
        <v>567731</v>
      </c>
      <c r="D138" s="5">
        <v>121782</v>
      </c>
      <c r="E138" s="74">
        <f t="shared" si="85"/>
        <v>4661.8999999999996</v>
      </c>
      <c r="G138" s="347"/>
      <c r="H138" s="13"/>
      <c r="I138" s="13"/>
      <c r="J138" s="574">
        <f t="shared" si="99"/>
        <v>121782</v>
      </c>
      <c r="K138" s="4">
        <f>'[7]COM 55 &amp; 65'!$S223</f>
        <v>70.7</v>
      </c>
      <c r="L138" s="4">
        <f t="shared" si="105"/>
        <v>62.7</v>
      </c>
      <c r="M138" s="44">
        <f t="shared" si="110"/>
        <v>-8</v>
      </c>
      <c r="N138" s="4">
        <f>'[7]COM 55 &amp; 65'!$J223</f>
        <v>54.1</v>
      </c>
      <c r="O138" s="4">
        <f t="shared" si="103"/>
        <v>46.9</v>
      </c>
      <c r="P138" s="41">
        <f t="shared" si="111"/>
        <v>-7.2000000000000028</v>
      </c>
      <c r="Q138" s="474">
        <f t="shared" si="88"/>
        <v>-5463.28</v>
      </c>
      <c r="R138" s="472">
        <f t="shared" si="89"/>
        <v>-4747.2480000000023</v>
      </c>
      <c r="S138" s="241">
        <f t="shared" si="90"/>
        <v>-10211</v>
      </c>
      <c r="T138" s="13" t="s">
        <v>18</v>
      </c>
      <c r="U138" s="4">
        <v>1994</v>
      </c>
      <c r="V138" s="4">
        <v>2</v>
      </c>
      <c r="W138" s="242">
        <f t="shared" si="91"/>
        <v>4578.0164556338368</v>
      </c>
      <c r="X138" s="131">
        <f t="shared" si="112"/>
        <v>-69.138650249314196</v>
      </c>
      <c r="Z138" s="175">
        <f t="shared" si="92"/>
        <v>557520</v>
      </c>
      <c r="AA138" s="12">
        <f t="shared" si="93"/>
        <v>-10211</v>
      </c>
      <c r="AB138" s="379">
        <f t="shared" si="100"/>
        <v>557520</v>
      </c>
      <c r="AC138" s="107">
        <f>RESID!AC138</f>
        <v>29.4</v>
      </c>
      <c r="AD138" s="243">
        <f t="shared" si="94"/>
        <v>587427.80000000005</v>
      </c>
      <c r="AE138" s="243">
        <f t="shared" si="104"/>
        <v>31293.600000000093</v>
      </c>
      <c r="AG138" s="4">
        <f t="shared" si="95"/>
        <v>576863</v>
      </c>
      <c r="AX138" s="4">
        <v>1994</v>
      </c>
      <c r="AY138" s="4">
        <v>2</v>
      </c>
      <c r="AZ138" s="76">
        <f>'[8]COM 55 &amp; 65'!$S223</f>
        <v>112.9</v>
      </c>
      <c r="BA138" s="76">
        <f t="shared" si="107"/>
        <v>82.6</v>
      </c>
      <c r="BB138" s="362">
        <f t="shared" si="101"/>
        <v>-30.300000000000011</v>
      </c>
      <c r="BC138" s="362"/>
      <c r="BD138" s="76">
        <f>'[8]COM 55 &amp; 65'!$J223</f>
        <v>25.7</v>
      </c>
      <c r="BE138" s="76">
        <f t="shared" si="108"/>
        <v>36.5</v>
      </c>
      <c r="BF138" s="363">
        <f t="shared" si="102"/>
        <v>10.8</v>
      </c>
      <c r="BG138" s="244"/>
      <c r="BH138" s="244">
        <f t="shared" si="96"/>
        <v>-20692.173000000006</v>
      </c>
      <c r="BI138" s="242">
        <f t="shared" si="97"/>
        <v>7120.8720000000012</v>
      </c>
      <c r="BJ138" s="242"/>
      <c r="BK138" s="241">
        <f t="shared" si="98"/>
        <v>-13571</v>
      </c>
      <c r="BL138" s="262"/>
      <c r="BM138" s="36" t="s">
        <v>18</v>
      </c>
      <c r="BN138" s="4">
        <v>1994</v>
      </c>
      <c r="BO138" s="4">
        <v>2</v>
      </c>
    </row>
    <row r="139" spans="1:72" ht="12.75" customHeight="1">
      <c r="A139" s="22">
        <v>1994</v>
      </c>
      <c r="B139" s="4">
        <v>3</v>
      </c>
      <c r="C139" s="5">
        <v>585523</v>
      </c>
      <c r="D139" s="5">
        <v>122229</v>
      </c>
      <c r="E139" s="74">
        <f t="shared" si="85"/>
        <v>4790.3999999999996</v>
      </c>
      <c r="G139" s="347"/>
      <c r="H139" s="13"/>
      <c r="I139" s="13"/>
      <c r="J139" s="574">
        <f t="shared" si="99"/>
        <v>122229</v>
      </c>
      <c r="K139" s="4">
        <f>'[7]COM 55 &amp; 65'!$S224</f>
        <v>115.4</v>
      </c>
      <c r="L139" s="4">
        <f t="shared" si="105"/>
        <v>105.4</v>
      </c>
      <c r="M139" s="44">
        <f t="shared" si="110"/>
        <v>-10</v>
      </c>
      <c r="N139" s="4">
        <f>'[7]COM 55 &amp; 65'!$J224</f>
        <v>16.3</v>
      </c>
      <c r="O139" s="4">
        <f t="shared" si="103"/>
        <v>26.8</v>
      </c>
      <c r="P139" s="41">
        <f t="shared" si="111"/>
        <v>10.5</v>
      </c>
      <c r="Q139" s="474">
        <f t="shared" si="88"/>
        <v>-6829.0999999999995</v>
      </c>
      <c r="R139" s="472">
        <f t="shared" si="89"/>
        <v>6923.0700000000006</v>
      </c>
      <c r="S139" s="241">
        <f t="shared" si="90"/>
        <v>94</v>
      </c>
      <c r="T139" s="13" t="s">
        <v>18</v>
      </c>
      <c r="U139" s="4">
        <v>1994</v>
      </c>
      <c r="V139" s="4">
        <v>3</v>
      </c>
      <c r="W139" s="242">
        <f t="shared" si="91"/>
        <v>4791.1461273511195</v>
      </c>
      <c r="X139" s="131">
        <f t="shared" si="112"/>
        <v>-0.76163159044244821</v>
      </c>
      <c r="Z139" s="175">
        <f t="shared" si="92"/>
        <v>585617</v>
      </c>
      <c r="AA139" s="12">
        <f t="shared" si="93"/>
        <v>94</v>
      </c>
      <c r="AB139" s="379">
        <f t="shared" si="100"/>
        <v>585617</v>
      </c>
      <c r="AC139" s="107">
        <f>RESID!AC139</f>
        <v>29.4</v>
      </c>
      <c r="AD139" s="243">
        <f t="shared" si="94"/>
        <v>605837.1</v>
      </c>
      <c r="AE139" s="243">
        <f t="shared" si="104"/>
        <v>50624.5</v>
      </c>
      <c r="AG139" s="4">
        <f t="shared" si="95"/>
        <v>605934</v>
      </c>
      <c r="AX139" s="4">
        <v>1994</v>
      </c>
      <c r="AY139" s="4">
        <v>3</v>
      </c>
      <c r="AZ139" s="76">
        <f>'[8]COM 55 &amp; 65'!$S224</f>
        <v>159.1</v>
      </c>
      <c r="BA139" s="76">
        <f t="shared" si="107"/>
        <v>140.4</v>
      </c>
      <c r="BB139" s="362">
        <f t="shared" si="101"/>
        <v>-18.699999999999989</v>
      </c>
      <c r="BC139" s="362"/>
      <c r="BD139" s="76">
        <f>'[8]COM 55 &amp; 65'!$J224</f>
        <v>15</v>
      </c>
      <c r="BE139" s="76">
        <f t="shared" si="108"/>
        <v>15.1</v>
      </c>
      <c r="BF139" s="363">
        <f t="shared" si="102"/>
        <v>9.9999999999999645E-2</v>
      </c>
      <c r="BG139" s="244"/>
      <c r="BH139" s="244">
        <f t="shared" si="96"/>
        <v>-12770.416999999992</v>
      </c>
      <c r="BI139" s="242">
        <f t="shared" si="97"/>
        <v>65.93399999999977</v>
      </c>
      <c r="BJ139" s="242"/>
      <c r="BK139" s="241">
        <f t="shared" si="98"/>
        <v>-12704</v>
      </c>
      <c r="BL139" s="262"/>
      <c r="BM139" s="36" t="s">
        <v>18</v>
      </c>
      <c r="BN139" s="4">
        <v>1994</v>
      </c>
      <c r="BO139" s="4">
        <v>3</v>
      </c>
    </row>
    <row r="140" spans="1:72" ht="12.75" customHeight="1">
      <c r="A140" s="22">
        <v>1994</v>
      </c>
      <c r="B140" s="4">
        <v>4</v>
      </c>
      <c r="C140" s="5">
        <v>683958</v>
      </c>
      <c r="D140" s="5">
        <v>122465</v>
      </c>
      <c r="E140" s="74">
        <f t="shared" si="85"/>
        <v>5584.9</v>
      </c>
      <c r="G140" s="347"/>
      <c r="H140" s="13"/>
      <c r="I140" s="13"/>
      <c r="J140" s="574">
        <f t="shared" si="99"/>
        <v>122465</v>
      </c>
      <c r="K140" s="4">
        <f>'[7]COM 55 &amp; 65'!$S225</f>
        <v>221.9</v>
      </c>
      <c r="L140" s="4">
        <f t="shared" si="105"/>
        <v>178.4</v>
      </c>
      <c r="M140" s="44">
        <f t="shared" si="110"/>
        <v>-43.5</v>
      </c>
      <c r="N140" s="4">
        <f>'[7]COM 55 &amp; 65'!$J225</f>
        <v>9.6999999999999993</v>
      </c>
      <c r="O140" s="4">
        <f t="shared" si="103"/>
        <v>9.5</v>
      </c>
      <c r="P140" s="41">
        <f t="shared" si="111"/>
        <v>-0.19999999999999929</v>
      </c>
      <c r="Q140" s="474">
        <f t="shared" si="88"/>
        <v>-29706.584999999999</v>
      </c>
      <c r="R140" s="472">
        <f t="shared" si="89"/>
        <v>-131.86799999999954</v>
      </c>
      <c r="S140" s="241">
        <f t="shared" si="90"/>
        <v>-29838</v>
      </c>
      <c r="T140" s="13" t="s">
        <v>18</v>
      </c>
      <c r="U140" s="4">
        <v>1994</v>
      </c>
      <c r="V140" s="4">
        <v>4</v>
      </c>
      <c r="W140" s="242">
        <f t="shared" si="91"/>
        <v>5341.2811823786387</v>
      </c>
      <c r="X140" s="131">
        <f t="shared" si="112"/>
        <v>233.34063178464748</v>
      </c>
      <c r="Z140" s="175">
        <f t="shared" si="92"/>
        <v>654120</v>
      </c>
      <c r="AA140" s="12">
        <f t="shared" si="93"/>
        <v>-29838</v>
      </c>
      <c r="AB140" s="379">
        <f t="shared" si="100"/>
        <v>654120</v>
      </c>
      <c r="AC140" s="107">
        <f>RESID!AC140</f>
        <v>32.049999999999997</v>
      </c>
      <c r="AD140" s="243">
        <f t="shared" si="94"/>
        <v>649173.19999999995</v>
      </c>
      <c r="AE140" s="243">
        <f t="shared" si="104"/>
        <v>71297.79999999993</v>
      </c>
      <c r="AG140" s="4">
        <f t="shared" si="95"/>
        <v>620853</v>
      </c>
      <c r="AX140" s="4">
        <v>1994</v>
      </c>
      <c r="AY140" s="4">
        <v>4</v>
      </c>
      <c r="AZ140" s="76">
        <f>'[8]COM 55 &amp; 65'!$S225</f>
        <v>290.5</v>
      </c>
      <c r="BA140" s="76">
        <f t="shared" si="107"/>
        <v>227.4</v>
      </c>
      <c r="BB140" s="362">
        <f t="shared" si="101"/>
        <v>-63.099999999999994</v>
      </c>
      <c r="BC140" s="362"/>
      <c r="BD140" s="76">
        <f>'[8]COM 55 &amp; 65'!$J225</f>
        <v>2.2999999999999998</v>
      </c>
      <c r="BE140" s="76">
        <f t="shared" si="108"/>
        <v>4.8</v>
      </c>
      <c r="BF140" s="363">
        <f t="shared" si="102"/>
        <v>2.5</v>
      </c>
      <c r="BG140" s="244"/>
      <c r="BH140" s="244">
        <f t="shared" si="96"/>
        <v>-43091.620999999992</v>
      </c>
      <c r="BI140" s="242">
        <f t="shared" si="97"/>
        <v>1648.3500000000001</v>
      </c>
      <c r="BJ140" s="242"/>
      <c r="BK140" s="241">
        <f t="shared" si="98"/>
        <v>-41443</v>
      </c>
      <c r="BL140" s="262"/>
      <c r="BM140" s="36" t="s">
        <v>18</v>
      </c>
      <c r="BN140" s="4">
        <v>1994</v>
      </c>
      <c r="BO140" s="4">
        <v>4</v>
      </c>
    </row>
    <row r="141" spans="1:72" ht="12.75" customHeight="1">
      <c r="A141" s="22">
        <v>1994</v>
      </c>
      <c r="B141" s="4">
        <v>5</v>
      </c>
      <c r="C141" s="5">
        <v>694927</v>
      </c>
      <c r="D141" s="5">
        <v>122738</v>
      </c>
      <c r="E141" s="74">
        <f t="shared" si="85"/>
        <v>5661.9</v>
      </c>
      <c r="G141" s="347"/>
      <c r="H141" s="13"/>
      <c r="I141" s="13"/>
      <c r="J141" s="574">
        <f t="shared" si="99"/>
        <v>122738</v>
      </c>
      <c r="K141" s="4">
        <f>'[7]COM 55 &amp; 65'!$S226</f>
        <v>339.7</v>
      </c>
      <c r="L141" s="4">
        <f t="shared" si="105"/>
        <v>273.89999999999998</v>
      </c>
      <c r="M141" s="44">
        <f t="shared" si="110"/>
        <v>-65.800000000000011</v>
      </c>
      <c r="N141" s="4">
        <f>'[7]COM 55 &amp; 65'!$J226</f>
        <v>0.5</v>
      </c>
      <c r="O141" s="4">
        <f t="shared" si="103"/>
        <v>2</v>
      </c>
      <c r="P141" s="41">
        <f t="shared" si="111"/>
        <v>1.5</v>
      </c>
      <c r="Q141" s="474">
        <f t="shared" si="88"/>
        <v>-44935.478000000003</v>
      </c>
      <c r="R141" s="472">
        <f t="shared" si="89"/>
        <v>989.01</v>
      </c>
      <c r="S141" s="241">
        <f t="shared" si="90"/>
        <v>-43946</v>
      </c>
      <c r="T141" s="13" t="s">
        <v>18</v>
      </c>
      <c r="U141" s="4">
        <v>1994</v>
      </c>
      <c r="V141" s="4">
        <v>5</v>
      </c>
      <c r="W141" s="242">
        <f t="shared" si="91"/>
        <v>5303.8260359464875</v>
      </c>
      <c r="X141" s="131">
        <f t="shared" si="112"/>
        <v>-141.73876627048503</v>
      </c>
      <c r="Z141" s="175">
        <f t="shared" si="92"/>
        <v>650981</v>
      </c>
      <c r="AA141" s="12">
        <f t="shared" si="93"/>
        <v>-43946</v>
      </c>
      <c r="AB141" s="379">
        <f t="shared" si="100"/>
        <v>650981</v>
      </c>
      <c r="AC141" s="107">
        <f>RESID!AC141</f>
        <v>29.55</v>
      </c>
      <c r="AD141" s="243">
        <f t="shared" si="94"/>
        <v>715386.8</v>
      </c>
      <c r="AE141" s="243">
        <f t="shared" si="104"/>
        <v>100322.80000000005</v>
      </c>
      <c r="AG141" s="4">
        <f t="shared" si="95"/>
        <v>670147</v>
      </c>
      <c r="AX141" s="4">
        <v>1994</v>
      </c>
      <c r="AY141" s="4">
        <v>5</v>
      </c>
      <c r="AZ141" s="76">
        <f>'[8]COM 55 &amp; 65'!$S226</f>
        <v>388.5</v>
      </c>
      <c r="BA141" s="76">
        <f t="shared" si="107"/>
        <v>395.2</v>
      </c>
      <c r="BB141" s="362">
        <f t="shared" si="101"/>
        <v>6.6999999999999886</v>
      </c>
      <c r="BC141" s="362"/>
      <c r="BD141" s="76">
        <f>'[8]COM 55 &amp; 65'!$J226</f>
        <v>0.2</v>
      </c>
      <c r="BE141" s="76">
        <f t="shared" si="108"/>
        <v>0.2</v>
      </c>
      <c r="BF141" s="363">
        <f t="shared" si="102"/>
        <v>0</v>
      </c>
      <c r="BG141" s="244"/>
      <c r="BH141" s="244">
        <f t="shared" si="96"/>
        <v>4575.4969999999921</v>
      </c>
      <c r="BI141" s="242">
        <f t="shared" si="97"/>
        <v>0</v>
      </c>
      <c r="BJ141" s="242"/>
      <c r="BK141" s="241">
        <f t="shared" si="98"/>
        <v>4575</v>
      </c>
      <c r="BL141" s="262"/>
      <c r="BM141" s="36" t="s">
        <v>18</v>
      </c>
      <c r="BN141" s="4">
        <v>1994</v>
      </c>
      <c r="BO141" s="4">
        <v>5</v>
      </c>
    </row>
    <row r="142" spans="1:72" ht="12.75" customHeight="1">
      <c r="A142" s="22">
        <v>1994</v>
      </c>
      <c r="B142" s="4">
        <v>6</v>
      </c>
      <c r="C142" s="5">
        <v>746143</v>
      </c>
      <c r="D142" s="5">
        <v>122811</v>
      </c>
      <c r="E142" s="74">
        <f t="shared" si="85"/>
        <v>6075.5</v>
      </c>
      <c r="G142" s="347"/>
      <c r="H142" s="13"/>
      <c r="I142" s="13"/>
      <c r="J142" s="574">
        <f t="shared" si="99"/>
        <v>122811</v>
      </c>
      <c r="K142" s="4">
        <f>'[7]COM 55 &amp; 65'!$S227</f>
        <v>419.1</v>
      </c>
      <c r="L142" s="4">
        <f t="shared" si="105"/>
        <v>442.7</v>
      </c>
      <c r="M142" s="44">
        <f t="shared" si="110"/>
        <v>23.599999999999966</v>
      </c>
      <c r="N142" s="4">
        <f>'[7]COM 55 &amp; 65'!$J227</f>
        <v>0.1</v>
      </c>
      <c r="O142" s="4">
        <f t="shared" si="103"/>
        <v>0.1</v>
      </c>
      <c r="P142" s="41">
        <f t="shared" si="111"/>
        <v>0</v>
      </c>
      <c r="Q142" s="474">
        <f t="shared" si="88"/>
        <v>16116.675999999976</v>
      </c>
      <c r="R142" s="472">
        <f t="shared" si="89"/>
        <v>0</v>
      </c>
      <c r="S142" s="241">
        <f t="shared" si="90"/>
        <v>16117</v>
      </c>
      <c r="T142" s="13" t="s">
        <v>18</v>
      </c>
      <c r="U142" s="4">
        <v>1994</v>
      </c>
      <c r="V142" s="4">
        <v>6</v>
      </c>
      <c r="W142" s="242">
        <f t="shared" si="91"/>
        <v>6206.773008932425</v>
      </c>
      <c r="X142" s="131">
        <f t="shared" ref="X142:X157" si="113">W142-W130</f>
        <v>83.05436571215705</v>
      </c>
      <c r="Z142" s="175">
        <f t="shared" si="92"/>
        <v>762260</v>
      </c>
      <c r="AA142" s="12">
        <f t="shared" si="93"/>
        <v>16117</v>
      </c>
      <c r="AB142" s="379">
        <f t="shared" si="100"/>
        <v>762260</v>
      </c>
      <c r="AC142" s="107">
        <f>RESID!AC142</f>
        <v>30.65</v>
      </c>
      <c r="AD142" s="243">
        <f t="shared" si="94"/>
        <v>740543.9</v>
      </c>
      <c r="AE142" s="243">
        <f t="shared" si="104"/>
        <v>42058.900000000023</v>
      </c>
      <c r="AG142" s="4">
        <f t="shared" si="95"/>
        <v>756540</v>
      </c>
      <c r="AX142" s="4">
        <v>1994</v>
      </c>
      <c r="AY142" s="4">
        <v>6</v>
      </c>
      <c r="AZ142" s="76">
        <f>'[8]COM 55 &amp; 65'!$S227</f>
        <v>506.3</v>
      </c>
      <c r="BA142" s="76">
        <f t="shared" si="107"/>
        <v>485.1</v>
      </c>
      <c r="BB142" s="362">
        <f t="shared" si="101"/>
        <v>-21.199999999999989</v>
      </c>
      <c r="BC142" s="362"/>
      <c r="BD142" s="76">
        <f>'[8]COM 55 &amp; 65'!$J227</f>
        <v>0</v>
      </c>
      <c r="BE142" s="76">
        <f t="shared" si="108"/>
        <v>0</v>
      </c>
      <c r="BF142" s="363">
        <f t="shared" si="102"/>
        <v>0</v>
      </c>
      <c r="BG142" s="244"/>
      <c r="BH142" s="244">
        <f t="shared" si="96"/>
        <v>-14477.691999999992</v>
      </c>
      <c r="BI142" s="242">
        <f t="shared" si="97"/>
        <v>0</v>
      </c>
      <c r="BJ142" s="242"/>
      <c r="BK142" s="241">
        <f t="shared" si="98"/>
        <v>-14478</v>
      </c>
      <c r="BL142" s="262"/>
      <c r="BM142" s="36" t="s">
        <v>18</v>
      </c>
      <c r="BN142" s="4">
        <v>1994</v>
      </c>
      <c r="BO142" s="4">
        <v>6</v>
      </c>
    </row>
    <row r="143" spans="1:72" ht="12.75" customHeight="1">
      <c r="A143" s="22">
        <v>1994</v>
      </c>
      <c r="B143" s="4">
        <v>7</v>
      </c>
      <c r="C143" s="5">
        <v>781181</v>
      </c>
      <c r="D143" s="5">
        <v>123055</v>
      </c>
      <c r="E143" s="74">
        <f t="shared" si="85"/>
        <v>6348.2</v>
      </c>
      <c r="G143" s="347"/>
      <c r="H143" s="13"/>
      <c r="I143" s="13"/>
      <c r="J143" s="574">
        <f t="shared" si="99"/>
        <v>123055</v>
      </c>
      <c r="K143" s="4">
        <f>'[7]COM 55 &amp; 65'!$S228</f>
        <v>531.5</v>
      </c>
      <c r="L143" s="4">
        <f t="shared" si="105"/>
        <v>516.1</v>
      </c>
      <c r="M143" s="44">
        <f t="shared" si="110"/>
        <v>-15.399999999999977</v>
      </c>
      <c r="N143" s="4">
        <f>'[7]COM 55 &amp; 65'!$J228</f>
        <v>0</v>
      </c>
      <c r="O143" s="4">
        <f t="shared" si="103"/>
        <v>0</v>
      </c>
      <c r="P143" s="41">
        <f t="shared" si="111"/>
        <v>0</v>
      </c>
      <c r="Q143" s="474">
        <f t="shared" si="88"/>
        <v>-10516.813999999984</v>
      </c>
      <c r="R143" s="472">
        <f t="shared" si="89"/>
        <v>0</v>
      </c>
      <c r="S143" s="241">
        <f t="shared" si="90"/>
        <v>-10517</v>
      </c>
      <c r="T143" s="13" t="s">
        <v>18</v>
      </c>
      <c r="U143" s="4">
        <v>1994</v>
      </c>
      <c r="V143" s="4">
        <v>7</v>
      </c>
      <c r="W143" s="242">
        <f t="shared" si="91"/>
        <v>6262.7605542237216</v>
      </c>
      <c r="X143" s="131">
        <f t="shared" si="113"/>
        <v>20.810844616626127</v>
      </c>
      <c r="Z143" s="175">
        <f t="shared" si="92"/>
        <v>770664</v>
      </c>
      <c r="AA143" s="12">
        <f t="shared" si="93"/>
        <v>-10517</v>
      </c>
      <c r="AB143" s="379">
        <f t="shared" si="100"/>
        <v>770664</v>
      </c>
      <c r="AC143" s="107">
        <f>RESID!AC143</f>
        <v>30.65</v>
      </c>
      <c r="AD143" s="243">
        <f t="shared" si="94"/>
        <v>775319</v>
      </c>
      <c r="AE143" s="243">
        <f t="shared" si="104"/>
        <v>28338.800000000047</v>
      </c>
      <c r="AG143" s="4">
        <f t="shared" si="95"/>
        <v>764881</v>
      </c>
      <c r="AX143" s="4">
        <v>1994</v>
      </c>
      <c r="AY143" s="4">
        <v>7</v>
      </c>
      <c r="AZ143" s="76">
        <f>'[8]COM 55 &amp; 65'!$S228</f>
        <v>520.5</v>
      </c>
      <c r="BA143" s="76">
        <f t="shared" si="107"/>
        <v>546.1</v>
      </c>
      <c r="BB143" s="362">
        <f t="shared" si="101"/>
        <v>25.600000000000023</v>
      </c>
      <c r="BC143" s="362"/>
      <c r="BD143" s="76">
        <f>'[8]COM 55 &amp; 65'!$J228</f>
        <v>0</v>
      </c>
      <c r="BE143" s="76">
        <f t="shared" si="108"/>
        <v>0</v>
      </c>
      <c r="BF143" s="363">
        <f t="shared" si="102"/>
        <v>0</v>
      </c>
      <c r="BG143" s="244"/>
      <c r="BH143" s="244">
        <f t="shared" si="96"/>
        <v>17482.496000000014</v>
      </c>
      <c r="BI143" s="242">
        <f t="shared" si="97"/>
        <v>0</v>
      </c>
      <c r="BJ143" s="242"/>
      <c r="BK143" s="241">
        <f t="shared" si="98"/>
        <v>17482</v>
      </c>
      <c r="BL143" s="262"/>
      <c r="BM143" s="36" t="s">
        <v>18</v>
      </c>
      <c r="BN143" s="4">
        <v>1994</v>
      </c>
      <c r="BO143" s="4">
        <v>7</v>
      </c>
    </row>
    <row r="144" spans="1:72" ht="12.75" customHeight="1">
      <c r="A144" s="22">
        <v>1994</v>
      </c>
      <c r="B144" s="4">
        <v>8</v>
      </c>
      <c r="C144" s="5">
        <v>757407</v>
      </c>
      <c r="D144" s="5">
        <v>123157</v>
      </c>
      <c r="E144" s="74">
        <f t="shared" si="85"/>
        <v>6149.9</v>
      </c>
      <c r="G144" s="347"/>
      <c r="H144" s="13"/>
      <c r="I144" s="13"/>
      <c r="J144" s="574">
        <f t="shared" si="99"/>
        <v>123157</v>
      </c>
      <c r="K144" s="4">
        <f>'[7]COM 55 &amp; 65'!$S229</f>
        <v>490.2</v>
      </c>
      <c r="L144" s="4">
        <f t="shared" si="105"/>
        <v>542</v>
      </c>
      <c r="M144" s="44">
        <f t="shared" si="110"/>
        <v>51.800000000000011</v>
      </c>
      <c r="N144" s="4">
        <f>'[7]COM 55 &amp; 65'!$J229</f>
        <v>0</v>
      </c>
      <c r="O144" s="4">
        <f t="shared" si="103"/>
        <v>0</v>
      </c>
      <c r="P144" s="41">
        <f t="shared" si="111"/>
        <v>0</v>
      </c>
      <c r="Q144" s="474">
        <f t="shared" si="88"/>
        <v>35374.738000000005</v>
      </c>
      <c r="R144" s="472">
        <f t="shared" si="89"/>
        <v>0</v>
      </c>
      <c r="S144" s="241">
        <f t="shared" si="90"/>
        <v>35375</v>
      </c>
      <c r="T144" s="13" t="s">
        <v>18</v>
      </c>
      <c r="U144" s="4">
        <v>1994</v>
      </c>
      <c r="V144" s="4">
        <v>8</v>
      </c>
      <c r="W144" s="242">
        <f t="shared" si="91"/>
        <v>6437.1655691515707</v>
      </c>
      <c r="X144" s="131">
        <f t="shared" si="113"/>
        <v>-16.163887085707756</v>
      </c>
      <c r="Z144" s="175">
        <f t="shared" si="92"/>
        <v>792782</v>
      </c>
      <c r="AA144" s="12">
        <f t="shared" si="93"/>
        <v>35375</v>
      </c>
      <c r="AB144" s="379">
        <f t="shared" si="100"/>
        <v>792782</v>
      </c>
      <c r="AC144" s="107">
        <f>RESID!AC144</f>
        <v>29.7</v>
      </c>
      <c r="AD144" s="243">
        <f t="shared" si="94"/>
        <v>775768.4</v>
      </c>
      <c r="AE144" s="243">
        <f t="shared" si="104"/>
        <v>-16595.900000000023</v>
      </c>
      <c r="AG144" s="4">
        <f t="shared" si="95"/>
        <v>812001</v>
      </c>
      <c r="AX144" s="4">
        <v>1994</v>
      </c>
      <c r="AY144" s="4">
        <v>8</v>
      </c>
      <c r="AZ144" s="76">
        <f>'[8]COM 55 &amp; 65'!$S229</f>
        <v>496.8</v>
      </c>
      <c r="BA144" s="76">
        <f t="shared" si="107"/>
        <v>549</v>
      </c>
      <c r="BB144" s="362">
        <f t="shared" si="101"/>
        <v>52.199999999999989</v>
      </c>
      <c r="BC144" s="362"/>
      <c r="BD144" s="76">
        <f>'[8]COM 55 &amp; 65'!$J229</f>
        <v>0</v>
      </c>
      <c r="BE144" s="76">
        <f t="shared" si="108"/>
        <v>0</v>
      </c>
      <c r="BF144" s="363">
        <f t="shared" si="102"/>
        <v>0</v>
      </c>
      <c r="BG144" s="244"/>
      <c r="BH144" s="244">
        <f t="shared" si="96"/>
        <v>35647.901999999987</v>
      </c>
      <c r="BI144" s="242">
        <f t="shared" si="97"/>
        <v>0</v>
      </c>
      <c r="BJ144" s="242"/>
      <c r="BK144" s="241">
        <f t="shared" si="98"/>
        <v>35648</v>
      </c>
      <c r="BL144" s="262"/>
      <c r="BM144" s="36" t="s">
        <v>18</v>
      </c>
      <c r="BN144" s="4">
        <v>1994</v>
      </c>
      <c r="BO144" s="4">
        <v>8</v>
      </c>
    </row>
    <row r="145" spans="1:72" ht="12.75" customHeight="1">
      <c r="A145" s="22">
        <v>1994</v>
      </c>
      <c r="B145" s="4">
        <v>9</v>
      </c>
      <c r="C145" s="5">
        <v>797339</v>
      </c>
      <c r="D145" s="5">
        <v>123552</v>
      </c>
      <c r="E145" s="74">
        <f t="shared" ref="E145:E208" si="114">ROUND((C145/D145)*1000,1)</f>
        <v>6453.5</v>
      </c>
      <c r="G145" s="347"/>
      <c r="H145" s="13"/>
      <c r="I145" s="13"/>
      <c r="J145" s="574">
        <f t="shared" si="99"/>
        <v>123552</v>
      </c>
      <c r="K145" s="4">
        <f>'[7]COM 55 &amp; 65'!$S230</f>
        <v>498</v>
      </c>
      <c r="L145" s="4">
        <f t="shared" si="105"/>
        <v>531.20000000000005</v>
      </c>
      <c r="M145" s="44">
        <f t="shared" ref="M145:M178" si="115">(L145-K145)</f>
        <v>33.200000000000045</v>
      </c>
      <c r="N145" s="4">
        <f>'[7]COM 55 &amp; 65'!$J230</f>
        <v>0</v>
      </c>
      <c r="O145" s="4">
        <f t="shared" si="103"/>
        <v>0</v>
      </c>
      <c r="P145" s="41">
        <f t="shared" ref="P145:P178" si="116">(O145-N145)</f>
        <v>0</v>
      </c>
      <c r="Q145" s="474">
        <f t="shared" ref="Q145:Q208" si="117">M145*$C$10</f>
        <v>22672.61200000003</v>
      </c>
      <c r="R145" s="472">
        <f t="shared" ref="R145:R208" si="118">P145*$C$9</f>
        <v>0</v>
      </c>
      <c r="S145" s="241">
        <f t="shared" ref="S145:S208" si="119">ROUND(SUM(Q145,R145),0)</f>
        <v>22673</v>
      </c>
      <c r="T145" s="13" t="s">
        <v>18</v>
      </c>
      <c r="U145" s="4">
        <v>1994</v>
      </c>
      <c r="V145" s="4">
        <v>9</v>
      </c>
      <c r="W145" s="242">
        <f t="shared" ref="W145:W208" si="120">Z145/D145*1000</f>
        <v>6636.9787619787621</v>
      </c>
      <c r="X145" s="131">
        <f t="shared" si="113"/>
        <v>166.48401407090751</v>
      </c>
      <c r="Z145" s="175">
        <f t="shared" ref="Z145:Z208" si="121">S145+C145</f>
        <v>820012</v>
      </c>
      <c r="AA145" s="12">
        <f t="shared" ref="AA145:AA208" si="122">Z145-C145</f>
        <v>22673</v>
      </c>
      <c r="AB145" s="379">
        <f t="shared" si="100"/>
        <v>820012</v>
      </c>
      <c r="AC145" s="107">
        <f>RESID!AC145</f>
        <v>31.85</v>
      </c>
      <c r="AD145" s="243">
        <f t="shared" ref="AD145:AD208" si="123">ROUND(C145/(AC145/30.42),1)</f>
        <v>761540.1</v>
      </c>
      <c r="AE145" s="243">
        <f t="shared" si="104"/>
        <v>-20164.5</v>
      </c>
      <c r="AG145" s="4">
        <f t="shared" ref="AG145:AG208" si="124">ROUND(Z145/(AC145/30.42),0)</f>
        <v>783195</v>
      </c>
      <c r="AJ145" s="4" t="s">
        <v>214</v>
      </c>
      <c r="AX145" s="4">
        <v>1994</v>
      </c>
      <c r="AY145" s="4">
        <v>9</v>
      </c>
      <c r="AZ145" s="76">
        <f>'[8]COM 55 &amp; 65'!$S230</f>
        <v>425.2</v>
      </c>
      <c r="BA145" s="76">
        <f t="shared" si="107"/>
        <v>487.9</v>
      </c>
      <c r="BB145" s="362">
        <f t="shared" si="101"/>
        <v>62.699999999999989</v>
      </c>
      <c r="BC145" s="362"/>
      <c r="BD145" s="76">
        <f>'[8]COM 55 &amp; 65'!$J230</f>
        <v>0</v>
      </c>
      <c r="BE145" s="76">
        <f t="shared" si="108"/>
        <v>0</v>
      </c>
      <c r="BF145" s="363">
        <f t="shared" si="102"/>
        <v>0</v>
      </c>
      <c r="BG145" s="244"/>
      <c r="BH145" s="244">
        <f t="shared" ref="BH145:BH208" si="125">BB145*$C$10</f>
        <v>42818.456999999988</v>
      </c>
      <c r="BI145" s="242">
        <f t="shared" ref="BI145:BI208" si="126">BF145*$C$9</f>
        <v>0</v>
      </c>
      <c r="BJ145" s="242"/>
      <c r="BK145" s="241">
        <f t="shared" ref="BK145:BK208" si="127">ROUND(SUM(BH145,BI145),0)</f>
        <v>42818</v>
      </c>
      <c r="BL145" s="262"/>
      <c r="BM145" s="36" t="s">
        <v>18</v>
      </c>
      <c r="BN145" s="4">
        <v>1994</v>
      </c>
      <c r="BO145" s="4">
        <v>9</v>
      </c>
    </row>
    <row r="146" spans="1:72" ht="12.75" customHeight="1">
      <c r="A146" s="22">
        <v>1994</v>
      </c>
      <c r="B146" s="4">
        <v>10</v>
      </c>
      <c r="C146" s="5">
        <v>720044</v>
      </c>
      <c r="D146" s="5">
        <v>123936</v>
      </c>
      <c r="E146" s="74">
        <f t="shared" si="114"/>
        <v>5809.8</v>
      </c>
      <c r="G146" s="347"/>
      <c r="H146" s="13"/>
      <c r="I146" s="13"/>
      <c r="J146" s="574">
        <f t="shared" ref="J146:J148" si="128">D146</f>
        <v>123936</v>
      </c>
      <c r="K146" s="4">
        <f>'[7]COM 55 &amp; 65'!$S231</f>
        <v>383.2</v>
      </c>
      <c r="L146" s="4">
        <f t="shared" si="105"/>
        <v>431.2</v>
      </c>
      <c r="M146" s="44">
        <f t="shared" si="115"/>
        <v>48</v>
      </c>
      <c r="N146" s="4">
        <f>'[7]COM 55 &amp; 65'!$J231</f>
        <v>0</v>
      </c>
      <c r="O146" s="4">
        <f t="shared" si="103"/>
        <v>0.2</v>
      </c>
      <c r="P146" s="41">
        <f t="shared" si="116"/>
        <v>0.2</v>
      </c>
      <c r="Q146" s="474">
        <f t="shared" si="117"/>
        <v>32779.68</v>
      </c>
      <c r="R146" s="472">
        <f t="shared" si="118"/>
        <v>131.86800000000002</v>
      </c>
      <c r="S146" s="241">
        <f t="shared" si="119"/>
        <v>32912</v>
      </c>
      <c r="T146" s="13" t="s">
        <v>18</v>
      </c>
      <c r="U146" s="4">
        <v>1994</v>
      </c>
      <c r="V146" s="4">
        <v>10</v>
      </c>
      <c r="W146" s="242">
        <f t="shared" si="120"/>
        <v>6075.3614768912985</v>
      </c>
      <c r="X146" s="131">
        <f t="shared" si="113"/>
        <v>125.10114402829731</v>
      </c>
      <c r="Z146" s="175">
        <f t="shared" si="121"/>
        <v>752956</v>
      </c>
      <c r="AA146" s="12">
        <f t="shared" si="122"/>
        <v>32912</v>
      </c>
      <c r="AB146" s="379">
        <f t="shared" ref="AB146:AB208" si="129">Z146</f>
        <v>752956</v>
      </c>
      <c r="AC146" s="107">
        <f>RESID!AC146</f>
        <v>29.75</v>
      </c>
      <c r="AD146" s="243">
        <f t="shared" si="123"/>
        <v>736260.1</v>
      </c>
      <c r="AE146" s="243">
        <f t="shared" si="104"/>
        <v>5106.7999999999302</v>
      </c>
      <c r="AG146" s="4">
        <f t="shared" si="124"/>
        <v>769913</v>
      </c>
      <c r="AX146" s="4">
        <v>1994</v>
      </c>
      <c r="AY146" s="4">
        <v>10</v>
      </c>
      <c r="AZ146" s="76">
        <f>'[8]COM 55 &amp; 65'!$S231</f>
        <v>331.4</v>
      </c>
      <c r="BA146" s="76">
        <f t="shared" si="107"/>
        <v>332.5</v>
      </c>
      <c r="BB146" s="362">
        <f t="shared" ref="BB146:BB209" si="130">(BA146-AZ146)</f>
        <v>1.1000000000000227</v>
      </c>
      <c r="BC146" s="362"/>
      <c r="BD146" s="76">
        <f>'[8]COM 55 &amp; 65'!$J231</f>
        <v>0.2</v>
      </c>
      <c r="BE146" s="76">
        <f t="shared" si="108"/>
        <v>2</v>
      </c>
      <c r="BF146" s="363">
        <f t="shared" ref="BF146:BF209" si="131">(BE146-BD146)</f>
        <v>1.8</v>
      </c>
      <c r="BG146" s="244"/>
      <c r="BH146" s="244">
        <f t="shared" si="125"/>
        <v>751.20100000001548</v>
      </c>
      <c r="BI146" s="242">
        <f t="shared" si="126"/>
        <v>1186.8120000000001</v>
      </c>
      <c r="BJ146" s="242"/>
      <c r="BK146" s="241">
        <f t="shared" si="127"/>
        <v>1938</v>
      </c>
      <c r="BL146" s="262"/>
      <c r="BM146" s="36" t="s">
        <v>18</v>
      </c>
      <c r="BN146" s="4">
        <v>1994</v>
      </c>
      <c r="BO146" s="4">
        <v>10</v>
      </c>
    </row>
    <row r="147" spans="1:72" ht="12.75" customHeight="1">
      <c r="A147" s="22">
        <v>1994</v>
      </c>
      <c r="B147" s="4">
        <v>11</v>
      </c>
      <c r="C147" s="5">
        <v>682743</v>
      </c>
      <c r="D147" s="5">
        <v>124212</v>
      </c>
      <c r="E147" s="74">
        <f t="shared" si="114"/>
        <v>5496.6</v>
      </c>
      <c r="G147" s="347"/>
      <c r="H147" s="13"/>
      <c r="I147" s="13"/>
      <c r="J147" s="574">
        <f t="shared" si="128"/>
        <v>124212</v>
      </c>
      <c r="K147" s="4">
        <f>'[7]COM 55 &amp; 65'!$S232</f>
        <v>279.89999999999998</v>
      </c>
      <c r="L147" s="4">
        <f t="shared" si="105"/>
        <v>251.9</v>
      </c>
      <c r="M147" s="44">
        <f t="shared" si="115"/>
        <v>-27.999999999999972</v>
      </c>
      <c r="N147" s="4">
        <f>'[7]COM 55 &amp; 65'!$J232</f>
        <v>0.9</v>
      </c>
      <c r="O147" s="4">
        <f t="shared" si="103"/>
        <v>6.3</v>
      </c>
      <c r="P147" s="41">
        <f t="shared" si="116"/>
        <v>5.3999999999999995</v>
      </c>
      <c r="Q147" s="474">
        <f t="shared" si="117"/>
        <v>-19121.479999999981</v>
      </c>
      <c r="R147" s="472">
        <f t="shared" si="118"/>
        <v>3560.4359999999997</v>
      </c>
      <c r="S147" s="241">
        <f t="shared" si="119"/>
        <v>-15561</v>
      </c>
      <c r="T147" s="13" t="s">
        <v>18</v>
      </c>
      <c r="U147" s="4">
        <v>1994</v>
      </c>
      <c r="V147" s="4">
        <v>11</v>
      </c>
      <c r="W147" s="242">
        <f t="shared" si="120"/>
        <v>5371.3167809873439</v>
      </c>
      <c r="X147" s="131">
        <f t="shared" si="113"/>
        <v>104.63520896965656</v>
      </c>
      <c r="Z147" s="175">
        <f t="shared" si="121"/>
        <v>667182</v>
      </c>
      <c r="AA147" s="12">
        <f t="shared" si="122"/>
        <v>-15561</v>
      </c>
      <c r="AB147" s="379">
        <f t="shared" si="129"/>
        <v>667182</v>
      </c>
      <c r="AC147" s="107">
        <f>RESID!AC147</f>
        <v>30.1</v>
      </c>
      <c r="AD147" s="243">
        <f t="shared" si="123"/>
        <v>690001.4</v>
      </c>
      <c r="AE147" s="243">
        <f t="shared" si="104"/>
        <v>40822.400000000023</v>
      </c>
      <c r="AG147" s="4">
        <f t="shared" si="124"/>
        <v>674275</v>
      </c>
      <c r="AJ147" s="24" t="s">
        <v>215</v>
      </c>
      <c r="AK147" s="24" t="s">
        <v>215</v>
      </c>
      <c r="AL147" s="24" t="s">
        <v>215</v>
      </c>
      <c r="AM147" s="24" t="s">
        <v>216</v>
      </c>
      <c r="AN147" s="24" t="s">
        <v>216</v>
      </c>
      <c r="AO147" s="24" t="s">
        <v>216</v>
      </c>
      <c r="AP147" s="24" t="s">
        <v>212</v>
      </c>
      <c r="AQ147" s="24" t="s">
        <v>212</v>
      </c>
      <c r="AR147" s="24" t="s">
        <v>212</v>
      </c>
      <c r="AX147" s="4">
        <v>1994</v>
      </c>
      <c r="AY147" s="4">
        <v>11</v>
      </c>
      <c r="AZ147" s="76">
        <f>'[8]COM 55 &amp; 65'!$S232</f>
        <v>220.1</v>
      </c>
      <c r="BA147" s="76">
        <f t="shared" si="107"/>
        <v>146</v>
      </c>
      <c r="BB147" s="362">
        <f t="shared" si="130"/>
        <v>-74.099999999999994</v>
      </c>
      <c r="BC147" s="362"/>
      <c r="BD147" s="76">
        <f>'[8]COM 55 &amp; 65'!$J232</f>
        <v>3.1</v>
      </c>
      <c r="BE147" s="76">
        <f t="shared" si="108"/>
        <v>14</v>
      </c>
      <c r="BF147" s="363">
        <f t="shared" si="131"/>
        <v>10.9</v>
      </c>
      <c r="BG147" s="244"/>
      <c r="BH147" s="244">
        <f t="shared" si="125"/>
        <v>-50603.630999999994</v>
      </c>
      <c r="BI147" s="242">
        <f t="shared" si="126"/>
        <v>7186.8060000000005</v>
      </c>
      <c r="BJ147" s="242"/>
      <c r="BK147" s="241">
        <f t="shared" si="127"/>
        <v>-43417</v>
      </c>
      <c r="BL147" s="262"/>
      <c r="BM147" s="36" t="s">
        <v>18</v>
      </c>
      <c r="BN147" s="4">
        <v>1994</v>
      </c>
      <c r="BO147" s="4">
        <v>11</v>
      </c>
    </row>
    <row r="148" spans="1:72" s="89" customFormat="1" ht="12.75" customHeight="1">
      <c r="A148" s="225">
        <v>1994</v>
      </c>
      <c r="B148" s="89">
        <v>12</v>
      </c>
      <c r="C148" s="103">
        <v>664644</v>
      </c>
      <c r="D148" s="103">
        <v>124409</v>
      </c>
      <c r="E148" s="109">
        <f t="shared" si="114"/>
        <v>5342.4</v>
      </c>
      <c r="F148" s="90"/>
      <c r="G148" s="348"/>
      <c r="H148" s="90"/>
      <c r="I148" s="90"/>
      <c r="J148" s="575">
        <f t="shared" si="128"/>
        <v>124409</v>
      </c>
      <c r="K148" s="89">
        <f>'[7]COM 55 &amp; 65'!$S233</f>
        <v>190.7</v>
      </c>
      <c r="L148" s="89">
        <f t="shared" si="105"/>
        <v>119.4</v>
      </c>
      <c r="M148" s="93">
        <f t="shared" si="115"/>
        <v>-71.299999999999983</v>
      </c>
      <c r="N148" s="89">
        <f>'[7]COM 55 &amp; 65'!$J233</f>
        <v>6.7</v>
      </c>
      <c r="O148" s="89">
        <f t="shared" si="103"/>
        <v>30.1</v>
      </c>
      <c r="P148" s="94">
        <f t="shared" si="116"/>
        <v>23.400000000000002</v>
      </c>
      <c r="Q148" s="475">
        <f t="shared" si="117"/>
        <v>-48691.482999999986</v>
      </c>
      <c r="R148" s="473">
        <f t="shared" si="118"/>
        <v>15428.556000000002</v>
      </c>
      <c r="S148" s="329">
        <f t="shared" si="119"/>
        <v>-33263</v>
      </c>
      <c r="T148" s="90" t="s">
        <v>18</v>
      </c>
      <c r="U148" s="89">
        <v>1994</v>
      </c>
      <c r="V148" s="89">
        <v>12</v>
      </c>
      <c r="W148" s="328">
        <f t="shared" si="120"/>
        <v>5075.0428023696031</v>
      </c>
      <c r="X148" s="133">
        <f t="shared" si="113"/>
        <v>-138.3708780367424</v>
      </c>
      <c r="Z148" s="176">
        <f t="shared" si="121"/>
        <v>631381</v>
      </c>
      <c r="AA148" s="105">
        <f t="shared" si="122"/>
        <v>-33263</v>
      </c>
      <c r="AB148" s="517">
        <f t="shared" si="129"/>
        <v>631381</v>
      </c>
      <c r="AC148" s="110">
        <f>RESID!AC148</f>
        <v>31.55</v>
      </c>
      <c r="AD148" s="331">
        <f t="shared" si="123"/>
        <v>640839</v>
      </c>
      <c r="AE148" s="331">
        <f t="shared" si="104"/>
        <v>31315.300000000047</v>
      </c>
      <c r="AG148" s="89">
        <f t="shared" si="124"/>
        <v>608767</v>
      </c>
      <c r="AJ148" s="113" t="s">
        <v>5</v>
      </c>
      <c r="AK148" s="113" t="s">
        <v>10</v>
      </c>
      <c r="AL148" s="101" t="s">
        <v>213</v>
      </c>
      <c r="AM148" s="113" t="s">
        <v>5</v>
      </c>
      <c r="AN148" s="113" t="s">
        <v>10</v>
      </c>
      <c r="AO148" s="101" t="s">
        <v>213</v>
      </c>
      <c r="AP148" s="113" t="s">
        <v>5</v>
      </c>
      <c r="AQ148" s="113" t="s">
        <v>10</v>
      </c>
      <c r="AR148" s="101" t="s">
        <v>213</v>
      </c>
      <c r="AX148" s="89">
        <v>1994</v>
      </c>
      <c r="AY148" s="89">
        <v>12</v>
      </c>
      <c r="AZ148" s="92">
        <f>'[8]COM 55 &amp; 65'!$S233</f>
        <v>91.3</v>
      </c>
      <c r="BA148" s="92">
        <f t="shared" si="107"/>
        <v>75.7</v>
      </c>
      <c r="BB148" s="364">
        <f t="shared" si="130"/>
        <v>-15.599999999999994</v>
      </c>
      <c r="BC148" s="364"/>
      <c r="BD148" s="92">
        <f>'[8]COM 55 &amp; 65'!$J233</f>
        <v>19.600000000000001</v>
      </c>
      <c r="BE148" s="92">
        <f t="shared" si="108"/>
        <v>44.3</v>
      </c>
      <c r="BF148" s="365">
        <f t="shared" si="131"/>
        <v>24.699999999999996</v>
      </c>
      <c r="BG148" s="327"/>
      <c r="BH148" s="327">
        <f t="shared" si="125"/>
        <v>-10653.395999999995</v>
      </c>
      <c r="BI148" s="328">
        <f t="shared" si="126"/>
        <v>16285.697999999999</v>
      </c>
      <c r="BJ148" s="328"/>
      <c r="BK148" s="329">
        <f t="shared" si="127"/>
        <v>5632</v>
      </c>
      <c r="BL148" s="332"/>
      <c r="BM148" s="113" t="s">
        <v>18</v>
      </c>
      <c r="BN148" s="89">
        <v>1994</v>
      </c>
      <c r="BO148" s="89">
        <v>12</v>
      </c>
      <c r="BT148" s="96"/>
    </row>
    <row r="149" spans="1:72" ht="12.75" customHeight="1">
      <c r="A149" s="22">
        <v>1995</v>
      </c>
      <c r="B149" s="4">
        <v>1</v>
      </c>
      <c r="C149" s="5">
        <v>600341</v>
      </c>
      <c r="D149" s="5">
        <v>124372</v>
      </c>
      <c r="E149" s="74">
        <f t="shared" si="114"/>
        <v>4827</v>
      </c>
      <c r="F149" s="13">
        <v>54361</v>
      </c>
      <c r="G149" s="347">
        <v>87744</v>
      </c>
      <c r="H149" s="13">
        <v>4120</v>
      </c>
      <c r="I149" s="13">
        <v>2680</v>
      </c>
      <c r="J149" s="577">
        <f>[5]CC!$E29</f>
        <v>124372</v>
      </c>
      <c r="K149" s="4">
        <f>'[7]COM 55 &amp; 65'!$S234</f>
        <v>50.4</v>
      </c>
      <c r="L149" s="4">
        <f t="shared" si="105"/>
        <v>70.8</v>
      </c>
      <c r="M149" s="135">
        <f t="shared" si="115"/>
        <v>20.399999999999999</v>
      </c>
      <c r="N149" s="4">
        <f>'[7]COM 55 &amp; 65'!$J234</f>
        <v>35</v>
      </c>
      <c r="O149" s="4">
        <f t="shared" si="103"/>
        <v>54.9</v>
      </c>
      <c r="P149" s="41">
        <f t="shared" si="116"/>
        <v>19.899999999999999</v>
      </c>
      <c r="Q149" s="474">
        <f t="shared" si="117"/>
        <v>13931.363999999998</v>
      </c>
      <c r="R149" s="472">
        <f t="shared" si="118"/>
        <v>13120.866</v>
      </c>
      <c r="S149" s="241">
        <f t="shared" si="119"/>
        <v>27052</v>
      </c>
      <c r="T149" s="13" t="s">
        <v>18</v>
      </c>
      <c r="U149" s="4">
        <v>1995</v>
      </c>
      <c r="V149" s="4">
        <v>1</v>
      </c>
      <c r="W149" s="242">
        <f t="shared" si="120"/>
        <v>5044.4875052262569</v>
      </c>
      <c r="X149" s="131">
        <f t="shared" si="113"/>
        <v>267.12764810573935</v>
      </c>
      <c r="Z149" s="175">
        <f t="shared" si="121"/>
        <v>627393</v>
      </c>
      <c r="AA149" s="12">
        <f t="shared" si="122"/>
        <v>27052</v>
      </c>
      <c r="AB149" s="379">
        <f t="shared" si="129"/>
        <v>627393</v>
      </c>
      <c r="AC149" s="107">
        <f>RESID!AC149</f>
        <v>30.5</v>
      </c>
      <c r="AD149" s="243">
        <f t="shared" si="123"/>
        <v>598766.30000000005</v>
      </c>
      <c r="AE149" s="243">
        <f t="shared" si="104"/>
        <v>32624.800000000047</v>
      </c>
      <c r="AG149" s="4">
        <f t="shared" si="124"/>
        <v>625747</v>
      </c>
      <c r="AJ149" s="269">
        <f t="shared" ref="AJ149:AJ180" si="132">C149-AM149-AP149</f>
        <v>541860</v>
      </c>
      <c r="AK149" s="269">
        <f t="shared" ref="AK149:AK180" si="133">D149-AN149-AQ149</f>
        <v>33948</v>
      </c>
      <c r="AL149" s="276">
        <f>AJ149/AK149*1000</f>
        <v>15961.470484270061</v>
      </c>
      <c r="AM149" s="269">
        <f t="shared" ref="AM149:AM180" si="134">F149</f>
        <v>54361</v>
      </c>
      <c r="AN149" s="269">
        <f t="shared" ref="AN149:AN180" si="135">G149</f>
        <v>87744</v>
      </c>
      <c r="AO149" s="276">
        <f>AM149/AN149*1000</f>
        <v>619.54093727206418</v>
      </c>
      <c r="AP149" s="269">
        <f t="shared" ref="AP149:AP180" si="136">H149</f>
        <v>4120</v>
      </c>
      <c r="AQ149" s="269">
        <f t="shared" ref="AQ149:AQ180" si="137">I149</f>
        <v>2680</v>
      </c>
      <c r="AR149" s="276">
        <f>AP149/AQ149*1000</f>
        <v>1537.313432835821</v>
      </c>
      <c r="AX149" s="4">
        <v>1995</v>
      </c>
      <c r="AY149" s="4">
        <v>1</v>
      </c>
      <c r="AZ149" s="76">
        <f>'[8]COM 55 &amp; 65'!$S234</f>
        <v>31</v>
      </c>
      <c r="BA149" s="76">
        <f t="shared" si="107"/>
        <v>72.3</v>
      </c>
      <c r="BB149" s="362">
        <f t="shared" si="130"/>
        <v>41.3</v>
      </c>
      <c r="BC149" s="362"/>
      <c r="BD149" s="76">
        <f>'[8]COM 55 &amp; 65'!$J234</f>
        <v>67.2</v>
      </c>
      <c r="BE149" s="76">
        <f t="shared" si="108"/>
        <v>52.4</v>
      </c>
      <c r="BF149" s="363">
        <f t="shared" si="131"/>
        <v>-14.800000000000004</v>
      </c>
      <c r="BG149" s="244"/>
      <c r="BH149" s="244">
        <f t="shared" si="125"/>
        <v>28204.182999999997</v>
      </c>
      <c r="BI149" s="242">
        <f t="shared" si="126"/>
        <v>-9758.2320000000036</v>
      </c>
      <c r="BJ149" s="242"/>
      <c r="BK149" s="241">
        <f t="shared" si="127"/>
        <v>18446</v>
      </c>
      <c r="BL149" s="262"/>
      <c r="BM149" s="36" t="s">
        <v>18</v>
      </c>
      <c r="BN149" s="4">
        <v>1995</v>
      </c>
      <c r="BO149" s="4">
        <v>1</v>
      </c>
    </row>
    <row r="150" spans="1:72" ht="12.75" customHeight="1">
      <c r="A150" s="22">
        <v>1995</v>
      </c>
      <c r="B150" s="4">
        <v>2</v>
      </c>
      <c r="C150" s="5">
        <v>575731</v>
      </c>
      <c r="D150" s="5">
        <v>124404</v>
      </c>
      <c r="E150" s="74">
        <f t="shared" si="114"/>
        <v>4627.8999999999996</v>
      </c>
      <c r="F150" s="13">
        <v>57140</v>
      </c>
      <c r="G150" s="347">
        <v>87522</v>
      </c>
      <c r="H150" s="13">
        <v>4173</v>
      </c>
      <c r="I150" s="13">
        <v>2666</v>
      </c>
      <c r="J150" s="574">
        <f>[5]CC!$E30</f>
        <v>124404</v>
      </c>
      <c r="K150" s="4">
        <f>'[7]COM 55 &amp; 65'!$S235</f>
        <v>33.200000000000003</v>
      </c>
      <c r="L150" s="4">
        <f t="shared" si="105"/>
        <v>62.7</v>
      </c>
      <c r="M150" s="135">
        <f t="shared" si="115"/>
        <v>29.5</v>
      </c>
      <c r="N150" s="4">
        <f>'[7]COM 55 &amp; 65'!$J235</f>
        <v>82.1</v>
      </c>
      <c r="O150" s="4">
        <f t="shared" si="103"/>
        <v>46.9</v>
      </c>
      <c r="P150" s="41">
        <f t="shared" si="116"/>
        <v>-35.199999999999996</v>
      </c>
      <c r="Q150" s="474">
        <f t="shared" si="117"/>
        <v>20145.844999999998</v>
      </c>
      <c r="R150" s="472">
        <f t="shared" si="118"/>
        <v>-23208.768</v>
      </c>
      <c r="S150" s="241">
        <f t="shared" si="119"/>
        <v>-3063</v>
      </c>
      <c r="T150" s="13" t="s">
        <v>18</v>
      </c>
      <c r="U150" s="4">
        <v>1995</v>
      </c>
      <c r="V150" s="4">
        <v>2</v>
      </c>
      <c r="W150" s="242">
        <f t="shared" si="120"/>
        <v>4603.2924986334847</v>
      </c>
      <c r="X150" s="131">
        <f t="shared" si="113"/>
        <v>25.276042999647871</v>
      </c>
      <c r="Z150" s="175">
        <f t="shared" si="121"/>
        <v>572668</v>
      </c>
      <c r="AA150" s="12">
        <f t="shared" si="122"/>
        <v>-3063</v>
      </c>
      <c r="AB150" s="379">
        <f t="shared" si="129"/>
        <v>572668</v>
      </c>
      <c r="AC150" s="107">
        <f>RESID!AC150</f>
        <v>29.65</v>
      </c>
      <c r="AD150" s="243">
        <f t="shared" si="123"/>
        <v>590682.5</v>
      </c>
      <c r="AE150" s="243">
        <f t="shared" si="104"/>
        <v>3254.6999999999534</v>
      </c>
      <c r="AG150" s="4">
        <f t="shared" si="124"/>
        <v>587540</v>
      </c>
      <c r="AJ150" s="269">
        <f t="shared" si="132"/>
        <v>514418</v>
      </c>
      <c r="AK150" s="269">
        <f t="shared" si="133"/>
        <v>34216</v>
      </c>
      <c r="AL150" s="276">
        <f t="shared" ref="AL150:AL213" si="138">AJ150/AK150*1000</f>
        <v>15034.428337619827</v>
      </c>
      <c r="AM150" s="269">
        <f t="shared" si="134"/>
        <v>57140</v>
      </c>
      <c r="AN150" s="269">
        <f t="shared" si="135"/>
        <v>87522</v>
      </c>
      <c r="AO150" s="276">
        <f t="shared" ref="AO150:AO213" si="139">AM150/AN150*1000</f>
        <v>652.86442265944561</v>
      </c>
      <c r="AP150" s="269">
        <f t="shared" si="136"/>
        <v>4173</v>
      </c>
      <c r="AQ150" s="269">
        <f t="shared" si="137"/>
        <v>2666</v>
      </c>
      <c r="AR150" s="276">
        <f t="shared" ref="AR150:AR213" si="140">AP150/AQ150*1000</f>
        <v>1565.2663165791448</v>
      </c>
      <c r="AX150" s="4">
        <v>1995</v>
      </c>
      <c r="AY150" s="4">
        <v>2</v>
      </c>
      <c r="AZ150" s="76">
        <f>'[8]COM 55 &amp; 65'!$S235</f>
        <v>65.099999999999994</v>
      </c>
      <c r="BA150" s="76">
        <f t="shared" si="107"/>
        <v>82.6</v>
      </c>
      <c r="BB150" s="362">
        <f t="shared" si="130"/>
        <v>17.5</v>
      </c>
      <c r="BC150" s="362"/>
      <c r="BD150" s="76">
        <f>'[8]COM 55 &amp; 65'!$J235</f>
        <v>61</v>
      </c>
      <c r="BE150" s="76">
        <f t="shared" si="108"/>
        <v>36.5</v>
      </c>
      <c r="BF150" s="363">
        <f t="shared" si="131"/>
        <v>-24.5</v>
      </c>
      <c r="BG150" s="244"/>
      <c r="BH150" s="244">
        <f t="shared" si="125"/>
        <v>11950.924999999999</v>
      </c>
      <c r="BI150" s="242">
        <f t="shared" si="126"/>
        <v>-16153.83</v>
      </c>
      <c r="BJ150" s="242"/>
      <c r="BK150" s="241">
        <f t="shared" si="127"/>
        <v>-4203</v>
      </c>
      <c r="BL150" s="262"/>
      <c r="BM150" s="36" t="s">
        <v>18</v>
      </c>
      <c r="BN150" s="4">
        <v>1995</v>
      </c>
      <c r="BO150" s="4">
        <v>2</v>
      </c>
    </row>
    <row r="151" spans="1:72" ht="12.75" customHeight="1">
      <c r="A151" s="22">
        <v>1995</v>
      </c>
      <c r="B151" s="4">
        <v>3</v>
      </c>
      <c r="C151" s="5">
        <v>594140</v>
      </c>
      <c r="D151" s="5">
        <v>120384</v>
      </c>
      <c r="E151" s="74">
        <f t="shared" si="114"/>
        <v>4935.3999999999996</v>
      </c>
      <c r="F151" s="13">
        <v>75716</v>
      </c>
      <c r="G151" s="347">
        <v>85135</v>
      </c>
      <c r="H151" s="13">
        <v>4031</v>
      </c>
      <c r="I151" s="13">
        <v>2549</v>
      </c>
      <c r="J151" s="574">
        <f>[5]CC!$E31</f>
        <v>123798</v>
      </c>
      <c r="K151" s="4">
        <f>'[7]COM 55 &amp; 65'!$S236</f>
        <v>93.3</v>
      </c>
      <c r="L151" s="4">
        <f t="shared" si="105"/>
        <v>105.4</v>
      </c>
      <c r="M151" s="135">
        <f t="shared" si="115"/>
        <v>12.100000000000009</v>
      </c>
      <c r="N151" s="4">
        <f>'[7]COM 55 &amp; 65'!$J236</f>
        <v>30.4</v>
      </c>
      <c r="O151" s="4">
        <f t="shared" si="103"/>
        <v>26.8</v>
      </c>
      <c r="P151" s="41">
        <f t="shared" si="116"/>
        <v>-3.5999999999999979</v>
      </c>
      <c r="Q151" s="474">
        <f t="shared" si="117"/>
        <v>8263.2110000000048</v>
      </c>
      <c r="R151" s="472">
        <f t="shared" si="118"/>
        <v>-2373.6239999999989</v>
      </c>
      <c r="S151" s="241">
        <f t="shared" si="119"/>
        <v>5890</v>
      </c>
      <c r="T151" s="13" t="s">
        <v>18</v>
      </c>
      <c r="U151" s="4">
        <v>1995</v>
      </c>
      <c r="V151" s="4">
        <v>3</v>
      </c>
      <c r="W151" s="242">
        <f t="shared" si="120"/>
        <v>4984.3002392344506</v>
      </c>
      <c r="X151" s="131">
        <f t="shared" si="113"/>
        <v>193.1541118833311</v>
      </c>
      <c r="Z151" s="175">
        <f t="shared" si="121"/>
        <v>600030</v>
      </c>
      <c r="AA151" s="12">
        <f t="shared" si="122"/>
        <v>5890</v>
      </c>
      <c r="AB151" s="379">
        <f t="shared" si="129"/>
        <v>600030</v>
      </c>
      <c r="AC151" s="107">
        <f>RESID!AC151</f>
        <v>29.4</v>
      </c>
      <c r="AD151" s="243">
        <f t="shared" si="123"/>
        <v>614753</v>
      </c>
      <c r="AE151" s="243">
        <f t="shared" si="104"/>
        <v>8915.9000000000233</v>
      </c>
      <c r="AG151" s="4">
        <f t="shared" si="124"/>
        <v>620847</v>
      </c>
      <c r="AJ151" s="269">
        <f t="shared" si="132"/>
        <v>514393</v>
      </c>
      <c r="AK151" s="269">
        <f t="shared" si="133"/>
        <v>32700</v>
      </c>
      <c r="AL151" s="276">
        <f t="shared" si="138"/>
        <v>15730.672782874617</v>
      </c>
      <c r="AM151" s="269">
        <f t="shared" si="134"/>
        <v>75716</v>
      </c>
      <c r="AN151" s="269">
        <f t="shared" si="135"/>
        <v>85135</v>
      </c>
      <c r="AO151" s="276">
        <f t="shared" si="139"/>
        <v>889.36395137135139</v>
      </c>
      <c r="AP151" s="269">
        <f t="shared" si="136"/>
        <v>4031</v>
      </c>
      <c r="AQ151" s="269">
        <f t="shared" si="137"/>
        <v>2549</v>
      </c>
      <c r="AR151" s="276">
        <f t="shared" si="140"/>
        <v>1581.404472342095</v>
      </c>
      <c r="AX151" s="4">
        <v>1995</v>
      </c>
      <c r="AY151" s="4">
        <v>3</v>
      </c>
      <c r="AZ151" s="76">
        <f>'[8]COM 55 &amp; 65'!$S236</f>
        <v>147.30000000000001</v>
      </c>
      <c r="BA151" s="76">
        <f t="shared" si="107"/>
        <v>140.4</v>
      </c>
      <c r="BB151" s="362">
        <f t="shared" si="130"/>
        <v>-6.9000000000000057</v>
      </c>
      <c r="BC151" s="362"/>
      <c r="BD151" s="76">
        <f>'[8]COM 55 &amp; 65'!$J236</f>
        <v>7.1</v>
      </c>
      <c r="BE151" s="76">
        <f t="shared" si="108"/>
        <v>15.1</v>
      </c>
      <c r="BF151" s="363">
        <f t="shared" si="131"/>
        <v>8</v>
      </c>
      <c r="BG151" s="244"/>
      <c r="BH151" s="244">
        <f t="shared" si="125"/>
        <v>-4712.0790000000034</v>
      </c>
      <c r="BI151" s="242">
        <f t="shared" si="126"/>
        <v>5274.72</v>
      </c>
      <c r="BJ151" s="242"/>
      <c r="BK151" s="241">
        <f t="shared" si="127"/>
        <v>563</v>
      </c>
      <c r="BL151" s="262"/>
      <c r="BM151" s="36" t="s">
        <v>18</v>
      </c>
      <c r="BN151" s="4">
        <v>1995</v>
      </c>
      <c r="BO151" s="4">
        <v>3</v>
      </c>
    </row>
    <row r="152" spans="1:72" ht="12.75" customHeight="1">
      <c r="A152" s="22">
        <v>1995</v>
      </c>
      <c r="B152" s="4">
        <v>4</v>
      </c>
      <c r="C152" s="5">
        <v>689005</v>
      </c>
      <c r="D152" s="5">
        <v>131508</v>
      </c>
      <c r="E152" s="74">
        <f t="shared" si="114"/>
        <v>5239.3</v>
      </c>
      <c r="F152" s="13">
        <v>61210</v>
      </c>
      <c r="G152" s="347">
        <v>91880</v>
      </c>
      <c r="H152" s="13">
        <v>4491</v>
      </c>
      <c r="I152" s="13">
        <v>3355</v>
      </c>
      <c r="J152" s="574">
        <f>[5]CC!$E32</f>
        <v>124088</v>
      </c>
      <c r="K152" s="4">
        <f>'[7]COM 55 &amp; 65'!$S237</f>
        <v>183.5</v>
      </c>
      <c r="L152" s="4">
        <f t="shared" si="105"/>
        <v>178.4</v>
      </c>
      <c r="M152" s="135">
        <f t="shared" si="115"/>
        <v>-5.0999999999999943</v>
      </c>
      <c r="N152" s="4">
        <f>'[7]COM 55 &amp; 65'!$J237</f>
        <v>4.4000000000000004</v>
      </c>
      <c r="O152" s="4">
        <f t="shared" si="103"/>
        <v>9.5</v>
      </c>
      <c r="P152" s="41">
        <f t="shared" si="116"/>
        <v>5.0999999999999996</v>
      </c>
      <c r="Q152" s="474">
        <f t="shared" si="117"/>
        <v>-3482.8409999999958</v>
      </c>
      <c r="R152" s="472">
        <f t="shared" si="118"/>
        <v>3362.634</v>
      </c>
      <c r="S152" s="241">
        <f t="shared" si="119"/>
        <v>-120</v>
      </c>
      <c r="T152" s="13" t="s">
        <v>18</v>
      </c>
      <c r="U152" s="4">
        <v>1995</v>
      </c>
      <c r="V152" s="4">
        <v>4</v>
      </c>
      <c r="W152" s="242">
        <f t="shared" si="120"/>
        <v>5238.3505185996282</v>
      </c>
      <c r="X152" s="131">
        <f t="shared" si="113"/>
        <v>-102.9306637790105</v>
      </c>
      <c r="Z152" s="175">
        <f t="shared" si="121"/>
        <v>688885</v>
      </c>
      <c r="AA152" s="12">
        <f t="shared" si="122"/>
        <v>-120</v>
      </c>
      <c r="AB152" s="379">
        <f t="shared" si="129"/>
        <v>688885</v>
      </c>
      <c r="AC152" s="107">
        <f>RESID!AC152</f>
        <v>31.4</v>
      </c>
      <c r="AD152" s="243">
        <f t="shared" si="123"/>
        <v>667501</v>
      </c>
      <c r="AE152" s="243">
        <f t="shared" si="104"/>
        <v>18327.800000000047</v>
      </c>
      <c r="AG152" s="4">
        <f t="shared" si="124"/>
        <v>667385</v>
      </c>
      <c r="AJ152" s="269">
        <f t="shared" si="132"/>
        <v>623304</v>
      </c>
      <c r="AK152" s="269">
        <f t="shared" si="133"/>
        <v>36273</v>
      </c>
      <c r="AL152" s="276">
        <f t="shared" si="138"/>
        <v>17183.690348192871</v>
      </c>
      <c r="AM152" s="269">
        <f t="shared" si="134"/>
        <v>61210</v>
      </c>
      <c r="AN152" s="269">
        <f t="shared" si="135"/>
        <v>91880</v>
      </c>
      <c r="AO152" s="276">
        <f t="shared" si="139"/>
        <v>666.1950370047889</v>
      </c>
      <c r="AP152" s="269">
        <f t="shared" si="136"/>
        <v>4491</v>
      </c>
      <c r="AQ152" s="269">
        <f t="shared" si="137"/>
        <v>3355</v>
      </c>
      <c r="AR152" s="276">
        <f t="shared" si="140"/>
        <v>1338.5991058122206</v>
      </c>
      <c r="AX152" s="4">
        <v>1995</v>
      </c>
      <c r="AY152" s="4">
        <v>4</v>
      </c>
      <c r="AZ152" s="76">
        <f>'[8]COM 55 &amp; 65'!$S237</f>
        <v>241.9</v>
      </c>
      <c r="BA152" s="76">
        <f t="shared" si="107"/>
        <v>227.4</v>
      </c>
      <c r="BB152" s="362">
        <f t="shared" si="130"/>
        <v>-14.5</v>
      </c>
      <c r="BC152" s="362"/>
      <c r="BD152" s="76">
        <f>'[8]COM 55 &amp; 65'!$J237</f>
        <v>2.1</v>
      </c>
      <c r="BE152" s="76">
        <f t="shared" si="108"/>
        <v>4.8</v>
      </c>
      <c r="BF152" s="363">
        <f t="shared" si="131"/>
        <v>2.6999999999999997</v>
      </c>
      <c r="BG152" s="244"/>
      <c r="BH152" s="244">
        <f t="shared" si="125"/>
        <v>-9902.1949999999997</v>
      </c>
      <c r="BI152" s="242">
        <f t="shared" si="126"/>
        <v>1780.2179999999998</v>
      </c>
      <c r="BJ152" s="242"/>
      <c r="BK152" s="241">
        <f t="shared" si="127"/>
        <v>-8122</v>
      </c>
      <c r="BL152" s="262"/>
      <c r="BM152" s="36" t="s">
        <v>18</v>
      </c>
      <c r="BN152" s="4">
        <v>1995</v>
      </c>
      <c r="BO152" s="4">
        <v>4</v>
      </c>
    </row>
    <row r="153" spans="1:72" ht="12.75" customHeight="1">
      <c r="A153" s="22">
        <v>1995</v>
      </c>
      <c r="B153" s="4">
        <v>5</v>
      </c>
      <c r="C153" s="5">
        <v>717600</v>
      </c>
      <c r="D153" s="5">
        <v>122874</v>
      </c>
      <c r="E153" s="74">
        <f t="shared" si="114"/>
        <v>5840.1</v>
      </c>
      <c r="F153" s="13">
        <v>83026</v>
      </c>
      <c r="G153" s="347">
        <v>85123</v>
      </c>
      <c r="H153" s="13">
        <v>4231</v>
      </c>
      <c r="I153" s="13">
        <v>2877</v>
      </c>
      <c r="J153" s="574">
        <f>[5]CC!$E33</f>
        <v>123594</v>
      </c>
      <c r="K153" s="4">
        <f>'[7]COM 55 &amp; 65'!$S238</f>
        <v>342.8</v>
      </c>
      <c r="L153" s="4">
        <f t="shared" si="105"/>
        <v>273.89999999999998</v>
      </c>
      <c r="M153" s="135">
        <f t="shared" si="115"/>
        <v>-68.900000000000034</v>
      </c>
      <c r="N153" s="4">
        <f>'[7]COM 55 &amp; 65'!$J238</f>
        <v>0.8</v>
      </c>
      <c r="O153" s="4">
        <f t="shared" si="103"/>
        <v>2</v>
      </c>
      <c r="P153" s="41">
        <f t="shared" si="116"/>
        <v>1.2</v>
      </c>
      <c r="Q153" s="474">
        <f t="shared" si="117"/>
        <v>-47052.499000000018</v>
      </c>
      <c r="R153" s="472">
        <f t="shared" si="118"/>
        <v>791.20799999999997</v>
      </c>
      <c r="S153" s="241">
        <f t="shared" si="119"/>
        <v>-46261</v>
      </c>
      <c r="T153" s="13" t="s">
        <v>18</v>
      </c>
      <c r="U153" s="4">
        <v>1995</v>
      </c>
      <c r="V153" s="4">
        <v>5</v>
      </c>
      <c r="W153" s="242">
        <f t="shared" si="120"/>
        <v>5463.6375474062861</v>
      </c>
      <c r="X153" s="131">
        <f t="shared" si="113"/>
        <v>159.81151145979857</v>
      </c>
      <c r="Z153" s="175">
        <f t="shared" si="121"/>
        <v>671339</v>
      </c>
      <c r="AA153" s="12">
        <f t="shared" si="122"/>
        <v>-46261</v>
      </c>
      <c r="AB153" s="379">
        <f t="shared" si="129"/>
        <v>671339</v>
      </c>
      <c r="AC153" s="107">
        <f>RESID!AC153</f>
        <v>30.2</v>
      </c>
      <c r="AD153" s="243">
        <f t="shared" si="123"/>
        <v>722827.5</v>
      </c>
      <c r="AE153" s="243">
        <f t="shared" si="104"/>
        <v>7440.6999999999534</v>
      </c>
      <c r="AG153" s="4">
        <f t="shared" si="124"/>
        <v>676230</v>
      </c>
      <c r="AJ153" s="269">
        <f t="shared" si="132"/>
        <v>630343</v>
      </c>
      <c r="AK153" s="269">
        <f t="shared" si="133"/>
        <v>34874</v>
      </c>
      <c r="AL153" s="276">
        <f t="shared" si="138"/>
        <v>18074.869530309112</v>
      </c>
      <c r="AM153" s="269">
        <f t="shared" si="134"/>
        <v>83026</v>
      </c>
      <c r="AN153" s="269">
        <f t="shared" si="135"/>
        <v>85123</v>
      </c>
      <c r="AO153" s="276">
        <f t="shared" si="139"/>
        <v>975.36505997204051</v>
      </c>
      <c r="AP153" s="269">
        <f t="shared" si="136"/>
        <v>4231</v>
      </c>
      <c r="AQ153" s="269">
        <f t="shared" si="137"/>
        <v>2877</v>
      </c>
      <c r="AR153" s="276">
        <f t="shared" si="140"/>
        <v>1470.6291275634342</v>
      </c>
      <c r="AX153" s="4">
        <v>1995</v>
      </c>
      <c r="AY153" s="4">
        <v>5</v>
      </c>
      <c r="AZ153" s="76">
        <f>'[8]COM 55 &amp; 65'!$S238</f>
        <v>476.6</v>
      </c>
      <c r="BA153" s="76">
        <f t="shared" si="107"/>
        <v>395.2</v>
      </c>
      <c r="BB153" s="362">
        <f t="shared" si="130"/>
        <v>-81.400000000000034</v>
      </c>
      <c r="BC153" s="362"/>
      <c r="BD153" s="76">
        <f>'[8]COM 55 &amp; 65'!$J238</f>
        <v>0.1</v>
      </c>
      <c r="BE153" s="76">
        <f t="shared" si="108"/>
        <v>0.2</v>
      </c>
      <c r="BF153" s="363">
        <f t="shared" si="131"/>
        <v>0.1</v>
      </c>
      <c r="BG153" s="244"/>
      <c r="BH153" s="244">
        <f t="shared" si="125"/>
        <v>-55588.874000000018</v>
      </c>
      <c r="BI153" s="242">
        <f t="shared" si="126"/>
        <v>65.934000000000012</v>
      </c>
      <c r="BJ153" s="242"/>
      <c r="BK153" s="241">
        <f t="shared" si="127"/>
        <v>-55523</v>
      </c>
      <c r="BL153" s="262"/>
      <c r="BM153" s="36" t="s">
        <v>18</v>
      </c>
      <c r="BN153" s="4">
        <v>1995</v>
      </c>
      <c r="BO153" s="4">
        <v>5</v>
      </c>
    </row>
    <row r="154" spans="1:72" ht="12.75" customHeight="1">
      <c r="A154" s="22">
        <v>1995</v>
      </c>
      <c r="B154" s="4">
        <v>6</v>
      </c>
      <c r="C154" s="5">
        <v>805306</v>
      </c>
      <c r="D154" s="5">
        <v>126584</v>
      </c>
      <c r="E154" s="74">
        <f t="shared" si="114"/>
        <v>6361.8</v>
      </c>
      <c r="F154" s="13">
        <v>100413</v>
      </c>
      <c r="G154" s="347">
        <v>86551</v>
      </c>
      <c r="H154" s="13">
        <v>4380</v>
      </c>
      <c r="I154" s="13">
        <v>2911</v>
      </c>
      <c r="J154" s="574">
        <f>[5]CC!$E34</f>
        <v>125413</v>
      </c>
      <c r="K154" s="4">
        <f>'[7]COM 55 &amp; 65'!$S239</f>
        <v>478.5</v>
      </c>
      <c r="L154" s="4">
        <f t="shared" si="105"/>
        <v>442.7</v>
      </c>
      <c r="M154" s="135">
        <f t="shared" si="115"/>
        <v>-35.800000000000011</v>
      </c>
      <c r="N154" s="4">
        <f>'[7]COM 55 &amp; 65'!$J239</f>
        <v>0</v>
      </c>
      <c r="O154" s="4">
        <f t="shared" si="103"/>
        <v>0.1</v>
      </c>
      <c r="P154" s="41">
        <f t="shared" si="116"/>
        <v>0.1</v>
      </c>
      <c r="Q154" s="474">
        <f t="shared" si="117"/>
        <v>-24448.178000000007</v>
      </c>
      <c r="R154" s="472">
        <f t="shared" si="118"/>
        <v>65.934000000000012</v>
      </c>
      <c r="S154" s="241">
        <f t="shared" si="119"/>
        <v>-24382</v>
      </c>
      <c r="T154" s="13" t="s">
        <v>18</v>
      </c>
      <c r="U154" s="4">
        <v>1995</v>
      </c>
      <c r="V154" s="4">
        <v>6</v>
      </c>
      <c r="W154" s="242">
        <f t="shared" si="120"/>
        <v>6169.2156986664986</v>
      </c>
      <c r="X154" s="131">
        <f t="shared" si="113"/>
        <v>-37.55731026592639</v>
      </c>
      <c r="Z154" s="175">
        <f t="shared" si="121"/>
        <v>780924</v>
      </c>
      <c r="AA154" s="12">
        <f t="shared" si="122"/>
        <v>-24382</v>
      </c>
      <c r="AB154" s="379">
        <f t="shared" si="129"/>
        <v>780924</v>
      </c>
      <c r="AC154" s="107">
        <f>RESID!AC154</f>
        <v>30.8</v>
      </c>
      <c r="AD154" s="243">
        <f t="shared" si="123"/>
        <v>795370.4</v>
      </c>
      <c r="AE154" s="243">
        <f t="shared" si="104"/>
        <v>54826.5</v>
      </c>
      <c r="AG154" s="4">
        <f t="shared" si="124"/>
        <v>771289</v>
      </c>
      <c r="AJ154" s="269">
        <f t="shared" si="132"/>
        <v>700513</v>
      </c>
      <c r="AK154" s="269">
        <f t="shared" si="133"/>
        <v>37122</v>
      </c>
      <c r="AL154" s="276">
        <f t="shared" si="138"/>
        <v>18870.561930930446</v>
      </c>
      <c r="AM154" s="269">
        <f t="shared" si="134"/>
        <v>100413</v>
      </c>
      <c r="AN154" s="269">
        <f t="shared" si="135"/>
        <v>86551</v>
      </c>
      <c r="AO154" s="276">
        <f t="shared" si="139"/>
        <v>1160.1599057203266</v>
      </c>
      <c r="AP154" s="269">
        <f t="shared" si="136"/>
        <v>4380</v>
      </c>
      <c r="AQ154" s="269">
        <f t="shared" si="137"/>
        <v>2911</v>
      </c>
      <c r="AR154" s="276">
        <f t="shared" si="140"/>
        <v>1504.6375815870833</v>
      </c>
      <c r="AX154" s="4">
        <v>1995</v>
      </c>
      <c r="AY154" s="4">
        <v>6</v>
      </c>
      <c r="AZ154" s="76">
        <f>'[8]COM 55 &amp; 65'!$S239</f>
        <v>447.9</v>
      </c>
      <c r="BA154" s="76">
        <f t="shared" si="107"/>
        <v>485.1</v>
      </c>
      <c r="BB154" s="362">
        <f t="shared" si="130"/>
        <v>37.200000000000045</v>
      </c>
      <c r="BC154" s="362"/>
      <c r="BD154" s="76">
        <f>'[8]COM 55 &amp; 65'!$J239</f>
        <v>0</v>
      </c>
      <c r="BE154" s="76">
        <f t="shared" si="108"/>
        <v>0</v>
      </c>
      <c r="BF154" s="363">
        <f t="shared" si="131"/>
        <v>0</v>
      </c>
      <c r="BG154" s="244"/>
      <c r="BH154" s="244">
        <f t="shared" si="125"/>
        <v>25404.25200000003</v>
      </c>
      <c r="BI154" s="242">
        <f t="shared" si="126"/>
        <v>0</v>
      </c>
      <c r="BJ154" s="242"/>
      <c r="BK154" s="241">
        <f t="shared" si="127"/>
        <v>25404</v>
      </c>
      <c r="BL154" s="262"/>
      <c r="BM154" s="36" t="s">
        <v>18</v>
      </c>
      <c r="BN154" s="4">
        <v>1995</v>
      </c>
      <c r="BO154" s="4">
        <v>6</v>
      </c>
    </row>
    <row r="155" spans="1:72" ht="12.75" customHeight="1">
      <c r="A155" s="22">
        <v>1995</v>
      </c>
      <c r="B155" s="4">
        <v>7</v>
      </c>
      <c r="C155" s="5">
        <v>788534</v>
      </c>
      <c r="D155" s="5">
        <v>124513</v>
      </c>
      <c r="E155" s="74">
        <f t="shared" si="114"/>
        <v>6332.9</v>
      </c>
      <c r="F155" s="13">
        <v>89389</v>
      </c>
      <c r="G155" s="347">
        <v>84248</v>
      </c>
      <c r="H155" s="13">
        <v>4346</v>
      </c>
      <c r="I155" s="13">
        <v>2904</v>
      </c>
      <c r="J155" s="574">
        <f>[5]CC!$E35</f>
        <v>125781</v>
      </c>
      <c r="K155" s="4">
        <f>'[7]COM 55 &amp; 65'!$S240</f>
        <v>489.1</v>
      </c>
      <c r="L155" s="4">
        <f t="shared" si="105"/>
        <v>516.1</v>
      </c>
      <c r="M155" s="135">
        <f t="shared" si="115"/>
        <v>27</v>
      </c>
      <c r="N155" s="4">
        <f>'[7]COM 55 &amp; 65'!$J240</f>
        <v>0</v>
      </c>
      <c r="O155" s="4">
        <f t="shared" si="103"/>
        <v>0</v>
      </c>
      <c r="P155" s="41">
        <f t="shared" si="116"/>
        <v>0</v>
      </c>
      <c r="Q155" s="474">
        <f t="shared" si="117"/>
        <v>18438.57</v>
      </c>
      <c r="R155" s="472">
        <f t="shared" si="118"/>
        <v>0</v>
      </c>
      <c r="S155" s="241">
        <f t="shared" si="119"/>
        <v>18439</v>
      </c>
      <c r="T155" s="13" t="s">
        <v>18</v>
      </c>
      <c r="U155" s="4">
        <v>1995</v>
      </c>
      <c r="V155" s="4">
        <v>7</v>
      </c>
      <c r="W155" s="242">
        <f t="shared" si="120"/>
        <v>6481.0341088882287</v>
      </c>
      <c r="X155" s="131">
        <f t="shared" si="113"/>
        <v>218.27355466450717</v>
      </c>
      <c r="Z155" s="175">
        <f t="shared" si="121"/>
        <v>806973</v>
      </c>
      <c r="AA155" s="12">
        <f t="shared" si="122"/>
        <v>18439</v>
      </c>
      <c r="AB155" s="379">
        <f t="shared" si="129"/>
        <v>806973</v>
      </c>
      <c r="AC155" s="107">
        <f>RESID!AC155</f>
        <v>30.5</v>
      </c>
      <c r="AD155" s="243">
        <f t="shared" si="123"/>
        <v>786465.7</v>
      </c>
      <c r="AE155" s="243">
        <f t="shared" si="104"/>
        <v>11146.699999999953</v>
      </c>
      <c r="AG155" s="4">
        <f t="shared" si="124"/>
        <v>804856</v>
      </c>
      <c r="AJ155" s="269">
        <f t="shared" si="132"/>
        <v>694799</v>
      </c>
      <c r="AK155" s="269">
        <f t="shared" si="133"/>
        <v>37361</v>
      </c>
      <c r="AL155" s="276">
        <f t="shared" si="138"/>
        <v>18596.905864404056</v>
      </c>
      <c r="AM155" s="269">
        <f t="shared" si="134"/>
        <v>89389</v>
      </c>
      <c r="AN155" s="269">
        <f t="shared" si="135"/>
        <v>84248</v>
      </c>
      <c r="AO155" s="276">
        <f t="shared" si="139"/>
        <v>1061.02222011205</v>
      </c>
      <c r="AP155" s="269">
        <f t="shared" si="136"/>
        <v>4346</v>
      </c>
      <c r="AQ155" s="269">
        <f t="shared" si="137"/>
        <v>2904</v>
      </c>
      <c r="AR155" s="276">
        <f t="shared" si="140"/>
        <v>1496.5564738292012</v>
      </c>
      <c r="AX155" s="4">
        <v>1995</v>
      </c>
      <c r="AY155" s="4">
        <v>7</v>
      </c>
      <c r="AZ155" s="76">
        <f>'[8]COM 55 &amp; 65'!$S240</f>
        <v>540.4</v>
      </c>
      <c r="BA155" s="76">
        <f t="shared" si="107"/>
        <v>546.1</v>
      </c>
      <c r="BB155" s="362">
        <f t="shared" si="130"/>
        <v>5.7000000000000455</v>
      </c>
      <c r="BC155" s="362"/>
      <c r="BD155" s="76">
        <f>'[8]COM 55 &amp; 65'!$J240</f>
        <v>0</v>
      </c>
      <c r="BE155" s="76">
        <f t="shared" si="108"/>
        <v>0</v>
      </c>
      <c r="BF155" s="363">
        <f t="shared" si="131"/>
        <v>0</v>
      </c>
      <c r="BG155" s="244"/>
      <c r="BH155" s="244">
        <f t="shared" si="125"/>
        <v>3892.5870000000309</v>
      </c>
      <c r="BI155" s="242">
        <f t="shared" si="126"/>
        <v>0</v>
      </c>
      <c r="BJ155" s="242"/>
      <c r="BK155" s="241">
        <f t="shared" si="127"/>
        <v>3893</v>
      </c>
      <c r="BL155" s="262"/>
      <c r="BM155" s="36" t="s">
        <v>18</v>
      </c>
      <c r="BN155" s="4">
        <v>1995</v>
      </c>
      <c r="BO155" s="4">
        <v>7</v>
      </c>
    </row>
    <row r="156" spans="1:72" ht="12.75" customHeight="1">
      <c r="A156" s="22">
        <v>1995</v>
      </c>
      <c r="B156" s="4">
        <v>8</v>
      </c>
      <c r="C156" s="5">
        <v>814019</v>
      </c>
      <c r="D156" s="5">
        <v>125445</v>
      </c>
      <c r="E156" s="74">
        <f t="shared" si="114"/>
        <v>6489.1</v>
      </c>
      <c r="F156" s="13">
        <v>93921</v>
      </c>
      <c r="G156" s="347">
        <v>86061</v>
      </c>
      <c r="H156" s="13">
        <v>4309</v>
      </c>
      <c r="I156" s="13">
        <v>2866</v>
      </c>
      <c r="J156" s="574">
        <f>[5]CC!$E36</f>
        <v>127474</v>
      </c>
      <c r="K156" s="4">
        <f>'[7]COM 55 &amp; 65'!$S241</f>
        <v>510.2</v>
      </c>
      <c r="L156" s="4">
        <f t="shared" si="105"/>
        <v>542</v>
      </c>
      <c r="M156" s="135">
        <f t="shared" si="115"/>
        <v>31.800000000000011</v>
      </c>
      <c r="N156" s="4">
        <f>'[7]COM 55 &amp; 65'!$J241</f>
        <v>0</v>
      </c>
      <c r="O156" s="4">
        <f t="shared" si="103"/>
        <v>0</v>
      </c>
      <c r="P156" s="41">
        <f t="shared" si="116"/>
        <v>0</v>
      </c>
      <c r="Q156" s="474">
        <f t="shared" si="117"/>
        <v>21716.538000000008</v>
      </c>
      <c r="R156" s="472">
        <f t="shared" si="118"/>
        <v>0</v>
      </c>
      <c r="S156" s="241">
        <f t="shared" si="119"/>
        <v>21717</v>
      </c>
      <c r="T156" s="13" t="s">
        <v>18</v>
      </c>
      <c r="U156" s="4">
        <v>1995</v>
      </c>
      <c r="V156" s="4">
        <v>8</v>
      </c>
      <c r="W156" s="242">
        <f t="shared" si="120"/>
        <v>6662.1706724062333</v>
      </c>
      <c r="X156" s="131">
        <f t="shared" si="113"/>
        <v>225.00510325466257</v>
      </c>
      <c r="Z156" s="175">
        <f t="shared" si="121"/>
        <v>835736</v>
      </c>
      <c r="AA156" s="12">
        <f t="shared" si="122"/>
        <v>21717</v>
      </c>
      <c r="AB156" s="379">
        <f t="shared" si="129"/>
        <v>835736</v>
      </c>
      <c r="AC156" s="107">
        <f>RESID!AC156</f>
        <v>29.7</v>
      </c>
      <c r="AD156" s="243">
        <f t="shared" si="123"/>
        <v>833752.8</v>
      </c>
      <c r="AE156" s="243">
        <f t="shared" si="104"/>
        <v>57984.400000000023</v>
      </c>
      <c r="AG156" s="4">
        <f t="shared" si="124"/>
        <v>855996</v>
      </c>
      <c r="AJ156" s="269">
        <f t="shared" si="132"/>
        <v>715789</v>
      </c>
      <c r="AK156" s="269">
        <f t="shared" si="133"/>
        <v>36518</v>
      </c>
      <c r="AL156" s="276">
        <f t="shared" si="138"/>
        <v>19600.991291965605</v>
      </c>
      <c r="AM156" s="269">
        <f t="shared" si="134"/>
        <v>93921</v>
      </c>
      <c r="AN156" s="269">
        <f t="shared" si="135"/>
        <v>86061</v>
      </c>
      <c r="AO156" s="276">
        <f t="shared" si="139"/>
        <v>1091.3305678530346</v>
      </c>
      <c r="AP156" s="269">
        <f t="shared" si="136"/>
        <v>4309</v>
      </c>
      <c r="AQ156" s="269">
        <f t="shared" si="137"/>
        <v>2866</v>
      </c>
      <c r="AR156" s="276">
        <f t="shared" si="140"/>
        <v>1503.4891835310539</v>
      </c>
      <c r="AX156" s="4">
        <v>1995</v>
      </c>
      <c r="AY156" s="4">
        <v>8</v>
      </c>
      <c r="AZ156" s="76">
        <f>'[8]COM 55 &amp; 65'!$S241</f>
        <v>546.4</v>
      </c>
      <c r="BA156" s="76">
        <f t="shared" si="107"/>
        <v>549</v>
      </c>
      <c r="BB156" s="362">
        <f t="shared" si="130"/>
        <v>2.6000000000000227</v>
      </c>
      <c r="BC156" s="362"/>
      <c r="BD156" s="76">
        <f>'[8]COM 55 &amp; 65'!$J241</f>
        <v>0</v>
      </c>
      <c r="BE156" s="76">
        <f t="shared" si="108"/>
        <v>0</v>
      </c>
      <c r="BF156" s="363">
        <f t="shared" si="131"/>
        <v>0</v>
      </c>
      <c r="BG156" s="244"/>
      <c r="BH156" s="244">
        <f t="shared" si="125"/>
        <v>1775.5660000000155</v>
      </c>
      <c r="BI156" s="242">
        <f t="shared" si="126"/>
        <v>0</v>
      </c>
      <c r="BJ156" s="242"/>
      <c r="BK156" s="241">
        <f t="shared" si="127"/>
        <v>1776</v>
      </c>
      <c r="BL156" s="262"/>
      <c r="BM156" s="36" t="s">
        <v>18</v>
      </c>
      <c r="BN156" s="4">
        <v>1995</v>
      </c>
      <c r="BO156" s="4">
        <v>8</v>
      </c>
    </row>
    <row r="157" spans="1:72" ht="12.75" customHeight="1">
      <c r="A157" s="22">
        <v>1995</v>
      </c>
      <c r="B157" s="4">
        <v>9</v>
      </c>
      <c r="C157" s="5">
        <v>880939</v>
      </c>
      <c r="D157" s="5">
        <v>129901</v>
      </c>
      <c r="E157" s="74">
        <f t="shared" si="114"/>
        <v>6781.6</v>
      </c>
      <c r="F157" s="13">
        <v>101844</v>
      </c>
      <c r="G157" s="347">
        <f>105783-18000</f>
        <v>87783</v>
      </c>
      <c r="H157" s="13">
        <v>4044</v>
      </c>
      <c r="I157" s="13">
        <v>3282</v>
      </c>
      <c r="J157" s="574">
        <f>[5]CC!$E37</f>
        <v>127716</v>
      </c>
      <c r="K157" s="4">
        <f>'[7]COM 55 &amp; 65'!$S242</f>
        <v>543.20000000000005</v>
      </c>
      <c r="L157" s="4">
        <f t="shared" si="105"/>
        <v>531.20000000000005</v>
      </c>
      <c r="M157" s="135">
        <f t="shared" si="115"/>
        <v>-12</v>
      </c>
      <c r="N157" s="4">
        <f>'[7]COM 55 &amp; 65'!$J242</f>
        <v>0</v>
      </c>
      <c r="O157" s="4">
        <f t="shared" ref="O157:O220" si="141">O145</f>
        <v>0</v>
      </c>
      <c r="P157" s="41">
        <f t="shared" si="116"/>
        <v>0</v>
      </c>
      <c r="Q157" s="474">
        <f t="shared" si="117"/>
        <v>-8194.92</v>
      </c>
      <c r="R157" s="472">
        <f t="shared" si="118"/>
        <v>0</v>
      </c>
      <c r="S157" s="241">
        <f t="shared" si="119"/>
        <v>-8195</v>
      </c>
      <c r="T157" s="13" t="s">
        <v>18</v>
      </c>
      <c r="U157" s="4">
        <v>1995</v>
      </c>
      <c r="V157" s="4">
        <v>9</v>
      </c>
      <c r="W157" s="242">
        <f t="shared" si="120"/>
        <v>6718.5318049899543</v>
      </c>
      <c r="X157" s="131">
        <f t="shared" si="113"/>
        <v>81.553043011192131</v>
      </c>
      <c r="Z157" s="175">
        <f t="shared" si="121"/>
        <v>872744</v>
      </c>
      <c r="AA157" s="12">
        <f t="shared" si="122"/>
        <v>-8195</v>
      </c>
      <c r="AB157" s="379">
        <f t="shared" si="129"/>
        <v>872744</v>
      </c>
      <c r="AC157" s="107">
        <f>RESID!AC157</f>
        <v>31.9</v>
      </c>
      <c r="AD157" s="243">
        <f t="shared" si="123"/>
        <v>840067.8</v>
      </c>
      <c r="AE157" s="243">
        <f t="shared" ref="AE157:AE220" si="142">AD157-AD145</f>
        <v>78527.70000000007</v>
      </c>
      <c r="AG157" s="4">
        <f t="shared" si="124"/>
        <v>832253</v>
      </c>
      <c r="AJ157" s="269">
        <f t="shared" si="132"/>
        <v>775051</v>
      </c>
      <c r="AK157" s="269">
        <f t="shared" si="133"/>
        <v>38836</v>
      </c>
      <c r="AL157" s="276">
        <f t="shared" si="138"/>
        <v>19957.02441034092</v>
      </c>
      <c r="AM157" s="269">
        <f t="shared" si="134"/>
        <v>101844</v>
      </c>
      <c r="AN157" s="269">
        <f t="shared" si="135"/>
        <v>87783</v>
      </c>
      <c r="AO157" s="276">
        <f t="shared" si="139"/>
        <v>1160.1790779535902</v>
      </c>
      <c r="AP157" s="269">
        <f t="shared" si="136"/>
        <v>4044</v>
      </c>
      <c r="AQ157" s="269">
        <f t="shared" si="137"/>
        <v>3282</v>
      </c>
      <c r="AR157" s="276">
        <f t="shared" si="140"/>
        <v>1232.1755027422303</v>
      </c>
      <c r="AX157" s="4">
        <v>1995</v>
      </c>
      <c r="AY157" s="4">
        <v>9</v>
      </c>
      <c r="AZ157" s="76">
        <f>'[8]COM 55 &amp; 65'!$S242</f>
        <v>486.4</v>
      </c>
      <c r="BA157" s="76">
        <f t="shared" si="107"/>
        <v>487.9</v>
      </c>
      <c r="BB157" s="362">
        <f t="shared" si="130"/>
        <v>1.5</v>
      </c>
      <c r="BC157" s="362"/>
      <c r="BD157" s="76">
        <f>'[8]COM 55 &amp; 65'!$J242</f>
        <v>0</v>
      </c>
      <c r="BE157" s="76">
        <f t="shared" si="108"/>
        <v>0</v>
      </c>
      <c r="BF157" s="363">
        <f t="shared" si="131"/>
        <v>0</v>
      </c>
      <c r="BG157" s="244"/>
      <c r="BH157" s="244">
        <f t="shared" si="125"/>
        <v>1024.365</v>
      </c>
      <c r="BI157" s="242">
        <f t="shared" si="126"/>
        <v>0</v>
      </c>
      <c r="BJ157" s="242"/>
      <c r="BK157" s="241">
        <f t="shared" si="127"/>
        <v>1024</v>
      </c>
      <c r="BL157" s="262"/>
      <c r="BM157" s="36" t="s">
        <v>18</v>
      </c>
      <c r="BN157" s="4">
        <v>1995</v>
      </c>
      <c r="BO157" s="4">
        <v>9</v>
      </c>
    </row>
    <row r="158" spans="1:72" ht="12.75" customHeight="1">
      <c r="A158" s="22">
        <v>1995</v>
      </c>
      <c r="B158" s="4">
        <v>10</v>
      </c>
      <c r="C158" s="5">
        <v>777035</v>
      </c>
      <c r="D158" s="5">
        <v>127381</v>
      </c>
      <c r="E158" s="74">
        <f t="shared" si="114"/>
        <v>6100.1</v>
      </c>
      <c r="F158" s="13">
        <v>96026</v>
      </c>
      <c r="G158" s="347">
        <v>90523</v>
      </c>
      <c r="H158" s="13">
        <v>4658</v>
      </c>
      <c r="I158" s="13">
        <v>3094</v>
      </c>
      <c r="J158" s="574">
        <f>[5]CC!$E38</f>
        <v>127445</v>
      </c>
      <c r="K158" s="4">
        <f>'[7]COM 55 &amp; 65'!$S243</f>
        <v>463.5</v>
      </c>
      <c r="L158" s="4">
        <f t="shared" ref="L158:L221" si="143">L146</f>
        <v>431.2</v>
      </c>
      <c r="M158" s="135">
        <f t="shared" si="115"/>
        <v>-32.300000000000011</v>
      </c>
      <c r="N158" s="4">
        <f>'[7]COM 55 &amp; 65'!$J243</f>
        <v>0.2</v>
      </c>
      <c r="O158" s="4">
        <f t="shared" si="141"/>
        <v>0.2</v>
      </c>
      <c r="P158" s="41">
        <f t="shared" si="116"/>
        <v>0</v>
      </c>
      <c r="Q158" s="474">
        <f t="shared" si="117"/>
        <v>-22057.993000000006</v>
      </c>
      <c r="R158" s="472">
        <f t="shared" si="118"/>
        <v>0</v>
      </c>
      <c r="S158" s="241">
        <f t="shared" si="119"/>
        <v>-22058</v>
      </c>
      <c r="T158" s="13" t="s">
        <v>18</v>
      </c>
      <c r="U158" s="4">
        <v>1995</v>
      </c>
      <c r="V158" s="4">
        <v>10</v>
      </c>
      <c r="W158" s="242">
        <f t="shared" si="120"/>
        <v>5926.9200273196157</v>
      </c>
      <c r="X158" s="131">
        <f t="shared" ref="X158:X173" si="144">W158-W146</f>
        <v>-148.44144957168282</v>
      </c>
      <c r="Z158" s="175">
        <f t="shared" si="121"/>
        <v>754977</v>
      </c>
      <c r="AA158" s="12">
        <f t="shared" si="122"/>
        <v>-22058</v>
      </c>
      <c r="AB158" s="379">
        <f t="shared" si="129"/>
        <v>754977</v>
      </c>
      <c r="AC158" s="107">
        <f>RESID!AC158</f>
        <v>29.7</v>
      </c>
      <c r="AD158" s="243">
        <f t="shared" si="123"/>
        <v>795872.2</v>
      </c>
      <c r="AE158" s="243">
        <f t="shared" si="142"/>
        <v>59612.099999999977</v>
      </c>
      <c r="AG158" s="4">
        <f t="shared" si="124"/>
        <v>773279</v>
      </c>
      <c r="AJ158" s="269">
        <f t="shared" si="132"/>
        <v>676351</v>
      </c>
      <c r="AK158" s="269">
        <f t="shared" si="133"/>
        <v>33764</v>
      </c>
      <c r="AL158" s="276">
        <f t="shared" si="138"/>
        <v>20031.720175334678</v>
      </c>
      <c r="AM158" s="269">
        <f t="shared" si="134"/>
        <v>96026</v>
      </c>
      <c r="AN158" s="269">
        <f t="shared" si="135"/>
        <v>90523</v>
      </c>
      <c r="AO158" s="276">
        <f t="shared" si="139"/>
        <v>1060.7911801420632</v>
      </c>
      <c r="AP158" s="269">
        <f t="shared" si="136"/>
        <v>4658</v>
      </c>
      <c r="AQ158" s="269">
        <f t="shared" si="137"/>
        <v>3094</v>
      </c>
      <c r="AR158" s="276">
        <f t="shared" si="140"/>
        <v>1505.4945054945056</v>
      </c>
      <c r="AX158" s="4">
        <v>1995</v>
      </c>
      <c r="AY158" s="4">
        <v>10</v>
      </c>
      <c r="AZ158" s="76">
        <f>'[8]COM 55 &amp; 65'!$S243</f>
        <v>368.7</v>
      </c>
      <c r="BA158" s="76">
        <f t="shared" ref="BA158:BA221" si="145">BA146</f>
        <v>332.5</v>
      </c>
      <c r="BB158" s="362">
        <f t="shared" si="130"/>
        <v>-36.199999999999989</v>
      </c>
      <c r="BC158" s="362"/>
      <c r="BD158" s="76">
        <f>'[8]COM 55 &amp; 65'!$J243</f>
        <v>1.3</v>
      </c>
      <c r="BE158" s="76">
        <f t="shared" ref="BE158:BE221" si="146">BE146</f>
        <v>2</v>
      </c>
      <c r="BF158" s="363">
        <f t="shared" si="131"/>
        <v>0.7</v>
      </c>
      <c r="BG158" s="244"/>
      <c r="BH158" s="244">
        <f t="shared" si="125"/>
        <v>-24721.34199999999</v>
      </c>
      <c r="BI158" s="242">
        <f t="shared" si="126"/>
        <v>461.53800000000001</v>
      </c>
      <c r="BJ158" s="242"/>
      <c r="BK158" s="241">
        <f t="shared" si="127"/>
        <v>-24260</v>
      </c>
      <c r="BL158" s="262"/>
      <c r="BM158" s="36" t="s">
        <v>18</v>
      </c>
      <c r="BN158" s="4">
        <v>1995</v>
      </c>
      <c r="BO158" s="4">
        <v>10</v>
      </c>
    </row>
    <row r="159" spans="1:72" ht="12.75" customHeight="1">
      <c r="A159" s="22">
        <v>1995</v>
      </c>
      <c r="B159" s="4">
        <v>11</v>
      </c>
      <c r="C159" s="5">
        <v>741733</v>
      </c>
      <c r="D159" s="5">
        <v>130818</v>
      </c>
      <c r="E159" s="74">
        <f t="shared" si="114"/>
        <v>5670</v>
      </c>
      <c r="F159" s="13">
        <v>79408</v>
      </c>
      <c r="G159" s="347">
        <v>93108</v>
      </c>
      <c r="H159" s="13">
        <v>4670</v>
      </c>
      <c r="I159" s="13">
        <v>2894</v>
      </c>
      <c r="J159" s="574">
        <f>[5]CC!$E39</f>
        <v>128123</v>
      </c>
      <c r="K159" s="4">
        <f>'[7]COM 55 &amp; 65'!$S244</f>
        <v>258</v>
      </c>
      <c r="L159" s="4">
        <f t="shared" si="143"/>
        <v>251.9</v>
      </c>
      <c r="M159" s="135">
        <f t="shared" si="115"/>
        <v>-6.0999999999999943</v>
      </c>
      <c r="N159" s="4">
        <f>'[7]COM 55 &amp; 65'!$J244</f>
        <v>9.6</v>
      </c>
      <c r="O159" s="4">
        <f t="shared" si="141"/>
        <v>6.3</v>
      </c>
      <c r="P159" s="41">
        <f t="shared" si="116"/>
        <v>-3.3</v>
      </c>
      <c r="Q159" s="474">
        <f t="shared" si="117"/>
        <v>-4165.7509999999957</v>
      </c>
      <c r="R159" s="472">
        <f t="shared" si="118"/>
        <v>-2175.8220000000001</v>
      </c>
      <c r="S159" s="241">
        <f t="shared" si="119"/>
        <v>-6342</v>
      </c>
      <c r="T159" s="13" t="s">
        <v>18</v>
      </c>
      <c r="U159" s="4">
        <v>1995</v>
      </c>
      <c r="V159" s="4">
        <v>11</v>
      </c>
      <c r="W159" s="242">
        <f t="shared" si="120"/>
        <v>5621.4817532755433</v>
      </c>
      <c r="X159" s="131">
        <f t="shared" si="144"/>
        <v>250.16497228819935</v>
      </c>
      <c r="Z159" s="175">
        <f t="shared" si="121"/>
        <v>735391</v>
      </c>
      <c r="AA159" s="12">
        <f t="shared" si="122"/>
        <v>-6342</v>
      </c>
      <c r="AB159" s="379">
        <f t="shared" si="129"/>
        <v>735391</v>
      </c>
      <c r="AC159" s="107">
        <f>RESID!AC159</f>
        <v>29.6</v>
      </c>
      <c r="AD159" s="243">
        <f t="shared" si="123"/>
        <v>762281</v>
      </c>
      <c r="AE159" s="243">
        <f t="shared" si="142"/>
        <v>72279.599999999977</v>
      </c>
      <c r="AG159" s="4">
        <f t="shared" si="124"/>
        <v>755763</v>
      </c>
      <c r="AJ159" s="269">
        <f t="shared" si="132"/>
        <v>657655</v>
      </c>
      <c r="AK159" s="269">
        <f t="shared" si="133"/>
        <v>34816</v>
      </c>
      <c r="AL159" s="276">
        <f t="shared" si="138"/>
        <v>18889.447380514706</v>
      </c>
      <c r="AM159" s="269">
        <f t="shared" si="134"/>
        <v>79408</v>
      </c>
      <c r="AN159" s="269">
        <f t="shared" si="135"/>
        <v>93108</v>
      </c>
      <c r="AO159" s="276">
        <f t="shared" si="139"/>
        <v>852.8590454096319</v>
      </c>
      <c r="AP159" s="269">
        <f t="shared" si="136"/>
        <v>4670</v>
      </c>
      <c r="AQ159" s="269">
        <f t="shared" si="137"/>
        <v>2894</v>
      </c>
      <c r="AR159" s="276">
        <f t="shared" si="140"/>
        <v>1613.6834830684174</v>
      </c>
      <c r="AX159" s="4">
        <v>1995</v>
      </c>
      <c r="AY159" s="4">
        <v>11</v>
      </c>
      <c r="AZ159" s="76">
        <f>'[8]COM 55 &amp; 65'!$S244</f>
        <v>110</v>
      </c>
      <c r="BA159" s="76">
        <f t="shared" si="145"/>
        <v>146</v>
      </c>
      <c r="BB159" s="362">
        <f t="shared" si="130"/>
        <v>36</v>
      </c>
      <c r="BC159" s="362"/>
      <c r="BD159" s="76">
        <f>'[8]COM 55 &amp; 65'!$J244</f>
        <v>30.1</v>
      </c>
      <c r="BE159" s="76">
        <f t="shared" si="146"/>
        <v>14</v>
      </c>
      <c r="BF159" s="363">
        <f t="shared" si="131"/>
        <v>-16.100000000000001</v>
      </c>
      <c r="BG159" s="244"/>
      <c r="BH159" s="244">
        <f t="shared" si="125"/>
        <v>24584.76</v>
      </c>
      <c r="BI159" s="242">
        <f t="shared" si="126"/>
        <v>-10615.374000000002</v>
      </c>
      <c r="BJ159" s="242"/>
      <c r="BK159" s="241">
        <f t="shared" si="127"/>
        <v>13969</v>
      </c>
      <c r="BL159" s="262"/>
      <c r="BM159" s="36" t="s">
        <v>18</v>
      </c>
      <c r="BN159" s="4">
        <v>1995</v>
      </c>
      <c r="BO159" s="4">
        <v>11</v>
      </c>
    </row>
    <row r="160" spans="1:72" s="89" customFormat="1" ht="12.75" customHeight="1">
      <c r="A160" s="225">
        <v>1995</v>
      </c>
      <c r="B160" s="89">
        <v>12</v>
      </c>
      <c r="C160" s="103">
        <v>627762</v>
      </c>
      <c r="D160" s="103">
        <v>126081</v>
      </c>
      <c r="E160" s="109">
        <f t="shared" si="114"/>
        <v>4979</v>
      </c>
      <c r="F160" s="90">
        <v>71394</v>
      </c>
      <c r="G160" s="348">
        <v>89537</v>
      </c>
      <c r="H160" s="90">
        <v>4470</v>
      </c>
      <c r="I160" s="90">
        <v>2974</v>
      </c>
      <c r="J160" s="575">
        <f>[5]CC!$E40</f>
        <v>127233</v>
      </c>
      <c r="K160" s="89">
        <f>'[7]COM 55 &amp; 65'!$S245</f>
        <v>87</v>
      </c>
      <c r="L160" s="89">
        <f t="shared" si="143"/>
        <v>119.4</v>
      </c>
      <c r="M160" s="136">
        <f t="shared" si="115"/>
        <v>32.400000000000006</v>
      </c>
      <c r="N160" s="89">
        <f>'[7]COM 55 &amp; 65'!$J245</f>
        <v>35.6</v>
      </c>
      <c r="O160" s="89">
        <f t="shared" si="141"/>
        <v>30.1</v>
      </c>
      <c r="P160" s="94">
        <f t="shared" si="116"/>
        <v>-5.5</v>
      </c>
      <c r="Q160" s="475">
        <f t="shared" si="117"/>
        <v>22126.284000000003</v>
      </c>
      <c r="R160" s="473">
        <f t="shared" si="118"/>
        <v>-3626.3700000000003</v>
      </c>
      <c r="S160" s="329">
        <f t="shared" si="119"/>
        <v>18500</v>
      </c>
      <c r="T160" s="90" t="s">
        <v>18</v>
      </c>
      <c r="U160" s="89">
        <v>1995</v>
      </c>
      <c r="V160" s="89">
        <v>12</v>
      </c>
      <c r="W160" s="328">
        <f t="shared" si="120"/>
        <v>5125.76835526368</v>
      </c>
      <c r="X160" s="133">
        <f t="shared" si="144"/>
        <v>50.725552894076827</v>
      </c>
      <c r="Z160" s="176">
        <f t="shared" si="121"/>
        <v>646262</v>
      </c>
      <c r="AA160" s="105">
        <f t="shared" si="122"/>
        <v>18500</v>
      </c>
      <c r="AB160" s="517">
        <f t="shared" si="129"/>
        <v>646262</v>
      </c>
      <c r="AC160" s="110">
        <f>RESID!AC160</f>
        <v>30.65</v>
      </c>
      <c r="AD160" s="331">
        <f t="shared" si="123"/>
        <v>623051.19999999995</v>
      </c>
      <c r="AE160" s="331">
        <f t="shared" si="142"/>
        <v>-17787.800000000047</v>
      </c>
      <c r="AG160" s="89">
        <f t="shared" si="124"/>
        <v>641412</v>
      </c>
      <c r="AJ160" s="351">
        <f t="shared" si="132"/>
        <v>551898</v>
      </c>
      <c r="AK160" s="351">
        <f t="shared" si="133"/>
        <v>33570</v>
      </c>
      <c r="AL160" s="277">
        <f t="shared" si="138"/>
        <v>16440.214477211797</v>
      </c>
      <c r="AM160" s="351">
        <f t="shared" si="134"/>
        <v>71394</v>
      </c>
      <c r="AN160" s="351">
        <f t="shared" si="135"/>
        <v>89537</v>
      </c>
      <c r="AO160" s="277">
        <f t="shared" si="139"/>
        <v>797.368685571328</v>
      </c>
      <c r="AP160" s="351">
        <f t="shared" si="136"/>
        <v>4470</v>
      </c>
      <c r="AQ160" s="351">
        <f t="shared" si="137"/>
        <v>2974</v>
      </c>
      <c r="AR160" s="277">
        <f t="shared" si="140"/>
        <v>1503.0262273032952</v>
      </c>
      <c r="AX160" s="89">
        <v>1995</v>
      </c>
      <c r="AY160" s="89">
        <v>12</v>
      </c>
      <c r="AZ160" s="92">
        <f>'[8]COM 55 &amp; 65'!$S245</f>
        <v>69.599999999999994</v>
      </c>
      <c r="BA160" s="92">
        <f t="shared" si="145"/>
        <v>75.7</v>
      </c>
      <c r="BB160" s="364">
        <f t="shared" si="130"/>
        <v>6.1000000000000085</v>
      </c>
      <c r="BC160" s="364"/>
      <c r="BD160" s="92">
        <f>'[8]COM 55 &amp; 65'!$J245</f>
        <v>93.3</v>
      </c>
      <c r="BE160" s="92">
        <f t="shared" si="146"/>
        <v>44.3</v>
      </c>
      <c r="BF160" s="365">
        <f t="shared" si="131"/>
        <v>-49</v>
      </c>
      <c r="BG160" s="327"/>
      <c r="BH160" s="327">
        <f t="shared" si="125"/>
        <v>4165.7510000000057</v>
      </c>
      <c r="BI160" s="328">
        <f t="shared" si="126"/>
        <v>-32307.66</v>
      </c>
      <c r="BJ160" s="328"/>
      <c r="BK160" s="329">
        <f t="shared" si="127"/>
        <v>-28142</v>
      </c>
      <c r="BL160" s="332"/>
      <c r="BM160" s="113" t="s">
        <v>18</v>
      </c>
      <c r="BN160" s="89">
        <v>1995</v>
      </c>
      <c r="BO160" s="89">
        <v>12</v>
      </c>
      <c r="BT160" s="96"/>
    </row>
    <row r="161" spans="1:74" ht="12.75" customHeight="1">
      <c r="A161" s="22">
        <v>1996</v>
      </c>
      <c r="B161" s="4">
        <v>1</v>
      </c>
      <c r="C161" s="5">
        <v>610439</v>
      </c>
      <c r="D161" s="5">
        <v>127267</v>
      </c>
      <c r="E161" s="74">
        <f t="shared" si="114"/>
        <v>4796.5</v>
      </c>
      <c r="F161" s="13">
        <v>71516</v>
      </c>
      <c r="G161" s="347">
        <v>90683</v>
      </c>
      <c r="H161" s="13">
        <v>4556</v>
      </c>
      <c r="I161" s="13">
        <v>2930</v>
      </c>
      <c r="J161" s="574">
        <f>[5]CC!$E41</f>
        <v>128416</v>
      </c>
      <c r="K161" s="4">
        <f>'[7]COM 55 &amp; 65'!$S246</f>
        <v>48.4</v>
      </c>
      <c r="L161" s="4">
        <f t="shared" si="143"/>
        <v>70.8</v>
      </c>
      <c r="M161" s="135">
        <f t="shared" si="115"/>
        <v>22.4</v>
      </c>
      <c r="N161" s="4">
        <f>'[7]COM 55 &amp; 65'!$J246</f>
        <v>122.5</v>
      </c>
      <c r="O161" s="4">
        <f t="shared" si="141"/>
        <v>54.9</v>
      </c>
      <c r="P161" s="41">
        <f t="shared" si="116"/>
        <v>-67.599999999999994</v>
      </c>
      <c r="Q161" s="474">
        <f t="shared" si="117"/>
        <v>15297.183999999997</v>
      </c>
      <c r="R161" s="472">
        <f t="shared" si="118"/>
        <v>-44571.383999999998</v>
      </c>
      <c r="S161" s="241">
        <f t="shared" si="119"/>
        <v>-29274</v>
      </c>
      <c r="T161" s="13" t="s">
        <v>18</v>
      </c>
      <c r="U161" s="4">
        <v>1996</v>
      </c>
      <c r="V161" s="4">
        <v>1</v>
      </c>
      <c r="W161" s="242">
        <f t="shared" si="120"/>
        <v>4566.5019211578801</v>
      </c>
      <c r="X161" s="131">
        <f t="shared" si="144"/>
        <v>-477.98558406837674</v>
      </c>
      <c r="Z161" s="175">
        <f t="shared" si="121"/>
        <v>581165</v>
      </c>
      <c r="AA161" s="12">
        <f t="shared" si="122"/>
        <v>-29274</v>
      </c>
      <c r="AB161" s="379">
        <f t="shared" si="129"/>
        <v>581165</v>
      </c>
      <c r="AC161" s="107">
        <f>RESID!AC161</f>
        <v>30.5</v>
      </c>
      <c r="AD161" s="243">
        <f t="shared" si="123"/>
        <v>608837.80000000005</v>
      </c>
      <c r="AE161" s="243">
        <f t="shared" si="142"/>
        <v>10071.5</v>
      </c>
      <c r="AG161" s="4">
        <f t="shared" si="124"/>
        <v>579641</v>
      </c>
      <c r="AJ161" s="269">
        <f t="shared" si="132"/>
        <v>534367</v>
      </c>
      <c r="AK161" s="269">
        <f t="shared" si="133"/>
        <v>33654</v>
      </c>
      <c r="AL161" s="276">
        <f t="shared" si="138"/>
        <v>15878.261127949128</v>
      </c>
      <c r="AM161" s="269">
        <f t="shared" si="134"/>
        <v>71516</v>
      </c>
      <c r="AN161" s="269">
        <f t="shared" si="135"/>
        <v>90683</v>
      </c>
      <c r="AO161" s="276">
        <f t="shared" si="139"/>
        <v>788.63734106723427</v>
      </c>
      <c r="AP161" s="269">
        <f t="shared" si="136"/>
        <v>4556</v>
      </c>
      <c r="AQ161" s="269">
        <f t="shared" si="137"/>
        <v>2930</v>
      </c>
      <c r="AR161" s="276">
        <f t="shared" si="140"/>
        <v>1554.9488054607507</v>
      </c>
      <c r="AX161" s="4">
        <v>1996</v>
      </c>
      <c r="AY161" s="4">
        <v>1</v>
      </c>
      <c r="AZ161" s="76">
        <f>'[8]COM 55 &amp; 65'!$S246</f>
        <v>48</v>
      </c>
      <c r="BA161" s="76">
        <f t="shared" si="145"/>
        <v>72.3</v>
      </c>
      <c r="BB161" s="362">
        <f t="shared" si="130"/>
        <v>24.299999999999997</v>
      </c>
      <c r="BC161" s="362"/>
      <c r="BD161" s="76">
        <f>'[8]COM 55 &amp; 65'!$J246</f>
        <v>90.6</v>
      </c>
      <c r="BE161" s="76">
        <f t="shared" si="146"/>
        <v>52.4</v>
      </c>
      <c r="BF161" s="363">
        <f t="shared" si="131"/>
        <v>-38.199999999999996</v>
      </c>
      <c r="BG161" s="244"/>
      <c r="BH161" s="244">
        <f t="shared" si="125"/>
        <v>16594.712999999996</v>
      </c>
      <c r="BI161" s="242">
        <f t="shared" si="126"/>
        <v>-25186.787999999997</v>
      </c>
      <c r="BJ161" s="242"/>
      <c r="BK161" s="241">
        <f t="shared" si="127"/>
        <v>-8592</v>
      </c>
      <c r="BL161" s="262"/>
      <c r="BM161" s="36" t="s">
        <v>18</v>
      </c>
      <c r="BN161" s="4">
        <v>1996</v>
      </c>
      <c r="BO161" s="4">
        <v>1</v>
      </c>
    </row>
    <row r="162" spans="1:74" ht="12.75" customHeight="1">
      <c r="A162" s="22">
        <v>1996</v>
      </c>
      <c r="B162" s="4">
        <v>2</v>
      </c>
      <c r="C162" s="5">
        <v>661745</v>
      </c>
      <c r="D162" s="5">
        <v>128692</v>
      </c>
      <c r="E162" s="74">
        <f t="shared" si="114"/>
        <v>5142.1000000000004</v>
      </c>
      <c r="F162" s="13">
        <v>75623</v>
      </c>
      <c r="G162" s="347">
        <v>91624</v>
      </c>
      <c r="H162" s="13">
        <v>4616</v>
      </c>
      <c r="I162" s="13">
        <v>2932</v>
      </c>
      <c r="J162" s="574">
        <f>[5]CC!$E42</f>
        <v>128504</v>
      </c>
      <c r="K162" s="4">
        <f>'[7]COM 55 &amp; 65'!$S247</f>
        <v>52.6</v>
      </c>
      <c r="L162" s="4">
        <f t="shared" si="143"/>
        <v>62.7</v>
      </c>
      <c r="M162" s="135">
        <f t="shared" si="115"/>
        <v>10.100000000000001</v>
      </c>
      <c r="N162" s="4">
        <f>'[7]COM 55 &amp; 65'!$J247</f>
        <v>94.4</v>
      </c>
      <c r="O162" s="4">
        <f t="shared" si="141"/>
        <v>46.9</v>
      </c>
      <c r="P162" s="41">
        <f t="shared" si="116"/>
        <v>-47.500000000000007</v>
      </c>
      <c r="Q162" s="474">
        <f t="shared" si="117"/>
        <v>6897.3910000000005</v>
      </c>
      <c r="R162" s="472">
        <f t="shared" si="118"/>
        <v>-31318.650000000005</v>
      </c>
      <c r="S162" s="241">
        <f t="shared" si="119"/>
        <v>-24421</v>
      </c>
      <c r="T162" s="13" t="s">
        <v>18</v>
      </c>
      <c r="U162" s="4">
        <v>1996</v>
      </c>
      <c r="V162" s="4">
        <v>2</v>
      </c>
      <c r="W162" s="242">
        <f t="shared" si="120"/>
        <v>4952.3202685481619</v>
      </c>
      <c r="X162" s="131">
        <f t="shared" si="144"/>
        <v>349.02776991467726</v>
      </c>
      <c r="Z162" s="175">
        <f t="shared" si="121"/>
        <v>637324</v>
      </c>
      <c r="AA162" s="12">
        <f t="shared" si="122"/>
        <v>-24421</v>
      </c>
      <c r="AB162" s="379">
        <f t="shared" si="129"/>
        <v>637324</v>
      </c>
      <c r="AC162" s="107">
        <f>RESID!AC162</f>
        <v>31.05</v>
      </c>
      <c r="AD162" s="243">
        <f t="shared" si="123"/>
        <v>648318.30000000005</v>
      </c>
      <c r="AE162" s="243">
        <f t="shared" si="142"/>
        <v>57635.800000000047</v>
      </c>
      <c r="AG162" s="4">
        <f t="shared" si="124"/>
        <v>624393</v>
      </c>
      <c r="AJ162" s="269">
        <f t="shared" si="132"/>
        <v>581506</v>
      </c>
      <c r="AK162" s="269">
        <f t="shared" si="133"/>
        <v>34136</v>
      </c>
      <c r="AL162" s="276">
        <f t="shared" si="138"/>
        <v>17034.977736114368</v>
      </c>
      <c r="AM162" s="269">
        <f t="shared" si="134"/>
        <v>75623</v>
      </c>
      <c r="AN162" s="269">
        <f t="shared" si="135"/>
        <v>91624</v>
      </c>
      <c r="AO162" s="276">
        <f t="shared" si="139"/>
        <v>825.36235047585785</v>
      </c>
      <c r="AP162" s="269">
        <f t="shared" si="136"/>
        <v>4616</v>
      </c>
      <c r="AQ162" s="269">
        <f t="shared" si="137"/>
        <v>2932</v>
      </c>
      <c r="AR162" s="276">
        <f t="shared" si="140"/>
        <v>1574.3519781718965</v>
      </c>
      <c r="AX162" s="4">
        <v>1996</v>
      </c>
      <c r="AY162" s="4">
        <v>2</v>
      </c>
      <c r="AZ162" s="76">
        <f>'[8]COM 55 &amp; 65'!$S247</f>
        <v>74.2</v>
      </c>
      <c r="BA162" s="76">
        <f t="shared" si="145"/>
        <v>82.6</v>
      </c>
      <c r="BB162" s="362">
        <f t="shared" si="130"/>
        <v>8.3999999999999915</v>
      </c>
      <c r="BC162" s="362"/>
      <c r="BD162" s="76">
        <f>'[8]COM 55 &amp; 65'!$J247</f>
        <v>86</v>
      </c>
      <c r="BE162" s="76">
        <f t="shared" si="146"/>
        <v>36.5</v>
      </c>
      <c r="BF162" s="363">
        <f t="shared" si="131"/>
        <v>-49.5</v>
      </c>
      <c r="BG162" s="244"/>
      <c r="BH162" s="244">
        <f t="shared" si="125"/>
        <v>5736.443999999994</v>
      </c>
      <c r="BI162" s="242">
        <f t="shared" si="126"/>
        <v>-32637.33</v>
      </c>
      <c r="BJ162" s="242"/>
      <c r="BK162" s="241">
        <f t="shared" si="127"/>
        <v>-26901</v>
      </c>
      <c r="BL162" s="262"/>
      <c r="BM162" s="36" t="s">
        <v>18</v>
      </c>
      <c r="BN162" s="4">
        <v>1996</v>
      </c>
      <c r="BO162" s="4">
        <v>2</v>
      </c>
    </row>
    <row r="163" spans="1:74" ht="12.75" customHeight="1">
      <c r="A163" s="22">
        <v>1996</v>
      </c>
      <c r="B163" s="4">
        <v>3</v>
      </c>
      <c r="C163" s="5">
        <v>616715</v>
      </c>
      <c r="D163" s="5">
        <v>128383</v>
      </c>
      <c r="E163" s="74">
        <f t="shared" si="114"/>
        <v>4803.7</v>
      </c>
      <c r="F163" s="13">
        <v>74149</v>
      </c>
      <c r="G163" s="347">
        <v>91504</v>
      </c>
      <c r="H163" s="13">
        <v>4617</v>
      </c>
      <c r="I163" s="13">
        <v>2943</v>
      </c>
      <c r="J163" s="574">
        <f>[5]CC!$E43</f>
        <v>128247</v>
      </c>
      <c r="K163" s="4">
        <f>'[7]COM 55 &amp; 65'!$S248</f>
        <v>79.7</v>
      </c>
      <c r="L163" s="4">
        <f t="shared" si="143"/>
        <v>105.4</v>
      </c>
      <c r="M163" s="135">
        <f t="shared" si="115"/>
        <v>25.700000000000003</v>
      </c>
      <c r="N163" s="4">
        <f>'[7]COM 55 &amp; 65'!$J248</f>
        <v>66.8</v>
      </c>
      <c r="O163" s="4">
        <f t="shared" si="141"/>
        <v>26.8</v>
      </c>
      <c r="P163" s="41">
        <f t="shared" si="116"/>
        <v>-40</v>
      </c>
      <c r="Q163" s="474">
        <f t="shared" si="117"/>
        <v>17550.787</v>
      </c>
      <c r="R163" s="472">
        <f t="shared" si="118"/>
        <v>-26373.600000000002</v>
      </c>
      <c r="S163" s="241">
        <f t="shared" si="119"/>
        <v>-8823</v>
      </c>
      <c r="T163" s="13" t="s">
        <v>18</v>
      </c>
      <c r="U163" s="4">
        <v>1996</v>
      </c>
      <c r="V163" s="4">
        <v>3</v>
      </c>
      <c r="W163" s="242">
        <f t="shared" si="120"/>
        <v>4734.988277264124</v>
      </c>
      <c r="X163" s="131">
        <f t="shared" si="144"/>
        <v>-249.31196197032659</v>
      </c>
      <c r="Z163" s="175">
        <f t="shared" si="121"/>
        <v>607892</v>
      </c>
      <c r="AA163" s="12">
        <f t="shared" si="122"/>
        <v>-8823</v>
      </c>
      <c r="AB163" s="379">
        <f t="shared" si="129"/>
        <v>607892</v>
      </c>
      <c r="AC163" s="107">
        <f>RESID!AC163</f>
        <v>29.4</v>
      </c>
      <c r="AD163" s="243">
        <f t="shared" si="123"/>
        <v>638111.19999999995</v>
      </c>
      <c r="AE163" s="243">
        <f t="shared" si="142"/>
        <v>23358.199999999953</v>
      </c>
      <c r="AG163" s="4">
        <f t="shared" si="124"/>
        <v>628982</v>
      </c>
      <c r="AJ163" s="269">
        <f t="shared" si="132"/>
        <v>537949</v>
      </c>
      <c r="AK163" s="269">
        <f t="shared" si="133"/>
        <v>33936</v>
      </c>
      <c r="AL163" s="276">
        <f t="shared" si="138"/>
        <v>15851.868222536539</v>
      </c>
      <c r="AM163" s="269">
        <f t="shared" si="134"/>
        <v>74149</v>
      </c>
      <c r="AN163" s="269">
        <f t="shared" si="135"/>
        <v>91504</v>
      </c>
      <c r="AO163" s="276">
        <f t="shared" si="139"/>
        <v>810.33616016786152</v>
      </c>
      <c r="AP163" s="269">
        <f t="shared" si="136"/>
        <v>4617</v>
      </c>
      <c r="AQ163" s="269">
        <f t="shared" si="137"/>
        <v>2943</v>
      </c>
      <c r="AR163" s="276">
        <f t="shared" si="140"/>
        <v>1568.8073394495411</v>
      </c>
      <c r="AX163" s="4">
        <v>1996</v>
      </c>
      <c r="AY163" s="4">
        <v>3</v>
      </c>
      <c r="AZ163" s="76">
        <f>'[8]COM 55 &amp; 65'!$S248</f>
        <v>91.7</v>
      </c>
      <c r="BA163" s="76">
        <f t="shared" si="145"/>
        <v>140.4</v>
      </c>
      <c r="BB163" s="362">
        <f t="shared" si="130"/>
        <v>48.7</v>
      </c>
      <c r="BC163" s="362"/>
      <c r="BD163" s="76">
        <f>'[8]COM 55 &amp; 65'!$J248</f>
        <v>60</v>
      </c>
      <c r="BE163" s="76">
        <f t="shared" si="146"/>
        <v>15.1</v>
      </c>
      <c r="BF163" s="363">
        <f t="shared" si="131"/>
        <v>-44.9</v>
      </c>
      <c r="BG163" s="244"/>
      <c r="BH163" s="244">
        <f t="shared" si="125"/>
        <v>33257.716999999997</v>
      </c>
      <c r="BI163" s="242">
        <f t="shared" si="126"/>
        <v>-29604.366000000002</v>
      </c>
      <c r="BJ163" s="242"/>
      <c r="BK163" s="241">
        <f t="shared" si="127"/>
        <v>3653</v>
      </c>
      <c r="BL163" s="262"/>
      <c r="BM163" s="36" t="s">
        <v>18</v>
      </c>
      <c r="BN163" s="4">
        <v>1996</v>
      </c>
      <c r="BO163" s="4">
        <v>3</v>
      </c>
    </row>
    <row r="164" spans="1:74" ht="12.75" customHeight="1">
      <c r="A164" s="22">
        <v>1996</v>
      </c>
      <c r="B164" s="4">
        <v>4</v>
      </c>
      <c r="C164" s="5">
        <v>655624</v>
      </c>
      <c r="D164" s="5">
        <v>128622</v>
      </c>
      <c r="E164" s="74">
        <f t="shared" si="114"/>
        <v>5097.3</v>
      </c>
      <c r="F164" s="13">
        <v>75992</v>
      </c>
      <c r="G164" s="347">
        <v>91480</v>
      </c>
      <c r="H164" s="13">
        <v>4698</v>
      </c>
      <c r="I164" s="13">
        <v>2964</v>
      </c>
      <c r="J164" s="574">
        <f>[5]CC!$E44</f>
        <v>128550</v>
      </c>
      <c r="K164" s="4">
        <f>'[7]COM 55 &amp; 65'!$S249</f>
        <v>112.6</v>
      </c>
      <c r="L164" s="4">
        <f t="shared" si="143"/>
        <v>178.4</v>
      </c>
      <c r="M164" s="135">
        <f t="shared" si="115"/>
        <v>65.800000000000011</v>
      </c>
      <c r="N164" s="4">
        <f>'[7]COM 55 &amp; 65'!$J249</f>
        <v>36.200000000000003</v>
      </c>
      <c r="O164" s="4">
        <f t="shared" si="141"/>
        <v>9.5</v>
      </c>
      <c r="P164" s="41">
        <f t="shared" si="116"/>
        <v>-26.700000000000003</v>
      </c>
      <c r="Q164" s="474">
        <f t="shared" si="117"/>
        <v>44935.478000000003</v>
      </c>
      <c r="R164" s="472">
        <f t="shared" si="118"/>
        <v>-17604.378000000004</v>
      </c>
      <c r="S164" s="241">
        <f t="shared" si="119"/>
        <v>27331</v>
      </c>
      <c r="T164" s="13" t="s">
        <v>18</v>
      </c>
      <c r="U164" s="4">
        <v>1996</v>
      </c>
      <c r="V164" s="4">
        <v>4</v>
      </c>
      <c r="W164" s="242">
        <f t="shared" si="120"/>
        <v>5309.7837072973516</v>
      </c>
      <c r="X164" s="131">
        <f t="shared" si="144"/>
        <v>71.433188697723381</v>
      </c>
      <c r="Z164" s="175">
        <f t="shared" si="121"/>
        <v>682955</v>
      </c>
      <c r="AA164" s="12">
        <f t="shared" si="122"/>
        <v>27331</v>
      </c>
      <c r="AB164" s="379">
        <f t="shared" si="129"/>
        <v>682955</v>
      </c>
      <c r="AC164" s="107">
        <f>RESID!AC164</f>
        <v>30.35</v>
      </c>
      <c r="AD164" s="243">
        <f t="shared" si="123"/>
        <v>657136.1</v>
      </c>
      <c r="AE164" s="243">
        <f t="shared" si="142"/>
        <v>-10364.900000000023</v>
      </c>
      <c r="AG164" s="4">
        <f t="shared" si="124"/>
        <v>684530</v>
      </c>
      <c r="AJ164" s="269">
        <f t="shared" si="132"/>
        <v>574934</v>
      </c>
      <c r="AK164" s="269">
        <f t="shared" si="133"/>
        <v>34178</v>
      </c>
      <c r="AL164" s="276">
        <f t="shared" si="138"/>
        <v>16821.756685587221</v>
      </c>
      <c r="AM164" s="269">
        <f t="shared" si="134"/>
        <v>75992</v>
      </c>
      <c r="AN164" s="269">
        <f t="shared" si="135"/>
        <v>91480</v>
      </c>
      <c r="AO164" s="276">
        <f t="shared" si="139"/>
        <v>830.69523393091379</v>
      </c>
      <c r="AP164" s="269">
        <f t="shared" si="136"/>
        <v>4698</v>
      </c>
      <c r="AQ164" s="269">
        <f t="shared" si="137"/>
        <v>2964</v>
      </c>
      <c r="AR164" s="276">
        <f t="shared" si="140"/>
        <v>1585.0202429149797</v>
      </c>
      <c r="AX164" s="4">
        <v>1996</v>
      </c>
      <c r="AY164" s="4">
        <v>4</v>
      </c>
      <c r="AZ164" s="76">
        <f>'[8]COM 55 &amp; 65'!$S249</f>
        <v>201.1</v>
      </c>
      <c r="BA164" s="76">
        <f t="shared" si="145"/>
        <v>227.4</v>
      </c>
      <c r="BB164" s="362">
        <f t="shared" si="130"/>
        <v>26.300000000000011</v>
      </c>
      <c r="BC164" s="362"/>
      <c r="BD164" s="76">
        <f>'[8]COM 55 &amp; 65'!$J249</f>
        <v>7.3</v>
      </c>
      <c r="BE164" s="76">
        <f t="shared" si="146"/>
        <v>4.8</v>
      </c>
      <c r="BF164" s="363">
        <f t="shared" si="131"/>
        <v>-2.5</v>
      </c>
      <c r="BG164" s="244"/>
      <c r="BH164" s="244">
        <f t="shared" si="125"/>
        <v>17960.533000000007</v>
      </c>
      <c r="BI164" s="242">
        <f t="shared" si="126"/>
        <v>-1648.3500000000001</v>
      </c>
      <c r="BJ164" s="242"/>
      <c r="BK164" s="241">
        <f t="shared" si="127"/>
        <v>16312</v>
      </c>
      <c r="BL164" s="262"/>
      <c r="BM164" s="36" t="s">
        <v>18</v>
      </c>
      <c r="BN164" s="4">
        <v>1996</v>
      </c>
      <c r="BO164" s="4">
        <v>4</v>
      </c>
    </row>
    <row r="165" spans="1:74" ht="12.75" customHeight="1">
      <c r="A165" s="22">
        <v>1996</v>
      </c>
      <c r="B165" s="4">
        <v>5</v>
      </c>
      <c r="C165" s="5">
        <v>696298</v>
      </c>
      <c r="D165" s="5">
        <v>125862</v>
      </c>
      <c r="E165" s="74">
        <f t="shared" si="114"/>
        <v>5532.2</v>
      </c>
      <c r="F165" s="13">
        <v>80112</v>
      </c>
      <c r="G165" s="347">
        <v>89815</v>
      </c>
      <c r="H165" s="13">
        <v>4666</v>
      </c>
      <c r="I165" s="13">
        <v>2975</v>
      </c>
      <c r="J165" s="574">
        <f>[5]CC!$E45</f>
        <v>128664</v>
      </c>
      <c r="K165" s="4">
        <f>'[7]COM 55 &amp; 65'!$S250</f>
        <v>287.3</v>
      </c>
      <c r="L165" s="4">
        <f t="shared" si="143"/>
        <v>273.89999999999998</v>
      </c>
      <c r="M165" s="135">
        <f t="shared" si="115"/>
        <v>-13.400000000000034</v>
      </c>
      <c r="N165" s="4">
        <f>'[7]COM 55 &amp; 65'!$J250</f>
        <v>3.7</v>
      </c>
      <c r="O165" s="4">
        <f t="shared" si="141"/>
        <v>2</v>
      </c>
      <c r="P165" s="41">
        <f t="shared" si="116"/>
        <v>-1.7000000000000002</v>
      </c>
      <c r="Q165" s="474">
        <f t="shared" si="117"/>
        <v>-9150.9940000000224</v>
      </c>
      <c r="R165" s="472">
        <f t="shared" si="118"/>
        <v>-1120.8780000000002</v>
      </c>
      <c r="S165" s="241">
        <f t="shared" si="119"/>
        <v>-10272</v>
      </c>
      <c r="T165" s="13" t="s">
        <v>18</v>
      </c>
      <c r="U165" s="4">
        <v>1996</v>
      </c>
      <c r="V165" s="4">
        <v>5</v>
      </c>
      <c r="W165" s="242">
        <f t="shared" si="120"/>
        <v>5450.6205208879564</v>
      </c>
      <c r="X165" s="131">
        <f t="shared" si="144"/>
        <v>-13.017026518329658</v>
      </c>
      <c r="Z165" s="175">
        <f t="shared" si="121"/>
        <v>686026</v>
      </c>
      <c r="AA165" s="12">
        <f t="shared" si="122"/>
        <v>-10272</v>
      </c>
      <c r="AB165" s="379">
        <f t="shared" si="129"/>
        <v>686026</v>
      </c>
      <c r="AC165" s="107">
        <f>RESID!AC165</f>
        <v>29.85</v>
      </c>
      <c r="AD165" s="243">
        <f t="shared" si="123"/>
        <v>709594.1</v>
      </c>
      <c r="AE165" s="243">
        <f t="shared" si="142"/>
        <v>-13233.400000000023</v>
      </c>
      <c r="AG165" s="4">
        <f t="shared" si="124"/>
        <v>699126</v>
      </c>
      <c r="AJ165" s="269">
        <f t="shared" si="132"/>
        <v>611520</v>
      </c>
      <c r="AK165" s="269">
        <f t="shared" si="133"/>
        <v>33072</v>
      </c>
      <c r="AL165" s="276">
        <f t="shared" si="138"/>
        <v>18490.566037735851</v>
      </c>
      <c r="AM165" s="269">
        <f t="shared" si="134"/>
        <v>80112</v>
      </c>
      <c r="AN165" s="269">
        <f t="shared" si="135"/>
        <v>89815</v>
      </c>
      <c r="AO165" s="276">
        <f t="shared" si="139"/>
        <v>891.96682068696759</v>
      </c>
      <c r="AP165" s="269">
        <f t="shared" si="136"/>
        <v>4666</v>
      </c>
      <c r="AQ165" s="269">
        <f t="shared" si="137"/>
        <v>2975</v>
      </c>
      <c r="AR165" s="276">
        <f t="shared" si="140"/>
        <v>1568.4033613445379</v>
      </c>
      <c r="AX165" s="4">
        <v>1996</v>
      </c>
      <c r="AY165" s="4">
        <v>5</v>
      </c>
      <c r="AZ165" s="76">
        <f>'[8]COM 55 &amp; 65'!$S250</f>
        <v>432.5</v>
      </c>
      <c r="BA165" s="76">
        <f t="shared" si="145"/>
        <v>395.2</v>
      </c>
      <c r="BB165" s="362">
        <f t="shared" si="130"/>
        <v>-37.300000000000011</v>
      </c>
      <c r="BC165" s="362"/>
      <c r="BD165" s="76">
        <f>'[8]COM 55 &amp; 65'!$J250</f>
        <v>0.2</v>
      </c>
      <c r="BE165" s="76">
        <f t="shared" si="146"/>
        <v>0.2</v>
      </c>
      <c r="BF165" s="363">
        <f t="shared" si="131"/>
        <v>0</v>
      </c>
      <c r="BG165" s="244"/>
      <c r="BH165" s="244">
        <f t="shared" si="125"/>
        <v>-25472.543000000005</v>
      </c>
      <c r="BI165" s="242">
        <f t="shared" si="126"/>
        <v>0</v>
      </c>
      <c r="BJ165" s="242"/>
      <c r="BK165" s="241">
        <f t="shared" si="127"/>
        <v>-25473</v>
      </c>
      <c r="BL165" s="262"/>
      <c r="BM165" s="36" t="s">
        <v>18</v>
      </c>
      <c r="BN165" s="4">
        <v>1996</v>
      </c>
      <c r="BO165" s="4">
        <v>5</v>
      </c>
    </row>
    <row r="166" spans="1:74" ht="12.75" customHeight="1">
      <c r="A166" s="22">
        <v>1996</v>
      </c>
      <c r="B166" s="4">
        <v>6</v>
      </c>
      <c r="C166" s="5">
        <v>863366</v>
      </c>
      <c r="D166" s="5">
        <v>132255</v>
      </c>
      <c r="E166" s="74">
        <f t="shared" si="114"/>
        <v>6528</v>
      </c>
      <c r="F166" s="13">
        <v>104242</v>
      </c>
      <c r="G166" s="347">
        <v>94477</v>
      </c>
      <c r="H166" s="13">
        <v>4947</v>
      </c>
      <c r="I166" s="13">
        <v>2978</v>
      </c>
      <c r="J166" s="574">
        <f>[5]CC!$E46</f>
        <v>128856</v>
      </c>
      <c r="K166" s="4">
        <f>'[7]COM 55 &amp; 65'!$S251</f>
        <v>466.7</v>
      </c>
      <c r="L166" s="4">
        <f t="shared" si="143"/>
        <v>442.7</v>
      </c>
      <c r="M166" s="135">
        <f t="shared" si="115"/>
        <v>-24</v>
      </c>
      <c r="N166" s="4">
        <f>'[7]COM 55 &amp; 65'!$J251</f>
        <v>0</v>
      </c>
      <c r="O166" s="4">
        <f t="shared" si="141"/>
        <v>0.1</v>
      </c>
      <c r="P166" s="41">
        <f t="shared" si="116"/>
        <v>0.1</v>
      </c>
      <c r="Q166" s="474">
        <f t="shared" si="117"/>
        <v>-16389.84</v>
      </c>
      <c r="R166" s="472">
        <f t="shared" si="118"/>
        <v>65.934000000000012</v>
      </c>
      <c r="S166" s="241">
        <f t="shared" si="119"/>
        <v>-16324</v>
      </c>
      <c r="T166" s="13" t="s">
        <v>18</v>
      </c>
      <c r="U166" s="4">
        <v>1996</v>
      </c>
      <c r="V166" s="4">
        <v>6</v>
      </c>
      <c r="W166" s="242">
        <f t="shared" si="120"/>
        <v>6404.6123019923625</v>
      </c>
      <c r="X166" s="131">
        <f t="shared" si="144"/>
        <v>235.39660332586391</v>
      </c>
      <c r="Z166" s="175">
        <f t="shared" si="121"/>
        <v>847042</v>
      </c>
      <c r="AA166" s="12">
        <f t="shared" si="122"/>
        <v>-16324</v>
      </c>
      <c r="AB166" s="379">
        <f t="shared" si="129"/>
        <v>847042</v>
      </c>
      <c r="AC166" s="107">
        <f>RESID!AC166</f>
        <v>32.200000000000003</v>
      </c>
      <c r="AD166" s="243">
        <f t="shared" si="123"/>
        <v>815639.6</v>
      </c>
      <c r="AE166" s="243">
        <f t="shared" si="142"/>
        <v>20269.199999999953</v>
      </c>
      <c r="AG166" s="4">
        <f t="shared" si="124"/>
        <v>800218</v>
      </c>
      <c r="AJ166" s="269">
        <f t="shared" si="132"/>
        <v>754177</v>
      </c>
      <c r="AK166" s="269">
        <f t="shared" si="133"/>
        <v>34800</v>
      </c>
      <c r="AL166" s="276">
        <f t="shared" si="138"/>
        <v>21671.752873563219</v>
      </c>
      <c r="AM166" s="269">
        <f t="shared" si="134"/>
        <v>104242</v>
      </c>
      <c r="AN166" s="269">
        <f t="shared" si="135"/>
        <v>94477</v>
      </c>
      <c r="AO166" s="276">
        <f t="shared" si="139"/>
        <v>1103.3584893677826</v>
      </c>
      <c r="AP166" s="269">
        <f t="shared" si="136"/>
        <v>4947</v>
      </c>
      <c r="AQ166" s="269">
        <f t="shared" si="137"/>
        <v>2978</v>
      </c>
      <c r="AR166" s="276">
        <f t="shared" si="140"/>
        <v>1661.1820013431832</v>
      </c>
      <c r="AX166" s="4">
        <v>1996</v>
      </c>
      <c r="AY166" s="4">
        <v>6</v>
      </c>
      <c r="AZ166" s="76">
        <f>'[8]COM 55 &amp; 65'!$S251</f>
        <v>465.9</v>
      </c>
      <c r="BA166" s="76">
        <f t="shared" si="145"/>
        <v>485.1</v>
      </c>
      <c r="BB166" s="362">
        <f t="shared" si="130"/>
        <v>19.200000000000045</v>
      </c>
      <c r="BC166" s="362"/>
      <c r="BD166" s="76">
        <f>'[8]COM 55 &amp; 65'!$J251</f>
        <v>0</v>
      </c>
      <c r="BE166" s="76">
        <f t="shared" si="146"/>
        <v>0</v>
      </c>
      <c r="BF166" s="363">
        <f t="shared" si="131"/>
        <v>0</v>
      </c>
      <c r="BG166" s="244"/>
      <c r="BH166" s="244">
        <f t="shared" si="125"/>
        <v>13111.87200000003</v>
      </c>
      <c r="BI166" s="242">
        <f t="shared" si="126"/>
        <v>0</v>
      </c>
      <c r="BJ166" s="242"/>
      <c r="BK166" s="241">
        <f t="shared" si="127"/>
        <v>13112</v>
      </c>
      <c r="BL166" s="262"/>
      <c r="BM166" s="36" t="s">
        <v>18</v>
      </c>
      <c r="BN166" s="4">
        <v>1996</v>
      </c>
      <c r="BO166" s="4">
        <v>6</v>
      </c>
    </row>
    <row r="167" spans="1:74" ht="12.75" customHeight="1">
      <c r="A167" s="22">
        <v>1996</v>
      </c>
      <c r="B167" s="4">
        <v>7</v>
      </c>
      <c r="C167" s="5">
        <v>825363</v>
      </c>
      <c r="D167" s="5">
        <v>126049</v>
      </c>
      <c r="E167" s="74">
        <f t="shared" si="114"/>
        <v>6548</v>
      </c>
      <c r="F167" s="13">
        <v>92494</v>
      </c>
      <c r="G167" s="347">
        <v>88890</v>
      </c>
      <c r="H167" s="13">
        <v>4765</v>
      </c>
      <c r="I167" s="13">
        <v>2944</v>
      </c>
      <c r="J167" s="574">
        <f>[5]CC!$E47</f>
        <v>130687</v>
      </c>
      <c r="K167" s="4">
        <f>'[7]COM 55 &amp; 65'!$S252</f>
        <v>504.1</v>
      </c>
      <c r="L167" s="4">
        <f t="shared" si="143"/>
        <v>516.1</v>
      </c>
      <c r="M167" s="135">
        <f t="shared" si="115"/>
        <v>12</v>
      </c>
      <c r="N167" s="4">
        <f>'[7]COM 55 &amp; 65'!$J252</f>
        <v>0</v>
      </c>
      <c r="O167" s="4">
        <f t="shared" si="141"/>
        <v>0</v>
      </c>
      <c r="P167" s="41">
        <f t="shared" si="116"/>
        <v>0</v>
      </c>
      <c r="Q167" s="474">
        <f t="shared" si="117"/>
        <v>8194.92</v>
      </c>
      <c r="R167" s="472">
        <f t="shared" si="118"/>
        <v>0</v>
      </c>
      <c r="S167" s="241">
        <f t="shared" si="119"/>
        <v>8195</v>
      </c>
      <c r="T167" s="13" t="s">
        <v>18</v>
      </c>
      <c r="U167" s="4">
        <v>1996</v>
      </c>
      <c r="V167" s="4">
        <v>7</v>
      </c>
      <c r="W167" s="242">
        <f t="shared" si="120"/>
        <v>6612.9679727724933</v>
      </c>
      <c r="X167" s="131">
        <f t="shared" si="144"/>
        <v>131.93386388426461</v>
      </c>
      <c r="Z167" s="175">
        <f t="shared" si="121"/>
        <v>833558</v>
      </c>
      <c r="AA167" s="12">
        <f t="shared" si="122"/>
        <v>8195</v>
      </c>
      <c r="AB167" s="379">
        <f t="shared" si="129"/>
        <v>833558</v>
      </c>
      <c r="AC167" s="107">
        <f>RESID!AC167</f>
        <v>30.45</v>
      </c>
      <c r="AD167" s="243">
        <f t="shared" si="123"/>
        <v>824549.8</v>
      </c>
      <c r="AE167" s="243">
        <f t="shared" si="142"/>
        <v>38084.100000000093</v>
      </c>
      <c r="AG167" s="4">
        <f t="shared" si="124"/>
        <v>832737</v>
      </c>
      <c r="AJ167" s="269">
        <f t="shared" si="132"/>
        <v>728104</v>
      </c>
      <c r="AK167" s="269">
        <f t="shared" si="133"/>
        <v>34215</v>
      </c>
      <c r="AL167" s="276">
        <f t="shared" si="138"/>
        <v>21280.257197135761</v>
      </c>
      <c r="AM167" s="269">
        <f t="shared" si="134"/>
        <v>92494</v>
      </c>
      <c r="AN167" s="269">
        <f t="shared" si="135"/>
        <v>88890</v>
      </c>
      <c r="AO167" s="276">
        <f t="shared" si="139"/>
        <v>1040.544493193835</v>
      </c>
      <c r="AP167" s="269">
        <f t="shared" si="136"/>
        <v>4765</v>
      </c>
      <c r="AQ167" s="269">
        <f t="shared" si="137"/>
        <v>2944</v>
      </c>
      <c r="AR167" s="276">
        <f t="shared" si="140"/>
        <v>1618.5461956521738</v>
      </c>
      <c r="AX167" s="4">
        <v>1996</v>
      </c>
      <c r="AY167" s="4">
        <v>7</v>
      </c>
      <c r="AZ167" s="76">
        <f>'[8]COM 55 &amp; 65'!$S252</f>
        <v>556.1</v>
      </c>
      <c r="BA167" s="76">
        <f t="shared" si="145"/>
        <v>546.1</v>
      </c>
      <c r="BB167" s="362">
        <f t="shared" si="130"/>
        <v>-10</v>
      </c>
      <c r="BC167" s="362"/>
      <c r="BD167" s="76">
        <f>'[8]COM 55 &amp; 65'!$J252</f>
        <v>0</v>
      </c>
      <c r="BE167" s="76">
        <f t="shared" si="146"/>
        <v>0</v>
      </c>
      <c r="BF167" s="363">
        <f t="shared" si="131"/>
        <v>0</v>
      </c>
      <c r="BG167" s="244"/>
      <c r="BH167" s="244">
        <f t="shared" si="125"/>
        <v>-6829.0999999999995</v>
      </c>
      <c r="BI167" s="242">
        <f t="shared" si="126"/>
        <v>0</v>
      </c>
      <c r="BJ167" s="242"/>
      <c r="BK167" s="241">
        <f t="shared" si="127"/>
        <v>-6829</v>
      </c>
      <c r="BL167" s="262"/>
      <c r="BM167" s="36" t="s">
        <v>18</v>
      </c>
      <c r="BN167" s="4">
        <v>1996</v>
      </c>
      <c r="BO167" s="4">
        <v>7</v>
      </c>
    </row>
    <row r="168" spans="1:74" ht="12.75" customHeight="1">
      <c r="A168" s="22">
        <v>1996</v>
      </c>
      <c r="B168" s="4">
        <v>8</v>
      </c>
      <c r="C168" s="5">
        <v>887587</v>
      </c>
      <c r="D168" s="5">
        <v>132213</v>
      </c>
      <c r="E168" s="74">
        <f t="shared" si="114"/>
        <v>6713.3</v>
      </c>
      <c r="F168" s="13">
        <v>83796</v>
      </c>
      <c r="G168" s="347">
        <v>95519</v>
      </c>
      <c r="H168" s="13">
        <v>5013</v>
      </c>
      <c r="I168" s="13">
        <v>2960</v>
      </c>
      <c r="J168" s="574">
        <f>[5]CC!$E48</f>
        <v>128062</v>
      </c>
      <c r="K168" s="4">
        <f>'[7]COM 55 &amp; 65'!$S253</f>
        <v>557.9</v>
      </c>
      <c r="L168" s="4">
        <f t="shared" si="143"/>
        <v>542</v>
      </c>
      <c r="M168" s="135">
        <f t="shared" si="115"/>
        <v>-15.899999999999977</v>
      </c>
      <c r="N168" s="4">
        <f>'[7]COM 55 &amp; 65'!$J253</f>
        <v>0</v>
      </c>
      <c r="O168" s="4">
        <f t="shared" si="141"/>
        <v>0</v>
      </c>
      <c r="P168" s="41">
        <f t="shared" si="116"/>
        <v>0</v>
      </c>
      <c r="Q168" s="474">
        <f t="shared" si="117"/>
        <v>-10858.268999999984</v>
      </c>
      <c r="R168" s="472">
        <f t="shared" si="118"/>
        <v>0</v>
      </c>
      <c r="S168" s="241">
        <f t="shared" si="119"/>
        <v>-10858</v>
      </c>
      <c r="T168" s="13" t="s">
        <v>18</v>
      </c>
      <c r="U168" s="4">
        <v>1996</v>
      </c>
      <c r="V168" s="4">
        <v>8</v>
      </c>
      <c r="W168" s="242">
        <f t="shared" si="120"/>
        <v>6631.1860407070408</v>
      </c>
      <c r="X168" s="131">
        <f t="shared" si="144"/>
        <v>-30.984631699192505</v>
      </c>
      <c r="Z168" s="175">
        <f t="shared" si="121"/>
        <v>876729</v>
      </c>
      <c r="AA168" s="12">
        <f t="shared" si="122"/>
        <v>-10858</v>
      </c>
      <c r="AB168" s="379">
        <f t="shared" si="129"/>
        <v>876729</v>
      </c>
      <c r="AC168" s="107">
        <f>RESID!AC168</f>
        <v>31.15</v>
      </c>
      <c r="AD168" s="243">
        <f t="shared" si="123"/>
        <v>866786.4</v>
      </c>
      <c r="AE168" s="243">
        <f t="shared" si="142"/>
        <v>33033.599999999977</v>
      </c>
      <c r="AG168" s="4">
        <f t="shared" si="124"/>
        <v>856183</v>
      </c>
      <c r="AJ168" s="269">
        <f t="shared" si="132"/>
        <v>798778</v>
      </c>
      <c r="AK168" s="269">
        <f t="shared" si="133"/>
        <v>33734</v>
      </c>
      <c r="AL168" s="276">
        <f t="shared" si="138"/>
        <v>23678.721764392008</v>
      </c>
      <c r="AM168" s="269">
        <f t="shared" si="134"/>
        <v>83796</v>
      </c>
      <c r="AN168" s="269">
        <f t="shared" si="135"/>
        <v>95519</v>
      </c>
      <c r="AO168" s="276">
        <f t="shared" si="139"/>
        <v>877.27049068771657</v>
      </c>
      <c r="AP168" s="269">
        <f t="shared" si="136"/>
        <v>5013</v>
      </c>
      <c r="AQ168" s="269">
        <f t="shared" si="137"/>
        <v>2960</v>
      </c>
      <c r="AR168" s="276">
        <f t="shared" si="140"/>
        <v>1693.5810810810813</v>
      </c>
      <c r="AX168" s="4">
        <v>1996</v>
      </c>
      <c r="AY168" s="4">
        <v>8</v>
      </c>
      <c r="AZ168" s="76">
        <f>'[8]COM 55 &amp; 65'!$S253</f>
        <v>522.70000000000005</v>
      </c>
      <c r="BA168" s="76">
        <f t="shared" si="145"/>
        <v>549</v>
      </c>
      <c r="BB168" s="362">
        <f t="shared" si="130"/>
        <v>26.299999999999955</v>
      </c>
      <c r="BC168" s="362"/>
      <c r="BD168" s="76">
        <f>'[8]COM 55 &amp; 65'!$J253</f>
        <v>0</v>
      </c>
      <c r="BE168" s="76">
        <f t="shared" si="146"/>
        <v>0</v>
      </c>
      <c r="BF168" s="363">
        <f t="shared" si="131"/>
        <v>0</v>
      </c>
      <c r="BG168" s="244"/>
      <c r="BH168" s="244">
        <f t="shared" si="125"/>
        <v>17960.532999999967</v>
      </c>
      <c r="BI168" s="242">
        <f t="shared" si="126"/>
        <v>0</v>
      </c>
      <c r="BJ168" s="242"/>
      <c r="BK168" s="241">
        <f t="shared" si="127"/>
        <v>17961</v>
      </c>
      <c r="BL168" s="262"/>
      <c r="BM168" s="36" t="s">
        <v>18</v>
      </c>
      <c r="BN168" s="4">
        <v>1996</v>
      </c>
      <c r="BO168" s="4">
        <v>8</v>
      </c>
    </row>
    <row r="169" spans="1:74" ht="12.75" customHeight="1">
      <c r="A169" s="22">
        <v>1996</v>
      </c>
      <c r="B169" s="4">
        <v>9</v>
      </c>
      <c r="C169" s="5">
        <v>844210</v>
      </c>
      <c r="D169" s="5">
        <v>130252</v>
      </c>
      <c r="E169" s="74">
        <f t="shared" si="114"/>
        <v>6481.4</v>
      </c>
      <c r="F169" s="13">
        <v>73176</v>
      </c>
      <c r="G169" s="347">
        <v>92829</v>
      </c>
      <c r="H169" s="13">
        <v>4717</v>
      </c>
      <c r="I169" s="13">
        <v>2988</v>
      </c>
      <c r="J169" s="574">
        <f>[5]CC!$E49</f>
        <v>130006</v>
      </c>
      <c r="K169" s="4">
        <f>'[7]COM 55 &amp; 65'!$S254</f>
        <v>512.79999999999995</v>
      </c>
      <c r="L169" s="4">
        <f t="shared" si="143"/>
        <v>531.20000000000005</v>
      </c>
      <c r="M169" s="135">
        <f t="shared" si="115"/>
        <v>18.400000000000091</v>
      </c>
      <c r="N169" s="4">
        <f>'[7]COM 55 &amp; 65'!$J254</f>
        <v>0</v>
      </c>
      <c r="O169" s="4">
        <f t="shared" si="141"/>
        <v>0</v>
      </c>
      <c r="P169" s="41">
        <f t="shared" si="116"/>
        <v>0</v>
      </c>
      <c r="Q169" s="474">
        <f t="shared" si="117"/>
        <v>12565.544000000062</v>
      </c>
      <c r="R169" s="472">
        <f t="shared" si="118"/>
        <v>0</v>
      </c>
      <c r="S169" s="241">
        <f t="shared" si="119"/>
        <v>12566</v>
      </c>
      <c r="T169" s="13" t="s">
        <v>18</v>
      </c>
      <c r="U169" s="4">
        <v>1996</v>
      </c>
      <c r="V169" s="4">
        <v>9</v>
      </c>
      <c r="W169" s="242">
        <f t="shared" si="120"/>
        <v>6577.8337376777326</v>
      </c>
      <c r="X169" s="131">
        <f t="shared" si="144"/>
        <v>-140.69806731222161</v>
      </c>
      <c r="Z169" s="175">
        <f t="shared" si="121"/>
        <v>856776</v>
      </c>
      <c r="AA169" s="12">
        <f t="shared" si="122"/>
        <v>12566</v>
      </c>
      <c r="AB169" s="379">
        <f t="shared" si="129"/>
        <v>856776</v>
      </c>
      <c r="AC169" s="107">
        <f>RESID!AC169</f>
        <v>30.55</v>
      </c>
      <c r="AD169" s="243">
        <f t="shared" si="123"/>
        <v>840617.6</v>
      </c>
      <c r="AE169" s="243">
        <f t="shared" si="142"/>
        <v>549.79999999993015</v>
      </c>
      <c r="AG169" s="4">
        <f t="shared" si="124"/>
        <v>853130</v>
      </c>
      <c r="AJ169" s="269">
        <f t="shared" si="132"/>
        <v>766317</v>
      </c>
      <c r="AK169" s="269">
        <f t="shared" si="133"/>
        <v>34435</v>
      </c>
      <c r="AL169" s="276">
        <f t="shared" si="138"/>
        <v>22254.014810512559</v>
      </c>
      <c r="AM169" s="269">
        <f t="shared" si="134"/>
        <v>73176</v>
      </c>
      <c r="AN169" s="269">
        <f t="shared" si="135"/>
        <v>92829</v>
      </c>
      <c r="AO169" s="276">
        <f t="shared" si="139"/>
        <v>788.28814271402257</v>
      </c>
      <c r="AP169" s="269">
        <f t="shared" si="136"/>
        <v>4717</v>
      </c>
      <c r="AQ169" s="269">
        <f t="shared" si="137"/>
        <v>2988</v>
      </c>
      <c r="AR169" s="276">
        <f t="shared" si="140"/>
        <v>1578.6479250334673</v>
      </c>
      <c r="AX169" s="4">
        <v>1996</v>
      </c>
      <c r="AY169" s="4">
        <v>9</v>
      </c>
      <c r="AZ169" s="76">
        <f>'[8]COM 55 &amp; 65'!$S254</f>
        <v>474.8</v>
      </c>
      <c r="BA169" s="76">
        <f t="shared" si="145"/>
        <v>487.9</v>
      </c>
      <c r="BB169" s="362">
        <f t="shared" si="130"/>
        <v>13.099999999999966</v>
      </c>
      <c r="BC169" s="362"/>
      <c r="BD169" s="76">
        <f>'[8]COM 55 &amp; 65'!$J254</f>
        <v>0</v>
      </c>
      <c r="BE169" s="76">
        <f t="shared" si="146"/>
        <v>0</v>
      </c>
      <c r="BF169" s="363">
        <f t="shared" si="131"/>
        <v>0</v>
      </c>
      <c r="BG169" s="244"/>
      <c r="BH169" s="244">
        <f t="shared" si="125"/>
        <v>8946.1209999999755</v>
      </c>
      <c r="BI169" s="242">
        <f t="shared" si="126"/>
        <v>0</v>
      </c>
      <c r="BJ169" s="242"/>
      <c r="BK169" s="241">
        <f t="shared" si="127"/>
        <v>8946</v>
      </c>
      <c r="BL169" s="262"/>
      <c r="BM169" s="36" t="s">
        <v>18</v>
      </c>
      <c r="BN169" s="4">
        <v>1996</v>
      </c>
      <c r="BO169" s="4">
        <v>9</v>
      </c>
    </row>
    <row r="170" spans="1:74" ht="12.75" customHeight="1">
      <c r="A170" s="22">
        <v>1996</v>
      </c>
      <c r="B170" s="4">
        <v>10</v>
      </c>
      <c r="C170" s="5">
        <v>759400</v>
      </c>
      <c r="D170" s="5">
        <v>128577</v>
      </c>
      <c r="E170" s="74">
        <f t="shared" si="114"/>
        <v>5906.2</v>
      </c>
      <c r="F170" s="13">
        <v>77093</v>
      </c>
      <c r="G170" s="347">
        <v>91438</v>
      </c>
      <c r="H170" s="13">
        <v>4899</v>
      </c>
      <c r="I170" s="13">
        <v>2965</v>
      </c>
      <c r="J170" s="574">
        <f>[5]CC!$E50</f>
        <v>130509</v>
      </c>
      <c r="K170" s="4">
        <f>'[7]COM 55 &amp; 65'!$S255</f>
        <v>394.6</v>
      </c>
      <c r="L170" s="4">
        <f t="shared" si="143"/>
        <v>431.2</v>
      </c>
      <c r="M170" s="135">
        <f t="shared" si="115"/>
        <v>36.599999999999966</v>
      </c>
      <c r="N170" s="4">
        <f>'[7]COM 55 &amp; 65'!$J255</f>
        <v>0.5</v>
      </c>
      <c r="O170" s="4">
        <f t="shared" si="141"/>
        <v>0.2</v>
      </c>
      <c r="P170" s="41">
        <f t="shared" si="116"/>
        <v>-0.3</v>
      </c>
      <c r="Q170" s="474">
        <f t="shared" si="117"/>
        <v>24994.505999999976</v>
      </c>
      <c r="R170" s="472">
        <f t="shared" si="118"/>
        <v>-197.80199999999999</v>
      </c>
      <c r="S170" s="241">
        <f t="shared" si="119"/>
        <v>24797</v>
      </c>
      <c r="T170" s="13" t="s">
        <v>18</v>
      </c>
      <c r="U170" s="4">
        <v>1996</v>
      </c>
      <c r="V170" s="4">
        <v>10</v>
      </c>
      <c r="W170" s="242">
        <f t="shared" si="120"/>
        <v>6099.0457080193191</v>
      </c>
      <c r="X170" s="131">
        <f t="shared" si="144"/>
        <v>172.12568069970348</v>
      </c>
      <c r="Z170" s="175">
        <f t="shared" si="121"/>
        <v>784197</v>
      </c>
      <c r="AA170" s="12">
        <f t="shared" si="122"/>
        <v>24797</v>
      </c>
      <c r="AB170" s="379">
        <f t="shared" si="129"/>
        <v>784197</v>
      </c>
      <c r="AC170" s="107">
        <f>RESID!AC170</f>
        <v>29.65</v>
      </c>
      <c r="AD170" s="243">
        <f t="shared" si="123"/>
        <v>779121.3</v>
      </c>
      <c r="AE170" s="243">
        <f t="shared" si="142"/>
        <v>-16750.899999999907</v>
      </c>
      <c r="AG170" s="4">
        <f t="shared" si="124"/>
        <v>804562</v>
      </c>
      <c r="AJ170" s="269">
        <f t="shared" si="132"/>
        <v>677408</v>
      </c>
      <c r="AK170" s="269">
        <f t="shared" si="133"/>
        <v>34174</v>
      </c>
      <c r="AL170" s="276">
        <f t="shared" si="138"/>
        <v>19822.321062796276</v>
      </c>
      <c r="AM170" s="269">
        <f t="shared" si="134"/>
        <v>77093</v>
      </c>
      <c r="AN170" s="269">
        <f t="shared" si="135"/>
        <v>91438</v>
      </c>
      <c r="AO170" s="276">
        <f t="shared" si="139"/>
        <v>843.1177409829611</v>
      </c>
      <c r="AP170" s="269">
        <f t="shared" si="136"/>
        <v>4899</v>
      </c>
      <c r="AQ170" s="269">
        <f t="shared" si="137"/>
        <v>2965</v>
      </c>
      <c r="AR170" s="276">
        <f t="shared" si="140"/>
        <v>1652.2765598650928</v>
      </c>
      <c r="AX170" s="4">
        <v>1996</v>
      </c>
      <c r="AY170" s="4">
        <v>10</v>
      </c>
      <c r="AZ170" s="76">
        <f>'[8]COM 55 &amp; 65'!$S255</f>
        <v>304.10000000000002</v>
      </c>
      <c r="BA170" s="76">
        <f t="shared" si="145"/>
        <v>332.5</v>
      </c>
      <c r="BB170" s="362">
        <f t="shared" si="130"/>
        <v>28.399999999999977</v>
      </c>
      <c r="BC170" s="362"/>
      <c r="BD170" s="76">
        <f>'[8]COM 55 &amp; 65'!$J255</f>
        <v>2.6</v>
      </c>
      <c r="BE170" s="76">
        <f t="shared" si="146"/>
        <v>2</v>
      </c>
      <c r="BF170" s="363">
        <f t="shared" si="131"/>
        <v>-0.60000000000000009</v>
      </c>
      <c r="BG170" s="244"/>
      <c r="BH170" s="244">
        <f t="shared" si="125"/>
        <v>19394.643999999982</v>
      </c>
      <c r="BI170" s="242">
        <f t="shared" si="126"/>
        <v>-395.6040000000001</v>
      </c>
      <c r="BJ170" s="242"/>
      <c r="BK170" s="241">
        <f t="shared" si="127"/>
        <v>18999</v>
      </c>
      <c r="BL170" s="262"/>
      <c r="BM170" s="36" t="s">
        <v>18</v>
      </c>
      <c r="BN170" s="4">
        <v>1996</v>
      </c>
      <c r="BO170" s="4">
        <v>10</v>
      </c>
    </row>
    <row r="171" spans="1:74" ht="12.75" customHeight="1">
      <c r="A171" s="22">
        <v>1996</v>
      </c>
      <c r="B171" s="4">
        <v>11</v>
      </c>
      <c r="C171" s="5">
        <v>755534</v>
      </c>
      <c r="D171" s="5">
        <v>134299</v>
      </c>
      <c r="E171" s="74">
        <f t="shared" si="114"/>
        <v>5625.8</v>
      </c>
      <c r="F171" s="13">
        <v>77667</v>
      </c>
      <c r="G171" s="347">
        <v>95394</v>
      </c>
      <c r="H171" s="13">
        <v>5081</v>
      </c>
      <c r="I171" s="13">
        <v>3064</v>
      </c>
      <c r="J171" s="574">
        <f>[5]CC!$E51</f>
        <v>130248</v>
      </c>
      <c r="K171" s="4">
        <f>'[7]COM 55 &amp; 65'!$S256</f>
        <v>246.7</v>
      </c>
      <c r="L171" s="4">
        <f t="shared" si="143"/>
        <v>251.9</v>
      </c>
      <c r="M171" s="135">
        <f t="shared" si="115"/>
        <v>5.2000000000000171</v>
      </c>
      <c r="N171" s="4">
        <f>'[7]COM 55 &amp; 65'!$J256</f>
        <v>7.1</v>
      </c>
      <c r="O171" s="4">
        <f t="shared" si="141"/>
        <v>6.3</v>
      </c>
      <c r="P171" s="41">
        <f t="shared" si="116"/>
        <v>-0.79999999999999982</v>
      </c>
      <c r="Q171" s="474">
        <f t="shared" si="117"/>
        <v>3551.1320000000114</v>
      </c>
      <c r="R171" s="472">
        <f t="shared" si="118"/>
        <v>-527.47199999999987</v>
      </c>
      <c r="S171" s="241">
        <f t="shared" si="119"/>
        <v>3024</v>
      </c>
      <c r="T171" s="13" t="s">
        <v>18</v>
      </c>
      <c r="U171" s="4">
        <v>1996</v>
      </c>
      <c r="V171" s="4">
        <v>11</v>
      </c>
      <c r="W171" s="242">
        <f t="shared" si="120"/>
        <v>5648.277351283331</v>
      </c>
      <c r="X171" s="131">
        <f t="shared" si="144"/>
        <v>26.795598007787703</v>
      </c>
      <c r="Z171" s="175">
        <f t="shared" si="121"/>
        <v>758558</v>
      </c>
      <c r="AA171" s="12">
        <f t="shared" si="122"/>
        <v>3024</v>
      </c>
      <c r="AB171" s="379">
        <f t="shared" si="129"/>
        <v>758558</v>
      </c>
      <c r="AC171" s="107">
        <f>RESID!AC171</f>
        <v>30.1</v>
      </c>
      <c r="AD171" s="243">
        <f t="shared" si="123"/>
        <v>763566.3</v>
      </c>
      <c r="AE171" s="243">
        <f t="shared" si="142"/>
        <v>1285.3000000000466</v>
      </c>
      <c r="AG171" s="4">
        <f t="shared" si="124"/>
        <v>766622</v>
      </c>
      <c r="AJ171" s="269">
        <f t="shared" si="132"/>
        <v>672786</v>
      </c>
      <c r="AK171" s="269">
        <f t="shared" si="133"/>
        <v>35841</v>
      </c>
      <c r="AL171" s="276">
        <f t="shared" si="138"/>
        <v>18771.407047794426</v>
      </c>
      <c r="AM171" s="269">
        <f t="shared" si="134"/>
        <v>77667</v>
      </c>
      <c r="AN171" s="269">
        <f t="shared" si="135"/>
        <v>95394</v>
      </c>
      <c r="AO171" s="276">
        <f t="shared" si="139"/>
        <v>814.17070255990939</v>
      </c>
      <c r="AP171" s="269">
        <f t="shared" si="136"/>
        <v>5081</v>
      </c>
      <c r="AQ171" s="269">
        <f t="shared" si="137"/>
        <v>3064</v>
      </c>
      <c r="AR171" s="276">
        <f t="shared" si="140"/>
        <v>1658.289817232376</v>
      </c>
      <c r="AX171" s="4">
        <v>1996</v>
      </c>
      <c r="AY171" s="4">
        <v>11</v>
      </c>
      <c r="AZ171" s="76">
        <f>'[8]COM 55 &amp; 65'!$S256</f>
        <v>135.30000000000001</v>
      </c>
      <c r="BA171" s="76">
        <f t="shared" si="145"/>
        <v>146</v>
      </c>
      <c r="BB171" s="362">
        <f t="shared" si="130"/>
        <v>10.699999999999989</v>
      </c>
      <c r="BC171" s="362"/>
      <c r="BD171" s="76">
        <f>'[8]COM 55 &amp; 65'!$J256</f>
        <v>13.1</v>
      </c>
      <c r="BE171" s="76">
        <f t="shared" si="146"/>
        <v>14</v>
      </c>
      <c r="BF171" s="363">
        <f t="shared" si="131"/>
        <v>0.90000000000000036</v>
      </c>
      <c r="BG171" s="244"/>
      <c r="BH171" s="244">
        <f t="shared" si="125"/>
        <v>7307.1369999999915</v>
      </c>
      <c r="BI171" s="242">
        <f t="shared" si="126"/>
        <v>593.40600000000029</v>
      </c>
      <c r="BJ171" s="242"/>
      <c r="BK171" s="241">
        <f t="shared" si="127"/>
        <v>7901</v>
      </c>
      <c r="BL171" s="262"/>
      <c r="BM171" s="36" t="s">
        <v>18</v>
      </c>
      <c r="BN171" s="4">
        <v>1996</v>
      </c>
      <c r="BO171" s="4">
        <v>11</v>
      </c>
    </row>
    <row r="172" spans="1:74" s="89" customFormat="1" ht="12.75" customHeight="1">
      <c r="A172" s="225">
        <v>1996</v>
      </c>
      <c r="B172" s="89">
        <v>12</v>
      </c>
      <c r="C172" s="103">
        <v>671736</v>
      </c>
      <c r="D172" s="103">
        <v>130814</v>
      </c>
      <c r="E172" s="109">
        <f t="shared" si="114"/>
        <v>5135</v>
      </c>
      <c r="F172" s="90">
        <v>65895</v>
      </c>
      <c r="G172" s="348">
        <v>93107</v>
      </c>
      <c r="H172" s="90">
        <v>5023</v>
      </c>
      <c r="I172" s="90">
        <v>2994</v>
      </c>
      <c r="J172" s="575">
        <f>[5]CC!$E52</f>
        <v>131936</v>
      </c>
      <c r="K172" s="89">
        <f>'[7]COM 55 &amp; 65'!$S257</f>
        <v>102.6</v>
      </c>
      <c r="L172" s="89">
        <f t="shared" si="143"/>
        <v>119.4</v>
      </c>
      <c r="M172" s="136">
        <f t="shared" si="115"/>
        <v>16.800000000000011</v>
      </c>
      <c r="N172" s="89">
        <f>'[7]COM 55 &amp; 65'!$J257</f>
        <v>24.7</v>
      </c>
      <c r="O172" s="89">
        <f t="shared" si="141"/>
        <v>30.1</v>
      </c>
      <c r="P172" s="94">
        <f t="shared" si="116"/>
        <v>5.4000000000000021</v>
      </c>
      <c r="Q172" s="475">
        <f t="shared" si="117"/>
        <v>11472.888000000008</v>
      </c>
      <c r="R172" s="473">
        <f t="shared" si="118"/>
        <v>3560.4360000000015</v>
      </c>
      <c r="S172" s="329">
        <f t="shared" si="119"/>
        <v>15033</v>
      </c>
      <c r="T172" s="90" t="s">
        <v>18</v>
      </c>
      <c r="U172" s="89">
        <v>1996</v>
      </c>
      <c r="V172" s="89">
        <v>12</v>
      </c>
      <c r="W172" s="328">
        <f t="shared" si="120"/>
        <v>5249.9656000122313</v>
      </c>
      <c r="X172" s="133">
        <f t="shared" si="144"/>
        <v>124.19724474855138</v>
      </c>
      <c r="Z172" s="176">
        <f t="shared" si="121"/>
        <v>686769</v>
      </c>
      <c r="AA172" s="105">
        <f t="shared" si="122"/>
        <v>15033</v>
      </c>
      <c r="AB172" s="517">
        <f t="shared" si="129"/>
        <v>686769</v>
      </c>
      <c r="AC172" s="110">
        <f>RESID!AC172</f>
        <v>31.5</v>
      </c>
      <c r="AD172" s="331">
        <f t="shared" si="123"/>
        <v>648705.1</v>
      </c>
      <c r="AE172" s="331">
        <f t="shared" si="142"/>
        <v>25653.900000000023</v>
      </c>
      <c r="AG172" s="89">
        <f t="shared" si="124"/>
        <v>663223</v>
      </c>
      <c r="AJ172" s="351">
        <f t="shared" si="132"/>
        <v>600818</v>
      </c>
      <c r="AK172" s="351">
        <f t="shared" si="133"/>
        <v>34713</v>
      </c>
      <c r="AL172" s="277">
        <f t="shared" si="138"/>
        <v>17308.155446086479</v>
      </c>
      <c r="AM172" s="351">
        <f t="shared" si="134"/>
        <v>65895</v>
      </c>
      <c r="AN172" s="351">
        <f t="shared" si="135"/>
        <v>93107</v>
      </c>
      <c r="AO172" s="277">
        <f t="shared" si="139"/>
        <v>707.73411236534309</v>
      </c>
      <c r="AP172" s="351">
        <f t="shared" si="136"/>
        <v>5023</v>
      </c>
      <c r="AQ172" s="351">
        <f t="shared" si="137"/>
        <v>2994</v>
      </c>
      <c r="AR172" s="277">
        <f t="shared" si="140"/>
        <v>1677.688710754843</v>
      </c>
      <c r="AX172" s="89">
        <v>1996</v>
      </c>
      <c r="AY172" s="89">
        <v>12</v>
      </c>
      <c r="AZ172" s="92">
        <f>'[8]COM 55 &amp; 65'!$S257</f>
        <v>72.400000000000006</v>
      </c>
      <c r="BA172" s="92">
        <f t="shared" si="145"/>
        <v>75.7</v>
      </c>
      <c r="BB172" s="364">
        <f t="shared" si="130"/>
        <v>3.2999999999999972</v>
      </c>
      <c r="BC172" s="364"/>
      <c r="BD172" s="92">
        <f>'[8]COM 55 &amp; 65'!$J257</f>
        <v>51.4</v>
      </c>
      <c r="BE172" s="92">
        <f t="shared" si="146"/>
        <v>44.3</v>
      </c>
      <c r="BF172" s="365">
        <f t="shared" si="131"/>
        <v>-7.1000000000000014</v>
      </c>
      <c r="BG172" s="327"/>
      <c r="BH172" s="327">
        <f t="shared" si="125"/>
        <v>2253.6029999999978</v>
      </c>
      <c r="BI172" s="328">
        <f t="shared" si="126"/>
        <v>-4681.3140000000012</v>
      </c>
      <c r="BJ172" s="328"/>
      <c r="BK172" s="329">
        <f t="shared" si="127"/>
        <v>-2428</v>
      </c>
      <c r="BL172" s="332"/>
      <c r="BM172" s="113" t="s">
        <v>18</v>
      </c>
      <c r="BN172" s="89">
        <v>1996</v>
      </c>
      <c r="BO172" s="89">
        <v>12</v>
      </c>
      <c r="BT172" s="96"/>
    </row>
    <row r="173" spans="1:74" ht="12.75" customHeight="1">
      <c r="A173" s="51">
        <v>1997</v>
      </c>
      <c r="B173" s="4">
        <v>1</v>
      </c>
      <c r="C173" s="5">
        <v>673653</v>
      </c>
      <c r="D173" s="5">
        <v>130339</v>
      </c>
      <c r="E173" s="74">
        <f t="shared" si="114"/>
        <v>5168.5</v>
      </c>
      <c r="F173" s="13">
        <v>68573</v>
      </c>
      <c r="G173" s="347">
        <v>92465</v>
      </c>
      <c r="H173" s="13">
        <v>5063</v>
      </c>
      <c r="I173" s="13">
        <v>2969</v>
      </c>
      <c r="J173" s="574">
        <f>[5]CC!$E53</f>
        <v>131412</v>
      </c>
      <c r="K173" s="4">
        <f>'[7]COM 55 &amp; 65'!$S258</f>
        <v>87.1</v>
      </c>
      <c r="L173" s="4">
        <f t="shared" si="143"/>
        <v>70.8</v>
      </c>
      <c r="M173" s="135">
        <f t="shared" si="115"/>
        <v>-16.299999999999997</v>
      </c>
      <c r="N173" s="4">
        <f>'[7]COM 55 &amp; 65'!$J258</f>
        <v>55.7</v>
      </c>
      <c r="O173" s="4">
        <f t="shared" si="141"/>
        <v>54.9</v>
      </c>
      <c r="P173" s="41">
        <f t="shared" si="116"/>
        <v>-0.80000000000000426</v>
      </c>
      <c r="Q173" s="474">
        <f t="shared" si="117"/>
        <v>-11131.432999999997</v>
      </c>
      <c r="R173" s="472">
        <f t="shared" si="118"/>
        <v>-527.47200000000282</v>
      </c>
      <c r="S173" s="241">
        <f t="shared" si="119"/>
        <v>-11659</v>
      </c>
      <c r="T173" s="13" t="s">
        <v>18</v>
      </c>
      <c r="U173" s="23">
        <v>1997</v>
      </c>
      <c r="V173" s="4">
        <v>1</v>
      </c>
      <c r="W173" s="242">
        <f t="shared" si="120"/>
        <v>5079.017024835237</v>
      </c>
      <c r="X173" s="131">
        <f t="shared" si="144"/>
        <v>512.51510367735682</v>
      </c>
      <c r="Z173" s="175">
        <f t="shared" si="121"/>
        <v>661994</v>
      </c>
      <c r="AA173" s="12">
        <f t="shared" si="122"/>
        <v>-11659</v>
      </c>
      <c r="AB173" s="379">
        <f t="shared" si="129"/>
        <v>661994</v>
      </c>
      <c r="AC173" s="107">
        <f>RESID!AC173</f>
        <v>32.1</v>
      </c>
      <c r="AD173" s="243">
        <f t="shared" si="123"/>
        <v>638396.4</v>
      </c>
      <c r="AE173" s="243">
        <f t="shared" si="142"/>
        <v>29558.599999999977</v>
      </c>
      <c r="AF173" s="4">
        <f t="shared" ref="AF173:AF204" si="147">AG173-C173</f>
        <v>-46305</v>
      </c>
      <c r="AG173" s="4">
        <f t="shared" si="124"/>
        <v>627348</v>
      </c>
      <c r="AJ173" s="269">
        <f t="shared" si="132"/>
        <v>600017</v>
      </c>
      <c r="AK173" s="269">
        <f t="shared" si="133"/>
        <v>34905</v>
      </c>
      <c r="AL173" s="276">
        <f t="shared" si="138"/>
        <v>17190.001432459532</v>
      </c>
      <c r="AM173" s="269">
        <f t="shared" si="134"/>
        <v>68573</v>
      </c>
      <c r="AN173" s="269">
        <f t="shared" si="135"/>
        <v>92465</v>
      </c>
      <c r="AO173" s="276">
        <f t="shared" si="139"/>
        <v>741.61033904720705</v>
      </c>
      <c r="AP173" s="269">
        <f t="shared" si="136"/>
        <v>5063</v>
      </c>
      <c r="AQ173" s="269">
        <f t="shared" si="137"/>
        <v>2969</v>
      </c>
      <c r="AR173" s="276">
        <f t="shared" si="140"/>
        <v>1705.2879757494106</v>
      </c>
      <c r="AX173" s="4">
        <v>1997</v>
      </c>
      <c r="AY173" s="4">
        <v>1</v>
      </c>
      <c r="AZ173" s="76">
        <f>'[8]COM 55 &amp; 65'!$S258</f>
        <v>73.5</v>
      </c>
      <c r="BA173" s="76">
        <f t="shared" si="145"/>
        <v>72.3</v>
      </c>
      <c r="BB173" s="362">
        <f t="shared" si="130"/>
        <v>-1.2000000000000028</v>
      </c>
      <c r="BC173" s="362"/>
      <c r="BD173" s="76">
        <f>'[8]COM 55 &amp; 65'!$J258</f>
        <v>63.3</v>
      </c>
      <c r="BE173" s="76">
        <f t="shared" si="146"/>
        <v>52.4</v>
      </c>
      <c r="BF173" s="363">
        <f t="shared" si="131"/>
        <v>-10.899999999999999</v>
      </c>
      <c r="BG173" s="244"/>
      <c r="BH173" s="244">
        <f t="shared" si="125"/>
        <v>-819.49200000000189</v>
      </c>
      <c r="BI173" s="242">
        <f t="shared" si="126"/>
        <v>-7186.8059999999996</v>
      </c>
      <c r="BJ173" s="242"/>
      <c r="BK173" s="241">
        <f t="shared" si="127"/>
        <v>-8006</v>
      </c>
      <c r="BL173" s="262"/>
      <c r="BM173" s="36" t="s">
        <v>18</v>
      </c>
      <c r="BN173" s="4">
        <v>1997</v>
      </c>
      <c r="BO173" s="4">
        <v>1</v>
      </c>
      <c r="BP173" s="108">
        <f>C173+[4]MWh!$AK7</f>
        <v>627752.75961677358</v>
      </c>
      <c r="BQ173" s="76">
        <f t="shared" ref="BQ173:BQ204" si="148">BP173/D173*1000</f>
        <v>4816.307932520378</v>
      </c>
      <c r="BR173" s="130">
        <f t="shared" ref="BR173:BR204" si="149">BT173/D173*1000</f>
        <v>4754.883493173751</v>
      </c>
      <c r="BS173" s="130"/>
      <c r="BT173" s="175">
        <f t="shared" ref="BT173:BT204" si="150">BK173+BP173</f>
        <v>619746.75961677358</v>
      </c>
      <c r="BV173" s="137">
        <f t="shared" ref="BV173:BV204" si="151">BT173-BP173</f>
        <v>-8006</v>
      </c>
    </row>
    <row r="174" spans="1:74" ht="12.75" customHeight="1">
      <c r="A174" s="51">
        <v>1997</v>
      </c>
      <c r="B174" s="4">
        <v>2</v>
      </c>
      <c r="C174" s="5">
        <v>631549</v>
      </c>
      <c r="D174" s="5">
        <v>131374</v>
      </c>
      <c r="E174" s="74">
        <f t="shared" si="114"/>
        <v>4807.3</v>
      </c>
      <c r="F174" s="13">
        <v>73479</v>
      </c>
      <c r="G174" s="347">
        <v>93002</v>
      </c>
      <c r="H174" s="13">
        <v>5157</v>
      </c>
      <c r="I174" s="13">
        <v>3019</v>
      </c>
      <c r="J174" s="574">
        <f>[5]CC!$E54</f>
        <v>131980</v>
      </c>
      <c r="K174" s="4">
        <f>'[7]COM 55 &amp; 65'!$S259</f>
        <v>75.2</v>
      </c>
      <c r="L174" s="4">
        <f t="shared" si="143"/>
        <v>62.7</v>
      </c>
      <c r="M174" s="135">
        <f t="shared" si="115"/>
        <v>-12.5</v>
      </c>
      <c r="N174" s="4">
        <f>'[7]COM 55 &amp; 65'!$J259</f>
        <v>50.9</v>
      </c>
      <c r="O174" s="4">
        <f t="shared" si="141"/>
        <v>46.9</v>
      </c>
      <c r="P174" s="41">
        <f t="shared" si="116"/>
        <v>-4</v>
      </c>
      <c r="Q174" s="474">
        <f t="shared" si="117"/>
        <v>-8536.375</v>
      </c>
      <c r="R174" s="472">
        <f t="shared" si="118"/>
        <v>-2637.36</v>
      </c>
      <c r="S174" s="241">
        <f t="shared" si="119"/>
        <v>-11174</v>
      </c>
      <c r="T174" s="13" t="s">
        <v>18</v>
      </c>
      <c r="U174" s="23">
        <v>1997</v>
      </c>
      <c r="V174" s="4">
        <v>2</v>
      </c>
      <c r="W174" s="242">
        <f t="shared" si="120"/>
        <v>4722.2053069861613</v>
      </c>
      <c r="X174" s="131">
        <f t="shared" ref="X174:X189" si="152">W174-W162</f>
        <v>-230.11496156200064</v>
      </c>
      <c r="Z174" s="175">
        <f t="shared" si="121"/>
        <v>620375</v>
      </c>
      <c r="AA174" s="12">
        <f t="shared" si="122"/>
        <v>-11174</v>
      </c>
      <c r="AB174" s="379">
        <f t="shared" si="129"/>
        <v>620375</v>
      </c>
      <c r="AC174" s="107">
        <f>RESID!AC174</f>
        <v>29.5</v>
      </c>
      <c r="AD174" s="243">
        <f t="shared" si="123"/>
        <v>651244.80000000005</v>
      </c>
      <c r="AE174" s="243">
        <f t="shared" si="142"/>
        <v>2926.5</v>
      </c>
      <c r="AF174" s="4">
        <f t="shared" si="147"/>
        <v>8173</v>
      </c>
      <c r="AG174" s="4">
        <f t="shared" si="124"/>
        <v>639722</v>
      </c>
      <c r="AJ174" s="269">
        <f t="shared" si="132"/>
        <v>552913</v>
      </c>
      <c r="AK174" s="269">
        <f t="shared" si="133"/>
        <v>35353</v>
      </c>
      <c r="AL174" s="276">
        <f t="shared" si="138"/>
        <v>15639.77597375046</v>
      </c>
      <c r="AM174" s="269">
        <f t="shared" si="134"/>
        <v>73479</v>
      </c>
      <c r="AN174" s="269">
        <f t="shared" si="135"/>
        <v>93002</v>
      </c>
      <c r="AO174" s="276">
        <f t="shared" si="139"/>
        <v>790.07978323046814</v>
      </c>
      <c r="AP174" s="269">
        <f t="shared" si="136"/>
        <v>5157</v>
      </c>
      <c r="AQ174" s="269">
        <f t="shared" si="137"/>
        <v>3019</v>
      </c>
      <c r="AR174" s="276">
        <f t="shared" si="140"/>
        <v>1708.1815170586287</v>
      </c>
      <c r="AX174" s="4">
        <v>1997</v>
      </c>
      <c r="AY174" s="4">
        <v>2</v>
      </c>
      <c r="AZ174" s="76">
        <f>'[8]COM 55 &amp; 65'!$S259</f>
        <v>128.6</v>
      </c>
      <c r="BA174" s="76">
        <f t="shared" si="145"/>
        <v>82.6</v>
      </c>
      <c r="BB174" s="362">
        <f t="shared" si="130"/>
        <v>-46</v>
      </c>
      <c r="BC174" s="362"/>
      <c r="BD174" s="76">
        <f>'[8]COM 55 &amp; 65'!$J259</f>
        <v>14.7</v>
      </c>
      <c r="BE174" s="76">
        <f t="shared" si="146"/>
        <v>36.5</v>
      </c>
      <c r="BF174" s="363">
        <f t="shared" si="131"/>
        <v>21.8</v>
      </c>
      <c r="BG174" s="244"/>
      <c r="BH174" s="244">
        <f t="shared" si="125"/>
        <v>-31413.859999999997</v>
      </c>
      <c r="BI174" s="242">
        <f t="shared" si="126"/>
        <v>14373.612000000001</v>
      </c>
      <c r="BJ174" s="242"/>
      <c r="BK174" s="241">
        <f t="shared" si="127"/>
        <v>-17040</v>
      </c>
      <c r="BL174" s="262"/>
      <c r="BM174" s="36" t="s">
        <v>18</v>
      </c>
      <c r="BN174" s="4">
        <v>1997</v>
      </c>
      <c r="BO174" s="4">
        <v>2</v>
      </c>
      <c r="BP174" s="108">
        <f>C174+[4]MWh!$AK8</f>
        <v>579547.96563824627</v>
      </c>
      <c r="BQ174" s="76">
        <f t="shared" si="148"/>
        <v>4411.4357912391051</v>
      </c>
      <c r="BR174" s="130">
        <f t="shared" si="149"/>
        <v>4281.7297611266022</v>
      </c>
      <c r="BS174" s="130"/>
      <c r="BT174" s="175">
        <f t="shared" si="150"/>
        <v>562507.96563824627</v>
      </c>
      <c r="BV174" s="137">
        <f t="shared" si="151"/>
        <v>-17040</v>
      </c>
    </row>
    <row r="175" spans="1:74" ht="12.75" customHeight="1">
      <c r="A175" s="51">
        <v>1997</v>
      </c>
      <c r="B175" s="4">
        <v>3</v>
      </c>
      <c r="C175" s="5">
        <v>689227</v>
      </c>
      <c r="D175" s="5">
        <v>130956</v>
      </c>
      <c r="E175" s="74">
        <f t="shared" si="114"/>
        <v>5263</v>
      </c>
      <c r="F175" s="13">
        <v>78526</v>
      </c>
      <c r="G175" s="347">
        <v>92328</v>
      </c>
      <c r="H175" s="13">
        <v>5155</v>
      </c>
      <c r="I175" s="13">
        <v>3009</v>
      </c>
      <c r="J175" s="574">
        <f>[5]CC!$E55</f>
        <v>131640</v>
      </c>
      <c r="K175" s="4">
        <f>'[7]COM 55 &amp; 65'!$S260</f>
        <v>190.8</v>
      </c>
      <c r="L175" s="4">
        <f t="shared" si="143"/>
        <v>105.4</v>
      </c>
      <c r="M175" s="135">
        <f t="shared" si="115"/>
        <v>-85.4</v>
      </c>
      <c r="N175" s="4">
        <f>'[7]COM 55 &amp; 65'!$J260</f>
        <v>7.6</v>
      </c>
      <c r="O175" s="4">
        <f t="shared" si="141"/>
        <v>26.8</v>
      </c>
      <c r="P175" s="41">
        <f t="shared" si="116"/>
        <v>19.200000000000003</v>
      </c>
      <c r="Q175" s="474">
        <f t="shared" si="117"/>
        <v>-58320.514000000003</v>
      </c>
      <c r="R175" s="472">
        <f t="shared" si="118"/>
        <v>12659.328000000003</v>
      </c>
      <c r="S175" s="241">
        <f t="shared" si="119"/>
        <v>-45661</v>
      </c>
      <c r="T175" s="13" t="s">
        <v>18</v>
      </c>
      <c r="U175" s="23">
        <v>1997</v>
      </c>
      <c r="V175" s="4">
        <v>3</v>
      </c>
      <c r="W175" s="242">
        <f t="shared" si="120"/>
        <v>4914.3681847338039</v>
      </c>
      <c r="X175" s="131">
        <f t="shared" si="152"/>
        <v>179.37990746967989</v>
      </c>
      <c r="Z175" s="175">
        <f t="shared" si="121"/>
        <v>643566</v>
      </c>
      <c r="AA175" s="12">
        <f t="shared" si="122"/>
        <v>-45661</v>
      </c>
      <c r="AB175" s="379">
        <f t="shared" si="129"/>
        <v>643566</v>
      </c>
      <c r="AC175" s="107">
        <f>RESID!AC175</f>
        <v>29.4</v>
      </c>
      <c r="AD175" s="243">
        <f t="shared" si="123"/>
        <v>713139</v>
      </c>
      <c r="AE175" s="243">
        <f t="shared" si="142"/>
        <v>75027.800000000047</v>
      </c>
      <c r="AF175" s="4">
        <f t="shared" si="147"/>
        <v>-23333</v>
      </c>
      <c r="AG175" s="4">
        <f t="shared" si="124"/>
        <v>665894</v>
      </c>
      <c r="AJ175" s="269">
        <f t="shared" si="132"/>
        <v>605546</v>
      </c>
      <c r="AK175" s="269">
        <f t="shared" si="133"/>
        <v>35619</v>
      </c>
      <c r="AL175" s="276">
        <f t="shared" si="138"/>
        <v>17000.645722788398</v>
      </c>
      <c r="AM175" s="269">
        <f t="shared" si="134"/>
        <v>78526</v>
      </c>
      <c r="AN175" s="269">
        <f t="shared" si="135"/>
        <v>92328</v>
      </c>
      <c r="AO175" s="276">
        <f t="shared" si="139"/>
        <v>850.51122086474311</v>
      </c>
      <c r="AP175" s="269">
        <f t="shared" si="136"/>
        <v>5155</v>
      </c>
      <c r="AQ175" s="269">
        <f t="shared" si="137"/>
        <v>3009</v>
      </c>
      <c r="AR175" s="276">
        <f t="shared" si="140"/>
        <v>1713.1937520771021</v>
      </c>
      <c r="AX175" s="4">
        <v>1997</v>
      </c>
      <c r="AY175" s="4">
        <v>3</v>
      </c>
      <c r="AZ175" s="76">
        <f>'[8]COM 55 &amp; 65'!$S260</f>
        <v>240.3</v>
      </c>
      <c r="BA175" s="76">
        <f t="shared" si="145"/>
        <v>140.4</v>
      </c>
      <c r="BB175" s="362">
        <f t="shared" si="130"/>
        <v>-99.9</v>
      </c>
      <c r="BC175" s="362"/>
      <c r="BD175" s="76">
        <f>'[8]COM 55 &amp; 65'!$J260</f>
        <v>2.2999999999999998</v>
      </c>
      <c r="BE175" s="76">
        <f t="shared" si="146"/>
        <v>15.1</v>
      </c>
      <c r="BF175" s="363">
        <f t="shared" si="131"/>
        <v>12.8</v>
      </c>
      <c r="BG175" s="244"/>
      <c r="BH175" s="244">
        <f t="shared" si="125"/>
        <v>-68222.709000000003</v>
      </c>
      <c r="BI175" s="242">
        <f t="shared" si="126"/>
        <v>8439.5520000000015</v>
      </c>
      <c r="BJ175" s="242"/>
      <c r="BK175" s="241">
        <f t="shared" si="127"/>
        <v>-59783</v>
      </c>
      <c r="BL175" s="262"/>
      <c r="BM175" s="36" t="s">
        <v>18</v>
      </c>
      <c r="BN175" s="4">
        <v>1997</v>
      </c>
      <c r="BO175" s="4">
        <v>3</v>
      </c>
      <c r="BP175" s="108">
        <f>C175+[4]MWh!$AK9</f>
        <v>782104.38282108284</v>
      </c>
      <c r="BQ175" s="76">
        <f t="shared" si="148"/>
        <v>5972.2684170338343</v>
      </c>
      <c r="BR175" s="130">
        <f t="shared" si="149"/>
        <v>5515.75630609581</v>
      </c>
      <c r="BS175" s="130"/>
      <c r="BT175" s="175">
        <f t="shared" si="150"/>
        <v>722321.38282108284</v>
      </c>
      <c r="BV175" s="137">
        <f t="shared" si="151"/>
        <v>-59783</v>
      </c>
    </row>
    <row r="176" spans="1:74" ht="12.75" customHeight="1">
      <c r="A176" s="51">
        <v>1997</v>
      </c>
      <c r="B176" s="4">
        <v>4</v>
      </c>
      <c r="C176" s="5">
        <v>734392</v>
      </c>
      <c r="D176" s="5">
        <v>130604</v>
      </c>
      <c r="E176" s="74">
        <f t="shared" si="114"/>
        <v>5623</v>
      </c>
      <c r="F176" s="13">
        <v>84607</v>
      </c>
      <c r="G176" s="347">
        <v>92094</v>
      </c>
      <c r="H176" s="13">
        <v>5222</v>
      </c>
      <c r="I176" s="13">
        <v>3067</v>
      </c>
      <c r="J176" s="574">
        <f>[5]CC!$E56</f>
        <v>131474</v>
      </c>
      <c r="K176" s="4">
        <f>'[7]COM 55 &amp; 65'!$S261</f>
        <v>209.8</v>
      </c>
      <c r="L176" s="4">
        <f t="shared" si="143"/>
        <v>178.4</v>
      </c>
      <c r="M176" s="135">
        <f t="shared" si="115"/>
        <v>-31.400000000000006</v>
      </c>
      <c r="N176" s="4">
        <f>'[7]COM 55 &amp; 65'!$J261</f>
        <v>3</v>
      </c>
      <c r="O176" s="4">
        <f t="shared" si="141"/>
        <v>9.5</v>
      </c>
      <c r="P176" s="41">
        <f t="shared" si="116"/>
        <v>6.5</v>
      </c>
      <c r="Q176" s="474">
        <f t="shared" si="117"/>
        <v>-21443.374000000003</v>
      </c>
      <c r="R176" s="472">
        <f t="shared" si="118"/>
        <v>4285.71</v>
      </c>
      <c r="S176" s="241">
        <f t="shared" si="119"/>
        <v>-17158</v>
      </c>
      <c r="T176" s="13" t="s">
        <v>18</v>
      </c>
      <c r="U176" s="23">
        <v>1997</v>
      </c>
      <c r="V176" s="4">
        <v>4</v>
      </c>
      <c r="W176" s="242">
        <f t="shared" si="120"/>
        <v>5491.669474135555</v>
      </c>
      <c r="X176" s="131">
        <f t="shared" si="152"/>
        <v>181.88576683820338</v>
      </c>
      <c r="Z176" s="175">
        <f t="shared" si="121"/>
        <v>717234</v>
      </c>
      <c r="AA176" s="12">
        <f t="shared" si="122"/>
        <v>-17158</v>
      </c>
      <c r="AB176" s="379">
        <f t="shared" si="129"/>
        <v>717234</v>
      </c>
      <c r="AC176" s="107">
        <f>RESID!AC176</f>
        <v>30.8</v>
      </c>
      <c r="AD176" s="243">
        <f t="shared" si="123"/>
        <v>725331.3</v>
      </c>
      <c r="AE176" s="243">
        <f t="shared" si="142"/>
        <v>68195.20000000007</v>
      </c>
      <c r="AF176" s="4">
        <f t="shared" si="147"/>
        <v>-26007</v>
      </c>
      <c r="AG176" s="4">
        <f t="shared" si="124"/>
        <v>708385</v>
      </c>
      <c r="AJ176" s="269">
        <f t="shared" si="132"/>
        <v>644563</v>
      </c>
      <c r="AK176" s="269">
        <f t="shared" si="133"/>
        <v>35443</v>
      </c>
      <c r="AL176" s="276">
        <f t="shared" si="138"/>
        <v>18185.904127754424</v>
      </c>
      <c r="AM176" s="269">
        <f t="shared" si="134"/>
        <v>84607</v>
      </c>
      <c r="AN176" s="269">
        <f t="shared" si="135"/>
        <v>92094</v>
      </c>
      <c r="AO176" s="276">
        <f t="shared" si="139"/>
        <v>918.70262992160178</v>
      </c>
      <c r="AP176" s="269">
        <f t="shared" si="136"/>
        <v>5222</v>
      </c>
      <c r="AQ176" s="269">
        <f t="shared" si="137"/>
        <v>3067</v>
      </c>
      <c r="AR176" s="276">
        <f t="shared" si="140"/>
        <v>1702.6410172807302</v>
      </c>
      <c r="AX176" s="4">
        <v>1997</v>
      </c>
      <c r="AY176" s="4">
        <v>4</v>
      </c>
      <c r="AZ176" s="76">
        <f>'[8]COM 55 &amp; 65'!$S261</f>
        <v>183.4</v>
      </c>
      <c r="BA176" s="76">
        <f t="shared" si="145"/>
        <v>227.4</v>
      </c>
      <c r="BB176" s="362">
        <f t="shared" si="130"/>
        <v>44</v>
      </c>
      <c r="BC176" s="362"/>
      <c r="BD176" s="76">
        <f>'[8]COM 55 &amp; 65'!$J261</f>
        <v>3.8</v>
      </c>
      <c r="BE176" s="76">
        <f t="shared" si="146"/>
        <v>4.8</v>
      </c>
      <c r="BF176" s="363">
        <f t="shared" si="131"/>
        <v>1</v>
      </c>
      <c r="BG176" s="244"/>
      <c r="BH176" s="244">
        <f t="shared" si="125"/>
        <v>30048.039999999997</v>
      </c>
      <c r="BI176" s="242">
        <f t="shared" si="126"/>
        <v>659.34</v>
      </c>
      <c r="BJ176" s="242"/>
      <c r="BK176" s="241">
        <f t="shared" si="127"/>
        <v>30707</v>
      </c>
      <c r="BL176" s="262"/>
      <c r="BM176" s="36" t="s">
        <v>18</v>
      </c>
      <c r="BN176" s="4">
        <v>1997</v>
      </c>
      <c r="BO176" s="4">
        <v>4</v>
      </c>
      <c r="BP176" s="108">
        <f>C176+[4]MWh!$AK10</f>
        <v>715574.58485951414</v>
      </c>
      <c r="BQ176" s="76">
        <f t="shared" si="148"/>
        <v>5478.9637749189469</v>
      </c>
      <c r="BR176" s="130">
        <f t="shared" si="149"/>
        <v>5714.0790853229155</v>
      </c>
      <c r="BS176" s="130"/>
      <c r="BT176" s="175">
        <f t="shared" si="150"/>
        <v>746281.58485951414</v>
      </c>
      <c r="BV176" s="137">
        <f t="shared" si="151"/>
        <v>30707</v>
      </c>
    </row>
    <row r="177" spans="1:76" ht="12.75" customHeight="1">
      <c r="A177" s="51">
        <v>1997</v>
      </c>
      <c r="B177" s="4">
        <v>5</v>
      </c>
      <c r="C177" s="5">
        <v>713865</v>
      </c>
      <c r="D177" s="5">
        <v>132816</v>
      </c>
      <c r="E177" s="74">
        <f t="shared" si="114"/>
        <v>5374.8</v>
      </c>
      <c r="F177" s="13">
        <v>77103</v>
      </c>
      <c r="G177" s="347">
        <v>93635</v>
      </c>
      <c r="H177" s="13">
        <v>5283</v>
      </c>
      <c r="I177" s="13">
        <v>3043</v>
      </c>
      <c r="J177" s="574">
        <f>[5]CC!$E57</f>
        <v>131552</v>
      </c>
      <c r="K177" s="4">
        <f>'[7]COM 55 &amp; 65'!$S262</f>
        <v>230.8</v>
      </c>
      <c r="L177" s="4">
        <f t="shared" si="143"/>
        <v>273.89999999999998</v>
      </c>
      <c r="M177" s="135">
        <f t="shared" si="115"/>
        <v>43.099999999999966</v>
      </c>
      <c r="N177" s="4">
        <f>'[7]COM 55 &amp; 65'!$J262</f>
        <v>2.2999999999999998</v>
      </c>
      <c r="O177" s="4">
        <f t="shared" si="141"/>
        <v>2</v>
      </c>
      <c r="P177" s="41">
        <f t="shared" si="116"/>
        <v>-0.29999999999999982</v>
      </c>
      <c r="Q177" s="474">
        <f t="shared" si="117"/>
        <v>29433.420999999977</v>
      </c>
      <c r="R177" s="472">
        <f t="shared" si="118"/>
        <v>-197.80199999999988</v>
      </c>
      <c r="S177" s="241">
        <f t="shared" si="119"/>
        <v>29236</v>
      </c>
      <c r="T177" s="13" t="s">
        <v>18</v>
      </c>
      <c r="U177" s="23">
        <v>1997</v>
      </c>
      <c r="V177" s="4">
        <v>5</v>
      </c>
      <c r="W177" s="242">
        <f t="shared" si="120"/>
        <v>5594.965967955668</v>
      </c>
      <c r="X177" s="131">
        <f t="shared" si="152"/>
        <v>144.34544706771158</v>
      </c>
      <c r="Z177" s="175">
        <f t="shared" si="121"/>
        <v>743101</v>
      </c>
      <c r="AA177" s="12">
        <f t="shared" si="122"/>
        <v>29236</v>
      </c>
      <c r="AB177" s="379">
        <f t="shared" si="129"/>
        <v>743101</v>
      </c>
      <c r="AC177" s="107">
        <f>RESID!AC177</f>
        <v>29.45</v>
      </c>
      <c r="AD177" s="243">
        <f t="shared" si="123"/>
        <v>737377.7</v>
      </c>
      <c r="AE177" s="243">
        <f t="shared" si="142"/>
        <v>27783.599999999977</v>
      </c>
      <c r="AF177" s="4">
        <f t="shared" si="147"/>
        <v>53712</v>
      </c>
      <c r="AG177" s="4">
        <f t="shared" si="124"/>
        <v>767577</v>
      </c>
      <c r="AJ177" s="269">
        <f t="shared" si="132"/>
        <v>631479</v>
      </c>
      <c r="AK177" s="269">
        <f t="shared" si="133"/>
        <v>36138</v>
      </c>
      <c r="AL177" s="276">
        <f t="shared" si="138"/>
        <v>17474.099286070064</v>
      </c>
      <c r="AM177" s="269">
        <f t="shared" si="134"/>
        <v>77103</v>
      </c>
      <c r="AN177" s="269">
        <f t="shared" si="135"/>
        <v>93635</v>
      </c>
      <c r="AO177" s="276">
        <f t="shared" si="139"/>
        <v>823.44208896246062</v>
      </c>
      <c r="AP177" s="269">
        <f t="shared" si="136"/>
        <v>5283</v>
      </c>
      <c r="AQ177" s="269">
        <f t="shared" si="137"/>
        <v>3043</v>
      </c>
      <c r="AR177" s="276">
        <f t="shared" si="140"/>
        <v>1736.1156753204075</v>
      </c>
      <c r="AX177" s="4">
        <v>1997</v>
      </c>
      <c r="AY177" s="4">
        <v>5</v>
      </c>
      <c r="AZ177" s="76">
        <f>'[8]COM 55 &amp; 65'!$S262</f>
        <v>357.1</v>
      </c>
      <c r="BA177" s="76">
        <f t="shared" si="145"/>
        <v>395.2</v>
      </c>
      <c r="BB177" s="362">
        <f t="shared" si="130"/>
        <v>38.099999999999966</v>
      </c>
      <c r="BC177" s="362"/>
      <c r="BD177" s="76">
        <f>'[8]COM 55 &amp; 65'!$J262</f>
        <v>0.5</v>
      </c>
      <c r="BE177" s="76">
        <f t="shared" si="146"/>
        <v>0.2</v>
      </c>
      <c r="BF177" s="363">
        <f t="shared" si="131"/>
        <v>-0.3</v>
      </c>
      <c r="BG177" s="244"/>
      <c r="BH177" s="244">
        <f t="shared" si="125"/>
        <v>26018.870999999974</v>
      </c>
      <c r="BI177" s="242">
        <f t="shared" si="126"/>
        <v>-197.80199999999999</v>
      </c>
      <c r="BJ177" s="242"/>
      <c r="BK177" s="241">
        <f t="shared" si="127"/>
        <v>25821</v>
      </c>
      <c r="BL177" s="262"/>
      <c r="BM177" s="36" t="s">
        <v>18</v>
      </c>
      <c r="BN177" s="4">
        <v>1997</v>
      </c>
      <c r="BO177" s="4">
        <v>5</v>
      </c>
      <c r="BP177" s="108">
        <f>C177+[4]MWh!$AK11</f>
        <v>830408.3425202308</v>
      </c>
      <c r="BQ177" s="76">
        <f t="shared" si="148"/>
        <v>6252.3215766190124</v>
      </c>
      <c r="BR177" s="130">
        <f t="shared" si="149"/>
        <v>6446.7333944722832</v>
      </c>
      <c r="BS177" s="130"/>
      <c r="BT177" s="175">
        <f t="shared" si="150"/>
        <v>856229.3425202308</v>
      </c>
      <c r="BV177" s="137">
        <f t="shared" si="151"/>
        <v>25821</v>
      </c>
    </row>
    <row r="178" spans="1:76" ht="12.75" customHeight="1">
      <c r="A178" s="51">
        <v>1997</v>
      </c>
      <c r="B178" s="4">
        <v>6</v>
      </c>
      <c r="C178" s="5">
        <v>820712</v>
      </c>
      <c r="D178" s="5">
        <v>131782</v>
      </c>
      <c r="E178" s="74">
        <f t="shared" si="114"/>
        <v>6227.8</v>
      </c>
      <c r="F178" s="13">
        <v>93225</v>
      </c>
      <c r="G178" s="347">
        <v>92270</v>
      </c>
      <c r="H178" s="13">
        <v>5290</v>
      </c>
      <c r="I178" s="13">
        <v>3702</v>
      </c>
      <c r="J178" s="574">
        <f>[5]CC!$E58</f>
        <v>132613</v>
      </c>
      <c r="K178" s="4">
        <f>'[7]COM 55 &amp; 65'!$S263</f>
        <v>397.1</v>
      </c>
      <c r="L178" s="4">
        <f t="shared" si="143"/>
        <v>442.7</v>
      </c>
      <c r="M178" s="135">
        <f t="shared" si="115"/>
        <v>45.599999999999966</v>
      </c>
      <c r="N178" s="4">
        <f>'[7]COM 55 &amp; 65'!$J263</f>
        <v>0.2</v>
      </c>
      <c r="O178" s="4">
        <f t="shared" si="141"/>
        <v>0.1</v>
      </c>
      <c r="P178" s="41">
        <f t="shared" si="116"/>
        <v>-0.1</v>
      </c>
      <c r="Q178" s="474">
        <f t="shared" si="117"/>
        <v>31140.695999999974</v>
      </c>
      <c r="R178" s="472">
        <f t="shared" si="118"/>
        <v>-65.934000000000012</v>
      </c>
      <c r="S178" s="241">
        <f t="shared" si="119"/>
        <v>31075</v>
      </c>
      <c r="T178" s="13" t="s">
        <v>18</v>
      </c>
      <c r="U178" s="23">
        <v>1997</v>
      </c>
      <c r="V178" s="4">
        <v>6</v>
      </c>
      <c r="W178" s="242">
        <f t="shared" si="120"/>
        <v>6463.6065623529767</v>
      </c>
      <c r="X178" s="131">
        <f t="shared" si="152"/>
        <v>58.994260360614135</v>
      </c>
      <c r="Z178" s="175">
        <f t="shared" si="121"/>
        <v>851787</v>
      </c>
      <c r="AA178" s="12">
        <f t="shared" si="122"/>
        <v>31075</v>
      </c>
      <c r="AB178" s="379">
        <f t="shared" si="129"/>
        <v>851787</v>
      </c>
      <c r="AC178" s="107">
        <f>RESID!AC178</f>
        <v>30.75</v>
      </c>
      <c r="AD178" s="243">
        <f t="shared" si="123"/>
        <v>811904.4</v>
      </c>
      <c r="AE178" s="243">
        <f t="shared" si="142"/>
        <v>-3735.1999999999534</v>
      </c>
      <c r="AF178" s="4">
        <f t="shared" si="147"/>
        <v>21934</v>
      </c>
      <c r="AG178" s="4">
        <f t="shared" si="124"/>
        <v>842646</v>
      </c>
      <c r="AJ178" s="269">
        <f t="shared" si="132"/>
        <v>722197</v>
      </c>
      <c r="AK178" s="269">
        <f t="shared" si="133"/>
        <v>35810</v>
      </c>
      <c r="AL178" s="276">
        <f t="shared" si="138"/>
        <v>20167.46718793633</v>
      </c>
      <c r="AM178" s="269">
        <f t="shared" si="134"/>
        <v>93225</v>
      </c>
      <c r="AN178" s="269">
        <f t="shared" si="135"/>
        <v>92270</v>
      </c>
      <c r="AO178" s="276">
        <f t="shared" si="139"/>
        <v>1010.3500596076731</v>
      </c>
      <c r="AP178" s="269">
        <f t="shared" si="136"/>
        <v>5290</v>
      </c>
      <c r="AQ178" s="269">
        <f t="shared" si="137"/>
        <v>3702</v>
      </c>
      <c r="AR178" s="276">
        <f t="shared" si="140"/>
        <v>1428.957320367369</v>
      </c>
      <c r="AX178" s="4">
        <v>1997</v>
      </c>
      <c r="AY178" s="4">
        <v>6</v>
      </c>
      <c r="AZ178" s="76">
        <f>'[8]COM 55 &amp; 65'!$S263</f>
        <v>457.8</v>
      </c>
      <c r="BA178" s="76">
        <f t="shared" si="145"/>
        <v>485.1</v>
      </c>
      <c r="BB178" s="362">
        <f t="shared" si="130"/>
        <v>27.300000000000011</v>
      </c>
      <c r="BC178" s="362"/>
      <c r="BD178" s="76">
        <f>'[8]COM 55 &amp; 65'!$J263</f>
        <v>0</v>
      </c>
      <c r="BE178" s="76">
        <f t="shared" si="146"/>
        <v>0</v>
      </c>
      <c r="BF178" s="363">
        <f t="shared" si="131"/>
        <v>0</v>
      </c>
      <c r="BG178" s="244"/>
      <c r="BH178" s="244">
        <f t="shared" si="125"/>
        <v>18643.443000000007</v>
      </c>
      <c r="BI178" s="242">
        <f t="shared" si="126"/>
        <v>0</v>
      </c>
      <c r="BJ178" s="242"/>
      <c r="BK178" s="241">
        <f t="shared" si="127"/>
        <v>18643</v>
      </c>
      <c r="BL178" s="262"/>
      <c r="BM178" s="36" t="s">
        <v>18</v>
      </c>
      <c r="BN178" s="4">
        <v>1997</v>
      </c>
      <c r="BO178" s="4">
        <v>6</v>
      </c>
      <c r="BP178" s="108">
        <f>C178+[4]MWh!$AK12</f>
        <v>840459.50858559879</v>
      </c>
      <c r="BQ178" s="76">
        <f t="shared" si="148"/>
        <v>6377.6502753456371</v>
      </c>
      <c r="BR178" s="130">
        <f t="shared" si="149"/>
        <v>6519.1187611783007</v>
      </c>
      <c r="BS178" s="130"/>
      <c r="BT178" s="175">
        <f t="shared" si="150"/>
        <v>859102.50858559879</v>
      </c>
      <c r="BV178" s="137">
        <f t="shared" si="151"/>
        <v>18643</v>
      </c>
      <c r="BW178" s="4">
        <f>SUM(BV176:BV178)</f>
        <v>75171</v>
      </c>
      <c r="BX178" s="4">
        <v>26.53</v>
      </c>
    </row>
    <row r="179" spans="1:76" ht="12.75" customHeight="1">
      <c r="A179" s="51">
        <v>1997</v>
      </c>
      <c r="B179" s="4">
        <v>7</v>
      </c>
      <c r="C179" s="5">
        <v>885434</v>
      </c>
      <c r="D179" s="5">
        <v>131950</v>
      </c>
      <c r="E179" s="74">
        <f t="shared" si="114"/>
        <v>6710.4</v>
      </c>
      <c r="F179" s="13">
        <v>100657</v>
      </c>
      <c r="G179" s="347">
        <v>92706</v>
      </c>
      <c r="H179" s="13">
        <v>5339</v>
      </c>
      <c r="I179" s="13">
        <v>3102</v>
      </c>
      <c r="J179" s="574">
        <f>[5]CC!$E59</f>
        <v>131284</v>
      </c>
      <c r="K179" s="4">
        <f>'[7]COM 55 &amp; 65'!$S264</f>
        <v>512.1</v>
      </c>
      <c r="L179" s="4">
        <f t="shared" si="143"/>
        <v>516.1</v>
      </c>
      <c r="M179" s="135">
        <f t="shared" ref="M179:M190" si="153">(L179-K179)</f>
        <v>4</v>
      </c>
      <c r="N179" s="4">
        <f>'[7]COM 55 &amp; 65'!$J264</f>
        <v>0</v>
      </c>
      <c r="O179" s="4">
        <f t="shared" si="141"/>
        <v>0</v>
      </c>
      <c r="P179" s="41">
        <f t="shared" ref="P179:P190" si="154">(O179-N179)</f>
        <v>0</v>
      </c>
      <c r="Q179" s="474">
        <f t="shared" si="117"/>
        <v>2731.64</v>
      </c>
      <c r="R179" s="472">
        <f t="shared" si="118"/>
        <v>0</v>
      </c>
      <c r="S179" s="241">
        <f t="shared" si="119"/>
        <v>2732</v>
      </c>
      <c r="T179" s="13" t="s">
        <v>18</v>
      </c>
      <c r="U179" s="23">
        <v>1997</v>
      </c>
      <c r="V179" s="4">
        <v>7</v>
      </c>
      <c r="W179" s="242">
        <f t="shared" si="120"/>
        <v>6731.0799545282298</v>
      </c>
      <c r="X179" s="131">
        <f t="shared" si="152"/>
        <v>118.11198175573645</v>
      </c>
      <c r="Z179" s="175">
        <f t="shared" si="121"/>
        <v>888166</v>
      </c>
      <c r="AA179" s="12">
        <f t="shared" si="122"/>
        <v>2732</v>
      </c>
      <c r="AB179" s="379">
        <f t="shared" si="129"/>
        <v>888166</v>
      </c>
      <c r="AC179" s="107">
        <f>RESID!AC179</f>
        <v>30.45</v>
      </c>
      <c r="AD179" s="243">
        <f t="shared" si="123"/>
        <v>884561.7</v>
      </c>
      <c r="AE179" s="243">
        <f t="shared" si="142"/>
        <v>60011.899999999907</v>
      </c>
      <c r="AF179" s="4">
        <f t="shared" si="147"/>
        <v>1857</v>
      </c>
      <c r="AG179" s="4">
        <f t="shared" si="124"/>
        <v>887291</v>
      </c>
      <c r="AJ179" s="269">
        <f t="shared" si="132"/>
        <v>779438</v>
      </c>
      <c r="AK179" s="269">
        <f t="shared" si="133"/>
        <v>36142</v>
      </c>
      <c r="AL179" s="276">
        <f t="shared" si="138"/>
        <v>21565.989707265784</v>
      </c>
      <c r="AM179" s="269">
        <f t="shared" si="134"/>
        <v>100657</v>
      </c>
      <c r="AN179" s="269">
        <f t="shared" si="135"/>
        <v>92706</v>
      </c>
      <c r="AO179" s="276">
        <f t="shared" si="139"/>
        <v>1085.7657541043729</v>
      </c>
      <c r="AP179" s="269">
        <f t="shared" si="136"/>
        <v>5339</v>
      </c>
      <c r="AQ179" s="269">
        <f t="shared" si="137"/>
        <v>3102</v>
      </c>
      <c r="AR179" s="276">
        <f t="shared" si="140"/>
        <v>1721.1476466795616</v>
      </c>
      <c r="AX179" s="4">
        <v>1997</v>
      </c>
      <c r="AY179" s="4">
        <v>7</v>
      </c>
      <c r="AZ179" s="76">
        <f>'[8]COM 55 &amp; 65'!$S264</f>
        <v>543.6</v>
      </c>
      <c r="BA179" s="76">
        <f t="shared" si="145"/>
        <v>546.1</v>
      </c>
      <c r="BB179" s="362">
        <f t="shared" si="130"/>
        <v>2.5</v>
      </c>
      <c r="BC179" s="362"/>
      <c r="BD179" s="76">
        <f>'[8]COM 55 &amp; 65'!$J264</f>
        <v>0</v>
      </c>
      <c r="BE179" s="76">
        <f t="shared" si="146"/>
        <v>0</v>
      </c>
      <c r="BF179" s="363">
        <f t="shared" si="131"/>
        <v>0</v>
      </c>
      <c r="BG179" s="244"/>
      <c r="BH179" s="244">
        <f t="shared" si="125"/>
        <v>1707.2749999999999</v>
      </c>
      <c r="BI179" s="242">
        <f t="shared" si="126"/>
        <v>0</v>
      </c>
      <c r="BJ179" s="242"/>
      <c r="BK179" s="241">
        <f t="shared" si="127"/>
        <v>1707</v>
      </c>
      <c r="BL179" s="262"/>
      <c r="BM179" s="36" t="s">
        <v>18</v>
      </c>
      <c r="BN179" s="4">
        <v>1997</v>
      </c>
      <c r="BO179" s="4">
        <v>7</v>
      </c>
      <c r="BP179" s="108">
        <f>C179+[4]MWh!$AK13</f>
        <v>885063.3080362241</v>
      </c>
      <c r="BQ179" s="76">
        <f t="shared" si="148"/>
        <v>6707.5658055037829</v>
      </c>
      <c r="BR179" s="130">
        <f t="shared" si="149"/>
        <v>6720.5025239577426</v>
      </c>
      <c r="BS179" s="130"/>
      <c r="BT179" s="175">
        <f t="shared" si="150"/>
        <v>886770.3080362241</v>
      </c>
      <c r="BV179" s="137">
        <f t="shared" si="151"/>
        <v>1707</v>
      </c>
    </row>
    <row r="180" spans="1:76" ht="12.75" customHeight="1">
      <c r="A180" s="51">
        <v>1997</v>
      </c>
      <c r="B180" s="4">
        <v>8</v>
      </c>
      <c r="C180" s="5">
        <v>871638</v>
      </c>
      <c r="D180" s="5">
        <v>132796</v>
      </c>
      <c r="E180" s="74">
        <f t="shared" si="114"/>
        <v>6563.7</v>
      </c>
      <c r="F180" s="13">
        <v>99559</v>
      </c>
      <c r="G180" s="347">
        <v>93117</v>
      </c>
      <c r="H180" s="13">
        <v>5366</v>
      </c>
      <c r="I180" s="13">
        <v>3146</v>
      </c>
      <c r="J180" s="574">
        <f>[5]CC!$E60</f>
        <v>133537</v>
      </c>
      <c r="K180" s="4">
        <f>'[7]COM 55 &amp; 65'!$S265</f>
        <v>521.9</v>
      </c>
      <c r="L180" s="4">
        <f t="shared" si="143"/>
        <v>542</v>
      </c>
      <c r="M180" s="135">
        <f t="shared" si="153"/>
        <v>20.100000000000023</v>
      </c>
      <c r="N180" s="4">
        <f>'[7]COM 55 &amp; 65'!$J265</f>
        <v>0</v>
      </c>
      <c r="O180" s="4">
        <f t="shared" si="141"/>
        <v>0</v>
      </c>
      <c r="P180" s="41">
        <f t="shared" si="154"/>
        <v>0</v>
      </c>
      <c r="Q180" s="474">
        <f t="shared" si="117"/>
        <v>13726.491000000015</v>
      </c>
      <c r="R180" s="472">
        <f t="shared" si="118"/>
        <v>0</v>
      </c>
      <c r="S180" s="241">
        <f t="shared" si="119"/>
        <v>13726</v>
      </c>
      <c r="T180" s="13" t="s">
        <v>18</v>
      </c>
      <c r="U180" s="23">
        <v>1997</v>
      </c>
      <c r="V180" s="4">
        <v>8</v>
      </c>
      <c r="W180" s="242">
        <f t="shared" si="120"/>
        <v>6667.0984065785115</v>
      </c>
      <c r="X180" s="131">
        <f t="shared" si="152"/>
        <v>35.912365871470683</v>
      </c>
      <c r="Z180" s="175">
        <f t="shared" si="121"/>
        <v>885364</v>
      </c>
      <c r="AA180" s="12">
        <f t="shared" si="122"/>
        <v>13726</v>
      </c>
      <c r="AB180" s="379">
        <f t="shared" si="129"/>
        <v>885364</v>
      </c>
      <c r="AC180" s="107">
        <f>RESID!AC180</f>
        <v>29.75</v>
      </c>
      <c r="AD180" s="243">
        <f t="shared" si="123"/>
        <v>891268.2</v>
      </c>
      <c r="AE180" s="243">
        <f t="shared" si="142"/>
        <v>24481.79999999993</v>
      </c>
      <c r="AF180" s="4">
        <f t="shared" si="147"/>
        <v>33665</v>
      </c>
      <c r="AG180" s="4">
        <f t="shared" si="124"/>
        <v>905303</v>
      </c>
      <c r="AJ180" s="269">
        <f t="shared" si="132"/>
        <v>766713</v>
      </c>
      <c r="AK180" s="269">
        <f t="shared" si="133"/>
        <v>36533</v>
      </c>
      <c r="AL180" s="276">
        <f t="shared" si="138"/>
        <v>20986.861193988996</v>
      </c>
      <c r="AM180" s="269">
        <f t="shared" si="134"/>
        <v>99559</v>
      </c>
      <c r="AN180" s="269">
        <f t="shared" si="135"/>
        <v>93117</v>
      </c>
      <c r="AO180" s="276">
        <f t="shared" si="139"/>
        <v>1069.1817820591298</v>
      </c>
      <c r="AP180" s="269">
        <f t="shared" si="136"/>
        <v>5366</v>
      </c>
      <c r="AQ180" s="269">
        <f t="shared" si="137"/>
        <v>3146</v>
      </c>
      <c r="AR180" s="276">
        <f t="shared" si="140"/>
        <v>1705.657978385251</v>
      </c>
      <c r="AX180" s="4">
        <v>1997</v>
      </c>
      <c r="AY180" s="4">
        <v>8</v>
      </c>
      <c r="AZ180" s="76">
        <f>'[8]COM 55 &amp; 65'!$S265</f>
        <v>551.70000000000005</v>
      </c>
      <c r="BA180" s="76">
        <f t="shared" si="145"/>
        <v>549</v>
      </c>
      <c r="BB180" s="362">
        <f t="shared" si="130"/>
        <v>-2.7000000000000455</v>
      </c>
      <c r="BC180" s="362"/>
      <c r="BD180" s="76">
        <f>'[8]COM 55 &amp; 65'!$J265</f>
        <v>0</v>
      </c>
      <c r="BE180" s="76">
        <f t="shared" si="146"/>
        <v>0</v>
      </c>
      <c r="BF180" s="363">
        <f t="shared" si="131"/>
        <v>0</v>
      </c>
      <c r="BG180" s="244"/>
      <c r="BH180" s="244">
        <f t="shared" si="125"/>
        <v>-1843.8570000000309</v>
      </c>
      <c r="BI180" s="242">
        <f t="shared" si="126"/>
        <v>0</v>
      </c>
      <c r="BJ180" s="242"/>
      <c r="BK180" s="241">
        <f t="shared" si="127"/>
        <v>-1844</v>
      </c>
      <c r="BL180" s="262"/>
      <c r="BM180" s="36" t="s">
        <v>18</v>
      </c>
      <c r="BN180" s="4">
        <v>1997</v>
      </c>
      <c r="BO180" s="4">
        <v>8</v>
      </c>
      <c r="BP180" s="108">
        <f>C180+[4]MWh!$AK14</f>
        <v>915046.70718705037</v>
      </c>
      <c r="BQ180" s="76">
        <f t="shared" si="148"/>
        <v>6890.6195004898527</v>
      </c>
      <c r="BR180" s="130">
        <f t="shared" si="149"/>
        <v>6876.7335400693573</v>
      </c>
      <c r="BS180" s="130"/>
      <c r="BT180" s="175">
        <f t="shared" si="150"/>
        <v>913202.70718705037</v>
      </c>
      <c r="BV180" s="137">
        <f t="shared" si="151"/>
        <v>-1844</v>
      </c>
    </row>
    <row r="181" spans="1:76" ht="12.75" customHeight="1">
      <c r="A181" s="51">
        <v>1997</v>
      </c>
      <c r="B181" s="4">
        <v>9</v>
      </c>
      <c r="C181" s="5">
        <v>894532</v>
      </c>
      <c r="D181" s="5">
        <v>132275</v>
      </c>
      <c r="E181" s="74">
        <f t="shared" si="114"/>
        <v>6762.7</v>
      </c>
      <c r="F181" s="13">
        <v>101351</v>
      </c>
      <c r="G181" s="347">
        <v>92731</v>
      </c>
      <c r="H181" s="13">
        <v>5417</v>
      </c>
      <c r="I181" s="13">
        <v>3137</v>
      </c>
      <c r="J181" s="574">
        <f>[5]CC!$E61</f>
        <v>133107</v>
      </c>
      <c r="K181" s="4">
        <f>'[7]COM 55 &amp; 65'!$S266</f>
        <v>529.29999999999995</v>
      </c>
      <c r="L181" s="4">
        <f t="shared" si="143"/>
        <v>531.20000000000005</v>
      </c>
      <c r="M181" s="135">
        <f t="shared" si="153"/>
        <v>1.9000000000000909</v>
      </c>
      <c r="N181" s="4">
        <f>'[7]COM 55 &amp; 65'!$J266</f>
        <v>0</v>
      </c>
      <c r="O181" s="4">
        <f t="shared" si="141"/>
        <v>0</v>
      </c>
      <c r="P181" s="41">
        <f t="shared" si="154"/>
        <v>0</v>
      </c>
      <c r="Q181" s="474">
        <f t="shared" si="117"/>
        <v>1297.5290000000621</v>
      </c>
      <c r="R181" s="472">
        <f t="shared" si="118"/>
        <v>0</v>
      </c>
      <c r="S181" s="241">
        <f t="shared" si="119"/>
        <v>1298</v>
      </c>
      <c r="T181" s="13" t="s">
        <v>18</v>
      </c>
      <c r="U181" s="23">
        <v>1997</v>
      </c>
      <c r="V181" s="4">
        <v>9</v>
      </c>
      <c r="W181" s="242">
        <f t="shared" si="120"/>
        <v>6772.4815724815726</v>
      </c>
      <c r="X181" s="131">
        <f t="shared" si="152"/>
        <v>194.64783480383994</v>
      </c>
      <c r="Z181" s="175">
        <f t="shared" si="121"/>
        <v>895830</v>
      </c>
      <c r="AA181" s="12">
        <f t="shared" si="122"/>
        <v>1298</v>
      </c>
      <c r="AB181" s="379">
        <f t="shared" si="129"/>
        <v>895830</v>
      </c>
      <c r="AC181" s="107">
        <f>RESID!AC181</f>
        <v>30.55</v>
      </c>
      <c r="AD181" s="243">
        <f t="shared" si="123"/>
        <v>890725.5</v>
      </c>
      <c r="AE181" s="243">
        <f t="shared" si="142"/>
        <v>50107.900000000023</v>
      </c>
      <c r="AF181" s="4">
        <f t="shared" si="147"/>
        <v>-2514</v>
      </c>
      <c r="AG181" s="4">
        <f t="shared" si="124"/>
        <v>892018</v>
      </c>
      <c r="AJ181" s="269">
        <f t="shared" ref="AJ181:AJ212" si="155">C181-AM181-AP181</f>
        <v>787764</v>
      </c>
      <c r="AK181" s="269">
        <f t="shared" ref="AK181:AK212" si="156">D181-AN181-AQ181</f>
        <v>36407</v>
      </c>
      <c r="AL181" s="276">
        <f t="shared" si="138"/>
        <v>21637.707034361523</v>
      </c>
      <c r="AM181" s="269">
        <f t="shared" ref="AM181:AM212" si="157">F181</f>
        <v>101351</v>
      </c>
      <c r="AN181" s="269">
        <f t="shared" ref="AN181:AN212" si="158">G181</f>
        <v>92731</v>
      </c>
      <c r="AO181" s="276">
        <f t="shared" si="139"/>
        <v>1092.9570478049411</v>
      </c>
      <c r="AP181" s="269">
        <f t="shared" ref="AP181:AP212" si="159">H181</f>
        <v>5417</v>
      </c>
      <c r="AQ181" s="269">
        <f t="shared" ref="AQ181:AQ212" si="160">I181</f>
        <v>3137</v>
      </c>
      <c r="AR181" s="276">
        <f t="shared" si="140"/>
        <v>1726.8090532355752</v>
      </c>
      <c r="AX181" s="4">
        <v>1997</v>
      </c>
      <c r="AY181" s="4">
        <v>9</v>
      </c>
      <c r="AZ181" s="76">
        <f>'[8]COM 55 &amp; 65'!$S266</f>
        <v>483</v>
      </c>
      <c r="BA181" s="76">
        <f t="shared" si="145"/>
        <v>487.9</v>
      </c>
      <c r="BB181" s="362">
        <f t="shared" si="130"/>
        <v>4.8999999999999773</v>
      </c>
      <c r="BC181" s="362"/>
      <c r="BD181" s="76">
        <f>'[8]COM 55 &amp; 65'!$J266</f>
        <v>0</v>
      </c>
      <c r="BE181" s="76">
        <f t="shared" si="146"/>
        <v>0</v>
      </c>
      <c r="BF181" s="363">
        <f t="shared" si="131"/>
        <v>0</v>
      </c>
      <c r="BG181" s="244"/>
      <c r="BH181" s="244">
        <f t="shared" si="125"/>
        <v>3346.2589999999841</v>
      </c>
      <c r="BI181" s="242">
        <f t="shared" si="126"/>
        <v>0</v>
      </c>
      <c r="BJ181" s="242"/>
      <c r="BK181" s="241">
        <f t="shared" si="127"/>
        <v>3346</v>
      </c>
      <c r="BL181" s="262"/>
      <c r="BM181" s="36" t="s">
        <v>18</v>
      </c>
      <c r="BN181" s="4">
        <v>1997</v>
      </c>
      <c r="BO181" s="4">
        <v>9</v>
      </c>
      <c r="BP181" s="108">
        <f>C181+[4]MWh!$AK15</f>
        <v>856568.46665073303</v>
      </c>
      <c r="BQ181" s="76">
        <f t="shared" si="148"/>
        <v>6475.6640835436256</v>
      </c>
      <c r="BR181" s="130">
        <f t="shared" si="149"/>
        <v>6500.9598688394099</v>
      </c>
      <c r="BS181" s="130"/>
      <c r="BT181" s="175">
        <f t="shared" si="150"/>
        <v>859914.46665073303</v>
      </c>
      <c r="BV181" s="137">
        <f t="shared" si="151"/>
        <v>3346</v>
      </c>
    </row>
    <row r="182" spans="1:76" ht="12.75" customHeight="1">
      <c r="A182" s="51">
        <v>1997</v>
      </c>
      <c r="B182" s="4">
        <v>10</v>
      </c>
      <c r="C182" s="5">
        <v>872440</v>
      </c>
      <c r="D182" s="5">
        <v>134112</v>
      </c>
      <c r="E182" s="74">
        <f t="shared" si="114"/>
        <v>6505.3</v>
      </c>
      <c r="F182" s="13">
        <v>97382</v>
      </c>
      <c r="G182" s="347">
        <v>94001</v>
      </c>
      <c r="H182" s="13">
        <v>5468</v>
      </c>
      <c r="I182" s="13">
        <v>3149</v>
      </c>
      <c r="J182" s="574">
        <f>[5]CC!$E62</f>
        <v>133516</v>
      </c>
      <c r="K182" s="4">
        <f>'[7]COM 55 &amp; 65'!$S267</f>
        <v>456.1</v>
      </c>
      <c r="L182" s="4">
        <f t="shared" si="143"/>
        <v>431.2</v>
      </c>
      <c r="M182" s="135">
        <f t="shared" si="153"/>
        <v>-24.900000000000034</v>
      </c>
      <c r="N182" s="4">
        <f>'[7]COM 55 &amp; 65'!$J267</f>
        <v>0.2</v>
      </c>
      <c r="O182" s="4">
        <f t="shared" si="141"/>
        <v>0.2</v>
      </c>
      <c r="P182" s="41">
        <f t="shared" si="154"/>
        <v>0</v>
      </c>
      <c r="Q182" s="474">
        <f t="shared" si="117"/>
        <v>-17004.459000000021</v>
      </c>
      <c r="R182" s="472">
        <f t="shared" si="118"/>
        <v>0</v>
      </c>
      <c r="S182" s="241">
        <f t="shared" si="119"/>
        <v>-17004</v>
      </c>
      <c r="T182" s="13" t="s">
        <v>18</v>
      </c>
      <c r="U182" s="23">
        <v>1997</v>
      </c>
      <c r="V182" s="4">
        <v>10</v>
      </c>
      <c r="W182" s="242">
        <f t="shared" si="120"/>
        <v>6378.5194464328315</v>
      </c>
      <c r="X182" s="131">
        <f t="shared" si="152"/>
        <v>279.47373841351236</v>
      </c>
      <c r="Z182" s="175">
        <f t="shared" si="121"/>
        <v>855436</v>
      </c>
      <c r="AA182" s="12">
        <f t="shared" si="122"/>
        <v>-17004</v>
      </c>
      <c r="AB182" s="379">
        <f t="shared" si="129"/>
        <v>855436</v>
      </c>
      <c r="AC182" s="107">
        <f>RESID!AC182</f>
        <v>31.05</v>
      </c>
      <c r="AD182" s="243">
        <f t="shared" si="123"/>
        <v>854738.3</v>
      </c>
      <c r="AE182" s="243">
        <f t="shared" si="142"/>
        <v>75617</v>
      </c>
      <c r="AF182" s="4">
        <f t="shared" si="147"/>
        <v>-34361</v>
      </c>
      <c r="AG182" s="4">
        <f t="shared" si="124"/>
        <v>838079</v>
      </c>
      <c r="AJ182" s="269">
        <f t="shared" si="155"/>
        <v>769590</v>
      </c>
      <c r="AK182" s="269">
        <f t="shared" si="156"/>
        <v>36962</v>
      </c>
      <c r="AL182" s="276">
        <f t="shared" si="138"/>
        <v>20821.113576105192</v>
      </c>
      <c r="AM182" s="269">
        <f t="shared" si="157"/>
        <v>97382</v>
      </c>
      <c r="AN182" s="269">
        <f t="shared" si="158"/>
        <v>94001</v>
      </c>
      <c r="AO182" s="276">
        <f t="shared" si="139"/>
        <v>1035.9677024712503</v>
      </c>
      <c r="AP182" s="269">
        <f t="shared" si="159"/>
        <v>5468</v>
      </c>
      <c r="AQ182" s="269">
        <f t="shared" si="160"/>
        <v>3149</v>
      </c>
      <c r="AR182" s="276">
        <f t="shared" si="140"/>
        <v>1736.4242616703716</v>
      </c>
      <c r="AX182" s="4">
        <v>1997</v>
      </c>
      <c r="AY182" s="4">
        <v>10</v>
      </c>
      <c r="AZ182" s="76">
        <f>'[8]COM 55 &amp; 65'!$S267</f>
        <v>300.89999999999998</v>
      </c>
      <c r="BA182" s="76">
        <f t="shared" si="145"/>
        <v>332.5</v>
      </c>
      <c r="BB182" s="362">
        <f t="shared" si="130"/>
        <v>31.600000000000023</v>
      </c>
      <c r="BC182" s="362"/>
      <c r="BD182" s="76">
        <f>'[8]COM 55 &amp; 65'!$J267</f>
        <v>2.4</v>
      </c>
      <c r="BE182" s="76">
        <f t="shared" si="146"/>
        <v>2</v>
      </c>
      <c r="BF182" s="363">
        <f t="shared" si="131"/>
        <v>-0.39999999999999991</v>
      </c>
      <c r="BG182" s="244"/>
      <c r="BH182" s="244">
        <f t="shared" si="125"/>
        <v>21579.956000000013</v>
      </c>
      <c r="BI182" s="242">
        <f t="shared" si="126"/>
        <v>-263.73599999999993</v>
      </c>
      <c r="BJ182" s="242"/>
      <c r="BK182" s="241">
        <f t="shared" si="127"/>
        <v>21316</v>
      </c>
      <c r="BL182" s="262"/>
      <c r="BM182" s="36" t="s">
        <v>18</v>
      </c>
      <c r="BN182" s="4">
        <v>1997</v>
      </c>
      <c r="BO182" s="4">
        <v>10</v>
      </c>
      <c r="BP182" s="108">
        <f>C182+[4]MWh!$AK16</f>
        <v>777797.63221905695</v>
      </c>
      <c r="BQ182" s="76">
        <f t="shared" si="148"/>
        <v>5799.6125046159705</v>
      </c>
      <c r="BR182" s="130">
        <f t="shared" si="149"/>
        <v>5958.5542846207418</v>
      </c>
      <c r="BS182" s="130"/>
      <c r="BT182" s="175">
        <f t="shared" si="150"/>
        <v>799113.63221905695</v>
      </c>
      <c r="BV182" s="137">
        <f t="shared" si="151"/>
        <v>21316</v>
      </c>
    </row>
    <row r="183" spans="1:76" ht="12.75" customHeight="1">
      <c r="A183" s="51">
        <v>1997</v>
      </c>
      <c r="B183" s="4">
        <v>11</v>
      </c>
      <c r="C183" s="5">
        <v>767858</v>
      </c>
      <c r="D183" s="5">
        <v>138179</v>
      </c>
      <c r="E183" s="74">
        <f t="shared" si="114"/>
        <v>5557</v>
      </c>
      <c r="F183" s="13">
        <v>75359</v>
      </c>
      <c r="G183" s="347">
        <v>96730</v>
      </c>
      <c r="H183" s="13">
        <v>5652</v>
      </c>
      <c r="I183" s="13">
        <v>3159</v>
      </c>
      <c r="J183" s="574">
        <f>[5]CC!$E63</f>
        <v>134067</v>
      </c>
      <c r="K183" s="4">
        <f>'[7]COM 55 &amp; 65'!$S268</f>
        <v>197.9</v>
      </c>
      <c r="L183" s="4">
        <f t="shared" si="143"/>
        <v>251.9</v>
      </c>
      <c r="M183" s="135">
        <f t="shared" si="153"/>
        <v>54</v>
      </c>
      <c r="N183" s="4">
        <f>'[7]COM 55 &amp; 65'!$J268</f>
        <v>8.1</v>
      </c>
      <c r="O183" s="4">
        <f t="shared" si="141"/>
        <v>6.3</v>
      </c>
      <c r="P183" s="41">
        <f t="shared" si="154"/>
        <v>-1.7999999999999998</v>
      </c>
      <c r="Q183" s="474">
        <f t="shared" si="117"/>
        <v>36877.14</v>
      </c>
      <c r="R183" s="472">
        <f t="shared" si="118"/>
        <v>-1186.8119999999999</v>
      </c>
      <c r="S183" s="241">
        <f t="shared" si="119"/>
        <v>35690</v>
      </c>
      <c r="T183" s="13" t="s">
        <v>18</v>
      </c>
      <c r="U183" s="23">
        <v>1997</v>
      </c>
      <c r="V183" s="4">
        <v>11</v>
      </c>
      <c r="W183" s="242">
        <f t="shared" si="120"/>
        <v>5815.2686008727806</v>
      </c>
      <c r="X183" s="131">
        <f t="shared" si="152"/>
        <v>166.99124958944958</v>
      </c>
      <c r="Z183" s="175">
        <f t="shared" si="121"/>
        <v>803548</v>
      </c>
      <c r="AA183" s="12">
        <f t="shared" si="122"/>
        <v>35690</v>
      </c>
      <c r="AB183" s="379">
        <f t="shared" si="129"/>
        <v>803548</v>
      </c>
      <c r="AC183" s="107">
        <f>RESID!AC183</f>
        <v>30.1</v>
      </c>
      <c r="AD183" s="243">
        <f t="shared" si="123"/>
        <v>776021.3</v>
      </c>
      <c r="AE183" s="243">
        <f t="shared" si="142"/>
        <v>12455</v>
      </c>
      <c r="AF183" s="4">
        <f t="shared" si="147"/>
        <v>44233</v>
      </c>
      <c r="AG183" s="4">
        <f t="shared" si="124"/>
        <v>812091</v>
      </c>
      <c r="AJ183" s="269">
        <f t="shared" si="155"/>
        <v>686847</v>
      </c>
      <c r="AK183" s="269">
        <f t="shared" si="156"/>
        <v>38290</v>
      </c>
      <c r="AL183" s="276">
        <f t="shared" si="138"/>
        <v>17938.025594149909</v>
      </c>
      <c r="AM183" s="269">
        <f t="shared" si="157"/>
        <v>75359</v>
      </c>
      <c r="AN183" s="269">
        <f t="shared" si="158"/>
        <v>96730</v>
      </c>
      <c r="AO183" s="276">
        <f t="shared" si="139"/>
        <v>779.06543988421379</v>
      </c>
      <c r="AP183" s="269">
        <f t="shared" si="159"/>
        <v>5652</v>
      </c>
      <c r="AQ183" s="269">
        <f t="shared" si="160"/>
        <v>3159</v>
      </c>
      <c r="AR183" s="276">
        <f t="shared" si="140"/>
        <v>1789.1737891737891</v>
      </c>
      <c r="AX183" s="4">
        <v>1997</v>
      </c>
      <c r="AY183" s="4">
        <v>11</v>
      </c>
      <c r="AZ183" s="76">
        <f>'[8]COM 55 &amp; 65'!$S268</f>
        <v>108.6</v>
      </c>
      <c r="BA183" s="76">
        <f t="shared" si="145"/>
        <v>146</v>
      </c>
      <c r="BB183" s="362">
        <f t="shared" si="130"/>
        <v>37.400000000000006</v>
      </c>
      <c r="BC183" s="362"/>
      <c r="BD183" s="76">
        <f>'[8]COM 55 &amp; 65'!$J268</f>
        <v>15.3</v>
      </c>
      <c r="BE183" s="76">
        <f t="shared" si="146"/>
        <v>14</v>
      </c>
      <c r="BF183" s="363">
        <f t="shared" si="131"/>
        <v>-1.3000000000000007</v>
      </c>
      <c r="BG183" s="244"/>
      <c r="BH183" s="244">
        <f t="shared" si="125"/>
        <v>25540.834000000003</v>
      </c>
      <c r="BI183" s="242">
        <f t="shared" si="126"/>
        <v>-857.14200000000051</v>
      </c>
      <c r="BJ183" s="242"/>
      <c r="BK183" s="241">
        <f t="shared" si="127"/>
        <v>24684</v>
      </c>
      <c r="BL183" s="262"/>
      <c r="BM183" s="36" t="s">
        <v>18</v>
      </c>
      <c r="BN183" s="4">
        <v>1997</v>
      </c>
      <c r="BO183" s="4">
        <v>11</v>
      </c>
      <c r="BP183" s="108">
        <f>C183+[4]MWh!$AK17</f>
        <v>747731.75140918023</v>
      </c>
      <c r="BQ183" s="76">
        <f t="shared" si="148"/>
        <v>5411.3269846299381</v>
      </c>
      <c r="BR183" s="130">
        <f t="shared" si="149"/>
        <v>5589.9648384282718</v>
      </c>
      <c r="BS183" s="130"/>
      <c r="BT183" s="175">
        <f t="shared" si="150"/>
        <v>772415.75140918023</v>
      </c>
      <c r="BV183" s="137">
        <f t="shared" si="151"/>
        <v>24684</v>
      </c>
    </row>
    <row r="184" spans="1:76" s="89" customFormat="1" ht="12.75" customHeight="1">
      <c r="A184" s="225">
        <v>1997</v>
      </c>
      <c r="B184" s="89">
        <v>12</v>
      </c>
      <c r="C184" s="103">
        <v>702016</v>
      </c>
      <c r="D184" s="103">
        <v>132867</v>
      </c>
      <c r="E184" s="109">
        <f t="shared" si="114"/>
        <v>5283.6</v>
      </c>
      <c r="F184" s="90">
        <v>68979</v>
      </c>
      <c r="G184" s="348">
        <v>93109</v>
      </c>
      <c r="H184" s="90">
        <v>5489</v>
      </c>
      <c r="I184" s="90">
        <v>3159</v>
      </c>
      <c r="J184" s="575">
        <f>[5]CC!$E64</f>
        <v>134224</v>
      </c>
      <c r="K184" s="89">
        <f>'[7]COM 55 &amp; 65'!$S269</f>
        <v>95.5</v>
      </c>
      <c r="L184" s="89">
        <f t="shared" si="143"/>
        <v>119.4</v>
      </c>
      <c r="M184" s="136">
        <f t="shared" si="153"/>
        <v>23.900000000000006</v>
      </c>
      <c r="N184" s="89">
        <f>'[7]COM 55 &amp; 65'!$J269</f>
        <v>30.6</v>
      </c>
      <c r="O184" s="89">
        <f t="shared" si="141"/>
        <v>30.1</v>
      </c>
      <c r="P184" s="94">
        <f t="shared" si="154"/>
        <v>-0.5</v>
      </c>
      <c r="Q184" s="475">
        <f t="shared" si="117"/>
        <v>16321.549000000003</v>
      </c>
      <c r="R184" s="473">
        <f t="shared" si="118"/>
        <v>-329.67</v>
      </c>
      <c r="S184" s="329">
        <f t="shared" si="119"/>
        <v>15992</v>
      </c>
      <c r="T184" s="90" t="s">
        <v>18</v>
      </c>
      <c r="U184" s="89">
        <v>1997</v>
      </c>
      <c r="V184" s="89">
        <v>12</v>
      </c>
      <c r="W184" s="328">
        <f t="shared" si="120"/>
        <v>5403.960351328772</v>
      </c>
      <c r="X184" s="133">
        <f t="shared" si="152"/>
        <v>153.99475131654071</v>
      </c>
      <c r="Z184" s="176">
        <f t="shared" si="121"/>
        <v>718008</v>
      </c>
      <c r="AA184" s="105">
        <f t="shared" si="122"/>
        <v>15992</v>
      </c>
      <c r="AB184" s="517">
        <f t="shared" si="129"/>
        <v>718008</v>
      </c>
      <c r="AC184" s="110">
        <f>RESID!AC184</f>
        <v>31.7</v>
      </c>
      <c r="AD184" s="331">
        <f t="shared" si="123"/>
        <v>673669.6</v>
      </c>
      <c r="AE184" s="331">
        <f t="shared" si="142"/>
        <v>24964.5</v>
      </c>
      <c r="AF184" s="89">
        <f t="shared" si="147"/>
        <v>-13000</v>
      </c>
      <c r="AG184" s="89">
        <f t="shared" si="124"/>
        <v>689016</v>
      </c>
      <c r="AJ184" s="351">
        <f t="shared" si="155"/>
        <v>627548</v>
      </c>
      <c r="AK184" s="351">
        <f t="shared" si="156"/>
        <v>36599</v>
      </c>
      <c r="AL184" s="277">
        <f t="shared" si="138"/>
        <v>17146.588704609414</v>
      </c>
      <c r="AM184" s="351">
        <f t="shared" si="157"/>
        <v>68979</v>
      </c>
      <c r="AN184" s="351">
        <f t="shared" si="158"/>
        <v>93109</v>
      </c>
      <c r="AO184" s="277">
        <f t="shared" si="139"/>
        <v>740.8413794584842</v>
      </c>
      <c r="AP184" s="351">
        <f t="shared" si="159"/>
        <v>5489</v>
      </c>
      <c r="AQ184" s="351">
        <f t="shared" si="160"/>
        <v>3159</v>
      </c>
      <c r="AR184" s="277">
        <f t="shared" si="140"/>
        <v>1737.5751820196265</v>
      </c>
      <c r="AX184" s="89">
        <v>1997</v>
      </c>
      <c r="AY184" s="89">
        <v>12</v>
      </c>
      <c r="AZ184" s="92">
        <f>'[8]COM 55 &amp; 65'!$S269</f>
        <v>66.900000000000006</v>
      </c>
      <c r="BA184" s="92">
        <f t="shared" si="145"/>
        <v>75.7</v>
      </c>
      <c r="BB184" s="364">
        <f t="shared" si="130"/>
        <v>8.7999999999999972</v>
      </c>
      <c r="BC184" s="364"/>
      <c r="BD184" s="92">
        <f>'[8]COM 55 &amp; 65'!$J269</f>
        <v>57.5</v>
      </c>
      <c r="BE184" s="92">
        <f t="shared" si="146"/>
        <v>44.3</v>
      </c>
      <c r="BF184" s="365">
        <f t="shared" si="131"/>
        <v>-13.200000000000003</v>
      </c>
      <c r="BG184" s="327"/>
      <c r="BH184" s="327">
        <f t="shared" si="125"/>
        <v>6009.6079999999974</v>
      </c>
      <c r="BI184" s="328">
        <f t="shared" si="126"/>
        <v>-8703.2880000000023</v>
      </c>
      <c r="BJ184" s="328"/>
      <c r="BK184" s="329">
        <f t="shared" si="127"/>
        <v>-2694</v>
      </c>
      <c r="BL184" s="332"/>
      <c r="BM184" s="113" t="s">
        <v>18</v>
      </c>
      <c r="BN184" s="89">
        <v>1997</v>
      </c>
      <c r="BO184" s="89">
        <v>12</v>
      </c>
      <c r="BP184" s="117">
        <f>C184+[4]MWh!$AK18</f>
        <v>711790.3732958819</v>
      </c>
      <c r="BQ184" s="92">
        <f t="shared" si="148"/>
        <v>5357.1644824966461</v>
      </c>
      <c r="BR184" s="299">
        <f t="shared" si="149"/>
        <v>5336.8885674838893</v>
      </c>
      <c r="BS184" s="299"/>
      <c r="BT184" s="176">
        <f t="shared" si="150"/>
        <v>709096.3732958819</v>
      </c>
      <c r="BV184" s="139">
        <f t="shared" si="151"/>
        <v>-2694</v>
      </c>
    </row>
    <row r="185" spans="1:76" ht="12.75" customHeight="1">
      <c r="A185" s="22">
        <v>1998</v>
      </c>
      <c r="B185" s="4">
        <v>1</v>
      </c>
      <c r="C185" s="5">
        <v>711050</v>
      </c>
      <c r="D185" s="5">
        <v>133555</v>
      </c>
      <c r="E185" s="74">
        <f t="shared" si="114"/>
        <v>5324</v>
      </c>
      <c r="F185" s="13">
        <v>75724</v>
      </c>
      <c r="G185" s="347">
        <v>93588</v>
      </c>
      <c r="H185" s="13">
        <v>5520</v>
      </c>
      <c r="I185" s="13">
        <v>3166</v>
      </c>
      <c r="J185" s="574">
        <f>[5]CC!$E65</f>
        <v>134341</v>
      </c>
      <c r="K185" s="4">
        <f>'[7]COM 55 &amp; 65'!$S270</f>
        <v>81.400000000000006</v>
      </c>
      <c r="L185" s="4">
        <f t="shared" si="143"/>
        <v>70.8</v>
      </c>
      <c r="M185" s="135">
        <f t="shared" si="153"/>
        <v>-10.600000000000009</v>
      </c>
      <c r="N185" s="4">
        <f>'[7]COM 55 &amp; 65'!$J270</f>
        <v>50.4</v>
      </c>
      <c r="O185" s="4">
        <f t="shared" si="141"/>
        <v>54.9</v>
      </c>
      <c r="P185" s="41">
        <f t="shared" si="154"/>
        <v>4.5</v>
      </c>
      <c r="Q185" s="474">
        <f t="shared" si="117"/>
        <v>-7238.8460000000059</v>
      </c>
      <c r="R185" s="472">
        <f t="shared" si="118"/>
        <v>2967.03</v>
      </c>
      <c r="S185" s="241">
        <f t="shared" si="119"/>
        <v>-4272</v>
      </c>
      <c r="T185" s="13" t="s">
        <v>18</v>
      </c>
      <c r="U185" s="4">
        <v>1998</v>
      </c>
      <c r="V185" s="4">
        <v>1</v>
      </c>
      <c r="W185" s="242">
        <f t="shared" si="120"/>
        <v>5292.0369885066075</v>
      </c>
      <c r="X185" s="131">
        <f t="shared" si="152"/>
        <v>213.01996367137053</v>
      </c>
      <c r="Z185" s="175">
        <f t="shared" si="121"/>
        <v>706778</v>
      </c>
      <c r="AA185" s="12">
        <f t="shared" si="122"/>
        <v>-4272</v>
      </c>
      <c r="AB185" s="379">
        <f t="shared" si="129"/>
        <v>706778</v>
      </c>
      <c r="AC185" s="107">
        <f>RESID!AC185</f>
        <v>31.9</v>
      </c>
      <c r="AD185" s="243">
        <f t="shared" si="123"/>
        <v>678060.8</v>
      </c>
      <c r="AE185" s="243">
        <f t="shared" si="142"/>
        <v>39664.400000000023</v>
      </c>
      <c r="AF185" s="4">
        <f t="shared" si="147"/>
        <v>-37063</v>
      </c>
      <c r="AG185" s="4">
        <f t="shared" si="124"/>
        <v>673987</v>
      </c>
      <c r="AJ185" s="269">
        <f t="shared" si="155"/>
        <v>629806</v>
      </c>
      <c r="AK185" s="269">
        <f t="shared" si="156"/>
        <v>36801</v>
      </c>
      <c r="AL185" s="276">
        <f t="shared" si="138"/>
        <v>17113.828428575311</v>
      </c>
      <c r="AM185" s="269">
        <f t="shared" si="157"/>
        <v>75724</v>
      </c>
      <c r="AN185" s="269">
        <f t="shared" si="158"/>
        <v>93588</v>
      </c>
      <c r="AO185" s="276">
        <f t="shared" si="139"/>
        <v>809.12082745651151</v>
      </c>
      <c r="AP185" s="269">
        <f t="shared" si="159"/>
        <v>5520</v>
      </c>
      <c r="AQ185" s="269">
        <f t="shared" si="160"/>
        <v>3166</v>
      </c>
      <c r="AR185" s="276">
        <f t="shared" si="140"/>
        <v>1743.5249526216046</v>
      </c>
      <c r="AX185" s="4">
        <v>1998</v>
      </c>
      <c r="AY185" s="4">
        <v>1</v>
      </c>
      <c r="AZ185" s="76">
        <f>'[8]COM 55 &amp; 65'!$S270</f>
        <v>64.400000000000006</v>
      </c>
      <c r="BA185" s="76">
        <f t="shared" si="145"/>
        <v>72.3</v>
      </c>
      <c r="BB185" s="362">
        <f t="shared" si="130"/>
        <v>7.8999999999999915</v>
      </c>
      <c r="BC185" s="362"/>
      <c r="BD185" s="76">
        <f>'[8]COM 55 &amp; 65'!$J270</f>
        <v>36.200000000000003</v>
      </c>
      <c r="BE185" s="76">
        <f t="shared" si="146"/>
        <v>52.4</v>
      </c>
      <c r="BF185" s="363">
        <f t="shared" si="131"/>
        <v>16.199999999999996</v>
      </c>
      <c r="BG185" s="244"/>
      <c r="BH185" s="244">
        <f t="shared" si="125"/>
        <v>5394.9889999999941</v>
      </c>
      <c r="BI185" s="242">
        <f t="shared" si="126"/>
        <v>10681.307999999997</v>
      </c>
      <c r="BJ185" s="242"/>
      <c r="BK185" s="241">
        <f t="shared" si="127"/>
        <v>16076</v>
      </c>
      <c r="BL185" s="262"/>
      <c r="BM185" s="36" t="s">
        <v>18</v>
      </c>
      <c r="BN185" s="4">
        <v>1998</v>
      </c>
      <c r="BO185" s="4">
        <v>1</v>
      </c>
      <c r="BP185" s="108">
        <f>C185+[4]MWh!$AK19</f>
        <v>646236.61078491516</v>
      </c>
      <c r="BQ185" s="76">
        <f t="shared" si="148"/>
        <v>4838.7301919427582</v>
      </c>
      <c r="BR185" s="130">
        <f t="shared" si="149"/>
        <v>4959.1000770088367</v>
      </c>
      <c r="BS185" s="108">
        <f t="shared" ref="BS185:BS208" si="161">BR185-BR173</f>
        <v>204.21658383508566</v>
      </c>
      <c r="BT185" s="175">
        <f t="shared" si="150"/>
        <v>662312.61078491516</v>
      </c>
      <c r="BU185" s="108">
        <f t="shared" ref="BU185:BU208" si="162">BT185-BT173</f>
        <v>42565.851168141584</v>
      </c>
      <c r="BV185" s="137">
        <f t="shared" si="151"/>
        <v>16076</v>
      </c>
    </row>
    <row r="186" spans="1:76" ht="12.75" customHeight="1">
      <c r="A186" s="22">
        <v>1998</v>
      </c>
      <c r="B186" s="4">
        <v>2</v>
      </c>
      <c r="C186" s="5">
        <v>656259</v>
      </c>
      <c r="D186" s="5">
        <v>135969</v>
      </c>
      <c r="E186" s="74">
        <f t="shared" si="114"/>
        <v>4826.5</v>
      </c>
      <c r="F186" s="13">
        <f>21806+54000</f>
        <v>75806</v>
      </c>
      <c r="G186" s="347">
        <v>95356</v>
      </c>
      <c r="H186" s="13">
        <v>5720</v>
      </c>
      <c r="I186" s="13">
        <v>3171</v>
      </c>
      <c r="J186" s="574">
        <f>[5]CC!$E66</f>
        <v>135084</v>
      </c>
      <c r="K186" s="4">
        <f>'[7]COM 55 &amp; 65'!$S271</f>
        <v>39.6</v>
      </c>
      <c r="L186" s="4">
        <f t="shared" si="143"/>
        <v>62.7</v>
      </c>
      <c r="M186" s="135">
        <f t="shared" si="153"/>
        <v>23.1</v>
      </c>
      <c r="N186" s="4">
        <f>'[7]COM 55 &amp; 65'!$J271</f>
        <v>41.3</v>
      </c>
      <c r="O186" s="4">
        <f t="shared" si="141"/>
        <v>46.9</v>
      </c>
      <c r="P186" s="41">
        <f t="shared" si="154"/>
        <v>5.6000000000000014</v>
      </c>
      <c r="Q186" s="474">
        <f t="shared" si="117"/>
        <v>15775.221</v>
      </c>
      <c r="R186" s="472">
        <f t="shared" si="118"/>
        <v>3692.304000000001</v>
      </c>
      <c r="S186" s="241">
        <f t="shared" si="119"/>
        <v>19468</v>
      </c>
      <c r="T186" s="13" t="s">
        <v>18</v>
      </c>
      <c r="U186" s="4">
        <v>1998</v>
      </c>
      <c r="V186" s="4">
        <v>2</v>
      </c>
      <c r="W186" s="242">
        <f t="shared" si="120"/>
        <v>4969.713684736962</v>
      </c>
      <c r="X186" s="131">
        <f t="shared" si="152"/>
        <v>247.50837775080072</v>
      </c>
      <c r="Z186" s="175">
        <f t="shared" si="121"/>
        <v>675727</v>
      </c>
      <c r="AA186" s="12">
        <f t="shared" si="122"/>
        <v>19468</v>
      </c>
      <c r="AB186" s="379">
        <f t="shared" si="129"/>
        <v>675727</v>
      </c>
      <c r="AC186" s="107">
        <f>RESID!AC186</f>
        <v>29.5</v>
      </c>
      <c r="AD186" s="243">
        <f t="shared" si="123"/>
        <v>676725.4</v>
      </c>
      <c r="AE186" s="243">
        <f t="shared" si="142"/>
        <v>25480.599999999977</v>
      </c>
      <c r="AF186" s="4">
        <f t="shared" si="147"/>
        <v>40542</v>
      </c>
      <c r="AG186" s="4">
        <f t="shared" si="124"/>
        <v>696801</v>
      </c>
      <c r="AJ186" s="269">
        <f t="shared" si="155"/>
        <v>574733</v>
      </c>
      <c r="AK186" s="269">
        <f t="shared" si="156"/>
        <v>37442</v>
      </c>
      <c r="AL186" s="276">
        <f t="shared" si="138"/>
        <v>15349.954596442498</v>
      </c>
      <c r="AM186" s="269">
        <f t="shared" si="157"/>
        <v>75806</v>
      </c>
      <c r="AN186" s="269">
        <f t="shared" si="158"/>
        <v>95356</v>
      </c>
      <c r="AO186" s="276">
        <f t="shared" si="139"/>
        <v>794.97881622551279</v>
      </c>
      <c r="AP186" s="269">
        <f t="shared" si="159"/>
        <v>5720</v>
      </c>
      <c r="AQ186" s="269">
        <f t="shared" si="160"/>
        <v>3171</v>
      </c>
      <c r="AR186" s="276">
        <f t="shared" si="140"/>
        <v>1803.8473667612741</v>
      </c>
      <c r="AX186" s="4">
        <v>1998</v>
      </c>
      <c r="AY186" s="4">
        <v>2</v>
      </c>
      <c r="AZ186" s="76">
        <f>'[8]COM 55 &amp; 65'!$S271</f>
        <v>54.5</v>
      </c>
      <c r="BA186" s="76">
        <f t="shared" si="145"/>
        <v>82.6</v>
      </c>
      <c r="BB186" s="362">
        <f t="shared" si="130"/>
        <v>28.099999999999994</v>
      </c>
      <c r="BC186" s="362"/>
      <c r="BD186" s="76">
        <f>'[8]COM 55 &amp; 65'!$J271</f>
        <v>33.9</v>
      </c>
      <c r="BE186" s="76">
        <f t="shared" si="146"/>
        <v>36.5</v>
      </c>
      <c r="BF186" s="363">
        <f t="shared" si="131"/>
        <v>2.6000000000000014</v>
      </c>
      <c r="BG186" s="244"/>
      <c r="BH186" s="244">
        <f t="shared" si="125"/>
        <v>19189.770999999997</v>
      </c>
      <c r="BI186" s="242">
        <f t="shared" si="126"/>
        <v>1714.284000000001</v>
      </c>
      <c r="BJ186" s="242"/>
      <c r="BK186" s="241">
        <f t="shared" si="127"/>
        <v>20904</v>
      </c>
      <c r="BL186" s="262"/>
      <c r="BM186" s="36" t="s">
        <v>18</v>
      </c>
      <c r="BN186" s="4">
        <v>1998</v>
      </c>
      <c r="BO186" s="4">
        <v>2</v>
      </c>
      <c r="BP186" s="108">
        <f>C186+[4]MWh!$AK20</f>
        <v>639536.82993135718</v>
      </c>
      <c r="BQ186" s="76">
        <f t="shared" si="148"/>
        <v>4703.5488231240734</v>
      </c>
      <c r="BR186" s="130">
        <f t="shared" si="149"/>
        <v>4857.2897493646133</v>
      </c>
      <c r="BS186" s="108">
        <f t="shared" si="161"/>
        <v>575.5599882380111</v>
      </c>
      <c r="BT186" s="175">
        <f t="shared" si="150"/>
        <v>660440.82993135718</v>
      </c>
      <c r="BU186" s="108">
        <f t="shared" si="162"/>
        <v>97932.864293110906</v>
      </c>
      <c r="BV186" s="137">
        <f t="shared" si="151"/>
        <v>20904</v>
      </c>
    </row>
    <row r="187" spans="1:76" ht="12.75" customHeight="1">
      <c r="A187" s="22">
        <v>1998</v>
      </c>
      <c r="B187" s="4">
        <v>3</v>
      </c>
      <c r="C187" s="5">
        <v>663566</v>
      </c>
      <c r="D187" s="5">
        <v>133618</v>
      </c>
      <c r="E187" s="74">
        <f t="shared" si="114"/>
        <v>4966.1000000000004</v>
      </c>
      <c r="F187" s="13">
        <v>70538</v>
      </c>
      <c r="G187" s="347">
        <v>93678</v>
      </c>
      <c r="H187" s="13">
        <v>5796</v>
      </c>
      <c r="I187" s="13">
        <v>3194</v>
      </c>
      <c r="J187" s="574">
        <f>[5]CC!$E67</f>
        <v>135376</v>
      </c>
      <c r="K187" s="4">
        <f>'[7]COM 55 &amp; 65'!$S272</f>
        <v>70.400000000000006</v>
      </c>
      <c r="L187" s="4">
        <f t="shared" si="143"/>
        <v>105.4</v>
      </c>
      <c r="M187" s="135">
        <f t="shared" si="153"/>
        <v>35</v>
      </c>
      <c r="N187" s="4">
        <f>'[7]COM 55 &amp; 65'!$J272</f>
        <v>37.6</v>
      </c>
      <c r="O187" s="4">
        <f t="shared" si="141"/>
        <v>26.8</v>
      </c>
      <c r="P187" s="41">
        <f t="shared" si="154"/>
        <v>-10.8</v>
      </c>
      <c r="Q187" s="474">
        <f t="shared" si="117"/>
        <v>23901.85</v>
      </c>
      <c r="R187" s="472">
        <f t="shared" si="118"/>
        <v>-7120.8720000000012</v>
      </c>
      <c r="S187" s="241">
        <f t="shared" si="119"/>
        <v>16781</v>
      </c>
      <c r="T187" s="13" t="s">
        <v>18</v>
      </c>
      <c r="U187" s="4">
        <v>1998</v>
      </c>
      <c r="V187" s="4">
        <v>3</v>
      </c>
      <c r="W187" s="242">
        <f t="shared" si="120"/>
        <v>5091.7316529210138</v>
      </c>
      <c r="X187" s="131">
        <f t="shared" si="152"/>
        <v>177.36346818720995</v>
      </c>
      <c r="Z187" s="175">
        <f t="shared" si="121"/>
        <v>680347</v>
      </c>
      <c r="AA187" s="12">
        <f t="shared" si="122"/>
        <v>16781</v>
      </c>
      <c r="AB187" s="379">
        <f t="shared" si="129"/>
        <v>680347</v>
      </c>
      <c r="AC187" s="107">
        <f>RESID!AC187</f>
        <v>29.35</v>
      </c>
      <c r="AD187" s="243">
        <f t="shared" si="123"/>
        <v>687757.3</v>
      </c>
      <c r="AE187" s="243">
        <f t="shared" si="142"/>
        <v>-25381.699999999953</v>
      </c>
      <c r="AF187" s="4">
        <f t="shared" si="147"/>
        <v>41584</v>
      </c>
      <c r="AG187" s="4">
        <f t="shared" si="124"/>
        <v>705150</v>
      </c>
      <c r="AJ187" s="269">
        <f t="shared" si="155"/>
        <v>587232</v>
      </c>
      <c r="AK187" s="269">
        <f t="shared" si="156"/>
        <v>36746</v>
      </c>
      <c r="AL187" s="276">
        <f t="shared" si="138"/>
        <v>15980.841452130844</v>
      </c>
      <c r="AM187" s="269">
        <f t="shared" si="157"/>
        <v>70538</v>
      </c>
      <c r="AN187" s="269">
        <f t="shared" si="158"/>
        <v>93678</v>
      </c>
      <c r="AO187" s="276">
        <f t="shared" si="139"/>
        <v>752.98362475714691</v>
      </c>
      <c r="AP187" s="269">
        <f t="shared" si="159"/>
        <v>5796</v>
      </c>
      <c r="AQ187" s="269">
        <f t="shared" si="160"/>
        <v>3194</v>
      </c>
      <c r="AR187" s="276">
        <f t="shared" si="140"/>
        <v>1814.6524733876017</v>
      </c>
      <c r="AX187" s="4">
        <v>1998</v>
      </c>
      <c r="AY187" s="4">
        <v>3</v>
      </c>
      <c r="AZ187" s="76">
        <f>'[8]COM 55 &amp; 65'!$S272</f>
        <v>106.7</v>
      </c>
      <c r="BA187" s="76">
        <f t="shared" si="145"/>
        <v>140.4</v>
      </c>
      <c r="BB187" s="362">
        <f t="shared" si="130"/>
        <v>33.700000000000003</v>
      </c>
      <c r="BC187" s="362"/>
      <c r="BD187" s="76">
        <f>'[8]COM 55 &amp; 65'!$J272</f>
        <v>41.1</v>
      </c>
      <c r="BE187" s="76">
        <f t="shared" si="146"/>
        <v>15.1</v>
      </c>
      <c r="BF187" s="363">
        <f t="shared" si="131"/>
        <v>-26</v>
      </c>
      <c r="BG187" s="244"/>
      <c r="BH187" s="244">
        <f t="shared" si="125"/>
        <v>23014.066999999999</v>
      </c>
      <c r="BI187" s="242">
        <f t="shared" si="126"/>
        <v>-17142.84</v>
      </c>
      <c r="BJ187" s="242"/>
      <c r="BK187" s="241">
        <f t="shared" si="127"/>
        <v>5871</v>
      </c>
      <c r="BL187" s="262"/>
      <c r="BM187" s="36" t="s">
        <v>18</v>
      </c>
      <c r="BN187" s="4">
        <v>1998</v>
      </c>
      <c r="BO187" s="4">
        <v>3</v>
      </c>
      <c r="BP187" s="108">
        <f>C187+[4]MWh!$AK21</f>
        <v>717436.20047982782</v>
      </c>
      <c r="BQ187" s="76">
        <f t="shared" si="148"/>
        <v>5369.3080309526249</v>
      </c>
      <c r="BR187" s="130">
        <f t="shared" si="149"/>
        <v>5413.246721847564</v>
      </c>
      <c r="BS187" s="108">
        <f t="shared" si="161"/>
        <v>-102.50958424824603</v>
      </c>
      <c r="BT187" s="175">
        <f t="shared" si="150"/>
        <v>723307.20047982782</v>
      </c>
      <c r="BU187" s="108">
        <f t="shared" si="162"/>
        <v>985.81765874498524</v>
      </c>
      <c r="BV187" s="137">
        <f t="shared" si="151"/>
        <v>5871</v>
      </c>
    </row>
    <row r="188" spans="1:76" ht="12.75" customHeight="1">
      <c r="A188" s="22">
        <v>1998</v>
      </c>
      <c r="B188" s="4">
        <v>4</v>
      </c>
      <c r="C188" s="5">
        <v>756050</v>
      </c>
      <c r="D188" s="5">
        <v>138143</v>
      </c>
      <c r="E188" s="74">
        <f t="shared" si="114"/>
        <v>5473</v>
      </c>
      <c r="F188" s="13">
        <v>82978</v>
      </c>
      <c r="G188" s="347">
        <v>96948</v>
      </c>
      <c r="H188" s="13">
        <v>5859</v>
      </c>
      <c r="I188" s="13">
        <v>3207</v>
      </c>
      <c r="J188" s="574">
        <f>[5]CC!$E68</f>
        <v>135555</v>
      </c>
      <c r="K188" s="4">
        <f>'[7]COM 55 &amp; 65'!$S273</f>
        <v>167.8</v>
      </c>
      <c r="L188" s="4">
        <f t="shared" si="143"/>
        <v>178.4</v>
      </c>
      <c r="M188" s="135">
        <f t="shared" si="153"/>
        <v>10.599999999999994</v>
      </c>
      <c r="N188" s="4">
        <f>'[7]COM 55 &amp; 65'!$J273</f>
        <v>19.7</v>
      </c>
      <c r="O188" s="4">
        <f t="shared" si="141"/>
        <v>9.5</v>
      </c>
      <c r="P188" s="41">
        <f t="shared" si="154"/>
        <v>-10.199999999999999</v>
      </c>
      <c r="Q188" s="474">
        <f t="shared" si="117"/>
        <v>7238.8459999999959</v>
      </c>
      <c r="R188" s="472">
        <f t="shared" si="118"/>
        <v>-6725.268</v>
      </c>
      <c r="S188" s="241">
        <f t="shared" si="119"/>
        <v>514</v>
      </c>
      <c r="T188" s="13" t="s">
        <v>18</v>
      </c>
      <c r="U188" s="4">
        <v>1998</v>
      </c>
      <c r="V188" s="4">
        <v>4</v>
      </c>
      <c r="W188" s="242">
        <f t="shared" si="120"/>
        <v>5476.6727231926334</v>
      </c>
      <c r="X188" s="131">
        <f t="shared" si="152"/>
        <v>-14.996750942921608</v>
      </c>
      <c r="Z188" s="175">
        <f t="shared" si="121"/>
        <v>756564</v>
      </c>
      <c r="AA188" s="12">
        <f t="shared" si="122"/>
        <v>514</v>
      </c>
      <c r="AB188" s="379">
        <f t="shared" si="129"/>
        <v>756564</v>
      </c>
      <c r="AC188" s="107">
        <f>RESID!AC188</f>
        <v>30.3</v>
      </c>
      <c r="AD188" s="243">
        <f t="shared" si="123"/>
        <v>759044.3</v>
      </c>
      <c r="AE188" s="243">
        <f t="shared" si="142"/>
        <v>33713</v>
      </c>
      <c r="AF188" s="4">
        <f t="shared" si="147"/>
        <v>3510</v>
      </c>
      <c r="AG188" s="4">
        <f t="shared" si="124"/>
        <v>759560</v>
      </c>
      <c r="AJ188" s="269">
        <f t="shared" si="155"/>
        <v>667213</v>
      </c>
      <c r="AK188" s="269">
        <f t="shared" si="156"/>
        <v>37988</v>
      </c>
      <c r="AL188" s="276">
        <f t="shared" si="138"/>
        <v>17563.783299989471</v>
      </c>
      <c r="AM188" s="269">
        <f t="shared" si="157"/>
        <v>82978</v>
      </c>
      <c r="AN188" s="269">
        <f t="shared" si="158"/>
        <v>96948</v>
      </c>
      <c r="AO188" s="276">
        <f t="shared" si="139"/>
        <v>855.9021331022816</v>
      </c>
      <c r="AP188" s="269">
        <f t="shared" si="159"/>
        <v>5859</v>
      </c>
      <c r="AQ188" s="269">
        <f t="shared" si="160"/>
        <v>3207</v>
      </c>
      <c r="AR188" s="276">
        <f t="shared" si="140"/>
        <v>1826.9410664172124</v>
      </c>
      <c r="AX188" s="4">
        <v>1998</v>
      </c>
      <c r="AY188" s="4">
        <v>4</v>
      </c>
      <c r="AZ188" s="76">
        <f>'[8]COM 55 &amp; 65'!$S273</f>
        <v>220.5</v>
      </c>
      <c r="BA188" s="76">
        <f t="shared" si="145"/>
        <v>227.4</v>
      </c>
      <c r="BB188" s="362">
        <f t="shared" si="130"/>
        <v>6.9000000000000057</v>
      </c>
      <c r="BC188" s="362"/>
      <c r="BD188" s="76">
        <f>'[8]COM 55 &amp; 65'!$J273</f>
        <v>3.6</v>
      </c>
      <c r="BE188" s="76">
        <f t="shared" si="146"/>
        <v>4.8</v>
      </c>
      <c r="BF188" s="363">
        <f t="shared" si="131"/>
        <v>1.1999999999999997</v>
      </c>
      <c r="BG188" s="244"/>
      <c r="BH188" s="244">
        <f t="shared" si="125"/>
        <v>4712.0790000000034</v>
      </c>
      <c r="BI188" s="242">
        <f t="shared" si="126"/>
        <v>791.20799999999986</v>
      </c>
      <c r="BJ188" s="242"/>
      <c r="BK188" s="241">
        <f t="shared" si="127"/>
        <v>5503</v>
      </c>
      <c r="BL188" s="262"/>
      <c r="BM188" s="36" t="s">
        <v>18</v>
      </c>
      <c r="BN188" s="4">
        <v>1998</v>
      </c>
      <c r="BO188" s="4">
        <v>4</v>
      </c>
      <c r="BP188" s="108">
        <f>C188+[4]MWh!$AK22</f>
        <v>767832.42952540331</v>
      </c>
      <c r="BQ188" s="76">
        <f t="shared" si="148"/>
        <v>5558.2434833860807</v>
      </c>
      <c r="BR188" s="130">
        <f t="shared" si="149"/>
        <v>5598.0790161311343</v>
      </c>
      <c r="BS188" s="108">
        <f t="shared" si="161"/>
        <v>-116.00006919178122</v>
      </c>
      <c r="BT188" s="175">
        <f t="shared" si="150"/>
        <v>773335.42952540331</v>
      </c>
      <c r="BU188" s="108">
        <f t="shared" si="162"/>
        <v>27053.844665889163</v>
      </c>
      <c r="BV188" s="137">
        <f t="shared" si="151"/>
        <v>5503</v>
      </c>
    </row>
    <row r="189" spans="1:76" ht="12.75" customHeight="1">
      <c r="A189" s="22">
        <v>1998</v>
      </c>
      <c r="B189" s="4">
        <v>5</v>
      </c>
      <c r="C189" s="5">
        <v>807648</v>
      </c>
      <c r="D189" s="5">
        <v>135212</v>
      </c>
      <c r="E189" s="74">
        <f t="shared" si="114"/>
        <v>5973.2</v>
      </c>
      <c r="F189" s="13">
        <v>89291</v>
      </c>
      <c r="G189" s="347">
        <v>94770</v>
      </c>
      <c r="H189" s="13">
        <v>5883</v>
      </c>
      <c r="I189" s="13">
        <v>3231</v>
      </c>
      <c r="J189" s="574">
        <f>[5]CC!$E69</f>
        <v>135953</v>
      </c>
      <c r="K189" s="4">
        <f>'[7]COM 55 &amp; 65'!$S274</f>
        <v>277.2</v>
      </c>
      <c r="L189" s="4">
        <f t="shared" si="143"/>
        <v>273.89999999999998</v>
      </c>
      <c r="M189" s="135">
        <f t="shared" si="153"/>
        <v>-3.3000000000000114</v>
      </c>
      <c r="N189" s="4">
        <f>'[7]COM 55 &amp; 65'!$J274</f>
        <v>2.1</v>
      </c>
      <c r="O189" s="4">
        <f t="shared" si="141"/>
        <v>2</v>
      </c>
      <c r="P189" s="41">
        <f t="shared" si="154"/>
        <v>-0.10000000000000009</v>
      </c>
      <c r="Q189" s="474">
        <f t="shared" si="117"/>
        <v>-2253.6030000000078</v>
      </c>
      <c r="R189" s="472">
        <f t="shared" si="118"/>
        <v>-65.934000000000069</v>
      </c>
      <c r="S189" s="241">
        <f t="shared" si="119"/>
        <v>-2320</v>
      </c>
      <c r="T189" s="13" t="s">
        <v>18</v>
      </c>
      <c r="U189" s="4">
        <v>1998</v>
      </c>
      <c r="V189" s="4">
        <v>5</v>
      </c>
      <c r="W189" s="242">
        <f t="shared" si="120"/>
        <v>5956.0394047865575</v>
      </c>
      <c r="X189" s="131">
        <f t="shared" si="152"/>
        <v>361.07343683088948</v>
      </c>
      <c r="Z189" s="175">
        <f t="shared" si="121"/>
        <v>805328</v>
      </c>
      <c r="AA189" s="12">
        <f t="shared" si="122"/>
        <v>-2320</v>
      </c>
      <c r="AB189" s="379">
        <f t="shared" si="129"/>
        <v>805328</v>
      </c>
      <c r="AC189" s="107">
        <f>RESID!AC189</f>
        <v>30.05</v>
      </c>
      <c r="AD189" s="243">
        <f t="shared" si="123"/>
        <v>817592.4</v>
      </c>
      <c r="AE189" s="243">
        <f t="shared" si="142"/>
        <v>80214.70000000007</v>
      </c>
      <c r="AF189" s="4">
        <f t="shared" si="147"/>
        <v>7596</v>
      </c>
      <c r="AG189" s="4">
        <f t="shared" si="124"/>
        <v>815244</v>
      </c>
      <c r="AJ189" s="269">
        <f t="shared" si="155"/>
        <v>712474</v>
      </c>
      <c r="AK189" s="269">
        <f t="shared" si="156"/>
        <v>37211</v>
      </c>
      <c r="AL189" s="276">
        <f t="shared" si="138"/>
        <v>19146.865174276423</v>
      </c>
      <c r="AM189" s="269">
        <f t="shared" si="157"/>
        <v>89291</v>
      </c>
      <c r="AN189" s="269">
        <f t="shared" si="158"/>
        <v>94770</v>
      </c>
      <c r="AO189" s="276">
        <f t="shared" si="139"/>
        <v>942.18634589004955</v>
      </c>
      <c r="AP189" s="269">
        <f t="shared" si="159"/>
        <v>5883</v>
      </c>
      <c r="AQ189" s="269">
        <f t="shared" si="160"/>
        <v>3231</v>
      </c>
      <c r="AR189" s="276">
        <f t="shared" si="140"/>
        <v>1820.798514391829</v>
      </c>
      <c r="AX189" s="4">
        <v>1998</v>
      </c>
      <c r="AY189" s="4">
        <v>5</v>
      </c>
      <c r="AZ189" s="76">
        <f>'[8]COM 55 &amp; 65'!$S274</f>
        <v>416.6</v>
      </c>
      <c r="BA189" s="76">
        <f t="shared" si="145"/>
        <v>395.2</v>
      </c>
      <c r="BB189" s="362">
        <f t="shared" si="130"/>
        <v>-21.400000000000034</v>
      </c>
      <c r="BC189" s="362"/>
      <c r="BD189" s="76">
        <f>'[8]COM 55 &amp; 65'!$J274</f>
        <v>0</v>
      </c>
      <c r="BE189" s="76">
        <f t="shared" si="146"/>
        <v>0.2</v>
      </c>
      <c r="BF189" s="363">
        <f t="shared" si="131"/>
        <v>0.2</v>
      </c>
      <c r="BG189" s="244"/>
      <c r="BH189" s="244">
        <f t="shared" si="125"/>
        <v>-14614.274000000023</v>
      </c>
      <c r="BI189" s="242">
        <f t="shared" si="126"/>
        <v>131.86800000000002</v>
      </c>
      <c r="BJ189" s="242"/>
      <c r="BK189" s="241">
        <f t="shared" si="127"/>
        <v>-14482</v>
      </c>
      <c r="BL189" s="262"/>
      <c r="BM189" s="36" t="s">
        <v>18</v>
      </c>
      <c r="BN189" s="4">
        <v>1998</v>
      </c>
      <c r="BO189" s="4">
        <v>5</v>
      </c>
      <c r="BP189" s="108">
        <f>C189+[4]MWh!$AK23</f>
        <v>962275.65415274026</v>
      </c>
      <c r="BQ189" s="76">
        <f t="shared" si="148"/>
        <v>7116.7918095490068</v>
      </c>
      <c r="BR189" s="130">
        <f t="shared" si="149"/>
        <v>7009.6859313725136</v>
      </c>
      <c r="BS189" s="108">
        <f t="shared" si="161"/>
        <v>562.95253690023037</v>
      </c>
      <c r="BT189" s="175">
        <f t="shared" si="150"/>
        <v>947793.65415274026</v>
      </c>
      <c r="BU189" s="108">
        <f t="shared" si="162"/>
        <v>91564.31163250946</v>
      </c>
      <c r="BV189" s="137">
        <f t="shared" si="151"/>
        <v>-14482</v>
      </c>
    </row>
    <row r="190" spans="1:76" ht="12.75" customHeight="1">
      <c r="A190" s="22">
        <v>1998</v>
      </c>
      <c r="B190" s="4">
        <v>6</v>
      </c>
      <c r="C190" s="5">
        <v>934001</v>
      </c>
      <c r="D190" s="5">
        <v>135329</v>
      </c>
      <c r="E190" s="74">
        <f t="shared" si="114"/>
        <v>6901.7</v>
      </c>
      <c r="F190" s="13">
        <v>116104</v>
      </c>
      <c r="G190" s="347">
        <v>94872</v>
      </c>
      <c r="H190" s="13">
        <v>5854</v>
      </c>
      <c r="I190" s="13">
        <v>3240</v>
      </c>
      <c r="J190" s="574">
        <f>[5]CC!$E70</f>
        <v>136237</v>
      </c>
      <c r="K190" s="4">
        <f>'[7]COM 55 &amp; 65'!$S275</f>
        <v>508</v>
      </c>
      <c r="L190" s="4">
        <f t="shared" si="143"/>
        <v>442.7</v>
      </c>
      <c r="M190" s="135">
        <f t="shared" si="153"/>
        <v>-65.300000000000011</v>
      </c>
      <c r="N190" s="4">
        <f>'[7]COM 55 &amp; 65'!$J275</f>
        <v>0</v>
      </c>
      <c r="O190" s="4">
        <f t="shared" si="141"/>
        <v>0.1</v>
      </c>
      <c r="P190" s="41">
        <f t="shared" si="154"/>
        <v>0.1</v>
      </c>
      <c r="Q190" s="474">
        <f t="shared" si="117"/>
        <v>-44594.023000000008</v>
      </c>
      <c r="R190" s="472">
        <f t="shared" si="118"/>
        <v>65.934000000000012</v>
      </c>
      <c r="S190" s="241">
        <f t="shared" si="119"/>
        <v>-44528</v>
      </c>
      <c r="T190" s="13" t="s">
        <v>18</v>
      </c>
      <c r="U190" s="4">
        <v>1998</v>
      </c>
      <c r="V190" s="4">
        <v>6</v>
      </c>
      <c r="W190" s="242">
        <f t="shared" si="120"/>
        <v>6572.6710461172406</v>
      </c>
      <c r="X190" s="131">
        <f t="shared" ref="X190:X196" si="163">W190-W178</f>
        <v>109.06448376426397</v>
      </c>
      <c r="Z190" s="175">
        <f t="shared" si="121"/>
        <v>889473</v>
      </c>
      <c r="AA190" s="12">
        <f t="shared" si="122"/>
        <v>-44528</v>
      </c>
      <c r="AB190" s="379">
        <f t="shared" si="129"/>
        <v>889473</v>
      </c>
      <c r="AC190" s="107">
        <f>RESID!AC190</f>
        <v>30.7</v>
      </c>
      <c r="AD190" s="243">
        <f t="shared" si="123"/>
        <v>925482.4</v>
      </c>
      <c r="AE190" s="243">
        <f t="shared" si="142"/>
        <v>113578</v>
      </c>
      <c r="AF190" s="4">
        <f t="shared" si="147"/>
        <v>-52640</v>
      </c>
      <c r="AG190" s="4">
        <f t="shared" si="124"/>
        <v>881361</v>
      </c>
      <c r="AJ190" s="269">
        <f t="shared" si="155"/>
        <v>812043</v>
      </c>
      <c r="AK190" s="269">
        <f t="shared" si="156"/>
        <v>37217</v>
      </c>
      <c r="AL190" s="276">
        <f t="shared" si="138"/>
        <v>21819.141790042184</v>
      </c>
      <c r="AM190" s="269">
        <f t="shared" si="157"/>
        <v>116104</v>
      </c>
      <c r="AN190" s="269">
        <f t="shared" si="158"/>
        <v>94872</v>
      </c>
      <c r="AO190" s="276">
        <f t="shared" si="139"/>
        <v>1223.7962728729235</v>
      </c>
      <c r="AP190" s="269">
        <f t="shared" si="159"/>
        <v>5854</v>
      </c>
      <c r="AQ190" s="269">
        <f t="shared" si="160"/>
        <v>3240</v>
      </c>
      <c r="AR190" s="276">
        <f t="shared" si="140"/>
        <v>1806.7901234567901</v>
      </c>
      <c r="AX190" s="4">
        <v>1998</v>
      </c>
      <c r="AY190" s="4">
        <v>6</v>
      </c>
      <c r="AZ190" s="76">
        <f>'[8]COM 55 &amp; 65'!$S275</f>
        <v>598.9</v>
      </c>
      <c r="BA190" s="76">
        <f t="shared" si="145"/>
        <v>485.1</v>
      </c>
      <c r="BB190" s="362">
        <f t="shared" si="130"/>
        <v>-113.79999999999995</v>
      </c>
      <c r="BC190" s="362"/>
      <c r="BD190" s="76">
        <f>'[8]COM 55 &amp; 65'!$J275</f>
        <v>0</v>
      </c>
      <c r="BE190" s="76">
        <f t="shared" si="146"/>
        <v>0</v>
      </c>
      <c r="BF190" s="363">
        <f t="shared" si="131"/>
        <v>0</v>
      </c>
      <c r="BG190" s="244"/>
      <c r="BH190" s="244">
        <f t="shared" si="125"/>
        <v>-77715.157999999967</v>
      </c>
      <c r="BI190" s="242">
        <f t="shared" si="126"/>
        <v>0</v>
      </c>
      <c r="BJ190" s="242"/>
      <c r="BK190" s="241">
        <f t="shared" si="127"/>
        <v>-77715</v>
      </c>
      <c r="BL190" s="262"/>
      <c r="BM190" s="36" t="s">
        <v>18</v>
      </c>
      <c r="BN190" s="4">
        <v>1998</v>
      </c>
      <c r="BO190" s="4">
        <v>6</v>
      </c>
      <c r="BP190" s="108">
        <f>C190+[4]MWh!$AK24</f>
        <v>974017.70797906746</v>
      </c>
      <c r="BQ190" s="76">
        <f t="shared" si="148"/>
        <v>7197.405640912646</v>
      </c>
      <c r="BR190" s="130">
        <f t="shared" si="149"/>
        <v>6623.1384845751272</v>
      </c>
      <c r="BS190" s="108">
        <f t="shared" si="161"/>
        <v>104.01972339682652</v>
      </c>
      <c r="BT190" s="175">
        <f t="shared" si="150"/>
        <v>896302.70797906746</v>
      </c>
      <c r="BU190" s="108">
        <f t="shared" si="162"/>
        <v>37200.199393468676</v>
      </c>
      <c r="BV190" s="137">
        <f t="shared" si="151"/>
        <v>-77715</v>
      </c>
      <c r="BW190" s="4">
        <f>SUM(BV188:BV190)</f>
        <v>-86694</v>
      </c>
      <c r="BX190" s="4">
        <v>26.58</v>
      </c>
    </row>
    <row r="191" spans="1:76" ht="12.75" customHeight="1">
      <c r="A191" s="22">
        <v>1998</v>
      </c>
      <c r="B191" s="4">
        <v>7</v>
      </c>
      <c r="C191" s="5">
        <v>951850</v>
      </c>
      <c r="D191" s="5">
        <v>135175</v>
      </c>
      <c r="E191" s="74">
        <f t="shared" si="114"/>
        <v>7041.6</v>
      </c>
      <c r="F191" s="13">
        <v>119504</v>
      </c>
      <c r="G191" s="347">
        <v>94946</v>
      </c>
      <c r="H191" s="13">
        <v>5883</v>
      </c>
      <c r="I191" s="13">
        <v>3242</v>
      </c>
      <c r="J191" s="574">
        <f>[5]CC!$E71</f>
        <v>136354</v>
      </c>
      <c r="K191" s="4">
        <f>'[7]COM 55 &amp; 65'!$S276</f>
        <v>580.1</v>
      </c>
      <c r="L191" s="4">
        <f t="shared" si="143"/>
        <v>516.1</v>
      </c>
      <c r="M191" s="135">
        <f t="shared" ref="M191:M196" si="164">(L191-K191)</f>
        <v>-64</v>
      </c>
      <c r="N191" s="4">
        <f>'[7]COM 55 &amp; 65'!$J276</f>
        <v>0</v>
      </c>
      <c r="O191" s="4">
        <f t="shared" si="141"/>
        <v>0</v>
      </c>
      <c r="P191" s="41">
        <f t="shared" ref="P191:P196" si="165">(O191-N191)</f>
        <v>0</v>
      </c>
      <c r="Q191" s="474">
        <f t="shared" si="117"/>
        <v>-43706.239999999998</v>
      </c>
      <c r="R191" s="472">
        <f t="shared" si="118"/>
        <v>0</v>
      </c>
      <c r="S191" s="241">
        <f t="shared" si="119"/>
        <v>-43706</v>
      </c>
      <c r="T191" s="13" t="s">
        <v>18</v>
      </c>
      <c r="U191" s="4">
        <v>1998</v>
      </c>
      <c r="V191" s="4">
        <v>7</v>
      </c>
      <c r="W191" s="242">
        <f t="shared" si="120"/>
        <v>6718.283706306639</v>
      </c>
      <c r="X191" s="131">
        <f t="shared" si="163"/>
        <v>-12.796248221590758</v>
      </c>
      <c r="Z191" s="175">
        <f t="shared" si="121"/>
        <v>908144</v>
      </c>
      <c r="AA191" s="12">
        <f t="shared" si="122"/>
        <v>-43706</v>
      </c>
      <c r="AB191" s="379">
        <f t="shared" si="129"/>
        <v>908144</v>
      </c>
      <c r="AC191" s="107">
        <f>RESID!AC191</f>
        <v>29.4</v>
      </c>
      <c r="AD191" s="243">
        <f t="shared" si="123"/>
        <v>984873.4</v>
      </c>
      <c r="AE191" s="243">
        <f t="shared" si="142"/>
        <v>100311.70000000007</v>
      </c>
      <c r="AF191" s="4">
        <f t="shared" si="147"/>
        <v>-12199</v>
      </c>
      <c r="AG191" s="4">
        <f t="shared" si="124"/>
        <v>939651</v>
      </c>
      <c r="AJ191" s="269">
        <f t="shared" si="155"/>
        <v>826463</v>
      </c>
      <c r="AK191" s="269">
        <f t="shared" si="156"/>
        <v>36987</v>
      </c>
      <c r="AL191" s="276">
        <f t="shared" si="138"/>
        <v>22344.688674399113</v>
      </c>
      <c r="AM191" s="269">
        <f t="shared" si="157"/>
        <v>119504</v>
      </c>
      <c r="AN191" s="269">
        <f t="shared" si="158"/>
        <v>94946</v>
      </c>
      <c r="AO191" s="276">
        <f t="shared" si="139"/>
        <v>1258.6522865628883</v>
      </c>
      <c r="AP191" s="269">
        <f t="shared" si="159"/>
        <v>5883</v>
      </c>
      <c r="AQ191" s="269">
        <f t="shared" si="160"/>
        <v>3242</v>
      </c>
      <c r="AR191" s="276">
        <f t="shared" si="140"/>
        <v>1814.6206045650833</v>
      </c>
      <c r="AX191" s="4">
        <v>1998</v>
      </c>
      <c r="AY191" s="4">
        <v>7</v>
      </c>
      <c r="AZ191" s="76">
        <f>'[8]COM 55 &amp; 65'!$S276</f>
        <v>588.4</v>
      </c>
      <c r="BA191" s="76">
        <f t="shared" si="145"/>
        <v>546.1</v>
      </c>
      <c r="BB191" s="362">
        <f t="shared" si="130"/>
        <v>-42.299999999999955</v>
      </c>
      <c r="BC191" s="362"/>
      <c r="BD191" s="76">
        <f>'[8]COM 55 &amp; 65'!$J276</f>
        <v>0</v>
      </c>
      <c r="BE191" s="76">
        <f t="shared" si="146"/>
        <v>0</v>
      </c>
      <c r="BF191" s="363">
        <f t="shared" si="131"/>
        <v>0</v>
      </c>
      <c r="BG191" s="244"/>
      <c r="BH191" s="244">
        <f t="shared" si="125"/>
        <v>-28887.092999999968</v>
      </c>
      <c r="BI191" s="242">
        <f t="shared" si="126"/>
        <v>0</v>
      </c>
      <c r="BJ191" s="242"/>
      <c r="BK191" s="241">
        <f t="shared" si="127"/>
        <v>-28887</v>
      </c>
      <c r="BL191" s="262"/>
      <c r="BM191" s="36" t="s">
        <v>18</v>
      </c>
      <c r="BN191" s="4">
        <v>1998</v>
      </c>
      <c r="BO191" s="4">
        <v>7</v>
      </c>
      <c r="BP191" s="108">
        <f>C191+[4]MWh!$AK25</f>
        <v>902923.27169484098</v>
      </c>
      <c r="BQ191" s="76">
        <f t="shared" si="148"/>
        <v>6679.6617103372737</v>
      </c>
      <c r="BR191" s="130">
        <f t="shared" si="149"/>
        <v>6465.9609520609647</v>
      </c>
      <c r="BS191" s="108">
        <f t="shared" si="161"/>
        <v>-254.5415718967779</v>
      </c>
      <c r="BT191" s="175">
        <f t="shared" si="150"/>
        <v>874036.27169484098</v>
      </c>
      <c r="BU191" s="108">
        <f t="shared" si="162"/>
        <v>-12734.036341383122</v>
      </c>
      <c r="BV191" s="137">
        <f t="shared" si="151"/>
        <v>-28887</v>
      </c>
    </row>
    <row r="192" spans="1:76" ht="12.75" customHeight="1">
      <c r="A192" s="22">
        <v>1998</v>
      </c>
      <c r="B192" s="4">
        <v>8</v>
      </c>
      <c r="C192" s="5">
        <v>1006236</v>
      </c>
      <c r="D192" s="5">
        <v>140391</v>
      </c>
      <c r="E192" s="74">
        <f t="shared" si="114"/>
        <v>7167.4</v>
      </c>
      <c r="F192" s="13">
        <v>93947</v>
      </c>
      <c r="G192" s="347">
        <v>98467</v>
      </c>
      <c r="H192" s="13">
        <v>6050</v>
      </c>
      <c r="I192" s="13">
        <v>3248</v>
      </c>
      <c r="J192" s="574">
        <f>[5]CC!$E72</f>
        <v>136492</v>
      </c>
      <c r="K192" s="4">
        <f>'[7]COM 55 &amp; 65'!$S277</f>
        <v>572.4</v>
      </c>
      <c r="L192" s="4">
        <f t="shared" si="143"/>
        <v>542</v>
      </c>
      <c r="M192" s="135">
        <f t="shared" si="164"/>
        <v>-30.399999999999977</v>
      </c>
      <c r="N192" s="4">
        <f>'[7]COM 55 &amp; 65'!$J277</f>
        <v>0</v>
      </c>
      <c r="O192" s="4">
        <f t="shared" si="141"/>
        <v>0</v>
      </c>
      <c r="P192" s="41">
        <f t="shared" si="165"/>
        <v>0</v>
      </c>
      <c r="Q192" s="474">
        <f t="shared" si="117"/>
        <v>-20760.463999999982</v>
      </c>
      <c r="R192" s="472">
        <f t="shared" si="118"/>
        <v>0</v>
      </c>
      <c r="S192" s="241">
        <f t="shared" si="119"/>
        <v>-20760</v>
      </c>
      <c r="T192" s="13" t="s">
        <v>18</v>
      </c>
      <c r="U192" s="4">
        <v>1998</v>
      </c>
      <c r="V192" s="4">
        <v>8</v>
      </c>
      <c r="W192" s="242">
        <f t="shared" si="120"/>
        <v>7019.5097976366005</v>
      </c>
      <c r="X192" s="131">
        <f t="shared" si="163"/>
        <v>352.41139105808907</v>
      </c>
      <c r="Z192" s="175">
        <f t="shared" si="121"/>
        <v>985476</v>
      </c>
      <c r="AA192" s="12">
        <f t="shared" si="122"/>
        <v>-20760</v>
      </c>
      <c r="AB192" s="379">
        <f t="shared" si="129"/>
        <v>985476</v>
      </c>
      <c r="AC192" s="107">
        <f>RESID!AC192</f>
        <v>30.8</v>
      </c>
      <c r="AD192" s="243">
        <f t="shared" si="123"/>
        <v>993821.4</v>
      </c>
      <c r="AE192" s="243">
        <f t="shared" si="142"/>
        <v>102553.20000000007</v>
      </c>
      <c r="AF192" s="4">
        <f t="shared" si="147"/>
        <v>-32918</v>
      </c>
      <c r="AG192" s="4">
        <f t="shared" si="124"/>
        <v>973318</v>
      </c>
      <c r="AJ192" s="269">
        <f t="shared" si="155"/>
        <v>906239</v>
      </c>
      <c r="AK192" s="269">
        <f t="shared" si="156"/>
        <v>38676</v>
      </c>
      <c r="AL192" s="276">
        <f t="shared" si="138"/>
        <v>23431.559623539146</v>
      </c>
      <c r="AM192" s="269">
        <f t="shared" si="157"/>
        <v>93947</v>
      </c>
      <c r="AN192" s="269">
        <f t="shared" si="158"/>
        <v>98467</v>
      </c>
      <c r="AO192" s="276">
        <f t="shared" si="139"/>
        <v>954.096296221069</v>
      </c>
      <c r="AP192" s="269">
        <f t="shared" si="159"/>
        <v>6050</v>
      </c>
      <c r="AQ192" s="269">
        <f t="shared" si="160"/>
        <v>3248</v>
      </c>
      <c r="AR192" s="276">
        <f t="shared" si="140"/>
        <v>1862.6847290640394</v>
      </c>
      <c r="AX192" s="4">
        <v>1998</v>
      </c>
      <c r="AY192" s="4">
        <v>8</v>
      </c>
      <c r="AZ192" s="76">
        <f>'[8]COM 55 &amp; 65'!$S277</f>
        <v>579.79999999999995</v>
      </c>
      <c r="BA192" s="76">
        <f t="shared" si="145"/>
        <v>549</v>
      </c>
      <c r="BB192" s="362">
        <f t="shared" si="130"/>
        <v>-30.799999999999955</v>
      </c>
      <c r="BC192" s="362"/>
      <c r="BD192" s="76">
        <f>'[8]COM 55 &amp; 65'!$J277</f>
        <v>0</v>
      </c>
      <c r="BE192" s="76">
        <f t="shared" si="146"/>
        <v>0</v>
      </c>
      <c r="BF192" s="363">
        <f t="shared" si="131"/>
        <v>0</v>
      </c>
      <c r="BG192" s="244"/>
      <c r="BH192" s="244">
        <f t="shared" si="125"/>
        <v>-21033.627999999968</v>
      </c>
      <c r="BI192" s="242">
        <f t="shared" si="126"/>
        <v>0</v>
      </c>
      <c r="BJ192" s="242"/>
      <c r="BK192" s="241">
        <f t="shared" si="127"/>
        <v>-21034</v>
      </c>
      <c r="BL192" s="262"/>
      <c r="BM192" s="36" t="s">
        <v>18</v>
      </c>
      <c r="BN192" s="4">
        <v>1998</v>
      </c>
      <c r="BO192" s="4">
        <v>8</v>
      </c>
      <c r="BP192" s="108">
        <f>C192+[4]MWh!$AK26</f>
        <v>1069674.0015735279</v>
      </c>
      <c r="BQ192" s="76">
        <f t="shared" si="148"/>
        <v>7619.2491083725308</v>
      </c>
      <c r="BR192" s="130">
        <f t="shared" si="149"/>
        <v>7469.424689428296</v>
      </c>
      <c r="BS192" s="108">
        <f t="shared" si="161"/>
        <v>592.69114935893867</v>
      </c>
      <c r="BT192" s="175">
        <f t="shared" si="150"/>
        <v>1048640.0015735279</v>
      </c>
      <c r="BU192" s="108">
        <f t="shared" si="162"/>
        <v>135437.29438647756</v>
      </c>
      <c r="BV192" s="137">
        <f t="shared" si="151"/>
        <v>-21034</v>
      </c>
    </row>
    <row r="193" spans="1:74" ht="12.75" customHeight="1">
      <c r="A193" s="22">
        <v>1998</v>
      </c>
      <c r="B193" s="4">
        <v>9</v>
      </c>
      <c r="C193" s="5">
        <v>922826</v>
      </c>
      <c r="D193" s="5">
        <v>131660</v>
      </c>
      <c r="E193" s="74">
        <f t="shared" si="114"/>
        <v>7009.2</v>
      </c>
      <c r="F193" s="13">
        <v>92722</v>
      </c>
      <c r="G193" s="347">
        <v>92237</v>
      </c>
      <c r="H193" s="13">
        <v>5818</v>
      </c>
      <c r="I193" s="13">
        <v>3285</v>
      </c>
      <c r="J193" s="574">
        <f>[5]CC!$E73</f>
        <v>136702</v>
      </c>
      <c r="K193" s="4">
        <f>'[7]COM 55 &amp; 65'!$S278</f>
        <v>544.20000000000005</v>
      </c>
      <c r="L193" s="4">
        <f t="shared" si="143"/>
        <v>531.20000000000005</v>
      </c>
      <c r="M193" s="135">
        <f t="shared" si="164"/>
        <v>-13</v>
      </c>
      <c r="N193" s="4">
        <f>'[7]COM 55 &amp; 65'!$J278</f>
        <v>0</v>
      </c>
      <c r="O193" s="4">
        <f t="shared" si="141"/>
        <v>0</v>
      </c>
      <c r="P193" s="41">
        <f t="shared" si="165"/>
        <v>0</v>
      </c>
      <c r="Q193" s="474">
        <f t="shared" si="117"/>
        <v>-8877.83</v>
      </c>
      <c r="R193" s="472">
        <f t="shared" si="118"/>
        <v>0</v>
      </c>
      <c r="S193" s="241">
        <f t="shared" si="119"/>
        <v>-8878</v>
      </c>
      <c r="T193" s="13" t="s">
        <v>18</v>
      </c>
      <c r="U193" s="4">
        <v>1998</v>
      </c>
      <c r="V193" s="4">
        <v>9</v>
      </c>
      <c r="W193" s="242">
        <f t="shared" si="120"/>
        <v>6941.7286951238029</v>
      </c>
      <c r="X193" s="131">
        <f t="shared" si="163"/>
        <v>169.24712264223035</v>
      </c>
      <c r="Z193" s="175">
        <f t="shared" si="121"/>
        <v>913948</v>
      </c>
      <c r="AA193" s="12">
        <f t="shared" si="122"/>
        <v>-8878</v>
      </c>
      <c r="AB193" s="379">
        <f t="shared" si="129"/>
        <v>913948</v>
      </c>
      <c r="AC193" s="107">
        <f>RESID!AC193</f>
        <v>30.25</v>
      </c>
      <c r="AD193" s="243">
        <f t="shared" si="123"/>
        <v>928012.1</v>
      </c>
      <c r="AE193" s="243">
        <f t="shared" si="142"/>
        <v>37286.599999999977</v>
      </c>
      <c r="AF193" s="4">
        <f t="shared" si="147"/>
        <v>-3742</v>
      </c>
      <c r="AG193" s="4">
        <f t="shared" si="124"/>
        <v>919084</v>
      </c>
      <c r="AI193" s="8"/>
      <c r="AJ193" s="269">
        <f t="shared" si="155"/>
        <v>824286</v>
      </c>
      <c r="AK193" s="269">
        <f t="shared" si="156"/>
        <v>36138</v>
      </c>
      <c r="AL193" s="276">
        <f t="shared" si="138"/>
        <v>22809.397310310476</v>
      </c>
      <c r="AM193" s="269">
        <f t="shared" si="157"/>
        <v>92722</v>
      </c>
      <c r="AN193" s="269">
        <f t="shared" si="158"/>
        <v>92237</v>
      </c>
      <c r="AO193" s="276">
        <f t="shared" si="139"/>
        <v>1005.258193566573</v>
      </c>
      <c r="AP193" s="269">
        <f t="shared" si="159"/>
        <v>5818</v>
      </c>
      <c r="AQ193" s="269">
        <f t="shared" si="160"/>
        <v>3285</v>
      </c>
      <c r="AR193" s="276">
        <f t="shared" si="140"/>
        <v>1771.0806697108069</v>
      </c>
      <c r="AX193" s="4">
        <v>1998</v>
      </c>
      <c r="AY193" s="4">
        <v>9</v>
      </c>
      <c r="AZ193" s="76">
        <f>'[8]COM 55 &amp; 65'!$S278</f>
        <v>483.7</v>
      </c>
      <c r="BA193" s="76">
        <f t="shared" si="145"/>
        <v>487.9</v>
      </c>
      <c r="BB193" s="362">
        <f t="shared" si="130"/>
        <v>4.1999999999999886</v>
      </c>
      <c r="BC193" s="362"/>
      <c r="BD193" s="76">
        <f>'[8]COM 55 &amp; 65'!$J278</f>
        <v>0</v>
      </c>
      <c r="BE193" s="76">
        <f t="shared" si="146"/>
        <v>0</v>
      </c>
      <c r="BF193" s="363">
        <f t="shared" si="131"/>
        <v>0</v>
      </c>
      <c r="BG193" s="244"/>
      <c r="BH193" s="244">
        <f t="shared" si="125"/>
        <v>2868.221999999992</v>
      </c>
      <c r="BI193" s="242">
        <f t="shared" si="126"/>
        <v>0</v>
      </c>
      <c r="BJ193" s="242"/>
      <c r="BK193" s="241">
        <f t="shared" si="127"/>
        <v>2868</v>
      </c>
      <c r="BL193" s="262"/>
      <c r="BM193" s="36" t="s">
        <v>18</v>
      </c>
      <c r="BN193" s="4">
        <v>1998</v>
      </c>
      <c r="BO193" s="4">
        <v>9</v>
      </c>
      <c r="BP193" s="108">
        <f>C193+[4]MWh!$AK27</f>
        <v>873020.06159819546</v>
      </c>
      <c r="BQ193" s="76">
        <f t="shared" si="148"/>
        <v>6630.8678535484996</v>
      </c>
      <c r="BR193" s="130">
        <f t="shared" si="149"/>
        <v>6652.6512349855348</v>
      </c>
      <c r="BS193" s="108">
        <f t="shared" si="161"/>
        <v>151.69136614612489</v>
      </c>
      <c r="BT193" s="175">
        <f t="shared" si="150"/>
        <v>875888.06159819546</v>
      </c>
      <c r="BU193" s="108">
        <f t="shared" si="162"/>
        <v>15973.594947462436</v>
      </c>
      <c r="BV193" s="137">
        <f t="shared" si="151"/>
        <v>2868</v>
      </c>
    </row>
    <row r="194" spans="1:74" ht="12.75" customHeight="1">
      <c r="A194" s="22">
        <v>1998</v>
      </c>
      <c r="B194" s="4">
        <v>10</v>
      </c>
      <c r="C194" s="5">
        <v>936864</v>
      </c>
      <c r="D194" s="5">
        <v>141369</v>
      </c>
      <c r="E194" s="74">
        <f t="shared" si="114"/>
        <v>6627.1</v>
      </c>
      <c r="F194" s="13">
        <v>98067</v>
      </c>
      <c r="G194" s="347">
        <v>98703</v>
      </c>
      <c r="H194" s="13">
        <v>6113</v>
      </c>
      <c r="I194" s="13">
        <v>3274</v>
      </c>
      <c r="J194" s="574">
        <f>[5]CC!$E74</f>
        <v>137309</v>
      </c>
      <c r="K194" s="4">
        <f>'[7]COM 55 &amp; 65'!$S279</f>
        <v>474.5</v>
      </c>
      <c r="L194" s="4">
        <f t="shared" si="143"/>
        <v>431.2</v>
      </c>
      <c r="M194" s="135">
        <f t="shared" si="164"/>
        <v>-43.300000000000011</v>
      </c>
      <c r="N194" s="4">
        <f>'[7]COM 55 &amp; 65'!$J279</f>
        <v>0</v>
      </c>
      <c r="O194" s="4">
        <f t="shared" si="141"/>
        <v>0.2</v>
      </c>
      <c r="P194" s="41">
        <f t="shared" si="165"/>
        <v>0.2</v>
      </c>
      <c r="Q194" s="474">
        <f t="shared" si="117"/>
        <v>-29570.003000000008</v>
      </c>
      <c r="R194" s="472">
        <f t="shared" si="118"/>
        <v>131.86800000000002</v>
      </c>
      <c r="S194" s="241">
        <f t="shared" si="119"/>
        <v>-29438</v>
      </c>
      <c r="T194" s="13" t="s">
        <v>18</v>
      </c>
      <c r="U194" s="4">
        <v>1998</v>
      </c>
      <c r="V194" s="4">
        <v>10</v>
      </c>
      <c r="W194" s="242">
        <f t="shared" si="120"/>
        <v>6418.8471305590338</v>
      </c>
      <c r="X194" s="131">
        <f t="shared" si="163"/>
        <v>40.327684126202257</v>
      </c>
      <c r="Z194" s="175">
        <f t="shared" si="121"/>
        <v>907426</v>
      </c>
      <c r="AA194" s="12">
        <f t="shared" si="122"/>
        <v>-29438</v>
      </c>
      <c r="AB194" s="379">
        <f t="shared" si="129"/>
        <v>907426</v>
      </c>
      <c r="AC194" s="107">
        <f>RESID!AC194</f>
        <v>29.95</v>
      </c>
      <c r="AD194" s="243">
        <f t="shared" si="123"/>
        <v>951566</v>
      </c>
      <c r="AE194" s="243">
        <f t="shared" si="142"/>
        <v>96827.699999999953</v>
      </c>
      <c r="AF194" s="4">
        <f t="shared" si="147"/>
        <v>-15198</v>
      </c>
      <c r="AG194" s="4">
        <f t="shared" si="124"/>
        <v>921666</v>
      </c>
      <c r="AI194" s="8"/>
      <c r="AJ194" s="269">
        <f t="shared" si="155"/>
        <v>832684</v>
      </c>
      <c r="AK194" s="269">
        <f t="shared" si="156"/>
        <v>39392</v>
      </c>
      <c r="AL194" s="276">
        <f t="shared" si="138"/>
        <v>21138.403736799351</v>
      </c>
      <c r="AM194" s="269">
        <f t="shared" si="157"/>
        <v>98067</v>
      </c>
      <c r="AN194" s="269">
        <f t="shared" si="158"/>
        <v>98703</v>
      </c>
      <c r="AO194" s="276">
        <f t="shared" si="139"/>
        <v>993.55642685632654</v>
      </c>
      <c r="AP194" s="269">
        <f t="shared" si="159"/>
        <v>6113</v>
      </c>
      <c r="AQ194" s="269">
        <f t="shared" si="160"/>
        <v>3274</v>
      </c>
      <c r="AR194" s="276">
        <f t="shared" si="140"/>
        <v>1867.1350030543676</v>
      </c>
      <c r="AX194" s="4">
        <v>1998</v>
      </c>
      <c r="AY194" s="4">
        <v>10</v>
      </c>
      <c r="AZ194" s="76">
        <f>'[8]COM 55 &amp; 65'!$S279</f>
        <v>385.8</v>
      </c>
      <c r="BA194" s="76">
        <f t="shared" si="145"/>
        <v>332.5</v>
      </c>
      <c r="BB194" s="362">
        <f t="shared" si="130"/>
        <v>-53.300000000000011</v>
      </c>
      <c r="BC194" s="362"/>
      <c r="BD194" s="76">
        <f>'[8]COM 55 &amp; 65'!$J279</f>
        <v>0.5</v>
      </c>
      <c r="BE194" s="76">
        <f t="shared" si="146"/>
        <v>2</v>
      </c>
      <c r="BF194" s="363">
        <f t="shared" si="131"/>
        <v>1.5</v>
      </c>
      <c r="BG194" s="244"/>
      <c r="BH194" s="244">
        <f t="shared" si="125"/>
        <v>-36399.103000000003</v>
      </c>
      <c r="BI194" s="242">
        <f t="shared" si="126"/>
        <v>989.01</v>
      </c>
      <c r="BJ194" s="242"/>
      <c r="BK194" s="241">
        <f t="shared" si="127"/>
        <v>-35410</v>
      </c>
      <c r="BL194" s="262"/>
      <c r="BM194" s="36" t="s">
        <v>18</v>
      </c>
      <c r="BN194" s="4">
        <v>1998</v>
      </c>
      <c r="BO194" s="4">
        <v>10</v>
      </c>
      <c r="BP194" s="108">
        <f>C194+[4]MWh!$AK28</f>
        <v>901689.37332560017</v>
      </c>
      <c r="BQ194" s="76">
        <f t="shared" si="148"/>
        <v>6378.2680313618985</v>
      </c>
      <c r="BR194" s="130">
        <f t="shared" si="149"/>
        <v>6127.7887890952061</v>
      </c>
      <c r="BS194" s="108">
        <f t="shared" si="161"/>
        <v>169.2345044744643</v>
      </c>
      <c r="BT194" s="175">
        <f t="shared" si="150"/>
        <v>866279.37332560017</v>
      </c>
      <c r="BU194" s="108">
        <f t="shared" si="162"/>
        <v>67165.741106543224</v>
      </c>
      <c r="BV194" s="137">
        <f t="shared" si="151"/>
        <v>-35410</v>
      </c>
    </row>
    <row r="195" spans="1:74" ht="12.75" customHeight="1">
      <c r="A195" s="22">
        <v>1998</v>
      </c>
      <c r="B195" s="4">
        <v>11</v>
      </c>
      <c r="C195" s="5">
        <v>835753</v>
      </c>
      <c r="D195" s="5">
        <v>139300</v>
      </c>
      <c r="E195" s="74">
        <f t="shared" si="114"/>
        <v>5999.7</v>
      </c>
      <c r="F195" s="13">
        <v>86039</v>
      </c>
      <c r="G195" s="347">
        <v>97119</v>
      </c>
      <c r="H195" s="13">
        <v>6153</v>
      </c>
      <c r="I195" s="13">
        <v>3291</v>
      </c>
      <c r="J195" s="574">
        <f>[5]CC!$E75</f>
        <v>137549</v>
      </c>
      <c r="K195" s="4">
        <f>'[7]COM 55 &amp; 65'!$S280</f>
        <v>292.39999999999998</v>
      </c>
      <c r="L195" s="4">
        <f t="shared" si="143"/>
        <v>251.9</v>
      </c>
      <c r="M195" s="135">
        <f t="shared" si="164"/>
        <v>-40.499999999999972</v>
      </c>
      <c r="N195" s="4">
        <f>'[7]COM 55 &amp; 65'!$J280</f>
        <v>1.5</v>
      </c>
      <c r="O195" s="4">
        <f t="shared" si="141"/>
        <v>6.3</v>
      </c>
      <c r="P195" s="41">
        <f t="shared" si="165"/>
        <v>4.8</v>
      </c>
      <c r="Q195" s="474">
        <f t="shared" si="117"/>
        <v>-27657.854999999978</v>
      </c>
      <c r="R195" s="472">
        <f t="shared" si="118"/>
        <v>3164.8319999999999</v>
      </c>
      <c r="S195" s="241">
        <f t="shared" si="119"/>
        <v>-24493</v>
      </c>
      <c r="T195" s="13" t="s">
        <v>18</v>
      </c>
      <c r="U195" s="4">
        <v>1998</v>
      </c>
      <c r="V195" s="4">
        <v>11</v>
      </c>
      <c r="W195" s="242">
        <f t="shared" si="120"/>
        <v>5823.8334529791819</v>
      </c>
      <c r="X195" s="131">
        <f t="shared" si="163"/>
        <v>8.5648521064013039</v>
      </c>
      <c r="Z195" s="175">
        <f t="shared" si="121"/>
        <v>811260</v>
      </c>
      <c r="AA195" s="12">
        <f t="shared" si="122"/>
        <v>-24493</v>
      </c>
      <c r="AB195" s="379">
        <f t="shared" si="129"/>
        <v>811260</v>
      </c>
      <c r="AC195" s="107">
        <f>RESID!AC195</f>
        <v>30.05</v>
      </c>
      <c r="AD195" s="243">
        <f t="shared" si="123"/>
        <v>846043.5</v>
      </c>
      <c r="AE195" s="243">
        <f t="shared" si="142"/>
        <v>70022.199999999953</v>
      </c>
      <c r="AF195" s="4">
        <f t="shared" si="147"/>
        <v>-14504</v>
      </c>
      <c r="AG195" s="4">
        <f t="shared" si="124"/>
        <v>821249</v>
      </c>
      <c r="AI195" s="8"/>
      <c r="AJ195" s="269">
        <f t="shared" si="155"/>
        <v>743561</v>
      </c>
      <c r="AK195" s="269">
        <f t="shared" si="156"/>
        <v>38890</v>
      </c>
      <c r="AL195" s="276">
        <f t="shared" si="138"/>
        <v>19119.593725893545</v>
      </c>
      <c r="AM195" s="269">
        <f t="shared" si="157"/>
        <v>86039</v>
      </c>
      <c r="AN195" s="269">
        <f t="shared" si="158"/>
        <v>97119</v>
      </c>
      <c r="AO195" s="276">
        <f t="shared" si="139"/>
        <v>885.91315808441198</v>
      </c>
      <c r="AP195" s="269">
        <f t="shared" si="159"/>
        <v>6153</v>
      </c>
      <c r="AQ195" s="269">
        <f t="shared" si="160"/>
        <v>3291</v>
      </c>
      <c r="AR195" s="276">
        <f t="shared" si="140"/>
        <v>1869.6444849589791</v>
      </c>
      <c r="AX195" s="4">
        <v>1998</v>
      </c>
      <c r="AY195" s="4">
        <v>11</v>
      </c>
      <c r="AZ195" s="76">
        <f>'[8]COM 55 &amp; 65'!$S280</f>
        <v>225.8</v>
      </c>
      <c r="BA195" s="76">
        <f t="shared" si="145"/>
        <v>146</v>
      </c>
      <c r="BB195" s="362">
        <f t="shared" si="130"/>
        <v>-79.800000000000011</v>
      </c>
      <c r="BC195" s="362"/>
      <c r="BD195" s="76">
        <f>'[8]COM 55 &amp; 65'!$J280</f>
        <v>3.2</v>
      </c>
      <c r="BE195" s="76">
        <f t="shared" si="146"/>
        <v>14</v>
      </c>
      <c r="BF195" s="363">
        <f t="shared" si="131"/>
        <v>10.8</v>
      </c>
      <c r="BG195" s="244"/>
      <c r="BH195" s="244">
        <f t="shared" si="125"/>
        <v>-54496.218000000008</v>
      </c>
      <c r="BI195" s="242">
        <f t="shared" si="126"/>
        <v>7120.8720000000012</v>
      </c>
      <c r="BJ195" s="242"/>
      <c r="BK195" s="241">
        <f t="shared" si="127"/>
        <v>-47375</v>
      </c>
      <c r="BL195" s="262"/>
      <c r="BM195" s="36" t="s">
        <v>18</v>
      </c>
      <c r="BN195" s="4">
        <v>1998</v>
      </c>
      <c r="BO195" s="4">
        <v>11</v>
      </c>
      <c r="BP195" s="108">
        <f>C195+[4]MWh!$AK29</f>
        <v>803448.08821830596</v>
      </c>
      <c r="BQ195" s="76">
        <f t="shared" si="148"/>
        <v>5767.753684266374</v>
      </c>
      <c r="BR195" s="130">
        <f t="shared" si="149"/>
        <v>5427.6603605047094</v>
      </c>
      <c r="BS195" s="108">
        <f t="shared" si="161"/>
        <v>-162.30447792356244</v>
      </c>
      <c r="BT195" s="175">
        <f t="shared" si="150"/>
        <v>756073.08821830596</v>
      </c>
      <c r="BU195" s="108">
        <f t="shared" si="162"/>
        <v>-16342.663190874271</v>
      </c>
      <c r="BV195" s="137">
        <f t="shared" si="151"/>
        <v>-47375</v>
      </c>
    </row>
    <row r="196" spans="1:74" s="89" customFormat="1" ht="12.75" customHeight="1">
      <c r="A196" s="225">
        <v>1998</v>
      </c>
      <c r="B196" s="89">
        <v>12</v>
      </c>
      <c r="C196" s="103">
        <v>817244</v>
      </c>
      <c r="D196" s="103">
        <v>136423</v>
      </c>
      <c r="E196" s="109">
        <f t="shared" si="114"/>
        <v>5990.5</v>
      </c>
      <c r="F196" s="90">
        <v>82517</v>
      </c>
      <c r="G196" s="348">
        <v>95160</v>
      </c>
      <c r="H196" s="90">
        <v>6059</v>
      </c>
      <c r="I196" s="90">
        <v>3342</v>
      </c>
      <c r="J196" s="575">
        <f>[5]CC!$E76</f>
        <v>137826</v>
      </c>
      <c r="K196" s="89">
        <f>'[7]COM 55 &amp; 65'!$S281</f>
        <v>229.7</v>
      </c>
      <c r="L196" s="89">
        <f t="shared" si="143"/>
        <v>119.4</v>
      </c>
      <c r="M196" s="136">
        <f t="shared" si="164"/>
        <v>-110.29999999999998</v>
      </c>
      <c r="N196" s="89">
        <f>'[7]COM 55 &amp; 65'!$J281</f>
        <v>5.8</v>
      </c>
      <c r="O196" s="89">
        <f t="shared" si="141"/>
        <v>30.1</v>
      </c>
      <c r="P196" s="94">
        <f t="shared" si="165"/>
        <v>24.3</v>
      </c>
      <c r="Q196" s="475">
        <f t="shared" si="117"/>
        <v>-75324.972999999984</v>
      </c>
      <c r="R196" s="473">
        <f t="shared" si="118"/>
        <v>16021.962000000001</v>
      </c>
      <c r="S196" s="329">
        <f t="shared" si="119"/>
        <v>-59303</v>
      </c>
      <c r="T196" s="90" t="s">
        <v>18</v>
      </c>
      <c r="U196" s="89">
        <v>1998</v>
      </c>
      <c r="V196" s="89">
        <v>12</v>
      </c>
      <c r="W196" s="328">
        <f t="shared" si="120"/>
        <v>5555.8153683763003</v>
      </c>
      <c r="X196" s="133">
        <f t="shared" si="163"/>
        <v>151.85501704752824</v>
      </c>
      <c r="Z196" s="176">
        <f t="shared" si="121"/>
        <v>757941</v>
      </c>
      <c r="AA196" s="105">
        <f t="shared" si="122"/>
        <v>-59303</v>
      </c>
      <c r="AB196" s="517">
        <f t="shared" si="129"/>
        <v>757941</v>
      </c>
      <c r="AC196" s="110">
        <f>RESID!AC196</f>
        <v>31.65</v>
      </c>
      <c r="AD196" s="331">
        <f t="shared" si="123"/>
        <v>785483.8</v>
      </c>
      <c r="AE196" s="331">
        <f t="shared" si="142"/>
        <v>111814.20000000007</v>
      </c>
      <c r="AF196" s="89">
        <f t="shared" si="147"/>
        <v>-88759</v>
      </c>
      <c r="AG196" s="89">
        <f t="shared" si="124"/>
        <v>728485</v>
      </c>
      <c r="AJ196" s="351">
        <f t="shared" si="155"/>
        <v>728668</v>
      </c>
      <c r="AK196" s="351">
        <f t="shared" si="156"/>
        <v>37921</v>
      </c>
      <c r="AL196" s="277">
        <f t="shared" si="138"/>
        <v>19215.421534242239</v>
      </c>
      <c r="AM196" s="351">
        <f t="shared" si="157"/>
        <v>82517</v>
      </c>
      <c r="AN196" s="351">
        <f t="shared" si="158"/>
        <v>95160</v>
      </c>
      <c r="AO196" s="277">
        <f t="shared" si="139"/>
        <v>867.13955443463647</v>
      </c>
      <c r="AP196" s="351">
        <f t="shared" si="159"/>
        <v>6059</v>
      </c>
      <c r="AQ196" s="351">
        <f t="shared" si="160"/>
        <v>3342</v>
      </c>
      <c r="AR196" s="277">
        <f t="shared" si="140"/>
        <v>1812.986235786954</v>
      </c>
      <c r="AX196" s="89">
        <v>1998</v>
      </c>
      <c r="AY196" s="89">
        <v>12</v>
      </c>
      <c r="AZ196" s="92">
        <f>'[8]COM 55 &amp; 65'!$S281</f>
        <v>152.19999999999999</v>
      </c>
      <c r="BA196" s="92">
        <f t="shared" si="145"/>
        <v>75.7</v>
      </c>
      <c r="BB196" s="364">
        <f t="shared" si="130"/>
        <v>-76.499999999999986</v>
      </c>
      <c r="BC196" s="364"/>
      <c r="BD196" s="92">
        <f>'[8]COM 55 &amp; 65'!$J281</f>
        <v>20</v>
      </c>
      <c r="BE196" s="92">
        <f t="shared" si="146"/>
        <v>44.3</v>
      </c>
      <c r="BF196" s="365">
        <f t="shared" si="131"/>
        <v>24.299999999999997</v>
      </c>
      <c r="BG196" s="327"/>
      <c r="BH196" s="327">
        <f t="shared" si="125"/>
        <v>-52242.614999999991</v>
      </c>
      <c r="BI196" s="328">
        <f t="shared" si="126"/>
        <v>16021.962</v>
      </c>
      <c r="BJ196" s="328"/>
      <c r="BK196" s="329">
        <f t="shared" si="127"/>
        <v>-36221</v>
      </c>
      <c r="BL196" s="332"/>
      <c r="BM196" s="113" t="s">
        <v>18</v>
      </c>
      <c r="BN196" s="89">
        <v>1998</v>
      </c>
      <c r="BO196" s="89">
        <v>12</v>
      </c>
      <c r="BP196" s="117">
        <f>C196+[4]MWh!$AK30</f>
        <v>776508.92642050295</v>
      </c>
      <c r="BQ196" s="92">
        <f t="shared" si="148"/>
        <v>5691.9209108471659</v>
      </c>
      <c r="BR196" s="299">
        <f t="shared" si="149"/>
        <v>5426.4158273934963</v>
      </c>
      <c r="BS196" s="117">
        <f t="shared" si="161"/>
        <v>89.527259909606983</v>
      </c>
      <c r="BT196" s="176">
        <f t="shared" si="150"/>
        <v>740287.92642050295</v>
      </c>
      <c r="BU196" s="117">
        <f t="shared" si="162"/>
        <v>31191.553124621045</v>
      </c>
      <c r="BV196" s="139">
        <f t="shared" si="151"/>
        <v>-36221</v>
      </c>
    </row>
    <row r="197" spans="1:74" ht="12.75" customHeight="1">
      <c r="A197" s="22">
        <v>1999</v>
      </c>
      <c r="B197" s="4">
        <v>1</v>
      </c>
      <c r="C197" s="5">
        <v>760977</v>
      </c>
      <c r="D197" s="5">
        <v>137875</v>
      </c>
      <c r="E197" s="74">
        <f t="shared" si="114"/>
        <v>5519.3</v>
      </c>
      <c r="F197" s="13">
        <v>72254</v>
      </c>
      <c r="G197" s="13">
        <v>96090</v>
      </c>
      <c r="H197" s="13">
        <v>6153</v>
      </c>
      <c r="I197" s="13">
        <v>3354</v>
      </c>
      <c r="J197" s="574">
        <f>[5]CC!$E77</f>
        <v>138323</v>
      </c>
      <c r="K197" s="4">
        <f>'[7]COM 55 &amp; 65'!$S282</f>
        <v>107.7</v>
      </c>
      <c r="L197" s="4">
        <f t="shared" si="143"/>
        <v>70.8</v>
      </c>
      <c r="M197" s="135">
        <f t="shared" ref="M197:M202" si="166">(L197-K197)</f>
        <v>-36.900000000000006</v>
      </c>
      <c r="N197" s="4">
        <f>'[7]COM 55 &amp; 65'!$J282</f>
        <v>55.8</v>
      </c>
      <c r="O197" s="4">
        <f t="shared" si="141"/>
        <v>54.9</v>
      </c>
      <c r="P197" s="41">
        <f t="shared" ref="P197:P204" si="167">(O197-N197)</f>
        <v>-0.89999999999999858</v>
      </c>
      <c r="Q197" s="474">
        <f t="shared" si="117"/>
        <v>-25199.379000000004</v>
      </c>
      <c r="R197" s="472">
        <f t="shared" si="118"/>
        <v>-593.40599999999904</v>
      </c>
      <c r="S197" s="241">
        <f t="shared" si="119"/>
        <v>-25793</v>
      </c>
      <c r="T197" s="13" t="s">
        <v>18</v>
      </c>
      <c r="U197" s="4">
        <v>1999</v>
      </c>
      <c r="V197" s="4">
        <v>1</v>
      </c>
      <c r="W197" s="242">
        <f t="shared" si="120"/>
        <v>5332.2502266545789</v>
      </c>
      <c r="X197" s="131">
        <f t="shared" ref="X197:X202" si="168">W197-W185</f>
        <v>40.213238147971424</v>
      </c>
      <c r="Z197" s="175">
        <f t="shared" si="121"/>
        <v>735184</v>
      </c>
      <c r="AA197" s="12">
        <f t="shared" si="122"/>
        <v>-25793</v>
      </c>
      <c r="AB197" s="379">
        <f t="shared" si="129"/>
        <v>735184</v>
      </c>
      <c r="AC197" s="107">
        <f>RESID!AC197</f>
        <v>31.95</v>
      </c>
      <c r="AD197" s="243">
        <f t="shared" si="123"/>
        <v>724535.8</v>
      </c>
      <c r="AE197" s="243">
        <f t="shared" si="142"/>
        <v>46475</v>
      </c>
      <c r="AF197" s="4">
        <f t="shared" si="147"/>
        <v>-60999</v>
      </c>
      <c r="AG197" s="4">
        <f t="shared" si="124"/>
        <v>699978</v>
      </c>
      <c r="AJ197" s="269">
        <f t="shared" si="155"/>
        <v>682570</v>
      </c>
      <c r="AK197" s="269">
        <f t="shared" si="156"/>
        <v>38431</v>
      </c>
      <c r="AL197" s="276">
        <f t="shared" si="138"/>
        <v>17760.92217220473</v>
      </c>
      <c r="AM197" s="269">
        <f t="shared" si="157"/>
        <v>72254</v>
      </c>
      <c r="AN197" s="269">
        <f t="shared" si="158"/>
        <v>96090</v>
      </c>
      <c r="AO197" s="276">
        <f t="shared" si="139"/>
        <v>751.94088875013006</v>
      </c>
      <c r="AP197" s="269">
        <f t="shared" si="159"/>
        <v>6153</v>
      </c>
      <c r="AQ197" s="269">
        <f t="shared" si="160"/>
        <v>3354</v>
      </c>
      <c r="AR197" s="276">
        <f t="shared" si="140"/>
        <v>1834.5259391771021</v>
      </c>
      <c r="AX197" s="4">
        <v>1999</v>
      </c>
      <c r="AY197" s="4">
        <v>1</v>
      </c>
      <c r="AZ197" s="76">
        <f>'[8]COM 55 &amp; 65'!$S282</f>
        <v>100</v>
      </c>
      <c r="BA197" s="76">
        <f t="shared" si="145"/>
        <v>72.3</v>
      </c>
      <c r="BB197" s="362">
        <f t="shared" si="130"/>
        <v>-27.700000000000003</v>
      </c>
      <c r="BC197" s="362"/>
      <c r="BD197" s="76">
        <f>'[8]COM 55 &amp; 65'!$J282</f>
        <v>56.9</v>
      </c>
      <c r="BE197" s="76">
        <f t="shared" si="146"/>
        <v>52.4</v>
      </c>
      <c r="BF197" s="363">
        <f t="shared" si="131"/>
        <v>-4.5</v>
      </c>
      <c r="BG197" s="244"/>
      <c r="BH197" s="244">
        <f t="shared" si="125"/>
        <v>-18916.607</v>
      </c>
      <c r="BI197" s="242">
        <f t="shared" si="126"/>
        <v>-2967.03</v>
      </c>
      <c r="BJ197" s="242"/>
      <c r="BK197" s="241">
        <f t="shared" si="127"/>
        <v>-21884</v>
      </c>
      <c r="BL197" s="262"/>
      <c r="BM197" s="36" t="s">
        <v>18</v>
      </c>
      <c r="BN197" s="4">
        <v>1999</v>
      </c>
      <c r="BO197" s="4">
        <v>1</v>
      </c>
      <c r="BP197" s="108">
        <f>C197+[4]MWh!$AK31</f>
        <v>734149.18157498247</v>
      </c>
      <c r="BQ197" s="76">
        <f t="shared" si="148"/>
        <v>5324.7447439708612</v>
      </c>
      <c r="BR197" s="130">
        <f t="shared" si="149"/>
        <v>5166.0212625565364</v>
      </c>
      <c r="BS197" s="108">
        <f t="shared" si="161"/>
        <v>206.92118554769968</v>
      </c>
      <c r="BT197" s="175">
        <f t="shared" si="150"/>
        <v>712265.18157498247</v>
      </c>
      <c r="BU197" s="108">
        <f t="shared" si="162"/>
        <v>49952.570790067315</v>
      </c>
      <c r="BV197" s="137">
        <f t="shared" si="151"/>
        <v>-21884</v>
      </c>
    </row>
    <row r="198" spans="1:74" ht="12.75" customHeight="1">
      <c r="A198" s="22">
        <v>1999</v>
      </c>
      <c r="B198" s="4">
        <v>2</v>
      </c>
      <c r="C198" s="5">
        <v>714768</v>
      </c>
      <c r="D198" s="5">
        <v>138803</v>
      </c>
      <c r="E198" s="74">
        <f t="shared" si="114"/>
        <v>5149.5</v>
      </c>
      <c r="F198" s="13">
        <v>72292</v>
      </c>
      <c r="G198" s="13">
        <v>96860</v>
      </c>
      <c r="H198" s="13">
        <v>6190</v>
      </c>
      <c r="I198" s="13">
        <v>3329</v>
      </c>
      <c r="J198" s="574">
        <f>[5]CC!$E78</f>
        <v>138841</v>
      </c>
      <c r="K198" s="4">
        <f>'[7]COM 55 &amp; 65'!$S283</f>
        <v>119.6</v>
      </c>
      <c r="L198" s="4">
        <f t="shared" si="143"/>
        <v>62.7</v>
      </c>
      <c r="M198" s="135">
        <f t="shared" si="166"/>
        <v>-56.899999999999991</v>
      </c>
      <c r="N198" s="4">
        <f>'[7]COM 55 &amp; 65'!$J283</f>
        <v>25.5</v>
      </c>
      <c r="O198" s="4">
        <f t="shared" si="141"/>
        <v>46.9</v>
      </c>
      <c r="P198" s="41">
        <f t="shared" si="167"/>
        <v>21.4</v>
      </c>
      <c r="Q198" s="474">
        <f t="shared" si="117"/>
        <v>-38857.578999999991</v>
      </c>
      <c r="R198" s="472">
        <f t="shared" si="118"/>
        <v>14109.876</v>
      </c>
      <c r="S198" s="241">
        <f t="shared" si="119"/>
        <v>-24748</v>
      </c>
      <c r="T198" s="13" t="s">
        <v>18</v>
      </c>
      <c r="U198" s="4">
        <v>1999</v>
      </c>
      <c r="V198" s="4">
        <v>2</v>
      </c>
      <c r="W198" s="242">
        <f t="shared" si="120"/>
        <v>4971.218201335706</v>
      </c>
      <c r="X198" s="131">
        <f t="shared" si="168"/>
        <v>1.5045165987439759</v>
      </c>
      <c r="Z198" s="175">
        <f t="shared" si="121"/>
        <v>690020</v>
      </c>
      <c r="AA198" s="12">
        <f t="shared" si="122"/>
        <v>-24748</v>
      </c>
      <c r="AB198" s="379">
        <f t="shared" si="129"/>
        <v>690020</v>
      </c>
      <c r="AC198" s="107">
        <f>RESID!AC198</f>
        <v>29.55</v>
      </c>
      <c r="AD198" s="243">
        <f t="shared" si="123"/>
        <v>735811.9</v>
      </c>
      <c r="AE198" s="243">
        <f t="shared" si="142"/>
        <v>59086.5</v>
      </c>
      <c r="AF198" s="4">
        <f t="shared" si="147"/>
        <v>-4433</v>
      </c>
      <c r="AG198" s="4">
        <f t="shared" si="124"/>
        <v>710335</v>
      </c>
      <c r="AJ198" s="269">
        <f t="shared" si="155"/>
        <v>636286</v>
      </c>
      <c r="AK198" s="269">
        <f t="shared" si="156"/>
        <v>38614</v>
      </c>
      <c r="AL198" s="276">
        <f t="shared" si="138"/>
        <v>16478.116745221938</v>
      </c>
      <c r="AM198" s="269">
        <f t="shared" si="157"/>
        <v>72292</v>
      </c>
      <c r="AN198" s="269">
        <f t="shared" si="158"/>
        <v>96860</v>
      </c>
      <c r="AO198" s="276">
        <f t="shared" si="139"/>
        <v>746.35556473260374</v>
      </c>
      <c r="AP198" s="269">
        <f t="shared" si="159"/>
        <v>6190</v>
      </c>
      <c r="AQ198" s="269">
        <f t="shared" si="160"/>
        <v>3329</v>
      </c>
      <c r="AR198" s="276">
        <f t="shared" si="140"/>
        <v>1859.4172424151395</v>
      </c>
      <c r="AX198" s="4">
        <v>1999</v>
      </c>
      <c r="AY198" s="4">
        <v>2</v>
      </c>
      <c r="AZ198" s="76">
        <f>'[8]COM 55 &amp; 65'!$S283</f>
        <v>91.2</v>
      </c>
      <c r="BA198" s="76">
        <f t="shared" si="145"/>
        <v>82.6</v>
      </c>
      <c r="BB198" s="362">
        <f t="shared" si="130"/>
        <v>-8.6000000000000085</v>
      </c>
      <c r="BC198" s="362"/>
      <c r="BD198" s="76">
        <f>'[8]COM 55 &amp; 65'!$J283</f>
        <v>36.700000000000003</v>
      </c>
      <c r="BE198" s="76">
        <f t="shared" si="146"/>
        <v>36.5</v>
      </c>
      <c r="BF198" s="363">
        <f t="shared" si="131"/>
        <v>-0.20000000000000284</v>
      </c>
      <c r="BG198" s="244"/>
      <c r="BH198" s="244">
        <f t="shared" si="125"/>
        <v>-5873.0260000000053</v>
      </c>
      <c r="BI198" s="242">
        <f t="shared" si="126"/>
        <v>-131.86800000000187</v>
      </c>
      <c r="BJ198" s="242"/>
      <c r="BK198" s="241">
        <f t="shared" si="127"/>
        <v>-6005</v>
      </c>
      <c r="BL198" s="262"/>
      <c r="BM198" s="36" t="s">
        <v>18</v>
      </c>
      <c r="BN198" s="4">
        <v>1999</v>
      </c>
      <c r="BO198" s="4">
        <v>2</v>
      </c>
      <c r="BP198" s="108">
        <f>C198+[4]MWh!$AK32</f>
        <v>726892.8797161812</v>
      </c>
      <c r="BQ198" s="76">
        <f t="shared" si="148"/>
        <v>5236.8672126408019</v>
      </c>
      <c r="BR198" s="130">
        <f t="shared" si="149"/>
        <v>5193.6044589539215</v>
      </c>
      <c r="BS198" s="108">
        <f t="shared" si="161"/>
        <v>336.31470958930822</v>
      </c>
      <c r="BT198" s="175">
        <f t="shared" si="150"/>
        <v>720887.8797161812</v>
      </c>
      <c r="BU198" s="108">
        <f t="shared" si="162"/>
        <v>60447.049784824019</v>
      </c>
      <c r="BV198" s="137">
        <f t="shared" si="151"/>
        <v>-6005</v>
      </c>
    </row>
    <row r="199" spans="1:74" ht="12.75" customHeight="1">
      <c r="A199" s="22">
        <v>1999</v>
      </c>
      <c r="B199" s="4">
        <v>3</v>
      </c>
      <c r="C199" s="5">
        <v>702486</v>
      </c>
      <c r="D199" s="5">
        <v>137779</v>
      </c>
      <c r="E199" s="74">
        <f t="shared" si="114"/>
        <v>5098.6000000000004</v>
      </c>
      <c r="F199" s="13">
        <v>70948</v>
      </c>
      <c r="G199" s="13">
        <v>96048</v>
      </c>
      <c r="H199" s="13">
        <v>6158</v>
      </c>
      <c r="I199" s="13">
        <v>3327</v>
      </c>
      <c r="J199" s="574">
        <f>[5]CC!$E79</f>
        <v>139242</v>
      </c>
      <c r="K199" s="4">
        <f>'[7]COM 55 &amp; 65'!$S284</f>
        <v>76.2</v>
      </c>
      <c r="L199" s="4">
        <f t="shared" si="143"/>
        <v>105.4</v>
      </c>
      <c r="M199" s="135">
        <f t="shared" si="166"/>
        <v>29.200000000000003</v>
      </c>
      <c r="N199" s="4">
        <f>'[7]COM 55 &amp; 65'!$J284</f>
        <v>40.299999999999997</v>
      </c>
      <c r="O199" s="4">
        <f t="shared" si="141"/>
        <v>26.8</v>
      </c>
      <c r="P199" s="41">
        <f t="shared" si="167"/>
        <v>-13.499999999999996</v>
      </c>
      <c r="Q199" s="474">
        <f t="shared" si="117"/>
        <v>19940.972000000002</v>
      </c>
      <c r="R199" s="472">
        <f t="shared" si="118"/>
        <v>-8901.0899999999983</v>
      </c>
      <c r="S199" s="241">
        <f t="shared" si="119"/>
        <v>11040</v>
      </c>
      <c r="T199" s="13" t="s">
        <v>18</v>
      </c>
      <c r="U199" s="4">
        <v>1999</v>
      </c>
      <c r="V199" s="4">
        <v>3</v>
      </c>
      <c r="W199" s="242">
        <f t="shared" si="120"/>
        <v>5178.7718012178921</v>
      </c>
      <c r="X199" s="131">
        <f t="shared" si="168"/>
        <v>87.040148296878215</v>
      </c>
      <c r="Z199" s="175">
        <f t="shared" si="121"/>
        <v>713526</v>
      </c>
      <c r="AA199" s="12">
        <f t="shared" si="122"/>
        <v>11040</v>
      </c>
      <c r="AB199" s="379">
        <f t="shared" si="129"/>
        <v>713526</v>
      </c>
      <c r="AC199" s="107">
        <f>RESID!AC199</f>
        <v>29.4</v>
      </c>
      <c r="AD199" s="243">
        <f t="shared" si="123"/>
        <v>726858</v>
      </c>
      <c r="AE199" s="243">
        <f t="shared" si="142"/>
        <v>39100.699999999953</v>
      </c>
      <c r="AF199" s="4">
        <f t="shared" si="147"/>
        <v>35795</v>
      </c>
      <c r="AG199" s="4">
        <f t="shared" si="124"/>
        <v>738281</v>
      </c>
      <c r="AJ199" s="269">
        <f t="shared" si="155"/>
        <v>625380</v>
      </c>
      <c r="AK199" s="269">
        <f t="shared" si="156"/>
        <v>38404</v>
      </c>
      <c r="AL199" s="276">
        <f t="shared" si="138"/>
        <v>16284.24122487241</v>
      </c>
      <c r="AM199" s="269">
        <f t="shared" si="157"/>
        <v>70948</v>
      </c>
      <c r="AN199" s="269">
        <f t="shared" si="158"/>
        <v>96048</v>
      </c>
      <c r="AO199" s="276">
        <f t="shared" si="139"/>
        <v>738.67233050141601</v>
      </c>
      <c r="AP199" s="269">
        <f t="shared" si="159"/>
        <v>6158</v>
      </c>
      <c r="AQ199" s="269">
        <f t="shared" si="160"/>
        <v>3327</v>
      </c>
      <c r="AR199" s="276">
        <f t="shared" si="140"/>
        <v>1850.9167418094378</v>
      </c>
      <c r="AX199" s="4">
        <v>1999</v>
      </c>
      <c r="AY199" s="4">
        <v>3</v>
      </c>
      <c r="AZ199" s="76">
        <f>'[8]COM 55 &amp; 65'!$S284</f>
        <v>102.1</v>
      </c>
      <c r="BA199" s="76">
        <f t="shared" si="145"/>
        <v>140.4</v>
      </c>
      <c r="BB199" s="362">
        <f t="shared" si="130"/>
        <v>38.300000000000011</v>
      </c>
      <c r="BC199" s="362"/>
      <c r="BD199" s="76">
        <f>'[8]COM 55 &amp; 65'!$J284</f>
        <v>23.1</v>
      </c>
      <c r="BE199" s="76">
        <f t="shared" si="146"/>
        <v>15.1</v>
      </c>
      <c r="BF199" s="363">
        <f t="shared" si="131"/>
        <v>-8.0000000000000018</v>
      </c>
      <c r="BG199" s="244"/>
      <c r="BH199" s="244">
        <f t="shared" si="125"/>
        <v>26155.453000000005</v>
      </c>
      <c r="BI199" s="242">
        <f t="shared" si="126"/>
        <v>-5274.7200000000012</v>
      </c>
      <c r="BJ199" s="242"/>
      <c r="BK199" s="241">
        <f t="shared" si="127"/>
        <v>20881</v>
      </c>
      <c r="BL199" s="262"/>
      <c r="BM199" s="36" t="s">
        <v>18</v>
      </c>
      <c r="BN199" s="4">
        <v>1999</v>
      </c>
      <c r="BO199" s="4">
        <v>3</v>
      </c>
      <c r="BP199" s="108">
        <f>C199+[4]MWh!$AK33</f>
        <v>699867.62316978152</v>
      </c>
      <c r="BQ199" s="76">
        <f t="shared" si="148"/>
        <v>5079.6393003997819</v>
      </c>
      <c r="BR199" s="130">
        <f t="shared" si="149"/>
        <v>5231.1936011277594</v>
      </c>
      <c r="BS199" s="108">
        <f t="shared" si="161"/>
        <v>-182.05312071980461</v>
      </c>
      <c r="BT199" s="175">
        <f t="shared" si="150"/>
        <v>720748.62316978152</v>
      </c>
      <c r="BU199" s="108">
        <f t="shared" si="162"/>
        <v>-2558.5773100462975</v>
      </c>
      <c r="BV199" s="137">
        <f t="shared" si="151"/>
        <v>20881</v>
      </c>
    </row>
    <row r="200" spans="1:74" ht="12.75" customHeight="1">
      <c r="A200" s="22">
        <v>1999</v>
      </c>
      <c r="B200" s="4">
        <v>4</v>
      </c>
      <c r="C200" s="5">
        <v>808775</v>
      </c>
      <c r="D200" s="5">
        <v>139904</v>
      </c>
      <c r="E200" s="74">
        <f t="shared" si="114"/>
        <v>5780.9</v>
      </c>
      <c r="F200" s="13">
        <v>82026</v>
      </c>
      <c r="G200" s="13">
        <v>97585</v>
      </c>
      <c r="H200" s="13">
        <v>6317</v>
      </c>
      <c r="I200" s="13">
        <v>3347</v>
      </c>
      <c r="J200" s="574">
        <f>[5]CC!$E80</f>
        <v>139595</v>
      </c>
      <c r="K200" s="4">
        <f>'[7]COM 55 &amp; 65'!$S285</f>
        <v>192.8</v>
      </c>
      <c r="L200" s="4">
        <f t="shared" si="143"/>
        <v>178.4</v>
      </c>
      <c r="M200" s="135">
        <f t="shared" si="166"/>
        <v>-14.400000000000006</v>
      </c>
      <c r="N200" s="4">
        <f>'[7]COM 55 &amp; 65'!$J285</f>
        <v>12</v>
      </c>
      <c r="O200" s="4">
        <f t="shared" si="141"/>
        <v>9.5</v>
      </c>
      <c r="P200" s="41">
        <f t="shared" si="167"/>
        <v>-2.5</v>
      </c>
      <c r="Q200" s="474">
        <f t="shared" si="117"/>
        <v>-9833.9040000000041</v>
      </c>
      <c r="R200" s="472">
        <f t="shared" si="118"/>
        <v>-1648.3500000000001</v>
      </c>
      <c r="S200" s="241">
        <f t="shared" si="119"/>
        <v>-11482</v>
      </c>
      <c r="T200" s="13" t="s">
        <v>18</v>
      </c>
      <c r="U200" s="4">
        <v>1999</v>
      </c>
      <c r="V200" s="4">
        <v>4</v>
      </c>
      <c r="W200" s="242">
        <f t="shared" si="120"/>
        <v>5698.8577881976216</v>
      </c>
      <c r="X200" s="131">
        <f t="shared" si="168"/>
        <v>222.18506500498825</v>
      </c>
      <c r="Z200" s="175">
        <f t="shared" si="121"/>
        <v>797293</v>
      </c>
      <c r="AA200" s="12">
        <f t="shared" si="122"/>
        <v>-11482</v>
      </c>
      <c r="AB200" s="379">
        <f t="shared" si="129"/>
        <v>797293</v>
      </c>
      <c r="AC200" s="107">
        <f>RESID!AC200</f>
        <v>30.6</v>
      </c>
      <c r="AD200" s="243">
        <f t="shared" si="123"/>
        <v>804017.5</v>
      </c>
      <c r="AE200" s="243">
        <f t="shared" si="142"/>
        <v>44973.199999999953</v>
      </c>
      <c r="AF200" s="4">
        <f t="shared" si="147"/>
        <v>-16172</v>
      </c>
      <c r="AG200" s="4">
        <f t="shared" si="124"/>
        <v>792603</v>
      </c>
      <c r="AJ200" s="269">
        <f t="shared" si="155"/>
        <v>720432</v>
      </c>
      <c r="AK200" s="269">
        <f t="shared" si="156"/>
        <v>38972</v>
      </c>
      <c r="AL200" s="276">
        <f t="shared" si="138"/>
        <v>18485.887303705222</v>
      </c>
      <c r="AM200" s="269">
        <f t="shared" si="157"/>
        <v>82026</v>
      </c>
      <c r="AN200" s="269">
        <f t="shared" si="158"/>
        <v>97585</v>
      </c>
      <c r="AO200" s="276">
        <f t="shared" si="139"/>
        <v>840.55951222011583</v>
      </c>
      <c r="AP200" s="269">
        <f t="shared" si="159"/>
        <v>6317</v>
      </c>
      <c r="AQ200" s="269">
        <f t="shared" si="160"/>
        <v>3347</v>
      </c>
      <c r="AR200" s="276">
        <f t="shared" si="140"/>
        <v>1887.3618165521361</v>
      </c>
      <c r="AX200" s="4">
        <v>1999</v>
      </c>
      <c r="AY200" s="4">
        <v>4</v>
      </c>
      <c r="AZ200" s="76">
        <f>'[8]COM 55 &amp; 65'!$S285</f>
        <v>301.7</v>
      </c>
      <c r="BA200" s="76">
        <f t="shared" si="145"/>
        <v>227.4</v>
      </c>
      <c r="BB200" s="362">
        <f t="shared" si="130"/>
        <v>-74.299999999999983</v>
      </c>
      <c r="BC200" s="362"/>
      <c r="BD200" s="76">
        <f>'[8]COM 55 &amp; 65'!$J285</f>
        <v>2.6</v>
      </c>
      <c r="BE200" s="76">
        <f t="shared" si="146"/>
        <v>4.8</v>
      </c>
      <c r="BF200" s="363">
        <f t="shared" si="131"/>
        <v>2.1999999999999997</v>
      </c>
      <c r="BG200" s="244"/>
      <c r="BH200" s="244">
        <f t="shared" si="125"/>
        <v>-50740.212999999989</v>
      </c>
      <c r="BI200" s="242">
        <f t="shared" si="126"/>
        <v>1450.548</v>
      </c>
      <c r="BJ200" s="242"/>
      <c r="BK200" s="241">
        <f t="shared" si="127"/>
        <v>-49290</v>
      </c>
      <c r="BL200" s="262"/>
      <c r="BM200" s="36" t="s">
        <v>18</v>
      </c>
      <c r="BN200" s="4">
        <v>1999</v>
      </c>
      <c r="BO200" s="4">
        <v>4</v>
      </c>
      <c r="BP200" s="108">
        <f>C200+[4]MWh!$AK34</f>
        <v>880497.10174678126</v>
      </c>
      <c r="BQ200" s="76">
        <f t="shared" si="148"/>
        <v>6293.5806106099981</v>
      </c>
      <c r="BR200" s="130">
        <f t="shared" si="149"/>
        <v>5941.2675959713897</v>
      </c>
      <c r="BS200" s="108">
        <f t="shared" si="161"/>
        <v>343.18857984025544</v>
      </c>
      <c r="BT200" s="175">
        <f t="shared" si="150"/>
        <v>831207.10174678126</v>
      </c>
      <c r="BU200" s="108">
        <f t="shared" si="162"/>
        <v>57871.672221377958</v>
      </c>
      <c r="BV200" s="137">
        <f t="shared" si="151"/>
        <v>-49290</v>
      </c>
    </row>
    <row r="201" spans="1:74" ht="12.75" customHeight="1">
      <c r="A201" s="22">
        <v>1999</v>
      </c>
      <c r="B201" s="4">
        <v>5</v>
      </c>
      <c r="C201" s="5">
        <v>842200</v>
      </c>
      <c r="D201" s="5">
        <v>143127</v>
      </c>
      <c r="E201" s="74">
        <f t="shared" si="114"/>
        <v>5884.3</v>
      </c>
      <c r="F201" s="13">
        <v>88106</v>
      </c>
      <c r="G201" s="13">
        <v>100164</v>
      </c>
      <c r="H201" s="13">
        <v>6464</v>
      </c>
      <c r="I201" s="13">
        <v>3355</v>
      </c>
      <c r="J201" s="574">
        <f>[5]CC!$E81</f>
        <v>139901</v>
      </c>
      <c r="K201" s="4">
        <f>'[7]COM 55 &amp; 65'!$S286</f>
        <v>290.2</v>
      </c>
      <c r="L201" s="4">
        <f t="shared" si="143"/>
        <v>273.89999999999998</v>
      </c>
      <c r="M201" s="135">
        <f t="shared" si="166"/>
        <v>-16.300000000000011</v>
      </c>
      <c r="N201" s="4">
        <f>'[7]COM 55 &amp; 65'!$J286</f>
        <v>2.2000000000000002</v>
      </c>
      <c r="O201" s="4">
        <f t="shared" si="141"/>
        <v>2</v>
      </c>
      <c r="P201" s="41">
        <f t="shared" si="167"/>
        <v>-0.20000000000000018</v>
      </c>
      <c r="Q201" s="474">
        <f t="shared" si="117"/>
        <v>-11131.433000000006</v>
      </c>
      <c r="R201" s="472">
        <f t="shared" si="118"/>
        <v>-131.86800000000014</v>
      </c>
      <c r="S201" s="241">
        <f t="shared" si="119"/>
        <v>-11263</v>
      </c>
      <c r="T201" s="13" t="s">
        <v>18</v>
      </c>
      <c r="U201" s="4">
        <v>1999</v>
      </c>
      <c r="V201" s="4">
        <v>5</v>
      </c>
      <c r="W201" s="242">
        <f t="shared" si="120"/>
        <v>5805.5922362656938</v>
      </c>
      <c r="X201" s="131">
        <f t="shared" si="168"/>
        <v>-150.44716852086367</v>
      </c>
      <c r="Z201" s="175">
        <f t="shared" si="121"/>
        <v>830937</v>
      </c>
      <c r="AA201" s="12">
        <f t="shared" si="122"/>
        <v>-11263</v>
      </c>
      <c r="AB201" s="379">
        <f t="shared" si="129"/>
        <v>830937</v>
      </c>
      <c r="AC201" s="107">
        <f>RESID!AC201</f>
        <v>29.6</v>
      </c>
      <c r="AD201" s="243">
        <f t="shared" si="123"/>
        <v>865531.2</v>
      </c>
      <c r="AE201" s="243">
        <f t="shared" si="142"/>
        <v>47938.79999999993</v>
      </c>
      <c r="AF201" s="4">
        <f t="shared" si="147"/>
        <v>11756</v>
      </c>
      <c r="AG201" s="4">
        <f t="shared" si="124"/>
        <v>853956</v>
      </c>
      <c r="AJ201" s="269">
        <f t="shared" si="155"/>
        <v>747630</v>
      </c>
      <c r="AK201" s="269">
        <f t="shared" si="156"/>
        <v>39608</v>
      </c>
      <c r="AL201" s="276">
        <f t="shared" si="138"/>
        <v>18875.732175318117</v>
      </c>
      <c r="AM201" s="269">
        <f t="shared" si="157"/>
        <v>88106</v>
      </c>
      <c r="AN201" s="269">
        <f t="shared" si="158"/>
        <v>100164</v>
      </c>
      <c r="AO201" s="276">
        <f t="shared" si="139"/>
        <v>879.61742741903277</v>
      </c>
      <c r="AP201" s="269">
        <f t="shared" si="159"/>
        <v>6464</v>
      </c>
      <c r="AQ201" s="269">
        <f t="shared" si="160"/>
        <v>3355</v>
      </c>
      <c r="AR201" s="276">
        <f t="shared" si="140"/>
        <v>1926.6766020864382</v>
      </c>
      <c r="AX201" s="4">
        <v>1999</v>
      </c>
      <c r="AY201" s="4">
        <v>5</v>
      </c>
      <c r="AZ201" s="76">
        <f>'[8]COM 55 &amp; 65'!$S286</f>
        <v>362</v>
      </c>
      <c r="BA201" s="76">
        <f t="shared" si="145"/>
        <v>395.2</v>
      </c>
      <c r="BB201" s="362">
        <f t="shared" si="130"/>
        <v>33.199999999999989</v>
      </c>
      <c r="BC201" s="362"/>
      <c r="BD201" s="76">
        <f>'[8]COM 55 &amp; 65'!$J286</f>
        <v>0.4</v>
      </c>
      <c r="BE201" s="76">
        <f t="shared" si="146"/>
        <v>0.2</v>
      </c>
      <c r="BF201" s="363">
        <f t="shared" si="131"/>
        <v>-0.2</v>
      </c>
      <c r="BG201" s="244"/>
      <c r="BH201" s="244">
        <f t="shared" si="125"/>
        <v>22672.61199999999</v>
      </c>
      <c r="BI201" s="242">
        <f t="shared" si="126"/>
        <v>-131.86800000000002</v>
      </c>
      <c r="BJ201" s="242"/>
      <c r="BK201" s="241">
        <f t="shared" si="127"/>
        <v>22541</v>
      </c>
      <c r="BL201" s="262"/>
      <c r="BM201" s="36" t="s">
        <v>18</v>
      </c>
      <c r="BN201" s="4">
        <v>1999</v>
      </c>
      <c r="BO201" s="4">
        <v>5</v>
      </c>
      <c r="BP201" s="108">
        <f>C201+[4]MWh!$AK35</f>
        <v>905765.84597934259</v>
      </c>
      <c r="BQ201" s="76">
        <f t="shared" si="148"/>
        <v>6328.4065618600453</v>
      </c>
      <c r="BR201" s="130">
        <f t="shared" si="149"/>
        <v>6485.8960641901431</v>
      </c>
      <c r="BS201" s="108">
        <f t="shared" si="161"/>
        <v>-523.78986718237047</v>
      </c>
      <c r="BT201" s="175">
        <f t="shared" si="150"/>
        <v>928306.84597934259</v>
      </c>
      <c r="BU201" s="108">
        <f t="shared" si="162"/>
        <v>-19486.808173397672</v>
      </c>
      <c r="BV201" s="137">
        <f t="shared" si="151"/>
        <v>22541</v>
      </c>
    </row>
    <row r="202" spans="1:74" ht="12.75" customHeight="1">
      <c r="A202" s="22">
        <v>1999</v>
      </c>
      <c r="B202" s="4">
        <v>6</v>
      </c>
      <c r="C202" s="5">
        <v>894314</v>
      </c>
      <c r="D202" s="5">
        <v>136717</v>
      </c>
      <c r="E202" s="74">
        <f t="shared" si="114"/>
        <v>6541.4</v>
      </c>
      <c r="F202" s="13">
        <v>96329</v>
      </c>
      <c r="G202" s="13">
        <v>95199</v>
      </c>
      <c r="H202" s="13">
        <v>6313</v>
      </c>
      <c r="I202" s="13">
        <v>3381</v>
      </c>
      <c r="J202" s="574">
        <f>[5]CC!$E82</f>
        <v>140066</v>
      </c>
      <c r="K202" s="4">
        <f>'[7]COM 55 &amp; 65'!$S287</f>
        <v>420.1</v>
      </c>
      <c r="L202" s="4">
        <f t="shared" si="143"/>
        <v>442.7</v>
      </c>
      <c r="M202" s="135">
        <f t="shared" si="166"/>
        <v>22.599999999999966</v>
      </c>
      <c r="N202" s="4">
        <f>'[7]COM 55 &amp; 65'!$J287</f>
        <v>0.1</v>
      </c>
      <c r="O202" s="4">
        <f t="shared" si="141"/>
        <v>0.1</v>
      </c>
      <c r="P202" s="41">
        <f t="shared" si="167"/>
        <v>0</v>
      </c>
      <c r="Q202" s="474">
        <f t="shared" si="117"/>
        <v>15433.765999999976</v>
      </c>
      <c r="R202" s="472">
        <f t="shared" si="118"/>
        <v>0</v>
      </c>
      <c r="S202" s="241">
        <f t="shared" si="119"/>
        <v>15434</v>
      </c>
      <c r="T202" s="13" t="s">
        <v>18</v>
      </c>
      <c r="U202" s="4">
        <v>1999</v>
      </c>
      <c r="V202" s="4">
        <v>6</v>
      </c>
      <c r="W202" s="242">
        <f t="shared" si="120"/>
        <v>6654.2419742972716</v>
      </c>
      <c r="X202" s="131">
        <f t="shared" si="168"/>
        <v>81.570928180030933</v>
      </c>
      <c r="Z202" s="175">
        <f t="shared" si="121"/>
        <v>909748</v>
      </c>
      <c r="AA202" s="12">
        <f t="shared" si="122"/>
        <v>15434</v>
      </c>
      <c r="AB202" s="379">
        <f t="shared" si="129"/>
        <v>909748</v>
      </c>
      <c r="AC202" s="107">
        <f>RESID!AC202</f>
        <v>30.6</v>
      </c>
      <c r="AD202" s="243">
        <f t="shared" si="123"/>
        <v>889053.3</v>
      </c>
      <c r="AE202" s="243">
        <f t="shared" si="142"/>
        <v>-36429.099999999977</v>
      </c>
      <c r="AF202" s="4">
        <f t="shared" si="147"/>
        <v>10083</v>
      </c>
      <c r="AG202" s="4">
        <f t="shared" si="124"/>
        <v>904397</v>
      </c>
      <c r="AJ202" s="269">
        <f t="shared" si="155"/>
        <v>791672</v>
      </c>
      <c r="AK202" s="269">
        <f t="shared" si="156"/>
        <v>38137</v>
      </c>
      <c r="AL202" s="276">
        <f t="shared" si="138"/>
        <v>20758.633348192045</v>
      </c>
      <c r="AM202" s="269">
        <f t="shared" si="157"/>
        <v>96329</v>
      </c>
      <c r="AN202" s="269">
        <f t="shared" si="158"/>
        <v>95199</v>
      </c>
      <c r="AO202" s="276">
        <f t="shared" si="139"/>
        <v>1011.8698725826952</v>
      </c>
      <c r="AP202" s="269">
        <f t="shared" si="159"/>
        <v>6313</v>
      </c>
      <c r="AQ202" s="269">
        <f t="shared" si="160"/>
        <v>3381</v>
      </c>
      <c r="AR202" s="276">
        <f t="shared" si="140"/>
        <v>1867.1990535344573</v>
      </c>
      <c r="AX202" s="4">
        <v>1999</v>
      </c>
      <c r="AY202" s="4">
        <v>6</v>
      </c>
      <c r="AZ202" s="76">
        <f>'[8]COM 55 &amp; 65'!$S287</f>
        <v>466.2</v>
      </c>
      <c r="BA202" s="76">
        <f t="shared" si="145"/>
        <v>485.1</v>
      </c>
      <c r="BB202" s="362">
        <f t="shared" si="130"/>
        <v>18.900000000000034</v>
      </c>
      <c r="BC202" s="362"/>
      <c r="BD202" s="76">
        <f>'[8]COM 55 &amp; 65'!$J287</f>
        <v>0</v>
      </c>
      <c r="BE202" s="76">
        <f t="shared" si="146"/>
        <v>0</v>
      </c>
      <c r="BF202" s="363">
        <f t="shared" si="131"/>
        <v>0</v>
      </c>
      <c r="BG202" s="244"/>
      <c r="BH202" s="244">
        <f t="shared" si="125"/>
        <v>12906.999000000023</v>
      </c>
      <c r="BI202" s="242">
        <f t="shared" si="126"/>
        <v>0</v>
      </c>
      <c r="BJ202" s="242"/>
      <c r="BK202" s="241">
        <f t="shared" si="127"/>
        <v>12907</v>
      </c>
      <c r="BL202" s="262"/>
      <c r="BM202" s="36" t="s">
        <v>18</v>
      </c>
      <c r="BN202" s="4">
        <v>1999</v>
      </c>
      <c r="BO202" s="4">
        <v>6</v>
      </c>
      <c r="BP202" s="108">
        <f>C202+[4]MWh!$AK36</f>
        <v>905604.02644068259</v>
      </c>
      <c r="BQ202" s="76">
        <f t="shared" si="148"/>
        <v>6623.9313797163677</v>
      </c>
      <c r="BR202" s="130">
        <f t="shared" si="149"/>
        <v>6718.3380738363385</v>
      </c>
      <c r="BS202" s="108">
        <f t="shared" si="161"/>
        <v>95.199589261211258</v>
      </c>
      <c r="BT202" s="175">
        <f t="shared" si="150"/>
        <v>918511.02644068259</v>
      </c>
      <c r="BU202" s="108">
        <f t="shared" si="162"/>
        <v>22208.318461615127</v>
      </c>
      <c r="BV202" s="137">
        <f t="shared" si="151"/>
        <v>12907</v>
      </c>
    </row>
    <row r="203" spans="1:74" ht="12.75" customHeight="1">
      <c r="A203" s="22">
        <v>1999</v>
      </c>
      <c r="B203" s="4">
        <v>7</v>
      </c>
      <c r="C203" s="5">
        <v>966290</v>
      </c>
      <c r="D203" s="5">
        <v>139628</v>
      </c>
      <c r="E203" s="74">
        <f t="shared" si="114"/>
        <v>6920.5</v>
      </c>
      <c r="F203" s="13">
        <v>95950</v>
      </c>
      <c r="G203" s="13">
        <v>97331</v>
      </c>
      <c r="H203" s="13">
        <v>6589</v>
      </c>
      <c r="I203" s="13">
        <v>3412</v>
      </c>
      <c r="J203" s="574">
        <f>[5]CC!$E83</f>
        <v>140538</v>
      </c>
      <c r="K203" s="4">
        <f>'[7]COM 55 &amp; 65'!$S288</f>
        <v>494.9</v>
      </c>
      <c r="L203" s="4">
        <f t="shared" si="143"/>
        <v>516.1</v>
      </c>
      <c r="M203" s="135">
        <f t="shared" ref="M203:M208" si="169">(L203-K203)</f>
        <v>21.200000000000045</v>
      </c>
      <c r="N203" s="4">
        <f>'[7]COM 55 &amp; 65'!$J288</f>
        <v>0</v>
      </c>
      <c r="O203" s="4">
        <f t="shared" si="141"/>
        <v>0</v>
      </c>
      <c r="P203" s="41">
        <f t="shared" si="167"/>
        <v>0</v>
      </c>
      <c r="Q203" s="474">
        <f t="shared" si="117"/>
        <v>14477.69200000003</v>
      </c>
      <c r="R203" s="472">
        <f t="shared" si="118"/>
        <v>0</v>
      </c>
      <c r="S203" s="241">
        <f t="shared" si="119"/>
        <v>14478</v>
      </c>
      <c r="T203" s="13" t="s">
        <v>18</v>
      </c>
      <c r="U203" s="4">
        <v>1999</v>
      </c>
      <c r="V203" s="4">
        <v>7</v>
      </c>
      <c r="W203" s="242">
        <f t="shared" si="120"/>
        <v>7024.1498839774258</v>
      </c>
      <c r="X203" s="131">
        <f t="shared" ref="X203:X208" si="170">W203-W191</f>
        <v>305.86617767078678</v>
      </c>
      <c r="Z203" s="175">
        <f t="shared" si="121"/>
        <v>980768</v>
      </c>
      <c r="AA203" s="12">
        <f t="shared" si="122"/>
        <v>14478</v>
      </c>
      <c r="AB203" s="379">
        <f t="shared" si="129"/>
        <v>980768</v>
      </c>
      <c r="AC203" s="107">
        <f>RESID!AC203</f>
        <v>30.65</v>
      </c>
      <c r="AD203" s="243">
        <f t="shared" si="123"/>
        <v>959038.9</v>
      </c>
      <c r="AE203" s="243">
        <f t="shared" si="142"/>
        <v>-25834.5</v>
      </c>
      <c r="AF203" s="4">
        <f t="shared" si="147"/>
        <v>7118</v>
      </c>
      <c r="AG203" s="4">
        <f t="shared" si="124"/>
        <v>973408</v>
      </c>
      <c r="AH203" s="23"/>
      <c r="AJ203" s="269">
        <f t="shared" si="155"/>
        <v>863751</v>
      </c>
      <c r="AK203" s="269">
        <f t="shared" si="156"/>
        <v>38885</v>
      </c>
      <c r="AL203" s="276">
        <f t="shared" si="138"/>
        <v>22212.961296129612</v>
      </c>
      <c r="AM203" s="269">
        <f t="shared" si="157"/>
        <v>95950</v>
      </c>
      <c r="AN203" s="269">
        <f t="shared" si="158"/>
        <v>97331</v>
      </c>
      <c r="AO203" s="276">
        <f t="shared" si="139"/>
        <v>985.81130369563652</v>
      </c>
      <c r="AP203" s="269">
        <f t="shared" si="159"/>
        <v>6589</v>
      </c>
      <c r="AQ203" s="269">
        <f t="shared" si="160"/>
        <v>3412</v>
      </c>
      <c r="AR203" s="276">
        <f t="shared" si="140"/>
        <v>1931.1254396248535</v>
      </c>
      <c r="AX203" s="4">
        <v>1999</v>
      </c>
      <c r="AY203" s="4">
        <v>7</v>
      </c>
      <c r="AZ203" s="76">
        <f>'[8]COM 55 &amp; 65'!$S288</f>
        <v>564.29999999999995</v>
      </c>
      <c r="BA203" s="76">
        <f t="shared" si="145"/>
        <v>546.1</v>
      </c>
      <c r="BB203" s="362">
        <f t="shared" si="130"/>
        <v>-18.199999999999932</v>
      </c>
      <c r="BC203" s="362"/>
      <c r="BD203" s="76">
        <f>'[8]COM 55 &amp; 65'!$J288</f>
        <v>0</v>
      </c>
      <c r="BE203" s="76">
        <f t="shared" si="146"/>
        <v>0</v>
      </c>
      <c r="BF203" s="363">
        <f t="shared" si="131"/>
        <v>0</v>
      </c>
      <c r="BG203" s="244"/>
      <c r="BH203" s="244">
        <f t="shared" si="125"/>
        <v>-12428.961999999952</v>
      </c>
      <c r="BI203" s="242">
        <f t="shared" si="126"/>
        <v>0</v>
      </c>
      <c r="BJ203" s="242"/>
      <c r="BK203" s="241">
        <f t="shared" si="127"/>
        <v>-12429</v>
      </c>
      <c r="BL203" s="262"/>
      <c r="BM203" s="36" t="s">
        <v>18</v>
      </c>
      <c r="BN203" s="4">
        <v>1999</v>
      </c>
      <c r="BO203" s="4">
        <v>7</v>
      </c>
      <c r="BP203" s="108">
        <f>C203+[4]MWh!$AK37</f>
        <v>1055350.449339381</v>
      </c>
      <c r="BQ203" s="76">
        <f t="shared" si="148"/>
        <v>7558.3009807444141</v>
      </c>
      <c r="BR203" s="130">
        <f t="shared" si="149"/>
        <v>7469.2858834859844</v>
      </c>
      <c r="BS203" s="108">
        <f t="shared" si="161"/>
        <v>1003.3249314250197</v>
      </c>
      <c r="BT203" s="175">
        <f t="shared" si="150"/>
        <v>1042921.449339381</v>
      </c>
      <c r="BU203" s="108">
        <f t="shared" si="162"/>
        <v>168885.17764453997</v>
      </c>
      <c r="BV203" s="137">
        <f t="shared" si="151"/>
        <v>-12429</v>
      </c>
    </row>
    <row r="204" spans="1:74" ht="12.75" customHeight="1">
      <c r="A204" s="22">
        <v>1999</v>
      </c>
      <c r="B204" s="4">
        <v>8</v>
      </c>
      <c r="C204" s="5">
        <v>1056460</v>
      </c>
      <c r="D204" s="5">
        <v>142415</v>
      </c>
      <c r="E204" s="74">
        <f t="shared" si="114"/>
        <v>7418.2</v>
      </c>
      <c r="F204" s="13">
        <v>115132</v>
      </c>
      <c r="G204" s="13">
        <v>99393</v>
      </c>
      <c r="H204" s="13">
        <v>6649</v>
      </c>
      <c r="I204" s="13">
        <v>3437</v>
      </c>
      <c r="J204" s="574">
        <f>[5]CC!$E84</f>
        <v>140954</v>
      </c>
      <c r="K204" s="4">
        <f>'[7]COM 55 &amp; 65'!$S289</f>
        <v>583.70000000000005</v>
      </c>
      <c r="L204" s="4">
        <f t="shared" si="143"/>
        <v>542</v>
      </c>
      <c r="M204" s="135">
        <f t="shared" si="169"/>
        <v>-41.700000000000045</v>
      </c>
      <c r="N204" s="4">
        <f>'[7]COM 55 &amp; 65'!$J289</f>
        <v>0</v>
      </c>
      <c r="O204" s="4">
        <f t="shared" si="141"/>
        <v>0</v>
      </c>
      <c r="P204" s="41">
        <f t="shared" si="167"/>
        <v>0</v>
      </c>
      <c r="Q204" s="474">
        <f t="shared" si="117"/>
        <v>-28477.347000000031</v>
      </c>
      <c r="R204" s="472">
        <f t="shared" si="118"/>
        <v>0</v>
      </c>
      <c r="S204" s="241">
        <f t="shared" si="119"/>
        <v>-28477</v>
      </c>
      <c r="T204" s="13" t="s">
        <v>18</v>
      </c>
      <c r="U204" s="4">
        <v>1999</v>
      </c>
      <c r="V204" s="4">
        <v>8</v>
      </c>
      <c r="W204" s="242">
        <f t="shared" si="120"/>
        <v>7218.2213952182001</v>
      </c>
      <c r="X204" s="131">
        <f t="shared" si="170"/>
        <v>198.71159758159956</v>
      </c>
      <c r="Z204" s="175">
        <f t="shared" si="121"/>
        <v>1027983</v>
      </c>
      <c r="AA204" s="12">
        <f t="shared" si="122"/>
        <v>-28477</v>
      </c>
      <c r="AB204" s="379">
        <f t="shared" si="129"/>
        <v>1027983</v>
      </c>
      <c r="AC204" s="107">
        <f>RESID!AC204</f>
        <v>31.15</v>
      </c>
      <c r="AD204" s="243">
        <f t="shared" si="123"/>
        <v>1031701.9</v>
      </c>
      <c r="AE204" s="243">
        <f t="shared" si="142"/>
        <v>37880.5</v>
      </c>
      <c r="AF204" s="4">
        <f t="shared" si="147"/>
        <v>-52568</v>
      </c>
      <c r="AG204" s="4">
        <f t="shared" si="124"/>
        <v>1003892</v>
      </c>
      <c r="AH204" s="23"/>
      <c r="AJ204" s="269">
        <f t="shared" si="155"/>
        <v>934679</v>
      </c>
      <c r="AK204" s="269">
        <f t="shared" si="156"/>
        <v>39585</v>
      </c>
      <c r="AL204" s="276">
        <f t="shared" si="138"/>
        <v>23611.948970569661</v>
      </c>
      <c r="AM204" s="269">
        <f t="shared" si="157"/>
        <v>115132</v>
      </c>
      <c r="AN204" s="269">
        <f t="shared" si="158"/>
        <v>99393</v>
      </c>
      <c r="AO204" s="276">
        <f t="shared" si="139"/>
        <v>1158.3511917338242</v>
      </c>
      <c r="AP204" s="269">
        <f t="shared" si="159"/>
        <v>6649</v>
      </c>
      <c r="AQ204" s="269">
        <f t="shared" si="160"/>
        <v>3437</v>
      </c>
      <c r="AR204" s="276">
        <f t="shared" si="140"/>
        <v>1934.5359324992726</v>
      </c>
      <c r="AX204" s="4">
        <v>1999</v>
      </c>
      <c r="AY204" s="4">
        <v>8</v>
      </c>
      <c r="AZ204" s="76">
        <f>'[8]COM 55 &amp; 65'!$S289</f>
        <v>568.6</v>
      </c>
      <c r="BA204" s="76">
        <f t="shared" si="145"/>
        <v>549</v>
      </c>
      <c r="BB204" s="362">
        <f t="shared" si="130"/>
        <v>-19.600000000000023</v>
      </c>
      <c r="BC204" s="362"/>
      <c r="BD204" s="76">
        <f>'[8]COM 55 &amp; 65'!$J289</f>
        <v>0</v>
      </c>
      <c r="BE204" s="76">
        <f t="shared" si="146"/>
        <v>0</v>
      </c>
      <c r="BF204" s="363">
        <f t="shared" si="131"/>
        <v>0</v>
      </c>
      <c r="BG204" s="244"/>
      <c r="BH204" s="244">
        <f t="shared" si="125"/>
        <v>-13385.036000000015</v>
      </c>
      <c r="BI204" s="242">
        <f t="shared" si="126"/>
        <v>0</v>
      </c>
      <c r="BJ204" s="242"/>
      <c r="BK204" s="241">
        <f t="shared" si="127"/>
        <v>-13385</v>
      </c>
      <c r="BL204" s="262"/>
      <c r="BM204" s="36" t="s">
        <v>18</v>
      </c>
      <c r="BN204" s="4">
        <v>1999</v>
      </c>
      <c r="BO204" s="4">
        <v>8</v>
      </c>
      <c r="BP204" s="108">
        <f>C204+[4]MWh!$AK38</f>
        <v>992409.43365079316</v>
      </c>
      <c r="BQ204" s="76">
        <f t="shared" si="148"/>
        <v>6968.4333367327399</v>
      </c>
      <c r="BR204" s="130">
        <f t="shared" si="149"/>
        <v>6874.4474504145855</v>
      </c>
      <c r="BS204" s="108">
        <f t="shared" si="161"/>
        <v>-594.97723901371046</v>
      </c>
      <c r="BT204" s="175">
        <f t="shared" si="150"/>
        <v>979024.43365079316</v>
      </c>
      <c r="BU204" s="108">
        <f t="shared" si="162"/>
        <v>-69615.567922734772</v>
      </c>
      <c r="BV204" s="137">
        <f t="shared" si="151"/>
        <v>-13385</v>
      </c>
    </row>
    <row r="205" spans="1:74" ht="12.75" customHeight="1">
      <c r="A205" s="22">
        <v>1999</v>
      </c>
      <c r="B205" s="4">
        <v>9</v>
      </c>
      <c r="C205" s="5">
        <v>1023261</v>
      </c>
      <c r="D205" s="5">
        <v>141592</v>
      </c>
      <c r="E205" s="74">
        <f t="shared" si="114"/>
        <v>7226.8</v>
      </c>
      <c r="F205" s="13">
        <v>105209</v>
      </c>
      <c r="G205" s="13">
        <v>98469</v>
      </c>
      <c r="H205" s="13">
        <v>6635</v>
      </c>
      <c r="I205" s="13">
        <v>3471</v>
      </c>
      <c r="J205" s="574">
        <f>[5]CC!$E85</f>
        <v>141045</v>
      </c>
      <c r="K205" s="4">
        <f>'[7]COM 55 &amp; 65'!$S290</f>
        <v>525.29999999999995</v>
      </c>
      <c r="L205" s="4">
        <f t="shared" si="143"/>
        <v>531.20000000000005</v>
      </c>
      <c r="M205" s="135">
        <f t="shared" si="169"/>
        <v>5.9000000000000909</v>
      </c>
      <c r="N205" s="4">
        <f>'[7]COM 55 &amp; 65'!$J290</f>
        <v>0</v>
      </c>
      <c r="O205" s="4">
        <f t="shared" si="141"/>
        <v>0</v>
      </c>
      <c r="P205" s="41">
        <f t="shared" ref="P205:P210" si="171">(O205-N205)</f>
        <v>0</v>
      </c>
      <c r="Q205" s="474">
        <f t="shared" si="117"/>
        <v>4029.1690000000617</v>
      </c>
      <c r="R205" s="472">
        <f t="shared" si="118"/>
        <v>0</v>
      </c>
      <c r="S205" s="241">
        <f t="shared" si="119"/>
        <v>4029</v>
      </c>
      <c r="T205" s="13" t="s">
        <v>18</v>
      </c>
      <c r="U205" s="4">
        <v>1999</v>
      </c>
      <c r="V205" s="4">
        <v>9</v>
      </c>
      <c r="W205" s="242">
        <f t="shared" si="120"/>
        <v>7255.2827843380974</v>
      </c>
      <c r="X205" s="131">
        <f t="shared" si="170"/>
        <v>313.55408921429444</v>
      </c>
      <c r="Z205" s="175">
        <f t="shared" si="121"/>
        <v>1027290</v>
      </c>
      <c r="AA205" s="12">
        <f t="shared" si="122"/>
        <v>4029</v>
      </c>
      <c r="AB205" s="379">
        <f t="shared" si="129"/>
        <v>1027290</v>
      </c>
      <c r="AC205" s="107">
        <f>RESID!AC205</f>
        <v>30.3</v>
      </c>
      <c r="AD205" s="243">
        <f t="shared" si="123"/>
        <v>1027313.5</v>
      </c>
      <c r="AE205" s="243">
        <f t="shared" si="142"/>
        <v>99301.400000000023</v>
      </c>
      <c r="AF205" s="4">
        <f t="shared" ref="AF205:AF236" si="172">AG205-C205</f>
        <v>8097</v>
      </c>
      <c r="AG205" s="4">
        <f t="shared" si="124"/>
        <v>1031358</v>
      </c>
      <c r="AH205" s="23"/>
      <c r="AJ205" s="269">
        <f t="shared" si="155"/>
        <v>911417</v>
      </c>
      <c r="AK205" s="269">
        <f t="shared" si="156"/>
        <v>39652</v>
      </c>
      <c r="AL205" s="276">
        <f t="shared" si="138"/>
        <v>22985.397962271767</v>
      </c>
      <c r="AM205" s="269">
        <f t="shared" si="157"/>
        <v>105209</v>
      </c>
      <c r="AN205" s="269">
        <f t="shared" si="158"/>
        <v>98469</v>
      </c>
      <c r="AO205" s="276">
        <f t="shared" si="139"/>
        <v>1068.4479379297038</v>
      </c>
      <c r="AP205" s="269">
        <f t="shared" si="159"/>
        <v>6635</v>
      </c>
      <c r="AQ205" s="269">
        <f t="shared" si="160"/>
        <v>3471</v>
      </c>
      <c r="AR205" s="276">
        <f t="shared" si="140"/>
        <v>1911.5528666090465</v>
      </c>
      <c r="AX205" s="4">
        <v>1999</v>
      </c>
      <c r="AY205" s="4">
        <v>9</v>
      </c>
      <c r="AZ205" s="76">
        <f>'[8]COM 55 &amp; 65'!$S290</f>
        <v>453.6</v>
      </c>
      <c r="BA205" s="76">
        <f t="shared" si="145"/>
        <v>487.9</v>
      </c>
      <c r="BB205" s="362">
        <f t="shared" si="130"/>
        <v>34.299999999999955</v>
      </c>
      <c r="BC205" s="362"/>
      <c r="BD205" s="76">
        <f>'[8]COM 55 &amp; 65'!$J290</f>
        <v>0</v>
      </c>
      <c r="BE205" s="76">
        <f t="shared" si="146"/>
        <v>0</v>
      </c>
      <c r="BF205" s="363">
        <f t="shared" si="131"/>
        <v>0</v>
      </c>
      <c r="BG205" s="244"/>
      <c r="BH205" s="244">
        <f t="shared" si="125"/>
        <v>23423.812999999969</v>
      </c>
      <c r="BI205" s="242">
        <f t="shared" si="126"/>
        <v>0</v>
      </c>
      <c r="BJ205" s="242"/>
      <c r="BK205" s="241">
        <f t="shared" si="127"/>
        <v>23424</v>
      </c>
      <c r="BL205" s="262"/>
      <c r="BM205" s="36" t="s">
        <v>18</v>
      </c>
      <c r="BN205" s="4">
        <v>1999</v>
      </c>
      <c r="BO205" s="4">
        <v>9</v>
      </c>
      <c r="BP205" s="108">
        <f>C205+[4]MWh!$AK39</f>
        <v>969419.92259884253</v>
      </c>
      <c r="BQ205" s="76">
        <f t="shared" ref="BQ205:BQ236" si="173">BP205/D205*1000</f>
        <v>6846.572706076915</v>
      </c>
      <c r="BR205" s="130">
        <f t="shared" ref="BR205:BR236" si="174">BT205/D205*1000</f>
        <v>7012.0057813919047</v>
      </c>
      <c r="BS205" s="108">
        <f t="shared" si="161"/>
        <v>359.35454640636999</v>
      </c>
      <c r="BT205" s="175">
        <f t="shared" ref="BT205:BT236" si="175">BK205+BP205</f>
        <v>992843.92259884253</v>
      </c>
      <c r="BU205" s="108">
        <f t="shared" si="162"/>
        <v>116955.86100064707</v>
      </c>
      <c r="BV205" s="137">
        <f t="shared" ref="BV205:BV236" si="176">BT205-BP205</f>
        <v>23424</v>
      </c>
    </row>
    <row r="206" spans="1:74" ht="12.75" customHeight="1">
      <c r="A206" s="22">
        <v>1999</v>
      </c>
      <c r="B206" s="4">
        <v>10</v>
      </c>
      <c r="C206" s="5">
        <v>917912</v>
      </c>
      <c r="D206" s="5">
        <v>140996</v>
      </c>
      <c r="E206" s="74">
        <f t="shared" si="114"/>
        <v>6510.2</v>
      </c>
      <c r="F206" s="13">
        <v>86619</v>
      </c>
      <c r="G206" s="13">
        <v>97867</v>
      </c>
      <c r="H206" s="13">
        <v>6635</v>
      </c>
      <c r="I206" s="13">
        <v>3466</v>
      </c>
      <c r="J206" s="574">
        <f>[5]CC!$E86</f>
        <v>141535</v>
      </c>
      <c r="K206" s="4">
        <f>'[7]COM 55 &amp; 65'!$S291</f>
        <v>421.7</v>
      </c>
      <c r="L206" s="4">
        <f t="shared" si="143"/>
        <v>431.2</v>
      </c>
      <c r="M206" s="135">
        <f t="shared" si="169"/>
        <v>9.5</v>
      </c>
      <c r="N206" s="4">
        <f>'[7]COM 55 &amp; 65'!$J291</f>
        <v>0.1</v>
      </c>
      <c r="O206" s="4">
        <f t="shared" si="141"/>
        <v>0.2</v>
      </c>
      <c r="P206" s="41">
        <f t="shared" si="171"/>
        <v>0.1</v>
      </c>
      <c r="Q206" s="474">
        <f t="shared" si="117"/>
        <v>6487.6449999999995</v>
      </c>
      <c r="R206" s="472">
        <f t="shared" si="118"/>
        <v>65.934000000000012</v>
      </c>
      <c r="S206" s="241">
        <f t="shared" si="119"/>
        <v>6554</v>
      </c>
      <c r="T206" s="13" t="s">
        <v>18</v>
      </c>
      <c r="U206" s="4">
        <v>1999</v>
      </c>
      <c r="V206" s="4">
        <v>10</v>
      </c>
      <c r="W206" s="242">
        <f t="shared" si="120"/>
        <v>6556.6824590768538</v>
      </c>
      <c r="X206" s="131">
        <f t="shared" si="170"/>
        <v>137.83532851782002</v>
      </c>
      <c r="Z206" s="175">
        <f t="shared" si="121"/>
        <v>924466</v>
      </c>
      <c r="AA206" s="12">
        <f t="shared" si="122"/>
        <v>6554</v>
      </c>
      <c r="AB206" s="379">
        <f t="shared" si="129"/>
        <v>924466</v>
      </c>
      <c r="AC206" s="107">
        <f>RESID!AC206</f>
        <v>29.9</v>
      </c>
      <c r="AD206" s="243">
        <f t="shared" si="123"/>
        <v>933875.7</v>
      </c>
      <c r="AE206" s="243">
        <f t="shared" si="142"/>
        <v>-17690.300000000047</v>
      </c>
      <c r="AF206" s="4">
        <f t="shared" si="172"/>
        <v>22632</v>
      </c>
      <c r="AG206" s="4">
        <f t="shared" si="124"/>
        <v>940544</v>
      </c>
      <c r="AH206" s="138"/>
      <c r="AJ206" s="269">
        <f t="shared" si="155"/>
        <v>824658</v>
      </c>
      <c r="AK206" s="269">
        <f t="shared" si="156"/>
        <v>39663</v>
      </c>
      <c r="AL206" s="276">
        <f t="shared" si="138"/>
        <v>20791.619393389305</v>
      </c>
      <c r="AM206" s="269">
        <f t="shared" si="157"/>
        <v>86619</v>
      </c>
      <c r="AN206" s="269">
        <f t="shared" si="158"/>
        <v>97867</v>
      </c>
      <c r="AO206" s="276">
        <f t="shared" si="139"/>
        <v>885.0685113470322</v>
      </c>
      <c r="AP206" s="269">
        <f t="shared" si="159"/>
        <v>6635</v>
      </c>
      <c r="AQ206" s="269">
        <f t="shared" si="160"/>
        <v>3466</v>
      </c>
      <c r="AR206" s="276">
        <f t="shared" si="140"/>
        <v>1914.3104443162147</v>
      </c>
      <c r="AX206" s="4">
        <v>1999</v>
      </c>
      <c r="AY206" s="4">
        <v>10</v>
      </c>
      <c r="AZ206" s="76">
        <f>'[8]COM 55 &amp; 65'!$S291</f>
        <v>326.10000000000002</v>
      </c>
      <c r="BA206" s="76">
        <f t="shared" si="145"/>
        <v>332.5</v>
      </c>
      <c r="BB206" s="362">
        <f t="shared" si="130"/>
        <v>6.3999999999999773</v>
      </c>
      <c r="BC206" s="362"/>
      <c r="BD206" s="76">
        <f>'[8]COM 55 &amp; 65'!$J291</f>
        <v>2.6</v>
      </c>
      <c r="BE206" s="76">
        <f t="shared" si="146"/>
        <v>2</v>
      </c>
      <c r="BF206" s="363">
        <f t="shared" si="131"/>
        <v>-0.60000000000000009</v>
      </c>
      <c r="BG206" s="244"/>
      <c r="BH206" s="244">
        <f t="shared" si="125"/>
        <v>4370.6239999999843</v>
      </c>
      <c r="BI206" s="242">
        <f t="shared" si="126"/>
        <v>-395.6040000000001</v>
      </c>
      <c r="BJ206" s="242"/>
      <c r="BK206" s="241">
        <f t="shared" si="127"/>
        <v>3975</v>
      </c>
      <c r="BL206" s="262"/>
      <c r="BM206" s="36" t="s">
        <v>18</v>
      </c>
      <c r="BN206" s="4">
        <v>1999</v>
      </c>
      <c r="BO206" s="4">
        <v>10</v>
      </c>
      <c r="BP206" s="108">
        <f>C206+[4]MWh!$AK40</f>
        <v>869325.94847664982</v>
      </c>
      <c r="BQ206" s="76">
        <f t="shared" si="173"/>
        <v>6165.6071695413339</v>
      </c>
      <c r="BR206" s="130">
        <f t="shared" si="174"/>
        <v>6193.7994586842869</v>
      </c>
      <c r="BS206" s="108">
        <f t="shared" si="161"/>
        <v>66.010669589080862</v>
      </c>
      <c r="BT206" s="175">
        <f t="shared" si="175"/>
        <v>873300.94847664982</v>
      </c>
      <c r="BU206" s="108">
        <f t="shared" si="162"/>
        <v>7021.5751510496484</v>
      </c>
      <c r="BV206" s="137">
        <f t="shared" si="176"/>
        <v>3975</v>
      </c>
    </row>
    <row r="207" spans="1:74" ht="12.75" customHeight="1">
      <c r="A207" s="22">
        <v>1999</v>
      </c>
      <c r="B207" s="4">
        <v>11</v>
      </c>
      <c r="C207" s="5">
        <v>849949</v>
      </c>
      <c r="D207" s="5">
        <v>147740</v>
      </c>
      <c r="E207" s="74">
        <f t="shared" si="114"/>
        <v>5753</v>
      </c>
      <c r="F207" s="13">
        <v>81852</v>
      </c>
      <c r="G207" s="13">
        <v>102361</v>
      </c>
      <c r="H207" s="13">
        <v>6890</v>
      </c>
      <c r="I207" s="13">
        <v>3459</v>
      </c>
      <c r="J207" s="574">
        <f>[5]CC!$E87</f>
        <v>141945</v>
      </c>
      <c r="K207" s="4">
        <f>'[7]COM 55 &amp; 65'!$S292</f>
        <v>230.7</v>
      </c>
      <c r="L207" s="4">
        <f t="shared" si="143"/>
        <v>251.9</v>
      </c>
      <c r="M207" s="135">
        <f t="shared" si="169"/>
        <v>21.200000000000017</v>
      </c>
      <c r="N207" s="4">
        <f>'[7]COM 55 &amp; 65'!$J292</f>
        <v>6.5</v>
      </c>
      <c r="O207" s="4">
        <f t="shared" si="141"/>
        <v>6.3</v>
      </c>
      <c r="P207" s="41">
        <f t="shared" si="171"/>
        <v>-0.20000000000000018</v>
      </c>
      <c r="Q207" s="474">
        <f t="shared" si="117"/>
        <v>14477.692000000012</v>
      </c>
      <c r="R207" s="472">
        <f t="shared" si="118"/>
        <v>-131.86800000000014</v>
      </c>
      <c r="S207" s="241">
        <f t="shared" si="119"/>
        <v>14346</v>
      </c>
      <c r="T207" s="13" t="s">
        <v>18</v>
      </c>
      <c r="U207" s="4">
        <v>1999</v>
      </c>
      <c r="V207" s="4">
        <v>11</v>
      </c>
      <c r="W207" s="242">
        <f t="shared" si="120"/>
        <v>5850.1082983619872</v>
      </c>
      <c r="X207" s="131">
        <f t="shared" si="170"/>
        <v>26.274845382805324</v>
      </c>
      <c r="Z207" s="175">
        <f t="shared" si="121"/>
        <v>864295</v>
      </c>
      <c r="AA207" s="12">
        <f t="shared" si="122"/>
        <v>14346</v>
      </c>
      <c r="AB207" s="379">
        <f t="shared" si="129"/>
        <v>864295</v>
      </c>
      <c r="AC207" s="107">
        <f>RESID!AC207</f>
        <v>30.05</v>
      </c>
      <c r="AD207" s="243">
        <f t="shared" si="123"/>
        <v>860414.3</v>
      </c>
      <c r="AE207" s="243">
        <f t="shared" si="142"/>
        <v>14370.800000000047</v>
      </c>
      <c r="AF207" s="4">
        <f t="shared" si="172"/>
        <v>24988</v>
      </c>
      <c r="AG207" s="4">
        <f t="shared" si="124"/>
        <v>874937</v>
      </c>
      <c r="AH207" s="138"/>
      <c r="AJ207" s="269">
        <f t="shared" si="155"/>
        <v>761207</v>
      </c>
      <c r="AK207" s="269">
        <f t="shared" si="156"/>
        <v>41920</v>
      </c>
      <c r="AL207" s="276">
        <f t="shared" si="138"/>
        <v>18158.563931297711</v>
      </c>
      <c r="AM207" s="269">
        <f t="shared" si="157"/>
        <v>81852</v>
      </c>
      <c r="AN207" s="269">
        <f t="shared" si="158"/>
        <v>102361</v>
      </c>
      <c r="AO207" s="276">
        <f t="shared" si="139"/>
        <v>799.64048807651352</v>
      </c>
      <c r="AP207" s="269">
        <f t="shared" si="159"/>
        <v>6890</v>
      </c>
      <c r="AQ207" s="269">
        <f t="shared" si="160"/>
        <v>3459</v>
      </c>
      <c r="AR207" s="276">
        <f t="shared" si="140"/>
        <v>1991.905174906042</v>
      </c>
      <c r="AX207" s="4">
        <v>1999</v>
      </c>
      <c r="AY207" s="4">
        <v>11</v>
      </c>
      <c r="AZ207" s="76">
        <f>'[8]COM 55 &amp; 65'!$S292</f>
        <v>137</v>
      </c>
      <c r="BA207" s="76">
        <f t="shared" si="145"/>
        <v>146</v>
      </c>
      <c r="BB207" s="362">
        <f t="shared" si="130"/>
        <v>9</v>
      </c>
      <c r="BC207" s="362"/>
      <c r="BD207" s="76">
        <f>'[8]COM 55 &amp; 65'!$J292</f>
        <v>10</v>
      </c>
      <c r="BE207" s="76">
        <f t="shared" si="146"/>
        <v>14</v>
      </c>
      <c r="BF207" s="363">
        <f t="shared" si="131"/>
        <v>4</v>
      </c>
      <c r="BG207" s="244"/>
      <c r="BH207" s="244">
        <f t="shared" si="125"/>
        <v>6146.19</v>
      </c>
      <c r="BI207" s="242">
        <f t="shared" si="126"/>
        <v>2637.36</v>
      </c>
      <c r="BJ207" s="242"/>
      <c r="BK207" s="241">
        <f t="shared" si="127"/>
        <v>8784</v>
      </c>
      <c r="BL207" s="262"/>
      <c r="BM207" s="36" t="s">
        <v>18</v>
      </c>
      <c r="BN207" s="4">
        <v>1999</v>
      </c>
      <c r="BO207" s="4">
        <v>11</v>
      </c>
      <c r="BP207" s="108">
        <f>C207+[4]MWh!$AK41</f>
        <v>812891.27683480177</v>
      </c>
      <c r="BQ207" s="76">
        <f t="shared" si="173"/>
        <v>5502.1746096845927</v>
      </c>
      <c r="BR207" s="130">
        <f t="shared" si="174"/>
        <v>5561.630410415607</v>
      </c>
      <c r="BS207" s="108">
        <f t="shared" si="161"/>
        <v>133.97004991089761</v>
      </c>
      <c r="BT207" s="175">
        <f t="shared" si="175"/>
        <v>821675.27683480177</v>
      </c>
      <c r="BU207" s="108">
        <f t="shared" si="162"/>
        <v>65602.188616495812</v>
      </c>
      <c r="BV207" s="137">
        <f t="shared" si="176"/>
        <v>8784</v>
      </c>
    </row>
    <row r="208" spans="1:74" s="89" customFormat="1" ht="12.75" customHeight="1">
      <c r="A208" s="225">
        <v>1999</v>
      </c>
      <c r="B208" s="89">
        <v>12</v>
      </c>
      <c r="C208" s="103">
        <v>789456</v>
      </c>
      <c r="D208" s="103">
        <v>144193</v>
      </c>
      <c r="E208" s="109">
        <f t="shared" si="114"/>
        <v>5475</v>
      </c>
      <c r="F208" s="90">
        <v>75406</v>
      </c>
      <c r="G208" s="90">
        <v>99866</v>
      </c>
      <c r="H208" s="90">
        <v>6950</v>
      </c>
      <c r="I208" s="90">
        <v>3462</v>
      </c>
      <c r="J208" s="575">
        <f>[5]CC!$E88</f>
        <v>142413</v>
      </c>
      <c r="K208" s="89">
        <f>'[7]COM 55 &amp; 65'!$S293</f>
        <v>120.2</v>
      </c>
      <c r="L208" s="89">
        <f t="shared" si="143"/>
        <v>119.4</v>
      </c>
      <c r="M208" s="136">
        <f t="shared" si="169"/>
        <v>-0.79999999999999716</v>
      </c>
      <c r="N208" s="89">
        <f>'[7]COM 55 &amp; 65'!$J293</f>
        <v>20.7</v>
      </c>
      <c r="O208" s="89">
        <f t="shared" si="141"/>
        <v>30.1</v>
      </c>
      <c r="P208" s="94">
        <f t="shared" si="171"/>
        <v>9.4000000000000021</v>
      </c>
      <c r="Q208" s="475">
        <f t="shared" si="117"/>
        <v>-546.32799999999804</v>
      </c>
      <c r="R208" s="473">
        <f t="shared" si="118"/>
        <v>6197.7960000000021</v>
      </c>
      <c r="S208" s="329">
        <f t="shared" si="119"/>
        <v>5651</v>
      </c>
      <c r="T208" s="90" t="s">
        <v>18</v>
      </c>
      <c r="U208" s="89">
        <v>1999</v>
      </c>
      <c r="V208" s="89">
        <v>12</v>
      </c>
      <c r="W208" s="328">
        <f t="shared" si="120"/>
        <v>5514.1858481340987</v>
      </c>
      <c r="X208" s="133">
        <f t="shared" si="170"/>
        <v>-41.629520242201579</v>
      </c>
      <c r="Z208" s="176">
        <f t="shared" si="121"/>
        <v>795107</v>
      </c>
      <c r="AA208" s="105">
        <f t="shared" si="122"/>
        <v>5651</v>
      </c>
      <c r="AB208" s="517">
        <f t="shared" si="129"/>
        <v>795107</v>
      </c>
      <c r="AC208" s="110">
        <f>RESID!AC208</f>
        <v>31.7</v>
      </c>
      <c r="AD208" s="331">
        <f t="shared" si="123"/>
        <v>757578.9</v>
      </c>
      <c r="AE208" s="331">
        <f t="shared" si="142"/>
        <v>-27904.900000000023</v>
      </c>
      <c r="AF208" s="89">
        <f t="shared" si="172"/>
        <v>-26454</v>
      </c>
      <c r="AG208" s="89">
        <f t="shared" si="124"/>
        <v>763002</v>
      </c>
      <c r="AH208" s="121"/>
      <c r="AJ208" s="351">
        <f t="shared" si="155"/>
        <v>707100</v>
      </c>
      <c r="AK208" s="351">
        <f t="shared" si="156"/>
        <v>40865</v>
      </c>
      <c r="AL208" s="277">
        <f t="shared" si="138"/>
        <v>17303.315795913375</v>
      </c>
      <c r="AM208" s="351">
        <f t="shared" si="157"/>
        <v>75406</v>
      </c>
      <c r="AN208" s="351">
        <f t="shared" si="158"/>
        <v>99866</v>
      </c>
      <c r="AO208" s="277">
        <f t="shared" si="139"/>
        <v>755.07179620691727</v>
      </c>
      <c r="AP208" s="351">
        <f t="shared" si="159"/>
        <v>6950</v>
      </c>
      <c r="AQ208" s="351">
        <f t="shared" si="160"/>
        <v>3462</v>
      </c>
      <c r="AR208" s="277">
        <f t="shared" si="140"/>
        <v>2007.5101097631425</v>
      </c>
      <c r="AX208" s="89">
        <v>1999</v>
      </c>
      <c r="AY208" s="89">
        <v>12</v>
      </c>
      <c r="AZ208" s="92">
        <f>'[8]COM 55 &amp; 65'!$S293</f>
        <v>61.8</v>
      </c>
      <c r="BA208" s="92">
        <f t="shared" si="145"/>
        <v>75.7</v>
      </c>
      <c r="BB208" s="364">
        <f t="shared" si="130"/>
        <v>13.900000000000006</v>
      </c>
      <c r="BC208" s="364"/>
      <c r="BD208" s="92">
        <f>'[8]COM 55 &amp; 65'!$J293</f>
        <v>49.5</v>
      </c>
      <c r="BE208" s="92">
        <f t="shared" si="146"/>
        <v>44.3</v>
      </c>
      <c r="BF208" s="365">
        <f t="shared" si="131"/>
        <v>-5.2000000000000028</v>
      </c>
      <c r="BG208" s="327"/>
      <c r="BH208" s="327">
        <f t="shared" si="125"/>
        <v>9492.4490000000042</v>
      </c>
      <c r="BI208" s="328">
        <f t="shared" si="126"/>
        <v>-3428.568000000002</v>
      </c>
      <c r="BJ208" s="328"/>
      <c r="BK208" s="329">
        <f t="shared" si="127"/>
        <v>6064</v>
      </c>
      <c r="BL208" s="332"/>
      <c r="BM208" s="113" t="s">
        <v>18</v>
      </c>
      <c r="BN208" s="89">
        <v>1999</v>
      </c>
      <c r="BO208" s="89">
        <v>12</v>
      </c>
      <c r="BP208" s="117">
        <f>C208+[4]MWh!$AK42</f>
        <v>819306.48060768063</v>
      </c>
      <c r="BQ208" s="92">
        <f t="shared" si="173"/>
        <v>5682.0128619813768</v>
      </c>
      <c r="BR208" s="299">
        <f t="shared" si="174"/>
        <v>5724.0676080508802</v>
      </c>
      <c r="BS208" s="117">
        <f t="shared" si="161"/>
        <v>297.65178065738382</v>
      </c>
      <c r="BT208" s="176">
        <f t="shared" si="175"/>
        <v>825370.48060768063</v>
      </c>
      <c r="BU208" s="117">
        <f t="shared" si="162"/>
        <v>85082.55418717768</v>
      </c>
      <c r="BV208" s="139">
        <f t="shared" si="176"/>
        <v>6064</v>
      </c>
    </row>
    <row r="209" spans="1:81" s="23" customFormat="1" ht="12.75" customHeight="1">
      <c r="A209" s="51">
        <v>2000</v>
      </c>
      <c r="B209" s="23">
        <v>1</v>
      </c>
      <c r="C209" s="141">
        <v>699317</v>
      </c>
      <c r="D209" s="141">
        <v>133796</v>
      </c>
      <c r="E209" s="333">
        <f t="shared" ref="E209:E221" si="177">ROUND((C209/D209)*1000,1)</f>
        <v>5226.7</v>
      </c>
      <c r="F209" s="13">
        <v>67687</v>
      </c>
      <c r="G209" s="13">
        <v>92349</v>
      </c>
      <c r="H209" s="13">
        <v>6679</v>
      </c>
      <c r="I209" s="13">
        <v>3467</v>
      </c>
      <c r="J209" s="574">
        <f>[5]CC!$E89</f>
        <v>142455</v>
      </c>
      <c r="K209" s="23">
        <f>'[7]COM 55 &amp; 65'!$S294</f>
        <v>67.7</v>
      </c>
      <c r="L209" s="23">
        <f t="shared" si="143"/>
        <v>70.8</v>
      </c>
      <c r="M209" s="334">
        <f t="shared" ref="M209:M214" si="178">(L209-K209)</f>
        <v>3.0999999999999943</v>
      </c>
      <c r="N209" s="23">
        <f>'[7]COM 55 &amp; 65'!$J294</f>
        <v>43.3</v>
      </c>
      <c r="O209" s="23">
        <f t="shared" si="141"/>
        <v>54.9</v>
      </c>
      <c r="P209" s="148">
        <f t="shared" si="171"/>
        <v>11.600000000000001</v>
      </c>
      <c r="Q209" s="474">
        <f t="shared" ref="Q209:Q272" si="179">M209*$C$10</f>
        <v>2117.0209999999961</v>
      </c>
      <c r="R209" s="472">
        <f t="shared" ref="R209:R272" si="180">P209*$C$9</f>
        <v>7648.344000000001</v>
      </c>
      <c r="S209" s="337">
        <f t="shared" ref="S209:S272" si="181">ROUND(SUM(Q209,R209),0)</f>
        <v>9765</v>
      </c>
      <c r="T209" s="29" t="s">
        <v>18</v>
      </c>
      <c r="U209" s="23">
        <v>2000</v>
      </c>
      <c r="V209" s="23">
        <v>1</v>
      </c>
      <c r="W209" s="336">
        <f t="shared" ref="W209:W272" si="182">Z209/D209*1000</f>
        <v>5299.7249544082033</v>
      </c>
      <c r="X209" s="338">
        <f t="shared" ref="X209:X214" si="183">W209-W197</f>
        <v>-32.525272246375607</v>
      </c>
      <c r="Y209" s="339"/>
      <c r="Z209" s="178">
        <f t="shared" ref="Z209:Z263" si="184">S209+C209</f>
        <v>709082</v>
      </c>
      <c r="AA209" s="340">
        <f t="shared" ref="AA209:AA272" si="185">Z209-C209</f>
        <v>9765</v>
      </c>
      <c r="AB209" s="518">
        <f>[9]CMWh!$L89</f>
        <v>755866</v>
      </c>
      <c r="AC209" s="341">
        <f>RESID!AC209</f>
        <v>30.65</v>
      </c>
      <c r="AD209" s="342">
        <f t="shared" ref="AD209:AD272" si="186">ROUND(C209/(AC209/30.42),1)</f>
        <v>694069.3</v>
      </c>
      <c r="AE209" s="342">
        <f t="shared" si="142"/>
        <v>-30466.5</v>
      </c>
      <c r="AF209" s="23">
        <f t="shared" si="172"/>
        <v>4444</v>
      </c>
      <c r="AG209" s="23">
        <f t="shared" ref="AG209:AG272" si="187">ROUND(Z209/(AC209/30.42),0)</f>
        <v>703761</v>
      </c>
      <c r="AH209" s="140"/>
      <c r="AJ209" s="352">
        <f t="shared" si="155"/>
        <v>624951</v>
      </c>
      <c r="AK209" s="352">
        <f t="shared" si="156"/>
        <v>37980</v>
      </c>
      <c r="AL209" s="353">
        <f t="shared" si="138"/>
        <v>16454.739336492894</v>
      </c>
      <c r="AM209" s="352">
        <f t="shared" si="157"/>
        <v>67687</v>
      </c>
      <c r="AN209" s="352">
        <f t="shared" si="158"/>
        <v>92349</v>
      </c>
      <c r="AO209" s="353">
        <f t="shared" si="139"/>
        <v>732.94783917530242</v>
      </c>
      <c r="AP209" s="352">
        <f t="shared" si="159"/>
        <v>6679</v>
      </c>
      <c r="AQ209" s="352">
        <f t="shared" si="160"/>
        <v>3467</v>
      </c>
      <c r="AR209" s="353">
        <f t="shared" si="140"/>
        <v>1926.4493798673204</v>
      </c>
      <c r="AX209" s="23">
        <v>2000</v>
      </c>
      <c r="AY209" s="23">
        <v>1</v>
      </c>
      <c r="AZ209" s="344">
        <f>'[8]COM 55 &amp; 65'!$S294</f>
        <v>62.8</v>
      </c>
      <c r="BA209" s="344">
        <f t="shared" si="145"/>
        <v>72.3</v>
      </c>
      <c r="BB209" s="372">
        <f t="shared" si="130"/>
        <v>9.5</v>
      </c>
      <c r="BC209" s="372"/>
      <c r="BD209" s="344">
        <f>'[8]COM 55 &amp; 65'!$J294</f>
        <v>67.3</v>
      </c>
      <c r="BE209" s="344">
        <f t="shared" si="146"/>
        <v>52.4</v>
      </c>
      <c r="BF209" s="373">
        <f t="shared" si="131"/>
        <v>-14.899999999999999</v>
      </c>
      <c r="BG209" s="335"/>
      <c r="BH209" s="335">
        <f t="shared" ref="BH209:BH272" si="188">BB209*$C$10</f>
        <v>6487.6449999999995</v>
      </c>
      <c r="BI209" s="336">
        <f t="shared" ref="BI209:BI272" si="189">BF209*$C$9</f>
        <v>-9824.1659999999993</v>
      </c>
      <c r="BJ209" s="336"/>
      <c r="BK209" s="337">
        <f t="shared" ref="BK209:BK272" si="190">ROUND(SUM(BH209,BI209),0)</f>
        <v>-3337</v>
      </c>
      <c r="BL209" s="343"/>
      <c r="BM209" s="229" t="s">
        <v>18</v>
      </c>
      <c r="BN209" s="23">
        <v>2000</v>
      </c>
      <c r="BO209" s="23">
        <v>1</v>
      </c>
      <c r="BP209" s="50">
        <f>C209+[4]MWh!$AK43</f>
        <v>706824.54808505299</v>
      </c>
      <c r="BQ209" s="344">
        <f t="shared" si="173"/>
        <v>5282.8526120740007</v>
      </c>
      <c r="BR209" s="345">
        <f t="shared" si="174"/>
        <v>5257.9116571874574</v>
      </c>
      <c r="BS209" s="50">
        <f t="shared" ref="BS209:BU214" si="191">BR209-BR197</f>
        <v>91.890394630921037</v>
      </c>
      <c r="BT209" s="178">
        <f t="shared" si="175"/>
        <v>703487.54808505299</v>
      </c>
      <c r="BU209" s="50">
        <f t="shared" si="191"/>
        <v>-8777.6334899294889</v>
      </c>
      <c r="BV209" s="159">
        <f t="shared" si="176"/>
        <v>-3337</v>
      </c>
      <c r="BW209" s="534"/>
    </row>
    <row r="210" spans="1:81" s="23" customFormat="1" ht="12.75" customHeight="1">
      <c r="A210" s="51">
        <v>2000</v>
      </c>
      <c r="B210" s="23">
        <v>2</v>
      </c>
      <c r="C210" s="141">
        <v>804074</v>
      </c>
      <c r="D210" s="141">
        <v>144289</v>
      </c>
      <c r="E210" s="333">
        <f t="shared" si="177"/>
        <v>5572.7</v>
      </c>
      <c r="F210" s="13">
        <v>81972</v>
      </c>
      <c r="G210" s="13">
        <v>99735</v>
      </c>
      <c r="H210" s="13">
        <v>7056</v>
      </c>
      <c r="I210" s="13">
        <v>3484</v>
      </c>
      <c r="J210" s="574">
        <f>[5]CC!$E90</f>
        <v>142712</v>
      </c>
      <c r="K210" s="23">
        <f>'[7]COM 55 &amp; 65'!$S295</f>
        <v>43.7</v>
      </c>
      <c r="L210" s="23">
        <f t="shared" si="143"/>
        <v>62.7</v>
      </c>
      <c r="M210" s="334">
        <f t="shared" si="178"/>
        <v>19</v>
      </c>
      <c r="N210" s="23">
        <f>'[7]COM 55 &amp; 65'!$J295</f>
        <v>82</v>
      </c>
      <c r="O210" s="23">
        <f t="shared" si="141"/>
        <v>46.9</v>
      </c>
      <c r="P210" s="148">
        <f t="shared" si="171"/>
        <v>-35.1</v>
      </c>
      <c r="Q210" s="474">
        <f t="shared" si="179"/>
        <v>12975.289999999999</v>
      </c>
      <c r="R210" s="472">
        <f t="shared" si="180"/>
        <v>-23142.834000000003</v>
      </c>
      <c r="S210" s="337">
        <f t="shared" si="181"/>
        <v>-10168</v>
      </c>
      <c r="T210" s="29" t="s">
        <v>18</v>
      </c>
      <c r="U210" s="23">
        <v>2000</v>
      </c>
      <c r="V210" s="23">
        <v>2</v>
      </c>
      <c r="W210" s="336">
        <f t="shared" si="182"/>
        <v>5502.1935144051176</v>
      </c>
      <c r="X210" s="338">
        <f t="shared" si="183"/>
        <v>530.97531306941164</v>
      </c>
      <c r="Y210" s="339"/>
      <c r="Z210" s="178">
        <f t="shared" si="184"/>
        <v>793906</v>
      </c>
      <c r="AA210" s="340">
        <f t="shared" si="185"/>
        <v>-10168</v>
      </c>
      <c r="AB210" s="518">
        <f>[9]CMWh!$L90</f>
        <v>782590</v>
      </c>
      <c r="AC210" s="341">
        <f>RESID!AC210</f>
        <v>30.8</v>
      </c>
      <c r="AD210" s="342">
        <f t="shared" si="186"/>
        <v>794153.6</v>
      </c>
      <c r="AE210" s="342">
        <f t="shared" si="142"/>
        <v>58341.699999999953</v>
      </c>
      <c r="AF210" s="23">
        <f t="shared" si="172"/>
        <v>-19963</v>
      </c>
      <c r="AG210" s="23">
        <f t="shared" si="187"/>
        <v>784111</v>
      </c>
      <c r="AJ210" s="352">
        <f t="shared" si="155"/>
        <v>715046</v>
      </c>
      <c r="AK210" s="352">
        <f t="shared" si="156"/>
        <v>41070</v>
      </c>
      <c r="AL210" s="353">
        <f t="shared" si="138"/>
        <v>17410.421232042852</v>
      </c>
      <c r="AM210" s="352">
        <f t="shared" si="157"/>
        <v>81972</v>
      </c>
      <c r="AN210" s="352">
        <f t="shared" si="158"/>
        <v>99735</v>
      </c>
      <c r="AO210" s="353">
        <f t="shared" si="139"/>
        <v>821.89802977891418</v>
      </c>
      <c r="AP210" s="352">
        <f t="shared" si="159"/>
        <v>7056</v>
      </c>
      <c r="AQ210" s="352">
        <f t="shared" si="160"/>
        <v>3484</v>
      </c>
      <c r="AR210" s="353">
        <f t="shared" si="140"/>
        <v>2025.2583237657866</v>
      </c>
      <c r="AX210" s="23">
        <v>2000</v>
      </c>
      <c r="AY210" s="23">
        <v>2</v>
      </c>
      <c r="AZ210" s="344">
        <f>'[8]COM 55 &amp; 65'!$S295</f>
        <v>76.599999999999994</v>
      </c>
      <c r="BA210" s="344">
        <f t="shared" si="145"/>
        <v>82.6</v>
      </c>
      <c r="BB210" s="372">
        <f t="shared" ref="BB210:BB273" si="192">(BA210-AZ210)</f>
        <v>6</v>
      </c>
      <c r="BC210" s="372"/>
      <c r="BD210" s="344">
        <f>'[8]COM 55 &amp; 65'!$J295</f>
        <v>37</v>
      </c>
      <c r="BE210" s="344">
        <f t="shared" si="146"/>
        <v>36.5</v>
      </c>
      <c r="BF210" s="373">
        <f t="shared" ref="BF210:BF273" si="193">(BE210-BD210)</f>
        <v>-0.5</v>
      </c>
      <c r="BG210" s="335"/>
      <c r="BH210" s="335">
        <f t="shared" si="188"/>
        <v>4097.46</v>
      </c>
      <c r="BI210" s="336">
        <f t="shared" si="189"/>
        <v>-329.67</v>
      </c>
      <c r="BJ210" s="336"/>
      <c r="BK210" s="337">
        <f t="shared" si="190"/>
        <v>3768</v>
      </c>
      <c r="BL210" s="343"/>
      <c r="BM210" s="229" t="s">
        <v>18</v>
      </c>
      <c r="BN210" s="23">
        <v>2000</v>
      </c>
      <c r="BO210" s="23">
        <v>2</v>
      </c>
      <c r="BP210" s="50">
        <f>C210+[4]MWh!$AK44</f>
        <v>675540.44927759445</v>
      </c>
      <c r="BQ210" s="344">
        <f t="shared" si="173"/>
        <v>4681.8568933015995</v>
      </c>
      <c r="BR210" s="345">
        <f t="shared" si="174"/>
        <v>4707.9711501056518</v>
      </c>
      <c r="BS210" s="50">
        <f t="shared" si="191"/>
        <v>-485.63330884826973</v>
      </c>
      <c r="BT210" s="178">
        <f t="shared" si="175"/>
        <v>679308.44927759445</v>
      </c>
      <c r="BU210" s="50">
        <f t="shared" si="191"/>
        <v>-41579.430438586744</v>
      </c>
      <c r="BV210" s="159">
        <f t="shared" si="176"/>
        <v>3768</v>
      </c>
      <c r="BW210" s="534"/>
    </row>
    <row r="211" spans="1:81" ht="12.75" customHeight="1">
      <c r="A211" s="22">
        <v>2000</v>
      </c>
      <c r="B211" s="4">
        <v>3</v>
      </c>
      <c r="C211" s="5">
        <v>769186</v>
      </c>
      <c r="D211" s="5">
        <v>141578</v>
      </c>
      <c r="E211" s="74">
        <f t="shared" si="177"/>
        <v>5432.9</v>
      </c>
      <c r="F211" s="13">
        <v>67895</v>
      </c>
      <c r="G211" s="13">
        <v>97781</v>
      </c>
      <c r="H211" s="13">
        <v>7051</v>
      </c>
      <c r="I211" s="13">
        <v>3524</v>
      </c>
      <c r="J211" s="574">
        <f>[5]CC!$E91</f>
        <v>143007</v>
      </c>
      <c r="K211" s="4">
        <f>'[7]COM 55 &amp; 65'!$S296</f>
        <v>121.9</v>
      </c>
      <c r="L211" s="4">
        <f t="shared" si="143"/>
        <v>105.4</v>
      </c>
      <c r="M211" s="135">
        <f t="shared" si="178"/>
        <v>-16.5</v>
      </c>
      <c r="N211" s="4">
        <f>'[7]COM 55 &amp; 65'!$J296</f>
        <v>16.2</v>
      </c>
      <c r="O211" s="4">
        <f t="shared" si="141"/>
        <v>26.8</v>
      </c>
      <c r="P211" s="41">
        <f t="shared" ref="P211:P216" si="194">(O211-N211)</f>
        <v>10.600000000000001</v>
      </c>
      <c r="Q211" s="474">
        <f t="shared" si="179"/>
        <v>-11268.014999999999</v>
      </c>
      <c r="R211" s="472">
        <f t="shared" si="180"/>
        <v>6989.0040000000017</v>
      </c>
      <c r="S211" s="241">
        <f t="shared" si="181"/>
        <v>-4279</v>
      </c>
      <c r="T211" s="13" t="s">
        <v>18</v>
      </c>
      <c r="U211" s="4">
        <v>2000</v>
      </c>
      <c r="V211" s="4">
        <v>3</v>
      </c>
      <c r="W211" s="242">
        <f t="shared" si="182"/>
        <v>5402.7249996468372</v>
      </c>
      <c r="X211" s="131">
        <f t="shared" si="183"/>
        <v>223.95319842894514</v>
      </c>
      <c r="Z211" s="175">
        <f t="shared" si="184"/>
        <v>764907</v>
      </c>
      <c r="AA211" s="12">
        <f t="shared" si="185"/>
        <v>-4279</v>
      </c>
      <c r="AB211" s="519">
        <f>[9]CMWh!$L91</f>
        <v>767554</v>
      </c>
      <c r="AC211" s="107">
        <f>RESID!AC211</f>
        <v>29.4</v>
      </c>
      <c r="AD211" s="243">
        <f t="shared" si="186"/>
        <v>795872</v>
      </c>
      <c r="AE211" s="243">
        <f t="shared" si="142"/>
        <v>69014</v>
      </c>
      <c r="AF211" s="4">
        <f t="shared" si="172"/>
        <v>22259</v>
      </c>
      <c r="AG211" s="4">
        <f t="shared" si="187"/>
        <v>791445</v>
      </c>
      <c r="AH211" s="23"/>
      <c r="AJ211" s="269">
        <f t="shared" si="155"/>
        <v>694240</v>
      </c>
      <c r="AK211" s="269">
        <f t="shared" si="156"/>
        <v>40273</v>
      </c>
      <c r="AL211" s="276">
        <f t="shared" si="138"/>
        <v>17238.348273036525</v>
      </c>
      <c r="AM211" s="269">
        <f t="shared" si="157"/>
        <v>67895</v>
      </c>
      <c r="AN211" s="269">
        <f t="shared" si="158"/>
        <v>97781</v>
      </c>
      <c r="AO211" s="276">
        <f t="shared" si="139"/>
        <v>694.35779957251407</v>
      </c>
      <c r="AP211" s="269">
        <f t="shared" si="159"/>
        <v>7051</v>
      </c>
      <c r="AQ211" s="269">
        <f t="shared" si="160"/>
        <v>3524</v>
      </c>
      <c r="AR211" s="276">
        <f t="shared" si="140"/>
        <v>2000.8513053348468</v>
      </c>
      <c r="AX211" s="4">
        <v>2000</v>
      </c>
      <c r="AY211" s="4">
        <v>3</v>
      </c>
      <c r="AZ211" s="76">
        <f>'[8]COM 55 &amp; 65'!$S296</f>
        <v>182.4</v>
      </c>
      <c r="BA211" s="76">
        <f t="shared" si="145"/>
        <v>140.4</v>
      </c>
      <c r="BB211" s="362">
        <f t="shared" si="192"/>
        <v>-42</v>
      </c>
      <c r="BC211" s="362"/>
      <c r="BD211" s="76">
        <f>'[8]COM 55 &amp; 65'!$J296</f>
        <v>4.8</v>
      </c>
      <c r="BE211" s="76">
        <f t="shared" si="146"/>
        <v>15.1</v>
      </c>
      <c r="BF211" s="363">
        <f t="shared" si="193"/>
        <v>10.3</v>
      </c>
      <c r="BG211" s="244"/>
      <c r="BH211" s="244">
        <f t="shared" si="188"/>
        <v>-28682.219999999998</v>
      </c>
      <c r="BI211" s="242">
        <f t="shared" si="189"/>
        <v>6791.2020000000011</v>
      </c>
      <c r="BJ211" s="242"/>
      <c r="BK211" s="241">
        <f t="shared" si="190"/>
        <v>-21891</v>
      </c>
      <c r="BL211" s="262"/>
      <c r="BM211" s="36" t="s">
        <v>18</v>
      </c>
      <c r="BN211" s="4">
        <v>2000</v>
      </c>
      <c r="BO211" s="4">
        <v>3</v>
      </c>
      <c r="BP211" s="108">
        <f>C211+[4]MWh!$AK45</f>
        <v>891585.31514285505</v>
      </c>
      <c r="BQ211" s="76">
        <f t="shared" si="173"/>
        <v>6297.4848856662411</v>
      </c>
      <c r="BR211" s="130">
        <f t="shared" si="174"/>
        <v>6142.8634049277089</v>
      </c>
      <c r="BS211" s="108">
        <f t="shared" si="191"/>
        <v>911.66980379994948</v>
      </c>
      <c r="BT211" s="175">
        <f t="shared" si="175"/>
        <v>869694.31514285505</v>
      </c>
      <c r="BU211" s="108">
        <f t="shared" si="191"/>
        <v>148945.69197307352</v>
      </c>
      <c r="BV211" s="137">
        <f t="shared" si="176"/>
        <v>-21891</v>
      </c>
      <c r="BW211" s="529"/>
    </row>
    <row r="212" spans="1:81" ht="12.75" customHeight="1">
      <c r="A212" s="22">
        <v>2000</v>
      </c>
      <c r="B212" s="4">
        <v>4</v>
      </c>
      <c r="C212" s="5">
        <v>853929</v>
      </c>
      <c r="D212" s="5">
        <v>144754</v>
      </c>
      <c r="E212" s="74">
        <f t="shared" si="177"/>
        <v>5899.2</v>
      </c>
      <c r="F212" s="13">
        <v>81289</v>
      </c>
      <c r="G212" s="13">
        <v>99885</v>
      </c>
      <c r="H212" s="13">
        <v>7188</v>
      </c>
      <c r="I212" s="13">
        <v>3536</v>
      </c>
      <c r="J212" s="574">
        <f>[5]CC!$E92</f>
        <v>143387</v>
      </c>
      <c r="K212" s="4">
        <f>'[7]COM 55 &amp; 65'!$S297</f>
        <v>194.3</v>
      </c>
      <c r="L212" s="4">
        <f t="shared" si="143"/>
        <v>178.4</v>
      </c>
      <c r="M212" s="135">
        <f t="shared" si="178"/>
        <v>-15.900000000000006</v>
      </c>
      <c r="N212" s="4">
        <f>'[7]COM 55 &amp; 65'!$J297</f>
        <v>6.6</v>
      </c>
      <c r="O212" s="4">
        <f t="shared" si="141"/>
        <v>9.5</v>
      </c>
      <c r="P212" s="41">
        <f t="shared" si="194"/>
        <v>2.9000000000000004</v>
      </c>
      <c r="Q212" s="474">
        <f t="shared" si="179"/>
        <v>-10858.269000000004</v>
      </c>
      <c r="R212" s="472">
        <f t="shared" si="180"/>
        <v>1912.0860000000002</v>
      </c>
      <c r="S212" s="241">
        <f t="shared" si="181"/>
        <v>-8946</v>
      </c>
      <c r="T212" s="13" t="s">
        <v>18</v>
      </c>
      <c r="U212" s="4">
        <v>2000</v>
      </c>
      <c r="V212" s="4">
        <v>4</v>
      </c>
      <c r="W212" s="242">
        <f t="shared" si="182"/>
        <v>5837.3723696754496</v>
      </c>
      <c r="X212" s="131">
        <f t="shared" si="183"/>
        <v>138.51458147782796</v>
      </c>
      <c r="Z212" s="175">
        <f t="shared" si="184"/>
        <v>844983</v>
      </c>
      <c r="AA212" s="12">
        <f t="shared" si="185"/>
        <v>-8946</v>
      </c>
      <c r="AB212" s="519">
        <f>[9]CMWh!$L92</f>
        <v>842979</v>
      </c>
      <c r="AC212" s="107">
        <f>RESID!AC212</f>
        <v>31.05</v>
      </c>
      <c r="AD212" s="243">
        <f t="shared" si="186"/>
        <v>836602.9</v>
      </c>
      <c r="AE212" s="243">
        <f t="shared" si="142"/>
        <v>32585.400000000023</v>
      </c>
      <c r="AF212" s="4">
        <f t="shared" si="172"/>
        <v>-26091</v>
      </c>
      <c r="AG212" s="4">
        <f t="shared" si="187"/>
        <v>827838</v>
      </c>
      <c r="AJ212" s="269">
        <f t="shared" si="155"/>
        <v>765452</v>
      </c>
      <c r="AK212" s="269">
        <f t="shared" si="156"/>
        <v>41333</v>
      </c>
      <c r="AL212" s="276">
        <f t="shared" si="138"/>
        <v>18519.149347978611</v>
      </c>
      <c r="AM212" s="269">
        <f t="shared" si="157"/>
        <v>81289</v>
      </c>
      <c r="AN212" s="269">
        <f t="shared" si="158"/>
        <v>99885</v>
      </c>
      <c r="AO212" s="276">
        <f t="shared" si="139"/>
        <v>813.82589978475255</v>
      </c>
      <c r="AP212" s="269">
        <f t="shared" si="159"/>
        <v>7188</v>
      </c>
      <c r="AQ212" s="269">
        <f t="shared" si="160"/>
        <v>3536</v>
      </c>
      <c r="AR212" s="276">
        <f t="shared" si="140"/>
        <v>2032.8054298642533</v>
      </c>
      <c r="AX212" s="4">
        <v>2000</v>
      </c>
      <c r="AY212" s="4">
        <v>4</v>
      </c>
      <c r="AZ212" s="76">
        <f>'[8]COM 55 &amp; 65'!$S297</f>
        <v>200.5</v>
      </c>
      <c r="BA212" s="76">
        <f t="shared" si="145"/>
        <v>227.4</v>
      </c>
      <c r="BB212" s="362">
        <f t="shared" si="192"/>
        <v>26.900000000000006</v>
      </c>
      <c r="BC212" s="362"/>
      <c r="BD212" s="76">
        <f>'[8]COM 55 &amp; 65'!$J297</f>
        <v>7.1</v>
      </c>
      <c r="BE212" s="76">
        <f t="shared" si="146"/>
        <v>4.8</v>
      </c>
      <c r="BF212" s="363">
        <f t="shared" si="193"/>
        <v>-2.2999999999999998</v>
      </c>
      <c r="BG212" s="244"/>
      <c r="BH212" s="244">
        <f t="shared" si="188"/>
        <v>18370.279000000002</v>
      </c>
      <c r="BI212" s="242">
        <f t="shared" si="189"/>
        <v>-1516.482</v>
      </c>
      <c r="BJ212" s="242"/>
      <c r="BK212" s="241">
        <f t="shared" si="190"/>
        <v>16854</v>
      </c>
      <c r="BL212" s="262"/>
      <c r="BM212" s="36" t="s">
        <v>18</v>
      </c>
      <c r="BN212" s="4">
        <v>2000</v>
      </c>
      <c r="BO212" s="4">
        <v>4</v>
      </c>
      <c r="BP212" s="108">
        <f>C212+[4]MWh!$AK46</f>
        <v>839037.05673110392</v>
      </c>
      <c r="BQ212" s="76">
        <f t="shared" si="173"/>
        <v>5796.2961764863421</v>
      </c>
      <c r="BR212" s="130">
        <f t="shared" si="174"/>
        <v>5912.7281921819358</v>
      </c>
      <c r="BS212" s="108">
        <f t="shared" si="191"/>
        <v>-28.5394037894539</v>
      </c>
      <c r="BT212" s="175">
        <f t="shared" si="175"/>
        <v>855891.05673110392</v>
      </c>
      <c r="BU212" s="108">
        <f t="shared" si="191"/>
        <v>24683.954984322656</v>
      </c>
      <c r="BV212" s="137">
        <f t="shared" si="176"/>
        <v>16854</v>
      </c>
      <c r="BW212" s="529"/>
    </row>
    <row r="213" spans="1:81" ht="12.75" customHeight="1">
      <c r="A213" s="22">
        <v>2000</v>
      </c>
      <c r="B213" s="4">
        <v>5</v>
      </c>
      <c r="C213" s="5">
        <v>890051</v>
      </c>
      <c r="D213" s="5">
        <v>142209</v>
      </c>
      <c r="E213" s="74">
        <f t="shared" si="177"/>
        <v>6258.8</v>
      </c>
      <c r="F213" s="13">
        <v>80131</v>
      </c>
      <c r="G213" s="13">
        <v>98202</v>
      </c>
      <c r="H213" s="13">
        <v>7282</v>
      </c>
      <c r="I213" s="13">
        <v>3554</v>
      </c>
      <c r="J213" s="574">
        <f>[5]CC!$E93</f>
        <v>143619</v>
      </c>
      <c r="K213" s="4">
        <f>'[7]COM 55 &amp; 65'!$S298</f>
        <v>271.60000000000002</v>
      </c>
      <c r="L213" s="4">
        <f t="shared" si="143"/>
        <v>273.89999999999998</v>
      </c>
      <c r="M213" s="135">
        <f t="shared" si="178"/>
        <v>2.2999999999999545</v>
      </c>
      <c r="N213" s="4">
        <f>'[7]COM 55 &amp; 65'!$J298</f>
        <v>3</v>
      </c>
      <c r="O213" s="4">
        <f t="shared" si="141"/>
        <v>2</v>
      </c>
      <c r="P213" s="41">
        <f t="shared" si="194"/>
        <v>-1</v>
      </c>
      <c r="Q213" s="474">
        <f t="shared" si="179"/>
        <v>1570.6929999999688</v>
      </c>
      <c r="R213" s="472">
        <f t="shared" si="180"/>
        <v>-659.34</v>
      </c>
      <c r="S213" s="241">
        <f t="shared" si="181"/>
        <v>911</v>
      </c>
      <c r="T213" s="13" t="s">
        <v>18</v>
      </c>
      <c r="U213" s="4">
        <v>2000</v>
      </c>
      <c r="V213" s="4">
        <v>5</v>
      </c>
      <c r="W213" s="242">
        <f t="shared" si="182"/>
        <v>6265.1590265032455</v>
      </c>
      <c r="X213" s="131">
        <f t="shared" si="183"/>
        <v>459.56679023755169</v>
      </c>
      <c r="Z213" s="175">
        <f t="shared" si="184"/>
        <v>890962</v>
      </c>
      <c r="AA213" s="12">
        <f t="shared" si="185"/>
        <v>911</v>
      </c>
      <c r="AB213" s="519">
        <f>[9]CMWh!$L93</f>
        <v>897106</v>
      </c>
      <c r="AC213" s="107">
        <f>RESID!AC213</f>
        <v>30.55</v>
      </c>
      <c r="AD213" s="243">
        <f t="shared" si="186"/>
        <v>886263.5</v>
      </c>
      <c r="AE213" s="243">
        <f t="shared" si="142"/>
        <v>20732.300000000047</v>
      </c>
      <c r="AF213" s="4">
        <f t="shared" si="172"/>
        <v>-2880</v>
      </c>
      <c r="AG213" s="4">
        <f t="shared" si="187"/>
        <v>887171</v>
      </c>
      <c r="AJ213" s="269">
        <f t="shared" ref="AJ213:AJ244" si="195">C213-AM213-AP213</f>
        <v>802638</v>
      </c>
      <c r="AK213" s="269">
        <f t="shared" ref="AK213:AK244" si="196">D213-AN213-AQ213</f>
        <v>40453</v>
      </c>
      <c r="AL213" s="276">
        <f t="shared" si="138"/>
        <v>19841.247867896076</v>
      </c>
      <c r="AM213" s="269">
        <f t="shared" ref="AM213:AM244" si="197">F213</f>
        <v>80131</v>
      </c>
      <c r="AN213" s="269">
        <f t="shared" ref="AN213:AN244" si="198">G213</f>
        <v>98202</v>
      </c>
      <c r="AO213" s="276">
        <f t="shared" si="139"/>
        <v>815.98134457546689</v>
      </c>
      <c r="AP213" s="269">
        <f t="shared" ref="AP213:AP244" si="199">H213</f>
        <v>7282</v>
      </c>
      <c r="AQ213" s="269">
        <f t="shared" ref="AQ213:AQ244" si="200">I213</f>
        <v>3554</v>
      </c>
      <c r="AR213" s="276">
        <f t="shared" si="140"/>
        <v>2048.9589195272933</v>
      </c>
      <c r="AX213" s="4">
        <v>2000</v>
      </c>
      <c r="AY213" s="4">
        <v>5</v>
      </c>
      <c r="AZ213" s="76">
        <f>'[8]COM 55 &amp; 65'!$S298</f>
        <v>428.7</v>
      </c>
      <c r="BA213" s="76">
        <f t="shared" si="145"/>
        <v>395.2</v>
      </c>
      <c r="BB213" s="362">
        <f t="shared" si="192"/>
        <v>-33.5</v>
      </c>
      <c r="BC213" s="362"/>
      <c r="BD213" s="76">
        <f>'[8]COM 55 &amp; 65'!$J298</f>
        <v>0.1</v>
      </c>
      <c r="BE213" s="76">
        <f t="shared" si="146"/>
        <v>0.2</v>
      </c>
      <c r="BF213" s="363">
        <f t="shared" si="193"/>
        <v>0.1</v>
      </c>
      <c r="BG213" s="244"/>
      <c r="BH213" s="244">
        <f t="shared" si="188"/>
        <v>-22877.485000000001</v>
      </c>
      <c r="BI213" s="242">
        <f t="shared" si="189"/>
        <v>65.934000000000012</v>
      </c>
      <c r="BJ213" s="242"/>
      <c r="BK213" s="241">
        <f t="shared" si="190"/>
        <v>-22812</v>
      </c>
      <c r="BL213" s="262"/>
      <c r="BM213" s="36" t="s">
        <v>18</v>
      </c>
      <c r="BN213" s="4">
        <v>2000</v>
      </c>
      <c r="BO213" s="4">
        <v>5</v>
      </c>
      <c r="BP213" s="108">
        <f>C213+[4]MWh!$AK47</f>
        <v>1065877.8671816883</v>
      </c>
      <c r="BQ213" s="76">
        <f t="shared" si="173"/>
        <v>7495.1505684006515</v>
      </c>
      <c r="BR213" s="130">
        <f t="shared" si="174"/>
        <v>7334.7387801172099</v>
      </c>
      <c r="BS213" s="108">
        <f t="shared" si="191"/>
        <v>848.84271592706682</v>
      </c>
      <c r="BT213" s="175">
        <f t="shared" si="175"/>
        <v>1043065.8671816883</v>
      </c>
      <c r="BU213" s="108">
        <f t="shared" si="191"/>
        <v>114759.02120234573</v>
      </c>
      <c r="BV213" s="137">
        <f t="shared" si="176"/>
        <v>-22812</v>
      </c>
      <c r="BW213" s="529"/>
    </row>
    <row r="214" spans="1:81" ht="12.75" customHeight="1">
      <c r="A214" s="22">
        <v>2000</v>
      </c>
      <c r="B214" s="4">
        <v>6</v>
      </c>
      <c r="C214" s="5">
        <v>1013971</v>
      </c>
      <c r="D214" s="5">
        <v>142765</v>
      </c>
      <c r="E214" s="74">
        <f t="shared" si="177"/>
        <v>7102.4</v>
      </c>
      <c r="F214" s="13">
        <v>104884</v>
      </c>
      <c r="G214" s="13">
        <v>98548</v>
      </c>
      <c r="H214" s="13">
        <v>7259</v>
      </c>
      <c r="I214" s="13">
        <v>3568</v>
      </c>
      <c r="J214" s="574">
        <f>[5]CC!$E94</f>
        <v>143894</v>
      </c>
      <c r="K214" s="4">
        <f>'[7]COM 55 &amp; 65'!$S299</f>
        <v>485.6</v>
      </c>
      <c r="L214" s="4">
        <f t="shared" si="143"/>
        <v>442.7</v>
      </c>
      <c r="M214" s="135">
        <f t="shared" si="178"/>
        <v>-42.900000000000034</v>
      </c>
      <c r="N214" s="4">
        <f>'[7]COM 55 &amp; 65'!$J299</f>
        <v>0</v>
      </c>
      <c r="O214" s="4">
        <f t="shared" si="141"/>
        <v>0.1</v>
      </c>
      <c r="P214" s="41">
        <f t="shared" si="194"/>
        <v>0.1</v>
      </c>
      <c r="Q214" s="474">
        <f t="shared" si="179"/>
        <v>-29296.839000000022</v>
      </c>
      <c r="R214" s="472">
        <f t="shared" si="180"/>
        <v>65.934000000000012</v>
      </c>
      <c r="S214" s="241">
        <f t="shared" si="181"/>
        <v>-29231</v>
      </c>
      <c r="T214" s="13" t="s">
        <v>18</v>
      </c>
      <c r="U214" s="4">
        <v>2000</v>
      </c>
      <c r="V214" s="4">
        <v>6</v>
      </c>
      <c r="W214" s="242">
        <f t="shared" si="182"/>
        <v>6897.6289706860925</v>
      </c>
      <c r="X214" s="131">
        <f t="shared" si="183"/>
        <v>243.38699638882099</v>
      </c>
      <c r="Z214" s="175">
        <f t="shared" si="184"/>
        <v>984740</v>
      </c>
      <c r="AA214" s="12">
        <f t="shared" si="185"/>
        <v>-29231</v>
      </c>
      <c r="AB214" s="519">
        <f>[9]CMWh!$L94</f>
        <v>985497</v>
      </c>
      <c r="AC214" s="107">
        <f>RESID!AC214</f>
        <v>30.8</v>
      </c>
      <c r="AD214" s="243">
        <f t="shared" si="186"/>
        <v>1001461</v>
      </c>
      <c r="AE214" s="243">
        <f t="shared" si="142"/>
        <v>112407.69999999995</v>
      </c>
      <c r="AF214" s="4">
        <f t="shared" si="172"/>
        <v>-41380</v>
      </c>
      <c r="AG214" s="4">
        <f t="shared" si="187"/>
        <v>972591</v>
      </c>
      <c r="AJ214" s="269">
        <f t="shared" si="195"/>
        <v>901828</v>
      </c>
      <c r="AK214" s="269">
        <f t="shared" si="196"/>
        <v>40649</v>
      </c>
      <c r="AL214" s="276">
        <f t="shared" ref="AL214:AL277" si="201">AJ214/AK214*1000</f>
        <v>22185.736426480358</v>
      </c>
      <c r="AM214" s="269">
        <f t="shared" si="197"/>
        <v>104884</v>
      </c>
      <c r="AN214" s="269">
        <f t="shared" si="198"/>
        <v>98548</v>
      </c>
      <c r="AO214" s="276">
        <f t="shared" ref="AO214:AO277" si="202">AM214/AN214*1000</f>
        <v>1064.2935422332264</v>
      </c>
      <c r="AP214" s="269">
        <f t="shared" si="199"/>
        <v>7259</v>
      </c>
      <c r="AQ214" s="269">
        <f t="shared" si="200"/>
        <v>3568</v>
      </c>
      <c r="AR214" s="276">
        <f t="shared" ref="AR214:AR277" si="203">AP214/AQ214*1000</f>
        <v>2034.4730941704038</v>
      </c>
      <c r="AX214" s="4">
        <v>2000</v>
      </c>
      <c r="AY214" s="4">
        <v>6</v>
      </c>
      <c r="AZ214" s="76">
        <f>'[8]COM 55 &amp; 65'!$S299</f>
        <v>498.5</v>
      </c>
      <c r="BA214" s="76">
        <f t="shared" si="145"/>
        <v>485.1</v>
      </c>
      <c r="BB214" s="362">
        <f t="shared" si="192"/>
        <v>-13.399999999999977</v>
      </c>
      <c r="BC214" s="362"/>
      <c r="BD214" s="76">
        <f>'[8]COM 55 &amp; 65'!$J299</f>
        <v>0</v>
      </c>
      <c r="BE214" s="76">
        <f t="shared" si="146"/>
        <v>0</v>
      </c>
      <c r="BF214" s="363">
        <f t="shared" si="193"/>
        <v>0</v>
      </c>
      <c r="BG214" s="244"/>
      <c r="BH214" s="244">
        <f t="shared" si="188"/>
        <v>-9150.9939999999842</v>
      </c>
      <c r="BI214" s="242">
        <f t="shared" si="189"/>
        <v>0</v>
      </c>
      <c r="BJ214" s="242"/>
      <c r="BK214" s="241">
        <f t="shared" si="190"/>
        <v>-9151</v>
      </c>
      <c r="BL214" s="262"/>
      <c r="BM214" s="36" t="s">
        <v>18</v>
      </c>
      <c r="BN214" s="4">
        <v>2000</v>
      </c>
      <c r="BO214" s="4">
        <v>6</v>
      </c>
      <c r="BP214" s="108">
        <f>C214+[4]MWh!$AK48</f>
        <v>922893.66398818186</v>
      </c>
      <c r="BQ214" s="76">
        <f t="shared" si="173"/>
        <v>6464.4252021726743</v>
      </c>
      <c r="BR214" s="130">
        <f t="shared" si="174"/>
        <v>6400.3268587411612</v>
      </c>
      <c r="BS214" s="108">
        <f t="shared" si="191"/>
        <v>-318.01121509517725</v>
      </c>
      <c r="BT214" s="175">
        <f t="shared" si="175"/>
        <v>913742.66398818186</v>
      </c>
      <c r="BU214" s="108">
        <f t="shared" si="191"/>
        <v>-4768.3624525007326</v>
      </c>
      <c r="BV214" s="137">
        <f t="shared" si="176"/>
        <v>-9151</v>
      </c>
      <c r="BW214" s="529"/>
    </row>
    <row r="215" spans="1:81" ht="12.75" customHeight="1">
      <c r="A215" s="22">
        <v>2000</v>
      </c>
      <c r="B215" s="4">
        <v>7</v>
      </c>
      <c r="C215" s="5">
        <v>1074792</v>
      </c>
      <c r="D215" s="5">
        <v>143743</v>
      </c>
      <c r="E215" s="74">
        <f t="shared" si="177"/>
        <v>7477.2</v>
      </c>
      <c r="F215" s="13">
        <v>109993</v>
      </c>
      <c r="G215" s="13">
        <v>99156</v>
      </c>
      <c r="H215" s="13">
        <v>7200</v>
      </c>
      <c r="I215" s="13">
        <v>3602</v>
      </c>
      <c r="J215" s="574">
        <f>[5]CC!$E95</f>
        <v>144246</v>
      </c>
      <c r="K215" s="4">
        <f>'[7]COM 55 &amp; 65'!$S300</f>
        <v>539.70000000000005</v>
      </c>
      <c r="L215" s="4">
        <f t="shared" si="143"/>
        <v>516.1</v>
      </c>
      <c r="M215" s="135">
        <f t="shared" ref="M215:M220" si="204">(L215-K215)</f>
        <v>-23.600000000000023</v>
      </c>
      <c r="N215" s="4">
        <f>'[7]COM 55 &amp; 65'!$J300</f>
        <v>0</v>
      </c>
      <c r="O215" s="4">
        <f t="shared" si="141"/>
        <v>0</v>
      </c>
      <c r="P215" s="41">
        <f t="shared" si="194"/>
        <v>0</v>
      </c>
      <c r="Q215" s="474">
        <f t="shared" si="179"/>
        <v>-16116.676000000014</v>
      </c>
      <c r="R215" s="472">
        <f t="shared" si="180"/>
        <v>0</v>
      </c>
      <c r="S215" s="241">
        <f t="shared" si="181"/>
        <v>-16117</v>
      </c>
      <c r="T215" s="13" t="s">
        <v>18</v>
      </c>
      <c r="U215" s="4">
        <v>2000</v>
      </c>
      <c r="V215" s="4">
        <v>7</v>
      </c>
      <c r="W215" s="242">
        <f t="shared" si="182"/>
        <v>7365.0542982962652</v>
      </c>
      <c r="X215" s="131">
        <f t="shared" ref="X215:X220" si="205">W215-W203</f>
        <v>340.90441431883937</v>
      </c>
      <c r="Z215" s="175">
        <f t="shared" si="184"/>
        <v>1058675</v>
      </c>
      <c r="AA215" s="12">
        <f t="shared" si="185"/>
        <v>-16117</v>
      </c>
      <c r="AB215" s="519">
        <f>[9]CMWh!$L95</f>
        <v>1058971</v>
      </c>
      <c r="AC215" s="107">
        <f>RESID!AC215</f>
        <v>31.95</v>
      </c>
      <c r="AD215" s="243">
        <f t="shared" si="186"/>
        <v>1023323.1</v>
      </c>
      <c r="AE215" s="243">
        <f t="shared" si="142"/>
        <v>64284.199999999953</v>
      </c>
      <c r="AF215" s="4">
        <f t="shared" si="172"/>
        <v>-66814</v>
      </c>
      <c r="AG215" s="4">
        <f t="shared" si="187"/>
        <v>1007978</v>
      </c>
      <c r="AJ215" s="269">
        <f t="shared" si="195"/>
        <v>957599</v>
      </c>
      <c r="AK215" s="269">
        <f t="shared" si="196"/>
        <v>40985</v>
      </c>
      <c r="AL215" s="276">
        <f t="shared" si="201"/>
        <v>23364.621202879105</v>
      </c>
      <c r="AM215" s="269">
        <f t="shared" si="197"/>
        <v>109993</v>
      </c>
      <c r="AN215" s="269">
        <f t="shared" si="198"/>
        <v>99156</v>
      </c>
      <c r="AO215" s="276">
        <f t="shared" si="202"/>
        <v>1109.2924280931059</v>
      </c>
      <c r="AP215" s="269">
        <f t="shared" si="199"/>
        <v>7200</v>
      </c>
      <c r="AQ215" s="269">
        <f t="shared" si="200"/>
        <v>3602</v>
      </c>
      <c r="AR215" s="276">
        <f t="shared" si="203"/>
        <v>1998.8895058300943</v>
      </c>
      <c r="AX215" s="4">
        <v>2000</v>
      </c>
      <c r="AY215" s="4">
        <v>7</v>
      </c>
      <c r="AZ215" s="76">
        <f>'[8]COM 55 &amp; 65'!$S300</f>
        <v>545.20000000000005</v>
      </c>
      <c r="BA215" s="76">
        <f t="shared" si="145"/>
        <v>546.1</v>
      </c>
      <c r="BB215" s="362">
        <f t="shared" si="192"/>
        <v>0.89999999999997726</v>
      </c>
      <c r="BC215" s="362"/>
      <c r="BD215" s="76">
        <f>'[8]COM 55 &amp; 65'!$J300</f>
        <v>0</v>
      </c>
      <c r="BE215" s="76">
        <f t="shared" si="146"/>
        <v>0</v>
      </c>
      <c r="BF215" s="363">
        <f t="shared" si="193"/>
        <v>0</v>
      </c>
      <c r="BG215" s="244"/>
      <c r="BH215" s="244">
        <f t="shared" si="188"/>
        <v>614.61899999998445</v>
      </c>
      <c r="BI215" s="242">
        <f t="shared" si="189"/>
        <v>0</v>
      </c>
      <c r="BJ215" s="242"/>
      <c r="BK215" s="241">
        <f t="shared" si="190"/>
        <v>615</v>
      </c>
      <c r="BL215" s="262"/>
      <c r="BM215" s="36" t="s">
        <v>18</v>
      </c>
      <c r="BN215" s="4">
        <v>2000</v>
      </c>
      <c r="BO215" s="4">
        <v>7</v>
      </c>
      <c r="BP215" s="108">
        <f>C215+[4]MWh!$AK49</f>
        <v>1052488.2726451722</v>
      </c>
      <c r="BQ215" s="76">
        <f t="shared" si="173"/>
        <v>7322.0140990877626</v>
      </c>
      <c r="BR215" s="130">
        <f t="shared" si="174"/>
        <v>7326.2925683001758</v>
      </c>
      <c r="BS215" s="108">
        <f t="shared" ref="BS215:BU220" si="206">BR215-BR203</f>
        <v>-142.99331518580857</v>
      </c>
      <c r="BT215" s="175">
        <f t="shared" si="175"/>
        <v>1053103.2726451722</v>
      </c>
      <c r="BU215" s="108">
        <f t="shared" si="206"/>
        <v>10181.823305791244</v>
      </c>
      <c r="BV215" s="137">
        <f t="shared" si="176"/>
        <v>615</v>
      </c>
      <c r="BW215" s="529"/>
    </row>
    <row r="216" spans="1:81" ht="12.75" customHeight="1">
      <c r="A216" s="22">
        <v>2000</v>
      </c>
      <c r="B216" s="4">
        <v>8</v>
      </c>
      <c r="C216" s="5">
        <v>1032583</v>
      </c>
      <c r="D216" s="5">
        <v>145367</v>
      </c>
      <c r="E216" s="74">
        <f t="shared" si="177"/>
        <v>7103.3</v>
      </c>
      <c r="F216" s="13">
        <v>93450</v>
      </c>
      <c r="G216" s="13">
        <v>100160</v>
      </c>
      <c r="H216" s="13">
        <v>7507</v>
      </c>
      <c r="I216" s="13">
        <v>3643</v>
      </c>
      <c r="J216" s="574">
        <f>[5]CC!$E96</f>
        <v>144446</v>
      </c>
      <c r="K216" s="4">
        <f>'[7]COM 55 &amp; 65'!$S301</f>
        <v>528.20000000000005</v>
      </c>
      <c r="L216" s="4">
        <f t="shared" si="143"/>
        <v>542</v>
      </c>
      <c r="M216" s="135">
        <f t="shared" si="204"/>
        <v>13.799999999999955</v>
      </c>
      <c r="N216" s="4">
        <f>'[7]COM 55 &amp; 65'!$J301</f>
        <v>0</v>
      </c>
      <c r="O216" s="4">
        <f t="shared" si="141"/>
        <v>0</v>
      </c>
      <c r="P216" s="41">
        <f t="shared" si="194"/>
        <v>0</v>
      </c>
      <c r="Q216" s="474">
        <f t="shared" si="179"/>
        <v>9424.1579999999685</v>
      </c>
      <c r="R216" s="472">
        <f t="shared" si="180"/>
        <v>0</v>
      </c>
      <c r="S216" s="241">
        <f t="shared" si="181"/>
        <v>9424</v>
      </c>
      <c r="T216" s="13" t="s">
        <v>18</v>
      </c>
      <c r="U216" s="4">
        <v>2000</v>
      </c>
      <c r="V216" s="4">
        <v>8</v>
      </c>
      <c r="W216" s="242">
        <f t="shared" si="182"/>
        <v>7168.112432670413</v>
      </c>
      <c r="X216" s="131">
        <f t="shared" si="205"/>
        <v>-50.108962547787087</v>
      </c>
      <c r="Z216" s="175">
        <f t="shared" si="184"/>
        <v>1042007</v>
      </c>
      <c r="AA216" s="12">
        <f t="shared" si="185"/>
        <v>9424</v>
      </c>
      <c r="AB216" s="519">
        <f>[9]CMWh!$L96</f>
        <v>1034932</v>
      </c>
      <c r="AC216" s="107">
        <f>RESID!AC216</f>
        <v>29.65</v>
      </c>
      <c r="AD216" s="243">
        <f t="shared" si="186"/>
        <v>1059398.8</v>
      </c>
      <c r="AE216" s="243">
        <f t="shared" si="142"/>
        <v>27696.900000000023</v>
      </c>
      <c r="AF216" s="4">
        <f t="shared" si="172"/>
        <v>36485</v>
      </c>
      <c r="AG216" s="4">
        <f t="shared" si="187"/>
        <v>1069068</v>
      </c>
      <c r="AJ216" s="269">
        <f t="shared" si="195"/>
        <v>931626</v>
      </c>
      <c r="AK216" s="269">
        <f t="shared" si="196"/>
        <v>41564</v>
      </c>
      <c r="AL216" s="276">
        <f t="shared" si="201"/>
        <v>22414.252718698874</v>
      </c>
      <c r="AM216" s="269">
        <f t="shared" si="197"/>
        <v>93450</v>
      </c>
      <c r="AN216" s="269">
        <f t="shared" si="198"/>
        <v>100160</v>
      </c>
      <c r="AO216" s="276">
        <f t="shared" si="202"/>
        <v>933.00718849840257</v>
      </c>
      <c r="AP216" s="269">
        <f t="shared" si="199"/>
        <v>7507</v>
      </c>
      <c r="AQ216" s="269">
        <f t="shared" si="200"/>
        <v>3643</v>
      </c>
      <c r="AR216" s="276">
        <f t="shared" si="203"/>
        <v>2060.6642876749934</v>
      </c>
      <c r="AX216" s="4">
        <v>2000</v>
      </c>
      <c r="AY216" s="4">
        <v>8</v>
      </c>
      <c r="AZ216" s="76">
        <f>'[8]COM 55 &amp; 65'!$S301</f>
        <v>551.4</v>
      </c>
      <c r="BA216" s="76">
        <f t="shared" si="145"/>
        <v>549</v>
      </c>
      <c r="BB216" s="362">
        <f t="shared" si="192"/>
        <v>-2.3999999999999773</v>
      </c>
      <c r="BC216" s="362"/>
      <c r="BD216" s="76">
        <f>'[8]COM 55 &amp; 65'!$J301</f>
        <v>0</v>
      </c>
      <c r="BE216" s="76">
        <f t="shared" si="146"/>
        <v>0</v>
      </c>
      <c r="BF216" s="363">
        <f t="shared" si="193"/>
        <v>0</v>
      </c>
      <c r="BG216" s="244"/>
      <c r="BH216" s="244">
        <f t="shared" si="188"/>
        <v>-1638.9839999999845</v>
      </c>
      <c r="BI216" s="242">
        <f t="shared" si="189"/>
        <v>0</v>
      </c>
      <c r="BJ216" s="242"/>
      <c r="BK216" s="241">
        <f t="shared" si="190"/>
        <v>-1639</v>
      </c>
      <c r="BL216" s="262"/>
      <c r="BM216" s="36" t="s">
        <v>18</v>
      </c>
      <c r="BN216" s="4">
        <v>2000</v>
      </c>
      <c r="BO216" s="4">
        <v>8</v>
      </c>
      <c r="BP216" s="108">
        <f>C216+[4]MWh!$AK50</f>
        <v>1101498.7699843731</v>
      </c>
      <c r="BQ216" s="76">
        <f t="shared" si="173"/>
        <v>7577.3646700033232</v>
      </c>
      <c r="BR216" s="130">
        <f t="shared" si="174"/>
        <v>7566.0897589162132</v>
      </c>
      <c r="BS216" s="108">
        <f t="shared" si="206"/>
        <v>691.64230850162767</v>
      </c>
      <c r="BT216" s="175">
        <f t="shared" si="175"/>
        <v>1099859.7699843731</v>
      </c>
      <c r="BU216" s="108">
        <f t="shared" si="206"/>
        <v>120835.33633357997</v>
      </c>
      <c r="BV216" s="137">
        <f t="shared" si="176"/>
        <v>-1639</v>
      </c>
      <c r="BW216" s="529"/>
    </row>
    <row r="217" spans="1:81" ht="12.75" customHeight="1">
      <c r="A217" s="22">
        <v>2000</v>
      </c>
      <c r="B217" s="4">
        <v>9</v>
      </c>
      <c r="C217" s="5">
        <v>1076919</v>
      </c>
      <c r="D217" s="5">
        <v>146996</v>
      </c>
      <c r="E217" s="74">
        <f t="shared" si="177"/>
        <v>7326.2</v>
      </c>
      <c r="F217" s="13">
        <v>104149</v>
      </c>
      <c r="G217" s="13">
        <v>101698</v>
      </c>
      <c r="H217" s="13">
        <v>7461</v>
      </c>
      <c r="I217" s="13">
        <v>3679</v>
      </c>
      <c r="J217" s="574">
        <f>[5]CC!$E97</f>
        <v>146420</v>
      </c>
      <c r="K217" s="4">
        <f>'[7]COM 55 &amp; 65'!$S302</f>
        <v>554.29999999999995</v>
      </c>
      <c r="L217" s="4">
        <f t="shared" si="143"/>
        <v>531.20000000000005</v>
      </c>
      <c r="M217" s="135">
        <f t="shared" si="204"/>
        <v>-23.099999999999909</v>
      </c>
      <c r="N217" s="4">
        <f>'[7]COM 55 &amp; 65'!$J302</f>
        <v>0</v>
      </c>
      <c r="O217" s="4">
        <f t="shared" si="141"/>
        <v>0</v>
      </c>
      <c r="P217" s="41">
        <f t="shared" ref="P217:P222" si="207">(O217-N217)</f>
        <v>0</v>
      </c>
      <c r="Q217" s="474">
        <f t="shared" si="179"/>
        <v>-15775.220999999938</v>
      </c>
      <c r="R217" s="472">
        <f t="shared" si="180"/>
        <v>0</v>
      </c>
      <c r="S217" s="241">
        <f t="shared" si="181"/>
        <v>-15775</v>
      </c>
      <c r="T217" s="13" t="s">
        <v>18</v>
      </c>
      <c r="U217" s="4">
        <v>2000</v>
      </c>
      <c r="V217" s="4">
        <v>9</v>
      </c>
      <c r="W217" s="242">
        <f t="shared" si="182"/>
        <v>7218.8630983156008</v>
      </c>
      <c r="X217" s="131">
        <f t="shared" si="205"/>
        <v>-36.419686022496535</v>
      </c>
      <c r="Z217" s="175">
        <f t="shared" si="184"/>
        <v>1061144</v>
      </c>
      <c r="AA217" s="12">
        <f t="shared" si="185"/>
        <v>-15775</v>
      </c>
      <c r="AB217" s="519">
        <f>[9]CMWh!$L97</f>
        <v>1058502</v>
      </c>
      <c r="AC217" s="107">
        <f>RESID!AC217</f>
        <v>31.95</v>
      </c>
      <c r="AD217" s="243">
        <f t="shared" si="186"/>
        <v>1025348.2</v>
      </c>
      <c r="AE217" s="243">
        <f t="shared" si="142"/>
        <v>-1965.3000000000466</v>
      </c>
      <c r="AF217" s="4">
        <f t="shared" si="172"/>
        <v>-66590</v>
      </c>
      <c r="AG217" s="4">
        <f t="shared" si="187"/>
        <v>1010329</v>
      </c>
      <c r="AJ217" s="269">
        <f t="shared" si="195"/>
        <v>965309</v>
      </c>
      <c r="AK217" s="269">
        <f t="shared" si="196"/>
        <v>41619</v>
      </c>
      <c r="AL217" s="276">
        <f t="shared" si="201"/>
        <v>23193.949878661191</v>
      </c>
      <c r="AM217" s="269">
        <f t="shared" si="197"/>
        <v>104149</v>
      </c>
      <c r="AN217" s="269">
        <f t="shared" si="198"/>
        <v>101698</v>
      </c>
      <c r="AO217" s="276">
        <f t="shared" si="202"/>
        <v>1024.100768943342</v>
      </c>
      <c r="AP217" s="269">
        <f t="shared" si="199"/>
        <v>7461</v>
      </c>
      <c r="AQ217" s="269">
        <f t="shared" si="200"/>
        <v>3679</v>
      </c>
      <c r="AR217" s="276">
        <f t="shared" si="203"/>
        <v>2027.996738244088</v>
      </c>
      <c r="AX217" s="4">
        <v>2000</v>
      </c>
      <c r="AY217" s="4">
        <v>9</v>
      </c>
      <c r="AZ217" s="76">
        <f>'[8]COM 55 &amp; 65'!$S302</f>
        <v>491.6</v>
      </c>
      <c r="BA217" s="76">
        <f t="shared" si="145"/>
        <v>487.9</v>
      </c>
      <c r="BB217" s="362">
        <f t="shared" si="192"/>
        <v>-3.7000000000000455</v>
      </c>
      <c r="BC217" s="362"/>
      <c r="BD217" s="76">
        <f>'[8]COM 55 &amp; 65'!$J302</f>
        <v>0</v>
      </c>
      <c r="BE217" s="76">
        <f t="shared" si="146"/>
        <v>0</v>
      </c>
      <c r="BF217" s="363">
        <f t="shared" si="193"/>
        <v>0</v>
      </c>
      <c r="BG217" s="244"/>
      <c r="BH217" s="244">
        <f t="shared" si="188"/>
        <v>-2526.7670000000307</v>
      </c>
      <c r="BI217" s="242">
        <f t="shared" si="189"/>
        <v>0</v>
      </c>
      <c r="BJ217" s="242"/>
      <c r="BK217" s="241">
        <f t="shared" si="190"/>
        <v>-2527</v>
      </c>
      <c r="BL217" s="262"/>
      <c r="BM217" s="36" t="s">
        <v>18</v>
      </c>
      <c r="BN217" s="4">
        <v>2000</v>
      </c>
      <c r="BO217" s="4">
        <v>9</v>
      </c>
      <c r="BP217" s="108">
        <f>C217+[4]MWh!$AK51</f>
        <v>967942.56704373495</v>
      </c>
      <c r="BQ217" s="76">
        <f t="shared" si="173"/>
        <v>6584.8224920660086</v>
      </c>
      <c r="BR217" s="130">
        <f t="shared" si="174"/>
        <v>6567.6315480947433</v>
      </c>
      <c r="BS217" s="108">
        <f t="shared" si="206"/>
        <v>-444.37423329716148</v>
      </c>
      <c r="BT217" s="175">
        <f t="shared" si="175"/>
        <v>965415.56704373495</v>
      </c>
      <c r="BU217" s="108">
        <f t="shared" si="206"/>
        <v>-27428.355555107584</v>
      </c>
      <c r="BV217" s="137">
        <f t="shared" si="176"/>
        <v>-2527</v>
      </c>
      <c r="BW217" s="535"/>
      <c r="BX217" s="15"/>
      <c r="BZ217" s="15"/>
      <c r="CA217" s="15"/>
      <c r="CB217" s="15"/>
    </row>
    <row r="218" spans="1:81" ht="12.75" customHeight="1">
      <c r="A218" s="22">
        <v>2000</v>
      </c>
      <c r="B218" s="4">
        <v>10</v>
      </c>
      <c r="C218" s="5">
        <v>949341</v>
      </c>
      <c r="D218" s="5">
        <v>144269</v>
      </c>
      <c r="E218" s="74">
        <f t="shared" si="177"/>
        <v>6580.4</v>
      </c>
      <c r="F218" s="13">
        <v>82044</v>
      </c>
      <c r="G218" s="13">
        <v>99339</v>
      </c>
      <c r="H218" s="13">
        <v>7475</v>
      </c>
      <c r="I218" s="13">
        <v>3669</v>
      </c>
      <c r="J218" s="574">
        <f>[5]CC!$E98</f>
        <v>145296</v>
      </c>
      <c r="K218" s="4">
        <f>'[7]COM 55 &amp; 65'!$S303</f>
        <v>390.6</v>
      </c>
      <c r="L218" s="4">
        <f t="shared" si="143"/>
        <v>431.2</v>
      </c>
      <c r="M218" s="135">
        <f t="shared" si="204"/>
        <v>40.599999999999966</v>
      </c>
      <c r="N218" s="4">
        <f>'[7]COM 55 &amp; 65'!$J303</f>
        <v>1.5</v>
      </c>
      <c r="O218" s="4">
        <f t="shared" si="141"/>
        <v>0.2</v>
      </c>
      <c r="P218" s="41">
        <f t="shared" si="207"/>
        <v>-1.3</v>
      </c>
      <c r="Q218" s="474">
        <f t="shared" si="179"/>
        <v>27726.145999999975</v>
      </c>
      <c r="R218" s="472">
        <f t="shared" si="180"/>
        <v>-857.14200000000005</v>
      </c>
      <c r="S218" s="241">
        <f t="shared" si="181"/>
        <v>26869</v>
      </c>
      <c r="T218" s="13" t="s">
        <v>18</v>
      </c>
      <c r="U218" s="4">
        <v>2000</v>
      </c>
      <c r="V218" s="4">
        <v>10</v>
      </c>
      <c r="W218" s="242">
        <f t="shared" si="182"/>
        <v>6766.5957343573464</v>
      </c>
      <c r="X218" s="131">
        <f t="shared" si="205"/>
        <v>209.9132752804926</v>
      </c>
      <c r="Z218" s="175">
        <f t="shared" si="184"/>
        <v>976210</v>
      </c>
      <c r="AA218" s="12">
        <f t="shared" si="185"/>
        <v>26869</v>
      </c>
      <c r="AB218" s="519">
        <f>[9]CMWh!$L98</f>
        <v>984721</v>
      </c>
      <c r="AC218" s="107">
        <f>RESID!AC218</f>
        <v>29.65</v>
      </c>
      <c r="AD218" s="243">
        <f t="shared" si="186"/>
        <v>973995</v>
      </c>
      <c r="AE218" s="243">
        <f t="shared" si="142"/>
        <v>40119.300000000047</v>
      </c>
      <c r="AF218" s="4">
        <f t="shared" si="172"/>
        <v>52221</v>
      </c>
      <c r="AG218" s="4">
        <f t="shared" si="187"/>
        <v>1001562</v>
      </c>
      <c r="AJ218" s="269">
        <f t="shared" si="195"/>
        <v>859822</v>
      </c>
      <c r="AK218" s="269">
        <f t="shared" si="196"/>
        <v>41261</v>
      </c>
      <c r="AL218" s="276">
        <f t="shared" si="201"/>
        <v>20838.612733574078</v>
      </c>
      <c r="AM218" s="269">
        <f t="shared" si="197"/>
        <v>82044</v>
      </c>
      <c r="AN218" s="269">
        <f t="shared" si="198"/>
        <v>99339</v>
      </c>
      <c r="AO218" s="276">
        <f t="shared" si="202"/>
        <v>825.89919367015978</v>
      </c>
      <c r="AP218" s="269">
        <f t="shared" si="199"/>
        <v>7475</v>
      </c>
      <c r="AQ218" s="269">
        <f t="shared" si="200"/>
        <v>3669</v>
      </c>
      <c r="AR218" s="276">
        <f t="shared" si="203"/>
        <v>2037.3398746252387</v>
      </c>
      <c r="AX218" s="4">
        <v>2000</v>
      </c>
      <c r="AY218" s="4">
        <v>10</v>
      </c>
      <c r="AZ218" s="76">
        <f>'[8]COM 55 &amp; 65'!$S303</f>
        <v>268.8</v>
      </c>
      <c r="BA218" s="76">
        <f t="shared" si="145"/>
        <v>332.5</v>
      </c>
      <c r="BB218" s="362">
        <f t="shared" si="192"/>
        <v>63.699999999999989</v>
      </c>
      <c r="BC218" s="362"/>
      <c r="BD218" s="76">
        <f>'[8]COM 55 &amp; 65'!$J303</f>
        <v>2.9</v>
      </c>
      <c r="BE218" s="76">
        <f t="shared" si="146"/>
        <v>2</v>
      </c>
      <c r="BF218" s="363">
        <f t="shared" si="193"/>
        <v>-0.89999999999999991</v>
      </c>
      <c r="BG218" s="244"/>
      <c r="BH218" s="244">
        <f t="shared" si="188"/>
        <v>43501.366999999991</v>
      </c>
      <c r="BI218" s="242">
        <f t="shared" si="189"/>
        <v>-593.40599999999995</v>
      </c>
      <c r="BJ218" s="242"/>
      <c r="BK218" s="241">
        <f t="shared" si="190"/>
        <v>42908</v>
      </c>
      <c r="BL218" s="262"/>
      <c r="BM218" s="36" t="s">
        <v>18</v>
      </c>
      <c r="BN218" s="4">
        <v>2000</v>
      </c>
      <c r="BO218" s="4">
        <v>10</v>
      </c>
      <c r="BP218" s="108">
        <f>C218+[4]MWh!$AK52</f>
        <v>888788.86412962642</v>
      </c>
      <c r="BQ218" s="76">
        <f t="shared" si="173"/>
        <v>6160.6364785894848</v>
      </c>
      <c r="BR218" s="130">
        <f t="shared" si="174"/>
        <v>6458.0531100210474</v>
      </c>
      <c r="BS218" s="108">
        <f t="shared" si="206"/>
        <v>264.25365133676041</v>
      </c>
      <c r="BT218" s="175">
        <f t="shared" si="175"/>
        <v>931696.86412962642</v>
      </c>
      <c r="BU218" s="108">
        <f t="shared" si="206"/>
        <v>58395.915652976604</v>
      </c>
      <c r="BV218" s="137">
        <f t="shared" si="176"/>
        <v>42908</v>
      </c>
      <c r="BW218" s="529"/>
    </row>
    <row r="219" spans="1:81" ht="12.75" customHeight="1">
      <c r="A219" s="22">
        <v>2000</v>
      </c>
      <c r="B219" s="4">
        <v>11</v>
      </c>
      <c r="C219" s="5">
        <v>860163</v>
      </c>
      <c r="D219" s="5">
        <v>151136</v>
      </c>
      <c r="E219" s="74">
        <f t="shared" si="177"/>
        <v>5691.3</v>
      </c>
      <c r="F219" s="13">
        <v>80263</v>
      </c>
      <c r="G219" s="13">
        <v>100018</v>
      </c>
      <c r="H219" s="13">
        <v>7768</v>
      </c>
      <c r="I219" s="13">
        <v>3653</v>
      </c>
      <c r="J219" s="574">
        <f>[5]CC!$E99</f>
        <v>145353</v>
      </c>
      <c r="K219" s="4">
        <f>'[7]COM 55 &amp; 65'!$S304</f>
        <v>209.2</v>
      </c>
      <c r="L219" s="4">
        <f t="shared" si="143"/>
        <v>251.9</v>
      </c>
      <c r="M219" s="135">
        <f t="shared" si="204"/>
        <v>42.700000000000017</v>
      </c>
      <c r="N219" s="4">
        <f>'[7]COM 55 &amp; 65'!$J304</f>
        <v>6.8</v>
      </c>
      <c r="O219" s="4">
        <f t="shared" si="141"/>
        <v>6.3</v>
      </c>
      <c r="P219" s="41">
        <f t="shared" si="207"/>
        <v>-0.5</v>
      </c>
      <c r="Q219" s="474">
        <f t="shared" si="179"/>
        <v>29160.257000000009</v>
      </c>
      <c r="R219" s="472">
        <f t="shared" si="180"/>
        <v>-329.67</v>
      </c>
      <c r="S219" s="241">
        <f t="shared" si="181"/>
        <v>28831</v>
      </c>
      <c r="T219" s="13" t="s">
        <v>18</v>
      </c>
      <c r="U219" s="4">
        <v>2000</v>
      </c>
      <c r="V219" s="4">
        <v>11</v>
      </c>
      <c r="W219" s="242">
        <f t="shared" si="182"/>
        <v>5882.0797162820236</v>
      </c>
      <c r="X219" s="131">
        <f t="shared" si="205"/>
        <v>31.971417920036401</v>
      </c>
      <c r="Z219" s="175">
        <f t="shared" si="184"/>
        <v>888994</v>
      </c>
      <c r="AA219" s="12">
        <f t="shared" si="185"/>
        <v>28831</v>
      </c>
      <c r="AB219" s="519">
        <f>[9]CMWh!$L99</f>
        <v>860073</v>
      </c>
      <c r="AC219" s="107">
        <f>RESID!AC219</f>
        <v>29.8</v>
      </c>
      <c r="AD219" s="243">
        <f t="shared" si="186"/>
        <v>878059</v>
      </c>
      <c r="AE219" s="243">
        <f t="shared" si="142"/>
        <v>17644.699999999953</v>
      </c>
      <c r="AF219" s="4">
        <f t="shared" si="172"/>
        <v>47327</v>
      </c>
      <c r="AG219" s="4">
        <f t="shared" si="187"/>
        <v>907490</v>
      </c>
      <c r="AJ219" s="269">
        <f t="shared" si="195"/>
        <v>772132</v>
      </c>
      <c r="AK219" s="269">
        <f t="shared" si="196"/>
        <v>47465</v>
      </c>
      <c r="AL219" s="276">
        <f t="shared" si="201"/>
        <v>16267.397029390075</v>
      </c>
      <c r="AM219" s="269">
        <f t="shared" si="197"/>
        <v>80263</v>
      </c>
      <c r="AN219" s="269">
        <f t="shared" si="198"/>
        <v>100018</v>
      </c>
      <c r="AO219" s="276">
        <f t="shared" si="202"/>
        <v>802.48555260053195</v>
      </c>
      <c r="AP219" s="269">
        <f t="shared" si="199"/>
        <v>7768</v>
      </c>
      <c r="AQ219" s="269">
        <f t="shared" si="200"/>
        <v>3653</v>
      </c>
      <c r="AR219" s="276">
        <f t="shared" si="203"/>
        <v>2126.4713933753078</v>
      </c>
      <c r="AX219" s="4">
        <v>2000</v>
      </c>
      <c r="AY219" s="4">
        <v>11</v>
      </c>
      <c r="AZ219" s="76">
        <f>'[8]COM 55 &amp; 65'!$S304</f>
        <v>125.5</v>
      </c>
      <c r="BA219" s="76">
        <f t="shared" si="145"/>
        <v>146</v>
      </c>
      <c r="BB219" s="362">
        <f t="shared" si="192"/>
        <v>20.5</v>
      </c>
      <c r="BC219" s="362"/>
      <c r="BD219" s="76">
        <f>'[8]COM 55 &amp; 65'!$J304</f>
        <v>28</v>
      </c>
      <c r="BE219" s="76">
        <f t="shared" si="146"/>
        <v>14</v>
      </c>
      <c r="BF219" s="363">
        <f t="shared" si="193"/>
        <v>-14</v>
      </c>
      <c r="BG219" s="244"/>
      <c r="BH219" s="244">
        <f t="shared" si="188"/>
        <v>13999.654999999999</v>
      </c>
      <c r="BI219" s="242">
        <f t="shared" si="189"/>
        <v>-9230.76</v>
      </c>
      <c r="BJ219" s="242"/>
      <c r="BK219" s="241">
        <f t="shared" si="190"/>
        <v>4769</v>
      </c>
      <c r="BL219" s="262"/>
      <c r="BM219" s="36" t="s">
        <v>18</v>
      </c>
      <c r="BN219" s="4">
        <v>2000</v>
      </c>
      <c r="BO219" s="4">
        <v>11</v>
      </c>
      <c r="BP219" s="108">
        <f>C219+[4]MWh!$AK53</f>
        <v>890265.86872180668</v>
      </c>
      <c r="BQ219" s="76">
        <f t="shared" si="173"/>
        <v>5890.4951085234925</v>
      </c>
      <c r="BR219" s="130">
        <f t="shared" si="174"/>
        <v>5922.0494701580483</v>
      </c>
      <c r="BS219" s="108">
        <f t="shared" si="206"/>
        <v>360.41905974244128</v>
      </c>
      <c r="BT219" s="175">
        <f t="shared" si="175"/>
        <v>895034.86872180668</v>
      </c>
      <c r="BU219" s="108">
        <f t="shared" si="206"/>
        <v>73359.591887004906</v>
      </c>
      <c r="BV219" s="137">
        <f t="shared" si="176"/>
        <v>4769</v>
      </c>
      <c r="BW219" s="529"/>
    </row>
    <row r="220" spans="1:81" s="89" customFormat="1" ht="12.75" customHeight="1">
      <c r="A220" s="225">
        <v>2000</v>
      </c>
      <c r="B220" s="89">
        <v>12</v>
      </c>
      <c r="C220" s="103">
        <v>789083</v>
      </c>
      <c r="D220" s="103">
        <v>140796</v>
      </c>
      <c r="E220" s="109">
        <f t="shared" si="177"/>
        <v>5604.4</v>
      </c>
      <c r="F220" s="90">
        <v>74035</v>
      </c>
      <c r="G220" s="90">
        <v>96778</v>
      </c>
      <c r="H220" s="90">
        <v>7411</v>
      </c>
      <c r="I220" s="90">
        <v>3684</v>
      </c>
      <c r="J220" s="575">
        <f>[5]CC!$E100</f>
        <v>145446</v>
      </c>
      <c r="K220" s="89">
        <f>'[7]COM 55 &amp; 65'!$S305</f>
        <v>92.5</v>
      </c>
      <c r="L220" s="89">
        <f t="shared" si="143"/>
        <v>119.4</v>
      </c>
      <c r="M220" s="136">
        <f t="shared" si="204"/>
        <v>26.900000000000006</v>
      </c>
      <c r="N220" s="89">
        <f>'[7]COM 55 &amp; 65'!$J305</f>
        <v>48.5</v>
      </c>
      <c r="O220" s="89">
        <f t="shared" si="141"/>
        <v>30.1</v>
      </c>
      <c r="P220" s="94">
        <f t="shared" si="207"/>
        <v>-18.399999999999999</v>
      </c>
      <c r="Q220" s="475">
        <f t="shared" si="179"/>
        <v>18370.279000000002</v>
      </c>
      <c r="R220" s="473">
        <f t="shared" si="180"/>
        <v>-12131.856</v>
      </c>
      <c r="S220" s="329">
        <f t="shared" si="181"/>
        <v>6238</v>
      </c>
      <c r="T220" s="90" t="s">
        <v>18</v>
      </c>
      <c r="U220" s="89">
        <v>2000</v>
      </c>
      <c r="V220" s="89">
        <v>12</v>
      </c>
      <c r="W220" s="328">
        <f t="shared" si="182"/>
        <v>5648.7471234978266</v>
      </c>
      <c r="X220" s="133">
        <f t="shared" si="205"/>
        <v>134.56127536372787</v>
      </c>
      <c r="Z220" s="176">
        <f t="shared" si="184"/>
        <v>795321</v>
      </c>
      <c r="AA220" s="105">
        <f t="shared" si="185"/>
        <v>6238</v>
      </c>
      <c r="AB220" s="520">
        <f>[9]CMWh!$L100</f>
        <v>827468</v>
      </c>
      <c r="AC220" s="110">
        <f>RESID!AC220</f>
        <v>30.6</v>
      </c>
      <c r="AD220" s="331">
        <f t="shared" si="186"/>
        <v>784441.3</v>
      </c>
      <c r="AE220" s="331">
        <f t="shared" si="142"/>
        <v>26862.400000000023</v>
      </c>
      <c r="AF220" s="89">
        <f t="shared" si="172"/>
        <v>1560</v>
      </c>
      <c r="AG220" s="89">
        <f t="shared" si="187"/>
        <v>790643</v>
      </c>
      <c r="AJ220" s="351">
        <f t="shared" si="195"/>
        <v>707637</v>
      </c>
      <c r="AK220" s="351">
        <f t="shared" si="196"/>
        <v>40334</v>
      </c>
      <c r="AL220" s="277">
        <f t="shared" si="201"/>
        <v>17544.429017702187</v>
      </c>
      <c r="AM220" s="351">
        <f t="shared" si="197"/>
        <v>74035</v>
      </c>
      <c r="AN220" s="351">
        <f t="shared" si="198"/>
        <v>96778</v>
      </c>
      <c r="AO220" s="277">
        <f t="shared" si="202"/>
        <v>764.99824340242617</v>
      </c>
      <c r="AP220" s="351">
        <f t="shared" si="199"/>
        <v>7411</v>
      </c>
      <c r="AQ220" s="351">
        <f t="shared" si="200"/>
        <v>3684</v>
      </c>
      <c r="AR220" s="277">
        <f t="shared" si="203"/>
        <v>2011.6720955483172</v>
      </c>
      <c r="AX220" s="89">
        <v>2000</v>
      </c>
      <c r="AY220" s="89">
        <v>12</v>
      </c>
      <c r="AZ220" s="92">
        <f>'[8]COM 55 &amp; 65'!$S305</f>
        <v>69.5</v>
      </c>
      <c r="BA220" s="92">
        <f t="shared" si="145"/>
        <v>75.7</v>
      </c>
      <c r="BB220" s="364">
        <f t="shared" si="192"/>
        <v>6.2000000000000028</v>
      </c>
      <c r="BC220" s="364"/>
      <c r="BD220" s="92">
        <f>'[8]COM 55 &amp; 65'!$J305</f>
        <v>101.4</v>
      </c>
      <c r="BE220" s="92">
        <f t="shared" si="146"/>
        <v>44.3</v>
      </c>
      <c r="BF220" s="365">
        <f t="shared" si="193"/>
        <v>-57.100000000000009</v>
      </c>
      <c r="BG220" s="327"/>
      <c r="BH220" s="327">
        <f t="shared" si="188"/>
        <v>4234.0420000000022</v>
      </c>
      <c r="BI220" s="328">
        <f t="shared" si="189"/>
        <v>-37648.314000000006</v>
      </c>
      <c r="BJ220" s="328"/>
      <c r="BK220" s="329">
        <f t="shared" si="190"/>
        <v>-33414</v>
      </c>
      <c r="BL220" s="332"/>
      <c r="BM220" s="113" t="s">
        <v>18</v>
      </c>
      <c r="BN220" s="89">
        <v>2000</v>
      </c>
      <c r="BO220" s="89">
        <v>12</v>
      </c>
      <c r="BP220" s="117">
        <f>C220+[4]MWh!$AK54</f>
        <v>851721.41192918504</v>
      </c>
      <c r="BQ220" s="92">
        <f t="shared" si="173"/>
        <v>6049.3296111337331</v>
      </c>
      <c r="BR220" s="299">
        <f t="shared" si="174"/>
        <v>5812.0075281200116</v>
      </c>
      <c r="BS220" s="117">
        <f t="shared" si="206"/>
        <v>87.939920069131404</v>
      </c>
      <c r="BT220" s="176">
        <f t="shared" si="175"/>
        <v>818307.41192918504</v>
      </c>
      <c r="BU220" s="117">
        <f t="shared" si="206"/>
        <v>-7063.0686784955906</v>
      </c>
      <c r="BV220" s="139">
        <f t="shared" si="176"/>
        <v>-33414</v>
      </c>
      <c r="BW220" s="536"/>
      <c r="BX220" s="121"/>
      <c r="BZ220" s="121"/>
      <c r="CA220" s="121"/>
      <c r="CB220" s="121"/>
      <c r="CC220" s="121"/>
    </row>
    <row r="221" spans="1:81" s="23" customFormat="1" ht="12.75" customHeight="1">
      <c r="A221" s="51">
        <f>A209+1</f>
        <v>2001</v>
      </c>
      <c r="B221" s="23">
        <f>B209</f>
        <v>1</v>
      </c>
      <c r="C221" s="141">
        <f>'[2]FPC wSEB'!$E318</f>
        <v>861193</v>
      </c>
      <c r="D221" s="141">
        <f>'[2]FPC wSEB'!$Y318</f>
        <v>147240</v>
      </c>
      <c r="E221" s="333">
        <f t="shared" si="177"/>
        <v>5848.9</v>
      </c>
      <c r="F221" s="13">
        <v>97824</v>
      </c>
      <c r="G221" s="13">
        <v>101012</v>
      </c>
      <c r="H221" s="13">
        <v>7737</v>
      </c>
      <c r="I221" s="13">
        <v>3697</v>
      </c>
      <c r="J221" s="574">
        <f>[5]CC!$E101</f>
        <v>145301</v>
      </c>
      <c r="K221" s="23">
        <f>'[7]COM 55 &amp; 65'!$S306</f>
        <v>45</v>
      </c>
      <c r="L221" s="23">
        <f t="shared" si="143"/>
        <v>70.8</v>
      </c>
      <c r="M221" s="334">
        <f t="shared" ref="M221:M226" si="208">(L221-K221)</f>
        <v>25.799999999999997</v>
      </c>
      <c r="N221" s="23">
        <f>'[7]COM 55 &amp; 65'!$J306</f>
        <v>152.69999999999999</v>
      </c>
      <c r="O221" s="23">
        <f t="shared" ref="O221:O376" si="209">O209</f>
        <v>54.9</v>
      </c>
      <c r="P221" s="148">
        <f t="shared" si="207"/>
        <v>-97.799999999999983</v>
      </c>
      <c r="Q221" s="474">
        <f t="shared" si="179"/>
        <v>17619.077999999998</v>
      </c>
      <c r="R221" s="472">
        <f t="shared" si="180"/>
        <v>-64483.45199999999</v>
      </c>
      <c r="S221" s="337">
        <f t="shared" si="181"/>
        <v>-46864</v>
      </c>
      <c r="T221" s="29" t="s">
        <v>18</v>
      </c>
      <c r="U221" s="23">
        <f>U209+1</f>
        <v>2001</v>
      </c>
      <c r="V221" s="23">
        <f>V209</f>
        <v>1</v>
      </c>
      <c r="W221" s="336">
        <f t="shared" si="182"/>
        <v>5530.6234718826408</v>
      </c>
      <c r="X221" s="338">
        <f t="shared" ref="X221:X226" si="210">W221-W209</f>
        <v>230.89851747443754</v>
      </c>
      <c r="Y221" s="339"/>
      <c r="Z221" s="178">
        <f t="shared" si="184"/>
        <v>814329</v>
      </c>
      <c r="AA221" s="340">
        <f t="shared" si="185"/>
        <v>-46864</v>
      </c>
      <c r="AB221" s="518">
        <f>[9]CMWh!$L101</f>
        <v>803065</v>
      </c>
      <c r="AC221" s="341">
        <f>RESID!AC221</f>
        <v>31.85</v>
      </c>
      <c r="AD221" s="342">
        <f t="shared" si="186"/>
        <v>822527.2</v>
      </c>
      <c r="AE221" s="342">
        <f t="shared" ref="AE221:AE282" si="211">AD221-AD209</f>
        <v>128457.89999999991</v>
      </c>
      <c r="AF221" s="23">
        <f t="shared" si="172"/>
        <v>-83426</v>
      </c>
      <c r="AG221" s="23">
        <f t="shared" si="187"/>
        <v>777767</v>
      </c>
      <c r="AJ221" s="352">
        <f t="shared" si="195"/>
        <v>755632</v>
      </c>
      <c r="AK221" s="352">
        <f t="shared" si="196"/>
        <v>42531</v>
      </c>
      <c r="AL221" s="353">
        <f t="shared" si="201"/>
        <v>17766.617290917213</v>
      </c>
      <c r="AM221" s="352">
        <f t="shared" si="197"/>
        <v>97824</v>
      </c>
      <c r="AN221" s="352">
        <f t="shared" si="198"/>
        <v>101012</v>
      </c>
      <c r="AO221" s="353">
        <f t="shared" si="202"/>
        <v>968.43939333940523</v>
      </c>
      <c r="AP221" s="352">
        <f t="shared" si="199"/>
        <v>7737</v>
      </c>
      <c r="AQ221" s="352">
        <f t="shared" si="200"/>
        <v>3697</v>
      </c>
      <c r="AR221" s="353">
        <f t="shared" si="203"/>
        <v>2092.7779280497703</v>
      </c>
      <c r="AX221" s="23">
        <f>AX209+1</f>
        <v>2001</v>
      </c>
      <c r="AY221" s="23">
        <f>AY209</f>
        <v>1</v>
      </c>
      <c r="AZ221" s="344">
        <f>'[8]COM 55 &amp; 65'!$S306</f>
        <v>37.1</v>
      </c>
      <c r="BA221" s="344">
        <f t="shared" si="145"/>
        <v>72.3</v>
      </c>
      <c r="BB221" s="372">
        <f t="shared" si="192"/>
        <v>35.199999999999996</v>
      </c>
      <c r="BC221" s="372"/>
      <c r="BD221" s="344">
        <f>'[8]COM 55 &amp; 65'!$J306</f>
        <v>135.6</v>
      </c>
      <c r="BE221" s="344">
        <f t="shared" si="146"/>
        <v>52.4</v>
      </c>
      <c r="BF221" s="373">
        <f t="shared" si="193"/>
        <v>-83.199999999999989</v>
      </c>
      <c r="BG221" s="335"/>
      <c r="BH221" s="335">
        <f t="shared" si="188"/>
        <v>24038.431999999997</v>
      </c>
      <c r="BI221" s="336">
        <f t="shared" si="189"/>
        <v>-54857.087999999996</v>
      </c>
      <c r="BJ221" s="336"/>
      <c r="BK221" s="337">
        <f t="shared" si="190"/>
        <v>-30819</v>
      </c>
      <c r="BL221" s="343"/>
      <c r="BM221" s="229" t="s">
        <v>18</v>
      </c>
      <c r="BN221" s="23">
        <f>BN209+1</f>
        <v>2001</v>
      </c>
      <c r="BO221" s="23">
        <f>BO209</f>
        <v>1</v>
      </c>
      <c r="BP221" s="50">
        <f>C221+[4]MWh!$AK55</f>
        <v>718842.84039390157</v>
      </c>
      <c r="BQ221" s="344">
        <f t="shared" si="173"/>
        <v>4882.1165470925125</v>
      </c>
      <c r="BR221" s="345">
        <f t="shared" si="174"/>
        <v>4672.805218649155</v>
      </c>
      <c r="BS221" s="50">
        <f t="shared" ref="BS221:BU226" si="212">BR221-BR209</f>
        <v>-585.10643853830243</v>
      </c>
      <c r="BT221" s="178">
        <f t="shared" si="175"/>
        <v>688023.84039390157</v>
      </c>
      <c r="BU221" s="50">
        <f t="shared" si="212"/>
        <v>-15463.707691151416</v>
      </c>
      <c r="BV221" s="159">
        <f t="shared" si="176"/>
        <v>-30819</v>
      </c>
      <c r="BW221" s="534"/>
      <c r="BX221" s="140"/>
    </row>
    <row r="222" spans="1:81" s="23" customFormat="1" ht="12.75" customHeight="1">
      <c r="A222" s="51">
        <f t="shared" ref="A222:A285" si="213">A210+1</f>
        <v>2001</v>
      </c>
      <c r="B222" s="23">
        <f t="shared" ref="B222:B285" si="214">B210</f>
        <v>2</v>
      </c>
      <c r="C222" s="141">
        <f>'[2]FPC wSEB'!$E319</f>
        <v>783016</v>
      </c>
      <c r="D222" s="141">
        <f>'[2]FPC wSEB'!$Y319</f>
        <v>144594</v>
      </c>
      <c r="E222" s="333">
        <f t="shared" ref="E222:E227" si="215">ROUND((C222/D222)*1000,1)</f>
        <v>5415.3</v>
      </c>
      <c r="F222" s="13">
        <v>78183</v>
      </c>
      <c r="G222" s="13">
        <v>99201</v>
      </c>
      <c r="H222" s="13">
        <v>7595</v>
      </c>
      <c r="I222" s="13">
        <v>3725</v>
      </c>
      <c r="J222" s="574">
        <f>[5]CC!$E102</f>
        <v>145430</v>
      </c>
      <c r="K222" s="23">
        <f>'[7]COM 55 &amp; 65'!$S307</f>
        <v>67</v>
      </c>
      <c r="L222" s="23">
        <f t="shared" ref="L222:L376" si="216">L210</f>
        <v>62.7</v>
      </c>
      <c r="M222" s="334">
        <f t="shared" si="208"/>
        <v>-4.2999999999999972</v>
      </c>
      <c r="N222" s="23">
        <f>'[7]COM 55 &amp; 65'!$J307</f>
        <v>68.599999999999994</v>
      </c>
      <c r="O222" s="23">
        <f t="shared" si="209"/>
        <v>46.9</v>
      </c>
      <c r="P222" s="148">
        <f t="shared" si="207"/>
        <v>-21.699999999999996</v>
      </c>
      <c r="Q222" s="474">
        <f t="shared" si="179"/>
        <v>-2936.5129999999981</v>
      </c>
      <c r="R222" s="472">
        <f t="shared" si="180"/>
        <v>-14307.677999999998</v>
      </c>
      <c r="S222" s="337">
        <f t="shared" si="181"/>
        <v>-17244</v>
      </c>
      <c r="T222" s="29" t="s">
        <v>18</v>
      </c>
      <c r="U222" s="23">
        <f t="shared" ref="U222:U363" si="217">U210+1</f>
        <v>2001</v>
      </c>
      <c r="V222" s="23">
        <f t="shared" ref="V222:V363" si="218">V210</f>
        <v>2</v>
      </c>
      <c r="W222" s="336">
        <f t="shared" si="182"/>
        <v>5296.0150490338465</v>
      </c>
      <c r="X222" s="338">
        <f t="shared" si="210"/>
        <v>-206.17846537127116</v>
      </c>
      <c r="Y222" s="339"/>
      <c r="Z222" s="178">
        <f t="shared" si="184"/>
        <v>765772</v>
      </c>
      <c r="AA222" s="340">
        <f t="shared" si="185"/>
        <v>-17244</v>
      </c>
      <c r="AB222" s="518">
        <f>[9]CMWh!$L102</f>
        <v>769670</v>
      </c>
      <c r="AC222" s="341">
        <f>RESID!AC222</f>
        <v>29.55</v>
      </c>
      <c r="AD222" s="342">
        <f t="shared" si="186"/>
        <v>806069.3</v>
      </c>
      <c r="AE222" s="342">
        <f t="shared" si="211"/>
        <v>11915.70000000007</v>
      </c>
      <c r="AF222" s="23">
        <f t="shared" si="172"/>
        <v>5302</v>
      </c>
      <c r="AG222" s="23">
        <f t="shared" si="187"/>
        <v>788318</v>
      </c>
      <c r="AJ222" s="352">
        <f t="shared" si="195"/>
        <v>697238</v>
      </c>
      <c r="AK222" s="352">
        <f t="shared" si="196"/>
        <v>41668</v>
      </c>
      <c r="AL222" s="353">
        <f t="shared" si="201"/>
        <v>16733.176538350774</v>
      </c>
      <c r="AM222" s="352">
        <f t="shared" si="197"/>
        <v>78183</v>
      </c>
      <c r="AN222" s="352">
        <f t="shared" si="198"/>
        <v>99201</v>
      </c>
      <c r="AO222" s="353">
        <f t="shared" si="202"/>
        <v>788.12713581516311</v>
      </c>
      <c r="AP222" s="352">
        <f t="shared" si="199"/>
        <v>7595</v>
      </c>
      <c r="AQ222" s="352">
        <f t="shared" si="200"/>
        <v>3725</v>
      </c>
      <c r="AR222" s="353">
        <f t="shared" si="203"/>
        <v>2038.9261744966443</v>
      </c>
      <c r="AX222" s="23">
        <f t="shared" ref="AX222:AX285" si="219">AX210+1</f>
        <v>2001</v>
      </c>
      <c r="AY222" s="23">
        <f t="shared" ref="AY222:AY285" si="220">AY210</f>
        <v>2</v>
      </c>
      <c r="AZ222" s="344">
        <f>'[8]COM 55 &amp; 65'!$S307</f>
        <v>131.4</v>
      </c>
      <c r="BA222" s="344">
        <f t="shared" ref="BA222:BA376" si="221">BA210</f>
        <v>82.6</v>
      </c>
      <c r="BB222" s="372">
        <f t="shared" si="192"/>
        <v>-48.800000000000011</v>
      </c>
      <c r="BC222" s="372"/>
      <c r="BD222" s="344">
        <f>'[8]COM 55 &amp; 65'!$J307</f>
        <v>14.5</v>
      </c>
      <c r="BE222" s="344">
        <f t="shared" ref="BE222:BE376" si="222">BE210</f>
        <v>36.5</v>
      </c>
      <c r="BF222" s="373">
        <f t="shared" si="193"/>
        <v>22</v>
      </c>
      <c r="BG222" s="335"/>
      <c r="BH222" s="335">
        <f t="shared" si="188"/>
        <v>-33326.008000000009</v>
      </c>
      <c r="BI222" s="336">
        <f t="shared" si="189"/>
        <v>14505.480000000001</v>
      </c>
      <c r="BJ222" s="336"/>
      <c r="BK222" s="337">
        <f t="shared" si="190"/>
        <v>-18821</v>
      </c>
      <c r="BL222" s="343"/>
      <c r="BM222" s="229" t="s">
        <v>18</v>
      </c>
      <c r="BN222" s="23">
        <f t="shared" ref="BN222:BN364" si="223">BN210+1</f>
        <v>2001</v>
      </c>
      <c r="BO222" s="23">
        <f t="shared" ref="BO222:BO364" si="224">BO210</f>
        <v>2</v>
      </c>
      <c r="BP222" s="50">
        <f>C222+[4]MWh!$AK56</f>
        <v>761489.64398315398</v>
      </c>
      <c r="BQ222" s="344">
        <f t="shared" si="173"/>
        <v>5266.3986332984359</v>
      </c>
      <c r="BR222" s="345">
        <f t="shared" si="174"/>
        <v>5136.2341728090651</v>
      </c>
      <c r="BS222" s="50">
        <f t="shared" si="212"/>
        <v>428.2630227034133</v>
      </c>
      <c r="BT222" s="178">
        <f t="shared" si="175"/>
        <v>742668.64398315398</v>
      </c>
      <c r="BU222" s="50">
        <f t="shared" si="212"/>
        <v>63360.194705559523</v>
      </c>
      <c r="BV222" s="159">
        <f t="shared" si="176"/>
        <v>-18821</v>
      </c>
      <c r="BW222" s="534"/>
    </row>
    <row r="223" spans="1:81" ht="12.75" customHeight="1">
      <c r="A223" s="22">
        <f t="shared" si="213"/>
        <v>2001</v>
      </c>
      <c r="B223" s="4">
        <f t="shared" si="214"/>
        <v>3</v>
      </c>
      <c r="C223" s="5">
        <f>'[2]FPC wSEB'!$E320</f>
        <v>778284</v>
      </c>
      <c r="D223" s="5">
        <f>'[2]FPC wSEB'!$Y320</f>
        <v>140517</v>
      </c>
      <c r="E223" s="74">
        <f t="shared" si="215"/>
        <v>5538.7</v>
      </c>
      <c r="F223" s="13">
        <v>72611</v>
      </c>
      <c r="G223" s="13">
        <v>96557</v>
      </c>
      <c r="H223" s="13">
        <v>7500</v>
      </c>
      <c r="I223" s="13">
        <v>3729</v>
      </c>
      <c r="J223" s="574">
        <f>[5]CC!$E103</f>
        <v>145814</v>
      </c>
      <c r="K223" s="4">
        <f>'[7]COM 55 &amp; 65'!$S308</f>
        <v>145.30000000000001</v>
      </c>
      <c r="L223" s="4">
        <f t="shared" si="216"/>
        <v>105.4</v>
      </c>
      <c r="M223" s="135">
        <f t="shared" si="208"/>
        <v>-39.900000000000006</v>
      </c>
      <c r="N223" s="4">
        <f>'[7]COM 55 &amp; 65'!$J308</f>
        <v>13.2</v>
      </c>
      <c r="O223" s="4">
        <f t="shared" si="209"/>
        <v>26.8</v>
      </c>
      <c r="P223" s="41">
        <f t="shared" ref="P223:P228" si="225">(O223-N223)</f>
        <v>13.600000000000001</v>
      </c>
      <c r="Q223" s="474">
        <f t="shared" si="179"/>
        <v>-27248.109000000004</v>
      </c>
      <c r="R223" s="472">
        <f t="shared" si="180"/>
        <v>8967.0240000000013</v>
      </c>
      <c r="S223" s="241">
        <f t="shared" si="181"/>
        <v>-18281</v>
      </c>
      <c r="T223" s="13" t="s">
        <v>18</v>
      </c>
      <c r="U223" s="4">
        <f t="shared" si="217"/>
        <v>2001</v>
      </c>
      <c r="V223" s="4">
        <f t="shared" si="218"/>
        <v>3</v>
      </c>
      <c r="W223" s="242">
        <f t="shared" si="182"/>
        <v>5408.6195976287572</v>
      </c>
      <c r="X223" s="131">
        <f t="shared" si="210"/>
        <v>5.8945979819200147</v>
      </c>
      <c r="Z223" s="175">
        <f t="shared" si="184"/>
        <v>760003</v>
      </c>
      <c r="AA223" s="12">
        <f t="shared" si="185"/>
        <v>-18281</v>
      </c>
      <c r="AB223" s="519">
        <f>[9]CMWh!$L103</f>
        <v>790682</v>
      </c>
      <c r="AC223" s="107">
        <f>RESID!AC223</f>
        <v>29.4</v>
      </c>
      <c r="AD223" s="243">
        <f t="shared" si="186"/>
        <v>805285.7</v>
      </c>
      <c r="AE223" s="243">
        <f t="shared" si="211"/>
        <v>9413.6999999999534</v>
      </c>
      <c r="AF223" s="4">
        <f t="shared" si="172"/>
        <v>8086</v>
      </c>
      <c r="AG223" s="4">
        <f t="shared" si="187"/>
        <v>786370</v>
      </c>
      <c r="AJ223" s="269">
        <f t="shared" si="195"/>
        <v>698173</v>
      </c>
      <c r="AK223" s="269">
        <f t="shared" si="196"/>
        <v>40231</v>
      </c>
      <c r="AL223" s="276">
        <f t="shared" si="201"/>
        <v>17354.105043374515</v>
      </c>
      <c r="AM223" s="269">
        <f t="shared" si="197"/>
        <v>72611</v>
      </c>
      <c r="AN223" s="269">
        <f t="shared" si="198"/>
        <v>96557</v>
      </c>
      <c r="AO223" s="276">
        <f t="shared" si="202"/>
        <v>752.00140849446439</v>
      </c>
      <c r="AP223" s="269">
        <f t="shared" si="199"/>
        <v>7500</v>
      </c>
      <c r="AQ223" s="269">
        <f t="shared" si="200"/>
        <v>3729</v>
      </c>
      <c r="AR223" s="276">
        <f t="shared" si="203"/>
        <v>2011.2630732099758</v>
      </c>
      <c r="AX223" s="4">
        <f t="shared" si="219"/>
        <v>2001</v>
      </c>
      <c r="AY223" s="4">
        <f t="shared" si="220"/>
        <v>3</v>
      </c>
      <c r="AZ223" s="76">
        <f>'[8]COM 55 &amp; 65'!$S308</f>
        <v>114.6</v>
      </c>
      <c r="BA223" s="76">
        <f t="shared" si="221"/>
        <v>140.4</v>
      </c>
      <c r="BB223" s="362">
        <f t="shared" si="192"/>
        <v>25.800000000000011</v>
      </c>
      <c r="BC223" s="362"/>
      <c r="BD223" s="76">
        <f>'[8]COM 55 &amp; 65'!$J308</f>
        <v>17.399999999999999</v>
      </c>
      <c r="BE223" s="76">
        <f t="shared" si="222"/>
        <v>15.1</v>
      </c>
      <c r="BF223" s="363">
        <f t="shared" si="193"/>
        <v>-2.2999999999999989</v>
      </c>
      <c r="BG223" s="244"/>
      <c r="BH223" s="244">
        <f t="shared" si="188"/>
        <v>17619.078000000009</v>
      </c>
      <c r="BI223" s="242">
        <f t="shared" si="189"/>
        <v>-1516.4819999999993</v>
      </c>
      <c r="BJ223" s="242"/>
      <c r="BK223" s="241">
        <f t="shared" si="190"/>
        <v>16103</v>
      </c>
      <c r="BL223" s="262"/>
      <c r="BM223" s="36" t="s">
        <v>18</v>
      </c>
      <c r="BN223" s="4">
        <f t="shared" si="223"/>
        <v>2001</v>
      </c>
      <c r="BO223" s="4">
        <f t="shared" si="224"/>
        <v>3</v>
      </c>
      <c r="BP223" s="108">
        <f>C223+[4]MWh!$AK57</f>
        <v>850072.1972547269</v>
      </c>
      <c r="BQ223" s="76">
        <f t="shared" si="173"/>
        <v>6049.6039429729271</v>
      </c>
      <c r="BR223" s="130">
        <f t="shared" si="174"/>
        <v>6164.2021766386051</v>
      </c>
      <c r="BS223" s="108">
        <f t="shared" si="212"/>
        <v>21.338771710896253</v>
      </c>
      <c r="BT223" s="175">
        <f t="shared" si="175"/>
        <v>866175.1972547269</v>
      </c>
      <c r="BU223" s="108">
        <f t="shared" si="212"/>
        <v>-3519.1178881281521</v>
      </c>
      <c r="BV223" s="137">
        <f t="shared" si="176"/>
        <v>16103</v>
      </c>
      <c r="BW223" s="529"/>
    </row>
    <row r="224" spans="1:81" ht="12.75" customHeight="1">
      <c r="A224" s="22">
        <f t="shared" si="213"/>
        <v>2001</v>
      </c>
      <c r="B224" s="4">
        <f t="shared" si="214"/>
        <v>4</v>
      </c>
      <c r="C224" s="5">
        <f>'[2]FPC wSEB'!$E321</f>
        <v>872437</v>
      </c>
      <c r="D224" s="5">
        <f>'[2]FPC wSEB'!$Y321</f>
        <v>149771</v>
      </c>
      <c r="E224" s="74">
        <f t="shared" si="215"/>
        <v>5825.1</v>
      </c>
      <c r="F224" s="13">
        <v>79446</v>
      </c>
      <c r="G224" s="13">
        <v>102777</v>
      </c>
      <c r="H224" s="13">
        <v>7828</v>
      </c>
      <c r="I224" s="13">
        <v>3769</v>
      </c>
      <c r="J224" s="574">
        <f>[5]CC!$E104</f>
        <v>145889</v>
      </c>
      <c r="K224" s="4">
        <f>'[7]COM 55 &amp; 65'!$S309</f>
        <v>159.6</v>
      </c>
      <c r="L224" s="4">
        <f t="shared" si="216"/>
        <v>178.4</v>
      </c>
      <c r="M224" s="135">
        <f t="shared" si="208"/>
        <v>18.800000000000011</v>
      </c>
      <c r="N224" s="4">
        <f>'[7]COM 55 &amp; 65'!$J309</f>
        <v>10.8</v>
      </c>
      <c r="O224" s="4">
        <f t="shared" si="209"/>
        <v>9.5</v>
      </c>
      <c r="P224" s="41">
        <f t="shared" si="225"/>
        <v>-1.3000000000000007</v>
      </c>
      <c r="Q224" s="474">
        <f t="shared" si="179"/>
        <v>12838.708000000008</v>
      </c>
      <c r="R224" s="472">
        <f t="shared" si="180"/>
        <v>-857.14200000000051</v>
      </c>
      <c r="S224" s="241">
        <f t="shared" si="181"/>
        <v>11982</v>
      </c>
      <c r="T224" s="13" t="s">
        <v>18</v>
      </c>
      <c r="U224" s="4">
        <f t="shared" si="217"/>
        <v>2001</v>
      </c>
      <c r="V224" s="4">
        <f t="shared" si="218"/>
        <v>4</v>
      </c>
      <c r="W224" s="242">
        <f t="shared" si="182"/>
        <v>5905.1418498908333</v>
      </c>
      <c r="X224" s="131">
        <f t="shared" si="210"/>
        <v>67.769480215383737</v>
      </c>
      <c r="Z224" s="175">
        <f t="shared" si="184"/>
        <v>884419</v>
      </c>
      <c r="AA224" s="12">
        <f t="shared" si="185"/>
        <v>11982</v>
      </c>
      <c r="AB224" s="519">
        <f>[9]CMWh!$L104</f>
        <v>856291</v>
      </c>
      <c r="AC224" s="107">
        <f>RESID!AC224</f>
        <v>30.05</v>
      </c>
      <c r="AD224" s="243">
        <f t="shared" si="186"/>
        <v>883179.2</v>
      </c>
      <c r="AE224" s="243">
        <f t="shared" si="211"/>
        <v>46576.29999999993</v>
      </c>
      <c r="AF224" s="4">
        <f t="shared" si="172"/>
        <v>22872</v>
      </c>
      <c r="AG224" s="4">
        <f t="shared" si="187"/>
        <v>895309</v>
      </c>
      <c r="AJ224" s="269">
        <f t="shared" si="195"/>
        <v>785163</v>
      </c>
      <c r="AK224" s="269">
        <f t="shared" si="196"/>
        <v>43225</v>
      </c>
      <c r="AL224" s="276">
        <f t="shared" si="201"/>
        <v>18164.557547715442</v>
      </c>
      <c r="AM224" s="269">
        <f t="shared" si="197"/>
        <v>79446</v>
      </c>
      <c r="AN224" s="269">
        <f t="shared" si="198"/>
        <v>102777</v>
      </c>
      <c r="AO224" s="276">
        <f t="shared" si="202"/>
        <v>772.99395779211295</v>
      </c>
      <c r="AP224" s="269">
        <f t="shared" si="199"/>
        <v>7828</v>
      </c>
      <c r="AQ224" s="269">
        <f t="shared" si="200"/>
        <v>3769</v>
      </c>
      <c r="AR224" s="276">
        <f t="shared" si="203"/>
        <v>2076.9434863358983</v>
      </c>
      <c r="AX224" s="4">
        <f t="shared" si="219"/>
        <v>2001</v>
      </c>
      <c r="AY224" s="4">
        <f t="shared" si="220"/>
        <v>4</v>
      </c>
      <c r="AZ224" s="76">
        <f>'[8]COM 55 &amp; 65'!$S309</f>
        <v>232.2</v>
      </c>
      <c r="BA224" s="76">
        <f t="shared" si="221"/>
        <v>227.4</v>
      </c>
      <c r="BB224" s="362">
        <f t="shared" si="192"/>
        <v>-4.7999999999999829</v>
      </c>
      <c r="BC224" s="362"/>
      <c r="BD224" s="76">
        <f>'[8]COM 55 &amp; 65'!$J309</f>
        <v>6.1</v>
      </c>
      <c r="BE224" s="76">
        <f t="shared" si="222"/>
        <v>4.8</v>
      </c>
      <c r="BF224" s="363">
        <f t="shared" si="193"/>
        <v>-1.2999999999999998</v>
      </c>
      <c r="BG224" s="244"/>
      <c r="BH224" s="244">
        <f t="shared" si="188"/>
        <v>-3277.967999999988</v>
      </c>
      <c r="BI224" s="242">
        <f t="shared" si="189"/>
        <v>-857.14199999999994</v>
      </c>
      <c r="BJ224" s="242"/>
      <c r="BK224" s="241">
        <f t="shared" si="190"/>
        <v>-4135</v>
      </c>
      <c r="BL224" s="262"/>
      <c r="BM224" s="36" t="s">
        <v>18</v>
      </c>
      <c r="BN224" s="4">
        <f t="shared" si="223"/>
        <v>2001</v>
      </c>
      <c r="BO224" s="4">
        <f t="shared" si="224"/>
        <v>4</v>
      </c>
      <c r="BP224" s="108">
        <f>C224+[4]MWh!$AK58</f>
        <v>903165.80579053028</v>
      </c>
      <c r="BQ224" s="76">
        <f t="shared" si="173"/>
        <v>6030.3116477190524</v>
      </c>
      <c r="BR224" s="130">
        <f t="shared" si="174"/>
        <v>6002.7028315931002</v>
      </c>
      <c r="BS224" s="108">
        <f t="shared" si="212"/>
        <v>89.974639411164389</v>
      </c>
      <c r="BT224" s="175">
        <f t="shared" si="175"/>
        <v>899030.80579053028</v>
      </c>
      <c r="BU224" s="108">
        <f t="shared" si="212"/>
        <v>43139.749059426365</v>
      </c>
      <c r="BV224" s="137">
        <f t="shared" si="176"/>
        <v>-4135</v>
      </c>
      <c r="BW224" s="529"/>
    </row>
    <row r="225" spans="1:81" ht="12.75" customHeight="1">
      <c r="A225" s="22">
        <f t="shared" si="213"/>
        <v>2001</v>
      </c>
      <c r="B225" s="4">
        <f t="shared" si="214"/>
        <v>5</v>
      </c>
      <c r="C225" s="5">
        <f>'[2]FPC wSEB'!$E322</f>
        <v>878941</v>
      </c>
      <c r="D225" s="5">
        <f>'[2]FPC wSEB'!$Y322</f>
        <v>146146</v>
      </c>
      <c r="E225" s="74">
        <f t="shared" si="215"/>
        <v>6014.1</v>
      </c>
      <c r="F225" s="13">
        <v>87988</v>
      </c>
      <c r="G225" s="13">
        <v>100402</v>
      </c>
      <c r="H225" s="13">
        <v>7858</v>
      </c>
      <c r="I225" s="13">
        <v>3777</v>
      </c>
      <c r="J225" s="574">
        <f>[5]CC!$E105</f>
        <v>146061</v>
      </c>
      <c r="K225" s="4">
        <f>'[7]COM 55 &amp; 65'!$S310</f>
        <v>252.6</v>
      </c>
      <c r="L225" s="4">
        <f t="shared" si="216"/>
        <v>273.89999999999998</v>
      </c>
      <c r="M225" s="135">
        <f t="shared" si="208"/>
        <v>21.299999999999983</v>
      </c>
      <c r="N225" s="4">
        <f>'[7]COM 55 &amp; 65'!$J310</f>
        <v>3.8</v>
      </c>
      <c r="O225" s="4">
        <f t="shared" si="209"/>
        <v>2</v>
      </c>
      <c r="P225" s="41">
        <f t="shared" si="225"/>
        <v>-1.7999999999999998</v>
      </c>
      <c r="Q225" s="474">
        <f t="shared" si="179"/>
        <v>14545.982999999987</v>
      </c>
      <c r="R225" s="472">
        <f t="shared" si="180"/>
        <v>-1186.8119999999999</v>
      </c>
      <c r="S225" s="241">
        <f t="shared" si="181"/>
        <v>13359</v>
      </c>
      <c r="T225" s="13" t="s">
        <v>18</v>
      </c>
      <c r="U225" s="4">
        <f t="shared" si="217"/>
        <v>2001</v>
      </c>
      <c r="V225" s="4">
        <f t="shared" si="218"/>
        <v>5</v>
      </c>
      <c r="W225" s="242">
        <f t="shared" si="182"/>
        <v>6105.5382973191199</v>
      </c>
      <c r="X225" s="131">
        <f t="shared" si="210"/>
        <v>-159.62072918412559</v>
      </c>
      <c r="Z225" s="175">
        <f t="shared" si="184"/>
        <v>892300</v>
      </c>
      <c r="AA225" s="12">
        <f t="shared" si="185"/>
        <v>13359</v>
      </c>
      <c r="AB225" s="519">
        <f>[9]CMWh!$L105</f>
        <v>890160</v>
      </c>
      <c r="AC225" s="107">
        <f>RESID!AC225</f>
        <v>30.15</v>
      </c>
      <c r="AD225" s="243">
        <f t="shared" si="186"/>
        <v>886812.1</v>
      </c>
      <c r="AE225" s="243">
        <f t="shared" si="211"/>
        <v>548.59999999997672</v>
      </c>
      <c r="AF225" s="4">
        <f t="shared" si="172"/>
        <v>21350</v>
      </c>
      <c r="AG225" s="4">
        <f t="shared" si="187"/>
        <v>900291</v>
      </c>
      <c r="AJ225" s="269">
        <f t="shared" si="195"/>
        <v>783095</v>
      </c>
      <c r="AK225" s="269">
        <f t="shared" si="196"/>
        <v>41967</v>
      </c>
      <c r="AL225" s="276">
        <f t="shared" si="201"/>
        <v>18659.780303571853</v>
      </c>
      <c r="AM225" s="269">
        <f t="shared" si="197"/>
        <v>87988</v>
      </c>
      <c r="AN225" s="269">
        <f t="shared" si="198"/>
        <v>100402</v>
      </c>
      <c r="AO225" s="276">
        <f t="shared" si="202"/>
        <v>876.35704468038489</v>
      </c>
      <c r="AP225" s="269">
        <f t="shared" si="199"/>
        <v>7858</v>
      </c>
      <c r="AQ225" s="269">
        <f t="shared" si="200"/>
        <v>3777</v>
      </c>
      <c r="AR225" s="276">
        <f t="shared" si="203"/>
        <v>2080.4871591209958</v>
      </c>
      <c r="AX225" s="4">
        <f t="shared" si="219"/>
        <v>2001</v>
      </c>
      <c r="AY225" s="4">
        <f t="shared" si="220"/>
        <v>5</v>
      </c>
      <c r="AZ225" s="76">
        <f>'[8]COM 55 &amp; 65'!$S310</f>
        <v>358.3</v>
      </c>
      <c r="BA225" s="76">
        <f t="shared" si="221"/>
        <v>395.2</v>
      </c>
      <c r="BB225" s="362">
        <f t="shared" si="192"/>
        <v>36.899999999999977</v>
      </c>
      <c r="BC225" s="362"/>
      <c r="BD225" s="76">
        <f>'[8]COM 55 &amp; 65'!$J310</f>
        <v>0.1</v>
      </c>
      <c r="BE225" s="76">
        <f t="shared" si="222"/>
        <v>0.2</v>
      </c>
      <c r="BF225" s="363">
        <f t="shared" si="193"/>
        <v>0.1</v>
      </c>
      <c r="BG225" s="244"/>
      <c r="BH225" s="244">
        <f t="shared" si="188"/>
        <v>25199.378999999983</v>
      </c>
      <c r="BI225" s="242">
        <f t="shared" si="189"/>
        <v>65.934000000000012</v>
      </c>
      <c r="BJ225" s="242"/>
      <c r="BK225" s="241">
        <f t="shared" si="190"/>
        <v>25265</v>
      </c>
      <c r="BL225" s="262"/>
      <c r="BM225" s="36" t="s">
        <v>18</v>
      </c>
      <c r="BN225" s="4">
        <f t="shared" si="223"/>
        <v>2001</v>
      </c>
      <c r="BO225" s="4">
        <f t="shared" si="224"/>
        <v>5</v>
      </c>
      <c r="BP225" s="108">
        <f>C225+[4]MWh!$AK59</f>
        <v>991440.57461144309</v>
      </c>
      <c r="BQ225" s="76">
        <f t="shared" si="173"/>
        <v>6783.9049622394259</v>
      </c>
      <c r="BR225" s="130">
        <f t="shared" si="174"/>
        <v>6956.7800323747697</v>
      </c>
      <c r="BS225" s="108">
        <f t="shared" si="212"/>
        <v>-377.95874774244021</v>
      </c>
      <c r="BT225" s="175">
        <f t="shared" si="175"/>
        <v>1016705.5746114431</v>
      </c>
      <c r="BU225" s="108">
        <f t="shared" si="212"/>
        <v>-26360.292570245219</v>
      </c>
      <c r="BV225" s="137">
        <f t="shared" si="176"/>
        <v>25265</v>
      </c>
      <c r="BW225" s="529"/>
    </row>
    <row r="226" spans="1:81" ht="12.75" customHeight="1">
      <c r="A226" s="22">
        <f t="shared" si="213"/>
        <v>2001</v>
      </c>
      <c r="B226" s="4">
        <f t="shared" si="214"/>
        <v>6</v>
      </c>
      <c r="C226" s="5">
        <f>'[2]FPC wSEB'!$E323</f>
        <v>1028951</v>
      </c>
      <c r="D226" s="5">
        <f>'[2]FPC wSEB'!$Y323</f>
        <v>147130</v>
      </c>
      <c r="E226" s="74">
        <f t="shared" si="215"/>
        <v>6993.5</v>
      </c>
      <c r="F226" s="13">
        <v>107476</v>
      </c>
      <c r="G226" s="13">
        <v>100913</v>
      </c>
      <c r="H226" s="13">
        <v>8037</v>
      </c>
      <c r="I226" s="13">
        <v>3800</v>
      </c>
      <c r="J226" s="574">
        <f>[5]CC!$E106</f>
        <v>146412</v>
      </c>
      <c r="K226" s="4">
        <f>'[7]COM 55 &amp; 65'!$S311</f>
        <v>442.8</v>
      </c>
      <c r="L226" s="4">
        <f t="shared" si="216"/>
        <v>442.7</v>
      </c>
      <c r="M226" s="135">
        <f t="shared" si="208"/>
        <v>-0.10000000000002274</v>
      </c>
      <c r="N226" s="4">
        <f>'[7]COM 55 &amp; 65'!$J311</f>
        <v>0</v>
      </c>
      <c r="O226" s="4">
        <f t="shared" si="209"/>
        <v>0.1</v>
      </c>
      <c r="P226" s="41">
        <f t="shared" si="225"/>
        <v>0.1</v>
      </c>
      <c r="Q226" s="474">
        <f t="shared" si="179"/>
        <v>-68.291000000015529</v>
      </c>
      <c r="R226" s="472">
        <f t="shared" si="180"/>
        <v>65.934000000000012</v>
      </c>
      <c r="S226" s="241">
        <f t="shared" si="181"/>
        <v>-2</v>
      </c>
      <c r="T226" s="13" t="s">
        <v>18</v>
      </c>
      <c r="U226" s="4">
        <f t="shared" si="217"/>
        <v>2001</v>
      </c>
      <c r="V226" s="4">
        <f t="shared" si="218"/>
        <v>6</v>
      </c>
      <c r="W226" s="242">
        <f t="shared" si="182"/>
        <v>6993.4683613131247</v>
      </c>
      <c r="X226" s="131">
        <f t="shared" si="210"/>
        <v>95.839390627032117</v>
      </c>
      <c r="Z226" s="175">
        <f t="shared" si="184"/>
        <v>1028949</v>
      </c>
      <c r="AA226" s="12">
        <f t="shared" si="185"/>
        <v>-2</v>
      </c>
      <c r="AB226" s="519">
        <f>[9]CMWh!$L106</f>
        <v>1018561</v>
      </c>
      <c r="AC226" s="107">
        <f>RESID!AC226</f>
        <v>30.8</v>
      </c>
      <c r="AD226" s="243">
        <f t="shared" si="186"/>
        <v>1016256.2</v>
      </c>
      <c r="AE226" s="243">
        <f t="shared" si="211"/>
        <v>14795.199999999953</v>
      </c>
      <c r="AF226" s="4">
        <f t="shared" si="172"/>
        <v>-12697</v>
      </c>
      <c r="AG226" s="4">
        <f t="shared" si="187"/>
        <v>1016254</v>
      </c>
      <c r="AJ226" s="269">
        <f t="shared" si="195"/>
        <v>913438</v>
      </c>
      <c r="AK226" s="269">
        <f t="shared" si="196"/>
        <v>42417</v>
      </c>
      <c r="AL226" s="276">
        <f t="shared" si="201"/>
        <v>21534.714854893085</v>
      </c>
      <c r="AM226" s="269">
        <f t="shared" si="197"/>
        <v>107476</v>
      </c>
      <c r="AN226" s="269">
        <f t="shared" si="198"/>
        <v>100913</v>
      </c>
      <c r="AO226" s="276">
        <f t="shared" si="202"/>
        <v>1065.03621931763</v>
      </c>
      <c r="AP226" s="269">
        <f t="shared" si="199"/>
        <v>8037</v>
      </c>
      <c r="AQ226" s="269">
        <f t="shared" si="200"/>
        <v>3800</v>
      </c>
      <c r="AR226" s="276">
        <f t="shared" si="203"/>
        <v>2115</v>
      </c>
      <c r="AX226" s="4">
        <f t="shared" si="219"/>
        <v>2001</v>
      </c>
      <c r="AY226" s="4">
        <f t="shared" si="220"/>
        <v>6</v>
      </c>
      <c r="AZ226" s="76">
        <f>'[8]COM 55 &amp; 65'!$S311</f>
        <v>484.7</v>
      </c>
      <c r="BA226" s="76">
        <f t="shared" si="221"/>
        <v>485.1</v>
      </c>
      <c r="BB226" s="362">
        <f t="shared" si="192"/>
        <v>0.40000000000003411</v>
      </c>
      <c r="BC226" s="362"/>
      <c r="BD226" s="76">
        <f>'[8]COM 55 &amp; 65'!$J311</f>
        <v>0</v>
      </c>
      <c r="BE226" s="76">
        <f t="shared" si="222"/>
        <v>0</v>
      </c>
      <c r="BF226" s="363">
        <f t="shared" si="193"/>
        <v>0</v>
      </c>
      <c r="BG226" s="244"/>
      <c r="BH226" s="244">
        <f t="shared" si="188"/>
        <v>273.16400000002329</v>
      </c>
      <c r="BI226" s="242">
        <f t="shared" si="189"/>
        <v>0</v>
      </c>
      <c r="BJ226" s="242"/>
      <c r="BK226" s="241">
        <f t="shared" si="190"/>
        <v>273</v>
      </c>
      <c r="BL226" s="262"/>
      <c r="BM226" s="36" t="s">
        <v>18</v>
      </c>
      <c r="BN226" s="4">
        <f t="shared" si="223"/>
        <v>2001</v>
      </c>
      <c r="BO226" s="4">
        <f t="shared" si="224"/>
        <v>6</v>
      </c>
      <c r="BP226" s="108">
        <f>C226+[4]MWh!$AK60</f>
        <v>1005669.6103808999</v>
      </c>
      <c r="BQ226" s="76">
        <f t="shared" si="173"/>
        <v>6835.2450919656085</v>
      </c>
      <c r="BR226" s="130">
        <f t="shared" si="174"/>
        <v>6837.1005939026709</v>
      </c>
      <c r="BS226" s="108">
        <f t="shared" si="212"/>
        <v>436.77373516150965</v>
      </c>
      <c r="BT226" s="175">
        <f t="shared" si="175"/>
        <v>1005942.6103808999</v>
      </c>
      <c r="BU226" s="108">
        <f t="shared" si="212"/>
        <v>92199.946392718004</v>
      </c>
      <c r="BV226" s="137">
        <f t="shared" si="176"/>
        <v>273</v>
      </c>
      <c r="BW226" s="529"/>
    </row>
    <row r="227" spans="1:81" ht="12.75" customHeight="1">
      <c r="A227" s="22">
        <f t="shared" si="213"/>
        <v>2001</v>
      </c>
      <c r="B227" s="4">
        <f t="shared" si="214"/>
        <v>7</v>
      </c>
      <c r="C227" s="5">
        <f>'[2]FPC wSEB'!$E324</f>
        <v>1023525</v>
      </c>
      <c r="D227" s="5">
        <f>'[2]FPC wSEB'!$Y324</f>
        <v>144937</v>
      </c>
      <c r="E227" s="74">
        <f t="shared" si="215"/>
        <v>7061.9</v>
      </c>
      <c r="F227" s="13">
        <v>103308</v>
      </c>
      <c r="G227" s="13">
        <v>99517</v>
      </c>
      <c r="H227" s="13">
        <v>7848</v>
      </c>
      <c r="I227" s="13">
        <v>3831</v>
      </c>
      <c r="J227" s="574">
        <f>[5]CC!$E107</f>
        <v>146991</v>
      </c>
      <c r="K227" s="4">
        <f>'[7]COM 55 &amp; 65'!$S312</f>
        <v>498.2</v>
      </c>
      <c r="L227" s="4">
        <f t="shared" si="216"/>
        <v>516.1</v>
      </c>
      <c r="M227" s="135">
        <f t="shared" ref="M227:M232" si="226">(L227-K227)</f>
        <v>17.900000000000034</v>
      </c>
      <c r="N227" s="4">
        <f>'[7]COM 55 &amp; 65'!$J312</f>
        <v>0</v>
      </c>
      <c r="O227" s="4">
        <f t="shared" si="209"/>
        <v>0</v>
      </c>
      <c r="P227" s="41">
        <f t="shared" si="225"/>
        <v>0</v>
      </c>
      <c r="Q227" s="474">
        <f t="shared" si="179"/>
        <v>12224.089000000024</v>
      </c>
      <c r="R227" s="472">
        <f t="shared" si="180"/>
        <v>0</v>
      </c>
      <c r="S227" s="241">
        <f t="shared" si="181"/>
        <v>12224</v>
      </c>
      <c r="T227" s="13" t="s">
        <v>18</v>
      </c>
      <c r="U227" s="4">
        <f t="shared" si="217"/>
        <v>2001</v>
      </c>
      <c r="V227" s="4">
        <f t="shared" si="218"/>
        <v>7</v>
      </c>
      <c r="W227" s="242">
        <f t="shared" si="182"/>
        <v>7146.201453045117</v>
      </c>
      <c r="X227" s="131">
        <f t="shared" ref="X227:X232" si="227">W227-W215</f>
        <v>-218.85284525114821</v>
      </c>
      <c r="Z227" s="175">
        <f t="shared" si="184"/>
        <v>1035749</v>
      </c>
      <c r="AA227" s="12">
        <f t="shared" si="185"/>
        <v>12224</v>
      </c>
      <c r="AB227" s="519">
        <f>[9]CMWh!$L107</f>
        <v>1052111</v>
      </c>
      <c r="AC227" s="107">
        <f>RESID!AC227</f>
        <v>30.5</v>
      </c>
      <c r="AD227" s="243">
        <f t="shared" si="186"/>
        <v>1020840.3</v>
      </c>
      <c r="AE227" s="243">
        <f t="shared" si="211"/>
        <v>-2482.7999999999302</v>
      </c>
      <c r="AF227" s="4">
        <f t="shared" si="172"/>
        <v>9507</v>
      </c>
      <c r="AG227" s="4">
        <f t="shared" si="187"/>
        <v>1033032</v>
      </c>
      <c r="AJ227" s="269">
        <f t="shared" si="195"/>
        <v>912369</v>
      </c>
      <c r="AK227" s="269">
        <f t="shared" si="196"/>
        <v>41589</v>
      </c>
      <c r="AL227" s="276">
        <f t="shared" si="201"/>
        <v>21937.747962201545</v>
      </c>
      <c r="AM227" s="269">
        <f t="shared" si="197"/>
        <v>103308</v>
      </c>
      <c r="AN227" s="269">
        <f t="shared" si="198"/>
        <v>99517</v>
      </c>
      <c r="AO227" s="276">
        <f t="shared" si="202"/>
        <v>1038.0939939909763</v>
      </c>
      <c r="AP227" s="269">
        <f t="shared" si="199"/>
        <v>7848</v>
      </c>
      <c r="AQ227" s="269">
        <f t="shared" si="200"/>
        <v>3831</v>
      </c>
      <c r="AR227" s="276">
        <f t="shared" si="203"/>
        <v>2048.5512920908382</v>
      </c>
      <c r="AX227" s="4">
        <f t="shared" si="219"/>
        <v>2001</v>
      </c>
      <c r="AY227" s="4">
        <f t="shared" si="220"/>
        <v>7</v>
      </c>
      <c r="AZ227" s="76">
        <f>'[8]COM 55 &amp; 65'!$S312</f>
        <v>520.5</v>
      </c>
      <c r="BA227" s="76">
        <f t="shared" si="221"/>
        <v>546.1</v>
      </c>
      <c r="BB227" s="362">
        <f t="shared" si="192"/>
        <v>25.600000000000023</v>
      </c>
      <c r="BC227" s="362"/>
      <c r="BD227" s="76">
        <f>'[8]COM 55 &amp; 65'!$J312</f>
        <v>0</v>
      </c>
      <c r="BE227" s="76">
        <f t="shared" si="222"/>
        <v>0</v>
      </c>
      <c r="BF227" s="363">
        <f t="shared" si="193"/>
        <v>0</v>
      </c>
      <c r="BG227" s="244"/>
      <c r="BH227" s="244">
        <f t="shared" si="188"/>
        <v>17482.496000000014</v>
      </c>
      <c r="BI227" s="242">
        <f t="shared" si="189"/>
        <v>0</v>
      </c>
      <c r="BJ227" s="242"/>
      <c r="BK227" s="241">
        <f t="shared" si="190"/>
        <v>17482</v>
      </c>
      <c r="BL227" s="262"/>
      <c r="BM227" s="36" t="s">
        <v>18</v>
      </c>
      <c r="BN227" s="4">
        <f t="shared" si="223"/>
        <v>2001</v>
      </c>
      <c r="BO227" s="4">
        <f t="shared" si="224"/>
        <v>7</v>
      </c>
      <c r="BP227" s="108">
        <f>C227+[4]MWh!$AK61</f>
        <v>1038864.0485503541</v>
      </c>
      <c r="BQ227" s="76">
        <f t="shared" si="173"/>
        <v>7167.6938845867799</v>
      </c>
      <c r="BR227" s="130">
        <f t="shared" si="174"/>
        <v>7288.3118082363653</v>
      </c>
      <c r="BS227" s="108">
        <f t="shared" ref="BS227:BU232" si="228">BR227-BR215</f>
        <v>-37.980760063810521</v>
      </c>
      <c r="BT227" s="175">
        <f t="shared" si="175"/>
        <v>1056346.0485503541</v>
      </c>
      <c r="BU227" s="108">
        <f t="shared" si="228"/>
        <v>3242.7759051818866</v>
      </c>
      <c r="BV227" s="137">
        <f t="shared" si="176"/>
        <v>17482</v>
      </c>
      <c r="BW227" s="529"/>
    </row>
    <row r="228" spans="1:81" ht="12.75" customHeight="1">
      <c r="A228" s="22">
        <f t="shared" si="213"/>
        <v>2001</v>
      </c>
      <c r="B228" s="4">
        <f t="shared" si="214"/>
        <v>8</v>
      </c>
      <c r="C228" s="5">
        <f>'[2]FPC wSEB'!$E325</f>
        <v>1051280</v>
      </c>
      <c r="D228" s="5">
        <f>'[2]FPC wSEB'!$Y325</f>
        <v>148219</v>
      </c>
      <c r="E228" s="74">
        <f t="shared" ref="E228:E233" si="229">ROUND((C228/D228)*1000,1)</f>
        <v>7092.7</v>
      </c>
      <c r="F228" s="13">
        <v>105845</v>
      </c>
      <c r="G228" s="13">
        <v>101548</v>
      </c>
      <c r="H228" s="13">
        <v>7899</v>
      </c>
      <c r="I228" s="13">
        <v>3848</v>
      </c>
      <c r="J228" s="574">
        <f>[5]CC!$E108</f>
        <v>147132</v>
      </c>
      <c r="K228" s="4">
        <f>'[7]COM 55 &amp; 65'!$S313</f>
        <v>493</v>
      </c>
      <c r="L228" s="4">
        <f t="shared" si="216"/>
        <v>542</v>
      </c>
      <c r="M228" s="135">
        <f t="shared" si="226"/>
        <v>49</v>
      </c>
      <c r="N228" s="4">
        <f>'[7]COM 55 &amp; 65'!$J313</f>
        <v>0</v>
      </c>
      <c r="O228" s="4">
        <f t="shared" si="209"/>
        <v>0</v>
      </c>
      <c r="P228" s="41">
        <f t="shared" si="225"/>
        <v>0</v>
      </c>
      <c r="Q228" s="474">
        <f t="shared" si="179"/>
        <v>33462.589999999997</v>
      </c>
      <c r="R228" s="472">
        <f t="shared" si="180"/>
        <v>0</v>
      </c>
      <c r="S228" s="241">
        <f t="shared" si="181"/>
        <v>33463</v>
      </c>
      <c r="T228" s="13" t="s">
        <v>18</v>
      </c>
      <c r="U228" s="4">
        <f t="shared" si="217"/>
        <v>2001</v>
      </c>
      <c r="V228" s="4">
        <f t="shared" si="218"/>
        <v>8</v>
      </c>
      <c r="W228" s="242">
        <f t="shared" si="182"/>
        <v>7318.5151701198902</v>
      </c>
      <c r="X228" s="131">
        <f t="shared" si="227"/>
        <v>150.40273744947717</v>
      </c>
      <c r="Z228" s="175">
        <f t="shared" si="184"/>
        <v>1084743</v>
      </c>
      <c r="AA228" s="12">
        <f t="shared" si="185"/>
        <v>33463</v>
      </c>
      <c r="AB228" s="519">
        <f>[9]CMWh!$L108</f>
        <v>1070365</v>
      </c>
      <c r="AC228" s="107">
        <f>RESID!AC228</f>
        <v>29.7</v>
      </c>
      <c r="AD228" s="243">
        <f t="shared" si="186"/>
        <v>1076765.6000000001</v>
      </c>
      <c r="AE228" s="243">
        <f t="shared" si="211"/>
        <v>17366.800000000047</v>
      </c>
      <c r="AF228" s="4">
        <f t="shared" si="172"/>
        <v>59760</v>
      </c>
      <c r="AG228" s="4">
        <f t="shared" si="187"/>
        <v>1111040</v>
      </c>
      <c r="AJ228" s="269">
        <f t="shared" si="195"/>
        <v>937536</v>
      </c>
      <c r="AK228" s="269">
        <f t="shared" si="196"/>
        <v>42823</v>
      </c>
      <c r="AL228" s="276">
        <f t="shared" si="201"/>
        <v>21893.281647712676</v>
      </c>
      <c r="AM228" s="269">
        <f t="shared" si="197"/>
        <v>105845</v>
      </c>
      <c r="AN228" s="269">
        <f t="shared" si="198"/>
        <v>101548</v>
      </c>
      <c r="AO228" s="276">
        <f t="shared" si="202"/>
        <v>1042.3149643518336</v>
      </c>
      <c r="AP228" s="269">
        <f t="shared" si="199"/>
        <v>7899</v>
      </c>
      <c r="AQ228" s="269">
        <f t="shared" si="200"/>
        <v>3848</v>
      </c>
      <c r="AR228" s="276">
        <f t="shared" si="203"/>
        <v>2052.7546777546777</v>
      </c>
      <c r="AX228" s="4">
        <f t="shared" si="219"/>
        <v>2001</v>
      </c>
      <c r="AY228" s="4">
        <f t="shared" si="220"/>
        <v>8</v>
      </c>
      <c r="AZ228" s="76">
        <f>'[8]COM 55 &amp; 65'!$S313</f>
        <v>543.6</v>
      </c>
      <c r="BA228" s="76">
        <f t="shared" si="221"/>
        <v>549</v>
      </c>
      <c r="BB228" s="362">
        <f t="shared" si="192"/>
        <v>5.3999999999999773</v>
      </c>
      <c r="BC228" s="362"/>
      <c r="BD228" s="76">
        <f>'[8]COM 55 &amp; 65'!$J313</f>
        <v>0</v>
      </c>
      <c r="BE228" s="76">
        <f t="shared" si="222"/>
        <v>0</v>
      </c>
      <c r="BF228" s="363">
        <f t="shared" si="193"/>
        <v>0</v>
      </c>
      <c r="BG228" s="244"/>
      <c r="BH228" s="244">
        <f t="shared" si="188"/>
        <v>3687.7139999999845</v>
      </c>
      <c r="BI228" s="242">
        <f t="shared" si="189"/>
        <v>0</v>
      </c>
      <c r="BJ228" s="242"/>
      <c r="BK228" s="241">
        <f t="shared" si="190"/>
        <v>3688</v>
      </c>
      <c r="BL228" s="262"/>
      <c r="BM228" s="36" t="s">
        <v>18</v>
      </c>
      <c r="BN228" s="4">
        <f t="shared" si="223"/>
        <v>2001</v>
      </c>
      <c r="BO228" s="4">
        <f t="shared" si="224"/>
        <v>8</v>
      </c>
      <c r="BP228" s="108">
        <f>C228+[4]MWh!$AK62</f>
        <v>1152868.786970159</v>
      </c>
      <c r="BQ228" s="76">
        <f t="shared" si="173"/>
        <v>7778.1444144823472</v>
      </c>
      <c r="BR228" s="130">
        <f t="shared" si="174"/>
        <v>7803.0265146179572</v>
      </c>
      <c r="BS228" s="108">
        <f t="shared" si="228"/>
        <v>236.936755701744</v>
      </c>
      <c r="BT228" s="175">
        <f t="shared" si="175"/>
        <v>1156556.786970159</v>
      </c>
      <c r="BU228" s="108">
        <f t="shared" si="228"/>
        <v>56697.016985785915</v>
      </c>
      <c r="BV228" s="137">
        <f t="shared" si="176"/>
        <v>3688</v>
      </c>
      <c r="BW228" s="529"/>
    </row>
    <row r="229" spans="1:81" ht="12.75" customHeight="1">
      <c r="A229" s="22">
        <f t="shared" si="213"/>
        <v>2001</v>
      </c>
      <c r="B229" s="4">
        <f t="shared" si="214"/>
        <v>9</v>
      </c>
      <c r="C229" s="5">
        <f>'[2]FPC wSEB'!$E326</f>
        <v>1088966</v>
      </c>
      <c r="D229" s="5">
        <f>'[2]FPC wSEB'!$Y326</f>
        <v>149136</v>
      </c>
      <c r="E229" s="74">
        <f t="shared" si="229"/>
        <v>7301.8</v>
      </c>
      <c r="F229" s="13">
        <v>113616</v>
      </c>
      <c r="G229" s="13">
        <v>102596</v>
      </c>
      <c r="H229" s="13">
        <v>8144</v>
      </c>
      <c r="I229" s="13">
        <v>3844</v>
      </c>
      <c r="J229" s="574">
        <f>[5]CC!$E109</f>
        <v>147769</v>
      </c>
      <c r="K229" s="4">
        <f>'[7]COM 55 &amp; 65'!$S314</f>
        <v>540.79999999999995</v>
      </c>
      <c r="L229" s="4">
        <f t="shared" si="216"/>
        <v>531.20000000000005</v>
      </c>
      <c r="M229" s="135">
        <f t="shared" si="226"/>
        <v>-9.5999999999999091</v>
      </c>
      <c r="N229" s="4">
        <f>'[7]COM 55 &amp; 65'!$J314</f>
        <v>0</v>
      </c>
      <c r="O229" s="4">
        <f t="shared" si="209"/>
        <v>0</v>
      </c>
      <c r="P229" s="41">
        <f t="shared" ref="P229:P234" si="230">(O229-N229)</f>
        <v>0</v>
      </c>
      <c r="Q229" s="474">
        <f t="shared" si="179"/>
        <v>-6555.9359999999378</v>
      </c>
      <c r="R229" s="472">
        <f t="shared" si="180"/>
        <v>0</v>
      </c>
      <c r="S229" s="241">
        <f t="shared" si="181"/>
        <v>-6556</v>
      </c>
      <c r="T229" s="13" t="s">
        <v>18</v>
      </c>
      <c r="U229" s="4">
        <f t="shared" si="217"/>
        <v>2001</v>
      </c>
      <c r="V229" s="4">
        <f t="shared" si="218"/>
        <v>9</v>
      </c>
      <c r="W229" s="242">
        <f t="shared" si="182"/>
        <v>7257.8720094410473</v>
      </c>
      <c r="X229" s="131">
        <f t="shared" si="227"/>
        <v>39.008911125446502</v>
      </c>
      <c r="Z229" s="175">
        <f t="shared" si="184"/>
        <v>1082410</v>
      </c>
      <c r="AA229" s="12">
        <f t="shared" si="185"/>
        <v>-6556</v>
      </c>
      <c r="AB229" s="519">
        <f>[9]CMWh!$L109</f>
        <v>1088038</v>
      </c>
      <c r="AC229" s="107">
        <f>RESID!AC229</f>
        <v>31.95</v>
      </c>
      <c r="AD229" s="243">
        <f t="shared" si="186"/>
        <v>1036818.3</v>
      </c>
      <c r="AE229" s="243">
        <f t="shared" si="211"/>
        <v>11470.100000000093</v>
      </c>
      <c r="AF229" s="4">
        <f t="shared" si="172"/>
        <v>-58390</v>
      </c>
      <c r="AG229" s="4">
        <f t="shared" si="187"/>
        <v>1030576</v>
      </c>
      <c r="AJ229" s="269">
        <f t="shared" si="195"/>
        <v>967206</v>
      </c>
      <c r="AK229" s="269">
        <f t="shared" si="196"/>
        <v>42696</v>
      </c>
      <c r="AL229" s="276">
        <f t="shared" si="201"/>
        <v>22653.316469926925</v>
      </c>
      <c r="AM229" s="269">
        <f t="shared" si="197"/>
        <v>113616</v>
      </c>
      <c r="AN229" s="269">
        <f t="shared" si="198"/>
        <v>102596</v>
      </c>
      <c r="AO229" s="276">
        <f t="shared" si="202"/>
        <v>1107.4115949939569</v>
      </c>
      <c r="AP229" s="269">
        <f t="shared" si="199"/>
        <v>8144</v>
      </c>
      <c r="AQ229" s="269">
        <f t="shared" si="200"/>
        <v>3844</v>
      </c>
      <c r="AR229" s="276">
        <f t="shared" si="203"/>
        <v>2118.6264308012487</v>
      </c>
      <c r="AX229" s="4">
        <f t="shared" si="219"/>
        <v>2001</v>
      </c>
      <c r="AY229" s="4">
        <f t="shared" si="220"/>
        <v>9</v>
      </c>
      <c r="AZ229" s="76">
        <f>'[8]COM 55 &amp; 65'!$S314</f>
        <v>408.5</v>
      </c>
      <c r="BA229" s="76">
        <f t="shared" si="221"/>
        <v>487.9</v>
      </c>
      <c r="BB229" s="362">
        <f t="shared" si="192"/>
        <v>79.399999999999977</v>
      </c>
      <c r="BC229" s="362"/>
      <c r="BD229" s="76">
        <f>'[8]COM 55 &amp; 65'!$J314</f>
        <v>0.1</v>
      </c>
      <c r="BE229" s="76">
        <f t="shared" si="222"/>
        <v>0</v>
      </c>
      <c r="BF229" s="363">
        <f t="shared" si="193"/>
        <v>-0.1</v>
      </c>
      <c r="BG229" s="244"/>
      <c r="BH229" s="244">
        <f t="shared" si="188"/>
        <v>54223.053999999982</v>
      </c>
      <c r="BI229" s="242">
        <f t="shared" si="189"/>
        <v>-65.934000000000012</v>
      </c>
      <c r="BJ229" s="242"/>
      <c r="BK229" s="241">
        <f t="shared" si="190"/>
        <v>54157</v>
      </c>
      <c r="BL229" s="262"/>
      <c r="BM229" s="36" t="s">
        <v>18</v>
      </c>
      <c r="BN229" s="4">
        <f t="shared" si="223"/>
        <v>2001</v>
      </c>
      <c r="BO229" s="4">
        <f t="shared" si="224"/>
        <v>9</v>
      </c>
      <c r="BP229" s="108">
        <f>C229+[4]MWh!$AK63</f>
        <v>907284.34066896327</v>
      </c>
      <c r="BQ229" s="76">
        <f t="shared" si="173"/>
        <v>6083.6038291825125</v>
      </c>
      <c r="BR229" s="130">
        <f t="shared" si="174"/>
        <v>6446.7421727078854</v>
      </c>
      <c r="BS229" s="108">
        <f t="shared" si="228"/>
        <v>-120.88937538685786</v>
      </c>
      <c r="BT229" s="175">
        <f t="shared" si="175"/>
        <v>961441.34066896327</v>
      </c>
      <c r="BU229" s="108">
        <f t="shared" si="228"/>
        <v>-3974.2263747716788</v>
      </c>
      <c r="BV229" s="137">
        <f t="shared" si="176"/>
        <v>54157</v>
      </c>
      <c r="BW229" s="529"/>
      <c r="BX229" s="120"/>
    </row>
    <row r="230" spans="1:81" ht="12.75" customHeight="1">
      <c r="A230" s="22">
        <f t="shared" si="213"/>
        <v>2001</v>
      </c>
      <c r="B230" s="4">
        <f t="shared" si="214"/>
        <v>10</v>
      </c>
      <c r="C230" s="5">
        <f>'[2]FPC wSEB'!$E327</f>
        <v>922278</v>
      </c>
      <c r="D230" s="5">
        <f>'[2]FPC wSEB'!$Y327</f>
        <v>147227</v>
      </c>
      <c r="E230" s="74">
        <f t="shared" si="229"/>
        <v>6264.3</v>
      </c>
      <c r="F230" s="13">
        <v>92575</v>
      </c>
      <c r="G230" s="13">
        <v>100913</v>
      </c>
      <c r="H230" s="13">
        <v>7957</v>
      </c>
      <c r="I230" s="13">
        <v>3860</v>
      </c>
      <c r="J230" s="574">
        <f>[5]CC!$E110</f>
        <v>147965</v>
      </c>
      <c r="K230" s="4">
        <f>'[7]COM 55 &amp; 65'!$S315</f>
        <v>349</v>
      </c>
      <c r="L230" s="4">
        <f t="shared" si="216"/>
        <v>431.2</v>
      </c>
      <c r="M230" s="135">
        <f t="shared" si="226"/>
        <v>82.199999999999989</v>
      </c>
      <c r="N230" s="4">
        <f>'[7]COM 55 &amp; 65'!$J315</f>
        <v>0.8</v>
      </c>
      <c r="O230" s="4">
        <f t="shared" si="209"/>
        <v>0.2</v>
      </c>
      <c r="P230" s="41">
        <f t="shared" si="230"/>
        <v>-0.60000000000000009</v>
      </c>
      <c r="Q230" s="474">
        <f t="shared" si="179"/>
        <v>56135.20199999999</v>
      </c>
      <c r="R230" s="472">
        <f t="shared" si="180"/>
        <v>-395.6040000000001</v>
      </c>
      <c r="S230" s="241">
        <f t="shared" si="181"/>
        <v>55740</v>
      </c>
      <c r="T230" s="13" t="s">
        <v>18</v>
      </c>
      <c r="U230" s="4">
        <f t="shared" si="217"/>
        <v>2001</v>
      </c>
      <c r="V230" s="4">
        <f t="shared" si="218"/>
        <v>10</v>
      </c>
      <c r="W230" s="242">
        <f t="shared" si="182"/>
        <v>6642.9255503406312</v>
      </c>
      <c r="X230" s="131">
        <f t="shared" si="227"/>
        <v>-123.67018401671521</v>
      </c>
      <c r="Z230" s="175">
        <f t="shared" si="184"/>
        <v>978018</v>
      </c>
      <c r="AA230" s="12">
        <f t="shared" si="185"/>
        <v>55740</v>
      </c>
      <c r="AB230" s="519">
        <f>[9]CMWh!$L110</f>
        <v>978691</v>
      </c>
      <c r="AC230" s="107">
        <f>RESID!AC230</f>
        <v>29.65</v>
      </c>
      <c r="AD230" s="243">
        <f t="shared" si="186"/>
        <v>946229.2</v>
      </c>
      <c r="AE230" s="243">
        <f t="shared" si="211"/>
        <v>-27765.800000000047</v>
      </c>
      <c r="AF230" s="4">
        <f t="shared" si="172"/>
        <v>81139</v>
      </c>
      <c r="AG230" s="4">
        <f t="shared" si="187"/>
        <v>1003417</v>
      </c>
      <c r="AJ230" s="269">
        <f t="shared" si="195"/>
        <v>821746</v>
      </c>
      <c r="AK230" s="269">
        <f t="shared" si="196"/>
        <v>42454</v>
      </c>
      <c r="AL230" s="276">
        <f t="shared" si="201"/>
        <v>19356.15018608376</v>
      </c>
      <c r="AM230" s="269">
        <f t="shared" si="197"/>
        <v>92575</v>
      </c>
      <c r="AN230" s="269">
        <f t="shared" si="198"/>
        <v>100913</v>
      </c>
      <c r="AO230" s="276">
        <f t="shared" si="202"/>
        <v>917.37437198378802</v>
      </c>
      <c r="AP230" s="269">
        <f t="shared" si="199"/>
        <v>7957</v>
      </c>
      <c r="AQ230" s="269">
        <f t="shared" si="200"/>
        <v>3860</v>
      </c>
      <c r="AR230" s="276">
        <f t="shared" si="203"/>
        <v>2061.3989637305699</v>
      </c>
      <c r="AX230" s="4">
        <f t="shared" si="219"/>
        <v>2001</v>
      </c>
      <c r="AY230" s="4">
        <f t="shared" si="220"/>
        <v>10</v>
      </c>
      <c r="AZ230" s="76">
        <f>'[8]COM 55 &amp; 65'!$S315</f>
        <v>294</v>
      </c>
      <c r="BA230" s="76">
        <f t="shared" si="221"/>
        <v>332.5</v>
      </c>
      <c r="BB230" s="362">
        <f t="shared" si="192"/>
        <v>38.5</v>
      </c>
      <c r="BC230" s="362"/>
      <c r="BD230" s="76">
        <f>'[8]COM 55 &amp; 65'!$J315</f>
        <v>4.5999999999999996</v>
      </c>
      <c r="BE230" s="76">
        <f t="shared" si="222"/>
        <v>2</v>
      </c>
      <c r="BF230" s="363">
        <f t="shared" si="193"/>
        <v>-2.5999999999999996</v>
      </c>
      <c r="BG230" s="244"/>
      <c r="BH230" s="244">
        <f t="shared" si="188"/>
        <v>26292.035</v>
      </c>
      <c r="BI230" s="242">
        <f t="shared" si="189"/>
        <v>-1714.2839999999999</v>
      </c>
      <c r="BJ230" s="242"/>
      <c r="BK230" s="241">
        <f t="shared" si="190"/>
        <v>24578</v>
      </c>
      <c r="BL230" s="262"/>
      <c r="BM230" s="36" t="s">
        <v>18</v>
      </c>
      <c r="BN230" s="4">
        <f t="shared" si="223"/>
        <v>2001</v>
      </c>
      <c r="BO230" s="4">
        <f t="shared" si="224"/>
        <v>10</v>
      </c>
      <c r="BP230" s="108">
        <f>C230+[4]MWh!$AK64</f>
        <v>940714.46276597003</v>
      </c>
      <c r="BQ230" s="76">
        <f t="shared" si="173"/>
        <v>6389.5512559922436</v>
      </c>
      <c r="BR230" s="130">
        <f t="shared" si="174"/>
        <v>6556.4907439937642</v>
      </c>
      <c r="BS230" s="108">
        <f t="shared" si="228"/>
        <v>98.437633972716867</v>
      </c>
      <c r="BT230" s="175">
        <f t="shared" si="175"/>
        <v>965292.46276597003</v>
      </c>
      <c r="BU230" s="108">
        <f t="shared" si="228"/>
        <v>33595.59863634361</v>
      </c>
      <c r="BV230" s="137">
        <f t="shared" si="176"/>
        <v>24578</v>
      </c>
      <c r="BW230" s="529"/>
      <c r="BX230" s="120"/>
    </row>
    <row r="231" spans="1:81" ht="12.75" customHeight="1">
      <c r="A231" s="22">
        <f t="shared" si="213"/>
        <v>2001</v>
      </c>
      <c r="B231" s="4">
        <f t="shared" si="214"/>
        <v>11</v>
      </c>
      <c r="C231" s="5">
        <f>'[2]FPC wSEB'!$E328</f>
        <v>901526</v>
      </c>
      <c r="D231" s="5">
        <f>'[2]FPC wSEB'!$Y328</f>
        <v>153014</v>
      </c>
      <c r="E231" s="74">
        <f t="shared" si="229"/>
        <v>5891.8</v>
      </c>
      <c r="F231" s="13">
        <v>87074</v>
      </c>
      <c r="G231" s="13">
        <v>105253</v>
      </c>
      <c r="H231" s="13">
        <v>8157</v>
      </c>
      <c r="I231" s="13">
        <v>3853</v>
      </c>
      <c r="J231" s="574">
        <f>[5]CC!$E111</f>
        <v>148267</v>
      </c>
      <c r="K231" s="4">
        <f>'[7]COM 55 &amp; 65'!$S316</f>
        <v>232.9</v>
      </c>
      <c r="L231" s="4">
        <f t="shared" si="216"/>
        <v>251.9</v>
      </c>
      <c r="M231" s="135">
        <f t="shared" si="226"/>
        <v>19</v>
      </c>
      <c r="N231" s="4">
        <f>'[7]COM 55 &amp; 65'!$J316</f>
        <v>5.8</v>
      </c>
      <c r="O231" s="4">
        <f t="shared" si="209"/>
        <v>6.3</v>
      </c>
      <c r="P231" s="41">
        <f t="shared" si="230"/>
        <v>0.5</v>
      </c>
      <c r="Q231" s="474">
        <f t="shared" si="179"/>
        <v>12975.289999999999</v>
      </c>
      <c r="R231" s="472">
        <f t="shared" si="180"/>
        <v>329.67</v>
      </c>
      <c r="S231" s="241">
        <f t="shared" si="181"/>
        <v>13305</v>
      </c>
      <c r="T231" s="13" t="s">
        <v>18</v>
      </c>
      <c r="U231" s="4">
        <f t="shared" si="217"/>
        <v>2001</v>
      </c>
      <c r="V231" s="4">
        <f t="shared" si="218"/>
        <v>11</v>
      </c>
      <c r="W231" s="242">
        <f t="shared" si="182"/>
        <v>5978.7405074045519</v>
      </c>
      <c r="X231" s="131">
        <f t="shared" si="227"/>
        <v>96.660791122528281</v>
      </c>
      <c r="Z231" s="175">
        <f t="shared" si="184"/>
        <v>914831</v>
      </c>
      <c r="AA231" s="12">
        <f t="shared" si="185"/>
        <v>13305</v>
      </c>
      <c r="AB231" s="519">
        <f>[9]CMWh!$L111</f>
        <v>885887</v>
      </c>
      <c r="AC231" s="107">
        <f>RESID!AC231</f>
        <v>30.6</v>
      </c>
      <c r="AD231" s="243">
        <f t="shared" si="186"/>
        <v>896222.9</v>
      </c>
      <c r="AE231" s="243">
        <f t="shared" si="211"/>
        <v>18163.900000000023</v>
      </c>
      <c r="AF231" s="4">
        <f t="shared" si="172"/>
        <v>7924</v>
      </c>
      <c r="AG231" s="4">
        <f t="shared" si="187"/>
        <v>909450</v>
      </c>
      <c r="AJ231" s="269">
        <f t="shared" si="195"/>
        <v>806295</v>
      </c>
      <c r="AK231" s="269">
        <f t="shared" si="196"/>
        <v>43908</v>
      </c>
      <c r="AL231" s="276">
        <f t="shared" si="201"/>
        <v>18363.28231757311</v>
      </c>
      <c r="AM231" s="269">
        <f t="shared" si="197"/>
        <v>87074</v>
      </c>
      <c r="AN231" s="269">
        <f t="shared" si="198"/>
        <v>105253</v>
      </c>
      <c r="AO231" s="276">
        <f t="shared" si="202"/>
        <v>827.28283279336461</v>
      </c>
      <c r="AP231" s="269">
        <f t="shared" si="199"/>
        <v>8157</v>
      </c>
      <c r="AQ231" s="269">
        <f t="shared" si="200"/>
        <v>3853</v>
      </c>
      <c r="AR231" s="276">
        <f t="shared" si="203"/>
        <v>2117.0516480664419</v>
      </c>
      <c r="AX231" s="4">
        <f t="shared" si="219"/>
        <v>2001</v>
      </c>
      <c r="AY231" s="4">
        <f t="shared" si="220"/>
        <v>11</v>
      </c>
      <c r="AZ231" s="76">
        <f>'[8]COM 55 &amp; 65'!$S316</f>
        <v>169</v>
      </c>
      <c r="BA231" s="76">
        <f t="shared" si="221"/>
        <v>146</v>
      </c>
      <c r="BB231" s="362">
        <f t="shared" si="192"/>
        <v>-23</v>
      </c>
      <c r="BC231" s="362"/>
      <c r="BD231" s="76">
        <f>'[8]COM 55 &amp; 65'!$J316</f>
        <v>3.7</v>
      </c>
      <c r="BE231" s="76">
        <f t="shared" si="222"/>
        <v>14</v>
      </c>
      <c r="BF231" s="363">
        <f t="shared" si="193"/>
        <v>10.3</v>
      </c>
      <c r="BG231" s="244"/>
      <c r="BH231" s="244">
        <f t="shared" si="188"/>
        <v>-15706.929999999998</v>
      </c>
      <c r="BI231" s="242">
        <f t="shared" si="189"/>
        <v>6791.2020000000011</v>
      </c>
      <c r="BJ231" s="242"/>
      <c r="BK231" s="241">
        <f t="shared" si="190"/>
        <v>-8916</v>
      </c>
      <c r="BL231" s="262"/>
      <c r="BM231" s="36" t="s">
        <v>18</v>
      </c>
      <c r="BN231" s="4">
        <f t="shared" si="223"/>
        <v>2001</v>
      </c>
      <c r="BO231" s="4">
        <f t="shared" si="224"/>
        <v>11</v>
      </c>
      <c r="BP231" s="108">
        <f>C231+[4]MWh!$AK65</f>
        <v>836543.77636031434</v>
      </c>
      <c r="BQ231" s="76">
        <f t="shared" si="173"/>
        <v>5467.1061233633154</v>
      </c>
      <c r="BR231" s="130">
        <f t="shared" si="174"/>
        <v>5408.8369453796013</v>
      </c>
      <c r="BS231" s="108">
        <f t="shared" si="228"/>
        <v>-513.212524778447</v>
      </c>
      <c r="BT231" s="175">
        <f t="shared" si="175"/>
        <v>827627.77636031434</v>
      </c>
      <c r="BU231" s="108">
        <f t="shared" si="228"/>
        <v>-67407.092361492338</v>
      </c>
      <c r="BV231" s="137">
        <f t="shared" si="176"/>
        <v>-8916</v>
      </c>
      <c r="BW231" s="529"/>
      <c r="BX231" s="120"/>
      <c r="BZ231" s="120"/>
      <c r="CA231" s="120"/>
      <c r="CB231" s="120"/>
      <c r="CC231" s="120"/>
    </row>
    <row r="232" spans="1:81" s="89" customFormat="1" ht="12.75" customHeight="1">
      <c r="A232" s="225">
        <f t="shared" si="213"/>
        <v>2001</v>
      </c>
      <c r="B232" s="89">
        <f t="shared" si="214"/>
        <v>12</v>
      </c>
      <c r="C232" s="103">
        <f>'[2]FPC wSEB'!$E329</f>
        <v>870255</v>
      </c>
      <c r="D232" s="103">
        <f>'[2]FPC wSEB'!$Y329</f>
        <v>145862</v>
      </c>
      <c r="E232" s="109">
        <f t="shared" si="229"/>
        <v>5966.3</v>
      </c>
      <c r="F232" s="90">
        <v>83916</v>
      </c>
      <c r="G232" s="90">
        <v>100280</v>
      </c>
      <c r="H232" s="90">
        <v>7989</v>
      </c>
      <c r="I232" s="90">
        <v>3853</v>
      </c>
      <c r="J232" s="575">
        <f>[5]CC!$E112</f>
        <v>148550</v>
      </c>
      <c r="K232" s="89">
        <f>'[7]COM 55 &amp; 65'!$S317</f>
        <v>192.8</v>
      </c>
      <c r="L232" s="89">
        <f t="shared" si="216"/>
        <v>119.4</v>
      </c>
      <c r="M232" s="136">
        <f t="shared" si="226"/>
        <v>-73.400000000000006</v>
      </c>
      <c r="N232" s="89">
        <f>'[7]COM 55 &amp; 65'!$J317</f>
        <v>5.9</v>
      </c>
      <c r="O232" s="89">
        <f t="shared" si="209"/>
        <v>30.1</v>
      </c>
      <c r="P232" s="94">
        <f t="shared" si="230"/>
        <v>24.200000000000003</v>
      </c>
      <c r="Q232" s="475">
        <f t="shared" si="179"/>
        <v>-50125.594000000005</v>
      </c>
      <c r="R232" s="473">
        <f t="shared" si="180"/>
        <v>15956.028000000002</v>
      </c>
      <c r="S232" s="329">
        <f t="shared" si="181"/>
        <v>-34170</v>
      </c>
      <c r="T232" s="90" t="s">
        <v>18</v>
      </c>
      <c r="U232" s="89">
        <f t="shared" si="217"/>
        <v>2001</v>
      </c>
      <c r="V232" s="89">
        <f t="shared" si="218"/>
        <v>12</v>
      </c>
      <c r="W232" s="328">
        <f t="shared" si="182"/>
        <v>5732.0275328735379</v>
      </c>
      <c r="X232" s="133">
        <f t="shared" si="227"/>
        <v>83.280409375711315</v>
      </c>
      <c r="Z232" s="176">
        <f t="shared" si="184"/>
        <v>836085</v>
      </c>
      <c r="AA232" s="105">
        <f t="shared" si="185"/>
        <v>-34170</v>
      </c>
      <c r="AB232" s="520">
        <f>[9]CMWh!$L112</f>
        <v>855122</v>
      </c>
      <c r="AC232" s="110">
        <f>RESID!AC232</f>
        <v>31.3</v>
      </c>
      <c r="AD232" s="331">
        <f t="shared" si="186"/>
        <v>845787.8</v>
      </c>
      <c r="AE232" s="331">
        <f t="shared" si="211"/>
        <v>61346.5</v>
      </c>
      <c r="AF232" s="89">
        <f t="shared" si="172"/>
        <v>-57677</v>
      </c>
      <c r="AG232" s="89">
        <f t="shared" si="187"/>
        <v>812578</v>
      </c>
      <c r="AJ232" s="351">
        <f t="shared" si="195"/>
        <v>778350</v>
      </c>
      <c r="AK232" s="351">
        <f t="shared" si="196"/>
        <v>41729</v>
      </c>
      <c r="AL232" s="277">
        <f t="shared" si="201"/>
        <v>18652.495866184188</v>
      </c>
      <c r="AM232" s="351">
        <f t="shared" si="197"/>
        <v>83916</v>
      </c>
      <c r="AN232" s="351">
        <f t="shared" si="198"/>
        <v>100280</v>
      </c>
      <c r="AO232" s="277">
        <f t="shared" si="202"/>
        <v>836.81691264459516</v>
      </c>
      <c r="AP232" s="351">
        <f t="shared" si="199"/>
        <v>7989</v>
      </c>
      <c r="AQ232" s="351">
        <f t="shared" si="200"/>
        <v>3853</v>
      </c>
      <c r="AR232" s="277">
        <f t="shared" si="203"/>
        <v>2073.4492603166364</v>
      </c>
      <c r="AX232" s="89">
        <f t="shared" si="219"/>
        <v>2001</v>
      </c>
      <c r="AY232" s="89">
        <f t="shared" si="220"/>
        <v>12</v>
      </c>
      <c r="AZ232" s="92">
        <f>'[8]COM 55 &amp; 65'!$S317</f>
        <v>155.69999999999999</v>
      </c>
      <c r="BA232" s="92">
        <f t="shared" si="221"/>
        <v>75.7</v>
      </c>
      <c r="BB232" s="364">
        <f t="shared" si="192"/>
        <v>-79.999999999999986</v>
      </c>
      <c r="BC232" s="364"/>
      <c r="BD232" s="92">
        <f>'[8]COM 55 &amp; 65'!$J317</f>
        <v>29.9</v>
      </c>
      <c r="BE232" s="92">
        <f t="shared" si="222"/>
        <v>44.3</v>
      </c>
      <c r="BF232" s="365">
        <f t="shared" si="193"/>
        <v>14.399999999999999</v>
      </c>
      <c r="BG232" s="327"/>
      <c r="BH232" s="327">
        <f t="shared" si="188"/>
        <v>-54632.799999999988</v>
      </c>
      <c r="BI232" s="328">
        <f t="shared" si="189"/>
        <v>9494.4959999999992</v>
      </c>
      <c r="BJ232" s="328"/>
      <c r="BK232" s="329">
        <f t="shared" si="190"/>
        <v>-45138</v>
      </c>
      <c r="BL232" s="332"/>
      <c r="BM232" s="113" t="s">
        <v>18</v>
      </c>
      <c r="BN232" s="89">
        <f t="shared" si="223"/>
        <v>2001</v>
      </c>
      <c r="BO232" s="89">
        <f t="shared" si="224"/>
        <v>12</v>
      </c>
      <c r="BP232" s="117">
        <f>C232+[4]MWh!$AK66</f>
        <v>894230.04042617534</v>
      </c>
      <c r="BQ232" s="92">
        <f t="shared" si="173"/>
        <v>6130.6580221454205</v>
      </c>
      <c r="BR232" s="299">
        <f t="shared" si="174"/>
        <v>5821.2011382414566</v>
      </c>
      <c r="BS232" s="117">
        <f t="shared" si="228"/>
        <v>9.19361012144509</v>
      </c>
      <c r="BT232" s="176">
        <f t="shared" si="175"/>
        <v>849092.04042617534</v>
      </c>
      <c r="BU232" s="117">
        <f t="shared" si="228"/>
        <v>30784.628496990306</v>
      </c>
      <c r="BV232" s="139">
        <f t="shared" si="176"/>
        <v>-45138</v>
      </c>
      <c r="BW232" s="536"/>
    </row>
    <row r="233" spans="1:81" ht="12.75" customHeight="1">
      <c r="A233" s="22">
        <f t="shared" si="213"/>
        <v>2002</v>
      </c>
      <c r="B233" s="4">
        <f t="shared" si="214"/>
        <v>1</v>
      </c>
      <c r="C233" s="5">
        <f>'[2]FPC wSEB'!$E330</f>
        <v>856748</v>
      </c>
      <c r="D233" s="5">
        <f>'[2]FPC wSEB'!$Y330</f>
        <v>148985</v>
      </c>
      <c r="E233" s="74">
        <f t="shared" si="229"/>
        <v>5750.6</v>
      </c>
      <c r="F233" s="13">
        <v>89883</v>
      </c>
      <c r="G233" s="13">
        <v>102686</v>
      </c>
      <c r="H233" s="13">
        <v>7997</v>
      </c>
      <c r="I233" s="13">
        <v>3884</v>
      </c>
      <c r="J233" s="574">
        <f>[5]CC!$E113</f>
        <v>148772</v>
      </c>
      <c r="K233" s="4">
        <f>'[7]COM 55 &amp; 65'!$S318</f>
        <v>80.400000000000006</v>
      </c>
      <c r="L233" s="4">
        <f t="shared" si="216"/>
        <v>70.8</v>
      </c>
      <c r="M233" s="135">
        <f t="shared" ref="M233:M238" si="231">(L233-K233)</f>
        <v>-9.6000000000000085</v>
      </c>
      <c r="N233" s="4">
        <f>'[7]COM 55 &amp; 65'!$J318</f>
        <v>84</v>
      </c>
      <c r="O233" s="4">
        <f t="shared" si="209"/>
        <v>54.9</v>
      </c>
      <c r="P233" s="41">
        <f t="shared" si="230"/>
        <v>-29.1</v>
      </c>
      <c r="Q233" s="474">
        <f t="shared" si="179"/>
        <v>-6555.9360000000052</v>
      </c>
      <c r="R233" s="472">
        <f t="shared" si="180"/>
        <v>-19186.794000000002</v>
      </c>
      <c r="S233" s="241">
        <f t="shared" si="181"/>
        <v>-25743</v>
      </c>
      <c r="T233" s="13" t="s">
        <v>18</v>
      </c>
      <c r="U233" s="4">
        <f t="shared" si="217"/>
        <v>2002</v>
      </c>
      <c r="V233" s="4">
        <f t="shared" si="218"/>
        <v>1</v>
      </c>
      <c r="W233" s="242">
        <f t="shared" si="182"/>
        <v>5577.7762862033087</v>
      </c>
      <c r="X233" s="131">
        <f t="shared" ref="X233:X238" si="232">W233-W221</f>
        <v>47.152814320667858</v>
      </c>
      <c r="Z233" s="175">
        <f t="shared" si="184"/>
        <v>831005</v>
      </c>
      <c r="AA233" s="12">
        <f t="shared" si="185"/>
        <v>-25743</v>
      </c>
      <c r="AB233" s="519">
        <f>[9]CMWh!$L113</f>
        <v>836636</v>
      </c>
      <c r="AC233" s="107">
        <f>RESID!AC233</f>
        <v>31.85</v>
      </c>
      <c r="AD233" s="243">
        <f t="shared" si="186"/>
        <v>818281.8</v>
      </c>
      <c r="AE233" s="243">
        <f t="shared" si="211"/>
        <v>-4245.3999999999069</v>
      </c>
      <c r="AF233" s="4">
        <f t="shared" si="172"/>
        <v>-63053</v>
      </c>
      <c r="AG233" s="4">
        <f t="shared" si="187"/>
        <v>793695</v>
      </c>
      <c r="AJ233" s="269">
        <f t="shared" si="195"/>
        <v>758868</v>
      </c>
      <c r="AK233" s="269">
        <f t="shared" si="196"/>
        <v>42415</v>
      </c>
      <c r="AL233" s="276">
        <f t="shared" si="201"/>
        <v>17891.500648355533</v>
      </c>
      <c r="AM233" s="269">
        <f t="shared" si="197"/>
        <v>89883</v>
      </c>
      <c r="AN233" s="269">
        <f t="shared" si="198"/>
        <v>102686</v>
      </c>
      <c r="AO233" s="276">
        <f t="shared" si="202"/>
        <v>875.31893344759749</v>
      </c>
      <c r="AP233" s="269">
        <f t="shared" si="199"/>
        <v>7997</v>
      </c>
      <c r="AQ233" s="269">
        <f t="shared" si="200"/>
        <v>3884</v>
      </c>
      <c r="AR233" s="276">
        <f t="shared" si="203"/>
        <v>2058.9598352214211</v>
      </c>
      <c r="AX233" s="4">
        <f t="shared" si="219"/>
        <v>2002</v>
      </c>
      <c r="AY233" s="4">
        <f t="shared" si="220"/>
        <v>1</v>
      </c>
      <c r="AZ233" s="76">
        <f>'[8]COM 55 &amp; 65'!$S318</f>
        <v>96.8</v>
      </c>
      <c r="BA233" s="76">
        <f t="shared" si="221"/>
        <v>72.3</v>
      </c>
      <c r="BB233" s="362">
        <f t="shared" si="192"/>
        <v>-24.5</v>
      </c>
      <c r="BC233" s="362"/>
      <c r="BD233" s="76">
        <f>'[8]COM 55 &amp; 65'!$J318</f>
        <v>76.7</v>
      </c>
      <c r="BE233" s="76">
        <f t="shared" si="222"/>
        <v>52.4</v>
      </c>
      <c r="BF233" s="363">
        <f t="shared" si="193"/>
        <v>-24.300000000000004</v>
      </c>
      <c r="BG233" s="244"/>
      <c r="BH233" s="244">
        <f t="shared" si="188"/>
        <v>-16731.294999999998</v>
      </c>
      <c r="BI233" s="242">
        <f t="shared" si="189"/>
        <v>-16021.962000000003</v>
      </c>
      <c r="BJ233" s="242"/>
      <c r="BK233" s="241">
        <f t="shared" si="190"/>
        <v>-32753</v>
      </c>
      <c r="BL233" s="262"/>
      <c r="BM233" s="36" t="s">
        <v>18</v>
      </c>
      <c r="BN233" s="4">
        <f t="shared" si="223"/>
        <v>2002</v>
      </c>
      <c r="BO233" s="4">
        <f t="shared" si="224"/>
        <v>1</v>
      </c>
      <c r="BP233" s="108">
        <f>C233+[4]MWh!$AK67</f>
        <v>774645.3492840376</v>
      </c>
      <c r="BQ233" s="76">
        <f t="shared" si="173"/>
        <v>5199.4855138707762</v>
      </c>
      <c r="BR233" s="130">
        <f t="shared" si="174"/>
        <v>4979.644590287865</v>
      </c>
      <c r="BS233" s="108">
        <f t="shared" ref="BS233:BU238" si="233">BR233-BR221</f>
        <v>306.83937163870996</v>
      </c>
      <c r="BT233" s="175">
        <f t="shared" si="175"/>
        <v>741892.3492840376</v>
      </c>
      <c r="BU233" s="108">
        <f t="shared" si="233"/>
        <v>53868.508890136029</v>
      </c>
      <c r="BV233" s="137">
        <f t="shared" si="176"/>
        <v>-32753</v>
      </c>
      <c r="BW233" s="529"/>
    </row>
    <row r="234" spans="1:81" ht="12.75" customHeight="1">
      <c r="A234" s="22">
        <f t="shared" si="213"/>
        <v>2002</v>
      </c>
      <c r="B234" s="4">
        <f t="shared" si="214"/>
        <v>2</v>
      </c>
      <c r="C234" s="5">
        <f>'[2]FPC wSEB'!$E331</f>
        <v>794172</v>
      </c>
      <c r="D234" s="5">
        <f>'[2]FPC wSEB'!$Y331</f>
        <v>149507</v>
      </c>
      <c r="E234" s="74">
        <f t="shared" ref="E234:E239" si="234">ROUND((C234/D234)*1000,1)</f>
        <v>5311.9</v>
      </c>
      <c r="F234" s="13">
        <v>73844</v>
      </c>
      <c r="G234" s="13">
        <v>102864</v>
      </c>
      <c r="H234" s="13">
        <v>8243</v>
      </c>
      <c r="I234" s="13">
        <v>3881</v>
      </c>
      <c r="J234" s="574">
        <f>[5]CC!$E114</f>
        <v>149370</v>
      </c>
      <c r="K234" s="4">
        <f>'[7]COM 55 &amp; 65'!$S319</f>
        <v>109.1</v>
      </c>
      <c r="L234" s="4">
        <f t="shared" si="216"/>
        <v>62.7</v>
      </c>
      <c r="M234" s="135">
        <f t="shared" si="231"/>
        <v>-46.399999999999991</v>
      </c>
      <c r="N234" s="4">
        <f>'[7]COM 55 &amp; 65'!$J319</f>
        <v>30.9</v>
      </c>
      <c r="O234" s="4">
        <f t="shared" si="209"/>
        <v>46.9</v>
      </c>
      <c r="P234" s="41">
        <f t="shared" si="230"/>
        <v>16</v>
      </c>
      <c r="Q234" s="474">
        <f t="shared" si="179"/>
        <v>-31687.023999999994</v>
      </c>
      <c r="R234" s="472">
        <f t="shared" si="180"/>
        <v>10549.44</v>
      </c>
      <c r="S234" s="241">
        <f t="shared" si="181"/>
        <v>-21138</v>
      </c>
      <c r="T234" s="13" t="s">
        <v>18</v>
      </c>
      <c r="U234" s="4">
        <f t="shared" si="217"/>
        <v>2002</v>
      </c>
      <c r="V234" s="4">
        <f t="shared" si="218"/>
        <v>2</v>
      </c>
      <c r="W234" s="242">
        <f t="shared" si="182"/>
        <v>5170.5538871089648</v>
      </c>
      <c r="X234" s="131">
        <f t="shared" si="232"/>
        <v>-125.46116192488171</v>
      </c>
      <c r="Z234" s="175">
        <f t="shared" si="184"/>
        <v>773034</v>
      </c>
      <c r="AA234" s="12">
        <f t="shared" si="185"/>
        <v>-21138</v>
      </c>
      <c r="AB234" s="519">
        <f>[9]CMWh!$L114</f>
        <v>770777</v>
      </c>
      <c r="AC234" s="107">
        <f>RESID!AC234</f>
        <v>29.45</v>
      </c>
      <c r="AD234" s="243">
        <f t="shared" si="186"/>
        <v>820329.8</v>
      </c>
      <c r="AE234" s="243">
        <f t="shared" si="211"/>
        <v>14260.5</v>
      </c>
      <c r="AF234" s="4">
        <f t="shared" si="172"/>
        <v>4324</v>
      </c>
      <c r="AG234" s="4">
        <f t="shared" si="187"/>
        <v>798496</v>
      </c>
      <c r="AJ234" s="269">
        <f t="shared" si="195"/>
        <v>712085</v>
      </c>
      <c r="AK234" s="269">
        <f t="shared" si="196"/>
        <v>42762</v>
      </c>
      <c r="AL234" s="276">
        <f t="shared" si="201"/>
        <v>16652.284738786773</v>
      </c>
      <c r="AM234" s="269">
        <f t="shared" si="197"/>
        <v>73844</v>
      </c>
      <c r="AN234" s="269">
        <f t="shared" si="198"/>
        <v>102864</v>
      </c>
      <c r="AO234" s="276">
        <f t="shared" si="202"/>
        <v>717.8799191165034</v>
      </c>
      <c r="AP234" s="269">
        <f t="shared" si="199"/>
        <v>8243</v>
      </c>
      <c r="AQ234" s="269">
        <f t="shared" si="200"/>
        <v>3881</v>
      </c>
      <c r="AR234" s="276">
        <f t="shared" si="203"/>
        <v>2123.9371296057716</v>
      </c>
      <c r="AX234" s="4">
        <f t="shared" si="219"/>
        <v>2002</v>
      </c>
      <c r="AY234" s="4">
        <f t="shared" si="220"/>
        <v>2</v>
      </c>
      <c r="AZ234" s="76">
        <f>'[8]COM 55 &amp; 65'!$S319</f>
        <v>51.4</v>
      </c>
      <c r="BA234" s="76">
        <f t="shared" si="221"/>
        <v>82.6</v>
      </c>
      <c r="BB234" s="362">
        <f t="shared" si="192"/>
        <v>31.199999999999996</v>
      </c>
      <c r="BC234" s="362"/>
      <c r="BD234" s="76">
        <f>'[8]COM 55 &amp; 65'!$J319</f>
        <v>39.9</v>
      </c>
      <c r="BE234" s="76">
        <f t="shared" si="222"/>
        <v>36.5</v>
      </c>
      <c r="BF234" s="363">
        <f t="shared" si="193"/>
        <v>-3.3999999999999986</v>
      </c>
      <c r="BG234" s="244"/>
      <c r="BH234" s="244">
        <f t="shared" si="188"/>
        <v>21306.791999999998</v>
      </c>
      <c r="BI234" s="242">
        <f t="shared" si="189"/>
        <v>-2241.7559999999989</v>
      </c>
      <c r="BJ234" s="242"/>
      <c r="BK234" s="241">
        <f t="shared" si="190"/>
        <v>19065</v>
      </c>
      <c r="BL234" s="262"/>
      <c r="BM234" s="36" t="s">
        <v>18</v>
      </c>
      <c r="BN234" s="4">
        <f t="shared" si="223"/>
        <v>2002</v>
      </c>
      <c r="BO234" s="4">
        <f t="shared" si="224"/>
        <v>2</v>
      </c>
      <c r="BP234" s="108">
        <f>C234+[4]MWh!$AK68</f>
        <v>784866.12967887358</v>
      </c>
      <c r="BQ234" s="76">
        <f t="shared" si="173"/>
        <v>5249.6948616377395</v>
      </c>
      <c r="BR234" s="130">
        <f t="shared" si="174"/>
        <v>5377.2139744552005</v>
      </c>
      <c r="BS234" s="108">
        <f t="shared" si="233"/>
        <v>240.97980164613546</v>
      </c>
      <c r="BT234" s="175">
        <f t="shared" si="175"/>
        <v>803931.12967887358</v>
      </c>
      <c r="BU234" s="108">
        <f t="shared" si="233"/>
        <v>61262.485695719603</v>
      </c>
      <c r="BV234" s="137">
        <f t="shared" si="176"/>
        <v>19065</v>
      </c>
      <c r="BW234" s="529"/>
    </row>
    <row r="235" spans="1:81" ht="12.75" customHeight="1">
      <c r="A235" s="22">
        <f t="shared" si="213"/>
        <v>2002</v>
      </c>
      <c r="B235" s="4">
        <f t="shared" si="214"/>
        <v>3</v>
      </c>
      <c r="C235" s="5">
        <f>'[2]FPC wSEB'!$E332</f>
        <v>804813</v>
      </c>
      <c r="D235" s="5">
        <f>'[2]FPC wSEB'!$Y332</f>
        <v>148898</v>
      </c>
      <c r="E235" s="74">
        <f t="shared" si="234"/>
        <v>5405.1</v>
      </c>
      <c r="F235" s="13">
        <v>83449</v>
      </c>
      <c r="G235" s="13">
        <v>102478</v>
      </c>
      <c r="H235" s="13">
        <v>8083</v>
      </c>
      <c r="I235" s="13">
        <v>3882</v>
      </c>
      <c r="J235" s="574">
        <f>[5]CC!$E115</f>
        <v>149305</v>
      </c>
      <c r="K235" s="4">
        <f>'[7]COM 55 &amp; 65'!$S320</f>
        <v>89.5</v>
      </c>
      <c r="L235" s="4">
        <f t="shared" si="216"/>
        <v>105.4</v>
      </c>
      <c r="M235" s="135">
        <f t="shared" si="231"/>
        <v>15.900000000000006</v>
      </c>
      <c r="N235" s="4">
        <f>'[7]COM 55 &amp; 65'!$J320</f>
        <v>44.6</v>
      </c>
      <c r="O235" s="4">
        <f t="shared" si="209"/>
        <v>26.8</v>
      </c>
      <c r="P235" s="41">
        <f t="shared" ref="P235:P240" si="235">(O235-N235)</f>
        <v>-17.8</v>
      </c>
      <c r="Q235" s="474">
        <f t="shared" si="179"/>
        <v>10858.269000000004</v>
      </c>
      <c r="R235" s="472">
        <f t="shared" si="180"/>
        <v>-11736.252</v>
      </c>
      <c r="S235" s="241">
        <f t="shared" si="181"/>
        <v>-878</v>
      </c>
      <c r="T235" s="13" t="s">
        <v>18</v>
      </c>
      <c r="U235" s="4">
        <f t="shared" si="217"/>
        <v>2002</v>
      </c>
      <c r="V235" s="4">
        <f t="shared" si="218"/>
        <v>3</v>
      </c>
      <c r="W235" s="242">
        <f t="shared" si="182"/>
        <v>5399.2330320084893</v>
      </c>
      <c r="X235" s="131">
        <f t="shared" si="232"/>
        <v>-9.386565620267902</v>
      </c>
      <c r="Z235" s="175">
        <f t="shared" si="184"/>
        <v>803935</v>
      </c>
      <c r="AA235" s="12">
        <f t="shared" si="185"/>
        <v>-878</v>
      </c>
      <c r="AB235" s="519">
        <f>[9]CMWh!$L115</f>
        <v>794245</v>
      </c>
      <c r="AC235" s="107">
        <f>RESID!AC235</f>
        <v>29.4</v>
      </c>
      <c r="AD235" s="243">
        <f t="shared" si="186"/>
        <v>832735.1</v>
      </c>
      <c r="AE235" s="243">
        <f t="shared" si="211"/>
        <v>27449.400000000023</v>
      </c>
      <c r="AF235" s="4">
        <f t="shared" si="172"/>
        <v>27014</v>
      </c>
      <c r="AG235" s="4">
        <f t="shared" si="187"/>
        <v>831827</v>
      </c>
      <c r="AJ235" s="269">
        <f t="shared" si="195"/>
        <v>713281</v>
      </c>
      <c r="AK235" s="269">
        <f t="shared" si="196"/>
        <v>42538</v>
      </c>
      <c r="AL235" s="276">
        <f t="shared" si="201"/>
        <v>16768.089708025767</v>
      </c>
      <c r="AM235" s="269">
        <f t="shared" si="197"/>
        <v>83449</v>
      </c>
      <c r="AN235" s="269">
        <f t="shared" si="198"/>
        <v>102478</v>
      </c>
      <c r="AO235" s="276">
        <f t="shared" si="202"/>
        <v>814.31136439040574</v>
      </c>
      <c r="AP235" s="269">
        <f t="shared" si="199"/>
        <v>8083</v>
      </c>
      <c r="AQ235" s="269">
        <f t="shared" si="200"/>
        <v>3882</v>
      </c>
      <c r="AR235" s="276">
        <f t="shared" si="203"/>
        <v>2082.1741370427612</v>
      </c>
      <c r="AX235" s="4">
        <f t="shared" si="219"/>
        <v>2002</v>
      </c>
      <c r="AY235" s="4">
        <f t="shared" si="220"/>
        <v>3</v>
      </c>
      <c r="AZ235" s="76">
        <f>'[8]COM 55 &amp; 65'!$S320</f>
        <v>195</v>
      </c>
      <c r="BA235" s="76">
        <f t="shared" si="221"/>
        <v>140.4</v>
      </c>
      <c r="BB235" s="362">
        <f t="shared" si="192"/>
        <v>-54.599999999999994</v>
      </c>
      <c r="BC235" s="362"/>
      <c r="BD235" s="76">
        <f>'[8]COM 55 &amp; 65'!$J320</f>
        <v>21.4</v>
      </c>
      <c r="BE235" s="76">
        <f t="shared" si="222"/>
        <v>15.1</v>
      </c>
      <c r="BF235" s="363">
        <f t="shared" si="193"/>
        <v>-6.2999999999999989</v>
      </c>
      <c r="BG235" s="244"/>
      <c r="BH235" s="244">
        <f t="shared" si="188"/>
        <v>-37286.885999999991</v>
      </c>
      <c r="BI235" s="242">
        <f t="shared" si="189"/>
        <v>-4153.8419999999996</v>
      </c>
      <c r="BJ235" s="242"/>
      <c r="BK235" s="241">
        <f t="shared" si="190"/>
        <v>-41441</v>
      </c>
      <c r="BL235" s="262"/>
      <c r="BM235" s="36" t="s">
        <v>18</v>
      </c>
      <c r="BN235" s="4">
        <f t="shared" si="223"/>
        <v>2002</v>
      </c>
      <c r="BO235" s="4">
        <f t="shared" si="224"/>
        <v>3</v>
      </c>
      <c r="BP235" s="108">
        <f>C235+[4]MWh!$AK69</f>
        <v>864926.81208223873</v>
      </c>
      <c r="BQ235" s="76">
        <f t="shared" si="173"/>
        <v>5808.8544646821229</v>
      </c>
      <c r="BR235" s="130">
        <f t="shared" si="174"/>
        <v>5530.5364214579022</v>
      </c>
      <c r="BS235" s="108">
        <f t="shared" si="233"/>
        <v>-633.66575518070294</v>
      </c>
      <c r="BT235" s="175">
        <f t="shared" si="175"/>
        <v>823485.81208223873</v>
      </c>
      <c r="BU235" s="108">
        <f t="shared" si="233"/>
        <v>-42689.385172488168</v>
      </c>
      <c r="BV235" s="137">
        <f t="shared" si="176"/>
        <v>-41441</v>
      </c>
      <c r="BW235" s="529"/>
    </row>
    <row r="236" spans="1:81" ht="12.75" customHeight="1">
      <c r="A236" s="22">
        <f t="shared" si="213"/>
        <v>2002</v>
      </c>
      <c r="B236" s="4">
        <f t="shared" si="214"/>
        <v>4</v>
      </c>
      <c r="C236" s="5">
        <f>'[2]FPC wSEB'!$E333</f>
        <v>859682</v>
      </c>
      <c r="D236" s="5">
        <f>'[2]FPC wSEB'!$Y333</f>
        <v>142729</v>
      </c>
      <c r="E236" s="74">
        <f t="shared" si="234"/>
        <v>6023.2</v>
      </c>
      <c r="F236" s="13">
        <v>90851</v>
      </c>
      <c r="G236" s="13">
        <v>98877</v>
      </c>
      <c r="H236" s="13">
        <v>7965</v>
      </c>
      <c r="I236" s="13">
        <v>3977</v>
      </c>
      <c r="J236" s="574">
        <f>[5]CC!$E116</f>
        <v>149090</v>
      </c>
      <c r="K236" s="4">
        <f>'[7]COM 55 &amp; 65'!$S321</f>
        <v>248.8</v>
      </c>
      <c r="L236" s="4">
        <f t="shared" si="216"/>
        <v>178.4</v>
      </c>
      <c r="M236" s="135">
        <f t="shared" si="231"/>
        <v>-70.400000000000006</v>
      </c>
      <c r="N236" s="4">
        <f>'[7]COM 55 &amp; 65'!$J321</f>
        <v>4.8</v>
      </c>
      <c r="O236" s="4">
        <f t="shared" si="209"/>
        <v>9.5</v>
      </c>
      <c r="P236" s="41">
        <f t="shared" si="235"/>
        <v>4.7</v>
      </c>
      <c r="Q236" s="474">
        <f t="shared" si="179"/>
        <v>-48076.864000000001</v>
      </c>
      <c r="R236" s="472">
        <f t="shared" si="180"/>
        <v>3098.8980000000001</v>
      </c>
      <c r="S236" s="241">
        <f t="shared" si="181"/>
        <v>-44978</v>
      </c>
      <c r="T236" s="13" t="s">
        <v>18</v>
      </c>
      <c r="U236" s="4">
        <f t="shared" si="217"/>
        <v>2002</v>
      </c>
      <c r="V236" s="4">
        <f t="shared" si="218"/>
        <v>4</v>
      </c>
      <c r="W236" s="242">
        <f t="shared" si="182"/>
        <v>5708.0481191628887</v>
      </c>
      <c r="X236" s="131">
        <f t="shared" si="232"/>
        <v>-197.0937307279446</v>
      </c>
      <c r="Z236" s="175">
        <f t="shared" si="184"/>
        <v>814704</v>
      </c>
      <c r="AA236" s="12">
        <f t="shared" si="185"/>
        <v>-44978</v>
      </c>
      <c r="AB236" s="519">
        <f>[9]CMWh!$L116</f>
        <v>863367</v>
      </c>
      <c r="AC236" s="107">
        <f>RESID!AC236</f>
        <v>30.8</v>
      </c>
      <c r="AD236" s="243">
        <f t="shared" si="186"/>
        <v>849075.5</v>
      </c>
      <c r="AE236" s="243">
        <f t="shared" si="211"/>
        <v>-34103.699999999953</v>
      </c>
      <c r="AF236" s="4">
        <f t="shared" si="172"/>
        <v>-55030</v>
      </c>
      <c r="AG236" s="4">
        <f t="shared" si="187"/>
        <v>804652</v>
      </c>
      <c r="AJ236" s="269">
        <f t="shared" si="195"/>
        <v>760866</v>
      </c>
      <c r="AK236" s="269">
        <f t="shared" si="196"/>
        <v>39875</v>
      </c>
      <c r="AL236" s="276">
        <f t="shared" si="201"/>
        <v>19081.278996865203</v>
      </c>
      <c r="AM236" s="269">
        <f t="shared" si="197"/>
        <v>90851</v>
      </c>
      <c r="AN236" s="269">
        <f t="shared" si="198"/>
        <v>98877</v>
      </c>
      <c r="AO236" s="276">
        <f t="shared" si="202"/>
        <v>918.82844341960208</v>
      </c>
      <c r="AP236" s="269">
        <f t="shared" si="199"/>
        <v>7965</v>
      </c>
      <c r="AQ236" s="269">
        <f t="shared" si="200"/>
        <v>3977</v>
      </c>
      <c r="AR236" s="276">
        <f t="shared" si="203"/>
        <v>2002.7659039476996</v>
      </c>
      <c r="AX236" s="4">
        <f t="shared" si="219"/>
        <v>2002</v>
      </c>
      <c r="AY236" s="4">
        <f t="shared" si="220"/>
        <v>4</v>
      </c>
      <c r="AZ236" s="76">
        <f>'[8]COM 55 &amp; 65'!$S321</f>
        <v>314</v>
      </c>
      <c r="BA236" s="76">
        <f t="shared" si="221"/>
        <v>227.4</v>
      </c>
      <c r="BB236" s="362">
        <f t="shared" si="192"/>
        <v>-86.6</v>
      </c>
      <c r="BC236" s="362"/>
      <c r="BD236" s="76">
        <f>'[8]COM 55 &amp; 65'!$J321</f>
        <v>0.6</v>
      </c>
      <c r="BE236" s="76">
        <f t="shared" si="222"/>
        <v>4.8</v>
      </c>
      <c r="BF236" s="363">
        <f t="shared" si="193"/>
        <v>4.2</v>
      </c>
      <c r="BG236" s="244"/>
      <c r="BH236" s="244">
        <f t="shared" si="188"/>
        <v>-59140.005999999994</v>
      </c>
      <c r="BI236" s="242">
        <f t="shared" si="189"/>
        <v>2769.2280000000001</v>
      </c>
      <c r="BJ236" s="242"/>
      <c r="BK236" s="241">
        <f t="shared" si="190"/>
        <v>-56371</v>
      </c>
      <c r="BL236" s="262"/>
      <c r="BM236" s="36" t="s">
        <v>18</v>
      </c>
      <c r="BN236" s="4">
        <f t="shared" si="223"/>
        <v>2002</v>
      </c>
      <c r="BO236" s="4">
        <f t="shared" si="224"/>
        <v>4</v>
      </c>
      <c r="BP236" s="108">
        <f>C236+[4]MWh!$AK70</f>
        <v>942907.07147639222</v>
      </c>
      <c r="BQ236" s="76">
        <f t="shared" si="173"/>
        <v>6606.2753293051328</v>
      </c>
      <c r="BR236" s="130">
        <f t="shared" si="174"/>
        <v>6211.324058014784</v>
      </c>
      <c r="BS236" s="108">
        <f t="shared" si="233"/>
        <v>208.62122642168379</v>
      </c>
      <c r="BT236" s="175">
        <f t="shared" si="175"/>
        <v>886536.07147639222</v>
      </c>
      <c r="BU236" s="108">
        <f t="shared" si="233"/>
        <v>-12494.73431413807</v>
      </c>
      <c r="BV236" s="137">
        <f t="shared" si="176"/>
        <v>-56371</v>
      </c>
      <c r="BW236" s="529"/>
    </row>
    <row r="237" spans="1:81" ht="12.75" customHeight="1">
      <c r="A237" s="22">
        <f t="shared" si="213"/>
        <v>2002</v>
      </c>
      <c r="B237" s="4">
        <f t="shared" si="214"/>
        <v>5</v>
      </c>
      <c r="C237" s="5">
        <f>'[2]FPC wSEB'!$E334</f>
        <v>1055642</v>
      </c>
      <c r="D237" s="5">
        <f>'[2]FPC wSEB'!$Y334</f>
        <v>157664</v>
      </c>
      <c r="E237" s="74">
        <f t="shared" si="234"/>
        <v>6695.5</v>
      </c>
      <c r="F237" s="13">
        <v>108919</v>
      </c>
      <c r="G237" s="13">
        <v>109098</v>
      </c>
      <c r="H237" s="13">
        <v>8468</v>
      </c>
      <c r="I237" s="13">
        <v>3881</v>
      </c>
      <c r="J237" s="574">
        <f>[5]CC!$E117</f>
        <v>150562</v>
      </c>
      <c r="K237" s="4">
        <f>'[7]COM 55 &amp; 65'!$S322</f>
        <v>384.7</v>
      </c>
      <c r="L237" s="4">
        <f t="shared" si="216"/>
        <v>273.89999999999998</v>
      </c>
      <c r="M237" s="135">
        <f t="shared" si="231"/>
        <v>-110.80000000000001</v>
      </c>
      <c r="N237" s="4">
        <f>'[7]COM 55 &amp; 65'!$J322</f>
        <v>0.2</v>
      </c>
      <c r="O237" s="4">
        <f t="shared" si="209"/>
        <v>2</v>
      </c>
      <c r="P237" s="41">
        <f t="shared" si="235"/>
        <v>1.8</v>
      </c>
      <c r="Q237" s="474">
        <f t="shared" si="179"/>
        <v>-75666.428</v>
      </c>
      <c r="R237" s="472">
        <f t="shared" si="180"/>
        <v>1186.8120000000001</v>
      </c>
      <c r="S237" s="241">
        <f t="shared" si="181"/>
        <v>-74480</v>
      </c>
      <c r="T237" s="13" t="s">
        <v>18</v>
      </c>
      <c r="U237" s="4">
        <f t="shared" si="217"/>
        <v>2002</v>
      </c>
      <c r="V237" s="4">
        <f t="shared" si="218"/>
        <v>5</v>
      </c>
      <c r="W237" s="242">
        <f t="shared" si="182"/>
        <v>6223.1200527704486</v>
      </c>
      <c r="X237" s="131">
        <f t="shared" si="232"/>
        <v>117.58175545132872</v>
      </c>
      <c r="Z237" s="175">
        <f t="shared" si="184"/>
        <v>981162</v>
      </c>
      <c r="AA237" s="12">
        <f t="shared" si="185"/>
        <v>-74480</v>
      </c>
      <c r="AB237" s="519">
        <f>[9]CMWh!$L117</f>
        <v>924215</v>
      </c>
      <c r="AC237" s="107">
        <f>RESID!AC237</f>
        <v>29.5</v>
      </c>
      <c r="AD237" s="243">
        <f t="shared" si="186"/>
        <v>1088563.7</v>
      </c>
      <c r="AE237" s="243">
        <f t="shared" si="211"/>
        <v>201751.59999999998</v>
      </c>
      <c r="AF237" s="4">
        <f t="shared" ref="AF237:AF268" si="236">AG237-C237</f>
        <v>-43881</v>
      </c>
      <c r="AG237" s="4">
        <f t="shared" si="187"/>
        <v>1011761</v>
      </c>
      <c r="AJ237" s="269">
        <f t="shared" si="195"/>
        <v>938255</v>
      </c>
      <c r="AK237" s="269">
        <f t="shared" si="196"/>
        <v>44685</v>
      </c>
      <c r="AL237" s="276">
        <f t="shared" si="201"/>
        <v>20997.09074633546</v>
      </c>
      <c r="AM237" s="269">
        <f t="shared" si="197"/>
        <v>108919</v>
      </c>
      <c r="AN237" s="269">
        <f t="shared" si="198"/>
        <v>109098</v>
      </c>
      <c r="AO237" s="276">
        <f t="shared" si="202"/>
        <v>998.35927331390133</v>
      </c>
      <c r="AP237" s="269">
        <f t="shared" si="199"/>
        <v>8468</v>
      </c>
      <c r="AQ237" s="269">
        <f t="shared" si="200"/>
        <v>3881</v>
      </c>
      <c r="AR237" s="276">
        <f t="shared" si="203"/>
        <v>2181.9118783818603</v>
      </c>
      <c r="AX237" s="4">
        <f t="shared" si="219"/>
        <v>2002</v>
      </c>
      <c r="AY237" s="4">
        <f t="shared" si="220"/>
        <v>5</v>
      </c>
      <c r="AZ237" s="76">
        <f>'[8]COM 55 &amp; 65'!$S322</f>
        <v>414.9</v>
      </c>
      <c r="BA237" s="76">
        <f t="shared" si="221"/>
        <v>395.2</v>
      </c>
      <c r="BB237" s="362">
        <f t="shared" si="192"/>
        <v>-19.699999999999989</v>
      </c>
      <c r="BC237" s="362"/>
      <c r="BD237" s="76">
        <f>'[8]COM 55 &amp; 65'!$J322</f>
        <v>0.2</v>
      </c>
      <c r="BE237" s="76">
        <f t="shared" si="222"/>
        <v>0.2</v>
      </c>
      <c r="BF237" s="363">
        <f t="shared" si="193"/>
        <v>0</v>
      </c>
      <c r="BG237" s="244"/>
      <c r="BH237" s="244">
        <f t="shared" si="188"/>
        <v>-13453.326999999992</v>
      </c>
      <c r="BI237" s="242">
        <f t="shared" si="189"/>
        <v>0</v>
      </c>
      <c r="BJ237" s="242"/>
      <c r="BK237" s="241">
        <f t="shared" si="190"/>
        <v>-13453</v>
      </c>
      <c r="BL237" s="262"/>
      <c r="BM237" s="36" t="s">
        <v>18</v>
      </c>
      <c r="BN237" s="4">
        <f t="shared" si="223"/>
        <v>2002</v>
      </c>
      <c r="BO237" s="4">
        <f t="shared" si="224"/>
        <v>5</v>
      </c>
      <c r="BP237" s="108">
        <f>C237+[4]MWh!$AK71</f>
        <v>1049667.9179158928</v>
      </c>
      <c r="BQ237" s="76">
        <f t="shared" ref="BQ237:BQ268" si="237">BP237/D237*1000</f>
        <v>6657.6258240048001</v>
      </c>
      <c r="BR237" s="130">
        <f t="shared" ref="BR237:BR268" si="238">BT237/D237*1000</f>
        <v>6572.2987994462455</v>
      </c>
      <c r="BS237" s="108">
        <f t="shared" si="233"/>
        <v>-384.48123292852415</v>
      </c>
      <c r="BT237" s="175">
        <f t="shared" ref="BT237:BT268" si="239">BK237+BP237</f>
        <v>1036214.9179158928</v>
      </c>
      <c r="BU237" s="108">
        <f t="shared" si="233"/>
        <v>19509.343304449692</v>
      </c>
      <c r="BV237" s="137">
        <f t="shared" ref="BV237:BV268" si="240">BT237-BP237</f>
        <v>-13453</v>
      </c>
      <c r="BW237" s="529"/>
    </row>
    <row r="238" spans="1:81" ht="12.75" customHeight="1">
      <c r="A238" s="22">
        <f t="shared" si="213"/>
        <v>2002</v>
      </c>
      <c r="B238" s="4">
        <f t="shared" si="214"/>
        <v>6</v>
      </c>
      <c r="C238" s="5">
        <f>'[2]FPC wSEB'!$E335</f>
        <v>941408</v>
      </c>
      <c r="D238" s="5">
        <f>'[2]FPC wSEB'!$Y335</f>
        <v>143133</v>
      </c>
      <c r="E238" s="74">
        <f t="shared" si="234"/>
        <v>6577.2</v>
      </c>
      <c r="F238" s="13">
        <v>96574</v>
      </c>
      <c r="G238" s="13">
        <v>99655</v>
      </c>
      <c r="H238" s="13">
        <v>8081</v>
      </c>
      <c r="I238" s="13">
        <v>3929</v>
      </c>
      <c r="J238" s="574">
        <f>[5]CC!$E118</f>
        <v>150249</v>
      </c>
      <c r="K238" s="4">
        <f>'[7]COM 55 &amp; 65'!$S323</f>
        <v>429.6</v>
      </c>
      <c r="L238" s="4">
        <f t="shared" si="216"/>
        <v>442.7</v>
      </c>
      <c r="M238" s="135">
        <f t="shared" si="231"/>
        <v>13.099999999999966</v>
      </c>
      <c r="N238" s="4">
        <f>'[7]COM 55 &amp; 65'!$J323</f>
        <v>0.1</v>
      </c>
      <c r="O238" s="4">
        <f t="shared" si="209"/>
        <v>0.1</v>
      </c>
      <c r="P238" s="41">
        <f t="shared" si="235"/>
        <v>0</v>
      </c>
      <c r="Q238" s="474">
        <f t="shared" si="179"/>
        <v>8946.1209999999755</v>
      </c>
      <c r="R238" s="472">
        <f t="shared" si="180"/>
        <v>0</v>
      </c>
      <c r="S238" s="241">
        <f t="shared" si="181"/>
        <v>8946</v>
      </c>
      <c r="T238" s="13" t="s">
        <v>18</v>
      </c>
      <c r="U238" s="4">
        <f t="shared" si="217"/>
        <v>2002</v>
      </c>
      <c r="V238" s="4">
        <f t="shared" si="218"/>
        <v>6</v>
      </c>
      <c r="W238" s="242">
        <f t="shared" si="182"/>
        <v>6639.6568226754134</v>
      </c>
      <c r="X238" s="131">
        <f t="shared" si="232"/>
        <v>-353.81153863771124</v>
      </c>
      <c r="Z238" s="175">
        <f t="shared" si="184"/>
        <v>950354</v>
      </c>
      <c r="AA238" s="12">
        <f t="shared" si="185"/>
        <v>8946</v>
      </c>
      <c r="AB238" s="519">
        <f>[9]CMWh!$L118</f>
        <v>1006233</v>
      </c>
      <c r="AC238" s="107">
        <f>RESID!AC238</f>
        <v>29.25</v>
      </c>
      <c r="AD238" s="243">
        <f t="shared" si="186"/>
        <v>979064.3</v>
      </c>
      <c r="AE238" s="243">
        <f t="shared" si="211"/>
        <v>-37191.899999999907</v>
      </c>
      <c r="AF238" s="4">
        <f t="shared" si="236"/>
        <v>46960</v>
      </c>
      <c r="AG238" s="4">
        <f t="shared" si="187"/>
        <v>988368</v>
      </c>
      <c r="AJ238" s="269">
        <f t="shared" si="195"/>
        <v>836753</v>
      </c>
      <c r="AK238" s="269">
        <f t="shared" si="196"/>
        <v>39549</v>
      </c>
      <c r="AL238" s="276">
        <f t="shared" si="201"/>
        <v>21157.374396318493</v>
      </c>
      <c r="AM238" s="269">
        <f t="shared" si="197"/>
        <v>96574</v>
      </c>
      <c r="AN238" s="269">
        <f t="shared" si="198"/>
        <v>99655</v>
      </c>
      <c r="AO238" s="276">
        <f t="shared" si="202"/>
        <v>969.08333751442478</v>
      </c>
      <c r="AP238" s="269">
        <f t="shared" si="199"/>
        <v>8081</v>
      </c>
      <c r="AQ238" s="269">
        <f t="shared" si="200"/>
        <v>3929</v>
      </c>
      <c r="AR238" s="276">
        <f t="shared" si="203"/>
        <v>2056.7574446424028</v>
      </c>
      <c r="AX238" s="4">
        <f t="shared" si="219"/>
        <v>2002</v>
      </c>
      <c r="AY238" s="4">
        <f t="shared" si="220"/>
        <v>6</v>
      </c>
      <c r="AZ238" s="76">
        <f>'[8]COM 55 &amp; 65'!$S323</f>
        <v>459.8</v>
      </c>
      <c r="BA238" s="76">
        <f t="shared" si="221"/>
        <v>485.1</v>
      </c>
      <c r="BB238" s="362">
        <f t="shared" si="192"/>
        <v>25.300000000000011</v>
      </c>
      <c r="BC238" s="362"/>
      <c r="BD238" s="76">
        <f>'[8]COM 55 &amp; 65'!$J323</f>
        <v>0</v>
      </c>
      <c r="BE238" s="76">
        <f t="shared" si="222"/>
        <v>0</v>
      </c>
      <c r="BF238" s="363">
        <f t="shared" si="193"/>
        <v>0</v>
      </c>
      <c r="BG238" s="244"/>
      <c r="BH238" s="244">
        <f t="shared" si="188"/>
        <v>17277.623000000007</v>
      </c>
      <c r="BI238" s="242">
        <f t="shared" si="189"/>
        <v>0</v>
      </c>
      <c r="BJ238" s="242"/>
      <c r="BK238" s="241">
        <f t="shared" si="190"/>
        <v>17278</v>
      </c>
      <c r="BL238" s="262"/>
      <c r="BM238" s="36" t="s">
        <v>18</v>
      </c>
      <c r="BN238" s="4">
        <f t="shared" si="223"/>
        <v>2002</v>
      </c>
      <c r="BO238" s="4">
        <f t="shared" si="224"/>
        <v>6</v>
      </c>
      <c r="BP238" s="108">
        <f>C238+[4]MWh!$AK72</f>
        <v>966125.42676324421</v>
      </c>
      <c r="BQ238" s="76">
        <f t="shared" si="237"/>
        <v>6749.8440385043577</v>
      </c>
      <c r="BR238" s="130">
        <f t="shared" si="238"/>
        <v>6870.556941887924</v>
      </c>
      <c r="BS238" s="108">
        <f t="shared" si="233"/>
        <v>33.45634798525316</v>
      </c>
      <c r="BT238" s="175">
        <f t="shared" si="239"/>
        <v>983403.42676324421</v>
      </c>
      <c r="BU238" s="108">
        <f t="shared" si="233"/>
        <v>-22539.183617655654</v>
      </c>
      <c r="BV238" s="137">
        <f t="shared" si="240"/>
        <v>17278</v>
      </c>
      <c r="BW238" s="529"/>
    </row>
    <row r="239" spans="1:81" ht="12.75" customHeight="1">
      <c r="A239" s="22">
        <f t="shared" si="213"/>
        <v>2002</v>
      </c>
      <c r="B239" s="4">
        <f t="shared" si="214"/>
        <v>7</v>
      </c>
      <c r="C239" s="5">
        <f>'[2]FPC wSEB'!$E336</f>
        <v>1078642</v>
      </c>
      <c r="D239" s="5">
        <f>'[2]FPC wSEB'!$Y336</f>
        <v>154753</v>
      </c>
      <c r="E239" s="74">
        <f t="shared" si="234"/>
        <v>6970.1</v>
      </c>
      <c r="F239" s="13">
        <v>107543</v>
      </c>
      <c r="G239" s="13">
        <v>107291</v>
      </c>
      <c r="H239" s="13">
        <v>8667</v>
      </c>
      <c r="I239" s="13">
        <v>3972</v>
      </c>
      <c r="J239" s="574">
        <f>[5]CC!$E119</f>
        <v>150245</v>
      </c>
      <c r="K239" s="4">
        <f>'[7]COM 55 &amp; 65'!$S324</f>
        <v>468</v>
      </c>
      <c r="L239" s="4">
        <f t="shared" si="216"/>
        <v>516.1</v>
      </c>
      <c r="M239" s="135">
        <f t="shared" ref="M239:M244" si="241">(L239-K239)</f>
        <v>48.100000000000023</v>
      </c>
      <c r="N239" s="4">
        <f>'[7]COM 55 &amp; 65'!$J324</f>
        <v>0</v>
      </c>
      <c r="O239" s="4">
        <f t="shared" si="209"/>
        <v>0</v>
      </c>
      <c r="P239" s="41">
        <f t="shared" si="235"/>
        <v>0</v>
      </c>
      <c r="Q239" s="474">
        <f t="shared" si="179"/>
        <v>32847.971000000012</v>
      </c>
      <c r="R239" s="472">
        <f t="shared" si="180"/>
        <v>0</v>
      </c>
      <c r="S239" s="241">
        <f t="shared" si="181"/>
        <v>32848</v>
      </c>
      <c r="T239" s="13" t="s">
        <v>18</v>
      </c>
      <c r="U239" s="4">
        <f t="shared" si="217"/>
        <v>2002</v>
      </c>
      <c r="V239" s="4">
        <f t="shared" si="218"/>
        <v>7</v>
      </c>
      <c r="W239" s="242">
        <f t="shared" si="182"/>
        <v>7182.3486459067026</v>
      </c>
      <c r="X239" s="131">
        <f t="shared" ref="X239:X244" si="242">W239-W227</f>
        <v>36.147192861585609</v>
      </c>
      <c r="Z239" s="175">
        <f t="shared" si="184"/>
        <v>1111490</v>
      </c>
      <c r="AA239" s="12">
        <f t="shared" si="185"/>
        <v>32848</v>
      </c>
      <c r="AB239" s="519">
        <f>[9]CMWh!$L119</f>
        <v>1066186</v>
      </c>
      <c r="AC239" s="107">
        <f>RESID!AC239</f>
        <v>30.5</v>
      </c>
      <c r="AD239" s="243">
        <f t="shared" si="186"/>
        <v>1075812.8</v>
      </c>
      <c r="AE239" s="243">
        <f t="shared" si="211"/>
        <v>54972.5</v>
      </c>
      <c r="AF239" s="4">
        <f t="shared" si="236"/>
        <v>29933</v>
      </c>
      <c r="AG239" s="4">
        <f t="shared" si="187"/>
        <v>1108575</v>
      </c>
      <c r="AJ239" s="269">
        <f t="shared" si="195"/>
        <v>962432</v>
      </c>
      <c r="AK239" s="269">
        <f t="shared" si="196"/>
        <v>43490</v>
      </c>
      <c r="AL239" s="276">
        <f t="shared" si="201"/>
        <v>22129.960910554149</v>
      </c>
      <c r="AM239" s="269">
        <f t="shared" si="197"/>
        <v>107543</v>
      </c>
      <c r="AN239" s="269">
        <f t="shared" si="198"/>
        <v>107291</v>
      </c>
      <c r="AO239" s="276">
        <f t="shared" si="202"/>
        <v>1002.3487524582677</v>
      </c>
      <c r="AP239" s="269">
        <f t="shared" si="199"/>
        <v>8667</v>
      </c>
      <c r="AQ239" s="269">
        <f t="shared" si="200"/>
        <v>3972</v>
      </c>
      <c r="AR239" s="276">
        <f t="shared" si="203"/>
        <v>2182.0241691842898</v>
      </c>
      <c r="AX239" s="4">
        <f t="shared" si="219"/>
        <v>2002</v>
      </c>
      <c r="AY239" s="4">
        <f t="shared" si="220"/>
        <v>7</v>
      </c>
      <c r="AZ239" s="76">
        <f>'[8]COM 55 &amp; 65'!$S324</f>
        <v>528.6</v>
      </c>
      <c r="BA239" s="76">
        <f t="shared" si="221"/>
        <v>546.1</v>
      </c>
      <c r="BB239" s="362">
        <f t="shared" si="192"/>
        <v>17.5</v>
      </c>
      <c r="BC239" s="362"/>
      <c r="BD239" s="76">
        <f>'[8]COM 55 &amp; 65'!$J324</f>
        <v>0</v>
      </c>
      <c r="BE239" s="76">
        <f t="shared" si="222"/>
        <v>0</v>
      </c>
      <c r="BF239" s="363">
        <f t="shared" si="193"/>
        <v>0</v>
      </c>
      <c r="BG239" s="244"/>
      <c r="BH239" s="244">
        <f t="shared" si="188"/>
        <v>11950.924999999999</v>
      </c>
      <c r="BI239" s="242">
        <f t="shared" si="189"/>
        <v>0</v>
      </c>
      <c r="BJ239" s="242"/>
      <c r="BK239" s="241">
        <f t="shared" si="190"/>
        <v>11951</v>
      </c>
      <c r="BL239" s="262"/>
      <c r="BM239" s="36" t="s">
        <v>18</v>
      </c>
      <c r="BN239" s="4">
        <f t="shared" si="223"/>
        <v>2002</v>
      </c>
      <c r="BO239" s="4">
        <f t="shared" si="224"/>
        <v>7</v>
      </c>
      <c r="BP239" s="108">
        <f>C239+[4]MWh!$AK73</f>
        <v>1135886.5251510977</v>
      </c>
      <c r="BQ239" s="76">
        <f t="shared" si="237"/>
        <v>7339.9968023307956</v>
      </c>
      <c r="BR239" s="130">
        <f t="shared" si="238"/>
        <v>7417.223091966538</v>
      </c>
      <c r="BS239" s="108">
        <f t="shared" ref="BS239:BU244" si="243">BR239-BR227</f>
        <v>128.91128373017273</v>
      </c>
      <c r="BT239" s="175">
        <f t="shared" si="239"/>
        <v>1147837.5251510977</v>
      </c>
      <c r="BU239" s="108">
        <f t="shared" si="243"/>
        <v>91491.476600743597</v>
      </c>
      <c r="BV239" s="137">
        <f t="shared" si="240"/>
        <v>11951</v>
      </c>
      <c r="BW239" s="529"/>
    </row>
    <row r="240" spans="1:81" ht="12.75" customHeight="1">
      <c r="A240" s="22">
        <f t="shared" si="213"/>
        <v>2002</v>
      </c>
      <c r="B240" s="4">
        <f t="shared" si="214"/>
        <v>8</v>
      </c>
      <c r="C240" s="5">
        <f>'[2]FPC wSEB'!$E337</f>
        <v>1060305</v>
      </c>
      <c r="D240" s="5">
        <f>'[2]FPC wSEB'!$Y337</f>
        <v>152268</v>
      </c>
      <c r="E240" s="74">
        <f t="shared" ref="E240:E245" si="244">ROUND((C240/D240)*1000,1)</f>
        <v>6963.4</v>
      </c>
      <c r="F240" s="13">
        <v>108251</v>
      </c>
      <c r="G240" s="13">
        <v>105647</v>
      </c>
      <c r="H240" s="13">
        <v>8467</v>
      </c>
      <c r="I240" s="13">
        <v>4001</v>
      </c>
      <c r="J240" s="574">
        <f>[5]CC!$E120</f>
        <v>151473</v>
      </c>
      <c r="K240" s="4">
        <f>'[7]COM 55 &amp; 65'!$S325</f>
        <v>514.9</v>
      </c>
      <c r="L240" s="4">
        <f t="shared" si="216"/>
        <v>542</v>
      </c>
      <c r="M240" s="135">
        <f t="shared" si="241"/>
        <v>27.100000000000023</v>
      </c>
      <c r="N240" s="4">
        <f>'[7]COM 55 &amp; 65'!$J325</f>
        <v>0</v>
      </c>
      <c r="O240" s="4">
        <f t="shared" si="209"/>
        <v>0</v>
      </c>
      <c r="P240" s="41">
        <f t="shared" si="235"/>
        <v>0</v>
      </c>
      <c r="Q240" s="474">
        <f t="shared" si="179"/>
        <v>18506.861000000015</v>
      </c>
      <c r="R240" s="472">
        <f t="shared" si="180"/>
        <v>0</v>
      </c>
      <c r="S240" s="241">
        <f t="shared" si="181"/>
        <v>18507</v>
      </c>
      <c r="T240" s="13" t="s">
        <v>18</v>
      </c>
      <c r="U240" s="4">
        <f t="shared" si="217"/>
        <v>2002</v>
      </c>
      <c r="V240" s="4">
        <f t="shared" si="218"/>
        <v>8</v>
      </c>
      <c r="W240" s="242">
        <f t="shared" si="182"/>
        <v>7084.9554732445422</v>
      </c>
      <c r="X240" s="131">
        <f t="shared" si="242"/>
        <v>-233.55969687534798</v>
      </c>
      <c r="Z240" s="175">
        <f t="shared" si="184"/>
        <v>1078812</v>
      </c>
      <c r="AA240" s="12">
        <f t="shared" si="185"/>
        <v>18507</v>
      </c>
      <c r="AB240" s="519">
        <f>[9]CMWh!$L120</f>
        <v>1079642</v>
      </c>
      <c r="AC240" s="107">
        <f>RESID!AC240</f>
        <v>29.7</v>
      </c>
      <c r="AD240" s="243">
        <f t="shared" si="186"/>
        <v>1086009.3999999999</v>
      </c>
      <c r="AE240" s="243">
        <f t="shared" si="211"/>
        <v>9243.7999999998137</v>
      </c>
      <c r="AF240" s="4">
        <f t="shared" si="236"/>
        <v>44660</v>
      </c>
      <c r="AG240" s="4">
        <f t="shared" si="187"/>
        <v>1104965</v>
      </c>
      <c r="AJ240" s="269">
        <f t="shared" si="195"/>
        <v>943587</v>
      </c>
      <c r="AK240" s="269">
        <f t="shared" si="196"/>
        <v>42620</v>
      </c>
      <c r="AL240" s="276">
        <f t="shared" si="201"/>
        <v>22139.535429375879</v>
      </c>
      <c r="AM240" s="269">
        <f t="shared" si="197"/>
        <v>108251</v>
      </c>
      <c r="AN240" s="269">
        <f t="shared" si="198"/>
        <v>105647</v>
      </c>
      <c r="AO240" s="276">
        <f t="shared" si="202"/>
        <v>1024.6481206281294</v>
      </c>
      <c r="AP240" s="269">
        <f t="shared" si="199"/>
        <v>8467</v>
      </c>
      <c r="AQ240" s="269">
        <f t="shared" si="200"/>
        <v>4001</v>
      </c>
      <c r="AR240" s="276">
        <f t="shared" si="203"/>
        <v>2116.2209447638093</v>
      </c>
      <c r="AX240" s="4">
        <f t="shared" si="219"/>
        <v>2002</v>
      </c>
      <c r="AY240" s="4">
        <f t="shared" si="220"/>
        <v>8</v>
      </c>
      <c r="AZ240" s="76">
        <f>'[8]COM 55 &amp; 65'!$S325</f>
        <v>519.6</v>
      </c>
      <c r="BA240" s="76">
        <f t="shared" si="221"/>
        <v>549</v>
      </c>
      <c r="BB240" s="362">
        <f t="shared" si="192"/>
        <v>29.399999999999977</v>
      </c>
      <c r="BC240" s="362"/>
      <c r="BD240" s="76">
        <f>'[8]COM 55 &amp; 65'!$J325</f>
        <v>0</v>
      </c>
      <c r="BE240" s="76">
        <f t="shared" si="222"/>
        <v>0</v>
      </c>
      <c r="BF240" s="363">
        <f t="shared" si="193"/>
        <v>0</v>
      </c>
      <c r="BG240" s="244"/>
      <c r="BH240" s="244">
        <f t="shared" si="188"/>
        <v>20077.553999999982</v>
      </c>
      <c r="BI240" s="242">
        <f t="shared" si="189"/>
        <v>0</v>
      </c>
      <c r="BJ240" s="242"/>
      <c r="BK240" s="241">
        <f t="shared" si="190"/>
        <v>20078</v>
      </c>
      <c r="BL240" s="262"/>
      <c r="BM240" s="36" t="s">
        <v>18</v>
      </c>
      <c r="BN240" s="4">
        <f t="shared" si="223"/>
        <v>2002</v>
      </c>
      <c r="BO240" s="4">
        <f t="shared" si="224"/>
        <v>8</v>
      </c>
      <c r="BP240" s="108">
        <f>C240+[4]MWh!$AK74</f>
        <v>1093013.8619784131</v>
      </c>
      <c r="BQ240" s="76">
        <f t="shared" si="237"/>
        <v>7178.2243280164785</v>
      </c>
      <c r="BR240" s="130">
        <f t="shared" si="238"/>
        <v>7310.0839439567944</v>
      </c>
      <c r="BS240" s="108">
        <f t="shared" si="243"/>
        <v>-492.94257066116279</v>
      </c>
      <c r="BT240" s="175">
        <f t="shared" si="239"/>
        <v>1113091.8619784131</v>
      </c>
      <c r="BU240" s="108">
        <f t="shared" si="243"/>
        <v>-43464.924991745967</v>
      </c>
      <c r="BV240" s="137">
        <f t="shared" si="240"/>
        <v>20078</v>
      </c>
      <c r="BW240" s="529"/>
    </row>
    <row r="241" spans="1:75" ht="12.75" customHeight="1">
      <c r="A241" s="22">
        <f t="shared" si="213"/>
        <v>2002</v>
      </c>
      <c r="B241" s="4">
        <f t="shared" si="214"/>
        <v>9</v>
      </c>
      <c r="C241" s="5">
        <f>'[2]FPC wSEB'!$E338</f>
        <v>1067622</v>
      </c>
      <c r="D241" s="5">
        <f>'[2]FPC wSEB'!$Y338</f>
        <v>152284</v>
      </c>
      <c r="E241" s="74">
        <f t="shared" si="244"/>
        <v>7010.7</v>
      </c>
      <c r="F241" s="13">
        <v>111640</v>
      </c>
      <c r="G241" s="13">
        <v>105889</v>
      </c>
      <c r="H241" s="13">
        <v>8673</v>
      </c>
      <c r="I241" s="13">
        <v>4004</v>
      </c>
      <c r="J241" s="574">
        <f>[5]CC!$E121</f>
        <v>151734</v>
      </c>
      <c r="K241" s="4">
        <f>'[7]COM 55 &amp; 65'!$S326</f>
        <v>516.5</v>
      </c>
      <c r="L241" s="4">
        <f t="shared" si="216"/>
        <v>531.20000000000005</v>
      </c>
      <c r="M241" s="135">
        <f t="shared" si="241"/>
        <v>14.700000000000045</v>
      </c>
      <c r="N241" s="4">
        <f>'[7]COM 55 &amp; 65'!$J326</f>
        <v>0</v>
      </c>
      <c r="O241" s="4">
        <f t="shared" si="209"/>
        <v>0</v>
      </c>
      <c r="P241" s="41">
        <f t="shared" ref="P241:P246" si="245">(O241-N241)</f>
        <v>0</v>
      </c>
      <c r="Q241" s="474">
        <f t="shared" si="179"/>
        <v>10038.777000000031</v>
      </c>
      <c r="R241" s="472">
        <f t="shared" si="180"/>
        <v>0</v>
      </c>
      <c r="S241" s="241">
        <f t="shared" si="181"/>
        <v>10039</v>
      </c>
      <c r="T241" s="13" t="s">
        <v>18</v>
      </c>
      <c r="U241" s="4">
        <f t="shared" si="217"/>
        <v>2002</v>
      </c>
      <c r="V241" s="4">
        <f t="shared" si="218"/>
        <v>9</v>
      </c>
      <c r="W241" s="242">
        <f t="shared" si="182"/>
        <v>7076.6528328649101</v>
      </c>
      <c r="X241" s="131">
        <f t="shared" si="242"/>
        <v>-181.21917657613722</v>
      </c>
      <c r="Z241" s="175">
        <f t="shared" si="184"/>
        <v>1077661</v>
      </c>
      <c r="AA241" s="12">
        <f t="shared" si="185"/>
        <v>10039</v>
      </c>
      <c r="AB241" s="519">
        <f>[9]CMWh!$L121</f>
        <v>1081256</v>
      </c>
      <c r="AC241" s="107">
        <f>RESID!AC241</f>
        <v>30.55</v>
      </c>
      <c r="AD241" s="243">
        <f t="shared" si="186"/>
        <v>1063078.8999999999</v>
      </c>
      <c r="AE241" s="243">
        <f t="shared" si="211"/>
        <v>26260.59999999986</v>
      </c>
      <c r="AF241" s="4">
        <f t="shared" si="236"/>
        <v>5453</v>
      </c>
      <c r="AG241" s="4">
        <f t="shared" si="187"/>
        <v>1073075</v>
      </c>
      <c r="AJ241" s="269">
        <f t="shared" si="195"/>
        <v>947309</v>
      </c>
      <c r="AK241" s="269">
        <f t="shared" si="196"/>
        <v>42391</v>
      </c>
      <c r="AL241" s="276">
        <f t="shared" si="201"/>
        <v>22346.936849803027</v>
      </c>
      <c r="AM241" s="269">
        <f t="shared" si="197"/>
        <v>111640</v>
      </c>
      <c r="AN241" s="269">
        <f t="shared" si="198"/>
        <v>105889</v>
      </c>
      <c r="AO241" s="276">
        <f t="shared" si="202"/>
        <v>1054.3115904390447</v>
      </c>
      <c r="AP241" s="269">
        <f t="shared" si="199"/>
        <v>8673</v>
      </c>
      <c r="AQ241" s="269">
        <f t="shared" si="200"/>
        <v>4004</v>
      </c>
      <c r="AR241" s="276">
        <f t="shared" si="203"/>
        <v>2166.0839160839164</v>
      </c>
      <c r="AX241" s="4">
        <f t="shared" si="219"/>
        <v>2002</v>
      </c>
      <c r="AY241" s="4">
        <f t="shared" si="220"/>
        <v>9</v>
      </c>
      <c r="AZ241" s="76">
        <f>'[8]COM 55 &amp; 65'!$S326</f>
        <v>513.6</v>
      </c>
      <c r="BA241" s="76">
        <f t="shared" si="221"/>
        <v>487.9</v>
      </c>
      <c r="BB241" s="362">
        <f t="shared" si="192"/>
        <v>-25.700000000000045</v>
      </c>
      <c r="BC241" s="362"/>
      <c r="BD241" s="76">
        <f>'[8]COM 55 &amp; 65'!$J326</f>
        <v>0</v>
      </c>
      <c r="BE241" s="76">
        <f t="shared" si="222"/>
        <v>0</v>
      </c>
      <c r="BF241" s="363">
        <f t="shared" si="193"/>
        <v>0</v>
      </c>
      <c r="BG241" s="244"/>
      <c r="BH241" s="244">
        <f t="shared" si="188"/>
        <v>-17550.787000000029</v>
      </c>
      <c r="BI241" s="242">
        <f t="shared" si="189"/>
        <v>0</v>
      </c>
      <c r="BJ241" s="242"/>
      <c r="BK241" s="241">
        <f t="shared" si="190"/>
        <v>-17551</v>
      </c>
      <c r="BL241" s="262"/>
      <c r="BM241" s="36" t="s">
        <v>18</v>
      </c>
      <c r="BN241" s="4">
        <f t="shared" si="223"/>
        <v>2002</v>
      </c>
      <c r="BO241" s="4">
        <f t="shared" si="224"/>
        <v>9</v>
      </c>
      <c r="BP241" s="108">
        <f>C241+[4]MWh!$AK75</f>
        <v>1023375.3286484279</v>
      </c>
      <c r="BQ241" s="76">
        <f t="shared" si="237"/>
        <v>6720.1763064302741</v>
      </c>
      <c r="BR241" s="130">
        <f t="shared" si="238"/>
        <v>6604.9245399938782</v>
      </c>
      <c r="BS241" s="108">
        <f t="shared" si="243"/>
        <v>158.18236728599277</v>
      </c>
      <c r="BT241" s="175">
        <f t="shared" si="239"/>
        <v>1005824.3286484279</v>
      </c>
      <c r="BU241" s="108">
        <f t="shared" si="243"/>
        <v>44382.987979464582</v>
      </c>
      <c r="BV241" s="137">
        <f t="shared" si="240"/>
        <v>-17551</v>
      </c>
      <c r="BW241" s="529"/>
    </row>
    <row r="242" spans="1:75" ht="12.75" customHeight="1">
      <c r="A242" s="22">
        <f t="shared" si="213"/>
        <v>2002</v>
      </c>
      <c r="B242" s="4">
        <f t="shared" si="214"/>
        <v>10</v>
      </c>
      <c r="C242" s="5">
        <f>'[2]FPC wSEB'!$E339</f>
        <v>1007947</v>
      </c>
      <c r="D242" s="5">
        <f>'[2]FPC wSEB'!$Y339</f>
        <v>146573</v>
      </c>
      <c r="E242" s="74">
        <f t="shared" si="244"/>
        <v>6876.8</v>
      </c>
      <c r="F242" s="13">
        <v>106223</v>
      </c>
      <c r="G242" s="13">
        <v>101579</v>
      </c>
      <c r="H242" s="13">
        <v>9042</v>
      </c>
      <c r="I242" s="13">
        <v>4012</v>
      </c>
      <c r="J242" s="574">
        <f>[5]CC!$E122</f>
        <v>151409</v>
      </c>
      <c r="K242" s="4">
        <f>'[7]COM 55 &amp; 65'!$S327</f>
        <v>479.4</v>
      </c>
      <c r="L242" s="4">
        <f t="shared" si="216"/>
        <v>431.2</v>
      </c>
      <c r="M242" s="135">
        <f t="shared" si="241"/>
        <v>-48.199999999999989</v>
      </c>
      <c r="N242" s="4">
        <f>'[7]COM 55 &amp; 65'!$J327</f>
        <v>0.1</v>
      </c>
      <c r="O242" s="4">
        <f t="shared" si="209"/>
        <v>0.2</v>
      </c>
      <c r="P242" s="41">
        <f t="shared" si="245"/>
        <v>0.1</v>
      </c>
      <c r="Q242" s="474">
        <f t="shared" si="179"/>
        <v>-32916.261999999988</v>
      </c>
      <c r="R242" s="472">
        <f t="shared" si="180"/>
        <v>65.934000000000012</v>
      </c>
      <c r="S242" s="241">
        <f t="shared" si="181"/>
        <v>-32850</v>
      </c>
      <c r="T242" s="13" t="s">
        <v>18</v>
      </c>
      <c r="U242" s="4">
        <f t="shared" si="217"/>
        <v>2002</v>
      </c>
      <c r="V242" s="4">
        <f t="shared" si="218"/>
        <v>10</v>
      </c>
      <c r="W242" s="242">
        <f t="shared" si="182"/>
        <v>6652.6372524271173</v>
      </c>
      <c r="X242" s="131">
        <f t="shared" si="242"/>
        <v>9.7117020864861843</v>
      </c>
      <c r="Z242" s="175">
        <f t="shared" si="184"/>
        <v>975097</v>
      </c>
      <c r="AA242" s="12">
        <f t="shared" si="185"/>
        <v>-32850</v>
      </c>
      <c r="AB242" s="519">
        <f>[9]CMWh!$L122</f>
        <v>1009603</v>
      </c>
      <c r="AC242" s="107">
        <f>RESID!AC242</f>
        <v>29.65</v>
      </c>
      <c r="AD242" s="243">
        <f t="shared" si="186"/>
        <v>1034123</v>
      </c>
      <c r="AE242" s="243">
        <f t="shared" si="211"/>
        <v>87893.800000000047</v>
      </c>
      <c r="AF242" s="4">
        <f t="shared" si="236"/>
        <v>-7527</v>
      </c>
      <c r="AG242" s="4">
        <f t="shared" si="187"/>
        <v>1000420</v>
      </c>
      <c r="AJ242" s="269">
        <f t="shared" si="195"/>
        <v>892682</v>
      </c>
      <c r="AK242" s="269">
        <f t="shared" si="196"/>
        <v>40982</v>
      </c>
      <c r="AL242" s="276">
        <f t="shared" si="201"/>
        <v>21782.294665950903</v>
      </c>
      <c r="AM242" s="269">
        <f t="shared" si="197"/>
        <v>106223</v>
      </c>
      <c r="AN242" s="269">
        <f t="shared" si="198"/>
        <v>101579</v>
      </c>
      <c r="AO242" s="276">
        <f t="shared" si="202"/>
        <v>1045.7181110268855</v>
      </c>
      <c r="AP242" s="269">
        <f t="shared" si="199"/>
        <v>9042</v>
      </c>
      <c r="AQ242" s="269">
        <f t="shared" si="200"/>
        <v>4012</v>
      </c>
      <c r="AR242" s="276">
        <f t="shared" si="203"/>
        <v>2253.7387836490529</v>
      </c>
      <c r="AX242" s="4">
        <f t="shared" si="219"/>
        <v>2002</v>
      </c>
      <c r="AY242" s="4">
        <f t="shared" si="220"/>
        <v>10</v>
      </c>
      <c r="AZ242" s="76">
        <f>'[8]COM 55 &amp; 65'!$S327</f>
        <v>409.3</v>
      </c>
      <c r="BA242" s="76">
        <f t="shared" si="221"/>
        <v>332.5</v>
      </c>
      <c r="BB242" s="362">
        <f t="shared" si="192"/>
        <v>-76.800000000000011</v>
      </c>
      <c r="BC242" s="362"/>
      <c r="BD242" s="76">
        <f>'[8]COM 55 &amp; 65'!$J327</f>
        <v>0.4</v>
      </c>
      <c r="BE242" s="76">
        <f t="shared" si="222"/>
        <v>2</v>
      </c>
      <c r="BF242" s="363">
        <f t="shared" si="193"/>
        <v>1.6</v>
      </c>
      <c r="BG242" s="244"/>
      <c r="BH242" s="244">
        <f t="shared" si="188"/>
        <v>-52447.488000000005</v>
      </c>
      <c r="BI242" s="242">
        <f t="shared" si="189"/>
        <v>1054.9440000000002</v>
      </c>
      <c r="BJ242" s="242"/>
      <c r="BK242" s="241">
        <f t="shared" si="190"/>
        <v>-51393</v>
      </c>
      <c r="BL242" s="262"/>
      <c r="BM242" s="36" t="s">
        <v>18</v>
      </c>
      <c r="BN242" s="4">
        <f t="shared" si="223"/>
        <v>2002</v>
      </c>
      <c r="BO242" s="4">
        <f t="shared" si="224"/>
        <v>10</v>
      </c>
      <c r="BP242" s="108">
        <f>C242+[4]MWh!$AK76</f>
        <v>1023077.8694652108</v>
      </c>
      <c r="BQ242" s="76">
        <f t="shared" si="237"/>
        <v>6979.9886027113507</v>
      </c>
      <c r="BR242" s="130">
        <f t="shared" si="238"/>
        <v>6629.357858986381</v>
      </c>
      <c r="BS242" s="108">
        <f t="shared" si="243"/>
        <v>72.867114992616735</v>
      </c>
      <c r="BT242" s="175">
        <f t="shared" si="239"/>
        <v>971684.86946521082</v>
      </c>
      <c r="BU242" s="108">
        <f t="shared" si="243"/>
        <v>6392.4066992407897</v>
      </c>
      <c r="BV242" s="137">
        <f t="shared" si="240"/>
        <v>-51393</v>
      </c>
      <c r="BW242" s="529"/>
    </row>
    <row r="243" spans="1:75" ht="12.75" customHeight="1">
      <c r="A243" s="22">
        <f t="shared" si="213"/>
        <v>2002</v>
      </c>
      <c r="B243" s="4">
        <f t="shared" si="214"/>
        <v>11</v>
      </c>
      <c r="C243" s="5">
        <f>'[2]FPC wSEB'!$E340</f>
        <v>1023357</v>
      </c>
      <c r="D243" s="5">
        <f>'[2]FPC wSEB'!$Y340</f>
        <v>160058</v>
      </c>
      <c r="E243" s="74">
        <f t="shared" si="244"/>
        <v>6393.7</v>
      </c>
      <c r="F243" s="13">
        <v>103103</v>
      </c>
      <c r="G243" s="13">
        <v>110999</v>
      </c>
      <c r="H243" s="13">
        <v>8783</v>
      </c>
      <c r="I243" s="13">
        <v>4068</v>
      </c>
      <c r="J243" s="574">
        <f>[5]CC!$E123</f>
        <v>152072</v>
      </c>
      <c r="K243" s="4">
        <f>'[7]COM 55 &amp; 65'!$S328</f>
        <v>313.10000000000002</v>
      </c>
      <c r="L243" s="4">
        <f t="shared" si="216"/>
        <v>251.9</v>
      </c>
      <c r="M243" s="135">
        <f t="shared" si="241"/>
        <v>-61.200000000000017</v>
      </c>
      <c r="N243" s="4">
        <f>'[7]COM 55 &amp; 65'!$J328</f>
        <v>4.8</v>
      </c>
      <c r="O243" s="4">
        <f t="shared" si="209"/>
        <v>6.3</v>
      </c>
      <c r="P243" s="41">
        <f t="shared" si="245"/>
        <v>1.5</v>
      </c>
      <c r="Q243" s="474">
        <f t="shared" si="179"/>
        <v>-41794.092000000011</v>
      </c>
      <c r="R243" s="472">
        <f t="shared" si="180"/>
        <v>989.01</v>
      </c>
      <c r="S243" s="241">
        <f t="shared" si="181"/>
        <v>-40805</v>
      </c>
      <c r="T243" s="13" t="s">
        <v>18</v>
      </c>
      <c r="U243" s="4">
        <f t="shared" si="217"/>
        <v>2002</v>
      </c>
      <c r="V243" s="4">
        <f t="shared" si="218"/>
        <v>11</v>
      </c>
      <c r="W243" s="242">
        <f t="shared" si="182"/>
        <v>6138.7247122917943</v>
      </c>
      <c r="X243" s="131">
        <f t="shared" si="242"/>
        <v>159.98420488724241</v>
      </c>
      <c r="Z243" s="175">
        <f t="shared" si="184"/>
        <v>982552</v>
      </c>
      <c r="AA243" s="12">
        <f t="shared" si="185"/>
        <v>-40805</v>
      </c>
      <c r="AB243" s="519">
        <f>[9]CMWh!$L123</f>
        <v>936823</v>
      </c>
      <c r="AC243" s="107">
        <f>RESID!AC243</f>
        <v>31.55</v>
      </c>
      <c r="AD243" s="243">
        <f t="shared" si="186"/>
        <v>986704.3</v>
      </c>
      <c r="AE243" s="243">
        <f t="shared" si="211"/>
        <v>90481.400000000023</v>
      </c>
      <c r="AF243" s="4">
        <f t="shared" si="236"/>
        <v>-75996</v>
      </c>
      <c r="AG243" s="4">
        <f t="shared" si="187"/>
        <v>947361</v>
      </c>
      <c r="AJ243" s="269">
        <f t="shared" si="195"/>
        <v>911471</v>
      </c>
      <c r="AK243" s="269">
        <f t="shared" si="196"/>
        <v>44991</v>
      </c>
      <c r="AL243" s="276">
        <f t="shared" si="201"/>
        <v>20258.962903691849</v>
      </c>
      <c r="AM243" s="269">
        <f t="shared" si="197"/>
        <v>103103</v>
      </c>
      <c r="AN243" s="269">
        <f t="shared" si="198"/>
        <v>110999</v>
      </c>
      <c r="AO243" s="276">
        <f t="shared" si="202"/>
        <v>928.86422400201809</v>
      </c>
      <c r="AP243" s="269">
        <f t="shared" si="199"/>
        <v>8783</v>
      </c>
      <c r="AQ243" s="269">
        <f t="shared" si="200"/>
        <v>4068</v>
      </c>
      <c r="AR243" s="276">
        <f t="shared" si="203"/>
        <v>2159.0462143559489</v>
      </c>
      <c r="AX243" s="4">
        <f t="shared" si="219"/>
        <v>2002</v>
      </c>
      <c r="AY243" s="4">
        <f t="shared" si="220"/>
        <v>11</v>
      </c>
      <c r="AZ243" s="76">
        <f>'[8]COM 55 &amp; 65'!$S328</f>
        <v>119.5</v>
      </c>
      <c r="BA243" s="76">
        <f t="shared" si="221"/>
        <v>146</v>
      </c>
      <c r="BB243" s="362">
        <f t="shared" si="192"/>
        <v>26.5</v>
      </c>
      <c r="BC243" s="362"/>
      <c r="BD243" s="76">
        <f>'[8]COM 55 &amp; 65'!$J328</f>
        <v>28.7</v>
      </c>
      <c r="BE243" s="76">
        <f t="shared" si="222"/>
        <v>14</v>
      </c>
      <c r="BF243" s="363">
        <f t="shared" si="193"/>
        <v>-14.7</v>
      </c>
      <c r="BG243" s="244"/>
      <c r="BH243" s="244">
        <f t="shared" si="188"/>
        <v>18097.114999999998</v>
      </c>
      <c r="BI243" s="242">
        <f t="shared" si="189"/>
        <v>-9692.2980000000007</v>
      </c>
      <c r="BJ243" s="242"/>
      <c r="BK243" s="241">
        <f t="shared" si="190"/>
        <v>8405</v>
      </c>
      <c r="BL243" s="262"/>
      <c r="BM243" s="36" t="s">
        <v>18</v>
      </c>
      <c r="BN243" s="4">
        <f t="shared" si="223"/>
        <v>2002</v>
      </c>
      <c r="BO243" s="4">
        <f t="shared" si="224"/>
        <v>11</v>
      </c>
      <c r="BP243" s="108">
        <f>C243+[4]MWh!$AK77</f>
        <v>886035.85970421671</v>
      </c>
      <c r="BQ243" s="76">
        <f t="shared" si="237"/>
        <v>5535.7174255845803</v>
      </c>
      <c r="BR243" s="130">
        <f t="shared" si="238"/>
        <v>5588.2296399068882</v>
      </c>
      <c r="BS243" s="108">
        <f t="shared" si="243"/>
        <v>179.39269452728695</v>
      </c>
      <c r="BT243" s="175">
        <f t="shared" si="239"/>
        <v>894440.85970421671</v>
      </c>
      <c r="BU243" s="108">
        <f t="shared" si="243"/>
        <v>66813.08334390237</v>
      </c>
      <c r="BV243" s="137">
        <f t="shared" si="240"/>
        <v>8405</v>
      </c>
      <c r="BW243" s="529"/>
    </row>
    <row r="244" spans="1:75" s="89" customFormat="1" ht="12.75" customHeight="1">
      <c r="A244" s="225">
        <f t="shared" si="213"/>
        <v>2002</v>
      </c>
      <c r="B244" s="89">
        <f t="shared" si="214"/>
        <v>12</v>
      </c>
      <c r="C244" s="103">
        <f>'[2]FPC wSEB'!$E341</f>
        <v>869744</v>
      </c>
      <c r="D244" s="103">
        <f>'[2]FPC wSEB'!$Y341</f>
        <v>150070</v>
      </c>
      <c r="E244" s="109">
        <f t="shared" si="244"/>
        <v>5795.6</v>
      </c>
      <c r="F244" s="90">
        <v>79647</v>
      </c>
      <c r="G244" s="90">
        <v>102085</v>
      </c>
      <c r="H244" s="90">
        <v>8868</v>
      </c>
      <c r="I244" s="90">
        <v>4083</v>
      </c>
      <c r="J244" s="575">
        <f>[5]CC!$E124</f>
        <v>152090</v>
      </c>
      <c r="K244" s="89">
        <f>'[7]COM 55 &amp; 65'!$S329</f>
        <v>73</v>
      </c>
      <c r="L244" s="89">
        <f t="shared" si="216"/>
        <v>119.4</v>
      </c>
      <c r="M244" s="136">
        <f t="shared" si="241"/>
        <v>46.400000000000006</v>
      </c>
      <c r="N244" s="89">
        <f>'[7]COM 55 &amp; 65'!$J329</f>
        <v>47.4</v>
      </c>
      <c r="O244" s="89">
        <f t="shared" si="209"/>
        <v>30.1</v>
      </c>
      <c r="P244" s="94">
        <f t="shared" si="245"/>
        <v>-17.299999999999997</v>
      </c>
      <c r="Q244" s="475">
        <f t="shared" si="179"/>
        <v>31687.024000000001</v>
      </c>
      <c r="R244" s="473">
        <f t="shared" si="180"/>
        <v>-11406.581999999999</v>
      </c>
      <c r="S244" s="329">
        <f t="shared" si="181"/>
        <v>20280</v>
      </c>
      <c r="T244" s="90" t="s">
        <v>18</v>
      </c>
      <c r="U244" s="89">
        <f t="shared" si="217"/>
        <v>2002</v>
      </c>
      <c r="V244" s="89">
        <f t="shared" si="218"/>
        <v>12</v>
      </c>
      <c r="W244" s="328">
        <f t="shared" si="182"/>
        <v>5930.725661358033</v>
      </c>
      <c r="X244" s="133">
        <f t="shared" si="242"/>
        <v>198.6981284844951</v>
      </c>
      <c r="Z244" s="176">
        <f t="shared" si="184"/>
        <v>890024</v>
      </c>
      <c r="AA244" s="105">
        <f t="shared" si="185"/>
        <v>20280</v>
      </c>
      <c r="AB244" s="520">
        <f>[9]CMWh!$L124</f>
        <v>891117</v>
      </c>
      <c r="AC244" s="110">
        <f>RESID!AC244</f>
        <v>31.75</v>
      </c>
      <c r="AD244" s="331">
        <f t="shared" si="186"/>
        <v>833310.6</v>
      </c>
      <c r="AE244" s="331">
        <f t="shared" si="211"/>
        <v>-12477.20000000007</v>
      </c>
      <c r="AF244" s="89">
        <f t="shared" si="236"/>
        <v>-17003</v>
      </c>
      <c r="AG244" s="89">
        <f t="shared" si="187"/>
        <v>852741</v>
      </c>
      <c r="AJ244" s="351">
        <f t="shared" si="195"/>
        <v>781229</v>
      </c>
      <c r="AK244" s="351">
        <f t="shared" si="196"/>
        <v>43902</v>
      </c>
      <c r="AL244" s="277">
        <f t="shared" si="201"/>
        <v>17794.838503940595</v>
      </c>
      <c r="AM244" s="351">
        <f t="shared" si="197"/>
        <v>79647</v>
      </c>
      <c r="AN244" s="351">
        <f t="shared" si="198"/>
        <v>102085</v>
      </c>
      <c r="AO244" s="277">
        <f t="shared" si="202"/>
        <v>780.20277219963748</v>
      </c>
      <c r="AP244" s="351">
        <f t="shared" si="199"/>
        <v>8868</v>
      </c>
      <c r="AQ244" s="351">
        <f t="shared" si="200"/>
        <v>4083</v>
      </c>
      <c r="AR244" s="277">
        <f t="shared" si="203"/>
        <v>2171.9324026451136</v>
      </c>
      <c r="AX244" s="89">
        <f t="shared" si="219"/>
        <v>2002</v>
      </c>
      <c r="AY244" s="89">
        <f t="shared" si="220"/>
        <v>12</v>
      </c>
      <c r="AZ244" s="92">
        <f>'[8]COM 55 &amp; 65'!$S329</f>
        <v>39.6</v>
      </c>
      <c r="BA244" s="92">
        <f t="shared" si="221"/>
        <v>75.7</v>
      </c>
      <c r="BB244" s="364">
        <f t="shared" si="192"/>
        <v>36.1</v>
      </c>
      <c r="BC244" s="364"/>
      <c r="BD244" s="92">
        <f>'[8]COM 55 &amp; 65'!$J329</f>
        <v>63.5</v>
      </c>
      <c r="BE244" s="92">
        <f t="shared" si="222"/>
        <v>44.3</v>
      </c>
      <c r="BF244" s="365">
        <f t="shared" si="193"/>
        <v>-19.200000000000003</v>
      </c>
      <c r="BG244" s="327"/>
      <c r="BH244" s="327">
        <f t="shared" si="188"/>
        <v>24653.050999999999</v>
      </c>
      <c r="BI244" s="328">
        <f t="shared" si="189"/>
        <v>-12659.328000000003</v>
      </c>
      <c r="BJ244" s="328"/>
      <c r="BK244" s="329">
        <f t="shared" si="190"/>
        <v>11994</v>
      </c>
      <c r="BL244" s="332"/>
      <c r="BM244" s="113" t="s">
        <v>18</v>
      </c>
      <c r="BN244" s="89">
        <f t="shared" si="223"/>
        <v>2002</v>
      </c>
      <c r="BO244" s="89">
        <f t="shared" si="224"/>
        <v>12</v>
      </c>
      <c r="BP244" s="117">
        <f>C244+[4]MWh!$AK78</f>
        <v>820682.16536659375</v>
      </c>
      <c r="BQ244" s="92">
        <f t="shared" si="237"/>
        <v>5468.6623933270721</v>
      </c>
      <c r="BR244" s="299">
        <f t="shared" si="238"/>
        <v>5548.5850960657945</v>
      </c>
      <c r="BS244" s="117">
        <f t="shared" si="243"/>
        <v>-272.61604217566219</v>
      </c>
      <c r="BT244" s="176">
        <f t="shared" si="239"/>
        <v>832676.16536659375</v>
      </c>
      <c r="BU244" s="117">
        <f t="shared" si="243"/>
        <v>-16415.875059581595</v>
      </c>
      <c r="BV244" s="139">
        <f t="shared" si="240"/>
        <v>11994</v>
      </c>
      <c r="BW244" s="536"/>
    </row>
    <row r="245" spans="1:75" ht="12.75" customHeight="1">
      <c r="A245" s="22">
        <f t="shared" si="213"/>
        <v>2003</v>
      </c>
      <c r="B245" s="4">
        <f t="shared" si="214"/>
        <v>1</v>
      </c>
      <c r="C245" s="5">
        <f>'[2]FPC wSEB'!$E342</f>
        <v>817889</v>
      </c>
      <c r="D245" s="5">
        <f>'[2]FPC wSEB'!$Y342</f>
        <v>151478</v>
      </c>
      <c r="E245" s="74">
        <f t="shared" si="244"/>
        <v>5399.4</v>
      </c>
      <c r="F245" s="13">
        <v>81357</v>
      </c>
      <c r="G245" s="13">
        <v>102616</v>
      </c>
      <c r="H245" s="13">
        <v>8924</v>
      </c>
      <c r="I245" s="13">
        <v>4088</v>
      </c>
      <c r="J245" s="574">
        <f>[5]CC!$E125</f>
        <v>152285</v>
      </c>
      <c r="K245" s="4">
        <f>'[7]COM 55 &amp; 65'!$S330</f>
        <v>28.3</v>
      </c>
      <c r="L245" s="4">
        <f t="shared" si="216"/>
        <v>70.8</v>
      </c>
      <c r="M245" s="135">
        <f t="shared" ref="M245:M250" si="246">(L245-K245)</f>
        <v>42.5</v>
      </c>
      <c r="N245" s="4">
        <f>'[7]COM 55 &amp; 65'!$J330</f>
        <v>98.6</v>
      </c>
      <c r="O245" s="4">
        <f t="shared" si="209"/>
        <v>54.9</v>
      </c>
      <c r="P245" s="41">
        <f t="shared" si="245"/>
        <v>-43.699999999999996</v>
      </c>
      <c r="Q245" s="474">
        <f t="shared" si="179"/>
        <v>29023.674999999999</v>
      </c>
      <c r="R245" s="472">
        <f t="shared" si="180"/>
        <v>-28813.157999999999</v>
      </c>
      <c r="S245" s="241">
        <f t="shared" si="181"/>
        <v>211</v>
      </c>
      <c r="T245" s="13" t="s">
        <v>18</v>
      </c>
      <c r="U245" s="4">
        <f t="shared" si="217"/>
        <v>2003</v>
      </c>
      <c r="V245" s="4">
        <f t="shared" si="218"/>
        <v>1</v>
      </c>
      <c r="W245" s="242">
        <f t="shared" si="182"/>
        <v>5400.7842723035692</v>
      </c>
      <c r="X245" s="131">
        <f t="shared" ref="X245:X250" si="247">W245-W233</f>
        <v>-176.9920138997395</v>
      </c>
      <c r="Z245" s="175">
        <f t="shared" si="184"/>
        <v>818100</v>
      </c>
      <c r="AA245" s="12">
        <f t="shared" si="185"/>
        <v>211</v>
      </c>
      <c r="AB245" s="519">
        <f>[9]CMWh!$L125</f>
        <v>832148</v>
      </c>
      <c r="AC245" s="107">
        <f>RESID!AC245</f>
        <v>31.85</v>
      </c>
      <c r="AD245" s="243">
        <f t="shared" si="186"/>
        <v>781167.5</v>
      </c>
      <c r="AE245" s="243">
        <f t="shared" si="211"/>
        <v>-37114.300000000047</v>
      </c>
      <c r="AF245" s="4">
        <f t="shared" si="236"/>
        <v>-36520</v>
      </c>
      <c r="AG245" s="4">
        <f t="shared" si="187"/>
        <v>781369</v>
      </c>
      <c r="AH245" s="4">
        <f t="shared" ref="AH245:AH250" si="248">AG245-AG233</f>
        <v>-12326</v>
      </c>
      <c r="AJ245" s="269">
        <f t="shared" ref="AJ245:AJ276" si="249">C245-AM245-AP245</f>
        <v>727608</v>
      </c>
      <c r="AK245" s="269">
        <f t="shared" ref="AK245:AK276" si="250">D245-AN245-AQ245</f>
        <v>44774</v>
      </c>
      <c r="AL245" s="276">
        <f t="shared" si="201"/>
        <v>16250.681198910082</v>
      </c>
      <c r="AM245" s="269">
        <f t="shared" ref="AM245:AM276" si="251">F245</f>
        <v>81357</v>
      </c>
      <c r="AN245" s="269">
        <f t="shared" ref="AN245:AN276" si="252">G245</f>
        <v>102616</v>
      </c>
      <c r="AO245" s="276">
        <f t="shared" si="202"/>
        <v>792.82957823341394</v>
      </c>
      <c r="AP245" s="269">
        <f t="shared" ref="AP245:AP276" si="253">H245</f>
        <v>8924</v>
      </c>
      <c r="AQ245" s="269">
        <f t="shared" ref="AQ245:AQ276" si="254">I245</f>
        <v>4088</v>
      </c>
      <c r="AR245" s="276">
        <f t="shared" si="203"/>
        <v>2182.9745596868884</v>
      </c>
      <c r="AX245" s="4">
        <f t="shared" si="219"/>
        <v>2003</v>
      </c>
      <c r="AY245" s="4">
        <f t="shared" si="220"/>
        <v>1</v>
      </c>
      <c r="AZ245" s="76">
        <f>'[8]COM 55 &amp; 65'!$S330</f>
        <v>16</v>
      </c>
      <c r="BA245" s="76">
        <f t="shared" si="221"/>
        <v>72.3</v>
      </c>
      <c r="BB245" s="362">
        <f t="shared" si="192"/>
        <v>56.3</v>
      </c>
      <c r="BC245" s="362"/>
      <c r="BD245" s="76">
        <f>'[8]COM 55 &amp; 65'!$J330</f>
        <v>140.9</v>
      </c>
      <c r="BE245" s="76">
        <f t="shared" si="222"/>
        <v>52.4</v>
      </c>
      <c r="BF245" s="363">
        <f t="shared" si="193"/>
        <v>-88.5</v>
      </c>
      <c r="BG245" s="244"/>
      <c r="BH245" s="244">
        <f t="shared" si="188"/>
        <v>38447.832999999999</v>
      </c>
      <c r="BI245" s="242">
        <f t="shared" si="189"/>
        <v>-58351.590000000004</v>
      </c>
      <c r="BJ245" s="242"/>
      <c r="BK245" s="241">
        <f t="shared" si="190"/>
        <v>-19904</v>
      </c>
      <c r="BL245" s="262"/>
      <c r="BM245" s="36" t="s">
        <v>18</v>
      </c>
      <c r="BN245" s="4">
        <f t="shared" si="223"/>
        <v>2003</v>
      </c>
      <c r="BO245" s="4">
        <f t="shared" si="224"/>
        <v>1</v>
      </c>
      <c r="BP245" s="108">
        <f>C245+[4]MWh!$AK79</f>
        <v>824231.60520453542</v>
      </c>
      <c r="BQ245" s="76">
        <f t="shared" si="237"/>
        <v>5441.262791986529</v>
      </c>
      <c r="BR245" s="130">
        <f t="shared" si="238"/>
        <v>5309.8641730451645</v>
      </c>
      <c r="BS245" s="108">
        <f t="shared" ref="BS245:BU250" si="255">BR245-BR233</f>
        <v>330.21958275729958</v>
      </c>
      <c r="BT245" s="175">
        <f t="shared" si="239"/>
        <v>804327.60520453542</v>
      </c>
      <c r="BU245" s="108">
        <f t="shared" si="255"/>
        <v>62435.255920497817</v>
      </c>
      <c r="BV245" s="137">
        <f t="shared" si="240"/>
        <v>-19904</v>
      </c>
      <c r="BW245" s="529">
        <f>BT245/[9]CMWh!$L125</f>
        <v>0.96656797252956861</v>
      </c>
    </row>
    <row r="246" spans="1:75" ht="12.75" customHeight="1">
      <c r="A246" s="22">
        <f t="shared" si="213"/>
        <v>2003</v>
      </c>
      <c r="B246" s="4">
        <f t="shared" si="214"/>
        <v>2</v>
      </c>
      <c r="C246" s="5">
        <f>'[2]FPC wSEB'!$E343</f>
        <v>788082</v>
      </c>
      <c r="D246" s="5">
        <f>'[2]FPC wSEB'!$Y343</f>
        <v>152200</v>
      </c>
      <c r="E246" s="74">
        <f t="shared" ref="E246:E251" si="256">ROUND((C246/D246)*1000,1)</f>
        <v>5177.8999999999996</v>
      </c>
      <c r="F246" s="13">
        <v>80668</v>
      </c>
      <c r="G246" s="13">
        <v>103125</v>
      </c>
      <c r="H246" s="13">
        <v>9021</v>
      </c>
      <c r="I246" s="13">
        <v>4097</v>
      </c>
      <c r="J246" s="574">
        <f>[5]CC!$E126</f>
        <v>152728</v>
      </c>
      <c r="K246" s="4">
        <f>'[7]COM 55 &amp; 65'!$S331</f>
        <v>28.7</v>
      </c>
      <c r="L246" s="4">
        <f t="shared" si="216"/>
        <v>62.7</v>
      </c>
      <c r="M246" s="135">
        <f t="shared" si="246"/>
        <v>34</v>
      </c>
      <c r="N246" s="4">
        <f>'[7]COM 55 &amp; 65'!$J331</f>
        <v>99.6</v>
      </c>
      <c r="O246" s="4">
        <f t="shared" si="209"/>
        <v>46.9</v>
      </c>
      <c r="P246" s="41">
        <f t="shared" si="245"/>
        <v>-52.699999999999996</v>
      </c>
      <c r="Q246" s="474">
        <f t="shared" si="179"/>
        <v>23218.94</v>
      </c>
      <c r="R246" s="472">
        <f t="shared" si="180"/>
        <v>-34747.218000000001</v>
      </c>
      <c r="S246" s="241">
        <f t="shared" si="181"/>
        <v>-11528</v>
      </c>
      <c r="T246" s="13" t="s">
        <v>18</v>
      </c>
      <c r="U246" s="4">
        <f t="shared" si="217"/>
        <v>2003</v>
      </c>
      <c r="V246" s="4">
        <f t="shared" si="218"/>
        <v>2</v>
      </c>
      <c r="W246" s="242">
        <f t="shared" si="182"/>
        <v>5102.1944809461238</v>
      </c>
      <c r="X246" s="131">
        <f t="shared" si="247"/>
        <v>-68.359406162840969</v>
      </c>
      <c r="Z246" s="175">
        <f t="shared" si="184"/>
        <v>776554</v>
      </c>
      <c r="AA246" s="12">
        <f t="shared" si="185"/>
        <v>-11528</v>
      </c>
      <c r="AB246" s="519">
        <f>[9]CMWh!$L126</f>
        <v>781949</v>
      </c>
      <c r="AC246" s="107">
        <f>RESID!AC246</f>
        <v>29.45</v>
      </c>
      <c r="AD246" s="243">
        <f t="shared" si="186"/>
        <v>814039.2</v>
      </c>
      <c r="AE246" s="243">
        <f t="shared" si="211"/>
        <v>-6290.6000000000931</v>
      </c>
      <c r="AF246" s="4">
        <f t="shared" si="236"/>
        <v>14050</v>
      </c>
      <c r="AG246" s="4">
        <f t="shared" si="187"/>
        <v>802132</v>
      </c>
      <c r="AH246" s="4">
        <f t="shared" si="248"/>
        <v>3636</v>
      </c>
      <c r="AJ246" s="269">
        <f t="shared" si="249"/>
        <v>698393</v>
      </c>
      <c r="AK246" s="269">
        <f t="shared" si="250"/>
        <v>44978</v>
      </c>
      <c r="AL246" s="276">
        <f t="shared" si="201"/>
        <v>15527.435635199432</v>
      </c>
      <c r="AM246" s="269">
        <f t="shared" si="251"/>
        <v>80668</v>
      </c>
      <c r="AN246" s="269">
        <f t="shared" si="252"/>
        <v>103125</v>
      </c>
      <c r="AO246" s="276">
        <f t="shared" si="202"/>
        <v>782.23515151515153</v>
      </c>
      <c r="AP246" s="269">
        <f t="shared" si="253"/>
        <v>9021</v>
      </c>
      <c r="AQ246" s="269">
        <f t="shared" si="254"/>
        <v>4097</v>
      </c>
      <c r="AR246" s="276">
        <f t="shared" si="203"/>
        <v>2201.8550158652674</v>
      </c>
      <c r="AX246" s="4">
        <f t="shared" si="219"/>
        <v>2003</v>
      </c>
      <c r="AY246" s="4">
        <f t="shared" si="220"/>
        <v>2</v>
      </c>
      <c r="AZ246" s="76">
        <f>'[8]COM 55 &amp; 65'!$S331</f>
        <v>70</v>
      </c>
      <c r="BA246" s="76">
        <f t="shared" si="221"/>
        <v>82.6</v>
      </c>
      <c r="BB246" s="362">
        <f t="shared" si="192"/>
        <v>12.599999999999994</v>
      </c>
      <c r="BC246" s="362"/>
      <c r="BD246" s="76">
        <f>'[8]COM 55 &amp; 65'!$J331</f>
        <v>27.9</v>
      </c>
      <c r="BE246" s="76">
        <f t="shared" si="222"/>
        <v>36.5</v>
      </c>
      <c r="BF246" s="363">
        <f t="shared" si="193"/>
        <v>8.6000000000000014</v>
      </c>
      <c r="BG246" s="244"/>
      <c r="BH246" s="244">
        <f t="shared" si="188"/>
        <v>8604.6659999999956</v>
      </c>
      <c r="BI246" s="242">
        <f t="shared" si="189"/>
        <v>5670.3240000000014</v>
      </c>
      <c r="BJ246" s="242"/>
      <c r="BK246" s="241">
        <f t="shared" si="190"/>
        <v>14275</v>
      </c>
      <c r="BL246" s="262"/>
      <c r="BM246" s="36" t="s">
        <v>18</v>
      </c>
      <c r="BN246" s="4">
        <f t="shared" si="223"/>
        <v>2003</v>
      </c>
      <c r="BO246" s="4">
        <f t="shared" si="224"/>
        <v>2</v>
      </c>
      <c r="BP246" s="108">
        <f>C246+[4]MWh!$AK80</f>
        <v>670174.13276866917</v>
      </c>
      <c r="BQ246" s="76">
        <f t="shared" si="237"/>
        <v>4403.2466016338321</v>
      </c>
      <c r="BR246" s="130">
        <f t="shared" si="238"/>
        <v>4497.037666022793</v>
      </c>
      <c r="BS246" s="108">
        <f t="shared" si="255"/>
        <v>-880.1763084324075</v>
      </c>
      <c r="BT246" s="175">
        <f t="shared" si="239"/>
        <v>684449.13276866917</v>
      </c>
      <c r="BU246" s="108">
        <f t="shared" si="255"/>
        <v>-119481.99691020441</v>
      </c>
      <c r="BV246" s="137">
        <f t="shared" si="240"/>
        <v>14275</v>
      </c>
      <c r="BW246" s="529">
        <f>BT246/[9]CMWh!$L126</f>
        <v>0.87531173103190762</v>
      </c>
    </row>
    <row r="247" spans="1:75" ht="12.75" customHeight="1">
      <c r="A247" s="22">
        <f t="shared" si="213"/>
        <v>2003</v>
      </c>
      <c r="B247" s="4">
        <f t="shared" si="214"/>
        <v>3</v>
      </c>
      <c r="C247" s="5">
        <f>'[2]FPC wSEB'!$E344</f>
        <v>835816</v>
      </c>
      <c r="D247" s="5">
        <f>'[2]FPC wSEB'!$Y344</f>
        <v>150307</v>
      </c>
      <c r="E247" s="74">
        <f t="shared" si="256"/>
        <v>5560.7</v>
      </c>
      <c r="F247" s="13">
        <v>75407</v>
      </c>
      <c r="G247" s="13">
        <v>101938</v>
      </c>
      <c r="H247" s="13">
        <v>8940</v>
      </c>
      <c r="I247" s="13">
        <v>4118</v>
      </c>
      <c r="J247" s="574">
        <f>[5]CC!$E127</f>
        <v>152966</v>
      </c>
      <c r="K247" s="4">
        <f>'[7]COM 55 &amp; 65'!$S332</f>
        <v>154</v>
      </c>
      <c r="L247" s="4">
        <f t="shared" si="216"/>
        <v>105.4</v>
      </c>
      <c r="M247" s="135">
        <f t="shared" si="246"/>
        <v>-48.599999999999994</v>
      </c>
      <c r="N247" s="4">
        <f>'[7]COM 55 &amp; 65'!$J332</f>
        <v>11.2</v>
      </c>
      <c r="O247" s="4">
        <f t="shared" si="209"/>
        <v>26.8</v>
      </c>
      <c r="P247" s="41">
        <f t="shared" ref="P247:P252" si="257">(O247-N247)</f>
        <v>15.600000000000001</v>
      </c>
      <c r="Q247" s="474">
        <f t="shared" si="179"/>
        <v>-33189.425999999992</v>
      </c>
      <c r="R247" s="472">
        <f t="shared" si="180"/>
        <v>10285.704000000002</v>
      </c>
      <c r="S247" s="241">
        <f t="shared" si="181"/>
        <v>-22904</v>
      </c>
      <c r="T247" s="13" t="s">
        <v>18</v>
      </c>
      <c r="U247" s="4">
        <f t="shared" si="217"/>
        <v>2003</v>
      </c>
      <c r="V247" s="4">
        <f t="shared" si="218"/>
        <v>3</v>
      </c>
      <c r="W247" s="242">
        <f t="shared" si="182"/>
        <v>5408.3442554238991</v>
      </c>
      <c r="X247" s="131">
        <f t="shared" si="247"/>
        <v>9.1112234154097678</v>
      </c>
      <c r="Z247" s="175">
        <f t="shared" si="184"/>
        <v>812912</v>
      </c>
      <c r="AA247" s="12">
        <f t="shared" si="185"/>
        <v>-22904</v>
      </c>
      <c r="AB247" s="519">
        <f>[9]CMWh!$L127</f>
        <v>822540</v>
      </c>
      <c r="AC247" s="107">
        <f>RESID!AC247</f>
        <v>29.4</v>
      </c>
      <c r="AD247" s="243">
        <f t="shared" si="186"/>
        <v>864813.7</v>
      </c>
      <c r="AE247" s="243">
        <f t="shared" si="211"/>
        <v>32078.599999999977</v>
      </c>
      <c r="AF247" s="4">
        <f t="shared" si="236"/>
        <v>5299</v>
      </c>
      <c r="AG247" s="4">
        <f t="shared" si="187"/>
        <v>841115</v>
      </c>
      <c r="AH247" s="4">
        <f t="shared" si="248"/>
        <v>9288</v>
      </c>
      <c r="AJ247" s="269">
        <f t="shared" si="249"/>
        <v>751469</v>
      </c>
      <c r="AK247" s="269">
        <f t="shared" si="250"/>
        <v>44251</v>
      </c>
      <c r="AL247" s="276">
        <f t="shared" si="201"/>
        <v>16981.966509231432</v>
      </c>
      <c r="AM247" s="269">
        <f t="shared" si="251"/>
        <v>75407</v>
      </c>
      <c r="AN247" s="269">
        <f t="shared" si="252"/>
        <v>101938</v>
      </c>
      <c r="AO247" s="276">
        <f t="shared" si="202"/>
        <v>739.73395593399903</v>
      </c>
      <c r="AP247" s="269">
        <f t="shared" si="253"/>
        <v>8940</v>
      </c>
      <c r="AQ247" s="269">
        <f t="shared" si="254"/>
        <v>4118</v>
      </c>
      <c r="AR247" s="276">
        <f t="shared" si="203"/>
        <v>2170.9567751335599</v>
      </c>
      <c r="AX247" s="4">
        <f t="shared" si="219"/>
        <v>2003</v>
      </c>
      <c r="AY247" s="4">
        <f t="shared" si="220"/>
        <v>3</v>
      </c>
      <c r="AZ247" s="76">
        <f>'[8]COM 55 &amp; 65'!$S332</f>
        <v>220.7</v>
      </c>
      <c r="BA247" s="76">
        <f t="shared" si="221"/>
        <v>140.4</v>
      </c>
      <c r="BB247" s="362">
        <f t="shared" si="192"/>
        <v>-80.299999999999983</v>
      </c>
      <c r="BC247" s="362"/>
      <c r="BD247" s="76">
        <f>'[8]COM 55 &amp; 65'!$J332</f>
        <v>4.5999999999999996</v>
      </c>
      <c r="BE247" s="76">
        <f t="shared" si="222"/>
        <v>15.1</v>
      </c>
      <c r="BF247" s="363">
        <f t="shared" si="193"/>
        <v>10.5</v>
      </c>
      <c r="BG247" s="244"/>
      <c r="BH247" s="244">
        <f t="shared" si="188"/>
        <v>-54837.672999999988</v>
      </c>
      <c r="BI247" s="242">
        <f t="shared" si="189"/>
        <v>6923.0700000000006</v>
      </c>
      <c r="BJ247" s="242"/>
      <c r="BK247" s="241">
        <f t="shared" si="190"/>
        <v>-47915</v>
      </c>
      <c r="BL247" s="262"/>
      <c r="BM247" s="36" t="s">
        <v>18</v>
      </c>
      <c r="BN247" s="4">
        <f t="shared" si="223"/>
        <v>2003</v>
      </c>
      <c r="BO247" s="4">
        <f t="shared" si="224"/>
        <v>3</v>
      </c>
      <c r="BP247" s="108">
        <f>C247+[4]MWh!$AK81</f>
        <v>988637.16095953342</v>
      </c>
      <c r="BQ247" s="76">
        <f t="shared" si="237"/>
        <v>6577.4525535040511</v>
      </c>
      <c r="BR247" s="130">
        <f t="shared" si="238"/>
        <v>6258.6716584026917</v>
      </c>
      <c r="BS247" s="108">
        <f t="shared" si="255"/>
        <v>728.13523694478954</v>
      </c>
      <c r="BT247" s="175">
        <f t="shared" si="239"/>
        <v>940722.16095953342</v>
      </c>
      <c r="BU247" s="108">
        <f t="shared" si="255"/>
        <v>117236.34887729469</v>
      </c>
      <c r="BV247" s="137">
        <f t="shared" si="240"/>
        <v>-47915</v>
      </c>
      <c r="BW247" s="529">
        <f>BT247/[9]CMWh!$L127</f>
        <v>1.1436795304295637</v>
      </c>
    </row>
    <row r="248" spans="1:75" ht="12.75" customHeight="1">
      <c r="A248" s="22">
        <f t="shared" si="213"/>
        <v>2003</v>
      </c>
      <c r="B248" s="4">
        <f t="shared" si="214"/>
        <v>4</v>
      </c>
      <c r="C248" s="5">
        <f>'[2]FPC wSEB'!$E345</f>
        <v>897197</v>
      </c>
      <c r="D248" s="5">
        <f>'[2]FPC wSEB'!$Y345</f>
        <v>155195</v>
      </c>
      <c r="E248" s="74">
        <f t="shared" si="256"/>
        <v>5781.1</v>
      </c>
      <c r="F248" s="13">
        <v>81168</v>
      </c>
      <c r="G248" s="13">
        <v>105412</v>
      </c>
      <c r="H248" s="13">
        <v>9349</v>
      </c>
      <c r="I248" s="13">
        <v>4121</v>
      </c>
      <c r="J248" s="574">
        <f>[5]CC!$E128</f>
        <v>154125</v>
      </c>
      <c r="K248" s="4">
        <f>'[7]COM 55 &amp; 65'!$S333</f>
        <v>202.1</v>
      </c>
      <c r="L248" s="4">
        <f t="shared" si="216"/>
        <v>178.4</v>
      </c>
      <c r="M248" s="135">
        <f t="shared" si="246"/>
        <v>-23.699999999999989</v>
      </c>
      <c r="N248" s="4">
        <f>'[7]COM 55 &amp; 65'!$J333</f>
        <v>8.8000000000000007</v>
      </c>
      <c r="O248" s="4">
        <f t="shared" si="209"/>
        <v>9.5</v>
      </c>
      <c r="P248" s="41">
        <f t="shared" si="257"/>
        <v>0.69999999999999929</v>
      </c>
      <c r="Q248" s="474">
        <f t="shared" si="179"/>
        <v>-16184.966999999991</v>
      </c>
      <c r="R248" s="472">
        <f t="shared" si="180"/>
        <v>461.53799999999956</v>
      </c>
      <c r="S248" s="241">
        <f t="shared" si="181"/>
        <v>-15723</v>
      </c>
      <c r="T248" s="13" t="s">
        <v>18</v>
      </c>
      <c r="U248" s="4">
        <f t="shared" si="217"/>
        <v>2003</v>
      </c>
      <c r="V248" s="4">
        <f t="shared" si="218"/>
        <v>4</v>
      </c>
      <c r="W248" s="242">
        <f t="shared" si="182"/>
        <v>5679.7834981797096</v>
      </c>
      <c r="X248" s="131">
        <f t="shared" si="247"/>
        <v>-28.264620983179157</v>
      </c>
      <c r="Z248" s="175">
        <f t="shared" si="184"/>
        <v>881474</v>
      </c>
      <c r="AA248" s="12">
        <f t="shared" si="185"/>
        <v>-15723</v>
      </c>
      <c r="AB248" s="519">
        <f>[9]CMWh!$L128</f>
        <v>874195</v>
      </c>
      <c r="AC248" s="107">
        <f>RESID!AC248</f>
        <v>29.9</v>
      </c>
      <c r="AD248" s="243">
        <f t="shared" si="186"/>
        <v>912800.4</v>
      </c>
      <c r="AE248" s="243">
        <f t="shared" si="211"/>
        <v>63724.900000000023</v>
      </c>
      <c r="AF248" s="4">
        <f t="shared" si="236"/>
        <v>-393</v>
      </c>
      <c r="AG248" s="4">
        <f t="shared" si="187"/>
        <v>896804</v>
      </c>
      <c r="AH248" s="4">
        <f t="shared" si="248"/>
        <v>92152</v>
      </c>
      <c r="AJ248" s="269">
        <f t="shared" si="249"/>
        <v>806680</v>
      </c>
      <c r="AK248" s="269">
        <f t="shared" si="250"/>
        <v>45662</v>
      </c>
      <c r="AL248" s="276">
        <f t="shared" si="201"/>
        <v>17666.330865927903</v>
      </c>
      <c r="AM248" s="269">
        <f t="shared" si="251"/>
        <v>81168</v>
      </c>
      <c r="AN248" s="269">
        <f t="shared" si="252"/>
        <v>105412</v>
      </c>
      <c r="AO248" s="276">
        <f t="shared" si="202"/>
        <v>770.00720980533526</v>
      </c>
      <c r="AP248" s="269">
        <f t="shared" si="253"/>
        <v>9349</v>
      </c>
      <c r="AQ248" s="269">
        <f t="shared" si="254"/>
        <v>4121</v>
      </c>
      <c r="AR248" s="276">
        <f t="shared" si="203"/>
        <v>2268.6241203591358</v>
      </c>
      <c r="AX248" s="4">
        <f t="shared" si="219"/>
        <v>2003</v>
      </c>
      <c r="AY248" s="4">
        <f t="shared" si="220"/>
        <v>4</v>
      </c>
      <c r="AZ248" s="76">
        <f>'[8]COM 55 &amp; 65'!$S333</f>
        <v>225.5</v>
      </c>
      <c r="BA248" s="76">
        <f t="shared" si="221"/>
        <v>227.4</v>
      </c>
      <c r="BB248" s="362">
        <f t="shared" si="192"/>
        <v>1.9000000000000057</v>
      </c>
      <c r="BC248" s="362"/>
      <c r="BD248" s="76">
        <f>'[8]COM 55 &amp; 65'!$J333</f>
        <v>5.7</v>
      </c>
      <c r="BE248" s="76">
        <f t="shared" si="222"/>
        <v>4.8</v>
      </c>
      <c r="BF248" s="363">
        <f t="shared" si="193"/>
        <v>-0.90000000000000036</v>
      </c>
      <c r="BG248" s="244"/>
      <c r="BH248" s="244">
        <f t="shared" si="188"/>
        <v>1297.5290000000039</v>
      </c>
      <c r="BI248" s="242">
        <f t="shared" si="189"/>
        <v>-593.40600000000029</v>
      </c>
      <c r="BJ248" s="242"/>
      <c r="BK248" s="241">
        <f t="shared" si="190"/>
        <v>704</v>
      </c>
      <c r="BL248" s="262"/>
      <c r="BM248" s="36" t="s">
        <v>18</v>
      </c>
      <c r="BN248" s="4">
        <f t="shared" si="223"/>
        <v>2003</v>
      </c>
      <c r="BO248" s="4">
        <f t="shared" si="224"/>
        <v>4</v>
      </c>
      <c r="BP248" s="108">
        <f>C248+[4]MWh!$AK82</f>
        <v>908408.98091944936</v>
      </c>
      <c r="BQ248" s="76">
        <f t="shared" si="237"/>
        <v>5853.3392243271328</v>
      </c>
      <c r="BR248" s="130">
        <f t="shared" si="238"/>
        <v>5857.8754529427451</v>
      </c>
      <c r="BS248" s="108">
        <f t="shared" si="255"/>
        <v>-353.44860507203884</v>
      </c>
      <c r="BT248" s="175">
        <f t="shared" si="239"/>
        <v>909112.98091944936</v>
      </c>
      <c r="BU248" s="108">
        <f t="shared" si="255"/>
        <v>22576.909443057142</v>
      </c>
      <c r="BV248" s="137">
        <f t="shared" si="240"/>
        <v>704</v>
      </c>
      <c r="BW248" s="529">
        <f>BT248/[9]CMWh!$L128</f>
        <v>1.0399430114785024</v>
      </c>
    </row>
    <row r="249" spans="1:75" ht="12.75" customHeight="1">
      <c r="A249" s="22">
        <f t="shared" si="213"/>
        <v>2003</v>
      </c>
      <c r="B249" s="4">
        <f t="shared" si="214"/>
        <v>5</v>
      </c>
      <c r="C249" s="5">
        <f>'[2]FPC wSEB'!$E346</f>
        <v>986168</v>
      </c>
      <c r="D249" s="5">
        <f>'[2]FPC wSEB'!$Y346</f>
        <v>154413</v>
      </c>
      <c r="E249" s="74">
        <f t="shared" si="256"/>
        <v>6386.6</v>
      </c>
      <c r="F249" s="13">
        <v>95909</v>
      </c>
      <c r="G249" s="13">
        <v>105098</v>
      </c>
      <c r="H249" s="13">
        <v>9166</v>
      </c>
      <c r="I249" s="13">
        <v>4131</v>
      </c>
      <c r="J249" s="574">
        <f>[5]CC!$E129</f>
        <v>154246</v>
      </c>
      <c r="K249" s="4">
        <f>'[7]COM 55 &amp; 65'!$S334</f>
        <v>335</v>
      </c>
      <c r="L249" s="4">
        <f t="shared" si="216"/>
        <v>273.89999999999998</v>
      </c>
      <c r="M249" s="135">
        <f t="shared" si="246"/>
        <v>-61.100000000000023</v>
      </c>
      <c r="N249" s="4">
        <f>'[7]COM 55 &amp; 65'!$J334</f>
        <v>1.2</v>
      </c>
      <c r="O249" s="4">
        <f t="shared" si="209"/>
        <v>2</v>
      </c>
      <c r="P249" s="41">
        <f t="shared" si="257"/>
        <v>0.8</v>
      </c>
      <c r="Q249" s="474">
        <f t="shared" si="179"/>
        <v>-41725.801000000014</v>
      </c>
      <c r="R249" s="472">
        <f t="shared" si="180"/>
        <v>527.47200000000009</v>
      </c>
      <c r="S249" s="241">
        <f t="shared" si="181"/>
        <v>-41198</v>
      </c>
      <c r="T249" s="13" t="s">
        <v>18</v>
      </c>
      <c r="U249" s="4">
        <f t="shared" si="217"/>
        <v>2003</v>
      </c>
      <c r="V249" s="4">
        <f t="shared" si="218"/>
        <v>5</v>
      </c>
      <c r="W249" s="242">
        <f t="shared" si="182"/>
        <v>6119.7567562316644</v>
      </c>
      <c r="X249" s="131">
        <f t="shared" si="247"/>
        <v>-103.3632965387842</v>
      </c>
      <c r="Z249" s="175">
        <f t="shared" si="184"/>
        <v>944970</v>
      </c>
      <c r="AA249" s="12">
        <f t="shared" si="185"/>
        <v>-41198</v>
      </c>
      <c r="AB249" s="519">
        <f>[9]CMWh!$L129</f>
        <v>943961</v>
      </c>
      <c r="AC249" s="107">
        <f>RESID!AC249</f>
        <v>30.4</v>
      </c>
      <c r="AD249" s="243">
        <f t="shared" si="186"/>
        <v>986816.8</v>
      </c>
      <c r="AE249" s="243">
        <f t="shared" si="211"/>
        <v>-101746.89999999991</v>
      </c>
      <c r="AF249" s="4">
        <f t="shared" si="236"/>
        <v>-40576</v>
      </c>
      <c r="AG249" s="4">
        <f t="shared" si="187"/>
        <v>945592</v>
      </c>
      <c r="AH249" s="4">
        <f t="shared" si="248"/>
        <v>-66169</v>
      </c>
      <c r="AJ249" s="269">
        <f t="shared" si="249"/>
        <v>881093</v>
      </c>
      <c r="AK249" s="269">
        <f t="shared" si="250"/>
        <v>45184</v>
      </c>
      <c r="AL249" s="276">
        <f t="shared" si="201"/>
        <v>19500.110658640227</v>
      </c>
      <c r="AM249" s="269">
        <f t="shared" si="251"/>
        <v>95909</v>
      </c>
      <c r="AN249" s="269">
        <f t="shared" si="252"/>
        <v>105098</v>
      </c>
      <c r="AO249" s="276">
        <f t="shared" si="202"/>
        <v>912.56731812213366</v>
      </c>
      <c r="AP249" s="269">
        <f t="shared" si="253"/>
        <v>9166</v>
      </c>
      <c r="AQ249" s="269">
        <f t="shared" si="254"/>
        <v>4131</v>
      </c>
      <c r="AR249" s="276">
        <f t="shared" si="203"/>
        <v>2218.8332122972647</v>
      </c>
      <c r="AX249" s="4">
        <f t="shared" si="219"/>
        <v>2003</v>
      </c>
      <c r="AY249" s="4">
        <f t="shared" si="220"/>
        <v>5</v>
      </c>
      <c r="AZ249" s="76">
        <f>'[8]COM 55 &amp; 65'!$S334</f>
        <v>447.9</v>
      </c>
      <c r="BA249" s="76">
        <f t="shared" si="221"/>
        <v>395.2</v>
      </c>
      <c r="BB249" s="362">
        <f t="shared" si="192"/>
        <v>-52.699999999999989</v>
      </c>
      <c r="BC249" s="362"/>
      <c r="BD249" s="76">
        <f>'[8]COM 55 &amp; 65'!$J334</f>
        <v>0</v>
      </c>
      <c r="BE249" s="76">
        <f t="shared" si="222"/>
        <v>0.2</v>
      </c>
      <c r="BF249" s="363">
        <f t="shared" si="193"/>
        <v>0.2</v>
      </c>
      <c r="BG249" s="244"/>
      <c r="BH249" s="244">
        <f t="shared" si="188"/>
        <v>-35989.356999999989</v>
      </c>
      <c r="BI249" s="242">
        <f t="shared" si="189"/>
        <v>131.86800000000002</v>
      </c>
      <c r="BJ249" s="242"/>
      <c r="BK249" s="241">
        <f t="shared" si="190"/>
        <v>-35857</v>
      </c>
      <c r="BL249" s="262"/>
      <c r="BM249" s="36" t="s">
        <v>18</v>
      </c>
      <c r="BN249" s="4">
        <f t="shared" si="223"/>
        <v>2003</v>
      </c>
      <c r="BO249" s="4">
        <f t="shared" si="224"/>
        <v>5</v>
      </c>
      <c r="BP249" s="108">
        <f>C249+[4]MWh!$AK83</f>
        <v>1120392.0556623796</v>
      </c>
      <c r="BQ249" s="76">
        <f t="shared" si="237"/>
        <v>7255.8143139656604</v>
      </c>
      <c r="BR249" s="130">
        <f t="shared" si="238"/>
        <v>7023.5994097801322</v>
      </c>
      <c r="BS249" s="108">
        <f t="shared" si="255"/>
        <v>451.30061033388665</v>
      </c>
      <c r="BT249" s="175">
        <f t="shared" si="239"/>
        <v>1084535.0556623796</v>
      </c>
      <c r="BU249" s="108">
        <f t="shared" si="255"/>
        <v>48320.137746486813</v>
      </c>
      <c r="BV249" s="137">
        <f t="shared" si="240"/>
        <v>-35857</v>
      </c>
      <c r="BW249" s="529">
        <f>BT249/[9]CMWh!$L129</f>
        <v>1.1489193469458798</v>
      </c>
    </row>
    <row r="250" spans="1:75" ht="12.75" customHeight="1">
      <c r="A250" s="22">
        <f t="shared" si="213"/>
        <v>2003</v>
      </c>
      <c r="B250" s="4">
        <f t="shared" si="214"/>
        <v>6</v>
      </c>
      <c r="C250" s="5">
        <f>'[2]FPC wSEB'!$E347</f>
        <v>1067882</v>
      </c>
      <c r="D250" s="5">
        <f>'[2]FPC wSEB'!$Y347</f>
        <v>152799</v>
      </c>
      <c r="E250" s="74">
        <f t="shared" si="256"/>
        <v>6988.8</v>
      </c>
      <c r="F250" s="13">
        <v>110759</v>
      </c>
      <c r="G250" s="13">
        <v>104198</v>
      </c>
      <c r="H250" s="13">
        <v>9053</v>
      </c>
      <c r="I250" s="13">
        <v>4169</v>
      </c>
      <c r="J250" s="574">
        <f>[5]CC!$E130</f>
        <v>154196</v>
      </c>
      <c r="K250" s="4">
        <f>'[7]COM 55 &amp; 65'!$S335</f>
        <v>462.5</v>
      </c>
      <c r="L250" s="4">
        <f t="shared" si="216"/>
        <v>442.7</v>
      </c>
      <c r="M250" s="135">
        <f t="shared" si="246"/>
        <v>-19.800000000000011</v>
      </c>
      <c r="N250" s="4">
        <f>'[7]COM 55 &amp; 65'!$J335</f>
        <v>0</v>
      </c>
      <c r="O250" s="4">
        <f t="shared" si="209"/>
        <v>0.1</v>
      </c>
      <c r="P250" s="41">
        <f t="shared" si="257"/>
        <v>0.1</v>
      </c>
      <c r="Q250" s="474">
        <f t="shared" si="179"/>
        <v>-13521.618000000008</v>
      </c>
      <c r="R250" s="472">
        <f t="shared" si="180"/>
        <v>65.934000000000012</v>
      </c>
      <c r="S250" s="241">
        <f t="shared" si="181"/>
        <v>-13456</v>
      </c>
      <c r="T250" s="13" t="s">
        <v>18</v>
      </c>
      <c r="U250" s="4">
        <f t="shared" si="217"/>
        <v>2003</v>
      </c>
      <c r="V250" s="4">
        <f t="shared" si="218"/>
        <v>6</v>
      </c>
      <c r="W250" s="242">
        <f t="shared" si="182"/>
        <v>6900.7388791811463</v>
      </c>
      <c r="X250" s="131">
        <f t="shared" si="247"/>
        <v>261.08205650573291</v>
      </c>
      <c r="Z250" s="175">
        <f t="shared" si="184"/>
        <v>1054426</v>
      </c>
      <c r="AA250" s="12">
        <f t="shared" si="185"/>
        <v>-13456</v>
      </c>
      <c r="AB250" s="519">
        <f>[9]CMWh!$L130</f>
        <v>1065321</v>
      </c>
      <c r="AC250" s="107">
        <f>RESID!AC250</f>
        <v>30.7</v>
      </c>
      <c r="AD250" s="243">
        <f t="shared" si="186"/>
        <v>1058142.3999999999</v>
      </c>
      <c r="AE250" s="243">
        <f t="shared" si="211"/>
        <v>79078.09999999986</v>
      </c>
      <c r="AF250" s="4">
        <f t="shared" si="236"/>
        <v>-23073</v>
      </c>
      <c r="AG250" s="4">
        <f t="shared" si="187"/>
        <v>1044809</v>
      </c>
      <c r="AH250" s="4">
        <f t="shared" si="248"/>
        <v>56441</v>
      </c>
      <c r="AJ250" s="269">
        <f t="shared" si="249"/>
        <v>948070</v>
      </c>
      <c r="AK250" s="269">
        <f t="shared" si="250"/>
        <v>44432</v>
      </c>
      <c r="AL250" s="276">
        <f t="shared" si="201"/>
        <v>21337.54951386388</v>
      </c>
      <c r="AM250" s="269">
        <f t="shared" si="251"/>
        <v>110759</v>
      </c>
      <c r="AN250" s="269">
        <f t="shared" si="252"/>
        <v>104198</v>
      </c>
      <c r="AO250" s="276">
        <f t="shared" si="202"/>
        <v>1062.9666596287836</v>
      </c>
      <c r="AP250" s="269">
        <f t="shared" si="253"/>
        <v>9053</v>
      </c>
      <c r="AQ250" s="269">
        <f t="shared" si="254"/>
        <v>4169</v>
      </c>
      <c r="AR250" s="276">
        <f t="shared" si="203"/>
        <v>2171.5039577836415</v>
      </c>
      <c r="AX250" s="4">
        <f t="shared" si="219"/>
        <v>2003</v>
      </c>
      <c r="AY250" s="4">
        <f t="shared" si="220"/>
        <v>6</v>
      </c>
      <c r="AZ250" s="76">
        <f>'[8]COM 55 &amp; 65'!$S335</f>
        <v>473.5</v>
      </c>
      <c r="BA250" s="76">
        <f t="shared" si="221"/>
        <v>485.1</v>
      </c>
      <c r="BB250" s="362">
        <f t="shared" si="192"/>
        <v>11.600000000000023</v>
      </c>
      <c r="BC250" s="362"/>
      <c r="BD250" s="76">
        <f>'[8]COM 55 &amp; 65'!$J335</f>
        <v>0</v>
      </c>
      <c r="BE250" s="76">
        <f t="shared" si="222"/>
        <v>0</v>
      </c>
      <c r="BF250" s="363">
        <f t="shared" si="193"/>
        <v>0</v>
      </c>
      <c r="BG250" s="244"/>
      <c r="BH250" s="244">
        <f t="shared" si="188"/>
        <v>7921.7560000000149</v>
      </c>
      <c r="BI250" s="242">
        <f t="shared" si="189"/>
        <v>0</v>
      </c>
      <c r="BJ250" s="242"/>
      <c r="BK250" s="241">
        <f t="shared" si="190"/>
        <v>7922</v>
      </c>
      <c r="BL250" s="262"/>
      <c r="BM250" s="36" t="s">
        <v>18</v>
      </c>
      <c r="BN250" s="4">
        <f t="shared" si="223"/>
        <v>2003</v>
      </c>
      <c r="BO250" s="4">
        <f t="shared" si="224"/>
        <v>6</v>
      </c>
      <c r="BP250" s="108">
        <f>C250+[4]MWh!$AK84</f>
        <v>1005302.6251661219</v>
      </c>
      <c r="BQ250" s="76">
        <f t="shared" si="237"/>
        <v>6579.2487199924208</v>
      </c>
      <c r="BR250" s="130">
        <f t="shared" si="238"/>
        <v>6631.0946090361967</v>
      </c>
      <c r="BS250" s="108">
        <f t="shared" si="255"/>
        <v>-239.4623328517273</v>
      </c>
      <c r="BT250" s="175">
        <f t="shared" si="239"/>
        <v>1013224.6251661219</v>
      </c>
      <c r="BU250" s="108">
        <f t="shared" si="255"/>
        <v>29821.198402877664</v>
      </c>
      <c r="BV250" s="137">
        <f t="shared" si="240"/>
        <v>7922</v>
      </c>
      <c r="BW250" s="529">
        <f>BT250/[9]CMWh!$L130</f>
        <v>0.95109795560786081</v>
      </c>
    </row>
    <row r="251" spans="1:75" ht="12.75" customHeight="1">
      <c r="A251" s="22">
        <f t="shared" si="213"/>
        <v>2003</v>
      </c>
      <c r="B251" s="4">
        <f t="shared" si="214"/>
        <v>7</v>
      </c>
      <c r="C251" s="5">
        <f>'[2]FPC wSEB'!$E348</f>
        <v>1099046</v>
      </c>
      <c r="D251" s="5">
        <f>'[2]FPC wSEB'!$Y348</f>
        <v>154994</v>
      </c>
      <c r="E251" s="74">
        <f t="shared" si="256"/>
        <v>7090.9</v>
      </c>
      <c r="F251" s="13">
        <v>102847</v>
      </c>
      <c r="G251" s="13">
        <v>105798</v>
      </c>
      <c r="H251" s="13">
        <v>9264</v>
      </c>
      <c r="I251" s="13">
        <v>4184</v>
      </c>
      <c r="J251" s="574">
        <f>[5]CC!$E131</f>
        <v>154625</v>
      </c>
      <c r="K251" s="4">
        <f>'[7]COM 55 &amp; 65'!$S336</f>
        <v>506.8</v>
      </c>
      <c r="L251" s="4">
        <f t="shared" si="216"/>
        <v>516.1</v>
      </c>
      <c r="M251" s="135">
        <f t="shared" ref="M251:M256" si="258">(L251-K251)</f>
        <v>9.3000000000000114</v>
      </c>
      <c r="N251" s="4">
        <f>'[7]COM 55 &amp; 65'!$J336</f>
        <v>0</v>
      </c>
      <c r="O251" s="4">
        <f t="shared" si="209"/>
        <v>0</v>
      </c>
      <c r="P251" s="41">
        <f t="shared" si="257"/>
        <v>0</v>
      </c>
      <c r="Q251" s="474">
        <f t="shared" si="179"/>
        <v>6351.0630000000074</v>
      </c>
      <c r="R251" s="472">
        <f t="shared" si="180"/>
        <v>0</v>
      </c>
      <c r="S251" s="241">
        <f t="shared" si="181"/>
        <v>6351</v>
      </c>
      <c r="T251" s="13" t="s">
        <v>18</v>
      </c>
      <c r="U251" s="4">
        <f t="shared" si="217"/>
        <v>2003</v>
      </c>
      <c r="V251" s="4">
        <f t="shared" si="218"/>
        <v>7</v>
      </c>
      <c r="W251" s="242">
        <f t="shared" si="182"/>
        <v>7131.8696207595131</v>
      </c>
      <c r="X251" s="131">
        <f t="shared" ref="X251:X256" si="259">W251-W239</f>
        <v>-50.479025147189532</v>
      </c>
      <c r="Z251" s="175">
        <f t="shared" si="184"/>
        <v>1105397</v>
      </c>
      <c r="AA251" s="12">
        <f t="shared" si="185"/>
        <v>6351</v>
      </c>
      <c r="AB251" s="519">
        <f>[9]CMWh!$L131</f>
        <v>1103528</v>
      </c>
      <c r="AC251" s="107">
        <f>RESID!AC251</f>
        <v>30.6</v>
      </c>
      <c r="AD251" s="243">
        <f t="shared" si="186"/>
        <v>1092581</v>
      </c>
      <c r="AE251" s="243">
        <f t="shared" si="211"/>
        <v>16768.199999999953</v>
      </c>
      <c r="AF251" s="4">
        <f t="shared" si="236"/>
        <v>-151</v>
      </c>
      <c r="AG251" s="4">
        <f t="shared" si="187"/>
        <v>1098895</v>
      </c>
      <c r="AH251" s="4">
        <f t="shared" ref="AH251:AH256" si="260">AG251-AG239</f>
        <v>-9680</v>
      </c>
      <c r="AJ251" s="269">
        <f t="shared" si="249"/>
        <v>986935</v>
      </c>
      <c r="AK251" s="269">
        <f t="shared" si="250"/>
        <v>45012</v>
      </c>
      <c r="AL251" s="276">
        <f t="shared" si="201"/>
        <v>21926.04194437039</v>
      </c>
      <c r="AM251" s="269">
        <f t="shared" si="251"/>
        <v>102847</v>
      </c>
      <c r="AN251" s="269">
        <f t="shared" si="252"/>
        <v>105798</v>
      </c>
      <c r="AO251" s="276">
        <f t="shared" si="202"/>
        <v>972.10722319892625</v>
      </c>
      <c r="AP251" s="269">
        <f t="shared" si="253"/>
        <v>9264</v>
      </c>
      <c r="AQ251" s="269">
        <f t="shared" si="254"/>
        <v>4184</v>
      </c>
      <c r="AR251" s="276">
        <f t="shared" si="203"/>
        <v>2214.1491395793496</v>
      </c>
      <c r="AX251" s="4">
        <f t="shared" si="219"/>
        <v>2003</v>
      </c>
      <c r="AY251" s="4">
        <f t="shared" si="220"/>
        <v>7</v>
      </c>
      <c r="AZ251" s="76">
        <f>'[8]COM 55 &amp; 65'!$S336</f>
        <v>539.4</v>
      </c>
      <c r="BA251" s="76">
        <f t="shared" si="221"/>
        <v>546.1</v>
      </c>
      <c r="BB251" s="362">
        <f t="shared" si="192"/>
        <v>6.7000000000000455</v>
      </c>
      <c r="BC251" s="362"/>
      <c r="BD251" s="76">
        <f>'[8]COM 55 &amp; 65'!$J336</f>
        <v>0</v>
      </c>
      <c r="BE251" s="76">
        <f t="shared" si="222"/>
        <v>0</v>
      </c>
      <c r="BF251" s="363">
        <f t="shared" si="193"/>
        <v>0</v>
      </c>
      <c r="BG251" s="244"/>
      <c r="BH251" s="244">
        <f t="shared" si="188"/>
        <v>4575.4970000000312</v>
      </c>
      <c r="BI251" s="242">
        <f t="shared" si="189"/>
        <v>0</v>
      </c>
      <c r="BJ251" s="242"/>
      <c r="BK251" s="241">
        <f t="shared" si="190"/>
        <v>4575</v>
      </c>
      <c r="BL251" s="262"/>
      <c r="BM251" s="36" t="s">
        <v>18</v>
      </c>
      <c r="BN251" s="4">
        <f t="shared" si="223"/>
        <v>2003</v>
      </c>
      <c r="BO251" s="4">
        <f t="shared" si="224"/>
        <v>7</v>
      </c>
      <c r="BP251" s="108">
        <f>C251+[4]MWh!$AK85</f>
        <v>1162249.0313274032</v>
      </c>
      <c r="BQ251" s="76">
        <f t="shared" si="237"/>
        <v>7498.6711184136357</v>
      </c>
      <c r="BR251" s="130">
        <f t="shared" si="238"/>
        <v>7528.1883900499579</v>
      </c>
      <c r="BS251" s="108">
        <f t="shared" ref="BS251:BU256" si="261">BR251-BR239</f>
        <v>110.96529808341984</v>
      </c>
      <c r="BT251" s="175">
        <f t="shared" si="239"/>
        <v>1166824.0313274032</v>
      </c>
      <c r="BU251" s="108">
        <f t="shared" si="261"/>
        <v>18986.506176305469</v>
      </c>
      <c r="BV251" s="137">
        <f t="shared" si="240"/>
        <v>4575</v>
      </c>
      <c r="BW251" s="529">
        <f>BT251/[9]CMWh!$L131</f>
        <v>1.0573578842833196</v>
      </c>
    </row>
    <row r="252" spans="1:75" ht="12.75" customHeight="1">
      <c r="A252" s="22">
        <f t="shared" si="213"/>
        <v>2003</v>
      </c>
      <c r="B252" s="4">
        <f t="shared" si="214"/>
        <v>8</v>
      </c>
      <c r="C252" s="5">
        <f>'[2]FPC wSEB'!$E349</f>
        <v>1080971</v>
      </c>
      <c r="D252" s="5">
        <f>'[2]FPC wSEB'!$Y349</f>
        <v>153917</v>
      </c>
      <c r="E252" s="74">
        <f t="shared" ref="E252:E257" si="262">ROUND((C252/D252)*1000,1)</f>
        <v>7023.1</v>
      </c>
      <c r="F252" s="13">
        <v>103993</v>
      </c>
      <c r="G252" s="13">
        <v>104860</v>
      </c>
      <c r="H252" s="13">
        <v>9150</v>
      </c>
      <c r="I252" s="13">
        <v>4195</v>
      </c>
      <c r="J252" s="574">
        <f>[5]CC!$E132</f>
        <v>154824</v>
      </c>
      <c r="K252" s="4">
        <f>'[7]COM 55 &amp; 65'!$S337</f>
        <v>495.5</v>
      </c>
      <c r="L252" s="4">
        <f t="shared" si="216"/>
        <v>542</v>
      </c>
      <c r="M252" s="135">
        <f t="shared" si="258"/>
        <v>46.5</v>
      </c>
      <c r="N252" s="4">
        <f>'[7]COM 55 &amp; 65'!$J337</f>
        <v>0</v>
      </c>
      <c r="O252" s="4">
        <f t="shared" si="209"/>
        <v>0</v>
      </c>
      <c r="P252" s="41">
        <f t="shared" si="257"/>
        <v>0</v>
      </c>
      <c r="Q252" s="474">
        <f t="shared" si="179"/>
        <v>31755.314999999999</v>
      </c>
      <c r="R252" s="472">
        <f t="shared" si="180"/>
        <v>0</v>
      </c>
      <c r="S252" s="241">
        <f t="shared" si="181"/>
        <v>31755</v>
      </c>
      <c r="T252" s="13" t="s">
        <v>18</v>
      </c>
      <c r="U252" s="4">
        <f t="shared" si="217"/>
        <v>2003</v>
      </c>
      <c r="V252" s="4">
        <f t="shared" si="218"/>
        <v>8</v>
      </c>
      <c r="W252" s="242">
        <f t="shared" si="182"/>
        <v>7229.3898659667229</v>
      </c>
      <c r="X252" s="131">
        <f t="shared" si="259"/>
        <v>144.43439272218075</v>
      </c>
      <c r="Z252" s="175">
        <f t="shared" si="184"/>
        <v>1112726</v>
      </c>
      <c r="AA252" s="12">
        <f t="shared" si="185"/>
        <v>31755</v>
      </c>
      <c r="AB252" s="519">
        <f>[9]CMWh!$L132</f>
        <v>1115471</v>
      </c>
      <c r="AC252" s="107">
        <f>RESID!AC252</f>
        <v>29.6</v>
      </c>
      <c r="AD252" s="243">
        <f t="shared" si="186"/>
        <v>1110916.8</v>
      </c>
      <c r="AE252" s="243">
        <f t="shared" si="211"/>
        <v>24907.40000000014</v>
      </c>
      <c r="AF252" s="4">
        <f t="shared" si="236"/>
        <v>62581</v>
      </c>
      <c r="AG252" s="4">
        <f t="shared" si="187"/>
        <v>1143552</v>
      </c>
      <c r="AH252" s="4">
        <f t="shared" si="260"/>
        <v>38587</v>
      </c>
      <c r="AJ252" s="269">
        <f t="shared" si="249"/>
        <v>967828</v>
      </c>
      <c r="AK252" s="269">
        <f t="shared" si="250"/>
        <v>44862</v>
      </c>
      <c r="AL252" s="276">
        <f t="shared" si="201"/>
        <v>21573.447461102936</v>
      </c>
      <c r="AM252" s="269">
        <f t="shared" si="251"/>
        <v>103993</v>
      </c>
      <c r="AN252" s="269">
        <f t="shared" si="252"/>
        <v>104860</v>
      </c>
      <c r="AO252" s="276">
        <f t="shared" si="202"/>
        <v>991.73183292008389</v>
      </c>
      <c r="AP252" s="269">
        <f t="shared" si="253"/>
        <v>9150</v>
      </c>
      <c r="AQ252" s="269">
        <f t="shared" si="254"/>
        <v>4195</v>
      </c>
      <c r="AR252" s="276">
        <f t="shared" si="203"/>
        <v>2181.1680572109653</v>
      </c>
      <c r="AX252" s="4">
        <f t="shared" si="219"/>
        <v>2003</v>
      </c>
      <c r="AY252" s="4">
        <f t="shared" si="220"/>
        <v>8</v>
      </c>
      <c r="AZ252" s="76">
        <f>'[8]COM 55 &amp; 65'!$S337</f>
        <v>510.6</v>
      </c>
      <c r="BA252" s="76">
        <f t="shared" si="221"/>
        <v>549</v>
      </c>
      <c r="BB252" s="362">
        <f t="shared" si="192"/>
        <v>38.399999999999977</v>
      </c>
      <c r="BC252" s="362"/>
      <c r="BD252" s="76">
        <f>'[8]COM 55 &amp; 65'!$J337</f>
        <v>0</v>
      </c>
      <c r="BE252" s="76">
        <f t="shared" si="222"/>
        <v>0</v>
      </c>
      <c r="BF252" s="363">
        <f t="shared" si="193"/>
        <v>0</v>
      </c>
      <c r="BG252" s="244"/>
      <c r="BH252" s="244">
        <f t="shared" si="188"/>
        <v>26223.743999999984</v>
      </c>
      <c r="BI252" s="242">
        <f t="shared" si="189"/>
        <v>0</v>
      </c>
      <c r="BJ252" s="242"/>
      <c r="BK252" s="241">
        <f t="shared" si="190"/>
        <v>26224</v>
      </c>
      <c r="BL252" s="262"/>
      <c r="BM252" s="36" t="s">
        <v>18</v>
      </c>
      <c r="BN252" s="4">
        <f t="shared" si="223"/>
        <v>2003</v>
      </c>
      <c r="BO252" s="4">
        <f t="shared" si="224"/>
        <v>8</v>
      </c>
      <c r="BP252" s="108">
        <f>C252+[4]MWh!$AK86</f>
        <v>1107688.5406686794</v>
      </c>
      <c r="BQ252" s="76">
        <f t="shared" si="237"/>
        <v>7196.6614517478856</v>
      </c>
      <c r="BR252" s="130">
        <f t="shared" si="238"/>
        <v>7367.0389928901905</v>
      </c>
      <c r="BS252" s="108">
        <f t="shared" si="261"/>
        <v>56.955048933396029</v>
      </c>
      <c r="BT252" s="175">
        <f t="shared" si="239"/>
        <v>1133912.5406686794</v>
      </c>
      <c r="BU252" s="108">
        <f t="shared" si="261"/>
        <v>20820.67869026633</v>
      </c>
      <c r="BV252" s="137">
        <f t="shared" si="240"/>
        <v>26224</v>
      </c>
      <c r="BW252" s="529">
        <f>BT252/[9]CMWh!$L132</f>
        <v>1.0165325146675077</v>
      </c>
    </row>
    <row r="253" spans="1:75" ht="12.75" customHeight="1">
      <c r="A253" s="22">
        <f t="shared" si="213"/>
        <v>2003</v>
      </c>
      <c r="B253" s="4">
        <f t="shared" si="214"/>
        <v>9</v>
      </c>
      <c r="C253" s="5">
        <f>'[2]FPC wSEB'!$E350</f>
        <v>1154159</v>
      </c>
      <c r="D253" s="5">
        <f>'[2]FPC wSEB'!$Y350</f>
        <v>157167</v>
      </c>
      <c r="E253" s="74">
        <f t="shared" si="262"/>
        <v>7343.5</v>
      </c>
      <c r="F253" s="13">
        <v>107885</v>
      </c>
      <c r="G253" s="13">
        <v>107470</v>
      </c>
      <c r="H253" s="13">
        <v>9210</v>
      </c>
      <c r="I253" s="13">
        <v>4246</v>
      </c>
      <c r="J253" s="574">
        <f>[5]CC!$E133</f>
        <v>155151</v>
      </c>
      <c r="K253" s="4">
        <f>'[7]COM 55 &amp; 65'!$S338</f>
        <v>518.29999999999995</v>
      </c>
      <c r="L253" s="4">
        <f t="shared" si="216"/>
        <v>531.20000000000005</v>
      </c>
      <c r="M253" s="135">
        <f t="shared" si="258"/>
        <v>12.900000000000091</v>
      </c>
      <c r="N253" s="4">
        <f>'[7]COM 55 &amp; 65'!$J338</f>
        <v>0</v>
      </c>
      <c r="O253" s="4">
        <f t="shared" si="209"/>
        <v>0</v>
      </c>
      <c r="P253" s="41">
        <f t="shared" ref="P253:P258" si="263">(O253-N253)</f>
        <v>0</v>
      </c>
      <c r="Q253" s="474">
        <f t="shared" si="179"/>
        <v>8809.5390000000625</v>
      </c>
      <c r="R253" s="472">
        <f t="shared" si="180"/>
        <v>0</v>
      </c>
      <c r="S253" s="241">
        <f t="shared" si="181"/>
        <v>8810</v>
      </c>
      <c r="T253" s="13" t="s">
        <v>18</v>
      </c>
      <c r="U253" s="4">
        <f t="shared" si="217"/>
        <v>2003</v>
      </c>
      <c r="V253" s="4">
        <f t="shared" si="218"/>
        <v>9</v>
      </c>
      <c r="W253" s="242">
        <f t="shared" si="182"/>
        <v>7399.5749743902988</v>
      </c>
      <c r="X253" s="131">
        <f t="shared" si="259"/>
        <v>322.92214152538872</v>
      </c>
      <c r="Z253" s="175">
        <f t="shared" si="184"/>
        <v>1162969</v>
      </c>
      <c r="AA253" s="12">
        <f t="shared" si="185"/>
        <v>8810</v>
      </c>
      <c r="AB253" s="519">
        <f>[9]CMWh!$L133</f>
        <v>1147539</v>
      </c>
      <c r="AC253" s="107">
        <f>RESID!AC253</f>
        <v>32.049999999999997</v>
      </c>
      <c r="AD253" s="243">
        <f t="shared" si="186"/>
        <v>1095460.7</v>
      </c>
      <c r="AE253" s="243">
        <f t="shared" si="211"/>
        <v>32381.800000000047</v>
      </c>
      <c r="AF253" s="4">
        <f t="shared" si="236"/>
        <v>-50336</v>
      </c>
      <c r="AG253" s="4">
        <f t="shared" si="187"/>
        <v>1103823</v>
      </c>
      <c r="AH253" s="4">
        <f t="shared" si="260"/>
        <v>30748</v>
      </c>
      <c r="AJ253" s="269">
        <f t="shared" si="249"/>
        <v>1037064</v>
      </c>
      <c r="AK253" s="269">
        <f t="shared" si="250"/>
        <v>45451</v>
      </c>
      <c r="AL253" s="276">
        <f t="shared" si="201"/>
        <v>22817.187740643771</v>
      </c>
      <c r="AM253" s="269">
        <f t="shared" si="251"/>
        <v>107885</v>
      </c>
      <c r="AN253" s="269">
        <f t="shared" si="252"/>
        <v>107470</v>
      </c>
      <c r="AO253" s="276">
        <f t="shared" si="202"/>
        <v>1003.861542756118</v>
      </c>
      <c r="AP253" s="269">
        <f t="shared" si="253"/>
        <v>9210</v>
      </c>
      <c r="AQ253" s="269">
        <f t="shared" si="254"/>
        <v>4246</v>
      </c>
      <c r="AR253" s="276">
        <f t="shared" si="203"/>
        <v>2169.1003297220914</v>
      </c>
      <c r="AX253" s="4">
        <f t="shared" si="219"/>
        <v>2003</v>
      </c>
      <c r="AY253" s="4">
        <f t="shared" si="220"/>
        <v>9</v>
      </c>
      <c r="AZ253" s="76">
        <f>'[8]COM 55 &amp; 65'!$S338</f>
        <v>453.7</v>
      </c>
      <c r="BA253" s="76">
        <f t="shared" si="221"/>
        <v>487.9</v>
      </c>
      <c r="BB253" s="362">
        <f t="shared" si="192"/>
        <v>34.199999999999989</v>
      </c>
      <c r="BC253" s="362"/>
      <c r="BD253" s="76">
        <f>'[8]COM 55 &amp; 65'!$J338</f>
        <v>0</v>
      </c>
      <c r="BE253" s="76">
        <f t="shared" si="222"/>
        <v>0</v>
      </c>
      <c r="BF253" s="363">
        <f t="shared" si="193"/>
        <v>0</v>
      </c>
      <c r="BG253" s="244"/>
      <c r="BH253" s="244">
        <f t="shared" si="188"/>
        <v>23355.52199999999</v>
      </c>
      <c r="BI253" s="242">
        <f t="shared" si="189"/>
        <v>0</v>
      </c>
      <c r="BJ253" s="242"/>
      <c r="BK253" s="241">
        <f t="shared" si="190"/>
        <v>23356</v>
      </c>
      <c r="BL253" s="262"/>
      <c r="BM253" s="36" t="s">
        <v>18</v>
      </c>
      <c r="BN253" s="4">
        <f t="shared" si="223"/>
        <v>2003</v>
      </c>
      <c r="BO253" s="4">
        <f t="shared" si="224"/>
        <v>9</v>
      </c>
      <c r="BP253" s="108">
        <f>C253+[4]MWh!$AK87</f>
        <v>1035974.0646611102</v>
      </c>
      <c r="BQ253" s="76">
        <f t="shared" si="237"/>
        <v>6591.5495279614051</v>
      </c>
      <c r="BR253" s="130">
        <f t="shared" si="238"/>
        <v>6740.1557875451608</v>
      </c>
      <c r="BS253" s="108">
        <f t="shared" si="261"/>
        <v>135.23124755128265</v>
      </c>
      <c r="BT253" s="175">
        <f t="shared" si="239"/>
        <v>1059330.0646611103</v>
      </c>
      <c r="BU253" s="108">
        <f t="shared" si="261"/>
        <v>53505.736012682435</v>
      </c>
      <c r="BV253" s="137">
        <f t="shared" si="240"/>
        <v>23356.000000000116</v>
      </c>
      <c r="BW253" s="529">
        <f>BT253/[9]CMWh!$L133</f>
        <v>0.92313208061870689</v>
      </c>
    </row>
    <row r="254" spans="1:75" ht="12.75" customHeight="1">
      <c r="A254" s="22">
        <f t="shared" si="213"/>
        <v>2003</v>
      </c>
      <c r="B254" s="4">
        <f t="shared" si="214"/>
        <v>10</v>
      </c>
      <c r="C254" s="5">
        <f>'[2]FPC wSEB'!$E351</f>
        <v>986855</v>
      </c>
      <c r="D254" s="5">
        <f>'[2]FPC wSEB'!$Y351</f>
        <v>157075</v>
      </c>
      <c r="E254" s="74">
        <f t="shared" si="262"/>
        <v>6282.7</v>
      </c>
      <c r="F254" s="13">
        <v>98521</v>
      </c>
      <c r="G254" s="13">
        <v>107359</v>
      </c>
      <c r="H254" s="13">
        <v>9951</v>
      </c>
      <c r="I254" s="13">
        <v>4248</v>
      </c>
      <c r="J254" s="574">
        <f>[5]CC!$E134</f>
        <v>155605</v>
      </c>
      <c r="K254" s="4">
        <f>'[7]COM 55 &amp; 65'!$S339</f>
        <v>395.5</v>
      </c>
      <c r="L254" s="4">
        <f t="shared" si="216"/>
        <v>431.2</v>
      </c>
      <c r="M254" s="135">
        <f t="shared" si="258"/>
        <v>35.699999999999989</v>
      </c>
      <c r="N254" s="4">
        <f>'[7]COM 55 &amp; 65'!$J339</f>
        <v>0.1</v>
      </c>
      <c r="O254" s="4">
        <f t="shared" si="209"/>
        <v>0.2</v>
      </c>
      <c r="P254" s="41">
        <f t="shared" si="263"/>
        <v>0.1</v>
      </c>
      <c r="Q254" s="474">
        <f t="shared" si="179"/>
        <v>24379.886999999992</v>
      </c>
      <c r="R254" s="472">
        <f t="shared" si="180"/>
        <v>65.934000000000012</v>
      </c>
      <c r="S254" s="241">
        <f t="shared" si="181"/>
        <v>24446</v>
      </c>
      <c r="T254" s="13" t="s">
        <v>18</v>
      </c>
      <c r="U254" s="4">
        <f t="shared" si="217"/>
        <v>2003</v>
      </c>
      <c r="V254" s="4">
        <f t="shared" si="218"/>
        <v>10</v>
      </c>
      <c r="W254" s="242">
        <f t="shared" si="182"/>
        <v>6438.332007003024</v>
      </c>
      <c r="X254" s="131">
        <f t="shared" si="259"/>
        <v>-214.3052454240933</v>
      </c>
      <c r="Z254" s="175">
        <f t="shared" si="184"/>
        <v>1011301</v>
      </c>
      <c r="AA254" s="12">
        <f t="shared" si="185"/>
        <v>24446</v>
      </c>
      <c r="AB254" s="519">
        <f>[9]CMWh!$L134</f>
        <v>1012928</v>
      </c>
      <c r="AC254" s="107">
        <f>RESID!AC254</f>
        <v>29.55</v>
      </c>
      <c r="AD254" s="243">
        <f t="shared" si="186"/>
        <v>1015909.6</v>
      </c>
      <c r="AE254" s="243">
        <f t="shared" si="211"/>
        <v>-18213.400000000023</v>
      </c>
      <c r="AF254" s="4">
        <f t="shared" si="236"/>
        <v>54220</v>
      </c>
      <c r="AG254" s="4">
        <f t="shared" si="187"/>
        <v>1041075</v>
      </c>
      <c r="AH254" s="4">
        <f t="shared" si="260"/>
        <v>40655</v>
      </c>
      <c r="AJ254" s="269">
        <f t="shared" si="249"/>
        <v>878383</v>
      </c>
      <c r="AK254" s="269">
        <f t="shared" si="250"/>
        <v>45468</v>
      </c>
      <c r="AL254" s="276">
        <f t="shared" si="201"/>
        <v>19318.707662531891</v>
      </c>
      <c r="AM254" s="269">
        <f t="shared" si="251"/>
        <v>98521</v>
      </c>
      <c r="AN254" s="269">
        <f t="shared" si="252"/>
        <v>107359</v>
      </c>
      <c r="AO254" s="276">
        <f t="shared" si="202"/>
        <v>917.67807077189616</v>
      </c>
      <c r="AP254" s="269">
        <f t="shared" si="253"/>
        <v>9951</v>
      </c>
      <c r="AQ254" s="269">
        <f t="shared" si="254"/>
        <v>4248</v>
      </c>
      <c r="AR254" s="276">
        <f t="shared" si="203"/>
        <v>2342.5141242937852</v>
      </c>
      <c r="AX254" s="4">
        <f t="shared" si="219"/>
        <v>2003</v>
      </c>
      <c r="AY254" s="4">
        <f t="shared" si="220"/>
        <v>10</v>
      </c>
      <c r="AZ254" s="76">
        <f>'[8]COM 55 &amp; 65'!$S339</f>
        <v>334.1</v>
      </c>
      <c r="BA254" s="76">
        <f t="shared" si="221"/>
        <v>332.5</v>
      </c>
      <c r="BB254" s="362">
        <f t="shared" si="192"/>
        <v>-1.6000000000000227</v>
      </c>
      <c r="BC254" s="362"/>
      <c r="BD254" s="76">
        <f>'[8]COM 55 &amp; 65'!$J339</f>
        <v>0.3</v>
      </c>
      <c r="BE254" s="76">
        <f t="shared" si="222"/>
        <v>2</v>
      </c>
      <c r="BF254" s="363">
        <f t="shared" si="193"/>
        <v>1.7</v>
      </c>
      <c r="BG254" s="244"/>
      <c r="BH254" s="244">
        <f t="shared" si="188"/>
        <v>-1092.6560000000154</v>
      </c>
      <c r="BI254" s="242">
        <f t="shared" si="189"/>
        <v>1120.8779999999999</v>
      </c>
      <c r="BJ254" s="242"/>
      <c r="BK254" s="241">
        <f t="shared" si="190"/>
        <v>28</v>
      </c>
      <c r="BL254" s="262"/>
      <c r="BM254" s="36" t="s">
        <v>18</v>
      </c>
      <c r="BN254" s="4">
        <f t="shared" si="223"/>
        <v>2003</v>
      </c>
      <c r="BO254" s="4">
        <f t="shared" si="224"/>
        <v>10</v>
      </c>
      <c r="BP254" s="108">
        <f>C254+[4]MWh!$AK88</f>
        <v>1001636.928252191</v>
      </c>
      <c r="BQ254" s="76">
        <f t="shared" si="237"/>
        <v>6376.8068009052431</v>
      </c>
      <c r="BR254" s="130">
        <f t="shared" si="238"/>
        <v>6376.9850596988135</v>
      </c>
      <c r="BS254" s="108">
        <f t="shared" si="261"/>
        <v>-252.37279928756743</v>
      </c>
      <c r="BT254" s="175">
        <f t="shared" si="239"/>
        <v>1001664.928252191</v>
      </c>
      <c r="BU254" s="108">
        <f t="shared" si="261"/>
        <v>29980.058786980226</v>
      </c>
      <c r="BV254" s="137">
        <f t="shared" si="240"/>
        <v>28</v>
      </c>
      <c r="BW254" s="529">
        <f>BT254/[9]CMWh!$L134</f>
        <v>0.98888067883619668</v>
      </c>
    </row>
    <row r="255" spans="1:75" ht="12.75" customHeight="1">
      <c r="A255" s="22">
        <f t="shared" si="213"/>
        <v>2003</v>
      </c>
      <c r="B255" s="4">
        <f t="shared" si="214"/>
        <v>11</v>
      </c>
      <c r="C255" s="5">
        <f>'[2]FPC wSEB'!$E352</f>
        <v>957964</v>
      </c>
      <c r="D255" s="5">
        <f>'[2]FPC wSEB'!$Y352</f>
        <v>156381</v>
      </c>
      <c r="E255" s="74">
        <f t="shared" si="262"/>
        <v>6125.8</v>
      </c>
      <c r="F255" s="13">
        <v>92406</v>
      </c>
      <c r="G255" s="13">
        <v>106840</v>
      </c>
      <c r="H255" s="13">
        <v>9434</v>
      </c>
      <c r="I255" s="13">
        <v>4231</v>
      </c>
      <c r="J255" s="574">
        <f>[5]CC!$E135</f>
        <v>156024</v>
      </c>
      <c r="K255" s="4">
        <f>'[7]COM 55 &amp; 65'!$S340</f>
        <v>299.10000000000002</v>
      </c>
      <c r="L255" s="4">
        <f t="shared" si="216"/>
        <v>251.9</v>
      </c>
      <c r="M255" s="135">
        <f t="shared" si="258"/>
        <v>-47.200000000000017</v>
      </c>
      <c r="N255" s="4">
        <f>'[7]COM 55 &amp; 65'!$J340</f>
        <v>1.2</v>
      </c>
      <c r="O255" s="4">
        <f t="shared" si="209"/>
        <v>6.3</v>
      </c>
      <c r="P255" s="41">
        <f t="shared" si="263"/>
        <v>5.0999999999999996</v>
      </c>
      <c r="Q255" s="474">
        <f t="shared" si="179"/>
        <v>-32233.35200000001</v>
      </c>
      <c r="R255" s="472">
        <f t="shared" si="180"/>
        <v>3362.634</v>
      </c>
      <c r="S255" s="241">
        <f t="shared" si="181"/>
        <v>-28871</v>
      </c>
      <c r="T255" s="13" t="s">
        <v>18</v>
      </c>
      <c r="U255" s="4">
        <f t="shared" si="217"/>
        <v>2003</v>
      </c>
      <c r="V255" s="4">
        <f t="shared" si="218"/>
        <v>11</v>
      </c>
      <c r="W255" s="242">
        <f t="shared" si="182"/>
        <v>5941.2140861102052</v>
      </c>
      <c r="X255" s="131">
        <f t="shared" si="259"/>
        <v>-197.51062618158903</v>
      </c>
      <c r="Z255" s="175">
        <f t="shared" si="184"/>
        <v>929093</v>
      </c>
      <c r="AA255" s="12">
        <f t="shared" si="185"/>
        <v>-28871</v>
      </c>
      <c r="AB255" s="519">
        <f>[9]CMWh!$L135</f>
        <v>914118</v>
      </c>
      <c r="AC255" s="107">
        <f>RESID!AC255</f>
        <v>30.15</v>
      </c>
      <c r="AD255" s="243">
        <f t="shared" si="186"/>
        <v>966542.8</v>
      </c>
      <c r="AE255" s="243">
        <f t="shared" si="211"/>
        <v>-20161.5</v>
      </c>
      <c r="AF255" s="4">
        <f t="shared" si="236"/>
        <v>-20551</v>
      </c>
      <c r="AG255" s="4">
        <f t="shared" si="187"/>
        <v>937413</v>
      </c>
      <c r="AH255" s="4">
        <f t="shared" si="260"/>
        <v>-9948</v>
      </c>
      <c r="AJ255" s="269">
        <f t="shared" si="249"/>
        <v>856124</v>
      </c>
      <c r="AK255" s="269">
        <f t="shared" si="250"/>
        <v>45310</v>
      </c>
      <c r="AL255" s="276">
        <f t="shared" si="201"/>
        <v>18894.813506952109</v>
      </c>
      <c r="AM255" s="269">
        <f t="shared" si="251"/>
        <v>92406</v>
      </c>
      <c r="AN255" s="269">
        <f t="shared" si="252"/>
        <v>106840</v>
      </c>
      <c r="AO255" s="276">
        <f t="shared" si="202"/>
        <v>864.90078622238866</v>
      </c>
      <c r="AP255" s="269">
        <f t="shared" si="253"/>
        <v>9434</v>
      </c>
      <c r="AQ255" s="269">
        <f t="shared" si="254"/>
        <v>4231</v>
      </c>
      <c r="AR255" s="276">
        <f t="shared" si="203"/>
        <v>2229.7329236587093</v>
      </c>
      <c r="AX255" s="4">
        <f t="shared" si="219"/>
        <v>2003</v>
      </c>
      <c r="AY255" s="4">
        <f t="shared" si="220"/>
        <v>11</v>
      </c>
      <c r="AZ255" s="76">
        <f>'[8]COM 55 &amp; 65'!$S340</f>
        <v>216.5</v>
      </c>
      <c r="BA255" s="76">
        <f t="shared" si="221"/>
        <v>146</v>
      </c>
      <c r="BB255" s="362">
        <f t="shared" si="192"/>
        <v>-70.5</v>
      </c>
      <c r="BC255" s="362"/>
      <c r="BD255" s="76">
        <f>'[8]COM 55 &amp; 65'!$J340</f>
        <v>11.3</v>
      </c>
      <c r="BE255" s="76">
        <f t="shared" si="222"/>
        <v>14</v>
      </c>
      <c r="BF255" s="363">
        <f t="shared" si="193"/>
        <v>2.6999999999999993</v>
      </c>
      <c r="BG255" s="244"/>
      <c r="BH255" s="244">
        <f t="shared" si="188"/>
        <v>-48145.154999999999</v>
      </c>
      <c r="BI255" s="242">
        <f t="shared" si="189"/>
        <v>1780.2179999999996</v>
      </c>
      <c r="BJ255" s="242"/>
      <c r="BK255" s="241">
        <f t="shared" si="190"/>
        <v>-46365</v>
      </c>
      <c r="BL255" s="262"/>
      <c r="BM255" s="36" t="s">
        <v>18</v>
      </c>
      <c r="BN255" s="4">
        <f t="shared" si="223"/>
        <v>2003</v>
      </c>
      <c r="BO255" s="4">
        <f t="shared" si="224"/>
        <v>11</v>
      </c>
      <c r="BP255" s="108">
        <f>C255+[4]MWh!$AK89</f>
        <v>855533.74665974523</v>
      </c>
      <c r="BQ255" s="76">
        <f t="shared" si="237"/>
        <v>5470.8292353914176</v>
      </c>
      <c r="BR255" s="130">
        <f t="shared" si="238"/>
        <v>5174.3418104484899</v>
      </c>
      <c r="BS255" s="108">
        <f t="shared" si="261"/>
        <v>-413.8878294583983</v>
      </c>
      <c r="BT255" s="175">
        <f t="shared" si="239"/>
        <v>809168.74665974523</v>
      </c>
      <c r="BU255" s="108">
        <f t="shared" si="261"/>
        <v>-85272.11304447148</v>
      </c>
      <c r="BV255" s="137">
        <f t="shared" si="240"/>
        <v>-46365</v>
      </c>
      <c r="BW255" s="529">
        <f>BT255/[9]CMWh!$L135</f>
        <v>0.88519069382699522</v>
      </c>
    </row>
    <row r="256" spans="1:75" s="89" customFormat="1" ht="12.75" customHeight="1">
      <c r="A256" s="225">
        <f t="shared" si="213"/>
        <v>2003</v>
      </c>
      <c r="B256" s="89">
        <f t="shared" si="214"/>
        <v>12</v>
      </c>
      <c r="C256" s="103">
        <f>'[2]FPC wSEB'!$E353</f>
        <v>880938</v>
      </c>
      <c r="D256" s="103">
        <f>'[2]FPC wSEB'!$Y353</f>
        <v>155601</v>
      </c>
      <c r="E256" s="109">
        <f t="shared" si="262"/>
        <v>5661.5</v>
      </c>
      <c r="F256" s="90">
        <v>84053</v>
      </c>
      <c r="G256" s="90">
        <v>106461</v>
      </c>
      <c r="H256" s="90">
        <v>9492</v>
      </c>
      <c r="I256" s="90">
        <v>4246</v>
      </c>
      <c r="J256" s="575">
        <f>[5]CC!$E136</f>
        <v>155830</v>
      </c>
      <c r="K256" s="89">
        <f>'[7]COM 55 &amp; 65'!$S341</f>
        <v>120.5</v>
      </c>
      <c r="L256" s="89">
        <f t="shared" si="216"/>
        <v>119.4</v>
      </c>
      <c r="M256" s="136">
        <f t="shared" si="258"/>
        <v>-1.0999999999999943</v>
      </c>
      <c r="N256" s="89">
        <f>'[7]COM 55 &amp; 65'!$J341</f>
        <v>38.9</v>
      </c>
      <c r="O256" s="89">
        <f t="shared" si="209"/>
        <v>30.1</v>
      </c>
      <c r="P256" s="94">
        <f t="shared" si="263"/>
        <v>-8.7999999999999972</v>
      </c>
      <c r="Q256" s="475">
        <f t="shared" si="179"/>
        <v>-751.20099999999604</v>
      </c>
      <c r="R256" s="473">
        <f t="shared" si="180"/>
        <v>-5802.1919999999982</v>
      </c>
      <c r="S256" s="329">
        <f t="shared" si="181"/>
        <v>-6553</v>
      </c>
      <c r="T256" s="90" t="s">
        <v>18</v>
      </c>
      <c r="U256" s="89">
        <f t="shared" si="217"/>
        <v>2003</v>
      </c>
      <c r="V256" s="89">
        <f t="shared" si="218"/>
        <v>12</v>
      </c>
      <c r="W256" s="328">
        <f t="shared" si="182"/>
        <v>5619.4047596095143</v>
      </c>
      <c r="X256" s="133">
        <f t="shared" si="259"/>
        <v>-311.32090174851874</v>
      </c>
      <c r="Z256" s="176">
        <f t="shared" si="184"/>
        <v>874385</v>
      </c>
      <c r="AA256" s="105">
        <f t="shared" si="185"/>
        <v>-6553</v>
      </c>
      <c r="AB256" s="520">
        <f>[9]CMWh!$L136</f>
        <v>889018</v>
      </c>
      <c r="AC256" s="110">
        <f>RESID!AC256</f>
        <v>31.95</v>
      </c>
      <c r="AD256" s="331">
        <f t="shared" si="186"/>
        <v>838752.2</v>
      </c>
      <c r="AE256" s="331">
        <f t="shared" si="211"/>
        <v>5441.5999999999767</v>
      </c>
      <c r="AF256" s="89">
        <f t="shared" si="236"/>
        <v>-48425</v>
      </c>
      <c r="AG256" s="89">
        <f t="shared" si="187"/>
        <v>832513</v>
      </c>
      <c r="AH256" s="89">
        <f t="shared" si="260"/>
        <v>-20228</v>
      </c>
      <c r="AJ256" s="351">
        <f t="shared" si="249"/>
        <v>787393</v>
      </c>
      <c r="AK256" s="351">
        <f t="shared" si="250"/>
        <v>44894</v>
      </c>
      <c r="AL256" s="277">
        <f t="shared" si="201"/>
        <v>17538.936160734174</v>
      </c>
      <c r="AM256" s="351">
        <f t="shared" si="251"/>
        <v>84053</v>
      </c>
      <c r="AN256" s="351">
        <f t="shared" si="252"/>
        <v>106461</v>
      </c>
      <c r="AO256" s="277">
        <f t="shared" si="202"/>
        <v>789.51916664318389</v>
      </c>
      <c r="AP256" s="351">
        <f t="shared" si="253"/>
        <v>9492</v>
      </c>
      <c r="AQ256" s="351">
        <f t="shared" si="254"/>
        <v>4246</v>
      </c>
      <c r="AR256" s="277">
        <f t="shared" si="203"/>
        <v>2235.5157795572304</v>
      </c>
      <c r="AX256" s="89">
        <f t="shared" si="219"/>
        <v>2003</v>
      </c>
      <c r="AY256" s="89">
        <f t="shared" si="220"/>
        <v>12</v>
      </c>
      <c r="AZ256" s="92">
        <f>'[8]COM 55 &amp; 65'!$S341</f>
        <v>38.9</v>
      </c>
      <c r="BA256" s="92">
        <f t="shared" si="221"/>
        <v>75.7</v>
      </c>
      <c r="BB256" s="364">
        <f t="shared" si="192"/>
        <v>36.800000000000004</v>
      </c>
      <c r="BC256" s="364"/>
      <c r="BD256" s="92">
        <f>'[8]COM 55 &amp; 65'!$J341</f>
        <v>66.2</v>
      </c>
      <c r="BE256" s="92">
        <f t="shared" si="222"/>
        <v>44.3</v>
      </c>
      <c r="BF256" s="365">
        <f t="shared" si="193"/>
        <v>-21.900000000000006</v>
      </c>
      <c r="BG256" s="327"/>
      <c r="BH256" s="327">
        <f t="shared" si="188"/>
        <v>25131.088000000003</v>
      </c>
      <c r="BI256" s="328">
        <f t="shared" si="189"/>
        <v>-14439.546000000004</v>
      </c>
      <c r="BJ256" s="328"/>
      <c r="BK256" s="329">
        <f t="shared" si="190"/>
        <v>10692</v>
      </c>
      <c r="BL256" s="332"/>
      <c r="BM256" s="113" t="s">
        <v>18</v>
      </c>
      <c r="BN256" s="89">
        <f t="shared" si="223"/>
        <v>2003</v>
      </c>
      <c r="BO256" s="89">
        <f t="shared" si="224"/>
        <v>12</v>
      </c>
      <c r="BP256" s="117">
        <f>C256+[4]MWh!$AK90</f>
        <v>926848.44645156292</v>
      </c>
      <c r="BQ256" s="92">
        <f t="shared" si="237"/>
        <v>5956.5712717242359</v>
      </c>
      <c r="BR256" s="299">
        <f t="shared" si="238"/>
        <v>6025.2854830724928</v>
      </c>
      <c r="BS256" s="117">
        <f t="shared" si="261"/>
        <v>476.70038700669829</v>
      </c>
      <c r="BT256" s="176">
        <f t="shared" si="239"/>
        <v>937540.44645156292</v>
      </c>
      <c r="BU256" s="117">
        <f t="shared" si="261"/>
        <v>104864.28108496917</v>
      </c>
      <c r="BV256" s="139">
        <f t="shared" si="240"/>
        <v>10692</v>
      </c>
      <c r="BW256" s="536">
        <f>BT256/[9]CMWh!$L136</f>
        <v>1.0545798245384941</v>
      </c>
    </row>
    <row r="257" spans="1:75" ht="12.75" customHeight="1">
      <c r="A257" s="22">
        <f t="shared" si="213"/>
        <v>2004</v>
      </c>
      <c r="B257" s="4">
        <f t="shared" si="214"/>
        <v>1</v>
      </c>
      <c r="C257" s="5">
        <f>'[2]FPC wSEB'!$E354</f>
        <v>881905</v>
      </c>
      <c r="D257" s="5">
        <f>'[2]FPC wSEB'!$Y354</f>
        <v>155289</v>
      </c>
      <c r="E257" s="74">
        <f t="shared" si="262"/>
        <v>5679.1</v>
      </c>
      <c r="F257" s="13">
        <v>83147</v>
      </c>
      <c r="G257" s="13">
        <v>106142</v>
      </c>
      <c r="H257" s="13">
        <v>9394</v>
      </c>
      <c r="I257" s="13">
        <v>4256</v>
      </c>
      <c r="J257" s="574">
        <f>[5]CC!$E137</f>
        <v>156188</v>
      </c>
      <c r="K257" s="4">
        <f>'[7]COM 55 &amp; 65'!$S342</f>
        <v>50.8</v>
      </c>
      <c r="L257" s="4">
        <f t="shared" si="216"/>
        <v>70.8</v>
      </c>
      <c r="M257" s="135">
        <f t="shared" ref="M257:M262" si="264">(L257-K257)</f>
        <v>20</v>
      </c>
      <c r="N257" s="4">
        <f>'[7]COM 55 &amp; 65'!$J342</f>
        <v>67.099999999999994</v>
      </c>
      <c r="O257" s="4">
        <f t="shared" si="209"/>
        <v>54.9</v>
      </c>
      <c r="P257" s="41">
        <f t="shared" si="263"/>
        <v>-12.199999999999996</v>
      </c>
      <c r="Q257" s="474">
        <f t="shared" si="179"/>
        <v>13658.199999999999</v>
      </c>
      <c r="R257" s="472">
        <f t="shared" si="180"/>
        <v>-8043.9479999999976</v>
      </c>
      <c r="S257" s="241">
        <f t="shared" si="181"/>
        <v>5614</v>
      </c>
      <c r="T257" s="13" t="s">
        <v>18</v>
      </c>
      <c r="U257" s="4">
        <f t="shared" si="217"/>
        <v>2004</v>
      </c>
      <c r="V257" s="4">
        <f t="shared" si="218"/>
        <v>1</v>
      </c>
      <c r="W257" s="242">
        <f t="shared" si="182"/>
        <v>5715.2728139147002</v>
      </c>
      <c r="X257" s="131">
        <f t="shared" ref="X257:X262" si="265">W257-W245</f>
        <v>314.48854161113104</v>
      </c>
      <c r="Z257" s="175">
        <f t="shared" si="184"/>
        <v>887519</v>
      </c>
      <c r="AA257" s="12">
        <f t="shared" si="185"/>
        <v>5614</v>
      </c>
      <c r="AB257" s="519">
        <f>[9]CMWh!$L137</f>
        <v>874192</v>
      </c>
      <c r="AC257" s="107">
        <f>RESID!AC257</f>
        <v>31.65</v>
      </c>
      <c r="AD257" s="243">
        <f t="shared" si="186"/>
        <v>847631.9</v>
      </c>
      <c r="AE257" s="243">
        <f t="shared" si="211"/>
        <v>66464.400000000023</v>
      </c>
      <c r="AF257" s="4">
        <f t="shared" si="236"/>
        <v>-28877</v>
      </c>
      <c r="AG257" s="4">
        <f t="shared" si="187"/>
        <v>853028</v>
      </c>
      <c r="AH257" s="4">
        <f t="shared" ref="AH257:AH262" si="266">AG257-AG245</f>
        <v>71659</v>
      </c>
      <c r="AJ257" s="269">
        <f t="shared" si="249"/>
        <v>789364</v>
      </c>
      <c r="AK257" s="269">
        <f t="shared" si="250"/>
        <v>44891</v>
      </c>
      <c r="AL257" s="276">
        <f t="shared" si="201"/>
        <v>17584.014613174135</v>
      </c>
      <c r="AM257" s="269">
        <f t="shared" si="251"/>
        <v>83147</v>
      </c>
      <c r="AN257" s="269">
        <f t="shared" si="252"/>
        <v>106142</v>
      </c>
      <c r="AO257" s="276">
        <f t="shared" si="202"/>
        <v>783.35625859697393</v>
      </c>
      <c r="AP257" s="269">
        <f t="shared" si="253"/>
        <v>9394</v>
      </c>
      <c r="AQ257" s="269">
        <f t="shared" si="254"/>
        <v>4256</v>
      </c>
      <c r="AR257" s="276">
        <f t="shared" si="203"/>
        <v>2207.2368421052633</v>
      </c>
      <c r="AX257" s="4">
        <f t="shared" si="219"/>
        <v>2004</v>
      </c>
      <c r="AY257" s="4">
        <f t="shared" si="220"/>
        <v>1</v>
      </c>
      <c r="AZ257" s="76">
        <f>'[8]COM 55 &amp; 65'!$S342</f>
        <v>43.4</v>
      </c>
      <c r="BA257" s="76">
        <f t="shared" si="221"/>
        <v>72.3</v>
      </c>
      <c r="BB257" s="362">
        <f t="shared" si="192"/>
        <v>28.9</v>
      </c>
      <c r="BC257" s="362"/>
      <c r="BD257" s="76">
        <f>'[8]COM 55 &amp; 65'!$J342</f>
        <v>69.3</v>
      </c>
      <c r="BE257" s="76">
        <f t="shared" si="222"/>
        <v>52.4</v>
      </c>
      <c r="BF257" s="363">
        <f t="shared" si="193"/>
        <v>-16.899999999999999</v>
      </c>
      <c r="BG257" s="244"/>
      <c r="BH257" s="244">
        <f t="shared" si="188"/>
        <v>19736.098999999998</v>
      </c>
      <c r="BI257" s="242">
        <f t="shared" si="189"/>
        <v>-11142.846</v>
      </c>
      <c r="BJ257" s="242"/>
      <c r="BK257" s="241">
        <f t="shared" si="190"/>
        <v>8593</v>
      </c>
      <c r="BL257" s="262"/>
      <c r="BM257" s="36" t="s">
        <v>18</v>
      </c>
      <c r="BN257" s="4">
        <f t="shared" si="223"/>
        <v>2004</v>
      </c>
      <c r="BO257" s="4">
        <f t="shared" si="224"/>
        <v>1</v>
      </c>
      <c r="BP257" s="108">
        <f>C257+[4]MWh!$AK91</f>
        <v>815532.1089213416</v>
      </c>
      <c r="BQ257" s="76">
        <f t="shared" si="237"/>
        <v>5251.7055871397297</v>
      </c>
      <c r="BR257" s="130">
        <f t="shared" si="238"/>
        <v>5307.0411228183684</v>
      </c>
      <c r="BS257" s="108">
        <f t="shared" ref="BS257:BU262" si="267">BR257-BR245</f>
        <v>-2.8230502267961128</v>
      </c>
      <c r="BT257" s="175">
        <f t="shared" si="239"/>
        <v>824125.1089213416</v>
      </c>
      <c r="BU257" s="108">
        <f t="shared" si="267"/>
        <v>19797.503716806183</v>
      </c>
      <c r="BV257" s="137">
        <f t="shared" si="240"/>
        <v>8593</v>
      </c>
      <c r="BW257" s="529">
        <f>BT257/[9]CMWh!$L137</f>
        <v>0.94272780913270948</v>
      </c>
    </row>
    <row r="258" spans="1:75" ht="12.75" customHeight="1">
      <c r="A258" s="22">
        <f t="shared" si="213"/>
        <v>2004</v>
      </c>
      <c r="B258" s="4">
        <f t="shared" si="214"/>
        <v>2</v>
      </c>
      <c r="C258" s="5">
        <f>'[2]FPC wSEB'!$E355</f>
        <v>760461</v>
      </c>
      <c r="D258" s="5">
        <f>'[2]FPC wSEB'!$Y355</f>
        <v>151880</v>
      </c>
      <c r="E258" s="74">
        <f t="shared" ref="E258:E263" si="268">ROUND((C258/D258)*1000,1)</f>
        <v>5007</v>
      </c>
      <c r="F258" s="13">
        <v>74926</v>
      </c>
      <c r="G258" s="13">
        <v>104246</v>
      </c>
      <c r="H258" s="13">
        <v>9649</v>
      </c>
      <c r="I258" s="13">
        <v>4257</v>
      </c>
      <c r="J258" s="574">
        <f>[5]CC!$E138</f>
        <v>156889</v>
      </c>
      <c r="K258" s="4">
        <f>'[7]COM 55 &amp; 65'!$S343</f>
        <v>45.9</v>
      </c>
      <c r="L258" s="4">
        <f t="shared" si="216"/>
        <v>62.7</v>
      </c>
      <c r="M258" s="135">
        <f t="shared" si="264"/>
        <v>16.800000000000004</v>
      </c>
      <c r="N258" s="4">
        <f>'[7]COM 55 &amp; 65'!$J343</f>
        <v>55</v>
      </c>
      <c r="O258" s="4">
        <f t="shared" si="209"/>
        <v>46.9</v>
      </c>
      <c r="P258" s="41">
        <f t="shared" si="263"/>
        <v>-8.1000000000000014</v>
      </c>
      <c r="Q258" s="474">
        <f t="shared" si="179"/>
        <v>11472.888000000003</v>
      </c>
      <c r="R258" s="472">
        <f t="shared" si="180"/>
        <v>-5340.6540000000014</v>
      </c>
      <c r="S258" s="241">
        <f t="shared" si="181"/>
        <v>6132</v>
      </c>
      <c r="T258" s="13" t="s">
        <v>18</v>
      </c>
      <c r="U258" s="4">
        <f t="shared" si="217"/>
        <v>2004</v>
      </c>
      <c r="V258" s="4">
        <f t="shared" si="218"/>
        <v>2</v>
      </c>
      <c r="W258" s="242">
        <f t="shared" si="182"/>
        <v>5047.3597577034507</v>
      </c>
      <c r="X258" s="131">
        <f t="shared" si="265"/>
        <v>-54.834723242673135</v>
      </c>
      <c r="Z258" s="175">
        <f t="shared" si="184"/>
        <v>766593</v>
      </c>
      <c r="AA258" s="12">
        <f t="shared" si="185"/>
        <v>6132</v>
      </c>
      <c r="AB258" s="519">
        <f>[9]CMWh!$L138</f>
        <v>813643</v>
      </c>
      <c r="AC258" s="107">
        <f>RESID!AC258</f>
        <v>29.45</v>
      </c>
      <c r="AD258" s="243">
        <f t="shared" si="186"/>
        <v>785508.4</v>
      </c>
      <c r="AE258" s="243">
        <f t="shared" si="211"/>
        <v>-28530.79999999993</v>
      </c>
      <c r="AF258" s="4">
        <f t="shared" si="236"/>
        <v>31381</v>
      </c>
      <c r="AG258" s="4">
        <f t="shared" si="187"/>
        <v>791842</v>
      </c>
      <c r="AH258" s="4">
        <f t="shared" si="266"/>
        <v>-10290</v>
      </c>
      <c r="AJ258" s="269">
        <f t="shared" si="249"/>
        <v>675886</v>
      </c>
      <c r="AK258" s="269">
        <f t="shared" si="250"/>
        <v>43377</v>
      </c>
      <c r="AL258" s="276">
        <f t="shared" si="201"/>
        <v>15581.667704082809</v>
      </c>
      <c r="AM258" s="269">
        <f t="shared" si="251"/>
        <v>74926</v>
      </c>
      <c r="AN258" s="269">
        <f t="shared" si="252"/>
        <v>104246</v>
      </c>
      <c r="AO258" s="276">
        <f t="shared" si="202"/>
        <v>718.74220593595919</v>
      </c>
      <c r="AP258" s="269">
        <f t="shared" si="253"/>
        <v>9649</v>
      </c>
      <c r="AQ258" s="269">
        <f t="shared" si="254"/>
        <v>4257</v>
      </c>
      <c r="AR258" s="276">
        <f t="shared" si="203"/>
        <v>2266.6196852243365</v>
      </c>
      <c r="AX258" s="4">
        <f t="shared" si="219"/>
        <v>2004</v>
      </c>
      <c r="AY258" s="4">
        <f t="shared" si="220"/>
        <v>2</v>
      </c>
      <c r="AZ258" s="76">
        <f>'[8]COM 55 &amp; 65'!$S343</f>
        <v>65.099999999999994</v>
      </c>
      <c r="BA258" s="76">
        <f t="shared" si="221"/>
        <v>82.6</v>
      </c>
      <c r="BB258" s="362">
        <f t="shared" si="192"/>
        <v>17.5</v>
      </c>
      <c r="BC258" s="362"/>
      <c r="BD258" s="76">
        <f>'[8]COM 55 &amp; 65'!$J343</f>
        <v>42.2</v>
      </c>
      <c r="BE258" s="76">
        <f t="shared" si="222"/>
        <v>36.5</v>
      </c>
      <c r="BF258" s="363">
        <f t="shared" si="193"/>
        <v>-5.7000000000000028</v>
      </c>
      <c r="BG258" s="244"/>
      <c r="BH258" s="244">
        <f t="shared" si="188"/>
        <v>11950.924999999999</v>
      </c>
      <c r="BI258" s="242">
        <f t="shared" si="189"/>
        <v>-3758.2380000000021</v>
      </c>
      <c r="BJ258" s="242"/>
      <c r="BK258" s="241">
        <f t="shared" si="190"/>
        <v>8193</v>
      </c>
      <c r="BL258" s="262"/>
      <c r="BM258" s="36" t="s">
        <v>18</v>
      </c>
      <c r="BN258" s="4">
        <f t="shared" si="223"/>
        <v>2004</v>
      </c>
      <c r="BO258" s="4">
        <f t="shared" si="224"/>
        <v>2</v>
      </c>
      <c r="BP258" s="108">
        <f>C258+[4]MWh!$AK92</f>
        <v>735813.86065724632</v>
      </c>
      <c r="BQ258" s="76">
        <f t="shared" si="237"/>
        <v>4844.7054296631968</v>
      </c>
      <c r="BR258" s="130">
        <f t="shared" si="238"/>
        <v>4898.6493327445769</v>
      </c>
      <c r="BS258" s="108">
        <f t="shared" si="267"/>
        <v>401.61166672178388</v>
      </c>
      <c r="BT258" s="175">
        <f t="shared" si="239"/>
        <v>744006.86065724632</v>
      </c>
      <c r="BU258" s="108">
        <f t="shared" si="267"/>
        <v>59557.727888577152</v>
      </c>
      <c r="BV258" s="137">
        <f t="shared" si="240"/>
        <v>8193</v>
      </c>
      <c r="BW258" s="529">
        <f>BT258/[9]CMWh!$L138</f>
        <v>0.91441438156199506</v>
      </c>
    </row>
    <row r="259" spans="1:75" ht="12.75" customHeight="1">
      <c r="A259" s="22">
        <f t="shared" si="213"/>
        <v>2004</v>
      </c>
      <c r="B259" s="4">
        <f t="shared" si="214"/>
        <v>3</v>
      </c>
      <c r="C259" s="5">
        <f>'[2]FPC wSEB'!$E356</f>
        <v>848707</v>
      </c>
      <c r="D259" s="5">
        <f>'[2]FPC wSEB'!$Y356</f>
        <v>160455</v>
      </c>
      <c r="E259" s="74">
        <f t="shared" si="268"/>
        <v>5289.4</v>
      </c>
      <c r="F259" s="13">
        <v>82031</v>
      </c>
      <c r="G259" s="13">
        <v>109811</v>
      </c>
      <c r="H259" s="13">
        <v>9596</v>
      </c>
      <c r="I259" s="13">
        <v>4273</v>
      </c>
      <c r="J259" s="574">
        <f>[5]CC!$E139</f>
        <v>156811</v>
      </c>
      <c r="K259" s="4">
        <f>'[7]COM 55 &amp; 65'!$S344</f>
        <v>92.7</v>
      </c>
      <c r="L259" s="4">
        <f t="shared" si="216"/>
        <v>105.4</v>
      </c>
      <c r="M259" s="135">
        <f t="shared" si="264"/>
        <v>12.700000000000003</v>
      </c>
      <c r="N259" s="4">
        <f>'[7]COM 55 &amp; 65'!$J344</f>
        <v>33</v>
      </c>
      <c r="O259" s="4">
        <f t="shared" si="209"/>
        <v>26.8</v>
      </c>
      <c r="P259" s="41">
        <f t="shared" ref="P259:P264" si="269">(O259-N259)</f>
        <v>-6.1999999999999993</v>
      </c>
      <c r="Q259" s="474">
        <f t="shared" si="179"/>
        <v>8672.9570000000022</v>
      </c>
      <c r="R259" s="472">
        <f t="shared" si="180"/>
        <v>-4087.9079999999999</v>
      </c>
      <c r="S259" s="241">
        <f t="shared" si="181"/>
        <v>4585</v>
      </c>
      <c r="T259" s="13" t="s">
        <v>18</v>
      </c>
      <c r="U259" s="4">
        <f t="shared" si="217"/>
        <v>2004</v>
      </c>
      <c r="V259" s="4">
        <f t="shared" si="218"/>
        <v>3</v>
      </c>
      <c r="W259" s="242">
        <f t="shared" si="182"/>
        <v>5317.9520737901585</v>
      </c>
      <c r="X259" s="131">
        <f t="shared" si="265"/>
        <v>-90.39218163374062</v>
      </c>
      <c r="Z259" s="175">
        <f t="shared" si="184"/>
        <v>853292</v>
      </c>
      <c r="AA259" s="12">
        <f t="shared" si="185"/>
        <v>4585</v>
      </c>
      <c r="AB259" s="519">
        <f>[9]CMWh!$L139</f>
        <v>824407</v>
      </c>
      <c r="AC259" s="107">
        <f>RESID!AC259</f>
        <v>29.35</v>
      </c>
      <c r="AD259" s="243">
        <f t="shared" si="186"/>
        <v>879647.9</v>
      </c>
      <c r="AE259" s="243">
        <f t="shared" si="211"/>
        <v>14834.20000000007</v>
      </c>
      <c r="AF259" s="4">
        <f t="shared" si="236"/>
        <v>35693</v>
      </c>
      <c r="AG259" s="4">
        <f t="shared" si="187"/>
        <v>884400</v>
      </c>
      <c r="AH259" s="4">
        <f t="shared" si="266"/>
        <v>43285</v>
      </c>
      <c r="AJ259" s="269">
        <f t="shared" si="249"/>
        <v>757080</v>
      </c>
      <c r="AK259" s="269">
        <f t="shared" si="250"/>
        <v>46371</v>
      </c>
      <c r="AL259" s="276">
        <f t="shared" si="201"/>
        <v>16326.583424985443</v>
      </c>
      <c r="AM259" s="269">
        <f t="shared" si="251"/>
        <v>82031</v>
      </c>
      <c r="AN259" s="269">
        <f t="shared" si="252"/>
        <v>109811</v>
      </c>
      <c r="AO259" s="276">
        <f t="shared" si="202"/>
        <v>747.01987961133216</v>
      </c>
      <c r="AP259" s="269">
        <f t="shared" si="253"/>
        <v>9596</v>
      </c>
      <c r="AQ259" s="269">
        <f t="shared" si="254"/>
        <v>4273</v>
      </c>
      <c r="AR259" s="276">
        <f t="shared" si="203"/>
        <v>2245.7289960215307</v>
      </c>
      <c r="AX259" s="4">
        <f t="shared" si="219"/>
        <v>2004</v>
      </c>
      <c r="AY259" s="4">
        <f t="shared" si="220"/>
        <v>3</v>
      </c>
      <c r="AZ259" s="76">
        <f>'[8]COM 55 &amp; 65'!$S344</f>
        <v>136</v>
      </c>
      <c r="BA259" s="76">
        <f t="shared" si="221"/>
        <v>140.4</v>
      </c>
      <c r="BB259" s="362">
        <f t="shared" si="192"/>
        <v>4.4000000000000057</v>
      </c>
      <c r="BC259" s="362"/>
      <c r="BD259" s="76">
        <f>'[8]COM 55 &amp; 65'!$J344</f>
        <v>11.3</v>
      </c>
      <c r="BE259" s="76">
        <f t="shared" si="222"/>
        <v>15.1</v>
      </c>
      <c r="BF259" s="363">
        <f t="shared" si="193"/>
        <v>3.7999999999999989</v>
      </c>
      <c r="BG259" s="244"/>
      <c r="BH259" s="244">
        <f t="shared" si="188"/>
        <v>3004.8040000000037</v>
      </c>
      <c r="BI259" s="242">
        <f t="shared" si="189"/>
        <v>2505.4919999999993</v>
      </c>
      <c r="BJ259" s="242"/>
      <c r="BK259" s="241">
        <f t="shared" si="190"/>
        <v>5510</v>
      </c>
      <c r="BL259" s="262"/>
      <c r="BM259" s="36" t="s">
        <v>18</v>
      </c>
      <c r="BN259" s="4">
        <f t="shared" si="223"/>
        <v>2004</v>
      </c>
      <c r="BO259" s="4">
        <f t="shared" si="224"/>
        <v>3</v>
      </c>
      <c r="BP259" s="108">
        <f>C259+[4]MWh!$AK93</f>
        <v>893282.91084426397</v>
      </c>
      <c r="BQ259" s="76">
        <f t="shared" si="237"/>
        <v>5567.1865061497865</v>
      </c>
      <c r="BR259" s="130">
        <f t="shared" si="238"/>
        <v>5601.5263522125451</v>
      </c>
      <c r="BS259" s="108">
        <f t="shared" si="267"/>
        <v>-657.14530619014658</v>
      </c>
      <c r="BT259" s="175">
        <f t="shared" si="239"/>
        <v>898792.91084426397</v>
      </c>
      <c r="BU259" s="108">
        <f t="shared" si="267"/>
        <v>-41929.250115269446</v>
      </c>
      <c r="BV259" s="137">
        <f t="shared" si="240"/>
        <v>5510</v>
      </c>
      <c r="BW259" s="529">
        <f>BT259/[9]CMWh!$L139</f>
        <v>1.0902295963574593</v>
      </c>
    </row>
    <row r="260" spans="1:75" ht="12.75" customHeight="1">
      <c r="A260" s="22">
        <f t="shared" si="213"/>
        <v>2004</v>
      </c>
      <c r="B260" s="4">
        <f t="shared" si="214"/>
        <v>4</v>
      </c>
      <c r="C260" s="5">
        <f>'[2]FPC wSEB'!$E357</f>
        <v>874499</v>
      </c>
      <c r="D260" s="5">
        <f>'[2]FPC wSEB'!$Y357</f>
        <v>157163</v>
      </c>
      <c r="E260" s="74">
        <f t="shared" si="268"/>
        <v>5564.3</v>
      </c>
      <c r="F260" s="13">
        <v>82357</v>
      </c>
      <c r="G260" s="13">
        <v>107777</v>
      </c>
      <c r="H260" s="13">
        <v>9845</v>
      </c>
      <c r="I260" s="13">
        <v>4280</v>
      </c>
      <c r="J260" s="574">
        <f>[5]CC!$E140</f>
        <v>157434</v>
      </c>
      <c r="K260" s="4">
        <f>'[7]COM 55 &amp; 65'!$S345</f>
        <v>136.19999999999999</v>
      </c>
      <c r="L260" s="4">
        <f t="shared" si="216"/>
        <v>178.4</v>
      </c>
      <c r="M260" s="135">
        <f t="shared" si="264"/>
        <v>42.200000000000017</v>
      </c>
      <c r="N260" s="4">
        <f>'[7]COM 55 &amp; 65'!$J345</f>
        <v>9.8000000000000007</v>
      </c>
      <c r="O260" s="4">
        <f t="shared" si="209"/>
        <v>9.5</v>
      </c>
      <c r="P260" s="41">
        <f t="shared" si="269"/>
        <v>-0.30000000000000071</v>
      </c>
      <c r="Q260" s="474">
        <f t="shared" si="179"/>
        <v>28818.802000000011</v>
      </c>
      <c r="R260" s="472">
        <f t="shared" si="180"/>
        <v>-197.80200000000048</v>
      </c>
      <c r="S260" s="241">
        <f t="shared" si="181"/>
        <v>28621</v>
      </c>
      <c r="T260" s="13" t="s">
        <v>18</v>
      </c>
      <c r="U260" s="4">
        <f t="shared" si="217"/>
        <v>2004</v>
      </c>
      <c r="V260" s="4">
        <f t="shared" si="218"/>
        <v>4</v>
      </c>
      <c r="W260" s="242">
        <f t="shared" si="182"/>
        <v>5746.3906899206559</v>
      </c>
      <c r="X260" s="131">
        <f t="shared" si="265"/>
        <v>66.607191740946291</v>
      </c>
      <c r="Z260" s="175">
        <f t="shared" si="184"/>
        <v>903120</v>
      </c>
      <c r="AA260" s="12">
        <f t="shared" si="185"/>
        <v>28621</v>
      </c>
      <c r="AB260" s="519">
        <f>[9]CMWh!$L140</f>
        <v>901753</v>
      </c>
      <c r="AC260" s="107">
        <f>RESID!AC260</f>
        <v>28.9</v>
      </c>
      <c r="AD260" s="243">
        <f t="shared" si="186"/>
        <v>920493.4</v>
      </c>
      <c r="AE260" s="243">
        <f t="shared" si="211"/>
        <v>7693</v>
      </c>
      <c r="AF260" s="4">
        <f t="shared" si="236"/>
        <v>76121</v>
      </c>
      <c r="AG260" s="4">
        <f t="shared" si="187"/>
        <v>950620</v>
      </c>
      <c r="AH260" s="4">
        <f t="shared" si="266"/>
        <v>53816</v>
      </c>
      <c r="AJ260" s="269">
        <f t="shared" si="249"/>
        <v>782297</v>
      </c>
      <c r="AK260" s="269">
        <f t="shared" si="250"/>
        <v>45106</v>
      </c>
      <c r="AL260" s="276">
        <f t="shared" si="201"/>
        <v>17343.524143129518</v>
      </c>
      <c r="AM260" s="269">
        <f t="shared" si="251"/>
        <v>82357</v>
      </c>
      <c r="AN260" s="269">
        <f t="shared" si="252"/>
        <v>107777</v>
      </c>
      <c r="AO260" s="276">
        <f t="shared" si="202"/>
        <v>764.14262783339666</v>
      </c>
      <c r="AP260" s="269">
        <f t="shared" si="253"/>
        <v>9845</v>
      </c>
      <c r="AQ260" s="269">
        <f t="shared" si="254"/>
        <v>4280</v>
      </c>
      <c r="AR260" s="276">
        <f t="shared" si="203"/>
        <v>2300.233644859813</v>
      </c>
      <c r="AX260" s="4">
        <f t="shared" si="219"/>
        <v>2004</v>
      </c>
      <c r="AY260" s="4">
        <f t="shared" si="220"/>
        <v>4</v>
      </c>
      <c r="AZ260" s="76">
        <f>'[8]COM 55 &amp; 65'!$S345</f>
        <v>179.7</v>
      </c>
      <c r="BA260" s="76">
        <f t="shared" si="221"/>
        <v>227.4</v>
      </c>
      <c r="BB260" s="362">
        <f t="shared" si="192"/>
        <v>47.700000000000017</v>
      </c>
      <c r="BC260" s="362"/>
      <c r="BD260" s="76">
        <f>'[8]COM 55 &amp; 65'!$J345</f>
        <v>6.9</v>
      </c>
      <c r="BE260" s="76">
        <f t="shared" si="222"/>
        <v>4.8</v>
      </c>
      <c r="BF260" s="363">
        <f t="shared" si="193"/>
        <v>-2.1000000000000005</v>
      </c>
      <c r="BG260" s="244"/>
      <c r="BH260" s="244">
        <f t="shared" si="188"/>
        <v>32574.807000000012</v>
      </c>
      <c r="BI260" s="242">
        <f t="shared" si="189"/>
        <v>-1384.6140000000005</v>
      </c>
      <c r="BJ260" s="242"/>
      <c r="BK260" s="241">
        <f t="shared" si="190"/>
        <v>31190</v>
      </c>
      <c r="BL260" s="262"/>
      <c r="BM260" s="36" t="s">
        <v>18</v>
      </c>
      <c r="BN260" s="4">
        <f t="shared" si="223"/>
        <v>2004</v>
      </c>
      <c r="BO260" s="4">
        <f t="shared" si="224"/>
        <v>4</v>
      </c>
      <c r="BP260" s="108">
        <f>C260+[4]MWh!$AK94</f>
        <v>922038.35369172879</v>
      </c>
      <c r="BQ260" s="76">
        <f t="shared" si="237"/>
        <v>5866.7647836432798</v>
      </c>
      <c r="BR260" s="130">
        <f t="shared" si="238"/>
        <v>6065.2211633255201</v>
      </c>
      <c r="BS260" s="108">
        <f t="shared" si="267"/>
        <v>207.345710382775</v>
      </c>
      <c r="BT260" s="175">
        <f t="shared" si="239"/>
        <v>953228.35369172879</v>
      </c>
      <c r="BU260" s="108">
        <f t="shared" si="267"/>
        <v>44115.372772279428</v>
      </c>
      <c r="BV260" s="137">
        <f t="shared" si="240"/>
        <v>31190</v>
      </c>
      <c r="BW260" s="529">
        <f>BT260/[9]CMWh!$L140</f>
        <v>1.0570836511680346</v>
      </c>
    </row>
    <row r="261" spans="1:75" ht="12.75" customHeight="1">
      <c r="A261" s="22">
        <f t="shared" si="213"/>
        <v>2004</v>
      </c>
      <c r="B261" s="4">
        <f t="shared" si="214"/>
        <v>5</v>
      </c>
      <c r="C261" s="5">
        <f>'[2]FPC wSEB'!$E358</f>
        <v>953467</v>
      </c>
      <c r="D261" s="5">
        <f>'[2]FPC wSEB'!$Y358</f>
        <v>158735</v>
      </c>
      <c r="E261" s="74">
        <f t="shared" si="268"/>
        <v>6006.7</v>
      </c>
      <c r="F261" s="13">
        <v>93206</v>
      </c>
      <c r="G261" s="13">
        <v>108921</v>
      </c>
      <c r="H261" s="13">
        <v>9713</v>
      </c>
      <c r="I261" s="13">
        <v>4304</v>
      </c>
      <c r="J261" s="574">
        <f>[5]CC!$E141</f>
        <v>157990</v>
      </c>
      <c r="K261" s="4">
        <f>'[7]COM 55 &amp; 65'!$S346</f>
        <v>258.60000000000002</v>
      </c>
      <c r="L261" s="4">
        <f t="shared" si="216"/>
        <v>273.89999999999998</v>
      </c>
      <c r="M261" s="135">
        <f t="shared" si="264"/>
        <v>15.299999999999955</v>
      </c>
      <c r="N261" s="4">
        <f>'[7]COM 55 &amp; 65'!$J346</f>
        <v>2.9</v>
      </c>
      <c r="O261" s="4">
        <f t="shared" si="209"/>
        <v>2</v>
      </c>
      <c r="P261" s="41">
        <f t="shared" si="269"/>
        <v>-0.89999999999999991</v>
      </c>
      <c r="Q261" s="474">
        <f t="shared" si="179"/>
        <v>10448.522999999968</v>
      </c>
      <c r="R261" s="472">
        <f t="shared" si="180"/>
        <v>-593.40599999999995</v>
      </c>
      <c r="S261" s="241">
        <f t="shared" si="181"/>
        <v>9855</v>
      </c>
      <c r="T261" s="13" t="s">
        <v>18</v>
      </c>
      <c r="U261" s="4">
        <f t="shared" si="217"/>
        <v>2004</v>
      </c>
      <c r="V261" s="4">
        <f t="shared" si="218"/>
        <v>5</v>
      </c>
      <c r="W261" s="242">
        <f t="shared" si="182"/>
        <v>6068.7435033231486</v>
      </c>
      <c r="X261" s="131">
        <f t="shared" si="265"/>
        <v>-51.013252908515824</v>
      </c>
      <c r="Z261" s="175">
        <f t="shared" si="184"/>
        <v>963322</v>
      </c>
      <c r="AA261" s="12">
        <f t="shared" si="185"/>
        <v>9855</v>
      </c>
      <c r="AB261" s="519">
        <f>[9]CMWh!$L141</f>
        <v>955525</v>
      </c>
      <c r="AC261" s="107">
        <f>RESID!AC261</f>
        <v>29.9</v>
      </c>
      <c r="AD261" s="243">
        <f t="shared" si="186"/>
        <v>970049</v>
      </c>
      <c r="AE261" s="243">
        <f t="shared" si="211"/>
        <v>-16767.800000000047</v>
      </c>
      <c r="AF261" s="4">
        <f t="shared" si="236"/>
        <v>26608</v>
      </c>
      <c r="AG261" s="4">
        <f t="shared" si="187"/>
        <v>980075</v>
      </c>
      <c r="AH261" s="4">
        <f t="shared" si="266"/>
        <v>34483</v>
      </c>
      <c r="AJ261" s="269">
        <f t="shared" si="249"/>
        <v>850548</v>
      </c>
      <c r="AK261" s="269">
        <f t="shared" si="250"/>
        <v>45510</v>
      </c>
      <c r="AL261" s="276">
        <f t="shared" si="201"/>
        <v>18689.255108767306</v>
      </c>
      <c r="AM261" s="269">
        <f t="shared" si="251"/>
        <v>93206</v>
      </c>
      <c r="AN261" s="269">
        <f t="shared" si="252"/>
        <v>108921</v>
      </c>
      <c r="AO261" s="276">
        <f t="shared" si="202"/>
        <v>855.72111897613865</v>
      </c>
      <c r="AP261" s="269">
        <f t="shared" si="253"/>
        <v>9713</v>
      </c>
      <c r="AQ261" s="269">
        <f t="shared" si="254"/>
        <v>4304</v>
      </c>
      <c r="AR261" s="276">
        <f t="shared" si="203"/>
        <v>2256.7379182156137</v>
      </c>
      <c r="AX261" s="4">
        <f t="shared" si="219"/>
        <v>2004</v>
      </c>
      <c r="AY261" s="4">
        <f t="shared" si="220"/>
        <v>5</v>
      </c>
      <c r="AZ261" s="76">
        <f>'[8]COM 55 &amp; 65'!$S346</f>
        <v>393.4</v>
      </c>
      <c r="BA261" s="76">
        <f t="shared" si="221"/>
        <v>395.2</v>
      </c>
      <c r="BB261" s="362">
        <f t="shared" si="192"/>
        <v>1.8000000000000114</v>
      </c>
      <c r="BC261" s="362"/>
      <c r="BD261" s="76">
        <f>'[8]COM 55 &amp; 65'!$J346</f>
        <v>0.3</v>
      </c>
      <c r="BE261" s="76">
        <f t="shared" si="222"/>
        <v>0.2</v>
      </c>
      <c r="BF261" s="363">
        <f t="shared" si="193"/>
        <v>-9.9999999999999978E-2</v>
      </c>
      <c r="BG261" s="244"/>
      <c r="BH261" s="244">
        <f t="shared" si="188"/>
        <v>1229.2380000000078</v>
      </c>
      <c r="BI261" s="242">
        <f t="shared" si="189"/>
        <v>-65.933999999999983</v>
      </c>
      <c r="BJ261" s="242"/>
      <c r="BK261" s="241">
        <f t="shared" si="190"/>
        <v>1163</v>
      </c>
      <c r="BL261" s="262"/>
      <c r="BM261" s="36" t="s">
        <v>18</v>
      </c>
      <c r="BN261" s="4">
        <f t="shared" si="223"/>
        <v>2004</v>
      </c>
      <c r="BO261" s="4">
        <f t="shared" si="224"/>
        <v>5</v>
      </c>
      <c r="BP261" s="108">
        <f>C261+[4]MWh!$AK95</f>
        <v>1069071.4840093874</v>
      </c>
      <c r="BQ261" s="76">
        <f t="shared" si="237"/>
        <v>6734.9449334386709</v>
      </c>
      <c r="BR261" s="130">
        <f t="shared" si="238"/>
        <v>6742.271609975036</v>
      </c>
      <c r="BS261" s="108">
        <f t="shared" si="267"/>
        <v>-281.32779980509622</v>
      </c>
      <c r="BT261" s="175">
        <f t="shared" si="239"/>
        <v>1070234.4840093874</v>
      </c>
      <c r="BU261" s="108">
        <f t="shared" si="267"/>
        <v>-14300.571652992163</v>
      </c>
      <c r="BV261" s="137">
        <f t="shared" si="240"/>
        <v>1163</v>
      </c>
      <c r="BW261" s="529">
        <f>BT261/[9]CMWh!$L141</f>
        <v>1.120048647611928</v>
      </c>
    </row>
    <row r="262" spans="1:75" ht="12.75" customHeight="1">
      <c r="A262" s="22">
        <f t="shared" si="213"/>
        <v>2004</v>
      </c>
      <c r="B262" s="4">
        <f t="shared" si="214"/>
        <v>6</v>
      </c>
      <c r="C262" s="5">
        <f>'[2]FPC wSEB'!$E359</f>
        <v>1112598</v>
      </c>
      <c r="D262" s="5">
        <f>'[2]FPC wSEB'!$Y359</f>
        <v>158201</v>
      </c>
      <c r="E262" s="74">
        <f t="shared" si="268"/>
        <v>7032.8</v>
      </c>
      <c r="F262" s="13">
        <v>117404</v>
      </c>
      <c r="G262" s="13">
        <v>108774</v>
      </c>
      <c r="H262" s="13">
        <v>9744</v>
      </c>
      <c r="I262" s="13">
        <v>4322</v>
      </c>
      <c r="J262" s="574">
        <f>[5]CC!$E142</f>
        <v>158350</v>
      </c>
      <c r="K262" s="4">
        <f>'[7]COM 55 &amp; 65'!$S347</f>
        <v>465.6</v>
      </c>
      <c r="L262" s="4">
        <f t="shared" si="216"/>
        <v>442.7</v>
      </c>
      <c r="M262" s="135">
        <f t="shared" si="264"/>
        <v>-22.900000000000034</v>
      </c>
      <c r="N262" s="4">
        <f>'[7]COM 55 &amp; 65'!$J347</f>
        <v>0.1</v>
      </c>
      <c r="O262" s="4">
        <f t="shared" si="209"/>
        <v>0.1</v>
      </c>
      <c r="P262" s="41">
        <f t="shared" si="269"/>
        <v>0</v>
      </c>
      <c r="Q262" s="474">
        <f t="shared" si="179"/>
        <v>-15638.639000000023</v>
      </c>
      <c r="R262" s="472">
        <f t="shared" si="180"/>
        <v>0</v>
      </c>
      <c r="S262" s="241">
        <f t="shared" si="181"/>
        <v>-15639</v>
      </c>
      <c r="T262" s="13" t="s">
        <v>18</v>
      </c>
      <c r="U262" s="4">
        <f t="shared" si="217"/>
        <v>2004</v>
      </c>
      <c r="V262" s="4">
        <f t="shared" si="218"/>
        <v>6</v>
      </c>
      <c r="W262" s="242">
        <f t="shared" si="182"/>
        <v>6933.9574338973835</v>
      </c>
      <c r="X262" s="131">
        <f t="shared" si="265"/>
        <v>33.218554716237122</v>
      </c>
      <c r="Z262" s="175">
        <f t="shared" si="184"/>
        <v>1096959</v>
      </c>
      <c r="AA262" s="12">
        <f t="shared" si="185"/>
        <v>-15639</v>
      </c>
      <c r="AB262" s="519">
        <f>[9]CMWh!$L142</f>
        <v>1091146</v>
      </c>
      <c r="AC262" s="107">
        <f>RESID!AC262</f>
        <v>30.65</v>
      </c>
      <c r="AD262" s="243">
        <f t="shared" si="186"/>
        <v>1104249</v>
      </c>
      <c r="AE262" s="243">
        <f t="shared" si="211"/>
        <v>46106.600000000093</v>
      </c>
      <c r="AF262" s="4">
        <f t="shared" si="236"/>
        <v>-23871</v>
      </c>
      <c r="AG262" s="4">
        <f t="shared" si="187"/>
        <v>1088727</v>
      </c>
      <c r="AH262" s="4">
        <f t="shared" si="266"/>
        <v>43918</v>
      </c>
      <c r="AJ262" s="269">
        <f t="shared" si="249"/>
        <v>985450</v>
      </c>
      <c r="AK262" s="269">
        <f t="shared" si="250"/>
        <v>45105</v>
      </c>
      <c r="AL262" s="276">
        <f t="shared" si="201"/>
        <v>21847.910431216049</v>
      </c>
      <c r="AM262" s="269">
        <f t="shared" si="251"/>
        <v>117404</v>
      </c>
      <c r="AN262" s="269">
        <f t="shared" si="252"/>
        <v>108774</v>
      </c>
      <c r="AO262" s="276">
        <f t="shared" si="202"/>
        <v>1079.3388125838896</v>
      </c>
      <c r="AP262" s="269">
        <f t="shared" si="253"/>
        <v>9744</v>
      </c>
      <c r="AQ262" s="269">
        <f t="shared" si="254"/>
        <v>4322</v>
      </c>
      <c r="AR262" s="276">
        <f t="shared" si="203"/>
        <v>2254.5118000925499</v>
      </c>
      <c r="AX262" s="4">
        <f t="shared" si="219"/>
        <v>2004</v>
      </c>
      <c r="AY262" s="4">
        <f t="shared" si="220"/>
        <v>6</v>
      </c>
      <c r="AZ262" s="76">
        <f>'[8]COM 55 &amp; 65'!$S347</f>
        <v>527.5</v>
      </c>
      <c r="BA262" s="76">
        <f t="shared" si="221"/>
        <v>485.1</v>
      </c>
      <c r="BB262" s="362">
        <f t="shared" si="192"/>
        <v>-42.399999999999977</v>
      </c>
      <c r="BC262" s="362"/>
      <c r="BD262" s="76">
        <f>'[8]COM 55 &amp; 65'!$J347</f>
        <v>0</v>
      </c>
      <c r="BE262" s="76">
        <f t="shared" si="222"/>
        <v>0</v>
      </c>
      <c r="BF262" s="363">
        <f t="shared" si="193"/>
        <v>0</v>
      </c>
      <c r="BG262" s="244"/>
      <c r="BH262" s="244">
        <f t="shared" si="188"/>
        <v>-28955.383999999984</v>
      </c>
      <c r="BI262" s="242">
        <f t="shared" si="189"/>
        <v>0</v>
      </c>
      <c r="BJ262" s="242"/>
      <c r="BK262" s="241">
        <f t="shared" si="190"/>
        <v>-28955</v>
      </c>
      <c r="BL262" s="262"/>
      <c r="BM262" s="36" t="s">
        <v>18</v>
      </c>
      <c r="BN262" s="4">
        <f t="shared" si="223"/>
        <v>2004</v>
      </c>
      <c r="BO262" s="4">
        <f t="shared" si="224"/>
        <v>6</v>
      </c>
      <c r="BP262" s="108">
        <f>C262+[4]MWh!$AK96</f>
        <v>1138728.8169250824</v>
      </c>
      <c r="BQ262" s="76">
        <f t="shared" si="237"/>
        <v>7197.9874774816999</v>
      </c>
      <c r="BR262" s="130">
        <f t="shared" si="238"/>
        <v>7014.9608215187154</v>
      </c>
      <c r="BS262" s="108">
        <f t="shared" si="267"/>
        <v>383.86621248251868</v>
      </c>
      <c r="BT262" s="175">
        <f t="shared" si="239"/>
        <v>1109773.8169250824</v>
      </c>
      <c r="BU262" s="108">
        <f t="shared" si="267"/>
        <v>96549.191758960485</v>
      </c>
      <c r="BV262" s="137">
        <f t="shared" si="240"/>
        <v>-28955</v>
      </c>
      <c r="BW262" s="529">
        <f>BT262/[9]CMWh!$L142</f>
        <v>1.0170717914239547</v>
      </c>
    </row>
    <row r="263" spans="1:75" ht="12.75" customHeight="1">
      <c r="A263" s="22">
        <f t="shared" si="213"/>
        <v>2004</v>
      </c>
      <c r="B263" s="4">
        <f t="shared" si="214"/>
        <v>7</v>
      </c>
      <c r="C263" s="5">
        <f>'[2]FPC wSEB'!$E360</f>
        <v>1139256</v>
      </c>
      <c r="D263" s="5">
        <f>'[2]FPC wSEB'!$Y360</f>
        <v>157222</v>
      </c>
      <c r="E263" s="74">
        <f t="shared" si="268"/>
        <v>7246.2</v>
      </c>
      <c r="F263" s="13">
        <v>120020</v>
      </c>
      <c r="G263" s="13">
        <v>107981</v>
      </c>
      <c r="H263" s="13">
        <v>9934</v>
      </c>
      <c r="I263" s="13">
        <v>4378</v>
      </c>
      <c r="J263" s="574">
        <f>[5]CC!$E143</f>
        <v>158585</v>
      </c>
      <c r="K263" s="4">
        <f>'[7]COM 55 &amp; 65'!$S348</f>
        <v>547.1</v>
      </c>
      <c r="L263" s="4">
        <f t="shared" si="216"/>
        <v>516.1</v>
      </c>
      <c r="M263" s="135">
        <f t="shared" ref="M263:M268" si="270">(L263-K263)</f>
        <v>-31</v>
      </c>
      <c r="N263" s="4">
        <f>'[7]COM 55 &amp; 65'!$J348</f>
        <v>0</v>
      </c>
      <c r="O263" s="4">
        <f t="shared" si="209"/>
        <v>0</v>
      </c>
      <c r="P263" s="41">
        <f t="shared" si="269"/>
        <v>0</v>
      </c>
      <c r="Q263" s="474">
        <f t="shared" si="179"/>
        <v>-21170.21</v>
      </c>
      <c r="R263" s="472">
        <f t="shared" si="180"/>
        <v>0</v>
      </c>
      <c r="S263" s="241">
        <f t="shared" si="181"/>
        <v>-21170</v>
      </c>
      <c r="T263" s="13" t="s">
        <v>18</v>
      </c>
      <c r="U263" s="4">
        <f t="shared" si="217"/>
        <v>2004</v>
      </c>
      <c r="V263" s="4">
        <f t="shared" si="218"/>
        <v>7</v>
      </c>
      <c r="W263" s="242">
        <f t="shared" si="182"/>
        <v>7111.5111116764829</v>
      </c>
      <c r="X263" s="131">
        <f t="shared" ref="X263:X268" si="271">W263-W251</f>
        <v>-20.358509083030185</v>
      </c>
      <c r="Z263" s="175">
        <f t="shared" si="184"/>
        <v>1118086</v>
      </c>
      <c r="AA263" s="12">
        <f t="shared" si="185"/>
        <v>-21170</v>
      </c>
      <c r="AB263" s="519">
        <f>[9]CMWh!$L143</f>
        <v>1140746</v>
      </c>
      <c r="AC263" s="107">
        <f>RESID!AC263</f>
        <v>30.65</v>
      </c>
      <c r="AD263" s="243">
        <f t="shared" si="186"/>
        <v>1130706.8999999999</v>
      </c>
      <c r="AE263" s="243">
        <f t="shared" si="211"/>
        <v>38125.899999999907</v>
      </c>
      <c r="AF263" s="4">
        <f t="shared" si="236"/>
        <v>-29560</v>
      </c>
      <c r="AG263" s="4">
        <f t="shared" si="187"/>
        <v>1109696</v>
      </c>
      <c r="AH263" s="4">
        <f t="shared" ref="AH263:AH268" si="272">AG263-AG251</f>
        <v>10801</v>
      </c>
      <c r="AJ263" s="269">
        <f t="shared" si="249"/>
        <v>1009302</v>
      </c>
      <c r="AK263" s="269">
        <f t="shared" si="250"/>
        <v>44863</v>
      </c>
      <c r="AL263" s="276">
        <f t="shared" si="201"/>
        <v>22497.425495397099</v>
      </c>
      <c r="AM263" s="269">
        <f t="shared" si="251"/>
        <v>120020</v>
      </c>
      <c r="AN263" s="269">
        <f t="shared" si="252"/>
        <v>107981</v>
      </c>
      <c r="AO263" s="276">
        <f t="shared" si="202"/>
        <v>1111.4918365267963</v>
      </c>
      <c r="AP263" s="269">
        <f t="shared" si="253"/>
        <v>9934</v>
      </c>
      <c r="AQ263" s="269">
        <f t="shared" si="254"/>
        <v>4378</v>
      </c>
      <c r="AR263" s="276">
        <f t="shared" si="203"/>
        <v>2269.0726359068067</v>
      </c>
      <c r="AX263" s="4">
        <f t="shared" si="219"/>
        <v>2004</v>
      </c>
      <c r="AY263" s="4">
        <f t="shared" si="220"/>
        <v>7</v>
      </c>
      <c r="AZ263" s="76">
        <f>'[8]COM 55 &amp; 65'!$S348</f>
        <v>544.29999999999995</v>
      </c>
      <c r="BA263" s="76">
        <f t="shared" si="221"/>
        <v>546.1</v>
      </c>
      <c r="BB263" s="362">
        <f t="shared" si="192"/>
        <v>1.8000000000000682</v>
      </c>
      <c r="BC263" s="362"/>
      <c r="BD263" s="76">
        <f>'[8]COM 55 &amp; 65'!$J348</f>
        <v>0</v>
      </c>
      <c r="BE263" s="76">
        <f t="shared" si="222"/>
        <v>0</v>
      </c>
      <c r="BF263" s="363">
        <f t="shared" si="193"/>
        <v>0</v>
      </c>
      <c r="BG263" s="244"/>
      <c r="BH263" s="244">
        <f t="shared" si="188"/>
        <v>1229.2380000000464</v>
      </c>
      <c r="BI263" s="242">
        <f t="shared" si="189"/>
        <v>0</v>
      </c>
      <c r="BJ263" s="242"/>
      <c r="BK263" s="241">
        <f t="shared" si="190"/>
        <v>1229</v>
      </c>
      <c r="BL263" s="262"/>
      <c r="BM263" s="36" t="s">
        <v>18</v>
      </c>
      <c r="BN263" s="4">
        <f t="shared" si="223"/>
        <v>2004</v>
      </c>
      <c r="BO263" s="4">
        <f t="shared" si="224"/>
        <v>7</v>
      </c>
      <c r="BP263" s="108">
        <f>C263+[4]MWh!$AK97</f>
        <v>1134784.4647309473</v>
      </c>
      <c r="BQ263" s="76">
        <f t="shared" si="237"/>
        <v>7217.7205781057819</v>
      </c>
      <c r="BR263" s="130">
        <f t="shared" si="238"/>
        <v>7225.5375502852476</v>
      </c>
      <c r="BS263" s="108">
        <f t="shared" ref="BS263:BU268" si="273">BR263-BR251</f>
        <v>-302.65083976471033</v>
      </c>
      <c r="BT263" s="175">
        <f t="shared" si="239"/>
        <v>1136013.4647309473</v>
      </c>
      <c r="BU263" s="108">
        <f t="shared" si="273"/>
        <v>-30810.566596455872</v>
      </c>
      <c r="BV263" s="137">
        <f t="shared" si="240"/>
        <v>1229</v>
      </c>
      <c r="BW263" s="529">
        <f>BT263/[9]CMWh!$L143</f>
        <v>0.99585136807926333</v>
      </c>
    </row>
    <row r="264" spans="1:75" ht="12.75" customHeight="1">
      <c r="A264" s="22">
        <f t="shared" si="213"/>
        <v>2004</v>
      </c>
      <c r="B264" s="4">
        <f t="shared" si="214"/>
        <v>8</v>
      </c>
      <c r="C264" s="5">
        <f>'[2]FPC wSEB'!$E361</f>
        <v>1109776</v>
      </c>
      <c r="D264" s="5">
        <f>'[2]FPC wSEB'!$Y361</f>
        <v>158721</v>
      </c>
      <c r="E264" s="74">
        <f t="shared" ref="E264:E269" si="274">ROUND((C264/D264)*1000,1)</f>
        <v>6992</v>
      </c>
      <c r="F264" s="13">
        <v>116487</v>
      </c>
      <c r="G264" s="13">
        <v>109111</v>
      </c>
      <c r="H264" s="13">
        <v>9911</v>
      </c>
      <c r="I264" s="13">
        <v>4402</v>
      </c>
      <c r="J264" s="574">
        <f>[5]CC!$E144</f>
        <v>159272</v>
      </c>
      <c r="K264" s="4">
        <f>'[7]COM 55 &amp; 65'!$S349</f>
        <v>513.6</v>
      </c>
      <c r="L264" s="4">
        <f t="shared" si="216"/>
        <v>542</v>
      </c>
      <c r="M264" s="135">
        <f t="shared" si="270"/>
        <v>28.399999999999977</v>
      </c>
      <c r="N264" s="4">
        <f>'[7]COM 55 &amp; 65'!$J349</f>
        <v>0</v>
      </c>
      <c r="O264" s="4">
        <f t="shared" si="209"/>
        <v>0</v>
      </c>
      <c r="P264" s="41">
        <f t="shared" si="269"/>
        <v>0</v>
      </c>
      <c r="Q264" s="474">
        <f t="shared" si="179"/>
        <v>19394.643999999982</v>
      </c>
      <c r="R264" s="472">
        <f t="shared" si="180"/>
        <v>0</v>
      </c>
      <c r="S264" s="241">
        <f t="shared" si="181"/>
        <v>19395</v>
      </c>
      <c r="T264" s="13" t="s">
        <v>18</v>
      </c>
      <c r="U264" s="3">
        <f t="shared" si="217"/>
        <v>2004</v>
      </c>
      <c r="V264" s="3">
        <f t="shared" si="218"/>
        <v>8</v>
      </c>
      <c r="W264" s="242">
        <f t="shared" si="182"/>
        <v>7325.7854978232244</v>
      </c>
      <c r="X264" s="131">
        <f t="shared" si="271"/>
        <v>96.395631856501495</v>
      </c>
      <c r="Z264" s="510">
        <f>S264+C264+33585</f>
        <v>1162756</v>
      </c>
      <c r="AA264" s="12">
        <f t="shared" si="185"/>
        <v>52980</v>
      </c>
      <c r="AB264" s="420">
        <f>[9]CMWh!$L144+33585</f>
        <v>1170438</v>
      </c>
      <c r="AC264" s="107">
        <f>RESID!AC264</f>
        <v>29.7</v>
      </c>
      <c r="AD264" s="243">
        <f t="shared" si="186"/>
        <v>1136679.7</v>
      </c>
      <c r="AE264" s="243">
        <f t="shared" si="211"/>
        <v>25762.899999999907</v>
      </c>
      <c r="AF264" s="4">
        <f t="shared" si="236"/>
        <v>81168</v>
      </c>
      <c r="AG264" s="4">
        <f t="shared" si="187"/>
        <v>1190944</v>
      </c>
      <c r="AH264" s="4">
        <f t="shared" si="272"/>
        <v>47392</v>
      </c>
      <c r="AJ264" s="269">
        <f t="shared" si="249"/>
        <v>983378</v>
      </c>
      <c r="AK264" s="269">
        <f t="shared" si="250"/>
        <v>45208</v>
      </c>
      <c r="AL264" s="276">
        <f t="shared" si="201"/>
        <v>21752.300477791541</v>
      </c>
      <c r="AM264" s="269">
        <f t="shared" si="251"/>
        <v>116487</v>
      </c>
      <c r="AN264" s="269">
        <f t="shared" si="252"/>
        <v>109111</v>
      </c>
      <c r="AO264" s="276">
        <f t="shared" si="202"/>
        <v>1067.6008835039547</v>
      </c>
      <c r="AP264" s="269">
        <f t="shared" si="253"/>
        <v>9911</v>
      </c>
      <c r="AQ264" s="269">
        <f t="shared" si="254"/>
        <v>4402</v>
      </c>
      <c r="AR264" s="276">
        <f t="shared" si="203"/>
        <v>2251.4766015447526</v>
      </c>
      <c r="AX264" s="4">
        <f t="shared" si="219"/>
        <v>2004</v>
      </c>
      <c r="AY264" s="4">
        <f t="shared" si="220"/>
        <v>8</v>
      </c>
      <c r="AZ264" s="76">
        <f>'[8]COM 55 &amp; 65'!$S349</f>
        <v>535.4</v>
      </c>
      <c r="BA264" s="76">
        <f t="shared" si="221"/>
        <v>549</v>
      </c>
      <c r="BB264" s="362">
        <f t="shared" si="192"/>
        <v>13.600000000000023</v>
      </c>
      <c r="BC264" s="362"/>
      <c r="BD264" s="76">
        <f>'[8]COM 55 &amp; 65'!$J349</f>
        <v>0</v>
      </c>
      <c r="BE264" s="76">
        <f t="shared" si="222"/>
        <v>0</v>
      </c>
      <c r="BF264" s="363">
        <f t="shared" si="193"/>
        <v>0</v>
      </c>
      <c r="BG264" s="244"/>
      <c r="BH264" s="244">
        <f t="shared" si="188"/>
        <v>9287.5760000000155</v>
      </c>
      <c r="BI264" s="242">
        <f t="shared" si="189"/>
        <v>0</v>
      </c>
      <c r="BJ264" s="242"/>
      <c r="BK264" s="241">
        <f t="shared" si="190"/>
        <v>9288</v>
      </c>
      <c r="BL264" s="262"/>
      <c r="BM264" s="36" t="s">
        <v>18</v>
      </c>
      <c r="BN264" s="3">
        <f t="shared" si="223"/>
        <v>2004</v>
      </c>
      <c r="BO264" s="3">
        <f t="shared" si="224"/>
        <v>8</v>
      </c>
      <c r="BP264" s="108">
        <f>C264+[4]MWh!$AK98</f>
        <v>1125644.7108500977</v>
      </c>
      <c r="BQ264" s="76">
        <f t="shared" si="237"/>
        <v>7091.9708850756842</v>
      </c>
      <c r="BR264" s="130">
        <f t="shared" si="238"/>
        <v>7362.0863707392073</v>
      </c>
      <c r="BS264" s="108">
        <f t="shared" si="273"/>
        <v>-4.9526221509831885</v>
      </c>
      <c r="BT264" s="519">
        <f>BK264+BP264+33585</f>
        <v>1168517.7108500977</v>
      </c>
      <c r="BU264" s="108">
        <f t="shared" si="273"/>
        <v>34605.170181418303</v>
      </c>
      <c r="BV264" s="137">
        <f t="shared" si="240"/>
        <v>42873</v>
      </c>
      <c r="BW264" s="529">
        <f>BT264/[9]CMWh!$L144</f>
        <v>1.0278529509532874</v>
      </c>
    </row>
    <row r="265" spans="1:75" ht="12.75" customHeight="1">
      <c r="A265" s="22">
        <f t="shared" si="213"/>
        <v>2004</v>
      </c>
      <c r="B265" s="4">
        <f t="shared" si="214"/>
        <v>9</v>
      </c>
      <c r="C265" s="5">
        <f>'[2]FPC wSEB'!$E362</f>
        <v>1084918</v>
      </c>
      <c r="D265" s="5">
        <f>'[2]FPC wSEB'!$Y362</f>
        <v>160762</v>
      </c>
      <c r="E265" s="74">
        <f t="shared" si="274"/>
        <v>6748.6</v>
      </c>
      <c r="F265" s="13">
        <v>108990</v>
      </c>
      <c r="G265" s="13">
        <v>110450</v>
      </c>
      <c r="H265" s="13">
        <v>10037</v>
      </c>
      <c r="I265" s="13">
        <v>4445</v>
      </c>
      <c r="J265" s="574">
        <f>[5]CC!$E145</f>
        <v>159839</v>
      </c>
      <c r="K265" s="4">
        <f>'[7]COM 55 &amp; 65'!$S350</f>
        <v>520</v>
      </c>
      <c r="L265" s="4">
        <f t="shared" si="216"/>
        <v>531.20000000000005</v>
      </c>
      <c r="M265" s="135">
        <f t="shared" si="270"/>
        <v>11.200000000000045</v>
      </c>
      <c r="N265" s="4">
        <f>'[7]COM 55 &amp; 65'!$J350</f>
        <v>0</v>
      </c>
      <c r="O265" s="4">
        <f t="shared" si="209"/>
        <v>0</v>
      </c>
      <c r="P265" s="41">
        <f t="shared" ref="P265:P270" si="275">(O265-N265)</f>
        <v>0</v>
      </c>
      <c r="Q265" s="474">
        <f t="shared" si="179"/>
        <v>7648.5920000000306</v>
      </c>
      <c r="R265" s="472">
        <f t="shared" si="180"/>
        <v>0</v>
      </c>
      <c r="S265" s="241">
        <f t="shared" si="181"/>
        <v>7649</v>
      </c>
      <c r="T265" s="13" t="s">
        <v>18</v>
      </c>
      <c r="U265" s="3">
        <f t="shared" si="217"/>
        <v>2004</v>
      </c>
      <c r="V265" s="3">
        <f t="shared" si="218"/>
        <v>9</v>
      </c>
      <c r="W265" s="242">
        <f t="shared" si="182"/>
        <v>6858.0696930866743</v>
      </c>
      <c r="X265" s="131">
        <f t="shared" si="271"/>
        <v>-541.50528130362454</v>
      </c>
      <c r="Z265" s="510">
        <f>S265+C265+9950</f>
        <v>1102517</v>
      </c>
      <c r="AA265" s="12">
        <f t="shared" si="185"/>
        <v>17599</v>
      </c>
      <c r="AB265" s="420">
        <f>[9]CMWh!$L145+9950</f>
        <v>1089266</v>
      </c>
      <c r="AC265" s="107">
        <f>RESID!AC265</f>
        <v>30.3</v>
      </c>
      <c r="AD265" s="243">
        <f t="shared" si="186"/>
        <v>1089214.7</v>
      </c>
      <c r="AE265" s="243">
        <f t="shared" si="211"/>
        <v>-6246</v>
      </c>
      <c r="AF265" s="4">
        <f t="shared" si="236"/>
        <v>21965</v>
      </c>
      <c r="AG265" s="4">
        <f t="shared" si="187"/>
        <v>1106883</v>
      </c>
      <c r="AH265" s="4">
        <f t="shared" si="272"/>
        <v>3060</v>
      </c>
      <c r="AJ265" s="269">
        <f t="shared" si="249"/>
        <v>965891</v>
      </c>
      <c r="AK265" s="269">
        <f t="shared" si="250"/>
        <v>45867</v>
      </c>
      <c r="AL265" s="276">
        <f t="shared" si="201"/>
        <v>21058.51701659145</v>
      </c>
      <c r="AM265" s="269">
        <f t="shared" si="251"/>
        <v>108990</v>
      </c>
      <c r="AN265" s="269">
        <f t="shared" si="252"/>
        <v>110450</v>
      </c>
      <c r="AO265" s="276">
        <f t="shared" si="202"/>
        <v>986.78134902670888</v>
      </c>
      <c r="AP265" s="269">
        <f t="shared" si="253"/>
        <v>10037</v>
      </c>
      <c r="AQ265" s="269">
        <f t="shared" si="254"/>
        <v>4445</v>
      </c>
      <c r="AR265" s="276">
        <f t="shared" si="203"/>
        <v>2258.0427446569179</v>
      </c>
      <c r="AX265" s="4">
        <f t="shared" si="219"/>
        <v>2004</v>
      </c>
      <c r="AY265" s="4">
        <f t="shared" si="220"/>
        <v>9</v>
      </c>
      <c r="AZ265" s="76">
        <f>'[8]COM 55 &amp; 65'!$S350</f>
        <v>482.1</v>
      </c>
      <c r="BA265" s="76">
        <f t="shared" si="221"/>
        <v>487.9</v>
      </c>
      <c r="BB265" s="362">
        <f t="shared" si="192"/>
        <v>5.7999999999999545</v>
      </c>
      <c r="BC265" s="362"/>
      <c r="BD265" s="76">
        <f>'[8]COM 55 &amp; 65'!$J350</f>
        <v>0</v>
      </c>
      <c r="BE265" s="76">
        <f t="shared" si="222"/>
        <v>0</v>
      </c>
      <c r="BF265" s="363">
        <f t="shared" si="193"/>
        <v>0</v>
      </c>
      <c r="BG265" s="244"/>
      <c r="BH265" s="244">
        <f t="shared" si="188"/>
        <v>3960.8779999999688</v>
      </c>
      <c r="BI265" s="242">
        <f t="shared" si="189"/>
        <v>0</v>
      </c>
      <c r="BJ265" s="242"/>
      <c r="BK265" s="241">
        <f t="shared" si="190"/>
        <v>3961</v>
      </c>
      <c r="BL265" s="262"/>
      <c r="BM265" s="36" t="s">
        <v>18</v>
      </c>
      <c r="BN265" s="3">
        <f t="shared" si="223"/>
        <v>2004</v>
      </c>
      <c r="BO265" s="3">
        <f t="shared" si="224"/>
        <v>9</v>
      </c>
      <c r="BP265" s="108">
        <f>C265+[4]MWh!$AK99</f>
        <v>1015119.5660861272</v>
      </c>
      <c r="BQ265" s="76">
        <f t="shared" si="237"/>
        <v>6314.4248397390384</v>
      </c>
      <c r="BR265" s="130">
        <f t="shared" si="238"/>
        <v>6400.9564827890126</v>
      </c>
      <c r="BS265" s="108">
        <f t="shared" si="273"/>
        <v>-339.19930475614819</v>
      </c>
      <c r="BT265" s="519">
        <f>BK265+BP265+9950</f>
        <v>1029030.5660861272</v>
      </c>
      <c r="BU265" s="108">
        <f t="shared" si="273"/>
        <v>-30299.498574983096</v>
      </c>
      <c r="BV265" s="137">
        <f t="shared" si="240"/>
        <v>13911</v>
      </c>
      <c r="BW265" s="529">
        <f>BT265/[9]CMWh!$L145</f>
        <v>0.95340990598316633</v>
      </c>
    </row>
    <row r="266" spans="1:75" ht="12.75" customHeight="1">
      <c r="A266" s="22">
        <f t="shared" si="213"/>
        <v>2004</v>
      </c>
      <c r="B266" s="4">
        <f t="shared" si="214"/>
        <v>10</v>
      </c>
      <c r="C266" s="5">
        <f>'[2]FPC wSEB'!$E363</f>
        <v>1035843</v>
      </c>
      <c r="D266" s="5">
        <f>'[2]FPC wSEB'!$Y363</f>
        <v>161735</v>
      </c>
      <c r="E266" s="74">
        <f t="shared" si="274"/>
        <v>6404.6</v>
      </c>
      <c r="F266" s="13">
        <v>101099</v>
      </c>
      <c r="G266" s="13">
        <v>111354</v>
      </c>
      <c r="H266" s="13">
        <v>10035</v>
      </c>
      <c r="I266" s="13">
        <v>4583</v>
      </c>
      <c r="J266" s="574">
        <f>[5]CC!$E146</f>
        <v>161439</v>
      </c>
      <c r="K266" s="4">
        <f>'[7]COM 55 &amp; 65'!$S351</f>
        <v>435.2</v>
      </c>
      <c r="L266" s="4">
        <f t="shared" si="216"/>
        <v>431.2</v>
      </c>
      <c r="M266" s="135">
        <f t="shared" si="270"/>
        <v>-4</v>
      </c>
      <c r="N266" s="4">
        <f>'[7]COM 55 &amp; 65'!$J351</f>
        <v>0.1</v>
      </c>
      <c r="O266" s="4">
        <f t="shared" si="209"/>
        <v>0.2</v>
      </c>
      <c r="P266" s="41">
        <f t="shared" si="275"/>
        <v>0.1</v>
      </c>
      <c r="Q266" s="474">
        <f t="shared" si="179"/>
        <v>-2731.64</v>
      </c>
      <c r="R266" s="472">
        <f t="shared" si="180"/>
        <v>65.934000000000012</v>
      </c>
      <c r="S266" s="241">
        <f t="shared" si="181"/>
        <v>-2666</v>
      </c>
      <c r="T266" s="13" t="s">
        <v>18</v>
      </c>
      <c r="U266" s="4">
        <f t="shared" si="217"/>
        <v>2004</v>
      </c>
      <c r="V266" s="4">
        <f t="shared" si="218"/>
        <v>10</v>
      </c>
      <c r="W266" s="242">
        <f t="shared" si="182"/>
        <v>6388.0854484187093</v>
      </c>
      <c r="X266" s="131">
        <f t="shared" si="271"/>
        <v>-50.246558584314698</v>
      </c>
      <c r="Z266" s="175">
        <f t="shared" ref="Z266:Z300" si="276">S266+C266</f>
        <v>1033177</v>
      </c>
      <c r="AA266" s="12">
        <f t="shared" si="185"/>
        <v>-2666</v>
      </c>
      <c r="AB266" s="519">
        <f>[9]CMWh!$L146</f>
        <v>1032108</v>
      </c>
      <c r="AC266" s="107">
        <f>RESID!AC266</f>
        <v>29.8</v>
      </c>
      <c r="AD266" s="243">
        <f t="shared" si="186"/>
        <v>1057394.1000000001</v>
      </c>
      <c r="AE266" s="243">
        <f t="shared" si="211"/>
        <v>41484.500000000116</v>
      </c>
      <c r="AF266" s="4">
        <f t="shared" si="236"/>
        <v>18830</v>
      </c>
      <c r="AG266" s="4">
        <f t="shared" si="187"/>
        <v>1054673</v>
      </c>
      <c r="AH266" s="4">
        <f t="shared" si="272"/>
        <v>13598</v>
      </c>
      <c r="AJ266" s="269">
        <f t="shared" si="249"/>
        <v>924709</v>
      </c>
      <c r="AK266" s="269">
        <f t="shared" si="250"/>
        <v>45798</v>
      </c>
      <c r="AL266" s="276">
        <f t="shared" si="201"/>
        <v>20191.034542993144</v>
      </c>
      <c r="AM266" s="269">
        <f t="shared" si="251"/>
        <v>101099</v>
      </c>
      <c r="AN266" s="269">
        <f t="shared" si="252"/>
        <v>111354</v>
      </c>
      <c r="AO266" s="276">
        <f t="shared" si="202"/>
        <v>907.90631679149385</v>
      </c>
      <c r="AP266" s="269">
        <f t="shared" si="253"/>
        <v>10035</v>
      </c>
      <c r="AQ266" s="269">
        <f t="shared" si="254"/>
        <v>4583</v>
      </c>
      <c r="AR266" s="276">
        <f t="shared" si="203"/>
        <v>2189.6137900938252</v>
      </c>
      <c r="AX266" s="4">
        <f t="shared" si="219"/>
        <v>2004</v>
      </c>
      <c r="AY266" s="4">
        <f t="shared" si="220"/>
        <v>10</v>
      </c>
      <c r="AZ266" s="76">
        <f>'[8]COM 55 &amp; 65'!$S351</f>
        <v>348.5</v>
      </c>
      <c r="BA266" s="76">
        <f t="shared" si="221"/>
        <v>332.5</v>
      </c>
      <c r="BB266" s="362">
        <f t="shared" si="192"/>
        <v>-16</v>
      </c>
      <c r="BC266" s="362"/>
      <c r="BD266" s="76">
        <f>'[8]COM 55 &amp; 65'!$J351</f>
        <v>0.4</v>
      </c>
      <c r="BE266" s="76">
        <f t="shared" si="222"/>
        <v>2</v>
      </c>
      <c r="BF266" s="363">
        <f t="shared" si="193"/>
        <v>1.6</v>
      </c>
      <c r="BG266" s="244"/>
      <c r="BH266" s="244">
        <f t="shared" si="188"/>
        <v>-10926.56</v>
      </c>
      <c r="BI266" s="242">
        <f t="shared" si="189"/>
        <v>1054.9440000000002</v>
      </c>
      <c r="BJ266" s="242"/>
      <c r="BK266" s="241">
        <f t="shared" si="190"/>
        <v>-9872</v>
      </c>
      <c r="BL266" s="262"/>
      <c r="BM266" s="36" t="s">
        <v>18</v>
      </c>
      <c r="BN266" s="4">
        <f t="shared" si="223"/>
        <v>2004</v>
      </c>
      <c r="BO266" s="4">
        <f t="shared" si="224"/>
        <v>10</v>
      </c>
      <c r="BP266" s="108">
        <f>C266+[4]MWh!$AK100</f>
        <v>1039281.8552164115</v>
      </c>
      <c r="BQ266" s="76">
        <f t="shared" si="237"/>
        <v>6425.8314849377775</v>
      </c>
      <c r="BR266" s="130">
        <f t="shared" si="238"/>
        <v>6364.793367028853</v>
      </c>
      <c r="BS266" s="108">
        <f t="shared" si="273"/>
        <v>-12.191692669960503</v>
      </c>
      <c r="BT266" s="175">
        <f t="shared" si="239"/>
        <v>1029409.8552164115</v>
      </c>
      <c r="BU266" s="108">
        <f t="shared" si="273"/>
        <v>27744.926964220474</v>
      </c>
      <c r="BV266" s="137">
        <f t="shared" si="240"/>
        <v>-9872</v>
      </c>
      <c r="BW266" s="529">
        <f>BT266/[9]CMWh!$L146</f>
        <v>0.99738579220043977</v>
      </c>
    </row>
    <row r="267" spans="1:75" ht="12.75" customHeight="1">
      <c r="A267" s="22">
        <f t="shared" si="213"/>
        <v>2004</v>
      </c>
      <c r="B267" s="4">
        <f t="shared" si="214"/>
        <v>11</v>
      </c>
      <c r="C267" s="5">
        <f>'[2]FPC wSEB'!$E364</f>
        <v>991682</v>
      </c>
      <c r="D267" s="5">
        <f>'[2]FPC wSEB'!$Y364</f>
        <v>163690</v>
      </c>
      <c r="E267" s="74">
        <f t="shared" si="274"/>
        <v>6058.3</v>
      </c>
      <c r="F267" s="13">
        <v>98647</v>
      </c>
      <c r="G267" s="13">
        <v>112718</v>
      </c>
      <c r="H267" s="13">
        <v>10218</v>
      </c>
      <c r="I267" s="13">
        <v>4554</v>
      </c>
      <c r="J267" s="574">
        <f>[5]CC!$E147</f>
        <v>161979</v>
      </c>
      <c r="K267" s="4">
        <f>'[7]COM 55 &amp; 65'!$S352</f>
        <v>281.89999999999998</v>
      </c>
      <c r="L267" s="4">
        <f t="shared" si="216"/>
        <v>251.9</v>
      </c>
      <c r="M267" s="135">
        <f t="shared" si="270"/>
        <v>-29.999999999999972</v>
      </c>
      <c r="N267" s="4">
        <f>'[7]COM 55 &amp; 65'!$J352</f>
        <v>1.2</v>
      </c>
      <c r="O267" s="4">
        <f t="shared" si="209"/>
        <v>6.3</v>
      </c>
      <c r="P267" s="41">
        <f t="shared" si="275"/>
        <v>5.0999999999999996</v>
      </c>
      <c r="Q267" s="474">
        <f t="shared" si="179"/>
        <v>-20487.299999999981</v>
      </c>
      <c r="R267" s="472">
        <f t="shared" si="180"/>
        <v>3362.634</v>
      </c>
      <c r="S267" s="241">
        <f t="shared" si="181"/>
        <v>-17125</v>
      </c>
      <c r="T267" s="13" t="s">
        <v>18</v>
      </c>
      <c r="U267" s="4">
        <f t="shared" si="217"/>
        <v>2004</v>
      </c>
      <c r="V267" s="4">
        <f t="shared" si="218"/>
        <v>11</v>
      </c>
      <c r="W267" s="242">
        <f t="shared" si="182"/>
        <v>5953.6746288716477</v>
      </c>
      <c r="X267" s="131">
        <f t="shared" si="271"/>
        <v>12.460542761442412</v>
      </c>
      <c r="Z267" s="175">
        <f t="shared" si="276"/>
        <v>974557</v>
      </c>
      <c r="AA267" s="12">
        <f t="shared" si="185"/>
        <v>-17125</v>
      </c>
      <c r="AB267" s="519">
        <f>[9]CMWh!$L147</f>
        <v>964026</v>
      </c>
      <c r="AC267" s="107">
        <f>RESID!AC267</f>
        <v>30.15</v>
      </c>
      <c r="AD267" s="243">
        <f t="shared" si="186"/>
        <v>1000562.7</v>
      </c>
      <c r="AE267" s="243">
        <f t="shared" si="211"/>
        <v>34019.899999999907</v>
      </c>
      <c r="AF267" s="4">
        <f t="shared" si="236"/>
        <v>-8398</v>
      </c>
      <c r="AG267" s="4">
        <f t="shared" si="187"/>
        <v>983284</v>
      </c>
      <c r="AH267" s="4">
        <f t="shared" si="272"/>
        <v>45871</v>
      </c>
      <c r="AJ267" s="269">
        <f t="shared" si="249"/>
        <v>882817</v>
      </c>
      <c r="AK267" s="269">
        <f t="shared" si="250"/>
        <v>46418</v>
      </c>
      <c r="AL267" s="276">
        <f t="shared" si="201"/>
        <v>19018.85044594769</v>
      </c>
      <c r="AM267" s="269">
        <f t="shared" si="251"/>
        <v>98647</v>
      </c>
      <c r="AN267" s="269">
        <f t="shared" si="252"/>
        <v>112718</v>
      </c>
      <c r="AO267" s="276">
        <f t="shared" si="202"/>
        <v>875.1663443283237</v>
      </c>
      <c r="AP267" s="269">
        <f t="shared" si="253"/>
        <v>10218</v>
      </c>
      <c r="AQ267" s="269">
        <f t="shared" si="254"/>
        <v>4554</v>
      </c>
      <c r="AR267" s="276">
        <f t="shared" si="203"/>
        <v>2243.741765480896</v>
      </c>
      <c r="AX267" s="4">
        <f t="shared" si="219"/>
        <v>2004</v>
      </c>
      <c r="AY267" s="4">
        <f t="shared" si="220"/>
        <v>11</v>
      </c>
      <c r="AZ267" s="76">
        <f>'[8]COM 55 &amp; 65'!$S352</f>
        <v>177.8</v>
      </c>
      <c r="BA267" s="76">
        <f t="shared" si="221"/>
        <v>146</v>
      </c>
      <c r="BB267" s="362">
        <f t="shared" si="192"/>
        <v>-31.800000000000011</v>
      </c>
      <c r="BC267" s="362"/>
      <c r="BD267" s="76">
        <f>'[8]COM 55 &amp; 65'!$J352</f>
        <v>5.7</v>
      </c>
      <c r="BE267" s="76">
        <f t="shared" si="222"/>
        <v>14</v>
      </c>
      <c r="BF267" s="363">
        <f t="shared" si="193"/>
        <v>8.3000000000000007</v>
      </c>
      <c r="BG267" s="244"/>
      <c r="BH267" s="244">
        <f t="shared" si="188"/>
        <v>-21716.538000000008</v>
      </c>
      <c r="BI267" s="242">
        <f t="shared" si="189"/>
        <v>5472.5220000000008</v>
      </c>
      <c r="BJ267" s="242"/>
      <c r="BK267" s="241">
        <f t="shared" si="190"/>
        <v>-16244</v>
      </c>
      <c r="BL267" s="262"/>
      <c r="BM267" s="36" t="s">
        <v>18</v>
      </c>
      <c r="BN267" s="4">
        <f t="shared" si="223"/>
        <v>2004</v>
      </c>
      <c r="BO267" s="4">
        <f t="shared" si="224"/>
        <v>11</v>
      </c>
      <c r="BP267" s="108">
        <f>C267+[4]MWh!$AK101</f>
        <v>940401.68891865131</v>
      </c>
      <c r="BQ267" s="76">
        <f t="shared" si="237"/>
        <v>5745.0161214408408</v>
      </c>
      <c r="BR267" s="130">
        <f t="shared" si="238"/>
        <v>5645.7797600259719</v>
      </c>
      <c r="BS267" s="108">
        <f t="shared" si="273"/>
        <v>471.43794957748196</v>
      </c>
      <c r="BT267" s="175">
        <f t="shared" si="239"/>
        <v>924157.68891865131</v>
      </c>
      <c r="BU267" s="108">
        <f t="shared" si="273"/>
        <v>114988.94225890609</v>
      </c>
      <c r="BV267" s="137">
        <f t="shared" si="240"/>
        <v>-16244</v>
      </c>
      <c r="BW267" s="529">
        <f>BT267/[9]CMWh!$L147</f>
        <v>0.95864394624071481</v>
      </c>
    </row>
    <row r="268" spans="1:75" s="89" customFormat="1" ht="12.75" customHeight="1">
      <c r="A268" s="225">
        <f t="shared" si="213"/>
        <v>2004</v>
      </c>
      <c r="B268" s="89">
        <f t="shared" si="214"/>
        <v>12</v>
      </c>
      <c r="C268" s="103">
        <f>'[2]FPC wSEB'!$E365</f>
        <v>940424</v>
      </c>
      <c r="D268" s="103">
        <f>'[2]FPC wSEB'!$Y365</f>
        <v>161508</v>
      </c>
      <c r="E268" s="109">
        <f t="shared" si="274"/>
        <v>5822.8</v>
      </c>
      <c r="F268" s="90">
        <v>89838</v>
      </c>
      <c r="G268" s="90">
        <v>111299</v>
      </c>
      <c r="H268" s="90">
        <v>10031</v>
      </c>
      <c r="I268" s="90">
        <v>4442</v>
      </c>
      <c r="J268" s="575">
        <f>[5]CC!$E148</f>
        <v>160368</v>
      </c>
      <c r="K268" s="89">
        <f>'[7]COM 55 &amp; 65'!$S353</f>
        <v>141.69999999999999</v>
      </c>
      <c r="L268" s="89">
        <f t="shared" si="216"/>
        <v>119.4</v>
      </c>
      <c r="M268" s="136">
        <f t="shared" si="270"/>
        <v>-22.299999999999983</v>
      </c>
      <c r="N268" s="89">
        <f>'[7]COM 55 &amp; 65'!$J353</f>
        <v>23.1</v>
      </c>
      <c r="O268" s="89">
        <f t="shared" si="209"/>
        <v>30.1</v>
      </c>
      <c r="P268" s="94">
        <f t="shared" si="275"/>
        <v>7</v>
      </c>
      <c r="Q268" s="475">
        <f t="shared" si="179"/>
        <v>-15228.892999999987</v>
      </c>
      <c r="R268" s="473">
        <f t="shared" si="180"/>
        <v>4615.38</v>
      </c>
      <c r="S268" s="329">
        <f t="shared" si="181"/>
        <v>-10614</v>
      </c>
      <c r="T268" s="90" t="s">
        <v>18</v>
      </c>
      <c r="U268" s="89">
        <f t="shared" si="217"/>
        <v>2004</v>
      </c>
      <c r="V268" s="89">
        <f t="shared" si="218"/>
        <v>12</v>
      </c>
      <c r="W268" s="328">
        <f t="shared" si="182"/>
        <v>5757.0522822398889</v>
      </c>
      <c r="X268" s="133">
        <f t="shared" si="271"/>
        <v>137.64752263037462</v>
      </c>
      <c r="Z268" s="176">
        <f t="shared" si="276"/>
        <v>929810</v>
      </c>
      <c r="AA268" s="105">
        <f t="shared" si="185"/>
        <v>-10614</v>
      </c>
      <c r="AB268" s="520">
        <f>[9]CMWh!$L148</f>
        <v>923901</v>
      </c>
      <c r="AC268" s="110">
        <f>RESID!AC268</f>
        <v>31.75</v>
      </c>
      <c r="AD268" s="331">
        <f t="shared" si="186"/>
        <v>901029.9</v>
      </c>
      <c r="AE268" s="331">
        <f t="shared" si="211"/>
        <v>62277.70000000007</v>
      </c>
      <c r="AF268" s="89">
        <f t="shared" si="236"/>
        <v>-49564</v>
      </c>
      <c r="AG268" s="89">
        <f t="shared" si="187"/>
        <v>890860</v>
      </c>
      <c r="AH268" s="89">
        <f t="shared" si="272"/>
        <v>58347</v>
      </c>
      <c r="AJ268" s="351">
        <f t="shared" si="249"/>
        <v>840555</v>
      </c>
      <c r="AK268" s="351">
        <f t="shared" si="250"/>
        <v>45767</v>
      </c>
      <c r="AL268" s="277">
        <f t="shared" si="201"/>
        <v>18365.962374636747</v>
      </c>
      <c r="AM268" s="351">
        <f t="shared" si="251"/>
        <v>89838</v>
      </c>
      <c r="AN268" s="351">
        <f t="shared" si="252"/>
        <v>111299</v>
      </c>
      <c r="AO268" s="277">
        <f t="shared" si="202"/>
        <v>807.17706358547696</v>
      </c>
      <c r="AP268" s="351">
        <f t="shared" si="253"/>
        <v>10031</v>
      </c>
      <c r="AQ268" s="351">
        <f t="shared" si="254"/>
        <v>4442</v>
      </c>
      <c r="AR268" s="277">
        <f t="shared" si="203"/>
        <v>2258.2170193606485</v>
      </c>
      <c r="AX268" s="89">
        <f t="shared" si="219"/>
        <v>2004</v>
      </c>
      <c r="AY268" s="89">
        <f t="shared" si="220"/>
        <v>12</v>
      </c>
      <c r="AZ268" s="92">
        <f>'[8]COM 55 &amp; 65'!$S353</f>
        <v>61.3</v>
      </c>
      <c r="BA268" s="92">
        <f t="shared" si="221"/>
        <v>75.7</v>
      </c>
      <c r="BB268" s="364">
        <f t="shared" si="192"/>
        <v>14.400000000000006</v>
      </c>
      <c r="BC268" s="364"/>
      <c r="BD268" s="92">
        <f>'[8]COM 55 &amp; 65'!$J353</f>
        <v>65.8</v>
      </c>
      <c r="BE268" s="92">
        <f t="shared" si="222"/>
        <v>44.3</v>
      </c>
      <c r="BF268" s="365">
        <f t="shared" si="193"/>
        <v>-21.5</v>
      </c>
      <c r="BG268" s="327"/>
      <c r="BH268" s="327">
        <f t="shared" si="188"/>
        <v>9833.9040000000041</v>
      </c>
      <c r="BI268" s="328">
        <f t="shared" si="189"/>
        <v>-14175.810000000001</v>
      </c>
      <c r="BJ268" s="328"/>
      <c r="BK268" s="329">
        <f t="shared" si="190"/>
        <v>-4342</v>
      </c>
      <c r="BL268" s="332"/>
      <c r="BM268" s="113" t="s">
        <v>18</v>
      </c>
      <c r="BN268" s="89">
        <f t="shared" si="223"/>
        <v>2004</v>
      </c>
      <c r="BO268" s="89">
        <f t="shared" si="224"/>
        <v>12</v>
      </c>
      <c r="BP268" s="117">
        <f>C268+[4]MWh!$AK102</f>
        <v>1013311.6112538142</v>
      </c>
      <c r="BQ268" s="92">
        <f t="shared" si="237"/>
        <v>6274.0645123078375</v>
      </c>
      <c r="BR268" s="299">
        <f t="shared" si="238"/>
        <v>6247.1803951124039</v>
      </c>
      <c r="BS268" s="117">
        <f t="shared" si="273"/>
        <v>221.89491203991111</v>
      </c>
      <c r="BT268" s="176">
        <f t="shared" si="239"/>
        <v>1008969.6112538142</v>
      </c>
      <c r="BU268" s="117">
        <f t="shared" si="273"/>
        <v>71429.164802251267</v>
      </c>
      <c r="BV268" s="139">
        <f t="shared" si="240"/>
        <v>-4342</v>
      </c>
      <c r="BW268" s="536">
        <f>BT268/[9]CMWh!$L148</f>
        <v>1.0920754618230895</v>
      </c>
    </row>
    <row r="269" spans="1:75" ht="12.75" customHeight="1">
      <c r="A269" s="22">
        <f t="shared" si="213"/>
        <v>2005</v>
      </c>
      <c r="B269" s="4">
        <f t="shared" si="214"/>
        <v>1</v>
      </c>
      <c r="C269" s="5">
        <f>'[2]FPC wSEB'!$E366</f>
        <v>883397</v>
      </c>
      <c r="D269" s="5">
        <f>'[2]FPC wSEB'!$Y366</f>
        <v>157278</v>
      </c>
      <c r="E269" s="74">
        <f t="shared" si="274"/>
        <v>5616.8</v>
      </c>
      <c r="F269" s="13">
        <v>87487</v>
      </c>
      <c r="G269" s="13">
        <v>108592</v>
      </c>
      <c r="H269" s="13">
        <v>9958</v>
      </c>
      <c r="I269" s="13">
        <v>4455</v>
      </c>
      <c r="J269" s="574">
        <f>[5]CC!$E149</f>
        <v>159816</v>
      </c>
      <c r="K269" s="4">
        <f>'[7]COM 55 &amp; 65'!$S354</f>
        <v>69.8</v>
      </c>
      <c r="L269" s="4">
        <f t="shared" si="216"/>
        <v>70.8</v>
      </c>
      <c r="M269" s="135">
        <f t="shared" ref="M269:M274" si="277">(L269-K269)</f>
        <v>1</v>
      </c>
      <c r="N269" s="4">
        <f>'[7]COM 55 &amp; 65'!$J354</f>
        <v>59.7</v>
      </c>
      <c r="O269" s="4">
        <f t="shared" si="209"/>
        <v>54.9</v>
      </c>
      <c r="P269" s="41">
        <f t="shared" si="275"/>
        <v>-4.8000000000000043</v>
      </c>
      <c r="Q269" s="474">
        <f t="shared" si="179"/>
        <v>682.91</v>
      </c>
      <c r="R269" s="472">
        <f t="shared" si="180"/>
        <v>-3164.8320000000031</v>
      </c>
      <c r="S269" s="241">
        <f t="shared" si="181"/>
        <v>-2482</v>
      </c>
      <c r="T269" s="13" t="s">
        <v>18</v>
      </c>
      <c r="U269" s="4">
        <f t="shared" si="217"/>
        <v>2005</v>
      </c>
      <c r="V269" s="4">
        <f t="shared" si="218"/>
        <v>1</v>
      </c>
      <c r="W269" s="242">
        <f t="shared" si="182"/>
        <v>5601.0058622312081</v>
      </c>
      <c r="X269" s="131">
        <f t="shared" ref="X269:X274" si="278">W269-W257</f>
        <v>-114.26695168349215</v>
      </c>
      <c r="Z269" s="175">
        <f t="shared" si="276"/>
        <v>880915</v>
      </c>
      <c r="AA269" s="12">
        <f t="shared" si="185"/>
        <v>-2482</v>
      </c>
      <c r="AB269" s="519">
        <f>[9]CMWh!$L149</f>
        <v>904452</v>
      </c>
      <c r="AC269" s="107">
        <f>RESID!AC269</f>
        <v>31.75</v>
      </c>
      <c r="AD269" s="243">
        <f t="shared" si="186"/>
        <v>846391.7</v>
      </c>
      <c r="AE269" s="243">
        <f t="shared" si="211"/>
        <v>-1240.2000000000698</v>
      </c>
      <c r="AF269" s="4">
        <f t="shared" ref="AF269:AF300" si="279">AG269-C269</f>
        <v>-39383</v>
      </c>
      <c r="AG269" s="4">
        <f t="shared" si="187"/>
        <v>844014</v>
      </c>
      <c r="AH269" s="4">
        <f t="shared" ref="AH269:AH274" si="280">AG269-AG257</f>
        <v>-9014</v>
      </c>
      <c r="AJ269" s="269">
        <f t="shared" si="249"/>
        <v>785952</v>
      </c>
      <c r="AK269" s="269">
        <f t="shared" si="250"/>
        <v>44231</v>
      </c>
      <c r="AL269" s="276">
        <f t="shared" si="201"/>
        <v>17769.256856051186</v>
      </c>
      <c r="AM269" s="269">
        <f t="shared" si="251"/>
        <v>87487</v>
      </c>
      <c r="AN269" s="269">
        <f t="shared" si="252"/>
        <v>108592</v>
      </c>
      <c r="AO269" s="276">
        <f t="shared" si="202"/>
        <v>805.64866656843969</v>
      </c>
      <c r="AP269" s="269">
        <f t="shared" si="253"/>
        <v>9958</v>
      </c>
      <c r="AQ269" s="269">
        <f t="shared" si="254"/>
        <v>4455</v>
      </c>
      <c r="AR269" s="276">
        <f t="shared" si="203"/>
        <v>2235.2413019079686</v>
      </c>
      <c r="AX269" s="4">
        <f t="shared" si="219"/>
        <v>2005</v>
      </c>
      <c r="AY269" s="4">
        <f t="shared" si="220"/>
        <v>1</v>
      </c>
      <c r="AZ269" s="76">
        <f>'[8]COM 55 &amp; 65'!$S354</f>
        <v>74.400000000000006</v>
      </c>
      <c r="BA269" s="76">
        <f t="shared" si="221"/>
        <v>72.3</v>
      </c>
      <c r="BB269" s="362">
        <f t="shared" si="192"/>
        <v>-2.1000000000000085</v>
      </c>
      <c r="BC269" s="362"/>
      <c r="BD269" s="76">
        <f>'[8]COM 55 &amp; 65'!$J354</f>
        <v>52.4</v>
      </c>
      <c r="BE269" s="76">
        <f t="shared" si="222"/>
        <v>52.4</v>
      </c>
      <c r="BF269" s="363">
        <f t="shared" si="193"/>
        <v>0</v>
      </c>
      <c r="BG269" s="244"/>
      <c r="BH269" s="244">
        <f t="shared" si="188"/>
        <v>-1434.1110000000058</v>
      </c>
      <c r="BI269" s="242">
        <f t="shared" si="189"/>
        <v>0</v>
      </c>
      <c r="BJ269" s="242"/>
      <c r="BK269" s="241">
        <f t="shared" si="190"/>
        <v>-1434</v>
      </c>
      <c r="BL269" s="262"/>
      <c r="BM269" s="36" t="s">
        <v>18</v>
      </c>
      <c r="BN269" s="4">
        <f t="shared" si="223"/>
        <v>2005</v>
      </c>
      <c r="BO269" s="4">
        <f t="shared" si="224"/>
        <v>1</v>
      </c>
      <c r="BP269" s="108">
        <f>C269+[4]MWh!$AK103</f>
        <v>781304.53699332848</v>
      </c>
      <c r="BQ269" s="76">
        <f t="shared" ref="BQ269:BQ300" si="281">BP269/D269*1000</f>
        <v>4967.6657701225131</v>
      </c>
      <c r="BR269" s="130">
        <f t="shared" ref="BR269:BR300" si="282">BT269/D269*1000</f>
        <v>4958.5481567245797</v>
      </c>
      <c r="BS269" s="108">
        <f t="shared" ref="BS269:BU274" si="283">BR269-BR257</f>
        <v>-348.49296609378871</v>
      </c>
      <c r="BT269" s="175">
        <f t="shared" ref="BT269:BT282" si="284">BK269+BP269</f>
        <v>779870.53699332848</v>
      </c>
      <c r="BU269" s="108">
        <f t="shared" si="283"/>
        <v>-44254.571928013116</v>
      </c>
      <c r="BV269" s="137">
        <f t="shared" ref="BV269:BV282" si="285">BT269-BP269</f>
        <v>-1434</v>
      </c>
      <c r="BW269" s="529">
        <f>BT269/[9]CMWh!$L149</f>
        <v>0.86225751835733511</v>
      </c>
    </row>
    <row r="270" spans="1:75" ht="12.75" customHeight="1">
      <c r="A270" s="22">
        <f t="shared" si="213"/>
        <v>2005</v>
      </c>
      <c r="B270" s="4">
        <f t="shared" si="214"/>
        <v>2</v>
      </c>
      <c r="C270" s="5">
        <f>'[2]FPC wSEB'!$E367</f>
        <v>839112</v>
      </c>
      <c r="D270" s="5">
        <f>'[2]FPC wSEB'!$Y367</f>
        <v>159643</v>
      </c>
      <c r="E270" s="74">
        <f t="shared" ref="E270:E275" si="286">ROUND((C270/D270)*1000,1)</f>
        <v>5256.2</v>
      </c>
      <c r="F270" s="13">
        <v>83939</v>
      </c>
      <c r="G270" s="13">
        <v>110029</v>
      </c>
      <c r="H270" s="13">
        <v>10354</v>
      </c>
      <c r="I270" s="13">
        <v>4443</v>
      </c>
      <c r="J270" s="574">
        <f>[5]CC!$E150</f>
        <v>160523</v>
      </c>
      <c r="K270" s="4">
        <f>'[7]COM 55 &amp; 65'!$S355</f>
        <v>51.2</v>
      </c>
      <c r="L270" s="4">
        <f t="shared" si="216"/>
        <v>62.7</v>
      </c>
      <c r="M270" s="135">
        <f t="shared" si="277"/>
        <v>11.5</v>
      </c>
      <c r="N270" s="4">
        <f>'[7]COM 55 &amp; 65'!$J355</f>
        <v>55.3</v>
      </c>
      <c r="O270" s="4">
        <f t="shared" si="209"/>
        <v>46.9</v>
      </c>
      <c r="P270" s="41">
        <f t="shared" si="275"/>
        <v>-8.3999999999999986</v>
      </c>
      <c r="Q270" s="474">
        <f t="shared" si="179"/>
        <v>7853.4649999999992</v>
      </c>
      <c r="R270" s="472">
        <f t="shared" si="180"/>
        <v>-5538.4559999999992</v>
      </c>
      <c r="S270" s="241">
        <f t="shared" si="181"/>
        <v>2315</v>
      </c>
      <c r="T270" s="13" t="s">
        <v>18</v>
      </c>
      <c r="U270" s="4">
        <f t="shared" si="217"/>
        <v>2005</v>
      </c>
      <c r="V270" s="4">
        <f t="shared" si="218"/>
        <v>2</v>
      </c>
      <c r="W270" s="242">
        <f t="shared" si="182"/>
        <v>5270.6789524125707</v>
      </c>
      <c r="X270" s="131">
        <f t="shared" si="278"/>
        <v>223.31919470911998</v>
      </c>
      <c r="Z270" s="175">
        <f t="shared" si="276"/>
        <v>841427</v>
      </c>
      <c r="AA270" s="12">
        <f t="shared" si="185"/>
        <v>2315</v>
      </c>
      <c r="AB270" s="519">
        <f>[9]CMWh!$L150</f>
        <v>844763</v>
      </c>
      <c r="AC270" s="107">
        <f>RESID!AC270</f>
        <v>29.65</v>
      </c>
      <c r="AD270" s="243">
        <f t="shared" si="186"/>
        <v>860903.4</v>
      </c>
      <c r="AE270" s="243">
        <f t="shared" si="211"/>
        <v>75395</v>
      </c>
      <c r="AF270" s="4">
        <f t="shared" si="279"/>
        <v>24167</v>
      </c>
      <c r="AG270" s="4">
        <f t="shared" si="187"/>
        <v>863279</v>
      </c>
      <c r="AH270" s="4">
        <f t="shared" si="280"/>
        <v>71437</v>
      </c>
      <c r="AJ270" s="269">
        <f t="shared" si="249"/>
        <v>744819</v>
      </c>
      <c r="AK270" s="269">
        <f t="shared" si="250"/>
        <v>45171</v>
      </c>
      <c r="AL270" s="276">
        <f t="shared" si="201"/>
        <v>16488.875606030419</v>
      </c>
      <c r="AM270" s="269">
        <f t="shared" si="251"/>
        <v>83939</v>
      </c>
      <c r="AN270" s="269">
        <f t="shared" si="252"/>
        <v>110029</v>
      </c>
      <c r="AO270" s="276">
        <f t="shared" si="202"/>
        <v>762.88069508947638</v>
      </c>
      <c r="AP270" s="269">
        <f t="shared" si="253"/>
        <v>10354</v>
      </c>
      <c r="AQ270" s="269">
        <f t="shared" si="254"/>
        <v>4443</v>
      </c>
      <c r="AR270" s="276">
        <f t="shared" si="203"/>
        <v>2330.4073823992799</v>
      </c>
      <c r="AX270" s="4">
        <f t="shared" si="219"/>
        <v>2005</v>
      </c>
      <c r="AY270" s="4">
        <f t="shared" si="220"/>
        <v>2</v>
      </c>
      <c r="AZ270" s="76">
        <f>'[8]COM 55 &amp; 65'!$S355</f>
        <v>68.8</v>
      </c>
      <c r="BA270" s="76">
        <f t="shared" si="221"/>
        <v>82.6</v>
      </c>
      <c r="BB270" s="362">
        <f t="shared" si="192"/>
        <v>13.799999999999997</v>
      </c>
      <c r="BC270" s="362"/>
      <c r="BD270" s="76">
        <f>'[8]COM 55 &amp; 65'!$J355</f>
        <v>28.8</v>
      </c>
      <c r="BE270" s="76">
        <f t="shared" si="222"/>
        <v>36.5</v>
      </c>
      <c r="BF270" s="363">
        <f t="shared" si="193"/>
        <v>7.6999999999999993</v>
      </c>
      <c r="BG270" s="244"/>
      <c r="BH270" s="244">
        <f t="shared" si="188"/>
        <v>9424.1579999999976</v>
      </c>
      <c r="BI270" s="242">
        <f t="shared" si="189"/>
        <v>5076.9179999999997</v>
      </c>
      <c r="BJ270" s="242"/>
      <c r="BK270" s="241">
        <f t="shared" si="190"/>
        <v>14501</v>
      </c>
      <c r="BL270" s="262"/>
      <c r="BM270" s="36" t="s">
        <v>18</v>
      </c>
      <c r="BN270" s="4">
        <f t="shared" si="223"/>
        <v>2005</v>
      </c>
      <c r="BO270" s="4">
        <f t="shared" si="224"/>
        <v>2</v>
      </c>
      <c r="BP270" s="108">
        <f>C270+[4]MWh!$AK104</f>
        <v>758114.68174849346</v>
      </c>
      <c r="BQ270" s="76">
        <f t="shared" si="281"/>
        <v>4748.8125489278791</v>
      </c>
      <c r="BR270" s="130">
        <f t="shared" si="282"/>
        <v>4839.6464721190005</v>
      </c>
      <c r="BS270" s="108">
        <f t="shared" si="283"/>
        <v>-59.002860625576432</v>
      </c>
      <c r="BT270" s="175">
        <f t="shared" si="284"/>
        <v>772615.68174849346</v>
      </c>
      <c r="BU270" s="108">
        <f t="shared" si="283"/>
        <v>28608.82109124714</v>
      </c>
      <c r="BV270" s="137">
        <f t="shared" si="285"/>
        <v>14501</v>
      </c>
      <c r="BW270" s="529">
        <f>BT270/[9]CMWh!$L150</f>
        <v>0.9145946043428671</v>
      </c>
    </row>
    <row r="271" spans="1:75" ht="12.75" customHeight="1">
      <c r="A271" s="22">
        <f t="shared" si="213"/>
        <v>2005</v>
      </c>
      <c r="B271" s="4">
        <f t="shared" si="214"/>
        <v>3</v>
      </c>
      <c r="C271" s="5">
        <f>'[2]FPC wSEB'!$E368</f>
        <v>848518</v>
      </c>
      <c r="D271" s="5">
        <f>'[2]FPC wSEB'!$Y368</f>
        <v>161586</v>
      </c>
      <c r="E271" s="74">
        <f t="shared" si="286"/>
        <v>5251.2</v>
      </c>
      <c r="F271" s="13">
        <v>79366</v>
      </c>
      <c r="G271" s="13">
        <v>112055</v>
      </c>
      <c r="H271" s="13">
        <v>10136</v>
      </c>
      <c r="I271" s="13">
        <v>4465</v>
      </c>
      <c r="J271" s="574">
        <f>[5]CC!$E151</f>
        <v>160719</v>
      </c>
      <c r="K271" s="4">
        <f>'[7]COM 55 &amp; 65'!$S356</f>
        <v>73.2</v>
      </c>
      <c r="L271" s="4">
        <f t="shared" si="216"/>
        <v>105.4</v>
      </c>
      <c r="M271" s="135">
        <f t="shared" si="277"/>
        <v>32.200000000000003</v>
      </c>
      <c r="N271" s="4">
        <f>'[7]COM 55 &amp; 65'!$J356</f>
        <v>33.299999999999997</v>
      </c>
      <c r="O271" s="4">
        <f t="shared" si="209"/>
        <v>26.8</v>
      </c>
      <c r="P271" s="41">
        <f t="shared" ref="P271:P276" si="287">(O271-N271)</f>
        <v>-6.4999999999999964</v>
      </c>
      <c r="Q271" s="474">
        <f t="shared" si="179"/>
        <v>21989.702000000001</v>
      </c>
      <c r="R271" s="472">
        <f t="shared" si="180"/>
        <v>-4285.7099999999982</v>
      </c>
      <c r="S271" s="241">
        <f t="shared" si="181"/>
        <v>17704</v>
      </c>
      <c r="T271" s="13" t="s">
        <v>18</v>
      </c>
      <c r="U271" s="4">
        <f t="shared" si="217"/>
        <v>2005</v>
      </c>
      <c r="V271" s="4">
        <f t="shared" si="218"/>
        <v>3</v>
      </c>
      <c r="W271" s="242">
        <f t="shared" si="182"/>
        <v>5360.7490747960846</v>
      </c>
      <c r="X271" s="131">
        <f t="shared" si="278"/>
        <v>42.797001005926177</v>
      </c>
      <c r="Z271" s="175">
        <f t="shared" si="276"/>
        <v>866222</v>
      </c>
      <c r="AA271" s="12">
        <f t="shared" si="185"/>
        <v>17704</v>
      </c>
      <c r="AB271" s="519">
        <f>[9]CMWh!$L151</f>
        <v>864201</v>
      </c>
      <c r="AC271" s="107">
        <f>RESID!AC271</f>
        <v>29.55</v>
      </c>
      <c r="AD271" s="243">
        <f t="shared" si="186"/>
        <v>873499.7</v>
      </c>
      <c r="AE271" s="243">
        <f t="shared" si="211"/>
        <v>-6148.2000000000698</v>
      </c>
      <c r="AF271" s="4">
        <f t="shared" si="279"/>
        <v>43207</v>
      </c>
      <c r="AG271" s="4">
        <f t="shared" si="187"/>
        <v>891725</v>
      </c>
      <c r="AH271" s="4">
        <f t="shared" si="280"/>
        <v>7325</v>
      </c>
      <c r="AJ271" s="269">
        <f t="shared" si="249"/>
        <v>759016</v>
      </c>
      <c r="AK271" s="269">
        <f t="shared" si="250"/>
        <v>45066</v>
      </c>
      <c r="AL271" s="276">
        <f t="shared" si="201"/>
        <v>16842.320152664983</v>
      </c>
      <c r="AM271" s="269">
        <f t="shared" si="251"/>
        <v>79366</v>
      </c>
      <c r="AN271" s="269">
        <f t="shared" si="252"/>
        <v>112055</v>
      </c>
      <c r="AO271" s="276">
        <f t="shared" si="202"/>
        <v>708.27718531078483</v>
      </c>
      <c r="AP271" s="269">
        <f t="shared" si="253"/>
        <v>10136</v>
      </c>
      <c r="AQ271" s="269">
        <f t="shared" si="254"/>
        <v>4465</v>
      </c>
      <c r="AR271" s="276">
        <f t="shared" si="203"/>
        <v>2270.10078387458</v>
      </c>
      <c r="AX271" s="4">
        <f t="shared" si="219"/>
        <v>2005</v>
      </c>
      <c r="AY271" s="4">
        <f t="shared" si="220"/>
        <v>3</v>
      </c>
      <c r="AZ271" s="76">
        <f>'[8]COM 55 &amp; 65'!$S356</f>
        <v>116.7</v>
      </c>
      <c r="BA271" s="76">
        <f t="shared" si="221"/>
        <v>140.4</v>
      </c>
      <c r="BB271" s="362">
        <f t="shared" si="192"/>
        <v>23.700000000000003</v>
      </c>
      <c r="BC271" s="362"/>
      <c r="BD271" s="76">
        <f>'[8]COM 55 &amp; 65'!$J356</f>
        <v>30.4</v>
      </c>
      <c r="BE271" s="76">
        <f t="shared" si="222"/>
        <v>15.1</v>
      </c>
      <c r="BF271" s="363">
        <f t="shared" si="193"/>
        <v>-15.299999999999999</v>
      </c>
      <c r="BG271" s="244"/>
      <c r="BH271" s="244">
        <f t="shared" si="188"/>
        <v>16184.967000000001</v>
      </c>
      <c r="BI271" s="242">
        <f t="shared" si="189"/>
        <v>-10087.902</v>
      </c>
      <c r="BJ271" s="242"/>
      <c r="BK271" s="241">
        <f t="shared" si="190"/>
        <v>6097</v>
      </c>
      <c r="BL271" s="262"/>
      <c r="BM271" s="36" t="s">
        <v>18</v>
      </c>
      <c r="BN271" s="4">
        <f t="shared" si="223"/>
        <v>2005</v>
      </c>
      <c r="BO271" s="4">
        <f t="shared" si="224"/>
        <v>3</v>
      </c>
      <c r="BP271" s="108">
        <f>C271+[4]MWh!$AK105</f>
        <v>934484.28372766485</v>
      </c>
      <c r="BQ271" s="76">
        <f t="shared" si="281"/>
        <v>5783.2007954133705</v>
      </c>
      <c r="BR271" s="130">
        <f t="shared" si="282"/>
        <v>5820.9330246906593</v>
      </c>
      <c r="BS271" s="108">
        <f t="shared" si="283"/>
        <v>219.40667247811416</v>
      </c>
      <c r="BT271" s="175">
        <f t="shared" si="284"/>
        <v>940581.28372766485</v>
      </c>
      <c r="BU271" s="108">
        <f t="shared" si="283"/>
        <v>41788.37288340088</v>
      </c>
      <c r="BV271" s="137">
        <f t="shared" si="285"/>
        <v>6097</v>
      </c>
      <c r="BW271" s="529">
        <f>BT271/[9]CMWh!$L151</f>
        <v>1.0883825449492246</v>
      </c>
    </row>
    <row r="272" spans="1:75" ht="12.75" customHeight="1">
      <c r="A272" s="22">
        <f t="shared" si="213"/>
        <v>2005</v>
      </c>
      <c r="B272" s="4">
        <f t="shared" si="214"/>
        <v>4</v>
      </c>
      <c r="C272" s="5">
        <f>'[2]FPC wSEB'!$E369</f>
        <v>922019</v>
      </c>
      <c r="D272" s="5">
        <f>'[2]FPC wSEB'!$Y369</f>
        <v>160092</v>
      </c>
      <c r="E272" s="74">
        <f t="shared" si="286"/>
        <v>5759.3</v>
      </c>
      <c r="F272" s="13">
        <v>85654</v>
      </c>
      <c r="G272" s="13">
        <v>110624</v>
      </c>
      <c r="H272" s="13">
        <v>10568</v>
      </c>
      <c r="I272" s="13">
        <v>4501</v>
      </c>
      <c r="J272" s="574">
        <f>[5]CC!$E152</f>
        <v>160892</v>
      </c>
      <c r="K272" s="4">
        <f>'[7]COM 55 &amp; 65'!$S357</f>
        <v>160.4</v>
      </c>
      <c r="L272" s="4">
        <f t="shared" si="216"/>
        <v>178.4</v>
      </c>
      <c r="M272" s="135">
        <f t="shared" si="277"/>
        <v>18</v>
      </c>
      <c r="N272" s="4">
        <f>'[7]COM 55 &amp; 65'!$J357</f>
        <v>12.9</v>
      </c>
      <c r="O272" s="4">
        <f t="shared" si="209"/>
        <v>9.5</v>
      </c>
      <c r="P272" s="41">
        <f t="shared" si="287"/>
        <v>-3.4000000000000004</v>
      </c>
      <c r="Q272" s="474">
        <f t="shared" si="179"/>
        <v>12292.38</v>
      </c>
      <c r="R272" s="472">
        <f t="shared" si="180"/>
        <v>-2241.7560000000003</v>
      </c>
      <c r="S272" s="241">
        <f t="shared" si="181"/>
        <v>10051</v>
      </c>
      <c r="T272" s="13" t="s">
        <v>18</v>
      </c>
      <c r="U272" s="4">
        <f t="shared" si="217"/>
        <v>2005</v>
      </c>
      <c r="V272" s="4">
        <f t="shared" si="218"/>
        <v>4</v>
      </c>
      <c r="W272" s="242">
        <f t="shared" si="182"/>
        <v>5822.0897983659397</v>
      </c>
      <c r="X272" s="131">
        <f t="shared" si="278"/>
        <v>75.699108445283855</v>
      </c>
      <c r="Z272" s="175">
        <f t="shared" si="276"/>
        <v>932070</v>
      </c>
      <c r="AA272" s="12">
        <f t="shared" si="185"/>
        <v>10051</v>
      </c>
      <c r="AB272" s="519">
        <f>[9]CMWh!$L152</f>
        <v>925681</v>
      </c>
      <c r="AC272" s="107">
        <f>RESID!AC272</f>
        <v>30.65</v>
      </c>
      <c r="AD272" s="243">
        <f t="shared" si="186"/>
        <v>915100.1</v>
      </c>
      <c r="AE272" s="243">
        <f t="shared" si="211"/>
        <v>-5393.3000000000466</v>
      </c>
      <c r="AF272" s="4">
        <f t="shared" si="279"/>
        <v>3057</v>
      </c>
      <c r="AG272" s="4">
        <f t="shared" si="187"/>
        <v>925076</v>
      </c>
      <c r="AH272" s="4">
        <f t="shared" si="280"/>
        <v>-25544</v>
      </c>
      <c r="AJ272" s="269">
        <f t="shared" si="249"/>
        <v>825797</v>
      </c>
      <c r="AK272" s="269">
        <f t="shared" si="250"/>
        <v>44967</v>
      </c>
      <c r="AL272" s="276">
        <f t="shared" si="201"/>
        <v>18364.511753063358</v>
      </c>
      <c r="AM272" s="269">
        <f t="shared" si="251"/>
        <v>85654</v>
      </c>
      <c r="AN272" s="269">
        <f t="shared" si="252"/>
        <v>110624</v>
      </c>
      <c r="AO272" s="276">
        <f t="shared" si="202"/>
        <v>774.28044547295337</v>
      </c>
      <c r="AP272" s="269">
        <f t="shared" si="253"/>
        <v>10568</v>
      </c>
      <c r="AQ272" s="269">
        <f t="shared" si="254"/>
        <v>4501</v>
      </c>
      <c r="AR272" s="276">
        <f t="shared" si="203"/>
        <v>2347.922683848034</v>
      </c>
      <c r="AX272" s="4">
        <f t="shared" si="219"/>
        <v>2005</v>
      </c>
      <c r="AY272" s="4">
        <f t="shared" si="220"/>
        <v>4</v>
      </c>
      <c r="AZ272" s="76">
        <f>'[8]COM 55 &amp; 65'!$S357</f>
        <v>162</v>
      </c>
      <c r="BA272" s="76">
        <f t="shared" si="221"/>
        <v>227.4</v>
      </c>
      <c r="BB272" s="362">
        <f t="shared" si="192"/>
        <v>65.400000000000006</v>
      </c>
      <c r="BC272" s="362"/>
      <c r="BD272" s="76">
        <f>'[8]COM 55 &amp; 65'!$J357</f>
        <v>5.0999999999999996</v>
      </c>
      <c r="BE272" s="76">
        <f t="shared" si="222"/>
        <v>4.8</v>
      </c>
      <c r="BF272" s="363">
        <f t="shared" si="193"/>
        <v>-0.29999999999999982</v>
      </c>
      <c r="BG272" s="244"/>
      <c r="BH272" s="244">
        <f t="shared" si="188"/>
        <v>44662.313999999998</v>
      </c>
      <c r="BI272" s="242">
        <f t="shared" si="189"/>
        <v>-197.80199999999988</v>
      </c>
      <c r="BJ272" s="242"/>
      <c r="BK272" s="241">
        <f t="shared" si="190"/>
        <v>44465</v>
      </c>
      <c r="BL272" s="262"/>
      <c r="BM272" s="36" t="s">
        <v>18</v>
      </c>
      <c r="BN272" s="4">
        <f t="shared" si="223"/>
        <v>2005</v>
      </c>
      <c r="BO272" s="4">
        <f t="shared" si="224"/>
        <v>4</v>
      </c>
      <c r="BP272" s="108">
        <f>C272+[4]MWh!$AK106</f>
        <v>912723.68036659225</v>
      </c>
      <c r="BQ272" s="76">
        <f t="shared" si="281"/>
        <v>5701.2447865389413</v>
      </c>
      <c r="BR272" s="130">
        <f t="shared" si="282"/>
        <v>5978.9913322751436</v>
      </c>
      <c r="BS272" s="108">
        <f t="shared" si="283"/>
        <v>-86.229831050376561</v>
      </c>
      <c r="BT272" s="175">
        <f t="shared" si="284"/>
        <v>957188.68036659225</v>
      </c>
      <c r="BU272" s="108">
        <f t="shared" si="283"/>
        <v>3960.3266748634633</v>
      </c>
      <c r="BV272" s="137">
        <f t="shared" si="285"/>
        <v>44465</v>
      </c>
      <c r="BW272" s="529">
        <f>BT272/[9]CMWh!$L152</f>
        <v>1.0340372983420771</v>
      </c>
    </row>
    <row r="273" spans="1:75" ht="12.75" customHeight="1">
      <c r="A273" s="22">
        <f t="shared" si="213"/>
        <v>2005</v>
      </c>
      <c r="B273" s="4">
        <f t="shared" si="214"/>
        <v>5</v>
      </c>
      <c r="C273" s="5">
        <f>'[2]FPC wSEB'!$E370</f>
        <v>940218</v>
      </c>
      <c r="D273" s="5">
        <f>'[2]FPC wSEB'!$Y370</f>
        <v>166020</v>
      </c>
      <c r="E273" s="74">
        <f t="shared" si="286"/>
        <v>5663.3</v>
      </c>
      <c r="F273" s="13">
        <v>91388</v>
      </c>
      <c r="G273" s="13">
        <v>115295</v>
      </c>
      <c r="H273" s="13">
        <v>10633</v>
      </c>
      <c r="I273" s="13">
        <v>4519</v>
      </c>
      <c r="J273" s="574">
        <f>[5]CC!$E153</f>
        <v>161632</v>
      </c>
      <c r="K273" s="4">
        <f>'[7]COM 55 &amp; 65'!$S358</f>
        <v>199.6</v>
      </c>
      <c r="L273" s="4">
        <f t="shared" si="216"/>
        <v>273.89999999999998</v>
      </c>
      <c r="M273" s="135">
        <f t="shared" si="277"/>
        <v>74.299999999999983</v>
      </c>
      <c r="N273" s="4">
        <f>'[7]COM 55 &amp; 65'!$J358</f>
        <v>3.2</v>
      </c>
      <c r="O273" s="4">
        <f t="shared" si="209"/>
        <v>2</v>
      </c>
      <c r="P273" s="41">
        <f t="shared" si="287"/>
        <v>-1.2000000000000002</v>
      </c>
      <c r="Q273" s="474">
        <f t="shared" ref="Q273:Q292" si="288">M273*$C$10</f>
        <v>50740.212999999989</v>
      </c>
      <c r="R273" s="472">
        <f t="shared" ref="R273:R292" si="289">P273*$C$9</f>
        <v>-791.2080000000002</v>
      </c>
      <c r="S273" s="241">
        <f t="shared" ref="S273:S301" si="290">ROUND(SUM(Q273,R273),0)</f>
        <v>49949</v>
      </c>
      <c r="T273" s="13" t="s">
        <v>18</v>
      </c>
      <c r="U273" s="4">
        <f t="shared" si="217"/>
        <v>2005</v>
      </c>
      <c r="V273" s="4">
        <f t="shared" si="218"/>
        <v>5</v>
      </c>
      <c r="W273" s="242">
        <f t="shared" ref="W273:W300" si="291">Z273/D273*1000</f>
        <v>5964.1428743524884</v>
      </c>
      <c r="X273" s="131">
        <f t="shared" si="278"/>
        <v>-104.60062897066018</v>
      </c>
      <c r="Z273" s="175">
        <f t="shared" si="276"/>
        <v>990167</v>
      </c>
      <c r="AA273" s="12">
        <f t="shared" ref="AA273:AA301" si="292">Z273-C273</f>
        <v>49949</v>
      </c>
      <c r="AB273" s="519">
        <f>[9]CMWh!$L153</f>
        <v>966610</v>
      </c>
      <c r="AC273" s="107">
        <f>RESID!AC273</f>
        <v>29.4</v>
      </c>
      <c r="AD273" s="243">
        <f t="shared" ref="AD273:AD301" si="293">ROUND(C273/(AC273/30.42),1)</f>
        <v>972837.8</v>
      </c>
      <c r="AE273" s="243">
        <f t="shared" si="211"/>
        <v>2788.8000000000466</v>
      </c>
      <c r="AF273" s="4">
        <f t="shared" si="279"/>
        <v>84302</v>
      </c>
      <c r="AG273" s="4">
        <f t="shared" ref="AG273:AG282" si="294">ROUND(Z273/(AC273/30.42),0)</f>
        <v>1024520</v>
      </c>
      <c r="AH273" s="4">
        <f t="shared" si="280"/>
        <v>44445</v>
      </c>
      <c r="AJ273" s="269">
        <f t="shared" si="249"/>
        <v>838197</v>
      </c>
      <c r="AK273" s="269">
        <f t="shared" si="250"/>
        <v>46206</v>
      </c>
      <c r="AL273" s="276">
        <f t="shared" si="201"/>
        <v>18140.436306973123</v>
      </c>
      <c r="AM273" s="269">
        <f t="shared" si="251"/>
        <v>91388</v>
      </c>
      <c r="AN273" s="269">
        <f t="shared" si="252"/>
        <v>115295</v>
      </c>
      <c r="AO273" s="276">
        <f t="shared" si="202"/>
        <v>792.64495424779909</v>
      </c>
      <c r="AP273" s="269">
        <f t="shared" si="253"/>
        <v>10633</v>
      </c>
      <c r="AQ273" s="269">
        <f t="shared" si="254"/>
        <v>4519</v>
      </c>
      <c r="AR273" s="276">
        <f t="shared" si="203"/>
        <v>2352.954193405621</v>
      </c>
      <c r="AX273" s="4">
        <f t="shared" si="219"/>
        <v>2005</v>
      </c>
      <c r="AY273" s="4">
        <f t="shared" si="220"/>
        <v>5</v>
      </c>
      <c r="AZ273" s="76">
        <f>'[8]COM 55 &amp; 65'!$S358</f>
        <v>341.1</v>
      </c>
      <c r="BA273" s="76">
        <f t="shared" si="221"/>
        <v>395.2</v>
      </c>
      <c r="BB273" s="362">
        <f t="shared" si="192"/>
        <v>54.099999999999966</v>
      </c>
      <c r="BC273" s="362"/>
      <c r="BD273" s="76">
        <f>'[8]COM 55 &amp; 65'!$J358</f>
        <v>0.1</v>
      </c>
      <c r="BE273" s="76">
        <f t="shared" si="222"/>
        <v>0.2</v>
      </c>
      <c r="BF273" s="363">
        <f t="shared" si="193"/>
        <v>0.1</v>
      </c>
      <c r="BG273" s="244"/>
      <c r="BH273" s="244">
        <f t="shared" ref="BH273:BH292" si="295">BB273*$C$10</f>
        <v>36945.430999999975</v>
      </c>
      <c r="BI273" s="242">
        <f t="shared" ref="BI273:BI292" si="296">BF273*$C$9</f>
        <v>65.934000000000012</v>
      </c>
      <c r="BJ273" s="242"/>
      <c r="BK273" s="241">
        <f t="shared" ref="BK273:BK282" si="297">ROUND(SUM(BH273,BI273),0)</f>
        <v>37011</v>
      </c>
      <c r="BL273" s="262"/>
      <c r="BM273" s="36" t="s">
        <v>18</v>
      </c>
      <c r="BN273" s="4">
        <f t="shared" si="223"/>
        <v>2005</v>
      </c>
      <c r="BO273" s="4">
        <f t="shared" si="224"/>
        <v>5</v>
      </c>
      <c r="BP273" s="108">
        <f>C273+[4]MWh!$AK107</f>
        <v>1106629.3497046027</v>
      </c>
      <c r="BQ273" s="76">
        <f t="shared" si="281"/>
        <v>6665.6387766811395</v>
      </c>
      <c r="BR273" s="130">
        <f t="shared" si="282"/>
        <v>6888.5697488531669</v>
      </c>
      <c r="BS273" s="108">
        <f t="shared" si="283"/>
        <v>146.29813887813089</v>
      </c>
      <c r="BT273" s="175">
        <f t="shared" si="284"/>
        <v>1143640.3497046027</v>
      </c>
      <c r="BU273" s="108">
        <f t="shared" si="283"/>
        <v>73405.865695215296</v>
      </c>
      <c r="BV273" s="137">
        <f t="shared" si="285"/>
        <v>37011</v>
      </c>
      <c r="BW273" s="529">
        <f>BT273/[9]CMWh!$L153</f>
        <v>1.1831455806422473</v>
      </c>
    </row>
    <row r="274" spans="1:75" ht="12.75" customHeight="1">
      <c r="A274" s="22">
        <f t="shared" si="213"/>
        <v>2005</v>
      </c>
      <c r="B274" s="4">
        <f t="shared" si="214"/>
        <v>6</v>
      </c>
      <c r="C274" s="5">
        <f>'[2]FPC wSEB'!$E371</f>
        <v>1025408</v>
      </c>
      <c r="D274" s="5">
        <f>'[2]FPC wSEB'!$Y371</f>
        <v>152159</v>
      </c>
      <c r="E274" s="74">
        <f t="shared" si="286"/>
        <v>6739.1</v>
      </c>
      <c r="F274" s="13">
        <v>107197</v>
      </c>
      <c r="G274" s="13">
        <v>105955</v>
      </c>
      <c r="H274" s="13">
        <v>10314</v>
      </c>
      <c r="I274" s="13">
        <v>4510</v>
      </c>
      <c r="J274" s="574">
        <f>[5]CC!$E154</f>
        <v>159306</v>
      </c>
      <c r="K274" s="4">
        <f>'[7]COM 55 &amp; 65'!$S359</f>
        <v>402.8</v>
      </c>
      <c r="L274" s="4">
        <f t="shared" si="216"/>
        <v>442.7</v>
      </c>
      <c r="M274" s="135">
        <f t="shared" si="277"/>
        <v>39.899999999999977</v>
      </c>
      <c r="N274" s="4">
        <f>'[7]COM 55 &amp; 65'!$J359</f>
        <v>0</v>
      </c>
      <c r="O274" s="4">
        <f t="shared" si="209"/>
        <v>0.1</v>
      </c>
      <c r="P274" s="41">
        <f t="shared" si="287"/>
        <v>0.1</v>
      </c>
      <c r="Q274" s="474">
        <f t="shared" si="288"/>
        <v>27248.108999999982</v>
      </c>
      <c r="R274" s="472">
        <f t="shared" si="289"/>
        <v>65.934000000000012</v>
      </c>
      <c r="S274" s="241">
        <f t="shared" si="290"/>
        <v>27314</v>
      </c>
      <c r="T274" s="13" t="s">
        <v>18</v>
      </c>
      <c r="U274" s="4">
        <f t="shared" si="217"/>
        <v>2005</v>
      </c>
      <c r="V274" s="4">
        <f t="shared" si="218"/>
        <v>6</v>
      </c>
      <c r="W274" s="242">
        <f t="shared" si="291"/>
        <v>6918.565447985332</v>
      </c>
      <c r="X274" s="131">
        <f t="shared" si="278"/>
        <v>-15.391985912051496</v>
      </c>
      <c r="Z274" s="175">
        <f t="shared" si="276"/>
        <v>1052722</v>
      </c>
      <c r="AA274" s="12">
        <f t="shared" si="292"/>
        <v>27314</v>
      </c>
      <c r="AB274" s="519">
        <f>[9]CMWh!$L154</f>
        <v>1097093</v>
      </c>
      <c r="AC274" s="107">
        <f>RESID!AC274</f>
        <v>30.65</v>
      </c>
      <c r="AD274" s="243">
        <f t="shared" si="293"/>
        <v>1017713.3</v>
      </c>
      <c r="AE274" s="243">
        <f t="shared" si="211"/>
        <v>-86535.699999999953</v>
      </c>
      <c r="AF274" s="4">
        <f t="shared" si="279"/>
        <v>19414</v>
      </c>
      <c r="AG274" s="4">
        <f t="shared" si="294"/>
        <v>1044822</v>
      </c>
      <c r="AH274" s="4">
        <f t="shared" si="280"/>
        <v>-43905</v>
      </c>
      <c r="AJ274" s="269">
        <f t="shared" si="249"/>
        <v>907897</v>
      </c>
      <c r="AK274" s="269">
        <f t="shared" si="250"/>
        <v>41694</v>
      </c>
      <c r="AL274" s="276">
        <f t="shared" si="201"/>
        <v>21775.243440303162</v>
      </c>
      <c r="AM274" s="269">
        <f t="shared" si="251"/>
        <v>107197</v>
      </c>
      <c r="AN274" s="269">
        <f t="shared" si="252"/>
        <v>105955</v>
      </c>
      <c r="AO274" s="276">
        <f t="shared" si="202"/>
        <v>1011.72195743476</v>
      </c>
      <c r="AP274" s="269">
        <f t="shared" si="253"/>
        <v>10314</v>
      </c>
      <c r="AQ274" s="269">
        <f t="shared" si="254"/>
        <v>4510</v>
      </c>
      <c r="AR274" s="276">
        <f t="shared" si="203"/>
        <v>2286.9179600886919</v>
      </c>
      <c r="AX274" s="4">
        <f t="shared" si="219"/>
        <v>2005</v>
      </c>
      <c r="AY274" s="4">
        <f t="shared" si="220"/>
        <v>6</v>
      </c>
      <c r="AZ274" s="76">
        <f>'[8]COM 55 &amp; 65'!$S359</f>
        <v>461.8</v>
      </c>
      <c r="BA274" s="76">
        <f t="shared" si="221"/>
        <v>485.1</v>
      </c>
      <c r="BB274" s="362">
        <f t="shared" ref="BB274:BB282" si="298">(BA274-AZ274)</f>
        <v>23.300000000000011</v>
      </c>
      <c r="BC274" s="362"/>
      <c r="BD274" s="76">
        <f>'[8]COM 55 &amp; 65'!$J359</f>
        <v>0</v>
      </c>
      <c r="BE274" s="76">
        <f t="shared" si="222"/>
        <v>0</v>
      </c>
      <c r="BF274" s="363">
        <f t="shared" ref="BF274:BF282" si="299">(BE274-BD274)</f>
        <v>0</v>
      </c>
      <c r="BG274" s="244"/>
      <c r="BH274" s="244">
        <f t="shared" si="295"/>
        <v>15911.803000000007</v>
      </c>
      <c r="BI274" s="242">
        <f t="shared" si="296"/>
        <v>0</v>
      </c>
      <c r="BJ274" s="242"/>
      <c r="BK274" s="241">
        <f t="shared" si="297"/>
        <v>15912</v>
      </c>
      <c r="BL274" s="262"/>
      <c r="BM274" s="36" t="s">
        <v>18</v>
      </c>
      <c r="BN274" s="4">
        <f t="shared" si="223"/>
        <v>2005</v>
      </c>
      <c r="BO274" s="4">
        <f t="shared" si="224"/>
        <v>6</v>
      </c>
      <c r="BP274" s="108">
        <f>C274+[4]MWh!$AK108</f>
        <v>1022289.7899737938</v>
      </c>
      <c r="BQ274" s="76">
        <f t="shared" si="281"/>
        <v>6718.5627532633216</v>
      </c>
      <c r="BR274" s="130">
        <f t="shared" si="282"/>
        <v>6823.1375730242298</v>
      </c>
      <c r="BS274" s="108">
        <f t="shared" si="283"/>
        <v>-191.8232484944856</v>
      </c>
      <c r="BT274" s="175">
        <f t="shared" si="284"/>
        <v>1038201.7899737938</v>
      </c>
      <c r="BU274" s="108">
        <f t="shared" si="283"/>
        <v>-71572.026951288572</v>
      </c>
      <c r="BV274" s="137">
        <f t="shared" si="285"/>
        <v>15912</v>
      </c>
      <c r="BW274" s="529">
        <f>BT274/[9]CMWh!$L154</f>
        <v>0.9463206765276907</v>
      </c>
    </row>
    <row r="275" spans="1:75" ht="12.75" customHeight="1">
      <c r="A275" s="22">
        <f t="shared" si="213"/>
        <v>2005</v>
      </c>
      <c r="B275" s="4">
        <f t="shared" si="214"/>
        <v>7</v>
      </c>
      <c r="C275" s="5">
        <f>'[2]FPC wSEB'!$E372</f>
        <v>1177669</v>
      </c>
      <c r="D275" s="5">
        <f>'[2]FPC wSEB'!$Y372</f>
        <v>163873</v>
      </c>
      <c r="E275" s="74">
        <f t="shared" si="286"/>
        <v>7186.5</v>
      </c>
      <c r="F275" s="13">
        <v>123476</v>
      </c>
      <c r="G275" s="13">
        <v>114062</v>
      </c>
      <c r="H275" s="13">
        <v>10626</v>
      </c>
      <c r="I275" s="13">
        <v>4608</v>
      </c>
      <c r="J275" s="574">
        <f>[5]CC!$E155</f>
        <v>159947</v>
      </c>
      <c r="K275" s="4">
        <f>'[7]COM 55 &amp; 65'!$S360</f>
        <v>522.9</v>
      </c>
      <c r="L275" s="4">
        <f t="shared" si="216"/>
        <v>516.1</v>
      </c>
      <c r="M275" s="135">
        <f t="shared" ref="M275:M280" si="300">(L275-K275)</f>
        <v>-6.7999999999999545</v>
      </c>
      <c r="N275" s="4">
        <f>'[7]COM 55 &amp; 65'!$J360</f>
        <v>0</v>
      </c>
      <c r="O275" s="4">
        <f t="shared" si="209"/>
        <v>0</v>
      </c>
      <c r="P275" s="41">
        <f t="shared" si="287"/>
        <v>0</v>
      </c>
      <c r="Q275" s="474">
        <f t="shared" si="288"/>
        <v>-4643.7879999999686</v>
      </c>
      <c r="R275" s="472">
        <f t="shared" si="289"/>
        <v>0</v>
      </c>
      <c r="S275" s="241">
        <f t="shared" si="290"/>
        <v>-4644</v>
      </c>
      <c r="T275" s="13" t="s">
        <v>18</v>
      </c>
      <c r="U275" s="4">
        <f t="shared" si="217"/>
        <v>2005</v>
      </c>
      <c r="V275" s="4">
        <f t="shared" si="218"/>
        <v>7</v>
      </c>
      <c r="W275" s="242">
        <f t="shared" si="291"/>
        <v>7158.1346530544997</v>
      </c>
      <c r="X275" s="131">
        <f t="shared" ref="X275:X280" si="301">W275-W263</f>
        <v>46.623541378016853</v>
      </c>
      <c r="Z275" s="175">
        <f t="shared" si="276"/>
        <v>1173025</v>
      </c>
      <c r="AA275" s="12">
        <f t="shared" si="292"/>
        <v>-4644</v>
      </c>
      <c r="AB275" s="519">
        <f>[9]CMWh!$L155</f>
        <v>1144251</v>
      </c>
      <c r="AC275" s="107">
        <f>RESID!AC275</f>
        <v>30.65</v>
      </c>
      <c r="AD275" s="243">
        <f t="shared" si="293"/>
        <v>1168831.7</v>
      </c>
      <c r="AE275" s="243">
        <f t="shared" si="211"/>
        <v>38124.800000000047</v>
      </c>
      <c r="AF275" s="4">
        <f t="shared" si="279"/>
        <v>-13446</v>
      </c>
      <c r="AG275" s="4">
        <f t="shared" si="294"/>
        <v>1164223</v>
      </c>
      <c r="AH275" s="4">
        <f t="shared" ref="AH275:AH280" si="302">AG275-AG263</f>
        <v>54527</v>
      </c>
      <c r="AJ275" s="269">
        <f t="shared" si="249"/>
        <v>1043567</v>
      </c>
      <c r="AK275" s="269">
        <f t="shared" si="250"/>
        <v>45203</v>
      </c>
      <c r="AL275" s="276">
        <f t="shared" si="201"/>
        <v>23086.233214609649</v>
      </c>
      <c r="AM275" s="269">
        <f t="shared" si="251"/>
        <v>123476</v>
      </c>
      <c r="AN275" s="269">
        <f t="shared" si="252"/>
        <v>114062</v>
      </c>
      <c r="AO275" s="276">
        <f t="shared" si="202"/>
        <v>1082.5340604232786</v>
      </c>
      <c r="AP275" s="269">
        <f t="shared" si="253"/>
        <v>10626</v>
      </c>
      <c r="AQ275" s="269">
        <f t="shared" si="254"/>
        <v>4608</v>
      </c>
      <c r="AR275" s="276">
        <f t="shared" si="203"/>
        <v>2305.9895833333335</v>
      </c>
      <c r="AX275" s="4">
        <f t="shared" si="219"/>
        <v>2005</v>
      </c>
      <c r="AY275" s="4">
        <f t="shared" si="220"/>
        <v>7</v>
      </c>
      <c r="AZ275" s="76">
        <f>'[8]COM 55 &amp; 65'!$S360</f>
        <v>598.20000000000005</v>
      </c>
      <c r="BA275" s="76">
        <f t="shared" si="221"/>
        <v>546.1</v>
      </c>
      <c r="BB275" s="362">
        <f t="shared" si="298"/>
        <v>-52.100000000000023</v>
      </c>
      <c r="BC275" s="362"/>
      <c r="BD275" s="76">
        <f>'[8]COM 55 &amp; 65'!$J360</f>
        <v>0</v>
      </c>
      <c r="BE275" s="76">
        <f t="shared" si="222"/>
        <v>0</v>
      </c>
      <c r="BF275" s="363">
        <f t="shared" si="299"/>
        <v>0</v>
      </c>
      <c r="BG275" s="244"/>
      <c r="BH275" s="244">
        <f t="shared" si="295"/>
        <v>-35579.611000000012</v>
      </c>
      <c r="BI275" s="242">
        <f t="shared" si="296"/>
        <v>0</v>
      </c>
      <c r="BJ275" s="242"/>
      <c r="BK275" s="241">
        <f t="shared" si="297"/>
        <v>-35580</v>
      </c>
      <c r="BL275" s="262"/>
      <c r="BM275" s="36" t="s">
        <v>18</v>
      </c>
      <c r="BN275" s="4">
        <f t="shared" si="223"/>
        <v>2005</v>
      </c>
      <c r="BO275" s="4">
        <f t="shared" si="224"/>
        <v>7</v>
      </c>
      <c r="BP275" s="108">
        <f>C275+[4]MWh!$AK109</f>
        <v>1241241.265729696</v>
      </c>
      <c r="BQ275" s="76">
        <f t="shared" si="281"/>
        <v>7574.4098523228104</v>
      </c>
      <c r="BR275" s="130">
        <f t="shared" si="282"/>
        <v>7357.2904977006347</v>
      </c>
      <c r="BS275" s="108">
        <f t="shared" ref="BS275:BU280" si="303">BR275-BR263</f>
        <v>131.7529474153871</v>
      </c>
      <c r="BT275" s="175">
        <f t="shared" si="284"/>
        <v>1205661.265729696</v>
      </c>
      <c r="BU275" s="108">
        <f t="shared" si="303"/>
        <v>69647.800998748746</v>
      </c>
      <c r="BV275" s="137">
        <f t="shared" si="285"/>
        <v>-35580</v>
      </c>
      <c r="BW275" s="529">
        <f>BT275/[9]CMWh!$L155</f>
        <v>1.0536685270361974</v>
      </c>
    </row>
    <row r="276" spans="1:75" ht="12.75" customHeight="1">
      <c r="A276" s="22">
        <f t="shared" si="213"/>
        <v>2005</v>
      </c>
      <c r="B276" s="4">
        <f t="shared" si="214"/>
        <v>8</v>
      </c>
      <c r="C276" s="5">
        <f>'[2]FPC wSEB'!$E373</f>
        <v>1154848</v>
      </c>
      <c r="D276" s="5">
        <f>'[2]FPC wSEB'!$Y373</f>
        <v>161125</v>
      </c>
      <c r="E276" s="74">
        <f t="shared" ref="E276:E281" si="304">ROUND((C276/D276)*1000,1)</f>
        <v>7167.4</v>
      </c>
      <c r="F276" s="13">
        <v>125291</v>
      </c>
      <c r="G276" s="13">
        <v>112270</v>
      </c>
      <c r="H276" s="13">
        <v>10607</v>
      </c>
      <c r="I276" s="13">
        <v>4570</v>
      </c>
      <c r="J276" s="574">
        <f>[5]CC!$E156</f>
        <v>160283</v>
      </c>
      <c r="K276" s="4">
        <f>'[7]COM 55 &amp; 65'!$S361</f>
        <v>602.5</v>
      </c>
      <c r="L276" s="4">
        <f t="shared" si="216"/>
        <v>542</v>
      </c>
      <c r="M276" s="135">
        <f t="shared" si="300"/>
        <v>-60.5</v>
      </c>
      <c r="N276" s="4">
        <f>'[7]COM 55 &amp; 65'!$J361</f>
        <v>0</v>
      </c>
      <c r="O276" s="4">
        <f t="shared" si="209"/>
        <v>0</v>
      </c>
      <c r="P276" s="41">
        <f t="shared" si="287"/>
        <v>0</v>
      </c>
      <c r="Q276" s="474">
        <f t="shared" si="288"/>
        <v>-41316.055</v>
      </c>
      <c r="R276" s="472">
        <f t="shared" si="289"/>
        <v>0</v>
      </c>
      <c r="S276" s="241">
        <f t="shared" si="290"/>
        <v>-41316</v>
      </c>
      <c r="T276" s="13" t="s">
        <v>18</v>
      </c>
      <c r="U276" s="4">
        <f t="shared" si="217"/>
        <v>2005</v>
      </c>
      <c r="V276" s="4">
        <f t="shared" si="218"/>
        <v>8</v>
      </c>
      <c r="W276" s="242">
        <f t="shared" si="291"/>
        <v>6910.9821567106283</v>
      </c>
      <c r="X276" s="131">
        <f t="shared" si="301"/>
        <v>-414.80334111259617</v>
      </c>
      <c r="Z276" s="175">
        <f t="shared" si="276"/>
        <v>1113532</v>
      </c>
      <c r="AA276" s="12">
        <f t="shared" si="292"/>
        <v>-41316</v>
      </c>
      <c r="AB276" s="519">
        <f>[9]CMWh!$L156</f>
        <v>1113579</v>
      </c>
      <c r="AC276" s="107">
        <f>RESID!AC276</f>
        <v>31.1</v>
      </c>
      <c r="AD276" s="243">
        <f t="shared" si="293"/>
        <v>1129597.3</v>
      </c>
      <c r="AE276" s="243">
        <f t="shared" si="211"/>
        <v>-7082.3999999999069</v>
      </c>
      <c r="AF276" s="4">
        <f t="shared" si="279"/>
        <v>-65663</v>
      </c>
      <c r="AG276" s="4">
        <f t="shared" si="294"/>
        <v>1089185</v>
      </c>
      <c r="AH276" s="4">
        <f t="shared" si="302"/>
        <v>-101759</v>
      </c>
      <c r="AJ276" s="269">
        <f t="shared" si="249"/>
        <v>1018950</v>
      </c>
      <c r="AK276" s="269">
        <f t="shared" si="250"/>
        <v>44285</v>
      </c>
      <c r="AL276" s="276">
        <f t="shared" si="201"/>
        <v>23008.919498701591</v>
      </c>
      <c r="AM276" s="269">
        <f t="shared" si="251"/>
        <v>125291</v>
      </c>
      <c r="AN276" s="269">
        <f t="shared" si="252"/>
        <v>112270</v>
      </c>
      <c r="AO276" s="276">
        <f t="shared" si="202"/>
        <v>1115.9793355304178</v>
      </c>
      <c r="AP276" s="269">
        <f t="shared" si="253"/>
        <v>10607</v>
      </c>
      <c r="AQ276" s="269">
        <f t="shared" si="254"/>
        <v>4570</v>
      </c>
      <c r="AR276" s="276">
        <f t="shared" si="203"/>
        <v>2321.0065645514223</v>
      </c>
      <c r="AX276" s="4">
        <f t="shared" si="219"/>
        <v>2005</v>
      </c>
      <c r="AY276" s="4">
        <f t="shared" si="220"/>
        <v>8</v>
      </c>
      <c r="AZ276" s="76">
        <f>'[8]COM 55 &amp; 65'!$S361</f>
        <v>611.79999999999995</v>
      </c>
      <c r="BA276" s="76">
        <f t="shared" si="221"/>
        <v>549</v>
      </c>
      <c r="BB276" s="362">
        <f t="shared" si="298"/>
        <v>-62.799999999999955</v>
      </c>
      <c r="BC276" s="362"/>
      <c r="BD276" s="76">
        <f>'[8]COM 55 &amp; 65'!$J361</f>
        <v>0</v>
      </c>
      <c r="BE276" s="76">
        <f t="shared" si="222"/>
        <v>0</v>
      </c>
      <c r="BF276" s="363">
        <f t="shared" si="299"/>
        <v>0</v>
      </c>
      <c r="BG276" s="244"/>
      <c r="BH276" s="244">
        <f t="shared" si="295"/>
        <v>-42886.74799999997</v>
      </c>
      <c r="BI276" s="242">
        <f t="shared" si="296"/>
        <v>0</v>
      </c>
      <c r="BJ276" s="242"/>
      <c r="BK276" s="241">
        <f t="shared" si="297"/>
        <v>-42887</v>
      </c>
      <c r="BL276" s="262"/>
      <c r="BM276" s="36" t="s">
        <v>18</v>
      </c>
      <c r="BN276" s="4">
        <f t="shared" si="223"/>
        <v>2005</v>
      </c>
      <c r="BO276" s="4">
        <f t="shared" si="224"/>
        <v>8</v>
      </c>
      <c r="BP276" s="108">
        <f>C276+[4]MWh!$AK110</f>
        <v>1144490.7434088783</v>
      </c>
      <c r="BQ276" s="76">
        <f t="shared" si="281"/>
        <v>7103.1233105283372</v>
      </c>
      <c r="BR276" s="130">
        <f t="shared" si="282"/>
        <v>6836.9510839961413</v>
      </c>
      <c r="BS276" s="108">
        <f t="shared" si="303"/>
        <v>-525.13528674306599</v>
      </c>
      <c r="BT276" s="175">
        <f t="shared" si="284"/>
        <v>1101603.7434088783</v>
      </c>
      <c r="BU276" s="108">
        <f t="shared" si="303"/>
        <v>-66913.967441219371</v>
      </c>
      <c r="BV276" s="137">
        <f t="shared" si="285"/>
        <v>-42887</v>
      </c>
      <c r="BW276" s="529">
        <f>BT276/[9]CMWh!$L156</f>
        <v>0.98924615443437636</v>
      </c>
    </row>
    <row r="277" spans="1:75" ht="12.75" customHeight="1">
      <c r="A277" s="22">
        <f t="shared" si="213"/>
        <v>2005</v>
      </c>
      <c r="B277" s="4">
        <f t="shared" si="214"/>
        <v>9</v>
      </c>
      <c r="C277" s="5">
        <f>'[2]FPC wSEB'!$E374</f>
        <v>1218776</v>
      </c>
      <c r="D277" s="5">
        <f>'[2]FPC wSEB'!$Y374</f>
        <v>162565</v>
      </c>
      <c r="E277" s="74">
        <f t="shared" si="304"/>
        <v>7497.2</v>
      </c>
      <c r="F277" s="13">
        <v>139315</v>
      </c>
      <c r="G277" s="13">
        <v>113039</v>
      </c>
      <c r="H277" s="13">
        <v>10684</v>
      </c>
      <c r="I277" s="13">
        <v>4632</v>
      </c>
      <c r="J277" s="574">
        <f>[5]CC!$E157</f>
        <v>160541</v>
      </c>
      <c r="K277" s="4">
        <f>'[7]COM 55 &amp; 65'!$S362</f>
        <v>580.5</v>
      </c>
      <c r="L277" s="4">
        <f t="shared" si="216"/>
        <v>531.20000000000005</v>
      </c>
      <c r="M277" s="135">
        <f t="shared" si="300"/>
        <v>-49.299999999999955</v>
      </c>
      <c r="N277" s="4">
        <f>'[7]COM 55 &amp; 65'!$J362</f>
        <v>0</v>
      </c>
      <c r="O277" s="4">
        <f t="shared" si="209"/>
        <v>0</v>
      </c>
      <c r="P277" s="41">
        <f t="shared" ref="P277:P282" si="305">(O277-N277)</f>
        <v>0</v>
      </c>
      <c r="Q277" s="474">
        <f t="shared" si="288"/>
        <v>-33667.462999999967</v>
      </c>
      <c r="R277" s="472">
        <f t="shared" si="289"/>
        <v>0</v>
      </c>
      <c r="S277" s="241">
        <f t="shared" si="290"/>
        <v>-33667</v>
      </c>
      <c r="T277" s="13" t="s">
        <v>18</v>
      </c>
      <c r="U277" s="4">
        <f t="shared" si="217"/>
        <v>2005</v>
      </c>
      <c r="V277" s="4">
        <f t="shared" si="218"/>
        <v>9</v>
      </c>
      <c r="W277" s="242">
        <f t="shared" si="291"/>
        <v>7290.0624365638359</v>
      </c>
      <c r="X277" s="131">
        <f t="shared" si="301"/>
        <v>431.99274347716164</v>
      </c>
      <c r="Z277" s="175">
        <f t="shared" si="276"/>
        <v>1185109</v>
      </c>
      <c r="AA277" s="12">
        <f t="shared" si="292"/>
        <v>-33667</v>
      </c>
      <c r="AB277" s="519">
        <f>[9]CMWh!$L157</f>
        <v>1166240</v>
      </c>
      <c r="AC277" s="107">
        <f>RESID!AC277</f>
        <v>30.45</v>
      </c>
      <c r="AD277" s="243">
        <f t="shared" si="293"/>
        <v>1217575.2</v>
      </c>
      <c r="AE277" s="243">
        <f t="shared" si="211"/>
        <v>128360.5</v>
      </c>
      <c r="AF277" s="4">
        <f t="shared" si="279"/>
        <v>-34835</v>
      </c>
      <c r="AG277" s="4">
        <f t="shared" si="294"/>
        <v>1183941</v>
      </c>
      <c r="AH277" s="4">
        <f t="shared" si="302"/>
        <v>77058</v>
      </c>
      <c r="AJ277" s="269">
        <f t="shared" ref="AJ277:AJ300" si="306">C277-AM277-AP277</f>
        <v>1068777</v>
      </c>
      <c r="AK277" s="269">
        <f t="shared" ref="AK277:AK300" si="307">D277-AN277-AQ277</f>
        <v>44894</v>
      </c>
      <c r="AL277" s="276">
        <f t="shared" si="201"/>
        <v>23806.677952510359</v>
      </c>
      <c r="AM277" s="269">
        <f t="shared" ref="AM277:AM300" si="308">F277</f>
        <v>139315</v>
      </c>
      <c r="AN277" s="269">
        <f t="shared" ref="AN277:AN300" si="309">G277</f>
        <v>113039</v>
      </c>
      <c r="AO277" s="276">
        <f t="shared" si="202"/>
        <v>1232.4507470872886</v>
      </c>
      <c r="AP277" s="269">
        <f t="shared" ref="AP277:AP300" si="310">H277</f>
        <v>10684</v>
      </c>
      <c r="AQ277" s="269">
        <f t="shared" ref="AQ277:AQ300" si="311">I277</f>
        <v>4632</v>
      </c>
      <c r="AR277" s="276">
        <f t="shared" si="203"/>
        <v>2306.5630397236614</v>
      </c>
      <c r="AX277" s="4">
        <f t="shared" si="219"/>
        <v>2005</v>
      </c>
      <c r="AY277" s="4">
        <f t="shared" si="220"/>
        <v>9</v>
      </c>
      <c r="AZ277" s="76">
        <f>'[8]COM 55 &amp; 65'!$S362</f>
        <v>515.4</v>
      </c>
      <c r="BA277" s="76">
        <f t="shared" si="221"/>
        <v>487.9</v>
      </c>
      <c r="BB277" s="362">
        <f t="shared" si="298"/>
        <v>-27.5</v>
      </c>
      <c r="BC277" s="362"/>
      <c r="BD277" s="76">
        <f>'[8]COM 55 &amp; 65'!$J362</f>
        <v>0</v>
      </c>
      <c r="BE277" s="76">
        <f t="shared" si="222"/>
        <v>0</v>
      </c>
      <c r="BF277" s="363">
        <f t="shared" si="299"/>
        <v>0</v>
      </c>
      <c r="BG277" s="244"/>
      <c r="BH277" s="244">
        <f t="shared" si="295"/>
        <v>-18780.024999999998</v>
      </c>
      <c r="BI277" s="242">
        <f t="shared" si="296"/>
        <v>0</v>
      </c>
      <c r="BJ277" s="242"/>
      <c r="BK277" s="241">
        <f t="shared" si="297"/>
        <v>-18780</v>
      </c>
      <c r="BL277" s="262"/>
      <c r="BM277" s="36" t="s">
        <v>18</v>
      </c>
      <c r="BN277" s="4">
        <f t="shared" si="223"/>
        <v>2005</v>
      </c>
      <c r="BO277" s="4">
        <f t="shared" si="224"/>
        <v>9</v>
      </c>
      <c r="BP277" s="108">
        <f>C277+[4]MWh!$AK111</f>
        <v>1156761.239672367</v>
      </c>
      <c r="BQ277" s="76">
        <f t="shared" si="281"/>
        <v>7115.6844319033435</v>
      </c>
      <c r="BR277" s="130">
        <f t="shared" si="282"/>
        <v>7000.1614103427373</v>
      </c>
      <c r="BS277" s="108">
        <f t="shared" si="303"/>
        <v>599.2049275537247</v>
      </c>
      <c r="BT277" s="175">
        <f t="shared" si="284"/>
        <v>1137981.239672367</v>
      </c>
      <c r="BU277" s="108">
        <f t="shared" si="303"/>
        <v>108950.67358623981</v>
      </c>
      <c r="BV277" s="137">
        <f t="shared" si="285"/>
        <v>-18780</v>
      </c>
      <c r="BW277" s="529">
        <f>BT277/[9]CMWh!$L157</f>
        <v>0.9757693439363827</v>
      </c>
    </row>
    <row r="278" spans="1:75" ht="12.75" customHeight="1">
      <c r="A278" s="22">
        <f t="shared" si="213"/>
        <v>2005</v>
      </c>
      <c r="B278" s="4">
        <f t="shared" si="214"/>
        <v>10</v>
      </c>
      <c r="C278" s="5">
        <f>'[2]FPC wSEB'!$E375</f>
        <v>1052140</v>
      </c>
      <c r="D278" s="5">
        <f>'[2]FPC wSEB'!$Y375</f>
        <v>160355</v>
      </c>
      <c r="E278" s="74">
        <f t="shared" si="304"/>
        <v>6561.3</v>
      </c>
      <c r="F278" s="13">
        <v>102964</v>
      </c>
      <c r="G278" s="13">
        <v>111442</v>
      </c>
      <c r="H278" s="13">
        <v>10760</v>
      </c>
      <c r="I278" s="13">
        <v>4648</v>
      </c>
      <c r="J278" s="574">
        <f>[5]CC!$E158</f>
        <v>160759</v>
      </c>
      <c r="K278" s="4">
        <f>'[7]COM 55 &amp; 65'!$S363</f>
        <v>482.9</v>
      </c>
      <c r="L278" s="4">
        <f t="shared" si="216"/>
        <v>431.2</v>
      </c>
      <c r="M278" s="135">
        <f t="shared" si="300"/>
        <v>-51.699999999999989</v>
      </c>
      <c r="N278" s="4">
        <f>'[7]COM 55 &amp; 65'!$J363</f>
        <v>0.1</v>
      </c>
      <c r="O278" s="4">
        <f t="shared" si="209"/>
        <v>0.2</v>
      </c>
      <c r="P278" s="41">
        <f t="shared" si="305"/>
        <v>0.1</v>
      </c>
      <c r="Q278" s="474">
        <f t="shared" si="288"/>
        <v>-35306.446999999993</v>
      </c>
      <c r="R278" s="472">
        <f t="shared" si="289"/>
        <v>65.934000000000012</v>
      </c>
      <c r="S278" s="241">
        <f t="shared" si="290"/>
        <v>-35241</v>
      </c>
      <c r="T278" s="13" t="s">
        <v>18</v>
      </c>
      <c r="U278" s="4">
        <f t="shared" si="217"/>
        <v>2005</v>
      </c>
      <c r="V278" s="4">
        <f t="shared" si="218"/>
        <v>10</v>
      </c>
      <c r="W278" s="242">
        <f t="shared" si="291"/>
        <v>6341.5484394000814</v>
      </c>
      <c r="X278" s="131">
        <f t="shared" si="301"/>
        <v>-46.537009018627941</v>
      </c>
      <c r="Z278" s="175">
        <f t="shared" si="276"/>
        <v>1016899</v>
      </c>
      <c r="AA278" s="12">
        <f t="shared" si="292"/>
        <v>-35241</v>
      </c>
      <c r="AB278" s="519">
        <f>[9]CMWh!$L158</f>
        <v>1026547</v>
      </c>
      <c r="AC278" s="107">
        <f>RESID!AC278</f>
        <v>29.75</v>
      </c>
      <c r="AD278" s="243">
        <f t="shared" si="293"/>
        <v>1075835.3</v>
      </c>
      <c r="AE278" s="243">
        <f t="shared" si="211"/>
        <v>18441.199999999953</v>
      </c>
      <c r="AF278" s="4">
        <f t="shared" si="279"/>
        <v>-12339</v>
      </c>
      <c r="AG278" s="4">
        <f t="shared" si="294"/>
        <v>1039801</v>
      </c>
      <c r="AH278" s="4">
        <f t="shared" si="302"/>
        <v>-14872</v>
      </c>
      <c r="AJ278" s="269">
        <f t="shared" si="306"/>
        <v>938416</v>
      </c>
      <c r="AK278" s="269">
        <f t="shared" si="307"/>
        <v>44265</v>
      </c>
      <c r="AL278" s="276">
        <f t="shared" ref="AL278:AL300" si="312">AJ278/AK278*1000</f>
        <v>21199.954817575963</v>
      </c>
      <c r="AM278" s="269">
        <f t="shared" si="308"/>
        <v>102964</v>
      </c>
      <c r="AN278" s="269">
        <f t="shared" si="309"/>
        <v>111442</v>
      </c>
      <c r="AO278" s="276">
        <f t="shared" ref="AO278:AO300" si="313">AM278/AN278*1000</f>
        <v>923.92455268211268</v>
      </c>
      <c r="AP278" s="269">
        <f t="shared" si="310"/>
        <v>10760</v>
      </c>
      <c r="AQ278" s="269">
        <f t="shared" si="311"/>
        <v>4648</v>
      </c>
      <c r="AR278" s="276">
        <f t="shared" ref="AR278:AR300" si="314">AP278/AQ278*1000</f>
        <v>2314.9741824440621</v>
      </c>
      <c r="AX278" s="4">
        <f t="shared" si="219"/>
        <v>2005</v>
      </c>
      <c r="AY278" s="4">
        <f t="shared" si="220"/>
        <v>10</v>
      </c>
      <c r="AZ278" s="76">
        <f>'[8]COM 55 &amp; 65'!$S363</f>
        <v>351.2</v>
      </c>
      <c r="BA278" s="76">
        <f t="shared" si="221"/>
        <v>332.5</v>
      </c>
      <c r="BB278" s="362">
        <f t="shared" si="298"/>
        <v>-18.699999999999989</v>
      </c>
      <c r="BC278" s="362"/>
      <c r="BD278" s="76">
        <f>'[8]COM 55 &amp; 65'!$J363</f>
        <v>4.3</v>
      </c>
      <c r="BE278" s="76">
        <f t="shared" si="222"/>
        <v>2</v>
      </c>
      <c r="BF278" s="363">
        <f t="shared" si="299"/>
        <v>-2.2999999999999998</v>
      </c>
      <c r="BG278" s="244"/>
      <c r="BH278" s="244">
        <f t="shared" si="295"/>
        <v>-12770.416999999992</v>
      </c>
      <c r="BI278" s="242">
        <f t="shared" si="296"/>
        <v>-1516.482</v>
      </c>
      <c r="BJ278" s="242"/>
      <c r="BK278" s="241">
        <f t="shared" si="297"/>
        <v>-14287</v>
      </c>
      <c r="BL278" s="262"/>
      <c r="BM278" s="36" t="s">
        <v>18</v>
      </c>
      <c r="BN278" s="4">
        <f t="shared" si="223"/>
        <v>2005</v>
      </c>
      <c r="BO278" s="4">
        <f t="shared" si="224"/>
        <v>10</v>
      </c>
      <c r="BP278" s="108">
        <f>C278+[4]MWh!$AK112</f>
        <v>967566.95344474982</v>
      </c>
      <c r="BQ278" s="76">
        <f t="shared" si="281"/>
        <v>6033.9057306897184</v>
      </c>
      <c r="BR278" s="130">
        <f t="shared" si="282"/>
        <v>5944.8096625908129</v>
      </c>
      <c r="BS278" s="108">
        <f t="shared" si="303"/>
        <v>-419.98370443804015</v>
      </c>
      <c r="BT278" s="175">
        <f t="shared" si="284"/>
        <v>953279.95344474982</v>
      </c>
      <c r="BU278" s="108">
        <f t="shared" si="303"/>
        <v>-76129.901771661709</v>
      </c>
      <c r="BV278" s="137">
        <f t="shared" si="285"/>
        <v>-14287</v>
      </c>
      <c r="BW278" s="529">
        <f>BT278/[9]CMWh!$L158</f>
        <v>0.92862767456799333</v>
      </c>
    </row>
    <row r="279" spans="1:75" ht="12.75" customHeight="1">
      <c r="A279" s="22">
        <f t="shared" si="213"/>
        <v>2005</v>
      </c>
      <c r="B279" s="4">
        <f t="shared" si="214"/>
        <v>11</v>
      </c>
      <c r="C279" s="5">
        <f>'[2]FPC wSEB'!$E376</f>
        <v>987921</v>
      </c>
      <c r="D279" s="5">
        <f>'[2]FPC wSEB'!$Y376</f>
        <v>165458</v>
      </c>
      <c r="E279" s="74">
        <f t="shared" si="304"/>
        <v>5970.8</v>
      </c>
      <c r="F279" s="13">
        <v>97653</v>
      </c>
      <c r="G279" s="13">
        <v>115057</v>
      </c>
      <c r="H279" s="13">
        <v>10806</v>
      </c>
      <c r="I279" s="13">
        <v>4671</v>
      </c>
      <c r="J279" s="574">
        <f>[5]CC!$E159</f>
        <v>161586</v>
      </c>
      <c r="K279" s="4">
        <f>'[7]COM 55 &amp; 65'!$S364</f>
        <v>254.3</v>
      </c>
      <c r="L279" s="4">
        <f t="shared" si="216"/>
        <v>251.9</v>
      </c>
      <c r="M279" s="135">
        <f t="shared" si="300"/>
        <v>-2.4000000000000057</v>
      </c>
      <c r="N279" s="4">
        <f>'[7]COM 55 &amp; 65'!$J364</f>
        <v>5.3</v>
      </c>
      <c r="O279" s="4">
        <f t="shared" si="209"/>
        <v>6.3</v>
      </c>
      <c r="P279" s="41">
        <f t="shared" si="305"/>
        <v>1</v>
      </c>
      <c r="Q279" s="474">
        <f t="shared" si="288"/>
        <v>-1638.9840000000038</v>
      </c>
      <c r="R279" s="472">
        <f t="shared" si="289"/>
        <v>659.34</v>
      </c>
      <c r="S279" s="241">
        <f t="shared" si="290"/>
        <v>-980</v>
      </c>
      <c r="T279" s="13" t="s">
        <v>18</v>
      </c>
      <c r="U279" s="4">
        <f t="shared" si="217"/>
        <v>2005</v>
      </c>
      <c r="V279" s="4">
        <f t="shared" si="218"/>
        <v>11</v>
      </c>
      <c r="W279" s="242">
        <f t="shared" si="291"/>
        <v>5964.9034800372301</v>
      </c>
      <c r="X279" s="131">
        <f t="shared" si="301"/>
        <v>11.228851165582455</v>
      </c>
      <c r="Z279" s="175">
        <f t="shared" si="276"/>
        <v>986941</v>
      </c>
      <c r="AA279" s="12">
        <f t="shared" si="292"/>
        <v>-980</v>
      </c>
      <c r="AB279" s="519">
        <f>[9]CMWh!$L159</f>
        <v>959985</v>
      </c>
      <c r="AC279" s="107">
        <f>RESID!AC279</f>
        <v>30.25</v>
      </c>
      <c r="AD279" s="243">
        <f t="shared" si="293"/>
        <v>993473</v>
      </c>
      <c r="AE279" s="243">
        <f t="shared" si="211"/>
        <v>-7089.6999999999534</v>
      </c>
      <c r="AF279" s="4">
        <f t="shared" si="279"/>
        <v>4566</v>
      </c>
      <c r="AG279" s="4">
        <f t="shared" si="294"/>
        <v>992487</v>
      </c>
      <c r="AH279" s="4">
        <f t="shared" si="302"/>
        <v>9203</v>
      </c>
      <c r="AJ279" s="269">
        <f t="shared" si="306"/>
        <v>879462</v>
      </c>
      <c r="AK279" s="269">
        <f t="shared" si="307"/>
        <v>45730</v>
      </c>
      <c r="AL279" s="276">
        <f t="shared" si="312"/>
        <v>19231.620380494205</v>
      </c>
      <c r="AM279" s="269">
        <f t="shared" si="308"/>
        <v>97653</v>
      </c>
      <c r="AN279" s="269">
        <f t="shared" si="309"/>
        <v>115057</v>
      </c>
      <c r="AO279" s="276">
        <f t="shared" si="313"/>
        <v>848.73584397298725</v>
      </c>
      <c r="AP279" s="269">
        <f t="shared" si="310"/>
        <v>10806</v>
      </c>
      <c r="AQ279" s="269">
        <f t="shared" si="311"/>
        <v>4671</v>
      </c>
      <c r="AR279" s="276">
        <f t="shared" si="314"/>
        <v>2313.4232498394349</v>
      </c>
      <c r="AX279" s="4">
        <f t="shared" si="219"/>
        <v>2005</v>
      </c>
      <c r="AY279" s="4">
        <f t="shared" si="220"/>
        <v>11</v>
      </c>
      <c r="AZ279" s="76">
        <f>'[8]COM 55 &amp; 65'!$S364</f>
        <v>171.9</v>
      </c>
      <c r="BA279" s="76">
        <f t="shared" si="221"/>
        <v>146</v>
      </c>
      <c r="BB279" s="362">
        <f t="shared" si="298"/>
        <v>-25.900000000000006</v>
      </c>
      <c r="BC279" s="362"/>
      <c r="BD279" s="76">
        <f>'[8]COM 55 &amp; 65'!$J364</f>
        <v>7.2</v>
      </c>
      <c r="BE279" s="76">
        <f t="shared" si="222"/>
        <v>14</v>
      </c>
      <c r="BF279" s="363">
        <f t="shared" si="299"/>
        <v>6.8</v>
      </c>
      <c r="BG279" s="244"/>
      <c r="BH279" s="244">
        <f t="shared" si="295"/>
        <v>-17687.369000000002</v>
      </c>
      <c r="BI279" s="242">
        <f t="shared" si="296"/>
        <v>4483.5119999999997</v>
      </c>
      <c r="BJ279" s="242"/>
      <c r="BK279" s="241">
        <f t="shared" si="297"/>
        <v>-13204</v>
      </c>
      <c r="BL279" s="262"/>
      <c r="BM279" s="36" t="s">
        <v>18</v>
      </c>
      <c r="BN279" s="4">
        <f t="shared" si="223"/>
        <v>2005</v>
      </c>
      <c r="BO279" s="4">
        <f t="shared" si="224"/>
        <v>11</v>
      </c>
      <c r="BP279" s="108">
        <f>C279+[4]MWh!$AK113</f>
        <v>912916.84436917945</v>
      </c>
      <c r="BQ279" s="76">
        <f t="shared" si="281"/>
        <v>5517.5140783109882</v>
      </c>
      <c r="BR279" s="130">
        <f t="shared" si="282"/>
        <v>5437.7113489174262</v>
      </c>
      <c r="BS279" s="108">
        <f t="shared" si="303"/>
        <v>-208.06841110854566</v>
      </c>
      <c r="BT279" s="175">
        <f t="shared" si="284"/>
        <v>899712.84436917945</v>
      </c>
      <c r="BU279" s="108">
        <f t="shared" si="303"/>
        <v>-24444.844549471862</v>
      </c>
      <c r="BV279" s="137">
        <f t="shared" si="285"/>
        <v>-13204</v>
      </c>
      <c r="BW279" s="529">
        <f>BT279/[9]CMWh!$L159</f>
        <v>0.93721552354378401</v>
      </c>
    </row>
    <row r="280" spans="1:75" s="89" customFormat="1" ht="12.75" customHeight="1">
      <c r="A280" s="225">
        <f t="shared" si="213"/>
        <v>2005</v>
      </c>
      <c r="B280" s="89">
        <f t="shared" si="214"/>
        <v>12</v>
      </c>
      <c r="C280" s="103">
        <f>'[2]FPC wSEB'!$E377</f>
        <v>894691</v>
      </c>
      <c r="D280" s="103">
        <f>'[2]FPC wSEB'!$Y377</f>
        <v>161860</v>
      </c>
      <c r="E280" s="109">
        <f t="shared" si="304"/>
        <v>5527.6</v>
      </c>
      <c r="F280" s="90">
        <v>89358</v>
      </c>
      <c r="G280" s="90">
        <v>112761</v>
      </c>
      <c r="H280" s="90">
        <v>10476</v>
      </c>
      <c r="I280" s="90">
        <v>4653</v>
      </c>
      <c r="J280" s="575">
        <f>[5]CC!$E160</f>
        <v>161860</v>
      </c>
      <c r="K280" s="89">
        <f>'[7]COM 55 &amp; 65'!$S365</f>
        <v>114.1</v>
      </c>
      <c r="L280" s="89">
        <f t="shared" si="216"/>
        <v>119.4</v>
      </c>
      <c r="M280" s="136">
        <f t="shared" si="300"/>
        <v>5.3000000000000114</v>
      </c>
      <c r="N280" s="89">
        <f>'[7]COM 55 &amp; 65'!$J365</f>
        <v>22.4</v>
      </c>
      <c r="O280" s="89">
        <f t="shared" si="209"/>
        <v>30.1</v>
      </c>
      <c r="P280" s="94">
        <f t="shared" si="305"/>
        <v>7.7000000000000028</v>
      </c>
      <c r="Q280" s="475">
        <f t="shared" si="288"/>
        <v>3619.4230000000075</v>
      </c>
      <c r="R280" s="473">
        <f t="shared" si="289"/>
        <v>5076.9180000000024</v>
      </c>
      <c r="S280" s="329">
        <f t="shared" si="290"/>
        <v>8696</v>
      </c>
      <c r="T280" s="90" t="s">
        <v>18</v>
      </c>
      <c r="U280" s="89">
        <f t="shared" si="217"/>
        <v>2005</v>
      </c>
      <c r="V280" s="89">
        <f t="shared" si="218"/>
        <v>12</v>
      </c>
      <c r="W280" s="328">
        <f t="shared" si="291"/>
        <v>5581.2862967997035</v>
      </c>
      <c r="X280" s="133">
        <f t="shared" si="301"/>
        <v>-175.76598544018543</v>
      </c>
      <c r="Z280" s="176">
        <f t="shared" si="276"/>
        <v>903387</v>
      </c>
      <c r="AA280" s="105">
        <f t="shared" si="292"/>
        <v>8696</v>
      </c>
      <c r="AB280" s="520">
        <f>[9]CMWh!$L160</f>
        <v>917486</v>
      </c>
      <c r="AC280" s="110">
        <f>RESID!AC280</f>
        <v>31.65</v>
      </c>
      <c r="AD280" s="331">
        <f t="shared" si="293"/>
        <v>859921</v>
      </c>
      <c r="AE280" s="331">
        <f t="shared" si="211"/>
        <v>-41108.900000000023</v>
      </c>
      <c r="AF280" s="89">
        <f t="shared" si="279"/>
        <v>-26412</v>
      </c>
      <c r="AG280" s="89">
        <f t="shared" si="294"/>
        <v>868279</v>
      </c>
      <c r="AH280" s="89">
        <f t="shared" si="302"/>
        <v>-22581</v>
      </c>
      <c r="AJ280" s="351">
        <f t="shared" si="306"/>
        <v>794857</v>
      </c>
      <c r="AK280" s="351">
        <f t="shared" si="307"/>
        <v>44446</v>
      </c>
      <c r="AL280" s="277">
        <f t="shared" si="312"/>
        <v>17883.65657201998</v>
      </c>
      <c r="AM280" s="351">
        <f t="shared" si="308"/>
        <v>89358</v>
      </c>
      <c r="AN280" s="351">
        <f t="shared" si="309"/>
        <v>112761</v>
      </c>
      <c r="AO280" s="277">
        <f t="shared" si="313"/>
        <v>792.45483810892063</v>
      </c>
      <c r="AP280" s="351">
        <f t="shared" si="310"/>
        <v>10476</v>
      </c>
      <c r="AQ280" s="351">
        <f t="shared" si="311"/>
        <v>4653</v>
      </c>
      <c r="AR280" s="277">
        <f t="shared" si="314"/>
        <v>2251.4506769825921</v>
      </c>
      <c r="AX280" s="89">
        <f t="shared" si="219"/>
        <v>2005</v>
      </c>
      <c r="AY280" s="89">
        <f t="shared" si="220"/>
        <v>12</v>
      </c>
      <c r="AZ280" s="92">
        <f>'[8]COM 55 &amp; 65'!$S365</f>
        <v>28.6</v>
      </c>
      <c r="BA280" s="92">
        <f t="shared" si="221"/>
        <v>75.7</v>
      </c>
      <c r="BB280" s="364">
        <f t="shared" si="298"/>
        <v>47.1</v>
      </c>
      <c r="BC280" s="364"/>
      <c r="BD280" s="92">
        <f>'[8]COM 55 &amp; 65'!$J365</f>
        <v>51.4</v>
      </c>
      <c r="BE280" s="92">
        <f t="shared" si="222"/>
        <v>44.3</v>
      </c>
      <c r="BF280" s="365">
        <f t="shared" si="299"/>
        <v>-7.1000000000000014</v>
      </c>
      <c r="BG280" s="327"/>
      <c r="BH280" s="327">
        <f t="shared" si="295"/>
        <v>32165.060999999998</v>
      </c>
      <c r="BI280" s="328">
        <f t="shared" si="296"/>
        <v>-4681.3140000000012</v>
      </c>
      <c r="BJ280" s="328"/>
      <c r="BK280" s="329">
        <f t="shared" si="297"/>
        <v>27484</v>
      </c>
      <c r="BL280" s="332"/>
      <c r="BM280" s="113" t="s">
        <v>18</v>
      </c>
      <c r="BN280" s="89">
        <f t="shared" si="223"/>
        <v>2005</v>
      </c>
      <c r="BO280" s="89">
        <f t="shared" si="224"/>
        <v>12</v>
      </c>
      <c r="BP280" s="117">
        <f>C280+[4]MWh!$AK114</f>
        <v>918413.66784106242</v>
      </c>
      <c r="BQ280" s="92">
        <f t="shared" si="281"/>
        <v>5674.123735580516</v>
      </c>
      <c r="BR280" s="299">
        <f t="shared" si="282"/>
        <v>5843.9247982272482</v>
      </c>
      <c r="BS280" s="117">
        <f t="shared" si="303"/>
        <v>-403.25559688515568</v>
      </c>
      <c r="BT280" s="176">
        <f t="shared" si="284"/>
        <v>945897.66784106242</v>
      </c>
      <c r="BU280" s="117">
        <f t="shared" si="303"/>
        <v>-63071.943412751774</v>
      </c>
      <c r="BV280" s="139">
        <f t="shared" si="285"/>
        <v>27484</v>
      </c>
      <c r="BW280" s="536">
        <f>BT280/[9]CMWh!$L160</f>
        <v>1.0309668679860646</v>
      </c>
    </row>
    <row r="281" spans="1:75" ht="12.75" customHeight="1">
      <c r="A281" s="22">
        <f t="shared" si="213"/>
        <v>2006</v>
      </c>
      <c r="B281" s="4">
        <f t="shared" si="214"/>
        <v>1</v>
      </c>
      <c r="C281" s="5">
        <f>'[2]FPC wSEB'!$E378</f>
        <v>863605</v>
      </c>
      <c r="D281" s="5">
        <f>'[2]FPC wSEB'!$Y378</f>
        <v>160355</v>
      </c>
      <c r="E281" s="74">
        <f t="shared" si="304"/>
        <v>5385.6</v>
      </c>
      <c r="F281" s="358">
        <v>91297</v>
      </c>
      <c r="G281" s="358">
        <v>111409</v>
      </c>
      <c r="H281" s="358">
        <v>10970</v>
      </c>
      <c r="I281" s="358">
        <v>4674</v>
      </c>
      <c r="J281" s="574">
        <f>[5]CC!$E161</f>
        <v>161746</v>
      </c>
      <c r="K281" s="4">
        <f>'[7]COM 55 &amp; 65'!$S366</f>
        <v>49.1</v>
      </c>
      <c r="L281" s="4">
        <f t="shared" si="216"/>
        <v>70.8</v>
      </c>
      <c r="M281" s="135">
        <f t="shared" ref="M281:M286" si="315">(L281-K281)</f>
        <v>21.699999999999996</v>
      </c>
      <c r="N281" s="4">
        <f>'[7]COM 55 &amp; 65'!$J366</f>
        <v>54</v>
      </c>
      <c r="O281" s="4">
        <f t="shared" si="209"/>
        <v>54.9</v>
      </c>
      <c r="P281" s="41">
        <f t="shared" si="305"/>
        <v>0.89999999999999858</v>
      </c>
      <c r="Q281" s="474">
        <f t="shared" si="288"/>
        <v>14819.146999999997</v>
      </c>
      <c r="R281" s="472">
        <f t="shared" si="289"/>
        <v>593.40599999999904</v>
      </c>
      <c r="S281" s="241">
        <f t="shared" si="290"/>
        <v>15413</v>
      </c>
      <c r="T281" s="13" t="s">
        <v>18</v>
      </c>
      <c r="U281" s="4">
        <f t="shared" si="217"/>
        <v>2006</v>
      </c>
      <c r="V281" s="4">
        <f t="shared" si="218"/>
        <v>1</v>
      </c>
      <c r="W281" s="242">
        <f t="shared" si="291"/>
        <v>5481.6999781734276</v>
      </c>
      <c r="X281" s="131">
        <f t="shared" ref="X281:X286" si="316">W281-W269</f>
        <v>-119.30588405778053</v>
      </c>
      <c r="Z281" s="175">
        <f t="shared" si="276"/>
        <v>879018</v>
      </c>
      <c r="AA281" s="12">
        <f t="shared" si="292"/>
        <v>15413</v>
      </c>
      <c r="AB281" s="519">
        <f>[9]CMWh!$L161</f>
        <v>888928</v>
      </c>
      <c r="AC281" s="107">
        <f>RESID!AC281</f>
        <v>31.7</v>
      </c>
      <c r="AD281" s="243">
        <f t="shared" si="293"/>
        <v>828733.9</v>
      </c>
      <c r="AE281" s="243">
        <f t="shared" si="211"/>
        <v>-17657.79999999993</v>
      </c>
      <c r="AF281" s="4">
        <f t="shared" si="279"/>
        <v>-20080</v>
      </c>
      <c r="AG281" s="4">
        <f t="shared" si="294"/>
        <v>843525</v>
      </c>
      <c r="AH281" s="4">
        <f t="shared" ref="AH281:AH286" si="317">AG281-AG269</f>
        <v>-489</v>
      </c>
      <c r="AJ281" s="269">
        <f t="shared" si="306"/>
        <v>761338</v>
      </c>
      <c r="AK281" s="269">
        <f t="shared" si="307"/>
        <v>44272</v>
      </c>
      <c r="AL281" s="276">
        <f t="shared" si="312"/>
        <v>17196.82869533791</v>
      </c>
      <c r="AM281" s="269">
        <f t="shared" si="308"/>
        <v>91297</v>
      </c>
      <c r="AN281" s="269">
        <f t="shared" si="309"/>
        <v>111409</v>
      </c>
      <c r="AO281" s="276">
        <f t="shared" si="313"/>
        <v>819.47598488452456</v>
      </c>
      <c r="AP281" s="269">
        <f t="shared" si="310"/>
        <v>10970</v>
      </c>
      <c r="AQ281" s="269">
        <f t="shared" si="311"/>
        <v>4674</v>
      </c>
      <c r="AR281" s="276">
        <f t="shared" si="314"/>
        <v>2347.026101839966</v>
      </c>
      <c r="AX281" s="4">
        <f t="shared" si="219"/>
        <v>2006</v>
      </c>
      <c r="AY281" s="4">
        <f t="shared" si="220"/>
        <v>1</v>
      </c>
      <c r="AZ281" s="76">
        <f>'[8]COM 55 &amp; 65'!$S366</f>
        <v>83.1</v>
      </c>
      <c r="BA281" s="76">
        <f t="shared" si="221"/>
        <v>72.3</v>
      </c>
      <c r="BB281" s="362">
        <f t="shared" si="298"/>
        <v>-10.799999999999997</v>
      </c>
      <c r="BC281" s="362"/>
      <c r="BD281" s="76">
        <f>'[8]COM 55 &amp; 65'!$J366</f>
        <v>39.200000000000003</v>
      </c>
      <c r="BE281" s="76">
        <f t="shared" si="222"/>
        <v>52.4</v>
      </c>
      <c r="BF281" s="363">
        <f t="shared" si="299"/>
        <v>13.199999999999996</v>
      </c>
      <c r="BG281" s="244"/>
      <c r="BH281" s="244">
        <f t="shared" si="295"/>
        <v>-7375.4279999999981</v>
      </c>
      <c r="BI281" s="242">
        <f t="shared" si="296"/>
        <v>8703.2879999999968</v>
      </c>
      <c r="BJ281" s="242"/>
      <c r="BK281" s="241">
        <f t="shared" si="297"/>
        <v>1328</v>
      </c>
      <c r="BL281" s="262"/>
      <c r="BM281" s="36" t="s">
        <v>18</v>
      </c>
      <c r="BN281" s="4">
        <f t="shared" si="223"/>
        <v>2006</v>
      </c>
      <c r="BO281" s="4">
        <f t="shared" si="224"/>
        <v>1</v>
      </c>
      <c r="BP281" s="108">
        <f>C281+[4]MWh!$AK115</f>
        <v>805249.9890751827</v>
      </c>
      <c r="BQ281" s="76">
        <f t="shared" si="281"/>
        <v>5021.6706000759732</v>
      </c>
      <c r="BR281" s="130">
        <f t="shared" si="282"/>
        <v>5029.9522252201841</v>
      </c>
      <c r="BS281" s="108">
        <f t="shared" ref="BS281:BS286" si="318">BR281-BR269</f>
        <v>71.404068495604406</v>
      </c>
      <c r="BT281" s="175">
        <f t="shared" si="284"/>
        <v>806577.9890751827</v>
      </c>
      <c r="BU281" s="108">
        <f t="shared" ref="BU281:BU286" si="319">BT281-BT269</f>
        <v>26707.452081854222</v>
      </c>
      <c r="BV281" s="137">
        <f t="shared" si="285"/>
        <v>1328</v>
      </c>
      <c r="BW281" s="529">
        <f>BT281/[9]CMWh!$L161</f>
        <v>0.90736031385577087</v>
      </c>
    </row>
    <row r="282" spans="1:75" ht="12.75" customHeight="1">
      <c r="A282" s="22">
        <f t="shared" si="213"/>
        <v>2006</v>
      </c>
      <c r="B282" s="4">
        <f t="shared" si="214"/>
        <v>2</v>
      </c>
      <c r="C282" s="5">
        <f>'[2]FPC wSEB'!$E379</f>
        <v>824007</v>
      </c>
      <c r="D282" s="5">
        <f>'[2]FPC wSEB'!$Y379</f>
        <v>162108</v>
      </c>
      <c r="E282" s="74">
        <f t="shared" ref="E282:E287" si="320">ROUND((C282/D282)*1000,1)</f>
        <v>5083.1000000000004</v>
      </c>
      <c r="F282" s="358">
        <v>85503</v>
      </c>
      <c r="G282" s="358">
        <v>112859</v>
      </c>
      <c r="H282" s="358">
        <v>11013</v>
      </c>
      <c r="I282" s="358">
        <v>4668</v>
      </c>
      <c r="J282" s="574">
        <f>[5]CC!$E162</f>
        <v>162413</v>
      </c>
      <c r="K282" s="4">
        <f>'[7]COM 55 &amp; 65'!$S367</f>
        <v>65</v>
      </c>
      <c r="L282" s="4">
        <f t="shared" si="216"/>
        <v>62.7</v>
      </c>
      <c r="M282" s="135">
        <f t="shared" si="315"/>
        <v>-2.2999999999999972</v>
      </c>
      <c r="N282" s="4">
        <f>'[7]COM 55 &amp; 65'!$J367</f>
        <v>48.3</v>
      </c>
      <c r="O282" s="4">
        <f t="shared" si="209"/>
        <v>46.9</v>
      </c>
      <c r="P282" s="41">
        <f t="shared" si="305"/>
        <v>-1.3999999999999986</v>
      </c>
      <c r="Q282" s="474">
        <f t="shared" si="288"/>
        <v>-1570.6929999999979</v>
      </c>
      <c r="R282" s="472">
        <f t="shared" si="289"/>
        <v>-923.07599999999911</v>
      </c>
      <c r="S282" s="241">
        <f t="shared" si="290"/>
        <v>-2494</v>
      </c>
      <c r="T282" s="13" t="s">
        <v>18</v>
      </c>
      <c r="U282" s="4">
        <f t="shared" si="217"/>
        <v>2006</v>
      </c>
      <c r="V282" s="4">
        <f t="shared" si="218"/>
        <v>2</v>
      </c>
      <c r="W282" s="242">
        <f t="shared" si="291"/>
        <v>5067.6894416068299</v>
      </c>
      <c r="X282" s="131">
        <f t="shared" si="316"/>
        <v>-202.98951080574079</v>
      </c>
      <c r="Z282" s="175">
        <f t="shared" si="276"/>
        <v>821513</v>
      </c>
      <c r="AA282" s="12">
        <f t="shared" si="292"/>
        <v>-2494</v>
      </c>
      <c r="AB282" s="519">
        <f>[9]CMWh!$L162</f>
        <v>827999</v>
      </c>
      <c r="AC282" s="107">
        <f>RESID!AC282</f>
        <v>29.6</v>
      </c>
      <c r="AD282" s="243">
        <f t="shared" si="293"/>
        <v>846834.2</v>
      </c>
      <c r="AE282" s="243">
        <f t="shared" si="211"/>
        <v>-14069.20000000007</v>
      </c>
      <c r="AF282" s="4">
        <f t="shared" si="279"/>
        <v>20264</v>
      </c>
      <c r="AG282" s="4">
        <f t="shared" si="294"/>
        <v>844271</v>
      </c>
      <c r="AH282" s="4">
        <f t="shared" si="317"/>
        <v>-19008</v>
      </c>
      <c r="AJ282" s="269">
        <f t="shared" si="306"/>
        <v>727491</v>
      </c>
      <c r="AK282" s="269">
        <f t="shared" si="307"/>
        <v>44581</v>
      </c>
      <c r="AL282" s="276">
        <f t="shared" si="312"/>
        <v>16318.409187770574</v>
      </c>
      <c r="AM282" s="269">
        <f t="shared" si="308"/>
        <v>85503</v>
      </c>
      <c r="AN282" s="269">
        <f t="shared" si="309"/>
        <v>112859</v>
      </c>
      <c r="AO282" s="276">
        <f t="shared" si="313"/>
        <v>757.60905200294167</v>
      </c>
      <c r="AP282" s="269">
        <f t="shared" si="310"/>
        <v>11013</v>
      </c>
      <c r="AQ282" s="269">
        <f t="shared" si="311"/>
        <v>4668</v>
      </c>
      <c r="AR282" s="276">
        <f t="shared" si="314"/>
        <v>2359.254498714653</v>
      </c>
      <c r="AX282" s="4">
        <f t="shared" si="219"/>
        <v>2006</v>
      </c>
      <c r="AY282" s="4">
        <f t="shared" si="220"/>
        <v>2</v>
      </c>
      <c r="AZ282" s="76">
        <f>'[8]COM 55 &amp; 65'!$S367</f>
        <v>60.1</v>
      </c>
      <c r="BA282" s="76">
        <f t="shared" si="221"/>
        <v>82.6</v>
      </c>
      <c r="BB282" s="362">
        <f t="shared" si="298"/>
        <v>22.499999999999993</v>
      </c>
      <c r="BC282" s="362"/>
      <c r="BD282" s="76">
        <f>'[8]COM 55 &amp; 65'!$J367</f>
        <v>54.1</v>
      </c>
      <c r="BE282" s="76">
        <f t="shared" si="222"/>
        <v>36.5</v>
      </c>
      <c r="BF282" s="363">
        <f t="shared" si="299"/>
        <v>-17.600000000000001</v>
      </c>
      <c r="BG282" s="244"/>
      <c r="BH282" s="244">
        <f t="shared" si="295"/>
        <v>15365.474999999995</v>
      </c>
      <c r="BI282" s="242">
        <f t="shared" si="296"/>
        <v>-11604.384000000002</v>
      </c>
      <c r="BJ282" s="242"/>
      <c r="BK282" s="241">
        <f t="shared" si="297"/>
        <v>3761</v>
      </c>
      <c r="BL282" s="262"/>
      <c r="BM282" s="36" t="s">
        <v>18</v>
      </c>
      <c r="BN282" s="4">
        <f t="shared" si="223"/>
        <v>2006</v>
      </c>
      <c r="BO282" s="4">
        <f t="shared" si="224"/>
        <v>2</v>
      </c>
      <c r="BP282" s="108">
        <f>C282+[4]MWh!$AK116</f>
        <v>813491.86235462525</v>
      </c>
      <c r="BQ282" s="76">
        <f t="shared" si="281"/>
        <v>5018.209233070701</v>
      </c>
      <c r="BR282" s="130">
        <f t="shared" si="282"/>
        <v>5041.4098153985324</v>
      </c>
      <c r="BS282" s="108">
        <f t="shared" si="318"/>
        <v>201.76334327953191</v>
      </c>
      <c r="BT282" s="175">
        <f t="shared" si="284"/>
        <v>817252.86235462525</v>
      </c>
      <c r="BU282" s="108">
        <f t="shared" si="319"/>
        <v>44637.180606131791</v>
      </c>
      <c r="BV282" s="137">
        <f t="shared" si="285"/>
        <v>3761</v>
      </c>
      <c r="BW282" s="529">
        <f>BT282/[9]CMWh!$L162</f>
        <v>0.98702155721761164</v>
      </c>
    </row>
    <row r="283" spans="1:75" ht="12.75" customHeight="1">
      <c r="A283" s="22">
        <f t="shared" si="213"/>
        <v>2006</v>
      </c>
      <c r="B283" s="4">
        <f t="shared" si="214"/>
        <v>3</v>
      </c>
      <c r="C283" s="5">
        <f>'[2]FPC wSEB'!$E380</f>
        <v>862372</v>
      </c>
      <c r="D283" s="5">
        <f>'[2]FPC wSEB'!$Y380</f>
        <v>164122</v>
      </c>
      <c r="E283" s="74">
        <f t="shared" si="320"/>
        <v>5254.5</v>
      </c>
      <c r="F283" s="358">
        <v>86129</v>
      </c>
      <c r="G283" s="358">
        <v>113911</v>
      </c>
      <c r="H283" s="358">
        <v>11105</v>
      </c>
      <c r="I283" s="358">
        <v>4695</v>
      </c>
      <c r="J283" s="574">
        <f>[5]CC!$E163</f>
        <v>162696</v>
      </c>
      <c r="K283" s="4">
        <f>'[7]COM 55 &amp; 65'!$S368</f>
        <v>107.4</v>
      </c>
      <c r="L283" s="4">
        <f t="shared" si="216"/>
        <v>105.4</v>
      </c>
      <c r="M283" s="135">
        <f t="shared" si="315"/>
        <v>-2</v>
      </c>
      <c r="N283" s="4">
        <f>'[7]COM 55 &amp; 65'!$J368</f>
        <v>31.5</v>
      </c>
      <c r="O283" s="4">
        <f t="shared" si="209"/>
        <v>26.8</v>
      </c>
      <c r="P283" s="41">
        <f t="shared" ref="P283:P288" si="321">(O283-N283)</f>
        <v>-4.6999999999999993</v>
      </c>
      <c r="Q283" s="474">
        <f t="shared" si="288"/>
        <v>-1365.82</v>
      </c>
      <c r="R283" s="472">
        <f t="shared" si="289"/>
        <v>-3098.8979999999997</v>
      </c>
      <c r="S283" s="241">
        <f t="shared" si="290"/>
        <v>-4465</v>
      </c>
      <c r="T283" s="13" t="s">
        <v>18</v>
      </c>
      <c r="U283" s="4">
        <f t="shared" si="217"/>
        <v>2006</v>
      </c>
      <c r="V283" s="4">
        <f t="shared" si="218"/>
        <v>3</v>
      </c>
      <c r="W283" s="242">
        <f t="shared" si="291"/>
        <v>5227.2516786293127</v>
      </c>
      <c r="X283" s="131">
        <f t="shared" si="316"/>
        <v>-133.49739616677198</v>
      </c>
      <c r="Z283" s="175">
        <f t="shared" si="276"/>
        <v>857907</v>
      </c>
      <c r="AA283" s="12">
        <f t="shared" si="292"/>
        <v>-4465</v>
      </c>
      <c r="AB283" s="519">
        <f>[9]CMWh!$L163</f>
        <v>846927</v>
      </c>
      <c r="AC283" s="107">
        <f>RESID!AC283</f>
        <v>29.4</v>
      </c>
      <c r="AD283" s="243">
        <f t="shared" si="293"/>
        <v>892291</v>
      </c>
      <c r="AE283" s="243">
        <f t="shared" ref="AE283:AE288" si="322">AD283-AD271</f>
        <v>18791.300000000047</v>
      </c>
      <c r="AF283" s="4">
        <f t="shared" si="279"/>
        <v>25299</v>
      </c>
      <c r="AG283" s="4">
        <f t="shared" ref="AG283:AG288" si="323">ROUND(Z283/(AC283/30.42),0)</f>
        <v>887671</v>
      </c>
      <c r="AH283" s="4">
        <f t="shared" si="317"/>
        <v>-4054</v>
      </c>
      <c r="AJ283" s="269">
        <f t="shared" si="306"/>
        <v>765138</v>
      </c>
      <c r="AK283" s="269">
        <f t="shared" si="307"/>
        <v>45516</v>
      </c>
      <c r="AL283" s="276">
        <f t="shared" si="312"/>
        <v>16810.308462958081</v>
      </c>
      <c r="AM283" s="269">
        <f t="shared" si="308"/>
        <v>86129</v>
      </c>
      <c r="AN283" s="269">
        <f t="shared" si="309"/>
        <v>113911</v>
      </c>
      <c r="AO283" s="276">
        <f t="shared" si="313"/>
        <v>756.10783857573017</v>
      </c>
      <c r="AP283" s="269">
        <f t="shared" si="310"/>
        <v>11105</v>
      </c>
      <c r="AQ283" s="269">
        <f t="shared" si="311"/>
        <v>4695</v>
      </c>
      <c r="AR283" s="276">
        <f t="shared" si="314"/>
        <v>2365.2822151224705</v>
      </c>
      <c r="AX283" s="4">
        <f t="shared" si="219"/>
        <v>2006</v>
      </c>
      <c r="AY283" s="4">
        <f t="shared" si="220"/>
        <v>3</v>
      </c>
      <c r="AZ283" s="76">
        <f>'[8]COM 55 &amp; 65'!$S368</f>
        <v>147.6</v>
      </c>
      <c r="BA283" s="76">
        <f t="shared" si="221"/>
        <v>140.4</v>
      </c>
      <c r="BB283" s="362">
        <f t="shared" ref="BB283:BB288" si="324">(BA283-AZ283)</f>
        <v>-7.1999999999999886</v>
      </c>
      <c r="BC283" s="362"/>
      <c r="BD283" s="76">
        <f>'[8]COM 55 &amp; 65'!$J368</f>
        <v>15.4</v>
      </c>
      <c r="BE283" s="76">
        <f t="shared" si="222"/>
        <v>15.1</v>
      </c>
      <c r="BF283" s="363">
        <f t="shared" ref="BF283:BF288" si="325">(BE283-BD283)</f>
        <v>-0.30000000000000071</v>
      </c>
      <c r="BG283" s="244"/>
      <c r="BH283" s="244">
        <f t="shared" si="295"/>
        <v>-4916.951999999992</v>
      </c>
      <c r="BI283" s="242">
        <f t="shared" si="296"/>
        <v>-197.80200000000048</v>
      </c>
      <c r="BJ283" s="242"/>
      <c r="BK283" s="241">
        <f t="shared" ref="BK283:BK288" si="326">ROUND(SUM(BH283,BI283),0)</f>
        <v>-5115</v>
      </c>
      <c r="BL283" s="262"/>
      <c r="BM283" s="36" t="s">
        <v>18</v>
      </c>
      <c r="BN283" s="4">
        <f t="shared" si="223"/>
        <v>2006</v>
      </c>
      <c r="BO283" s="4">
        <f t="shared" si="224"/>
        <v>3</v>
      </c>
      <c r="BP283" s="108">
        <f>C283+[4]MWh!$AK117</f>
        <v>918793.65204710444</v>
      </c>
      <c r="BQ283" s="76">
        <f t="shared" si="281"/>
        <v>5598.2357761123094</v>
      </c>
      <c r="BR283" s="130">
        <f t="shared" si="282"/>
        <v>5567.0699360664903</v>
      </c>
      <c r="BS283" s="108">
        <f t="shared" si="318"/>
        <v>-253.863088624169</v>
      </c>
      <c r="BT283" s="175">
        <f t="shared" ref="BT283:BT288" si="327">BK283+BP283</f>
        <v>913678.65204710444</v>
      </c>
      <c r="BU283" s="108">
        <f t="shared" si="319"/>
        <v>-26902.631680560415</v>
      </c>
      <c r="BV283" s="137">
        <f t="shared" ref="BV283:BV288" si="328">BT283-BP283</f>
        <v>-5115</v>
      </c>
      <c r="BW283" s="529">
        <f>BT283/[9]CMWh!$L163</f>
        <v>1.078816299453323</v>
      </c>
    </row>
    <row r="284" spans="1:75" ht="12.75" customHeight="1">
      <c r="A284" s="22">
        <f t="shared" si="213"/>
        <v>2006</v>
      </c>
      <c r="B284" s="4">
        <f t="shared" si="214"/>
        <v>4</v>
      </c>
      <c r="C284" s="5">
        <f>'[2]FPC wSEB'!$E381</f>
        <v>895616</v>
      </c>
      <c r="D284" s="5">
        <f>'[2]FPC wSEB'!$Y381</f>
        <v>160529</v>
      </c>
      <c r="E284" s="74">
        <f t="shared" si="320"/>
        <v>5579.2</v>
      </c>
      <c r="F284" s="358">
        <v>93319</v>
      </c>
      <c r="G284" s="358">
        <v>111604</v>
      </c>
      <c r="H284" s="358">
        <v>11052</v>
      </c>
      <c r="I284" s="358">
        <v>4721</v>
      </c>
      <c r="J284" s="574">
        <f>[5]CC!$E164</f>
        <v>162589</v>
      </c>
      <c r="K284" s="4">
        <f>'[7]COM 55 &amp; 65'!$S369</f>
        <v>184.1</v>
      </c>
      <c r="L284" s="4">
        <f t="shared" si="216"/>
        <v>178.4</v>
      </c>
      <c r="M284" s="135">
        <f t="shared" si="315"/>
        <v>-5.6999999999999886</v>
      </c>
      <c r="N284" s="4">
        <f>'[7]COM 55 &amp; 65'!$J369</f>
        <v>10.6</v>
      </c>
      <c r="O284" s="4">
        <f t="shared" si="209"/>
        <v>9.5</v>
      </c>
      <c r="P284" s="41">
        <f t="shared" si="321"/>
        <v>-1.0999999999999996</v>
      </c>
      <c r="Q284" s="474">
        <f t="shared" si="288"/>
        <v>-3892.5869999999923</v>
      </c>
      <c r="R284" s="472">
        <f t="shared" si="289"/>
        <v>-725.27399999999977</v>
      </c>
      <c r="S284" s="241">
        <f t="shared" si="290"/>
        <v>-4618</v>
      </c>
      <c r="T284" s="13" t="s">
        <v>18</v>
      </c>
      <c r="U284" s="4">
        <f t="shared" si="217"/>
        <v>2006</v>
      </c>
      <c r="V284" s="4">
        <f t="shared" si="218"/>
        <v>4</v>
      </c>
      <c r="W284" s="242">
        <f t="shared" si="291"/>
        <v>5550.386534520243</v>
      </c>
      <c r="X284" s="131">
        <f t="shared" si="316"/>
        <v>-271.70326384569671</v>
      </c>
      <c r="Z284" s="175">
        <f t="shared" si="276"/>
        <v>890998</v>
      </c>
      <c r="AA284" s="12">
        <f t="shared" si="292"/>
        <v>-4618</v>
      </c>
      <c r="AB284" s="519">
        <f>[9]CMWh!$L164</f>
        <v>900161</v>
      </c>
      <c r="AC284" s="107">
        <f>RESID!AC284</f>
        <v>30</v>
      </c>
      <c r="AD284" s="243">
        <f t="shared" si="293"/>
        <v>908154.6</v>
      </c>
      <c r="AE284" s="243">
        <f t="shared" si="322"/>
        <v>-6945.5</v>
      </c>
      <c r="AF284" s="4">
        <f t="shared" si="279"/>
        <v>7856</v>
      </c>
      <c r="AG284" s="4">
        <f t="shared" si="323"/>
        <v>903472</v>
      </c>
      <c r="AH284" s="4">
        <f t="shared" si="317"/>
        <v>-21604</v>
      </c>
      <c r="AJ284" s="269">
        <f t="shared" si="306"/>
        <v>791245</v>
      </c>
      <c r="AK284" s="269">
        <f t="shared" si="307"/>
        <v>44204</v>
      </c>
      <c r="AL284" s="276">
        <f t="shared" si="312"/>
        <v>17899.850692245047</v>
      </c>
      <c r="AM284" s="269">
        <f t="shared" si="308"/>
        <v>93319</v>
      </c>
      <c r="AN284" s="269">
        <f t="shared" si="309"/>
        <v>111604</v>
      </c>
      <c r="AO284" s="276">
        <f t="shared" si="313"/>
        <v>836.16178631590265</v>
      </c>
      <c r="AP284" s="269">
        <f t="shared" si="310"/>
        <v>11052</v>
      </c>
      <c r="AQ284" s="269">
        <f t="shared" si="311"/>
        <v>4721</v>
      </c>
      <c r="AR284" s="276">
        <f t="shared" si="314"/>
        <v>2341.0294429146365</v>
      </c>
      <c r="AX284" s="4">
        <f t="shared" si="219"/>
        <v>2006</v>
      </c>
      <c r="AY284" s="4">
        <f t="shared" si="220"/>
        <v>4</v>
      </c>
      <c r="AZ284" s="76">
        <f>'[8]COM 55 &amp; 65'!$S369</f>
        <v>281</v>
      </c>
      <c r="BA284" s="76">
        <f t="shared" si="221"/>
        <v>227.4</v>
      </c>
      <c r="BB284" s="362">
        <f t="shared" si="324"/>
        <v>-53.599999999999994</v>
      </c>
      <c r="BC284" s="362"/>
      <c r="BD284" s="76">
        <f>'[8]COM 55 &amp; 65'!$J369</f>
        <v>0.6</v>
      </c>
      <c r="BE284" s="76">
        <f t="shared" si="222"/>
        <v>4.8</v>
      </c>
      <c r="BF284" s="363">
        <f t="shared" si="325"/>
        <v>4.2</v>
      </c>
      <c r="BG284" s="244"/>
      <c r="BH284" s="244">
        <f t="shared" si="295"/>
        <v>-36603.975999999995</v>
      </c>
      <c r="BI284" s="242">
        <f t="shared" si="296"/>
        <v>2769.2280000000001</v>
      </c>
      <c r="BJ284" s="242"/>
      <c r="BK284" s="241">
        <f t="shared" si="326"/>
        <v>-33835</v>
      </c>
      <c r="BL284" s="262"/>
      <c r="BM284" s="36" t="s">
        <v>18</v>
      </c>
      <c r="BN284" s="4">
        <f t="shared" si="223"/>
        <v>2006</v>
      </c>
      <c r="BO284" s="4">
        <f t="shared" si="224"/>
        <v>4</v>
      </c>
      <c r="BP284" s="108">
        <f>C284+[4]MWh!$AK118</f>
        <v>998690.9412939942</v>
      </c>
      <c r="BQ284" s="76">
        <f t="shared" si="281"/>
        <v>6221.2493773336546</v>
      </c>
      <c r="BR284" s="130">
        <f t="shared" si="282"/>
        <v>6010.4774918799358</v>
      </c>
      <c r="BS284" s="108">
        <f t="shared" si="318"/>
        <v>31.486159604792192</v>
      </c>
      <c r="BT284" s="175">
        <f t="shared" si="327"/>
        <v>964855.9412939942</v>
      </c>
      <c r="BU284" s="108">
        <f t="shared" si="319"/>
        <v>7667.2609274019487</v>
      </c>
      <c r="BV284" s="137">
        <f t="shared" si="328"/>
        <v>-33835</v>
      </c>
      <c r="BW284" s="529">
        <f>BT284/[9]CMWh!$L164</f>
        <v>1.071870411286419</v>
      </c>
    </row>
    <row r="285" spans="1:75" ht="12.75" customHeight="1">
      <c r="A285" s="22">
        <f t="shared" si="213"/>
        <v>2006</v>
      </c>
      <c r="B285" s="4">
        <f t="shared" si="214"/>
        <v>5</v>
      </c>
      <c r="C285" s="5">
        <f>'[2]FPC wSEB'!$E382</f>
        <v>1002663</v>
      </c>
      <c r="D285" s="5">
        <f>'[2]FPC wSEB'!$Y382</f>
        <v>163432</v>
      </c>
      <c r="E285" s="74">
        <f t="shared" si="320"/>
        <v>6135</v>
      </c>
      <c r="F285" s="358">
        <v>106226</v>
      </c>
      <c r="G285" s="358">
        <v>113356</v>
      </c>
      <c r="H285" s="358">
        <v>11404</v>
      </c>
      <c r="I285" s="358">
        <v>4725</v>
      </c>
      <c r="J285" s="574">
        <f>[5]CC!$E165</f>
        <v>162305</v>
      </c>
      <c r="K285" s="4">
        <f>'[7]COM 55 &amp; 65'!$S370</f>
        <v>310.89999999999998</v>
      </c>
      <c r="L285" s="4">
        <f t="shared" si="216"/>
        <v>273.89999999999998</v>
      </c>
      <c r="M285" s="135">
        <f t="shared" si="315"/>
        <v>-37</v>
      </c>
      <c r="N285" s="4">
        <f>'[7]COM 55 &amp; 65'!$J370</f>
        <v>0.4</v>
      </c>
      <c r="O285" s="4">
        <f t="shared" si="209"/>
        <v>2</v>
      </c>
      <c r="P285" s="41">
        <f t="shared" si="321"/>
        <v>1.6</v>
      </c>
      <c r="Q285" s="474">
        <f t="shared" si="288"/>
        <v>-25267.67</v>
      </c>
      <c r="R285" s="472">
        <f t="shared" si="289"/>
        <v>1054.9440000000002</v>
      </c>
      <c r="S285" s="241">
        <f t="shared" si="290"/>
        <v>-24213</v>
      </c>
      <c r="T285" s="13" t="s">
        <v>18</v>
      </c>
      <c r="U285" s="4">
        <f t="shared" si="217"/>
        <v>2006</v>
      </c>
      <c r="V285" s="4">
        <f t="shared" si="218"/>
        <v>5</v>
      </c>
      <c r="W285" s="242">
        <f t="shared" si="291"/>
        <v>5986.8936316021345</v>
      </c>
      <c r="X285" s="131">
        <f t="shared" si="316"/>
        <v>22.750757249646085</v>
      </c>
      <c r="Z285" s="175">
        <f t="shared" si="276"/>
        <v>978450</v>
      </c>
      <c r="AA285" s="12">
        <f t="shared" si="292"/>
        <v>-24213</v>
      </c>
      <c r="AB285" s="519">
        <f>[9]CMWh!$L165</f>
        <v>984918</v>
      </c>
      <c r="AC285" s="107">
        <f>RESID!AC285</f>
        <v>30.2</v>
      </c>
      <c r="AD285" s="243">
        <f t="shared" si="293"/>
        <v>1009967.2</v>
      </c>
      <c r="AE285" s="243">
        <f t="shared" si="322"/>
        <v>37129.399999999907</v>
      </c>
      <c r="AF285" s="4">
        <f t="shared" si="279"/>
        <v>-17085</v>
      </c>
      <c r="AG285" s="4">
        <f t="shared" si="323"/>
        <v>985578</v>
      </c>
      <c r="AH285" s="4">
        <f t="shared" si="317"/>
        <v>-38942</v>
      </c>
      <c r="AJ285" s="269">
        <f t="shared" si="306"/>
        <v>885033</v>
      </c>
      <c r="AK285" s="269">
        <f t="shared" si="307"/>
        <v>45351</v>
      </c>
      <c r="AL285" s="276">
        <f t="shared" si="312"/>
        <v>19515.181583647551</v>
      </c>
      <c r="AM285" s="269">
        <f t="shared" si="308"/>
        <v>106226</v>
      </c>
      <c r="AN285" s="269">
        <f t="shared" si="309"/>
        <v>113356</v>
      </c>
      <c r="AO285" s="276">
        <f t="shared" si="313"/>
        <v>937.10081513109139</v>
      </c>
      <c r="AP285" s="269">
        <f t="shared" si="310"/>
        <v>11404</v>
      </c>
      <c r="AQ285" s="269">
        <f t="shared" si="311"/>
        <v>4725</v>
      </c>
      <c r="AR285" s="276">
        <f t="shared" si="314"/>
        <v>2413.5449735449733</v>
      </c>
      <c r="AX285" s="4">
        <f t="shared" si="219"/>
        <v>2006</v>
      </c>
      <c r="AY285" s="4">
        <f t="shared" si="220"/>
        <v>5</v>
      </c>
      <c r="AZ285" s="76">
        <f>'[8]COM 55 &amp; 65'!$S370</f>
        <v>382.4</v>
      </c>
      <c r="BA285" s="76">
        <f t="shared" si="221"/>
        <v>395.2</v>
      </c>
      <c r="BB285" s="362">
        <f t="shared" si="324"/>
        <v>12.800000000000011</v>
      </c>
      <c r="BC285" s="362"/>
      <c r="BD285" s="76">
        <f>'[8]COM 55 &amp; 65'!$J370</f>
        <v>0.3</v>
      </c>
      <c r="BE285" s="76">
        <f t="shared" si="222"/>
        <v>0.2</v>
      </c>
      <c r="BF285" s="363">
        <f t="shared" si="325"/>
        <v>-9.9999999999999978E-2</v>
      </c>
      <c r="BG285" s="244"/>
      <c r="BH285" s="244">
        <f t="shared" si="295"/>
        <v>8741.2480000000069</v>
      </c>
      <c r="BI285" s="242">
        <f t="shared" si="296"/>
        <v>-65.933999999999983</v>
      </c>
      <c r="BJ285" s="242"/>
      <c r="BK285" s="241">
        <f t="shared" si="326"/>
        <v>8675</v>
      </c>
      <c r="BL285" s="262"/>
      <c r="BM285" s="36" t="s">
        <v>18</v>
      </c>
      <c r="BN285" s="4">
        <f t="shared" si="223"/>
        <v>2006</v>
      </c>
      <c r="BO285" s="4">
        <f t="shared" si="224"/>
        <v>5</v>
      </c>
      <c r="BP285" s="108">
        <f>C285+[4]MWh!$AK119</f>
        <v>1056964.081546952</v>
      </c>
      <c r="BQ285" s="76">
        <f t="shared" si="281"/>
        <v>6467.3018842512611</v>
      </c>
      <c r="BR285" s="130">
        <f t="shared" si="282"/>
        <v>6520.3820643873414</v>
      </c>
      <c r="BS285" s="108">
        <f t="shared" si="318"/>
        <v>-368.18768446582544</v>
      </c>
      <c r="BT285" s="175">
        <f t="shared" si="327"/>
        <v>1065639.081546952</v>
      </c>
      <c r="BU285" s="108">
        <f t="shared" si="319"/>
        <v>-78001.268157650717</v>
      </c>
      <c r="BV285" s="137">
        <f t="shared" si="328"/>
        <v>8675</v>
      </c>
      <c r="BW285" s="529">
        <f>BT285/[9]CMWh!$L165</f>
        <v>1.081957159425406</v>
      </c>
    </row>
    <row r="286" spans="1:75" ht="12.75" customHeight="1">
      <c r="A286" s="22">
        <f t="shared" ref="A286:A349" si="329">A274+1</f>
        <v>2006</v>
      </c>
      <c r="B286" s="4">
        <f t="shared" ref="B286:B349" si="330">B274</f>
        <v>6</v>
      </c>
      <c r="C286" s="5">
        <f>'[2]FPC wSEB'!$E383</f>
        <v>1111423</v>
      </c>
      <c r="D286" s="5">
        <f>'[2]FPC wSEB'!$Y383</f>
        <v>163791</v>
      </c>
      <c r="E286" s="74">
        <f t="shared" si="320"/>
        <v>6785.6</v>
      </c>
      <c r="F286" s="358">
        <v>113431</v>
      </c>
      <c r="G286" s="358">
        <v>112216</v>
      </c>
      <c r="H286" s="358">
        <v>11443</v>
      </c>
      <c r="I286" s="358">
        <v>4756</v>
      </c>
      <c r="J286" s="574">
        <f>[5]CC!$E166</f>
        <v>162280</v>
      </c>
      <c r="K286" s="4">
        <f>'[7]COM 55 &amp; 65'!$S371</f>
        <v>438.3</v>
      </c>
      <c r="L286" s="4">
        <f t="shared" si="216"/>
        <v>442.7</v>
      </c>
      <c r="M286" s="135">
        <f t="shared" si="315"/>
        <v>4.3999999999999773</v>
      </c>
      <c r="N286" s="4">
        <f>'[7]COM 55 &amp; 65'!$J371</f>
        <v>0.1</v>
      </c>
      <c r="O286" s="4">
        <f t="shared" si="209"/>
        <v>0.1</v>
      </c>
      <c r="P286" s="41">
        <f t="shared" si="321"/>
        <v>0</v>
      </c>
      <c r="Q286" s="474">
        <f t="shared" si="288"/>
        <v>3004.8039999999842</v>
      </c>
      <c r="R286" s="472">
        <f t="shared" si="289"/>
        <v>0</v>
      </c>
      <c r="S286" s="241">
        <f t="shared" si="290"/>
        <v>3005</v>
      </c>
      <c r="T286" s="13" t="s">
        <v>18</v>
      </c>
      <c r="U286" s="4">
        <f t="shared" si="217"/>
        <v>2006</v>
      </c>
      <c r="V286" s="4">
        <f t="shared" si="218"/>
        <v>6</v>
      </c>
      <c r="W286" s="242">
        <f t="shared" si="291"/>
        <v>6803.9635877429164</v>
      </c>
      <c r="X286" s="131">
        <f t="shared" si="316"/>
        <v>-114.60186024241557</v>
      </c>
      <c r="Z286" s="175">
        <f t="shared" si="276"/>
        <v>1114428</v>
      </c>
      <c r="AA286" s="12">
        <f t="shared" si="292"/>
        <v>3005</v>
      </c>
      <c r="AB286" s="519">
        <f>[9]CMWh!$L166</f>
        <v>1080786</v>
      </c>
      <c r="AC286" s="107">
        <f>RESID!AC286</f>
        <v>30.8</v>
      </c>
      <c r="AD286" s="243">
        <f t="shared" si="293"/>
        <v>1097710.6000000001</v>
      </c>
      <c r="AE286" s="243">
        <f t="shared" si="322"/>
        <v>79997.300000000047</v>
      </c>
      <c r="AF286" s="4">
        <f t="shared" si="279"/>
        <v>-10744</v>
      </c>
      <c r="AG286" s="4">
        <f t="shared" si="323"/>
        <v>1100679</v>
      </c>
      <c r="AH286" s="4">
        <f t="shared" si="317"/>
        <v>55857</v>
      </c>
      <c r="AJ286" s="269">
        <f t="shared" si="306"/>
        <v>986549</v>
      </c>
      <c r="AK286" s="269">
        <f t="shared" si="307"/>
        <v>46819</v>
      </c>
      <c r="AL286" s="276">
        <f t="shared" si="312"/>
        <v>21071.55214763237</v>
      </c>
      <c r="AM286" s="269">
        <f t="shared" si="308"/>
        <v>113431</v>
      </c>
      <c r="AN286" s="269">
        <f t="shared" si="309"/>
        <v>112216</v>
      </c>
      <c r="AO286" s="276">
        <f t="shared" si="313"/>
        <v>1010.8273330006416</v>
      </c>
      <c r="AP286" s="269">
        <f t="shared" si="310"/>
        <v>11443</v>
      </c>
      <c r="AQ286" s="269">
        <f t="shared" si="311"/>
        <v>4756</v>
      </c>
      <c r="AR286" s="276">
        <f t="shared" si="314"/>
        <v>2406.0134566862912</v>
      </c>
      <c r="AX286" s="4">
        <f t="shared" ref="AX286:AX364" si="331">AX274+1</f>
        <v>2006</v>
      </c>
      <c r="AY286" s="4">
        <f t="shared" ref="AY286:AY364" si="332">AY274</f>
        <v>6</v>
      </c>
      <c r="AZ286" s="76">
        <f>'[8]COM 55 &amp; 65'!$S371</f>
        <v>484.2</v>
      </c>
      <c r="BA286" s="76">
        <f t="shared" si="221"/>
        <v>485.1</v>
      </c>
      <c r="BB286" s="362">
        <f t="shared" si="324"/>
        <v>0.90000000000003411</v>
      </c>
      <c r="BC286" s="362"/>
      <c r="BD286" s="76">
        <f>'[8]COM 55 &amp; 65'!$J371</f>
        <v>0</v>
      </c>
      <c r="BE286" s="76">
        <f t="shared" si="222"/>
        <v>0</v>
      </c>
      <c r="BF286" s="363">
        <f t="shared" si="325"/>
        <v>0</v>
      </c>
      <c r="BG286" s="244"/>
      <c r="BH286" s="244">
        <f t="shared" si="295"/>
        <v>614.61900000002322</v>
      </c>
      <c r="BI286" s="242">
        <f t="shared" si="296"/>
        <v>0</v>
      </c>
      <c r="BJ286" s="242"/>
      <c r="BK286" s="241">
        <f t="shared" si="326"/>
        <v>615</v>
      </c>
      <c r="BL286" s="262"/>
      <c r="BM286" s="36" t="s">
        <v>18</v>
      </c>
      <c r="BN286" s="4">
        <f t="shared" si="223"/>
        <v>2006</v>
      </c>
      <c r="BO286" s="4">
        <f t="shared" si="224"/>
        <v>6</v>
      </c>
      <c r="BP286" s="108">
        <f>C286+[4]MWh!$AK120</f>
        <v>1136849.7977546267</v>
      </c>
      <c r="BQ286" s="76">
        <f t="shared" si="281"/>
        <v>6940.8563214989026</v>
      </c>
      <c r="BR286" s="130">
        <f t="shared" si="282"/>
        <v>6944.6111065603527</v>
      </c>
      <c r="BS286" s="108">
        <f t="shared" si="318"/>
        <v>121.47353353612289</v>
      </c>
      <c r="BT286" s="175">
        <f t="shared" si="327"/>
        <v>1137464.7977546267</v>
      </c>
      <c r="BU286" s="108">
        <f t="shared" si="319"/>
        <v>99263.007780832937</v>
      </c>
      <c r="BV286" s="137">
        <f t="shared" si="328"/>
        <v>615</v>
      </c>
      <c r="BW286" s="529">
        <f>BT286/[9]CMWh!$L166</f>
        <v>1.0524422020220716</v>
      </c>
    </row>
    <row r="287" spans="1:75" ht="12.75" customHeight="1">
      <c r="A287" s="22">
        <f t="shared" si="329"/>
        <v>2006</v>
      </c>
      <c r="B287" s="4">
        <f t="shared" si="330"/>
        <v>7</v>
      </c>
      <c r="C287" s="5">
        <f>'[2]FPC wSEB'!$E384</f>
        <v>1099908</v>
      </c>
      <c r="D287" s="5">
        <f>'[2]FPC wSEB'!$Y384</f>
        <v>156870</v>
      </c>
      <c r="E287" s="74">
        <f t="shared" si="320"/>
        <v>7011.6</v>
      </c>
      <c r="F287" s="358">
        <v>114713</v>
      </c>
      <c r="G287" s="358">
        <v>107611</v>
      </c>
      <c r="H287" s="358">
        <v>11369</v>
      </c>
      <c r="I287" s="358">
        <v>4787</v>
      </c>
      <c r="J287" s="574">
        <f>[5]CC!$E167</f>
        <v>162512</v>
      </c>
      <c r="K287" s="4">
        <f>'[7]COM 55 &amp; 65'!$S372</f>
        <v>506.9</v>
      </c>
      <c r="L287" s="4">
        <f t="shared" si="216"/>
        <v>516.1</v>
      </c>
      <c r="M287" s="135">
        <f t="shared" ref="M287:M292" si="333">(L287-K287)</f>
        <v>9.2000000000000455</v>
      </c>
      <c r="N287" s="4">
        <f>'[7]COM 55 &amp; 65'!$J372</f>
        <v>0</v>
      </c>
      <c r="O287" s="4">
        <f t="shared" si="209"/>
        <v>0</v>
      </c>
      <c r="P287" s="41">
        <f t="shared" si="321"/>
        <v>0</v>
      </c>
      <c r="Q287" s="474">
        <f t="shared" si="288"/>
        <v>6282.7720000000309</v>
      </c>
      <c r="R287" s="472">
        <f t="shared" si="289"/>
        <v>0</v>
      </c>
      <c r="S287" s="241">
        <f t="shared" si="290"/>
        <v>6283</v>
      </c>
      <c r="T287" s="13" t="s">
        <v>18</v>
      </c>
      <c r="U287" s="4">
        <f t="shared" si="217"/>
        <v>2006</v>
      </c>
      <c r="V287" s="4">
        <f t="shared" si="218"/>
        <v>7</v>
      </c>
      <c r="W287" s="242">
        <f t="shared" si="291"/>
        <v>7051.6414865812458</v>
      </c>
      <c r="X287" s="131">
        <f t="shared" ref="X287:X292" si="334">W287-W275</f>
        <v>-106.49316647325395</v>
      </c>
      <c r="Z287" s="175">
        <f t="shared" si="276"/>
        <v>1106191</v>
      </c>
      <c r="AA287" s="12">
        <f t="shared" si="292"/>
        <v>6283</v>
      </c>
      <c r="AB287" s="519">
        <f>[9]CMWh!$L167</f>
        <v>1143012</v>
      </c>
      <c r="AC287" s="107">
        <f>RESID!AC287</f>
        <v>30.5</v>
      </c>
      <c r="AD287" s="243">
        <f t="shared" si="293"/>
        <v>1097023</v>
      </c>
      <c r="AE287" s="243">
        <f t="shared" si="322"/>
        <v>-71808.699999999953</v>
      </c>
      <c r="AF287" s="4">
        <f t="shared" si="279"/>
        <v>3382</v>
      </c>
      <c r="AG287" s="4">
        <f t="shared" si="323"/>
        <v>1103290</v>
      </c>
      <c r="AH287" s="4">
        <f t="shared" ref="AH287:AH292" si="335">AG287-AG275</f>
        <v>-60933</v>
      </c>
      <c r="AJ287" s="269">
        <f t="shared" si="306"/>
        <v>973826</v>
      </c>
      <c r="AK287" s="269">
        <f t="shared" si="307"/>
        <v>44472</v>
      </c>
      <c r="AL287" s="276">
        <f t="shared" si="312"/>
        <v>21897.508544702283</v>
      </c>
      <c r="AM287" s="269">
        <f t="shared" si="308"/>
        <v>114713</v>
      </c>
      <c r="AN287" s="269">
        <f t="shared" si="309"/>
        <v>107611</v>
      </c>
      <c r="AO287" s="276">
        <f t="shared" si="313"/>
        <v>1065.996970569923</v>
      </c>
      <c r="AP287" s="269">
        <f t="shared" si="310"/>
        <v>11369</v>
      </c>
      <c r="AQ287" s="269">
        <f t="shared" si="311"/>
        <v>4787</v>
      </c>
      <c r="AR287" s="276">
        <f t="shared" si="314"/>
        <v>2374.9738876122833</v>
      </c>
      <c r="AX287" s="4">
        <f t="shared" si="331"/>
        <v>2006</v>
      </c>
      <c r="AY287" s="4">
        <f t="shared" si="332"/>
        <v>7</v>
      </c>
      <c r="AZ287" s="76">
        <f>'[8]COM 55 &amp; 65'!$S372</f>
        <v>536.70000000000005</v>
      </c>
      <c r="BA287" s="76">
        <f t="shared" si="221"/>
        <v>546.1</v>
      </c>
      <c r="BB287" s="362">
        <f t="shared" si="324"/>
        <v>9.3999999999999773</v>
      </c>
      <c r="BC287" s="362"/>
      <c r="BD287" s="76">
        <f>'[8]COM 55 &amp; 65'!$J372</f>
        <v>0</v>
      </c>
      <c r="BE287" s="76">
        <f t="shared" si="222"/>
        <v>0</v>
      </c>
      <c r="BF287" s="363">
        <f t="shared" si="325"/>
        <v>0</v>
      </c>
      <c r="BG287" s="244"/>
      <c r="BH287" s="244">
        <f t="shared" si="295"/>
        <v>6419.3539999999839</v>
      </c>
      <c r="BI287" s="242">
        <f t="shared" si="296"/>
        <v>0</v>
      </c>
      <c r="BJ287" s="242"/>
      <c r="BK287" s="241">
        <f t="shared" si="326"/>
        <v>6419</v>
      </c>
      <c r="BL287" s="262"/>
      <c r="BM287" s="36" t="s">
        <v>18</v>
      </c>
      <c r="BN287" s="4">
        <f t="shared" si="223"/>
        <v>2006</v>
      </c>
      <c r="BO287" s="4">
        <f t="shared" si="224"/>
        <v>7</v>
      </c>
      <c r="BP287" s="108">
        <f>C287+[4]MWh!$AK121</f>
        <v>1150589.337633701</v>
      </c>
      <c r="BQ287" s="76">
        <f t="shared" si="281"/>
        <v>7334.6677990291391</v>
      </c>
      <c r="BR287" s="130">
        <f t="shared" si="282"/>
        <v>7375.5870315146367</v>
      </c>
      <c r="BS287" s="108">
        <f t="shared" ref="BS287:BS292" si="336">BR287-BR275</f>
        <v>18.296533814002032</v>
      </c>
      <c r="BT287" s="175">
        <f t="shared" si="327"/>
        <v>1157008.337633701</v>
      </c>
      <c r="BU287" s="108">
        <f t="shared" ref="BU287:BU292" si="337">BT287-BT275</f>
        <v>-48652.928095994983</v>
      </c>
      <c r="BV287" s="137">
        <f t="shared" si="328"/>
        <v>6419</v>
      </c>
      <c r="BW287" s="529">
        <f>BT287/[9]CMWh!$L167</f>
        <v>1.0122451362135314</v>
      </c>
    </row>
    <row r="288" spans="1:75" ht="12.75" customHeight="1">
      <c r="A288" s="22">
        <f t="shared" si="329"/>
        <v>2006</v>
      </c>
      <c r="B288" s="4">
        <f t="shared" si="330"/>
        <v>8</v>
      </c>
      <c r="C288" s="5">
        <f>'[2]FPC wSEB'!$E385</f>
        <v>1214617</v>
      </c>
      <c r="D288" s="5">
        <f>'[2]FPC wSEB'!$Y385</f>
        <v>168465</v>
      </c>
      <c r="E288" s="74">
        <f t="shared" ref="E288:E293" si="338">ROUND((C288/D288)*1000,1)</f>
        <v>7209.9</v>
      </c>
      <c r="F288" s="358">
        <v>130309</v>
      </c>
      <c r="G288" s="358">
        <v>116573</v>
      </c>
      <c r="H288" s="358">
        <v>11615</v>
      </c>
      <c r="I288" s="358">
        <v>4840</v>
      </c>
      <c r="J288" s="574">
        <f>[5]CC!$E168</f>
        <v>162999</v>
      </c>
      <c r="K288" s="4">
        <f>'[7]COM 55 &amp; 65'!$S373</f>
        <v>563.9</v>
      </c>
      <c r="L288" s="4">
        <f t="shared" si="216"/>
        <v>542</v>
      </c>
      <c r="M288" s="135">
        <f t="shared" si="333"/>
        <v>-21.899999999999977</v>
      </c>
      <c r="N288" s="4">
        <f>'[7]COM 55 &amp; 65'!$J373</f>
        <v>0</v>
      </c>
      <c r="O288" s="4">
        <f t="shared" si="209"/>
        <v>0</v>
      </c>
      <c r="P288" s="41">
        <f t="shared" si="321"/>
        <v>0</v>
      </c>
      <c r="Q288" s="474">
        <f t="shared" si="288"/>
        <v>-14955.728999999983</v>
      </c>
      <c r="R288" s="472">
        <f t="shared" si="289"/>
        <v>0</v>
      </c>
      <c r="S288" s="241">
        <f t="shared" si="290"/>
        <v>-14956</v>
      </c>
      <c r="T288" s="13" t="s">
        <v>18</v>
      </c>
      <c r="U288" s="4">
        <f t="shared" si="217"/>
        <v>2006</v>
      </c>
      <c r="V288" s="4">
        <f t="shared" si="218"/>
        <v>8</v>
      </c>
      <c r="W288" s="242">
        <f t="shared" si="291"/>
        <v>7121.1290178968929</v>
      </c>
      <c r="X288" s="131">
        <f t="shared" si="334"/>
        <v>210.14686118626469</v>
      </c>
      <c r="Z288" s="175">
        <f t="shared" si="276"/>
        <v>1199661</v>
      </c>
      <c r="AA288" s="12">
        <f t="shared" si="292"/>
        <v>-14956</v>
      </c>
      <c r="AB288" s="519">
        <f>[9]CMWh!$L168</f>
        <v>1170563</v>
      </c>
      <c r="AC288" s="107">
        <f>RESID!AC288</f>
        <v>31.1</v>
      </c>
      <c r="AD288" s="243">
        <f t="shared" si="293"/>
        <v>1188059.5</v>
      </c>
      <c r="AE288" s="243">
        <f t="shared" si="322"/>
        <v>58462.199999999953</v>
      </c>
      <c r="AF288" s="4">
        <f t="shared" si="279"/>
        <v>-41187</v>
      </c>
      <c r="AG288" s="4">
        <f t="shared" si="323"/>
        <v>1173430</v>
      </c>
      <c r="AH288" s="4">
        <f t="shared" si="335"/>
        <v>84245</v>
      </c>
      <c r="AJ288" s="269">
        <f t="shared" si="306"/>
        <v>1072693</v>
      </c>
      <c r="AK288" s="269">
        <f t="shared" si="307"/>
        <v>47052</v>
      </c>
      <c r="AL288" s="276">
        <f t="shared" si="312"/>
        <v>22798.031964634873</v>
      </c>
      <c r="AM288" s="269">
        <f t="shared" si="308"/>
        <v>130309</v>
      </c>
      <c r="AN288" s="269">
        <f t="shared" si="309"/>
        <v>116573</v>
      </c>
      <c r="AO288" s="276">
        <f t="shared" si="313"/>
        <v>1117.8317449152032</v>
      </c>
      <c r="AP288" s="269">
        <f t="shared" si="310"/>
        <v>11615</v>
      </c>
      <c r="AQ288" s="269">
        <f t="shared" si="311"/>
        <v>4840</v>
      </c>
      <c r="AR288" s="276">
        <f t="shared" si="314"/>
        <v>2399.7933884297522</v>
      </c>
      <c r="AX288" s="4">
        <f t="shared" si="331"/>
        <v>2006</v>
      </c>
      <c r="AY288" s="4">
        <f t="shared" si="332"/>
        <v>8</v>
      </c>
      <c r="AZ288" s="76">
        <f>'[8]COM 55 &amp; 65'!$S373</f>
        <v>564.79999999999995</v>
      </c>
      <c r="BA288" s="76">
        <f t="shared" si="221"/>
        <v>549</v>
      </c>
      <c r="BB288" s="362">
        <f t="shared" si="324"/>
        <v>-15.799999999999955</v>
      </c>
      <c r="BC288" s="362"/>
      <c r="BD288" s="76">
        <f>'[8]COM 55 &amp; 65'!$J373</f>
        <v>0</v>
      </c>
      <c r="BE288" s="76">
        <f t="shared" si="222"/>
        <v>0</v>
      </c>
      <c r="BF288" s="363">
        <f t="shared" si="325"/>
        <v>0</v>
      </c>
      <c r="BG288" s="244"/>
      <c r="BH288" s="244">
        <f t="shared" si="295"/>
        <v>-10789.977999999968</v>
      </c>
      <c r="BI288" s="242">
        <f t="shared" si="296"/>
        <v>0</v>
      </c>
      <c r="BJ288" s="242"/>
      <c r="BK288" s="241">
        <f t="shared" si="326"/>
        <v>-10790</v>
      </c>
      <c r="BL288" s="262"/>
      <c r="BM288" s="36" t="s">
        <v>18</v>
      </c>
      <c r="BN288" s="4">
        <f t="shared" si="223"/>
        <v>2006</v>
      </c>
      <c r="BO288" s="4">
        <f t="shared" si="224"/>
        <v>8</v>
      </c>
      <c r="BP288" s="108">
        <f>C288+[4]MWh!$AK122</f>
        <v>1187496.2064845299</v>
      </c>
      <c r="BQ288" s="76">
        <f t="shared" si="281"/>
        <v>7048.9193985963248</v>
      </c>
      <c r="BR288" s="130">
        <f t="shared" si="282"/>
        <v>6984.8704863593612</v>
      </c>
      <c r="BS288" s="108">
        <f t="shared" si="336"/>
        <v>147.91940236321989</v>
      </c>
      <c r="BT288" s="175">
        <f t="shared" si="327"/>
        <v>1176706.2064845299</v>
      </c>
      <c r="BU288" s="108">
        <f t="shared" si="337"/>
        <v>75102.463075651554</v>
      </c>
      <c r="BV288" s="137">
        <f t="shared" si="328"/>
        <v>-10790</v>
      </c>
      <c r="BW288" s="529">
        <f>BT288/[9]CMWh!$L168</f>
        <v>1.0052480784755113</v>
      </c>
    </row>
    <row r="289" spans="1:75" ht="12.75" customHeight="1">
      <c r="A289" s="22">
        <f t="shared" si="329"/>
        <v>2006</v>
      </c>
      <c r="B289" s="4">
        <f t="shared" si="330"/>
        <v>9</v>
      </c>
      <c r="C289" s="5">
        <f>'[2]FPC wSEB'!$E386</f>
        <v>1166195</v>
      </c>
      <c r="D289" s="5">
        <f>'[2]FPC wSEB'!$Y386</f>
        <v>163201</v>
      </c>
      <c r="E289" s="74">
        <f t="shared" si="338"/>
        <v>7145.8</v>
      </c>
      <c r="F289" s="358">
        <v>120376</v>
      </c>
      <c r="G289" s="358">
        <v>111931</v>
      </c>
      <c r="H289" s="358">
        <v>11001</v>
      </c>
      <c r="I289" s="358">
        <v>4877</v>
      </c>
      <c r="J289" s="574">
        <f>[5]CC!$E169</f>
        <v>162259</v>
      </c>
      <c r="K289" s="4">
        <f>'[7]COM 55 &amp; 65'!$S374</f>
        <v>525.4</v>
      </c>
      <c r="L289" s="4">
        <f t="shared" si="216"/>
        <v>531.20000000000005</v>
      </c>
      <c r="M289" s="135">
        <f t="shared" si="333"/>
        <v>5.8000000000000682</v>
      </c>
      <c r="N289" s="4">
        <f>'[7]COM 55 &amp; 65'!$J374</f>
        <v>0</v>
      </c>
      <c r="O289" s="4">
        <f t="shared" si="209"/>
        <v>0</v>
      </c>
      <c r="P289" s="41">
        <f t="shared" ref="P289:P294" si="339">(O289-N289)</f>
        <v>0</v>
      </c>
      <c r="Q289" s="474">
        <f t="shared" si="288"/>
        <v>3960.8780000000465</v>
      </c>
      <c r="R289" s="472">
        <f t="shared" si="289"/>
        <v>0</v>
      </c>
      <c r="S289" s="241">
        <f t="shared" si="290"/>
        <v>3961</v>
      </c>
      <c r="T289" s="13" t="s">
        <v>18</v>
      </c>
      <c r="U289" s="4">
        <f t="shared" si="217"/>
        <v>2006</v>
      </c>
      <c r="V289" s="4">
        <f t="shared" si="218"/>
        <v>9</v>
      </c>
      <c r="W289" s="242">
        <f t="shared" si="291"/>
        <v>7170.0295954068915</v>
      </c>
      <c r="X289" s="131">
        <f t="shared" si="334"/>
        <v>-120.03284115694441</v>
      </c>
      <c r="Z289" s="175">
        <f t="shared" si="276"/>
        <v>1170156</v>
      </c>
      <c r="AA289" s="12">
        <f t="shared" si="292"/>
        <v>3961</v>
      </c>
      <c r="AB289" s="519">
        <f>[9]CMWh!$L169</f>
        <v>1163740</v>
      </c>
      <c r="AC289" s="107">
        <f>RESID!AC289</f>
        <v>30.5</v>
      </c>
      <c r="AD289" s="243">
        <f t="shared" si="293"/>
        <v>1163136.1000000001</v>
      </c>
      <c r="AE289" s="243">
        <f t="shared" ref="AE289:AE294" si="340">AD289-AD277</f>
        <v>-54439.09999999986</v>
      </c>
      <c r="AF289" s="4">
        <f t="shared" si="279"/>
        <v>892</v>
      </c>
      <c r="AG289" s="4">
        <f t="shared" ref="AG289:AG294" si="341">ROUND(Z289/(AC289/30.42),0)</f>
        <v>1167087</v>
      </c>
      <c r="AH289" s="4">
        <f t="shared" si="335"/>
        <v>-16854</v>
      </c>
      <c r="AJ289" s="269">
        <f t="shared" si="306"/>
        <v>1034818</v>
      </c>
      <c r="AK289" s="269">
        <f t="shared" si="307"/>
        <v>46393</v>
      </c>
      <c r="AL289" s="276">
        <f t="shared" si="312"/>
        <v>22305.47711939301</v>
      </c>
      <c r="AM289" s="269">
        <f t="shared" si="308"/>
        <v>120376</v>
      </c>
      <c r="AN289" s="269">
        <f t="shared" si="309"/>
        <v>111931</v>
      </c>
      <c r="AO289" s="276">
        <f t="shared" si="313"/>
        <v>1075.448267236065</v>
      </c>
      <c r="AP289" s="269">
        <f t="shared" si="310"/>
        <v>11001</v>
      </c>
      <c r="AQ289" s="269">
        <f t="shared" si="311"/>
        <v>4877</v>
      </c>
      <c r="AR289" s="276">
        <f t="shared" si="314"/>
        <v>2255.6899733442692</v>
      </c>
      <c r="AX289" s="4">
        <f t="shared" si="331"/>
        <v>2006</v>
      </c>
      <c r="AY289" s="4">
        <f t="shared" si="332"/>
        <v>9</v>
      </c>
      <c r="AZ289" s="76">
        <f>'[8]COM 55 &amp; 65'!$S374</f>
        <v>469.1</v>
      </c>
      <c r="BA289" s="76">
        <f t="shared" si="221"/>
        <v>487.9</v>
      </c>
      <c r="BB289" s="362">
        <f t="shared" ref="BB289:BB294" si="342">(BA289-AZ289)</f>
        <v>18.799999999999955</v>
      </c>
      <c r="BC289" s="362"/>
      <c r="BD289" s="76">
        <f>'[8]COM 55 &amp; 65'!$J374</f>
        <v>0</v>
      </c>
      <c r="BE289" s="76">
        <f t="shared" si="222"/>
        <v>0</v>
      </c>
      <c r="BF289" s="363">
        <f t="shared" ref="BF289:BF294" si="343">(BE289-BD289)</f>
        <v>0</v>
      </c>
      <c r="BG289" s="244"/>
      <c r="BH289" s="244">
        <f t="shared" si="295"/>
        <v>12838.707999999968</v>
      </c>
      <c r="BI289" s="242">
        <f t="shared" si="296"/>
        <v>0</v>
      </c>
      <c r="BJ289" s="242"/>
      <c r="BK289" s="241">
        <f t="shared" ref="BK289:BK294" si="344">ROUND(SUM(BH289,BI289),0)</f>
        <v>12839</v>
      </c>
      <c r="BL289" s="262"/>
      <c r="BM289" s="36" t="s">
        <v>18</v>
      </c>
      <c r="BN289" s="4">
        <f t="shared" si="223"/>
        <v>2006</v>
      </c>
      <c r="BO289" s="4">
        <f t="shared" si="224"/>
        <v>9</v>
      </c>
      <c r="BP289" s="108">
        <f>C289+[4]MWh!$AK123</f>
        <v>1083693.8447654443</v>
      </c>
      <c r="BQ289" s="76">
        <f t="shared" si="281"/>
        <v>6640.2402238064979</v>
      </c>
      <c r="BR289" s="130">
        <f t="shared" si="282"/>
        <v>6718.9100848980352</v>
      </c>
      <c r="BS289" s="108">
        <f t="shared" si="336"/>
        <v>-281.25132544470216</v>
      </c>
      <c r="BT289" s="175">
        <f t="shared" ref="BT289:BT294" si="345">BK289+BP289</f>
        <v>1096532.8447654443</v>
      </c>
      <c r="BU289" s="108">
        <f t="shared" si="337"/>
        <v>-41448.394906922709</v>
      </c>
      <c r="BV289" s="137">
        <f t="shared" ref="BV289:BV294" si="346">BT289-BP289</f>
        <v>12839</v>
      </c>
      <c r="BW289" s="529">
        <f>BT289/[9]CMWh!$L169</f>
        <v>0.94224899441923826</v>
      </c>
    </row>
    <row r="290" spans="1:75" ht="12.75" customHeight="1">
      <c r="A290" s="22">
        <f t="shared" si="329"/>
        <v>2006</v>
      </c>
      <c r="B290" s="4">
        <f t="shared" si="330"/>
        <v>10</v>
      </c>
      <c r="C290" s="5">
        <f>'[2]FPC wSEB'!$E387</f>
        <v>1025595</v>
      </c>
      <c r="D290" s="5">
        <f>'[2]FPC wSEB'!$Y387</f>
        <v>158837</v>
      </c>
      <c r="E290" s="74">
        <f t="shared" si="338"/>
        <v>6456.9</v>
      </c>
      <c r="F290" s="358">
        <v>106229</v>
      </c>
      <c r="G290" s="358">
        <v>108063</v>
      </c>
      <c r="H290" s="358">
        <v>11928</v>
      </c>
      <c r="I290" s="358">
        <v>4890</v>
      </c>
      <c r="J290" s="574">
        <f>[5]CC!$E170</f>
        <v>162817</v>
      </c>
      <c r="K290" s="4">
        <f>'[7]COM 55 &amp; 65'!$S375</f>
        <v>408</v>
      </c>
      <c r="L290" s="4">
        <f t="shared" si="216"/>
        <v>431.2</v>
      </c>
      <c r="M290" s="135">
        <f t="shared" si="333"/>
        <v>23.199999999999989</v>
      </c>
      <c r="N290" s="4">
        <f>'[7]COM 55 &amp; 65'!$J375</f>
        <v>0.5</v>
      </c>
      <c r="O290" s="4">
        <f t="shared" si="209"/>
        <v>0.2</v>
      </c>
      <c r="P290" s="41">
        <f t="shared" si="339"/>
        <v>-0.3</v>
      </c>
      <c r="Q290" s="474">
        <f t="shared" si="288"/>
        <v>15843.511999999992</v>
      </c>
      <c r="R290" s="472">
        <f t="shared" si="289"/>
        <v>-197.80199999999999</v>
      </c>
      <c r="S290" s="241">
        <f t="shared" si="290"/>
        <v>15646</v>
      </c>
      <c r="T290" s="13" t="s">
        <v>18</v>
      </c>
      <c r="U290" s="4">
        <f t="shared" si="217"/>
        <v>2006</v>
      </c>
      <c r="V290" s="4">
        <f t="shared" si="218"/>
        <v>10</v>
      </c>
      <c r="W290" s="242">
        <f t="shared" si="291"/>
        <v>6555.4058563181115</v>
      </c>
      <c r="X290" s="131">
        <f t="shared" si="334"/>
        <v>213.85741691803014</v>
      </c>
      <c r="Z290" s="175">
        <f t="shared" si="276"/>
        <v>1041241</v>
      </c>
      <c r="AA290" s="12">
        <f t="shared" si="292"/>
        <v>15646</v>
      </c>
      <c r="AB290" s="519">
        <f>[9]CMWh!$L170</f>
        <v>1067354</v>
      </c>
      <c r="AC290" s="107">
        <f>RESID!AC290</f>
        <v>29.7</v>
      </c>
      <c r="AD290" s="243">
        <f t="shared" si="293"/>
        <v>1050457.8999999999</v>
      </c>
      <c r="AE290" s="243">
        <f t="shared" si="340"/>
        <v>-25377.40000000014</v>
      </c>
      <c r="AF290" s="4">
        <f t="shared" si="279"/>
        <v>40888</v>
      </c>
      <c r="AG290" s="4">
        <f t="shared" si="341"/>
        <v>1066483</v>
      </c>
      <c r="AH290" s="4">
        <f t="shared" si="335"/>
        <v>26682</v>
      </c>
      <c r="AJ290" s="269">
        <f t="shared" si="306"/>
        <v>907438</v>
      </c>
      <c r="AK290" s="269">
        <f t="shared" si="307"/>
        <v>45884</v>
      </c>
      <c r="AL290" s="276">
        <f t="shared" si="312"/>
        <v>19776.784935925378</v>
      </c>
      <c r="AM290" s="269">
        <f t="shared" si="308"/>
        <v>106229</v>
      </c>
      <c r="AN290" s="269">
        <f t="shared" si="309"/>
        <v>108063</v>
      </c>
      <c r="AO290" s="276">
        <f t="shared" si="313"/>
        <v>983.02841860766409</v>
      </c>
      <c r="AP290" s="269">
        <f t="shared" si="310"/>
        <v>11928</v>
      </c>
      <c r="AQ290" s="269">
        <f t="shared" si="311"/>
        <v>4890</v>
      </c>
      <c r="AR290" s="276">
        <f t="shared" si="314"/>
        <v>2439.2638036809817</v>
      </c>
      <c r="AX290" s="4">
        <f t="shared" si="331"/>
        <v>2006</v>
      </c>
      <c r="AY290" s="4">
        <f t="shared" si="332"/>
        <v>10</v>
      </c>
      <c r="AZ290" s="76">
        <f>'[8]COM 55 &amp; 65'!$S375</f>
        <v>308.89999999999998</v>
      </c>
      <c r="BA290" s="76">
        <f t="shared" si="221"/>
        <v>332.5</v>
      </c>
      <c r="BB290" s="362">
        <f t="shared" si="342"/>
        <v>23.600000000000023</v>
      </c>
      <c r="BC290" s="362"/>
      <c r="BD290" s="76">
        <f>'[8]COM 55 &amp; 65'!$J375</f>
        <v>3.7</v>
      </c>
      <c r="BE290" s="76">
        <f t="shared" si="222"/>
        <v>2</v>
      </c>
      <c r="BF290" s="363">
        <f t="shared" si="343"/>
        <v>-1.7000000000000002</v>
      </c>
      <c r="BG290" s="244"/>
      <c r="BH290" s="244">
        <f t="shared" si="295"/>
        <v>16116.676000000014</v>
      </c>
      <c r="BI290" s="242">
        <f t="shared" si="296"/>
        <v>-1120.8780000000002</v>
      </c>
      <c r="BJ290" s="242"/>
      <c r="BK290" s="241">
        <f t="shared" si="344"/>
        <v>14996</v>
      </c>
      <c r="BL290" s="262"/>
      <c r="BM290" s="36" t="s">
        <v>18</v>
      </c>
      <c r="BN290" s="4">
        <f t="shared" si="223"/>
        <v>2006</v>
      </c>
      <c r="BO290" s="4">
        <f t="shared" si="224"/>
        <v>10</v>
      </c>
      <c r="BP290" s="108">
        <f>C290+[4]MWh!$AK124</f>
        <v>992529.89163088554</v>
      </c>
      <c r="BQ290" s="76">
        <f t="shared" si="281"/>
        <v>6248.7322955664331</v>
      </c>
      <c r="BR290" s="130">
        <f t="shared" si="282"/>
        <v>6343.1435473528563</v>
      </c>
      <c r="BS290" s="108">
        <f t="shared" si="336"/>
        <v>398.33388476204345</v>
      </c>
      <c r="BT290" s="175">
        <f t="shared" si="345"/>
        <v>1007525.8916308855</v>
      </c>
      <c r="BU290" s="108">
        <f t="shared" si="337"/>
        <v>54245.938186135725</v>
      </c>
      <c r="BV290" s="137">
        <f t="shared" si="346"/>
        <v>14996</v>
      </c>
      <c r="BW290" s="529">
        <f>BT290/[9]CMWh!$L170</f>
        <v>0.94394726738353496</v>
      </c>
    </row>
    <row r="291" spans="1:75" ht="12.75" customHeight="1">
      <c r="A291" s="22">
        <f t="shared" si="329"/>
        <v>2006</v>
      </c>
      <c r="B291" s="4">
        <f t="shared" si="330"/>
        <v>11</v>
      </c>
      <c r="C291" s="5">
        <f>'[2]FPC wSEB'!$E388</f>
        <v>986103</v>
      </c>
      <c r="D291" s="5">
        <f>'[2]FPC wSEB'!$Y388</f>
        <v>166634</v>
      </c>
      <c r="E291" s="74">
        <f t="shared" si="338"/>
        <v>5917.8</v>
      </c>
      <c r="F291" s="358">
        <v>98481</v>
      </c>
      <c r="G291" s="358">
        <v>114896</v>
      </c>
      <c r="H291" s="358">
        <v>11575</v>
      </c>
      <c r="I291" s="358">
        <v>4876</v>
      </c>
      <c r="J291" s="574">
        <f>[5]CC!$E171</f>
        <v>162599</v>
      </c>
      <c r="K291" s="4">
        <f>'[7]COM 55 &amp; 65'!$S376</f>
        <v>224.4</v>
      </c>
      <c r="L291" s="4">
        <f t="shared" si="216"/>
        <v>251.9</v>
      </c>
      <c r="M291" s="135">
        <f t="shared" si="333"/>
        <v>27.5</v>
      </c>
      <c r="N291" s="4">
        <f>'[7]COM 55 &amp; 65'!$J376</f>
        <v>8.6999999999999993</v>
      </c>
      <c r="O291" s="4">
        <f t="shared" si="209"/>
        <v>6.3</v>
      </c>
      <c r="P291" s="41">
        <f t="shared" si="339"/>
        <v>-2.3999999999999995</v>
      </c>
      <c r="Q291" s="474">
        <f t="shared" si="288"/>
        <v>18780.024999999998</v>
      </c>
      <c r="R291" s="472">
        <f t="shared" si="289"/>
        <v>-1582.4159999999997</v>
      </c>
      <c r="S291" s="241">
        <f t="shared" si="290"/>
        <v>17198</v>
      </c>
      <c r="T291" s="13" t="s">
        <v>18</v>
      </c>
      <c r="U291" s="4">
        <f t="shared" si="217"/>
        <v>2006</v>
      </c>
      <c r="V291" s="4">
        <f t="shared" si="218"/>
        <v>11</v>
      </c>
      <c r="W291" s="242">
        <f t="shared" si="291"/>
        <v>6020.9861132782025</v>
      </c>
      <c r="X291" s="131">
        <f t="shared" si="334"/>
        <v>56.082633240972427</v>
      </c>
      <c r="Z291" s="175">
        <f t="shared" si="276"/>
        <v>1003301</v>
      </c>
      <c r="AA291" s="12">
        <f t="shared" si="292"/>
        <v>17198</v>
      </c>
      <c r="AB291" s="519">
        <f>[9]CMWh!$L171</f>
        <v>986374</v>
      </c>
      <c r="AC291" s="107">
        <f>RESID!AC291</f>
        <v>30.5</v>
      </c>
      <c r="AD291" s="243">
        <f t="shared" si="293"/>
        <v>983516.5</v>
      </c>
      <c r="AE291" s="243">
        <f t="shared" si="340"/>
        <v>-9956.5</v>
      </c>
      <c r="AF291" s="4">
        <f t="shared" si="279"/>
        <v>14566</v>
      </c>
      <c r="AG291" s="4">
        <f t="shared" si="341"/>
        <v>1000669</v>
      </c>
      <c r="AH291" s="4">
        <f t="shared" si="335"/>
        <v>8182</v>
      </c>
      <c r="AJ291" s="269">
        <f t="shared" si="306"/>
        <v>876047</v>
      </c>
      <c r="AK291" s="269">
        <f t="shared" si="307"/>
        <v>46862</v>
      </c>
      <c r="AL291" s="276">
        <f t="shared" si="312"/>
        <v>18694.187187913449</v>
      </c>
      <c r="AM291" s="269">
        <f t="shared" si="308"/>
        <v>98481</v>
      </c>
      <c r="AN291" s="269">
        <f t="shared" si="309"/>
        <v>114896</v>
      </c>
      <c r="AO291" s="276">
        <f t="shared" si="313"/>
        <v>857.13166689876061</v>
      </c>
      <c r="AP291" s="269">
        <f t="shared" si="310"/>
        <v>11575</v>
      </c>
      <c r="AQ291" s="269">
        <f t="shared" si="311"/>
        <v>4876</v>
      </c>
      <c r="AR291" s="276">
        <f t="shared" si="314"/>
        <v>2373.8720262510255</v>
      </c>
      <c r="AX291" s="4">
        <f t="shared" si="331"/>
        <v>2006</v>
      </c>
      <c r="AY291" s="4">
        <f t="shared" si="332"/>
        <v>11</v>
      </c>
      <c r="AZ291" s="76">
        <f>'[8]COM 55 &amp; 65'!$S376</f>
        <v>117.7</v>
      </c>
      <c r="BA291" s="76">
        <f t="shared" si="221"/>
        <v>146</v>
      </c>
      <c r="BB291" s="362">
        <f t="shared" si="342"/>
        <v>28.299999999999997</v>
      </c>
      <c r="BC291" s="362"/>
      <c r="BD291" s="76">
        <f>'[8]COM 55 &amp; 65'!$J376</f>
        <v>23.4</v>
      </c>
      <c r="BE291" s="76">
        <f t="shared" si="222"/>
        <v>14</v>
      </c>
      <c r="BF291" s="363">
        <f t="shared" si="343"/>
        <v>-9.3999999999999986</v>
      </c>
      <c r="BG291" s="244"/>
      <c r="BH291" s="244">
        <f t="shared" si="295"/>
        <v>19326.352999999996</v>
      </c>
      <c r="BI291" s="242">
        <f t="shared" si="296"/>
        <v>-6197.7959999999994</v>
      </c>
      <c r="BJ291" s="242"/>
      <c r="BK291" s="241">
        <f t="shared" si="344"/>
        <v>13129</v>
      </c>
      <c r="BL291" s="262"/>
      <c r="BM291" s="36" t="s">
        <v>18</v>
      </c>
      <c r="BN291" s="4">
        <f t="shared" si="223"/>
        <v>2006</v>
      </c>
      <c r="BO291" s="4">
        <f t="shared" si="224"/>
        <v>11</v>
      </c>
      <c r="BP291" s="108">
        <f>C291+[4]MWh!$AK125</f>
        <v>897086.31677339342</v>
      </c>
      <c r="BQ291" s="76">
        <f t="shared" si="281"/>
        <v>5383.5730809642291</v>
      </c>
      <c r="BR291" s="130">
        <f t="shared" si="282"/>
        <v>5462.3625236950047</v>
      </c>
      <c r="BS291" s="108">
        <f t="shared" si="336"/>
        <v>24.65117477757849</v>
      </c>
      <c r="BT291" s="175">
        <f t="shared" si="345"/>
        <v>910215.31677339342</v>
      </c>
      <c r="BU291" s="108">
        <f t="shared" si="337"/>
        <v>10502.472404213971</v>
      </c>
      <c r="BV291" s="137">
        <f t="shared" si="346"/>
        <v>13129</v>
      </c>
      <c r="BW291" s="529">
        <f>BT291/[9]CMWh!$L171</f>
        <v>0.92278924299849086</v>
      </c>
    </row>
    <row r="292" spans="1:75" s="89" customFormat="1" ht="12.75" customHeight="1">
      <c r="A292" s="225">
        <f t="shared" si="329"/>
        <v>2006</v>
      </c>
      <c r="B292" s="89">
        <f t="shared" si="330"/>
        <v>12</v>
      </c>
      <c r="C292" s="103">
        <f>'[2]FPC wSEB'!$E389</f>
        <v>922924</v>
      </c>
      <c r="D292" s="103">
        <f>'[2]FPC wSEB'!$Y389</f>
        <v>164944</v>
      </c>
      <c r="E292" s="109">
        <f t="shared" si="338"/>
        <v>5595.4</v>
      </c>
      <c r="F292" s="376">
        <v>92515</v>
      </c>
      <c r="G292" s="376">
        <v>113420</v>
      </c>
      <c r="H292" s="376">
        <v>11596</v>
      </c>
      <c r="I292" s="376">
        <v>4894</v>
      </c>
      <c r="J292" s="575">
        <f>[5]CC!$E172</f>
        <v>162327</v>
      </c>
      <c r="K292" s="89">
        <f>'[7]COM 55 &amp; 65'!$S377</f>
        <v>114.3</v>
      </c>
      <c r="L292" s="89">
        <f t="shared" si="216"/>
        <v>119.4</v>
      </c>
      <c r="M292" s="136">
        <f t="shared" si="333"/>
        <v>5.1000000000000085</v>
      </c>
      <c r="N292" s="89">
        <f>'[7]COM 55 &amp; 65'!$J377</f>
        <v>27.2</v>
      </c>
      <c r="O292" s="89">
        <f t="shared" si="209"/>
        <v>30.1</v>
      </c>
      <c r="P292" s="94">
        <f t="shared" si="339"/>
        <v>2.9000000000000021</v>
      </c>
      <c r="Q292" s="475">
        <f t="shared" si="288"/>
        <v>3482.8410000000058</v>
      </c>
      <c r="R292" s="473">
        <f t="shared" si="289"/>
        <v>1912.0860000000016</v>
      </c>
      <c r="S292" s="329">
        <f t="shared" si="290"/>
        <v>5395</v>
      </c>
      <c r="T292" s="90" t="s">
        <v>18</v>
      </c>
      <c r="U292" s="89">
        <f t="shared" si="217"/>
        <v>2006</v>
      </c>
      <c r="V292" s="89">
        <f t="shared" si="218"/>
        <v>12</v>
      </c>
      <c r="W292" s="328">
        <f t="shared" si="291"/>
        <v>5628.0858958191875</v>
      </c>
      <c r="X292" s="133">
        <f t="shared" si="334"/>
        <v>46.799599019484049</v>
      </c>
      <c r="Y292" s="330"/>
      <c r="Z292" s="176">
        <f t="shared" si="276"/>
        <v>928319</v>
      </c>
      <c r="AA292" s="105">
        <f t="shared" si="292"/>
        <v>5395</v>
      </c>
      <c r="AB292" s="520">
        <f>[9]CMWh!$L172</f>
        <v>926177</v>
      </c>
      <c r="AC292" s="110">
        <f>RESID!AC292</f>
        <v>31.3</v>
      </c>
      <c r="AD292" s="331">
        <f t="shared" si="293"/>
        <v>896976</v>
      </c>
      <c r="AE292" s="331">
        <f t="shared" si="340"/>
        <v>37055</v>
      </c>
      <c r="AF292" s="89">
        <f t="shared" si="279"/>
        <v>-20705</v>
      </c>
      <c r="AG292" s="89">
        <f t="shared" si="341"/>
        <v>902219</v>
      </c>
      <c r="AH292" s="89">
        <f t="shared" si="335"/>
        <v>33940</v>
      </c>
      <c r="AJ292" s="351">
        <f t="shared" si="306"/>
        <v>818813</v>
      </c>
      <c r="AK292" s="351">
        <f t="shared" si="307"/>
        <v>46630</v>
      </c>
      <c r="AL292" s="277">
        <f t="shared" si="312"/>
        <v>17559.789834870255</v>
      </c>
      <c r="AM292" s="351">
        <f t="shared" si="308"/>
        <v>92515</v>
      </c>
      <c r="AN292" s="351">
        <f t="shared" si="309"/>
        <v>113420</v>
      </c>
      <c r="AO292" s="277">
        <f t="shared" si="313"/>
        <v>815.68506436254631</v>
      </c>
      <c r="AP292" s="351">
        <f t="shared" si="310"/>
        <v>11596</v>
      </c>
      <c r="AQ292" s="351">
        <f t="shared" si="311"/>
        <v>4894</v>
      </c>
      <c r="AR292" s="277">
        <f t="shared" si="314"/>
        <v>2369.4319574989786</v>
      </c>
      <c r="AX292" s="89">
        <f t="shared" si="331"/>
        <v>2006</v>
      </c>
      <c r="AY292" s="89">
        <f t="shared" si="332"/>
        <v>12</v>
      </c>
      <c r="AZ292" s="92">
        <f>'[8]COM 55 &amp; 65'!$S377</f>
        <v>128.80000000000001</v>
      </c>
      <c r="BA292" s="92">
        <f t="shared" si="221"/>
        <v>75.7</v>
      </c>
      <c r="BB292" s="364">
        <f t="shared" si="342"/>
        <v>-53.100000000000009</v>
      </c>
      <c r="BC292" s="364"/>
      <c r="BD292" s="92">
        <f>'[8]COM 55 &amp; 65'!$J377</f>
        <v>20.2</v>
      </c>
      <c r="BE292" s="92">
        <f t="shared" si="222"/>
        <v>44.3</v>
      </c>
      <c r="BF292" s="365">
        <f t="shared" si="343"/>
        <v>24.099999999999998</v>
      </c>
      <c r="BG292" s="327"/>
      <c r="BH292" s="327">
        <f t="shared" si="295"/>
        <v>-36262.521000000001</v>
      </c>
      <c r="BI292" s="328">
        <f t="shared" si="296"/>
        <v>15890.093999999999</v>
      </c>
      <c r="BJ292" s="328"/>
      <c r="BK292" s="329">
        <f t="shared" si="344"/>
        <v>-20372</v>
      </c>
      <c r="BL292" s="332"/>
      <c r="BM292" s="113" t="s">
        <v>18</v>
      </c>
      <c r="BN292" s="89">
        <f t="shared" si="223"/>
        <v>2006</v>
      </c>
      <c r="BO292" s="89">
        <f t="shared" si="224"/>
        <v>12</v>
      </c>
      <c r="BP292" s="117">
        <f>C292+[4]MWh!$AK126</f>
        <v>896505.66664180788</v>
      </c>
      <c r="BQ292" s="92">
        <f t="shared" si="281"/>
        <v>5435.2123547495385</v>
      </c>
      <c r="BR292" s="299">
        <f t="shared" si="282"/>
        <v>5311.7037700177507</v>
      </c>
      <c r="BS292" s="117">
        <f t="shared" si="336"/>
        <v>-532.22102820949749</v>
      </c>
      <c r="BT292" s="176">
        <f t="shared" si="345"/>
        <v>876133.66664180788</v>
      </c>
      <c r="BU292" s="117">
        <f t="shared" si="337"/>
        <v>-69764.001199254533</v>
      </c>
      <c r="BV292" s="139">
        <f t="shared" si="346"/>
        <v>-20372</v>
      </c>
      <c r="BW292" s="536">
        <f>BT292/[9]CMWh!$L172</f>
        <v>0.9459678513305857</v>
      </c>
    </row>
    <row r="293" spans="1:75" ht="12.75" customHeight="1">
      <c r="A293" s="22">
        <f t="shared" si="329"/>
        <v>2007</v>
      </c>
      <c r="B293" s="4">
        <f t="shared" si="330"/>
        <v>1</v>
      </c>
      <c r="C293" s="5">
        <f>'[2]FPC wSEB'!$E390</f>
        <v>922117</v>
      </c>
      <c r="D293" s="5">
        <f>'[2]FPC wSEB'!$Y390</f>
        <v>160228</v>
      </c>
      <c r="E293" s="74">
        <f t="shared" si="338"/>
        <v>5755</v>
      </c>
      <c r="F293" s="358">
        <v>84853</v>
      </c>
      <c r="G293" s="358">
        <v>107996</v>
      </c>
      <c r="H293" s="358">
        <v>11741</v>
      </c>
      <c r="I293" s="358">
        <v>4929</v>
      </c>
      <c r="J293" s="574">
        <f>[5]CC!$E173</f>
        <v>162238</v>
      </c>
      <c r="K293" s="4">
        <f>'[7]COM 55 &amp; 65'!$S378</f>
        <v>135</v>
      </c>
      <c r="L293" s="4">
        <f t="shared" si="216"/>
        <v>70.8</v>
      </c>
      <c r="M293" s="135">
        <f t="shared" ref="M293:M298" si="347">(L293-K293)</f>
        <v>-64.2</v>
      </c>
      <c r="N293" s="4">
        <f>'[7]COM 55 &amp; 65'!$J378</f>
        <v>17.2</v>
      </c>
      <c r="O293" s="4">
        <f t="shared" si="209"/>
        <v>54.9</v>
      </c>
      <c r="P293" s="41">
        <f t="shared" si="339"/>
        <v>37.700000000000003</v>
      </c>
      <c r="Q293" s="474">
        <f t="shared" ref="Q293:Q304" si="348">M293*$D$10</f>
        <v>-41574.379200000003</v>
      </c>
      <c r="R293" s="472">
        <f t="shared" ref="R293:R304" si="349">P293*$D$9</f>
        <v>29855.987200000003</v>
      </c>
      <c r="S293" s="241">
        <f t="shared" si="290"/>
        <v>-11718</v>
      </c>
      <c r="T293" s="13" t="s">
        <v>18</v>
      </c>
      <c r="U293" s="4">
        <f t="shared" si="217"/>
        <v>2007</v>
      </c>
      <c r="V293" s="4">
        <f t="shared" si="218"/>
        <v>1</v>
      </c>
      <c r="W293" s="242">
        <f t="shared" si="291"/>
        <v>5681.8970467084409</v>
      </c>
      <c r="X293" s="131">
        <f t="shared" ref="X293:X298" si="350">W293-W281</f>
        <v>200.19706853501339</v>
      </c>
      <c r="Z293" s="175">
        <f t="shared" si="276"/>
        <v>910399</v>
      </c>
      <c r="AA293" s="12">
        <f t="shared" si="292"/>
        <v>-11718</v>
      </c>
      <c r="AB293" s="519">
        <f>[9]CMWh!$L173</f>
        <v>908036</v>
      </c>
      <c r="AC293" s="107">
        <f>RESID!AC293</f>
        <v>31.85</v>
      </c>
      <c r="AD293" s="243">
        <f t="shared" si="293"/>
        <v>880715.8</v>
      </c>
      <c r="AE293" s="243">
        <f t="shared" si="340"/>
        <v>51981.900000000023</v>
      </c>
      <c r="AF293" s="4">
        <f t="shared" si="279"/>
        <v>-52593</v>
      </c>
      <c r="AG293" s="4">
        <f t="shared" si="341"/>
        <v>869524</v>
      </c>
      <c r="AH293" s="4">
        <f t="shared" ref="AH293:AH298" si="351">AG293-AG281</f>
        <v>25999</v>
      </c>
      <c r="AJ293" s="269">
        <f t="shared" si="306"/>
        <v>825523</v>
      </c>
      <c r="AK293" s="269">
        <f t="shared" si="307"/>
        <v>47303</v>
      </c>
      <c r="AL293" s="276">
        <f t="shared" si="312"/>
        <v>17451.810667399532</v>
      </c>
      <c r="AM293" s="269">
        <f t="shared" si="308"/>
        <v>84853</v>
      </c>
      <c r="AN293" s="269">
        <f t="shared" si="309"/>
        <v>107996</v>
      </c>
      <c r="AO293" s="276">
        <f t="shared" si="313"/>
        <v>785.70502611207826</v>
      </c>
      <c r="AP293" s="269">
        <f t="shared" si="310"/>
        <v>11741</v>
      </c>
      <c r="AQ293" s="269">
        <f t="shared" si="311"/>
        <v>4929</v>
      </c>
      <c r="AR293" s="276">
        <f t="shared" si="314"/>
        <v>2382.0247514708867</v>
      </c>
      <c r="AX293" s="4">
        <f t="shared" si="331"/>
        <v>2007</v>
      </c>
      <c r="AY293" s="4">
        <f t="shared" si="332"/>
        <v>1</v>
      </c>
      <c r="AZ293" s="366">
        <f>'[8]COM 55 &amp; 65'!$S378</f>
        <v>88.4</v>
      </c>
      <c r="BA293" s="366">
        <f t="shared" si="221"/>
        <v>72.3</v>
      </c>
      <c r="BB293" s="367">
        <f t="shared" si="342"/>
        <v>-16.100000000000009</v>
      </c>
      <c r="BC293" s="367"/>
      <c r="BD293" s="366">
        <f>'[8]COM 55 &amp; 65'!$J378</f>
        <v>38.299999999999997</v>
      </c>
      <c r="BE293" s="366">
        <f t="shared" si="222"/>
        <v>52.4</v>
      </c>
      <c r="BF293" s="368">
        <f t="shared" si="343"/>
        <v>14.100000000000001</v>
      </c>
      <c r="BH293" s="244">
        <f t="shared" ref="BH293:BH304" si="352">BB293*$D$10</f>
        <v>-10425.973600000007</v>
      </c>
      <c r="BI293" s="242">
        <f t="shared" ref="BI293:BI304" si="353">BF293*$D$9</f>
        <v>11166.297600000002</v>
      </c>
      <c r="BJ293" s="242"/>
      <c r="BK293" s="241">
        <f t="shared" si="344"/>
        <v>740</v>
      </c>
      <c r="BL293" s="262"/>
      <c r="BM293" s="36" t="s">
        <v>18</v>
      </c>
      <c r="BN293" s="4">
        <f t="shared" si="223"/>
        <v>2007</v>
      </c>
      <c r="BO293" s="4">
        <f t="shared" si="224"/>
        <v>1</v>
      </c>
      <c r="BP293" s="108">
        <f>C293+[4]MWh!$AK127</f>
        <v>988899.43825102109</v>
      </c>
      <c r="BQ293" s="76">
        <f t="shared" si="281"/>
        <v>6171.8266361124215</v>
      </c>
      <c r="BR293" s="130">
        <f t="shared" si="282"/>
        <v>6176.4450548656978</v>
      </c>
      <c r="BS293" s="108">
        <f t="shared" ref="BS293:BS298" si="354">BR293-BR281</f>
        <v>1146.4928296455137</v>
      </c>
      <c r="BT293" s="175">
        <f t="shared" si="345"/>
        <v>989639.43825102109</v>
      </c>
      <c r="BU293" s="108">
        <f t="shared" ref="BU293:BU298" si="355">BT293-BT281</f>
        <v>183061.44917583838</v>
      </c>
      <c r="BV293" s="137">
        <f t="shared" si="346"/>
        <v>740</v>
      </c>
      <c r="BW293" s="529">
        <f>BT293/[9]CMWh!$L173</f>
        <v>1.0898680649787245</v>
      </c>
    </row>
    <row r="294" spans="1:75" ht="12.75" customHeight="1">
      <c r="A294" s="22">
        <f t="shared" si="329"/>
        <v>2007</v>
      </c>
      <c r="B294" s="4">
        <f t="shared" si="330"/>
        <v>2</v>
      </c>
      <c r="C294" s="5">
        <f>'[2]FPC wSEB'!$E391</f>
        <v>836578</v>
      </c>
      <c r="D294" s="5">
        <f>'[2]FPC wSEB'!$Y391</f>
        <v>162545</v>
      </c>
      <c r="E294" s="74">
        <f t="shared" ref="E294:E299" si="356">ROUND((C294/D294)*1000,1)</f>
        <v>5146.7</v>
      </c>
      <c r="F294" s="358">
        <v>84526</v>
      </c>
      <c r="G294" s="358">
        <v>111149</v>
      </c>
      <c r="H294" s="358">
        <v>11574</v>
      </c>
      <c r="I294" s="358">
        <v>4923</v>
      </c>
      <c r="J294" s="574">
        <f>[5]CC!$E174</f>
        <v>162188</v>
      </c>
      <c r="K294" s="4">
        <f>'[7]COM 55 &amp; 65'!$S379</f>
        <v>46.6</v>
      </c>
      <c r="L294" s="4">
        <f t="shared" si="216"/>
        <v>62.7</v>
      </c>
      <c r="M294" s="135">
        <f t="shared" si="347"/>
        <v>16.100000000000001</v>
      </c>
      <c r="N294" s="4">
        <f>'[7]COM 55 &amp; 65'!$J379</f>
        <v>56.3</v>
      </c>
      <c r="O294" s="4">
        <f t="shared" si="209"/>
        <v>46.9</v>
      </c>
      <c r="P294" s="41">
        <f t="shared" si="339"/>
        <v>-9.3999999999999986</v>
      </c>
      <c r="Q294" s="474">
        <f t="shared" si="348"/>
        <v>10425.973600000001</v>
      </c>
      <c r="R294" s="472">
        <f t="shared" si="349"/>
        <v>-7444.1983999999993</v>
      </c>
      <c r="S294" s="241">
        <f t="shared" si="290"/>
        <v>2982</v>
      </c>
      <c r="T294" s="13" t="s">
        <v>18</v>
      </c>
      <c r="U294" s="4">
        <f t="shared" si="217"/>
        <v>2007</v>
      </c>
      <c r="V294" s="4">
        <f t="shared" si="218"/>
        <v>2</v>
      </c>
      <c r="W294" s="242">
        <f t="shared" si="291"/>
        <v>5165.0927435479407</v>
      </c>
      <c r="X294" s="131">
        <f t="shared" si="350"/>
        <v>97.40330194111084</v>
      </c>
      <c r="Z294" s="175">
        <f t="shared" si="276"/>
        <v>839560</v>
      </c>
      <c r="AA294" s="12">
        <f t="shared" si="292"/>
        <v>2982</v>
      </c>
      <c r="AB294" s="519">
        <f>[9]CMWh!$L174</f>
        <v>843241</v>
      </c>
      <c r="AC294" s="107">
        <f>RESID!AC294</f>
        <v>29.55</v>
      </c>
      <c r="AD294" s="243">
        <f t="shared" si="293"/>
        <v>861208.2</v>
      </c>
      <c r="AE294" s="243">
        <f t="shared" si="340"/>
        <v>14374</v>
      </c>
      <c r="AF294" s="4">
        <f t="shared" si="279"/>
        <v>27700</v>
      </c>
      <c r="AG294" s="4">
        <f t="shared" si="341"/>
        <v>864278</v>
      </c>
      <c r="AH294" s="4">
        <f t="shared" si="351"/>
        <v>20007</v>
      </c>
      <c r="AJ294" s="269">
        <f t="shared" si="306"/>
        <v>740478</v>
      </c>
      <c r="AK294" s="269">
        <f t="shared" si="307"/>
        <v>46473</v>
      </c>
      <c r="AL294" s="276">
        <f t="shared" si="312"/>
        <v>15933.509779872184</v>
      </c>
      <c r="AM294" s="269">
        <f t="shared" si="308"/>
        <v>84526</v>
      </c>
      <c r="AN294" s="269">
        <f t="shared" si="309"/>
        <v>111149</v>
      </c>
      <c r="AO294" s="276">
        <f t="shared" si="313"/>
        <v>760.474678134756</v>
      </c>
      <c r="AP294" s="269">
        <f t="shared" si="310"/>
        <v>11574</v>
      </c>
      <c r="AQ294" s="269">
        <f t="shared" si="311"/>
        <v>4923</v>
      </c>
      <c r="AR294" s="276">
        <f t="shared" si="314"/>
        <v>2351.0054844606948</v>
      </c>
      <c r="AX294" s="4">
        <f t="shared" si="331"/>
        <v>2007</v>
      </c>
      <c r="AY294" s="4">
        <f t="shared" si="332"/>
        <v>2</v>
      </c>
      <c r="AZ294" s="366">
        <f>'[8]COM 55 &amp; 65'!$S379</f>
        <v>47.8</v>
      </c>
      <c r="BA294" s="366">
        <f t="shared" si="221"/>
        <v>82.6</v>
      </c>
      <c r="BB294" s="367">
        <f t="shared" si="342"/>
        <v>34.799999999999997</v>
      </c>
      <c r="BC294" s="367"/>
      <c r="BD294" s="366">
        <f>'[8]COM 55 &amp; 65'!$J379</f>
        <v>55.5</v>
      </c>
      <c r="BE294" s="366">
        <f t="shared" si="222"/>
        <v>36.5</v>
      </c>
      <c r="BF294" s="368">
        <f t="shared" si="343"/>
        <v>-19</v>
      </c>
      <c r="BH294" s="244">
        <f t="shared" si="352"/>
        <v>22535.644799999998</v>
      </c>
      <c r="BI294" s="242">
        <f t="shared" si="353"/>
        <v>-15046.784000000001</v>
      </c>
      <c r="BJ294" s="242"/>
      <c r="BK294" s="241">
        <f t="shared" si="344"/>
        <v>7489</v>
      </c>
      <c r="BL294" s="262"/>
      <c r="BM294" s="36" t="s">
        <v>18</v>
      </c>
      <c r="BN294" s="4">
        <f t="shared" si="223"/>
        <v>2007</v>
      </c>
      <c r="BO294" s="4">
        <f t="shared" si="224"/>
        <v>2</v>
      </c>
      <c r="BP294" s="108">
        <f>C294+[4]MWh!$AK128</f>
        <v>705343.6812977856</v>
      </c>
      <c r="BQ294" s="76">
        <f t="shared" si="281"/>
        <v>4339.3748272649764</v>
      </c>
      <c r="BR294" s="130">
        <f t="shared" si="282"/>
        <v>4385.448222324806</v>
      </c>
      <c r="BS294" s="108">
        <f t="shared" si="354"/>
        <v>-655.96159307372636</v>
      </c>
      <c r="BT294" s="175">
        <f t="shared" si="345"/>
        <v>712832.6812977856</v>
      </c>
      <c r="BU294" s="108">
        <f t="shared" si="355"/>
        <v>-104420.18105683965</v>
      </c>
      <c r="BV294" s="137">
        <f t="shared" si="346"/>
        <v>7489</v>
      </c>
      <c r="BW294" s="529">
        <f>BT294/[9]CMWh!$L174</f>
        <v>0.84534869781923028</v>
      </c>
    </row>
    <row r="295" spans="1:75" ht="12.75" customHeight="1">
      <c r="A295" s="22">
        <f t="shared" si="329"/>
        <v>2007</v>
      </c>
      <c r="B295" s="4">
        <f t="shared" si="330"/>
        <v>3</v>
      </c>
      <c r="C295" s="5">
        <f>'[2]FPC wSEB'!$E392</f>
        <v>865126</v>
      </c>
      <c r="D295" s="5">
        <f>'[2]FPC wSEB'!$Y392</f>
        <v>161855</v>
      </c>
      <c r="E295" s="74">
        <f t="shared" si="356"/>
        <v>5345.1</v>
      </c>
      <c r="F295" s="358">
        <v>85246</v>
      </c>
      <c r="G295" s="358">
        <v>110210</v>
      </c>
      <c r="H295" s="358">
        <v>11603</v>
      </c>
      <c r="I295" s="358">
        <v>4957</v>
      </c>
      <c r="J295" s="574">
        <f>[5]CC!$E175</f>
        <v>162749</v>
      </c>
      <c r="K295" s="4">
        <f>'[7]COM 55 &amp; 65'!$S380</f>
        <v>91.5</v>
      </c>
      <c r="L295" s="4">
        <f t="shared" si="216"/>
        <v>105.4</v>
      </c>
      <c r="M295" s="135">
        <f t="shared" si="347"/>
        <v>13.900000000000006</v>
      </c>
      <c r="N295" s="4">
        <f>'[7]COM 55 &amp; 65'!$J380</f>
        <v>39.200000000000003</v>
      </c>
      <c r="O295" s="4">
        <f t="shared" si="209"/>
        <v>26.8</v>
      </c>
      <c r="P295" s="41">
        <f t="shared" ref="P295:P300" si="357">(O295-N295)</f>
        <v>-12.400000000000002</v>
      </c>
      <c r="Q295" s="474">
        <f t="shared" si="348"/>
        <v>9001.3064000000031</v>
      </c>
      <c r="R295" s="472">
        <f t="shared" si="349"/>
        <v>-9820.006400000002</v>
      </c>
      <c r="S295" s="241">
        <f t="shared" si="290"/>
        <v>-819</v>
      </c>
      <c r="T295" s="13" t="s">
        <v>18</v>
      </c>
      <c r="U295" s="4">
        <f t="shared" si="217"/>
        <v>2007</v>
      </c>
      <c r="V295" s="4">
        <f t="shared" si="218"/>
        <v>3</v>
      </c>
      <c r="W295" s="242">
        <f t="shared" si="291"/>
        <v>5340.0080318803866</v>
      </c>
      <c r="X295" s="131">
        <f t="shared" si="350"/>
        <v>112.75635325107396</v>
      </c>
      <c r="Z295" s="175">
        <f t="shared" si="276"/>
        <v>864307</v>
      </c>
      <c r="AA295" s="12">
        <f t="shared" si="292"/>
        <v>-819</v>
      </c>
      <c r="AB295" s="519">
        <f>[9]CMWh!$L175</f>
        <v>866021</v>
      </c>
      <c r="AC295" s="107">
        <f>RESID!AC295</f>
        <v>29.4</v>
      </c>
      <c r="AD295" s="243">
        <f t="shared" si="293"/>
        <v>895140.6</v>
      </c>
      <c r="AE295" s="243">
        <f t="shared" ref="AE295:AE300" si="358">AD295-AD283</f>
        <v>2849.5999999999767</v>
      </c>
      <c r="AF295" s="4">
        <f t="shared" si="279"/>
        <v>29167</v>
      </c>
      <c r="AG295" s="4">
        <f t="shared" ref="AG295:AG300" si="359">ROUND(Z295/(AC295/30.42),0)</f>
        <v>894293</v>
      </c>
      <c r="AH295" s="4">
        <f t="shared" si="351"/>
        <v>6622</v>
      </c>
      <c r="AJ295" s="269">
        <f t="shared" si="306"/>
        <v>768277</v>
      </c>
      <c r="AK295" s="269">
        <f t="shared" si="307"/>
        <v>46688</v>
      </c>
      <c r="AL295" s="276">
        <f t="shared" si="312"/>
        <v>16455.556031528446</v>
      </c>
      <c r="AM295" s="269">
        <f t="shared" si="308"/>
        <v>85246</v>
      </c>
      <c r="AN295" s="269">
        <f t="shared" si="309"/>
        <v>110210</v>
      </c>
      <c r="AO295" s="276">
        <f t="shared" si="313"/>
        <v>773.48697940295801</v>
      </c>
      <c r="AP295" s="269">
        <f t="shared" si="310"/>
        <v>11603</v>
      </c>
      <c r="AQ295" s="269">
        <f t="shared" si="311"/>
        <v>4957</v>
      </c>
      <c r="AR295" s="276">
        <f t="shared" si="314"/>
        <v>2340.7302804115393</v>
      </c>
      <c r="AX295" s="4">
        <f t="shared" si="331"/>
        <v>2007</v>
      </c>
      <c r="AY295" s="4">
        <f t="shared" si="332"/>
        <v>3</v>
      </c>
      <c r="AZ295" s="366">
        <f>'[8]COM 55 &amp; 65'!$S380</f>
        <v>155.9</v>
      </c>
      <c r="BA295" s="366">
        <f t="shared" si="221"/>
        <v>140.4</v>
      </c>
      <c r="BB295" s="367">
        <f t="shared" ref="BB295:BB300" si="360">(BA295-AZ295)</f>
        <v>-15.5</v>
      </c>
      <c r="BC295" s="367"/>
      <c r="BD295" s="366">
        <f>'[8]COM 55 &amp; 65'!$J380</f>
        <v>12.5</v>
      </c>
      <c r="BE295" s="366">
        <f t="shared" si="222"/>
        <v>15.1</v>
      </c>
      <c r="BF295" s="368">
        <f t="shared" ref="BF295:BF300" si="361">(BE295-BD295)</f>
        <v>2.5999999999999996</v>
      </c>
      <c r="BH295" s="244">
        <f t="shared" si="352"/>
        <v>-10037.428</v>
      </c>
      <c r="BI295" s="242">
        <f t="shared" si="353"/>
        <v>2059.0335999999998</v>
      </c>
      <c r="BJ295" s="242"/>
      <c r="BK295" s="241">
        <f t="shared" ref="BK295:BK300" si="362">ROUND(SUM(BH295,BI295),0)</f>
        <v>-7978</v>
      </c>
      <c r="BL295" s="262"/>
      <c r="BM295" s="36" t="s">
        <v>18</v>
      </c>
      <c r="BN295" s="4">
        <f t="shared" si="223"/>
        <v>2007</v>
      </c>
      <c r="BO295" s="4">
        <f t="shared" si="224"/>
        <v>3</v>
      </c>
      <c r="BP295" s="108">
        <f>C295+[4]MWh!$AK129</f>
        <v>944091.03654491529</v>
      </c>
      <c r="BQ295" s="76">
        <f t="shared" si="281"/>
        <v>5832.9432921127873</v>
      </c>
      <c r="BR295" s="130">
        <f t="shared" si="282"/>
        <v>5783.6522600161579</v>
      </c>
      <c r="BS295" s="108">
        <f t="shared" si="354"/>
        <v>216.58232394966763</v>
      </c>
      <c r="BT295" s="175">
        <f t="shared" ref="BT295:BT300" si="363">BK295+BP295</f>
        <v>936113.03654491529</v>
      </c>
      <c r="BU295" s="108">
        <f t="shared" si="355"/>
        <v>22434.384497810854</v>
      </c>
      <c r="BV295" s="137">
        <f t="shared" ref="BV295:BV300" si="364">BT295-BP295</f>
        <v>-7978</v>
      </c>
      <c r="BW295" s="529">
        <f>BT295/[9]CMWh!$L175</f>
        <v>1.0809357238968977</v>
      </c>
    </row>
    <row r="296" spans="1:75" ht="12.75" customHeight="1">
      <c r="A296" s="22">
        <f t="shared" si="329"/>
        <v>2007</v>
      </c>
      <c r="B296" s="4">
        <f t="shared" si="330"/>
        <v>4</v>
      </c>
      <c r="C296" s="5">
        <f>'[2]FPC wSEB'!$E393</f>
        <v>904538</v>
      </c>
      <c r="D296" s="5">
        <f>'[2]FPC wSEB'!$Y393</f>
        <v>161434</v>
      </c>
      <c r="E296" s="74">
        <f t="shared" si="356"/>
        <v>5603.1</v>
      </c>
      <c r="F296" s="358">
        <v>108676</v>
      </c>
      <c r="G296" s="358">
        <v>110775</v>
      </c>
      <c r="H296" s="358">
        <v>11944</v>
      </c>
      <c r="I296" s="358">
        <v>4958</v>
      </c>
      <c r="J296" s="574">
        <f>[5]CC!$E176</f>
        <v>162814</v>
      </c>
      <c r="K296" s="4">
        <f>'[7]COM 55 &amp; 65'!$S381</f>
        <v>169.1</v>
      </c>
      <c r="L296" s="4">
        <f t="shared" si="216"/>
        <v>178.4</v>
      </c>
      <c r="M296" s="135">
        <f t="shared" si="347"/>
        <v>9.3000000000000114</v>
      </c>
      <c r="N296" s="4">
        <f>'[7]COM 55 &amp; 65'!$J381</f>
        <v>8</v>
      </c>
      <c r="O296" s="4">
        <f t="shared" si="209"/>
        <v>9.5</v>
      </c>
      <c r="P296" s="41">
        <f t="shared" si="357"/>
        <v>1.5</v>
      </c>
      <c r="Q296" s="474">
        <f t="shared" si="348"/>
        <v>6022.4568000000072</v>
      </c>
      <c r="R296" s="472">
        <f t="shared" si="349"/>
        <v>1187.904</v>
      </c>
      <c r="S296" s="241">
        <f t="shared" si="290"/>
        <v>7210</v>
      </c>
      <c r="T296" s="13" t="s">
        <v>18</v>
      </c>
      <c r="U296" s="4">
        <f t="shared" si="217"/>
        <v>2007</v>
      </c>
      <c r="V296" s="4">
        <f t="shared" si="218"/>
        <v>4</v>
      </c>
      <c r="W296" s="242">
        <f t="shared" si="291"/>
        <v>5647.8065339395662</v>
      </c>
      <c r="X296" s="131">
        <f t="shared" si="350"/>
        <v>97.419999419323176</v>
      </c>
      <c r="Z296" s="175">
        <f t="shared" si="276"/>
        <v>911748</v>
      </c>
      <c r="AA296" s="12">
        <f t="shared" si="292"/>
        <v>7210</v>
      </c>
      <c r="AB296" s="519">
        <f>[9]CMWh!$L176</f>
        <v>932303</v>
      </c>
      <c r="AC296" s="107">
        <f>RESID!AC296</f>
        <v>30.4</v>
      </c>
      <c r="AD296" s="243">
        <f t="shared" si="293"/>
        <v>905133.1</v>
      </c>
      <c r="AE296" s="243">
        <f t="shared" si="358"/>
        <v>-3021.5</v>
      </c>
      <c r="AF296" s="4">
        <f t="shared" si="279"/>
        <v>7810</v>
      </c>
      <c r="AG296" s="4">
        <f t="shared" si="359"/>
        <v>912348</v>
      </c>
      <c r="AH296" s="4">
        <f t="shared" si="351"/>
        <v>8876</v>
      </c>
      <c r="AJ296" s="269">
        <f t="shared" si="306"/>
        <v>783918</v>
      </c>
      <c r="AK296" s="269">
        <f t="shared" si="307"/>
        <v>45701</v>
      </c>
      <c r="AL296" s="276">
        <f t="shared" si="312"/>
        <v>17153.191396249535</v>
      </c>
      <c r="AM296" s="269">
        <f t="shared" si="308"/>
        <v>108676</v>
      </c>
      <c r="AN296" s="269">
        <f t="shared" si="309"/>
        <v>110775</v>
      </c>
      <c r="AO296" s="276">
        <f t="shared" si="313"/>
        <v>981.0516813360415</v>
      </c>
      <c r="AP296" s="269">
        <f t="shared" si="310"/>
        <v>11944</v>
      </c>
      <c r="AQ296" s="269">
        <f t="shared" si="311"/>
        <v>4958</v>
      </c>
      <c r="AR296" s="276">
        <f t="shared" si="314"/>
        <v>2409.0359015732151</v>
      </c>
      <c r="AX296" s="4">
        <f t="shared" si="331"/>
        <v>2007</v>
      </c>
      <c r="AY296" s="4">
        <f t="shared" si="332"/>
        <v>4</v>
      </c>
      <c r="AZ296" s="366">
        <f>'[8]COM 55 &amp; 65'!$S381</f>
        <v>193.1</v>
      </c>
      <c r="BA296" s="366">
        <f t="shared" si="221"/>
        <v>227.4</v>
      </c>
      <c r="BB296" s="367">
        <f t="shared" si="360"/>
        <v>34.300000000000011</v>
      </c>
      <c r="BC296" s="367"/>
      <c r="BD296" s="366">
        <f>'[8]COM 55 &amp; 65'!$J381</f>
        <v>5.5</v>
      </c>
      <c r="BE296" s="366">
        <f t="shared" si="222"/>
        <v>4.8</v>
      </c>
      <c r="BF296" s="368">
        <f t="shared" si="361"/>
        <v>-0.70000000000000018</v>
      </c>
      <c r="BH296" s="244">
        <f t="shared" si="352"/>
        <v>22211.856800000009</v>
      </c>
      <c r="BI296" s="242">
        <f t="shared" si="353"/>
        <v>-554.3552000000002</v>
      </c>
      <c r="BJ296" s="242"/>
      <c r="BK296" s="241">
        <f t="shared" si="362"/>
        <v>21658</v>
      </c>
      <c r="BL296" s="262"/>
      <c r="BM296" s="36" t="s">
        <v>18</v>
      </c>
      <c r="BN296" s="4">
        <f t="shared" si="223"/>
        <v>2007</v>
      </c>
      <c r="BO296" s="4">
        <f t="shared" si="224"/>
        <v>4</v>
      </c>
      <c r="BP296" s="108">
        <f>C296+[4]MWh!$AK130</f>
        <v>938343.4999318585</v>
      </c>
      <c r="BQ296" s="76">
        <f t="shared" si="281"/>
        <v>5812.5518783642756</v>
      </c>
      <c r="BR296" s="130">
        <f t="shared" si="282"/>
        <v>5946.7119685559328</v>
      </c>
      <c r="BS296" s="108">
        <f t="shared" si="354"/>
        <v>-63.76552332400297</v>
      </c>
      <c r="BT296" s="175">
        <f t="shared" si="363"/>
        <v>960001.4999318585</v>
      </c>
      <c r="BU296" s="108">
        <f t="shared" si="355"/>
        <v>-4854.4413621356944</v>
      </c>
      <c r="BV296" s="137">
        <f t="shared" si="364"/>
        <v>21658</v>
      </c>
      <c r="BW296" s="529">
        <f>BT296/[9]CMWh!$L176</f>
        <v>1.0297097616674606</v>
      </c>
    </row>
    <row r="297" spans="1:75" ht="12.75" customHeight="1">
      <c r="A297" s="22">
        <f t="shared" si="329"/>
        <v>2007</v>
      </c>
      <c r="B297" s="4">
        <f t="shared" si="330"/>
        <v>5</v>
      </c>
      <c r="C297" s="5">
        <f>'[2]FPC wSEB'!$E394</f>
        <v>987883</v>
      </c>
      <c r="D297" s="5">
        <f>'[2]FPC wSEB'!$Y394</f>
        <v>164620</v>
      </c>
      <c r="E297" s="74">
        <f t="shared" si="356"/>
        <v>6001</v>
      </c>
      <c r="F297" s="358">
        <v>75173</v>
      </c>
      <c r="G297" s="358">
        <v>111270</v>
      </c>
      <c r="H297" s="358">
        <v>11878</v>
      </c>
      <c r="I297" s="358">
        <v>4982</v>
      </c>
      <c r="J297" s="574">
        <f>[5]CC!$E177</f>
        <v>163638</v>
      </c>
      <c r="K297" s="4">
        <f>'[7]COM 55 &amp; 65'!$S382</f>
        <v>262.2</v>
      </c>
      <c r="L297" s="4">
        <f t="shared" si="216"/>
        <v>273.89999999999998</v>
      </c>
      <c r="M297" s="135">
        <f t="shared" si="347"/>
        <v>11.699999999999989</v>
      </c>
      <c r="N297" s="4">
        <f>'[7]COM 55 &amp; 65'!$J382</f>
        <v>2.2999999999999998</v>
      </c>
      <c r="O297" s="4">
        <f t="shared" si="209"/>
        <v>2</v>
      </c>
      <c r="P297" s="41">
        <f t="shared" si="357"/>
        <v>-0.29999999999999982</v>
      </c>
      <c r="Q297" s="474">
        <f t="shared" si="348"/>
        <v>7576.6391999999933</v>
      </c>
      <c r="R297" s="472">
        <f t="shared" si="349"/>
        <v>-237.58079999999987</v>
      </c>
      <c r="S297" s="241">
        <f t="shared" si="290"/>
        <v>7339</v>
      </c>
      <c r="T297" s="13" t="s">
        <v>18</v>
      </c>
      <c r="U297" s="4">
        <f t="shared" si="217"/>
        <v>2007</v>
      </c>
      <c r="V297" s="4">
        <f t="shared" si="218"/>
        <v>5</v>
      </c>
      <c r="W297" s="242">
        <f t="shared" si="291"/>
        <v>6045.5716194873039</v>
      </c>
      <c r="X297" s="131">
        <f t="shared" si="350"/>
        <v>58.677987885169387</v>
      </c>
      <c r="Z297" s="175">
        <f t="shared" si="276"/>
        <v>995222</v>
      </c>
      <c r="AA297" s="12">
        <f t="shared" si="292"/>
        <v>7339</v>
      </c>
      <c r="AB297" s="519">
        <f>[9]CMWh!$L177</f>
        <v>978529</v>
      </c>
      <c r="AC297" s="107">
        <f>RESID!AC297</f>
        <v>29.8</v>
      </c>
      <c r="AD297" s="243">
        <f t="shared" si="293"/>
        <v>1008436.3</v>
      </c>
      <c r="AE297" s="243">
        <f t="shared" si="358"/>
        <v>-1530.8999999999069</v>
      </c>
      <c r="AF297" s="4">
        <f t="shared" si="279"/>
        <v>28045</v>
      </c>
      <c r="AG297" s="4">
        <f t="shared" si="359"/>
        <v>1015928</v>
      </c>
      <c r="AH297" s="4">
        <f t="shared" si="351"/>
        <v>30350</v>
      </c>
      <c r="AJ297" s="269">
        <f t="shared" si="306"/>
        <v>900832</v>
      </c>
      <c r="AK297" s="269">
        <f t="shared" si="307"/>
        <v>48368</v>
      </c>
      <c r="AL297" s="276">
        <f t="shared" si="312"/>
        <v>18624.545153820709</v>
      </c>
      <c r="AM297" s="269">
        <f t="shared" si="308"/>
        <v>75173</v>
      </c>
      <c r="AN297" s="269">
        <f t="shared" si="309"/>
        <v>111270</v>
      </c>
      <c r="AO297" s="276">
        <f t="shared" si="313"/>
        <v>675.59090500584159</v>
      </c>
      <c r="AP297" s="269">
        <f t="shared" si="310"/>
        <v>11878</v>
      </c>
      <c r="AQ297" s="269">
        <f t="shared" si="311"/>
        <v>4982</v>
      </c>
      <c r="AR297" s="276">
        <f t="shared" si="314"/>
        <v>2384.183059012445</v>
      </c>
      <c r="AX297" s="4">
        <f t="shared" si="331"/>
        <v>2007</v>
      </c>
      <c r="AY297" s="4">
        <f t="shared" si="332"/>
        <v>5</v>
      </c>
      <c r="AZ297" s="366">
        <f>'[8]COM 55 &amp; 65'!$S382</f>
        <v>348.2</v>
      </c>
      <c r="BA297" s="366">
        <f t="shared" si="221"/>
        <v>395.2</v>
      </c>
      <c r="BB297" s="367">
        <f t="shared" si="360"/>
        <v>47</v>
      </c>
      <c r="BC297" s="367"/>
      <c r="BD297" s="366">
        <f>'[8]COM 55 &amp; 65'!$J382</f>
        <v>0.1</v>
      </c>
      <c r="BE297" s="366">
        <f t="shared" si="222"/>
        <v>0.2</v>
      </c>
      <c r="BF297" s="368">
        <f t="shared" si="361"/>
        <v>0.1</v>
      </c>
      <c r="BH297" s="244">
        <f t="shared" si="352"/>
        <v>30436.072</v>
      </c>
      <c r="BI297" s="242">
        <f t="shared" si="353"/>
        <v>79.193600000000004</v>
      </c>
      <c r="BJ297" s="242"/>
      <c r="BK297" s="241">
        <f t="shared" si="362"/>
        <v>30515</v>
      </c>
      <c r="BL297" s="262"/>
      <c r="BM297" s="36" t="s">
        <v>18</v>
      </c>
      <c r="BN297" s="4">
        <f t="shared" si="223"/>
        <v>2007</v>
      </c>
      <c r="BO297" s="4">
        <f t="shared" si="224"/>
        <v>5</v>
      </c>
      <c r="BP297" s="108">
        <f>C297+[4]MWh!$AK131</f>
        <v>1104878.3459854817</v>
      </c>
      <c r="BQ297" s="76">
        <f t="shared" si="281"/>
        <v>6711.6896245017715</v>
      </c>
      <c r="BR297" s="130">
        <f t="shared" si="282"/>
        <v>6897.0559226429459</v>
      </c>
      <c r="BS297" s="108">
        <f t="shared" si="354"/>
        <v>376.6738582556045</v>
      </c>
      <c r="BT297" s="175">
        <f t="shared" si="363"/>
        <v>1135393.3459854817</v>
      </c>
      <c r="BU297" s="108">
        <f t="shared" si="355"/>
        <v>69754.264438529732</v>
      </c>
      <c r="BV297" s="137">
        <f t="shared" si="364"/>
        <v>30515</v>
      </c>
      <c r="BW297" s="529">
        <f>BT297/[9]CMWh!$L177</f>
        <v>1.1603062821699528</v>
      </c>
    </row>
    <row r="298" spans="1:75" ht="12.75" customHeight="1">
      <c r="A298" s="22">
        <f t="shared" si="329"/>
        <v>2007</v>
      </c>
      <c r="B298" s="4">
        <f t="shared" si="330"/>
        <v>6</v>
      </c>
      <c r="C298" s="5">
        <f>'[2]FPC wSEB'!$E395</f>
        <v>1054087</v>
      </c>
      <c r="D298" s="5">
        <f>'[2]FPC wSEB'!$Y395</f>
        <v>164291</v>
      </c>
      <c r="E298" s="74">
        <f t="shared" si="356"/>
        <v>6416</v>
      </c>
      <c r="F298" s="358">
        <v>106497</v>
      </c>
      <c r="G298" s="358">
        <v>111835</v>
      </c>
      <c r="H298" s="358">
        <v>11835</v>
      </c>
      <c r="I298" s="358">
        <v>5002</v>
      </c>
      <c r="J298" s="574">
        <f>[5]CC!$E178</f>
        <v>162586</v>
      </c>
      <c r="K298" s="4">
        <f>'[7]COM 55 &amp; 65'!$S383</f>
        <v>391.1</v>
      </c>
      <c r="L298" s="4">
        <f t="shared" si="216"/>
        <v>442.7</v>
      </c>
      <c r="M298" s="135">
        <f t="shared" si="347"/>
        <v>51.599999999999966</v>
      </c>
      <c r="N298" s="4">
        <f>'[7]COM 55 &amp; 65'!$J383</f>
        <v>0.1</v>
      </c>
      <c r="O298" s="4">
        <f t="shared" si="209"/>
        <v>0.1</v>
      </c>
      <c r="P298" s="41">
        <f t="shared" si="357"/>
        <v>0</v>
      </c>
      <c r="Q298" s="474">
        <f t="shared" si="348"/>
        <v>33414.92159999998</v>
      </c>
      <c r="R298" s="472">
        <f t="shared" si="349"/>
        <v>0</v>
      </c>
      <c r="S298" s="241">
        <f t="shared" si="290"/>
        <v>33415</v>
      </c>
      <c r="T298" s="13" t="s">
        <v>18</v>
      </c>
      <c r="U298" s="4">
        <f t="shared" si="217"/>
        <v>2007</v>
      </c>
      <c r="V298" s="4">
        <f t="shared" si="218"/>
        <v>6</v>
      </c>
      <c r="W298" s="242">
        <f t="shared" si="291"/>
        <v>6619.3644204490811</v>
      </c>
      <c r="X298" s="131">
        <f t="shared" si="350"/>
        <v>-184.59916729383531</v>
      </c>
      <c r="Z298" s="175">
        <f t="shared" si="276"/>
        <v>1087502</v>
      </c>
      <c r="AA298" s="12">
        <f t="shared" si="292"/>
        <v>33415</v>
      </c>
      <c r="AB298" s="519">
        <f>[9]CMWh!$L178</f>
        <v>1068414</v>
      </c>
      <c r="AC298" s="107">
        <f>RESID!AC298</f>
        <v>30.8</v>
      </c>
      <c r="AD298" s="243">
        <f t="shared" si="293"/>
        <v>1041082</v>
      </c>
      <c r="AE298" s="243">
        <f t="shared" si="358"/>
        <v>-56628.600000000093</v>
      </c>
      <c r="AF298" s="4">
        <f t="shared" si="279"/>
        <v>19998</v>
      </c>
      <c r="AG298" s="4">
        <f t="shared" si="359"/>
        <v>1074085</v>
      </c>
      <c r="AH298" s="4">
        <f t="shared" si="351"/>
        <v>-26594</v>
      </c>
      <c r="AJ298" s="269">
        <f t="shared" si="306"/>
        <v>935755</v>
      </c>
      <c r="AK298" s="269">
        <f t="shared" si="307"/>
        <v>47454</v>
      </c>
      <c r="AL298" s="276">
        <f t="shared" si="312"/>
        <v>19719.201753276855</v>
      </c>
      <c r="AM298" s="269">
        <f t="shared" si="308"/>
        <v>106497</v>
      </c>
      <c r="AN298" s="269">
        <f t="shared" si="309"/>
        <v>111835</v>
      </c>
      <c r="AO298" s="276">
        <f t="shared" si="313"/>
        <v>952.26896767559356</v>
      </c>
      <c r="AP298" s="269">
        <f t="shared" si="310"/>
        <v>11835</v>
      </c>
      <c r="AQ298" s="269">
        <f t="shared" si="311"/>
        <v>5002</v>
      </c>
      <c r="AR298" s="276">
        <f t="shared" si="314"/>
        <v>2366.0535785685724</v>
      </c>
      <c r="AX298" s="4">
        <f t="shared" si="331"/>
        <v>2007</v>
      </c>
      <c r="AY298" s="4">
        <f t="shared" si="332"/>
        <v>6</v>
      </c>
      <c r="AZ298" s="366">
        <f>'[8]COM 55 &amp; 65'!$S383</f>
        <v>471.2</v>
      </c>
      <c r="BA298" s="366">
        <f t="shared" si="221"/>
        <v>485.1</v>
      </c>
      <c r="BB298" s="367">
        <f t="shared" si="360"/>
        <v>13.900000000000034</v>
      </c>
      <c r="BC298" s="367"/>
      <c r="BD298" s="366">
        <f>'[8]COM 55 &amp; 65'!$J383</f>
        <v>0</v>
      </c>
      <c r="BE298" s="366">
        <f t="shared" si="222"/>
        <v>0</v>
      </c>
      <c r="BF298" s="368">
        <f t="shared" si="361"/>
        <v>0</v>
      </c>
      <c r="BH298" s="244">
        <f t="shared" si="352"/>
        <v>9001.3064000000231</v>
      </c>
      <c r="BI298" s="242">
        <f t="shared" si="353"/>
        <v>0</v>
      </c>
      <c r="BJ298" s="242"/>
      <c r="BK298" s="241">
        <f t="shared" si="362"/>
        <v>9001</v>
      </c>
      <c r="BL298" s="262"/>
      <c r="BM298" s="36" t="s">
        <v>18</v>
      </c>
      <c r="BN298" s="4">
        <f t="shared" si="223"/>
        <v>2007</v>
      </c>
      <c r="BO298" s="4">
        <f t="shared" si="224"/>
        <v>6</v>
      </c>
      <c r="BP298" s="108">
        <f>C298+[4]MWh!$AK132</f>
        <v>1116410.7713530208</v>
      </c>
      <c r="BQ298" s="76">
        <f t="shared" si="281"/>
        <v>6795.3251934252075</v>
      </c>
      <c r="BR298" s="130">
        <f t="shared" si="282"/>
        <v>6850.1121263673649</v>
      </c>
      <c r="BS298" s="108">
        <f t="shared" si="354"/>
        <v>-94.498980192987801</v>
      </c>
      <c r="BT298" s="175">
        <f t="shared" si="363"/>
        <v>1125411.7713530208</v>
      </c>
      <c r="BU298" s="108">
        <f t="shared" si="355"/>
        <v>-12053.026401605923</v>
      </c>
      <c r="BV298" s="137">
        <f t="shared" si="364"/>
        <v>9001</v>
      </c>
      <c r="BW298" s="529">
        <f>BT298/[9]CMWh!$L178</f>
        <v>1.0533480199183283</v>
      </c>
    </row>
    <row r="299" spans="1:75" ht="12.75" customHeight="1">
      <c r="A299" s="22">
        <f t="shared" si="329"/>
        <v>2007</v>
      </c>
      <c r="B299" s="4">
        <f t="shared" si="330"/>
        <v>7</v>
      </c>
      <c r="C299" s="5">
        <f>'[2]FPC wSEB'!$E396</f>
        <v>1113229</v>
      </c>
      <c r="D299" s="5">
        <f>'[2]FPC wSEB'!$Y396</f>
        <v>156286</v>
      </c>
      <c r="E299" s="74">
        <f t="shared" si="356"/>
        <v>7123</v>
      </c>
      <c r="F299" s="358">
        <v>113938</v>
      </c>
      <c r="G299" s="358">
        <v>105724</v>
      </c>
      <c r="H299" s="358">
        <v>11952</v>
      </c>
      <c r="I299" s="358">
        <v>5026</v>
      </c>
      <c r="J299" s="574">
        <f>[5]CC!$E179</f>
        <v>163768</v>
      </c>
      <c r="K299" s="4">
        <f>'[7]COM 55 &amp; 65'!$S384</f>
        <v>521</v>
      </c>
      <c r="L299" s="4">
        <f t="shared" si="216"/>
        <v>516.1</v>
      </c>
      <c r="M299" s="135">
        <f t="shared" ref="M299:M304" si="365">(L299-K299)</f>
        <v>-4.8999999999999773</v>
      </c>
      <c r="N299" s="4">
        <f>'[7]COM 55 &amp; 65'!$J384</f>
        <v>0</v>
      </c>
      <c r="O299" s="4">
        <f t="shared" si="209"/>
        <v>0</v>
      </c>
      <c r="P299" s="41">
        <f t="shared" si="357"/>
        <v>0</v>
      </c>
      <c r="Q299" s="474">
        <f t="shared" si="348"/>
        <v>-3173.1223999999852</v>
      </c>
      <c r="R299" s="472">
        <f t="shared" si="349"/>
        <v>0</v>
      </c>
      <c r="S299" s="241">
        <f t="shared" si="290"/>
        <v>-3173</v>
      </c>
      <c r="T299" s="13" t="s">
        <v>18</v>
      </c>
      <c r="U299" s="4">
        <f t="shared" si="217"/>
        <v>2007</v>
      </c>
      <c r="V299" s="4">
        <f t="shared" si="218"/>
        <v>7</v>
      </c>
      <c r="W299" s="242">
        <f t="shared" si="291"/>
        <v>7102.721932866667</v>
      </c>
      <c r="X299" s="131">
        <f t="shared" ref="X299:X304" si="366">W299-W287</f>
        <v>51.080446285421203</v>
      </c>
      <c r="Z299" s="175">
        <f t="shared" si="276"/>
        <v>1110056</v>
      </c>
      <c r="AA299" s="12">
        <f t="shared" si="292"/>
        <v>-3173</v>
      </c>
      <c r="AB299" s="519">
        <f>[9]CMWh!$L179</f>
        <v>1150242</v>
      </c>
      <c r="AC299" s="107">
        <f>RESID!AC299</f>
        <v>30.5</v>
      </c>
      <c r="AD299" s="243">
        <f t="shared" si="293"/>
        <v>1110309.1000000001</v>
      </c>
      <c r="AE299" s="243">
        <f t="shared" si="358"/>
        <v>13286.100000000093</v>
      </c>
      <c r="AF299" s="4">
        <f t="shared" si="279"/>
        <v>-6085</v>
      </c>
      <c r="AG299" s="4">
        <f t="shared" si="359"/>
        <v>1107144</v>
      </c>
      <c r="AH299" s="4">
        <f t="shared" ref="AH299:AH304" si="367">AG299-AG287</f>
        <v>3854</v>
      </c>
      <c r="AJ299" s="269">
        <f t="shared" si="306"/>
        <v>987339</v>
      </c>
      <c r="AK299" s="269">
        <f t="shared" si="307"/>
        <v>45536</v>
      </c>
      <c r="AL299" s="276">
        <f t="shared" si="312"/>
        <v>21682.602775825722</v>
      </c>
      <c r="AM299" s="269">
        <f t="shared" si="308"/>
        <v>113938</v>
      </c>
      <c r="AN299" s="269">
        <f t="shared" si="309"/>
        <v>105724</v>
      </c>
      <c r="AO299" s="276">
        <f t="shared" si="313"/>
        <v>1077.692860656048</v>
      </c>
      <c r="AP299" s="269">
        <f t="shared" si="310"/>
        <v>11952</v>
      </c>
      <c r="AQ299" s="269">
        <f t="shared" si="311"/>
        <v>5026</v>
      </c>
      <c r="AR299" s="276">
        <f t="shared" si="314"/>
        <v>2378.0342220453645</v>
      </c>
      <c r="AX299" s="4">
        <f t="shared" si="331"/>
        <v>2007</v>
      </c>
      <c r="AY299" s="4">
        <f t="shared" si="332"/>
        <v>7</v>
      </c>
      <c r="AZ299" s="366">
        <f>'[8]COM 55 &amp; 65'!$S384</f>
        <v>554.29999999999995</v>
      </c>
      <c r="BA299" s="366">
        <f t="shared" si="221"/>
        <v>546.1</v>
      </c>
      <c r="BB299" s="367">
        <f t="shared" si="360"/>
        <v>-8.1999999999999318</v>
      </c>
      <c r="BC299" s="367"/>
      <c r="BD299" s="366">
        <f>'[8]COM 55 &amp; 65'!$J384</f>
        <v>0</v>
      </c>
      <c r="BE299" s="366">
        <f t="shared" si="222"/>
        <v>0</v>
      </c>
      <c r="BF299" s="368">
        <f t="shared" si="361"/>
        <v>0</v>
      </c>
      <c r="BH299" s="244">
        <f t="shared" si="352"/>
        <v>-5310.1231999999563</v>
      </c>
      <c r="BI299" s="242">
        <f t="shared" si="353"/>
        <v>0</v>
      </c>
      <c r="BJ299" s="242"/>
      <c r="BK299" s="241">
        <f t="shared" si="362"/>
        <v>-5310</v>
      </c>
      <c r="BL299" s="262"/>
      <c r="BM299" s="36" t="s">
        <v>18</v>
      </c>
      <c r="BN299" s="4">
        <f t="shared" si="223"/>
        <v>2007</v>
      </c>
      <c r="BO299" s="4">
        <f t="shared" si="224"/>
        <v>7</v>
      </c>
      <c r="BP299" s="108">
        <f>C299+[4]MWh!$AK133</f>
        <v>1156262.5668559475</v>
      </c>
      <c r="BQ299" s="76">
        <f t="shared" si="281"/>
        <v>7398.3758420840477</v>
      </c>
      <c r="BR299" s="130">
        <f t="shared" si="282"/>
        <v>7364.3996701940514</v>
      </c>
      <c r="BS299" s="108">
        <f t="shared" ref="BS299:BS304" si="368">BR299-BR287</f>
        <v>-11.187361320585296</v>
      </c>
      <c r="BT299" s="175">
        <f t="shared" si="363"/>
        <v>1150952.5668559475</v>
      </c>
      <c r="BU299" s="108">
        <f t="shared" ref="BU299:BU304" si="369">BT299-BT287</f>
        <v>-6055.7707777535543</v>
      </c>
      <c r="BV299" s="137">
        <f t="shared" si="364"/>
        <v>-5310</v>
      </c>
      <c r="BW299" s="529">
        <f>BT299/[9]CMWh!$L179</f>
        <v>1.000617754225587</v>
      </c>
    </row>
    <row r="300" spans="1:75" ht="12.75" customHeight="1">
      <c r="A300" s="22">
        <f t="shared" si="329"/>
        <v>2007</v>
      </c>
      <c r="B300" s="4">
        <f t="shared" si="330"/>
        <v>8</v>
      </c>
      <c r="C300" s="5">
        <f>'[2]FPC wSEB'!$E397</f>
        <v>1247441</v>
      </c>
      <c r="D300" s="5">
        <f>'[2]FPC wSEB'!$Y397</f>
        <v>171056</v>
      </c>
      <c r="E300" s="74">
        <f t="shared" ref="E300:E305" si="370">ROUND((C300/D300)*1000,1)</f>
        <v>7292.6</v>
      </c>
      <c r="F300" s="358">
        <v>129758</v>
      </c>
      <c r="G300" s="358">
        <v>117090</v>
      </c>
      <c r="H300" s="358">
        <v>12148</v>
      </c>
      <c r="I300" s="358">
        <v>5043</v>
      </c>
      <c r="J300" s="574">
        <f>[5]CC!$E180</f>
        <v>163005</v>
      </c>
      <c r="K300" s="4">
        <f>'[7]COM 55 &amp; 65'!$S385</f>
        <v>572.1</v>
      </c>
      <c r="L300" s="4">
        <f t="shared" si="216"/>
        <v>542</v>
      </c>
      <c r="M300" s="135">
        <f t="shared" si="365"/>
        <v>-30.100000000000023</v>
      </c>
      <c r="N300" s="4">
        <f>'[7]COM 55 &amp; 65'!$J385</f>
        <v>0</v>
      </c>
      <c r="O300" s="4">
        <f t="shared" si="209"/>
        <v>0</v>
      </c>
      <c r="P300" s="41">
        <f t="shared" si="357"/>
        <v>0</v>
      </c>
      <c r="Q300" s="474">
        <f t="shared" si="348"/>
        <v>-19492.037600000014</v>
      </c>
      <c r="R300" s="472">
        <f t="shared" si="349"/>
        <v>0</v>
      </c>
      <c r="S300" s="241">
        <f t="shared" si="290"/>
        <v>-19492</v>
      </c>
      <c r="T300" s="13" t="s">
        <v>18</v>
      </c>
      <c r="U300" s="4">
        <f t="shared" si="217"/>
        <v>2007</v>
      </c>
      <c r="V300" s="4">
        <f t="shared" si="218"/>
        <v>8</v>
      </c>
      <c r="W300" s="242">
        <f t="shared" si="291"/>
        <v>7178.6374052941728</v>
      </c>
      <c r="X300" s="131">
        <f t="shared" si="366"/>
        <v>57.508387397279876</v>
      </c>
      <c r="Z300" s="175">
        <f t="shared" si="276"/>
        <v>1227949</v>
      </c>
      <c r="AA300" s="12">
        <f t="shared" si="292"/>
        <v>-19492</v>
      </c>
      <c r="AB300" s="519">
        <f>[9]CMWh!$L180</f>
        <v>1188595</v>
      </c>
      <c r="AC300" s="107">
        <f>RESID!AC300</f>
        <v>31.1</v>
      </c>
      <c r="AD300" s="243">
        <f t="shared" si="293"/>
        <v>1220165.8</v>
      </c>
      <c r="AE300" s="243">
        <f t="shared" si="358"/>
        <v>32106.300000000047</v>
      </c>
      <c r="AF300" s="4">
        <f t="shared" si="279"/>
        <v>-46341</v>
      </c>
      <c r="AG300" s="4">
        <f t="shared" si="359"/>
        <v>1201100</v>
      </c>
      <c r="AH300" s="4">
        <f t="shared" si="367"/>
        <v>27670</v>
      </c>
      <c r="AJ300" s="269">
        <f t="shared" si="306"/>
        <v>1105535</v>
      </c>
      <c r="AK300" s="269">
        <f t="shared" si="307"/>
        <v>48923</v>
      </c>
      <c r="AL300" s="276">
        <f t="shared" si="312"/>
        <v>22597.449052592849</v>
      </c>
      <c r="AM300" s="269">
        <f t="shared" si="308"/>
        <v>129758</v>
      </c>
      <c r="AN300" s="269">
        <f t="shared" si="309"/>
        <v>117090</v>
      </c>
      <c r="AO300" s="276">
        <f t="shared" si="313"/>
        <v>1108.1902809804424</v>
      </c>
      <c r="AP300" s="269">
        <f t="shared" si="310"/>
        <v>12148</v>
      </c>
      <c r="AQ300" s="269">
        <f t="shared" si="311"/>
        <v>5043</v>
      </c>
      <c r="AR300" s="276">
        <f t="shared" si="314"/>
        <v>2408.8836010311325</v>
      </c>
      <c r="AX300" s="4">
        <f t="shared" si="331"/>
        <v>2007</v>
      </c>
      <c r="AY300" s="4">
        <f t="shared" si="332"/>
        <v>8</v>
      </c>
      <c r="AZ300" s="366">
        <f>'[8]COM 55 &amp; 65'!$S385</f>
        <v>599</v>
      </c>
      <c r="BA300" s="366">
        <f t="shared" si="221"/>
        <v>549</v>
      </c>
      <c r="BB300" s="367">
        <f t="shared" si="360"/>
        <v>-50</v>
      </c>
      <c r="BC300" s="367"/>
      <c r="BD300" s="366">
        <f>'[8]COM 55 &amp; 65'!$J385</f>
        <v>0</v>
      </c>
      <c r="BE300" s="366">
        <f t="shared" si="222"/>
        <v>0</v>
      </c>
      <c r="BF300" s="368">
        <f t="shared" si="361"/>
        <v>0</v>
      </c>
      <c r="BH300" s="244">
        <f t="shared" si="352"/>
        <v>-32378.800000000003</v>
      </c>
      <c r="BI300" s="242">
        <f t="shared" si="353"/>
        <v>0</v>
      </c>
      <c r="BJ300" s="242"/>
      <c r="BK300" s="241">
        <f t="shared" si="362"/>
        <v>-32379</v>
      </c>
      <c r="BL300" s="262"/>
      <c r="BM300" s="36" t="s">
        <v>18</v>
      </c>
      <c r="BN300" s="4">
        <f t="shared" si="223"/>
        <v>2007</v>
      </c>
      <c r="BO300" s="4">
        <f t="shared" si="224"/>
        <v>8</v>
      </c>
      <c r="BP300" s="108">
        <f>C300+[4]MWh!$AK134</f>
        <v>1227343.773452607</v>
      </c>
      <c r="BQ300" s="76">
        <f t="shared" si="281"/>
        <v>7175.0992274612236</v>
      </c>
      <c r="BR300" s="130">
        <f t="shared" si="282"/>
        <v>6985.8103396116303</v>
      </c>
      <c r="BS300" s="108">
        <f t="shared" si="368"/>
        <v>0.93985325226913119</v>
      </c>
      <c r="BT300" s="175">
        <f t="shared" si="363"/>
        <v>1194964.773452607</v>
      </c>
      <c r="BU300" s="108">
        <f t="shared" si="369"/>
        <v>18258.566968077095</v>
      </c>
      <c r="BV300" s="137">
        <f t="shared" si="364"/>
        <v>-32379</v>
      </c>
      <c r="BW300" s="529">
        <f>BT300/[9]CMWh!$L180</f>
        <v>1.0053590781154278</v>
      </c>
    </row>
    <row r="301" spans="1:75" ht="12.75" customHeight="1">
      <c r="A301" s="22">
        <f t="shared" si="329"/>
        <v>2007</v>
      </c>
      <c r="B301" s="4">
        <f t="shared" si="330"/>
        <v>9</v>
      </c>
      <c r="C301" s="5">
        <f>'[2]FPC wSEB'!$E398</f>
        <v>1194072</v>
      </c>
      <c r="D301" s="5">
        <f>'[2]FPC wSEB'!$Y398</f>
        <v>158364</v>
      </c>
      <c r="E301" s="74">
        <f t="shared" si="370"/>
        <v>7540</v>
      </c>
      <c r="F301" s="358">
        <v>120092</v>
      </c>
      <c r="G301" s="358">
        <v>106296</v>
      </c>
      <c r="H301" s="358">
        <v>11887</v>
      </c>
      <c r="I301" s="358">
        <v>5053</v>
      </c>
      <c r="J301" s="574">
        <f>[5]CC!$E181</f>
        <v>163411</v>
      </c>
      <c r="K301" s="4">
        <f>'[7]COM 55 &amp; 65'!$S386</f>
        <v>566.20000000000005</v>
      </c>
      <c r="L301" s="4">
        <f t="shared" si="216"/>
        <v>531.20000000000005</v>
      </c>
      <c r="M301" s="135">
        <f t="shared" si="365"/>
        <v>-35</v>
      </c>
      <c r="N301" s="4">
        <f>'[7]COM 55 &amp; 65'!$J386</f>
        <v>0</v>
      </c>
      <c r="O301" s="4">
        <f t="shared" si="209"/>
        <v>0</v>
      </c>
      <c r="P301" s="41">
        <f t="shared" ref="P301:P306" si="371">(O301-N301)</f>
        <v>0</v>
      </c>
      <c r="Q301" s="474">
        <f t="shared" si="348"/>
        <v>-22665.16</v>
      </c>
      <c r="R301" s="472">
        <f t="shared" si="349"/>
        <v>0</v>
      </c>
      <c r="S301" s="241">
        <f t="shared" si="290"/>
        <v>-22665</v>
      </c>
      <c r="T301" s="13" t="s">
        <v>18</v>
      </c>
      <c r="U301" s="4">
        <f t="shared" si="217"/>
        <v>2007</v>
      </c>
      <c r="V301" s="4">
        <f t="shared" si="218"/>
        <v>9</v>
      </c>
      <c r="W301" s="242">
        <f t="shared" ref="W301:W306" si="372">Z301/D301*1000</f>
        <v>7396.9273319693866</v>
      </c>
      <c r="X301" s="131">
        <f t="shared" si="366"/>
        <v>226.89773656249508</v>
      </c>
      <c r="Z301" s="175">
        <f t="shared" ref="Z301:Z306" si="373">S301+C301</f>
        <v>1171407</v>
      </c>
      <c r="AA301" s="12">
        <f t="shared" si="292"/>
        <v>-22665</v>
      </c>
      <c r="AB301" s="519">
        <f>[9]CMWh!$L181</f>
        <v>1180771</v>
      </c>
      <c r="AC301" s="107">
        <f>RESID!AC301</f>
        <v>30.55</v>
      </c>
      <c r="AD301" s="243">
        <f t="shared" si="293"/>
        <v>1188990.8</v>
      </c>
      <c r="AE301" s="243">
        <f t="shared" ref="AE301:AE306" si="374">AD301-AD289</f>
        <v>25854.699999999953</v>
      </c>
      <c r="AF301" s="4">
        <f t="shared" ref="AF301:AF306" si="375">AG301-C301</f>
        <v>-27650</v>
      </c>
      <c r="AG301" s="4">
        <f t="shared" ref="AG301:AG306" si="376">ROUND(Z301/(AC301/30.42),0)</f>
        <v>1166422</v>
      </c>
      <c r="AH301" s="4">
        <f t="shared" si="367"/>
        <v>-665</v>
      </c>
      <c r="AJ301" s="269">
        <f t="shared" ref="AJ301:AK303" si="377">C301-AM301-AP301</f>
        <v>1062093</v>
      </c>
      <c r="AK301" s="269">
        <f t="shared" si="377"/>
        <v>47015</v>
      </c>
      <c r="AL301" s="276">
        <f t="shared" ref="AL301:AL306" si="378">AJ301/AK301*1000</f>
        <v>22590.513665851326</v>
      </c>
      <c r="AM301" s="269">
        <f t="shared" ref="AM301:AN303" si="379">F301</f>
        <v>120092</v>
      </c>
      <c r="AN301" s="269">
        <f t="shared" si="379"/>
        <v>106296</v>
      </c>
      <c r="AO301" s="276">
        <f t="shared" ref="AO301:AO306" si="380">AM301/AN301*1000</f>
        <v>1129.7885150899376</v>
      </c>
      <c r="AP301" s="269">
        <f t="shared" ref="AP301:AQ303" si="381">H301</f>
        <v>11887</v>
      </c>
      <c r="AQ301" s="269">
        <f t="shared" si="381"/>
        <v>5053</v>
      </c>
      <c r="AR301" s="276">
        <f t="shared" ref="AR301:AR306" si="382">AP301/AQ301*1000</f>
        <v>2352.4638828418761</v>
      </c>
      <c r="AX301" s="4">
        <f t="shared" si="331"/>
        <v>2007</v>
      </c>
      <c r="AY301" s="4">
        <f t="shared" si="332"/>
        <v>9</v>
      </c>
      <c r="AZ301" s="366">
        <f>'[8]COM 55 &amp; 65'!$S386</f>
        <v>498.6</v>
      </c>
      <c r="BA301" s="366">
        <f t="shared" si="221"/>
        <v>487.9</v>
      </c>
      <c r="BB301" s="367">
        <f t="shared" ref="BB301:BB306" si="383">(BA301-AZ301)</f>
        <v>-10.700000000000045</v>
      </c>
      <c r="BC301" s="367"/>
      <c r="BD301" s="366">
        <f>'[8]COM 55 &amp; 65'!$J386</f>
        <v>0</v>
      </c>
      <c r="BE301" s="366">
        <f t="shared" si="222"/>
        <v>0</v>
      </c>
      <c r="BF301" s="368">
        <f t="shared" ref="BF301:BF306" si="384">(BE301-BD301)</f>
        <v>0</v>
      </c>
      <c r="BH301" s="244">
        <f t="shared" si="352"/>
        <v>-6929.0632000000296</v>
      </c>
      <c r="BI301" s="242">
        <f t="shared" si="353"/>
        <v>0</v>
      </c>
      <c r="BJ301" s="242"/>
      <c r="BK301" s="241">
        <f t="shared" ref="BK301:BK306" si="385">ROUND(SUM(BH301,BI301),0)</f>
        <v>-6929</v>
      </c>
      <c r="BL301" s="262"/>
      <c r="BM301" s="36" t="s">
        <v>18</v>
      </c>
      <c r="BN301" s="4">
        <f t="shared" si="223"/>
        <v>2007</v>
      </c>
      <c r="BO301" s="4">
        <f t="shared" si="224"/>
        <v>9</v>
      </c>
      <c r="BP301" s="108">
        <f>C301+[4]MWh!$AK135</f>
        <v>1122086.9863976475</v>
      </c>
      <c r="BQ301" s="76">
        <f t="shared" ref="BQ301:BQ306" si="386">BP301/D301*1000</f>
        <v>7085.4928291634942</v>
      </c>
      <c r="BR301" s="130">
        <f t="shared" ref="BR301:BR306" si="387">BT301/D301*1000</f>
        <v>7041.7391982877898</v>
      </c>
      <c r="BS301" s="108">
        <f t="shared" si="368"/>
        <v>322.82911338975464</v>
      </c>
      <c r="BT301" s="175">
        <f t="shared" ref="BT301:BT306" si="388">BK301+BP301</f>
        <v>1115157.9863976475</v>
      </c>
      <c r="BU301" s="108">
        <f t="shared" si="369"/>
        <v>18625.141632203246</v>
      </c>
      <c r="BV301" s="137">
        <f t="shared" ref="BV301:BV306" si="389">BT301-BP301</f>
        <v>-6929</v>
      </c>
      <c r="BW301" s="529">
        <f>BT301/[9]CMWh!$L181</f>
        <v>0.94443205871218683</v>
      </c>
    </row>
    <row r="302" spans="1:75" ht="12.75" customHeight="1">
      <c r="A302" s="22">
        <f t="shared" si="329"/>
        <v>2007</v>
      </c>
      <c r="B302" s="4">
        <f t="shared" si="330"/>
        <v>10</v>
      </c>
      <c r="C302" s="5">
        <f>'[2]FPC wSEB'!$E399</f>
        <v>1099092</v>
      </c>
      <c r="D302" s="5">
        <f>'[2]FPC wSEB'!$Y399</f>
        <v>162833</v>
      </c>
      <c r="E302" s="74">
        <f t="shared" si="370"/>
        <v>6749.8</v>
      </c>
      <c r="F302" s="358">
        <v>113152</v>
      </c>
      <c r="G302" s="358">
        <v>109958</v>
      </c>
      <c r="H302" s="358">
        <v>12065</v>
      </c>
      <c r="I302" s="358">
        <v>5076</v>
      </c>
      <c r="J302" s="574">
        <f>[5]CC!$E182</f>
        <v>162689</v>
      </c>
      <c r="K302" s="4">
        <f>'[7]COM 55 &amp; 65'!$S387</f>
        <v>461.3</v>
      </c>
      <c r="L302" s="4">
        <f t="shared" si="216"/>
        <v>431.2</v>
      </c>
      <c r="M302" s="135">
        <f t="shared" si="365"/>
        <v>-30.100000000000023</v>
      </c>
      <c r="N302" s="4">
        <f>'[7]COM 55 &amp; 65'!$J387</f>
        <v>0</v>
      </c>
      <c r="O302" s="4">
        <f t="shared" si="209"/>
        <v>0.2</v>
      </c>
      <c r="P302" s="41">
        <f t="shared" si="371"/>
        <v>0.2</v>
      </c>
      <c r="Q302" s="474">
        <f t="shared" si="348"/>
        <v>-19492.037600000014</v>
      </c>
      <c r="R302" s="472">
        <f t="shared" si="349"/>
        <v>158.38720000000001</v>
      </c>
      <c r="S302" s="241">
        <f t="shared" ref="S302:S307" si="390">ROUND(SUM(Q302,R302),0)</f>
        <v>-19334</v>
      </c>
      <c r="T302" s="13" t="s">
        <v>18</v>
      </c>
      <c r="U302" s="4">
        <f t="shared" si="217"/>
        <v>2007</v>
      </c>
      <c r="V302" s="4">
        <f t="shared" si="218"/>
        <v>10</v>
      </c>
      <c r="W302" s="242">
        <f t="shared" si="372"/>
        <v>6631.0760103910143</v>
      </c>
      <c r="X302" s="131">
        <f t="shared" si="366"/>
        <v>75.670154072902733</v>
      </c>
      <c r="Z302" s="175">
        <f t="shared" si="373"/>
        <v>1079758</v>
      </c>
      <c r="AA302" s="12">
        <f t="shared" ref="AA302:AA307" si="391">Z302-C302</f>
        <v>-19334</v>
      </c>
      <c r="AB302" s="519">
        <f>[9]CMWh!$L182</f>
        <v>1086247</v>
      </c>
      <c r="AC302" s="107">
        <f>RESID!AC302</f>
        <v>29.65</v>
      </c>
      <c r="AD302" s="243">
        <f t="shared" ref="AD302:AD307" si="392">ROUND(C302/(AC302/30.42),1)</f>
        <v>1127635</v>
      </c>
      <c r="AE302" s="243">
        <f t="shared" si="374"/>
        <v>77177.100000000093</v>
      </c>
      <c r="AF302" s="4">
        <f t="shared" si="375"/>
        <v>8707</v>
      </c>
      <c r="AG302" s="4">
        <f t="shared" si="376"/>
        <v>1107799</v>
      </c>
      <c r="AH302" s="4">
        <f t="shared" si="367"/>
        <v>41316</v>
      </c>
      <c r="AJ302" s="269">
        <f t="shared" si="377"/>
        <v>973875</v>
      </c>
      <c r="AK302" s="269">
        <f t="shared" si="377"/>
        <v>47799</v>
      </c>
      <c r="AL302" s="276">
        <f t="shared" si="378"/>
        <v>20374.380217159356</v>
      </c>
      <c r="AM302" s="269">
        <f t="shared" si="379"/>
        <v>113152</v>
      </c>
      <c r="AN302" s="269">
        <f t="shared" si="379"/>
        <v>109958</v>
      </c>
      <c r="AO302" s="276">
        <f t="shared" si="380"/>
        <v>1029.0474544826207</v>
      </c>
      <c r="AP302" s="269">
        <f t="shared" si="381"/>
        <v>12065</v>
      </c>
      <c r="AQ302" s="269">
        <f t="shared" si="381"/>
        <v>5076</v>
      </c>
      <c r="AR302" s="276">
        <f t="shared" si="382"/>
        <v>2376.8715524034674</v>
      </c>
      <c r="AX302" s="4">
        <f t="shared" si="331"/>
        <v>2007</v>
      </c>
      <c r="AY302" s="4">
        <f t="shared" si="332"/>
        <v>10</v>
      </c>
      <c r="AZ302" s="366">
        <f>'[8]COM 55 &amp; 65'!$S387</f>
        <v>408</v>
      </c>
      <c r="BA302" s="366">
        <f t="shared" si="221"/>
        <v>332.5</v>
      </c>
      <c r="BB302" s="367">
        <f t="shared" si="383"/>
        <v>-75.5</v>
      </c>
      <c r="BC302" s="367"/>
      <c r="BD302" s="366">
        <f>'[8]COM 55 &amp; 65'!$J387</f>
        <v>0.1</v>
      </c>
      <c r="BE302" s="366">
        <f t="shared" si="222"/>
        <v>2</v>
      </c>
      <c r="BF302" s="368">
        <f t="shared" si="384"/>
        <v>1.9</v>
      </c>
      <c r="BH302" s="244">
        <f t="shared" si="352"/>
        <v>-48891.988000000005</v>
      </c>
      <c r="BI302" s="242">
        <f t="shared" si="353"/>
        <v>1504.6784</v>
      </c>
      <c r="BJ302" s="242"/>
      <c r="BK302" s="241">
        <f t="shared" si="385"/>
        <v>-47387</v>
      </c>
      <c r="BL302" s="262"/>
      <c r="BM302" s="36" t="s">
        <v>18</v>
      </c>
      <c r="BN302" s="4">
        <f t="shared" si="223"/>
        <v>2007</v>
      </c>
      <c r="BO302" s="4">
        <f t="shared" si="224"/>
        <v>10</v>
      </c>
      <c r="BP302" s="108">
        <f>C302+[4]MWh!$AK136</f>
        <v>1067493.0582790724</v>
      </c>
      <c r="BQ302" s="76">
        <f t="shared" si="386"/>
        <v>6555.7537985486506</v>
      </c>
      <c r="BR302" s="130">
        <f t="shared" si="387"/>
        <v>6264.7378496930742</v>
      </c>
      <c r="BS302" s="108">
        <f t="shared" si="368"/>
        <v>-78.405697659782163</v>
      </c>
      <c r="BT302" s="175">
        <f t="shared" si="388"/>
        <v>1020106.0582790724</v>
      </c>
      <c r="BU302" s="108">
        <f t="shared" si="369"/>
        <v>12580.16664818686</v>
      </c>
      <c r="BV302" s="137">
        <f t="shared" si="389"/>
        <v>-47387</v>
      </c>
      <c r="BW302" s="529">
        <f>BT302/[9]CMWh!$L182</f>
        <v>0.93911058744380638</v>
      </c>
    </row>
    <row r="303" spans="1:75" ht="12.75" customHeight="1">
      <c r="A303" s="22">
        <f t="shared" si="329"/>
        <v>2007</v>
      </c>
      <c r="B303" s="4">
        <f t="shared" si="330"/>
        <v>11</v>
      </c>
      <c r="C303" s="5">
        <f>'[2]FPC wSEB'!$E400</f>
        <v>1015823</v>
      </c>
      <c r="D303" s="5">
        <f>'[2]FPC wSEB'!$Y400</f>
        <v>168216</v>
      </c>
      <c r="E303" s="74">
        <f t="shared" si="370"/>
        <v>6038.8</v>
      </c>
      <c r="F303" s="358">
        <v>97940</v>
      </c>
      <c r="G303" s="358">
        <v>114753</v>
      </c>
      <c r="H303" s="358">
        <v>12198</v>
      </c>
      <c r="I303" s="358">
        <v>5045</v>
      </c>
      <c r="J303" s="574">
        <f>[5]CC!$E183</f>
        <v>164009</v>
      </c>
      <c r="K303" s="4">
        <f>'[7]COM 55 &amp; 65'!$S388</f>
        <v>277.60000000000002</v>
      </c>
      <c r="L303" s="4">
        <f t="shared" si="216"/>
        <v>251.9</v>
      </c>
      <c r="M303" s="135">
        <f t="shared" si="365"/>
        <v>-25.700000000000017</v>
      </c>
      <c r="N303" s="4">
        <f>'[7]COM 55 &amp; 65'!$J388</f>
        <v>5.9</v>
      </c>
      <c r="O303" s="4">
        <f t="shared" si="209"/>
        <v>6.3</v>
      </c>
      <c r="P303" s="41">
        <f t="shared" si="371"/>
        <v>0.39999999999999947</v>
      </c>
      <c r="Q303" s="474">
        <f t="shared" si="348"/>
        <v>-16642.703200000011</v>
      </c>
      <c r="R303" s="472">
        <f t="shared" si="349"/>
        <v>316.77439999999962</v>
      </c>
      <c r="S303" s="241">
        <f t="shared" si="390"/>
        <v>-16326</v>
      </c>
      <c r="T303" s="13" t="s">
        <v>18</v>
      </c>
      <c r="U303" s="4">
        <f t="shared" si="217"/>
        <v>2007</v>
      </c>
      <c r="V303" s="4">
        <f t="shared" si="218"/>
        <v>11</v>
      </c>
      <c r="W303" s="242">
        <f t="shared" si="372"/>
        <v>5941.7475150996333</v>
      </c>
      <c r="X303" s="131">
        <f t="shared" si="366"/>
        <v>-79.238598178569191</v>
      </c>
      <c r="Z303" s="175">
        <f t="shared" si="373"/>
        <v>999497</v>
      </c>
      <c r="AA303" s="12">
        <f t="shared" si="391"/>
        <v>-16326</v>
      </c>
      <c r="AB303" s="519">
        <f>[9]CMWh!$L183</f>
        <v>994936</v>
      </c>
      <c r="AC303" s="107">
        <f>RESID!AC303</f>
        <v>30.55</v>
      </c>
      <c r="AD303" s="243">
        <f t="shared" si="392"/>
        <v>1011500.3</v>
      </c>
      <c r="AE303" s="243">
        <f t="shared" si="374"/>
        <v>27983.800000000047</v>
      </c>
      <c r="AF303" s="4">
        <f t="shared" si="375"/>
        <v>-20579</v>
      </c>
      <c r="AG303" s="4">
        <f t="shared" si="376"/>
        <v>995244</v>
      </c>
      <c r="AH303" s="4">
        <f t="shared" si="367"/>
        <v>-5425</v>
      </c>
      <c r="AJ303" s="269">
        <f t="shared" si="377"/>
        <v>905685</v>
      </c>
      <c r="AK303" s="269">
        <f t="shared" si="377"/>
        <v>48418</v>
      </c>
      <c r="AL303" s="276">
        <f t="shared" si="378"/>
        <v>18705.543392953034</v>
      </c>
      <c r="AM303" s="269">
        <f t="shared" si="379"/>
        <v>97940</v>
      </c>
      <c r="AN303" s="269">
        <f t="shared" si="379"/>
        <v>114753</v>
      </c>
      <c r="AO303" s="276">
        <f t="shared" si="380"/>
        <v>853.48531193084273</v>
      </c>
      <c r="AP303" s="269">
        <f t="shared" si="381"/>
        <v>12198</v>
      </c>
      <c r="AQ303" s="269">
        <f t="shared" si="381"/>
        <v>5045</v>
      </c>
      <c r="AR303" s="276">
        <f t="shared" si="382"/>
        <v>2417.8394449950447</v>
      </c>
      <c r="AX303" s="4">
        <f t="shared" si="331"/>
        <v>2007</v>
      </c>
      <c r="AY303" s="4">
        <f t="shared" si="332"/>
        <v>11</v>
      </c>
      <c r="AZ303" s="366">
        <f>'[8]COM 55 &amp; 65'!$S388</f>
        <v>134.1</v>
      </c>
      <c r="BA303" s="366">
        <f t="shared" si="221"/>
        <v>146</v>
      </c>
      <c r="BB303" s="367">
        <f t="shared" si="383"/>
        <v>11.900000000000006</v>
      </c>
      <c r="BC303" s="367"/>
      <c r="BD303" s="366">
        <f>'[8]COM 55 &amp; 65'!$J388</f>
        <v>13.6</v>
      </c>
      <c r="BE303" s="366">
        <f t="shared" si="222"/>
        <v>14</v>
      </c>
      <c r="BF303" s="368">
        <f t="shared" si="384"/>
        <v>0.40000000000000036</v>
      </c>
      <c r="BH303" s="244">
        <f t="shared" si="352"/>
        <v>7706.154400000004</v>
      </c>
      <c r="BI303" s="242">
        <f t="shared" si="353"/>
        <v>316.7744000000003</v>
      </c>
      <c r="BJ303" s="242"/>
      <c r="BK303" s="241">
        <f t="shared" si="385"/>
        <v>8023</v>
      </c>
      <c r="BL303" s="262"/>
      <c r="BM303" s="36" t="s">
        <v>18</v>
      </c>
      <c r="BN303" s="4">
        <f t="shared" si="223"/>
        <v>2007</v>
      </c>
      <c r="BO303" s="4">
        <f t="shared" si="224"/>
        <v>11</v>
      </c>
      <c r="BP303" s="108">
        <f>C303+[4]MWh!$AK137</f>
        <v>891844.12456926052</v>
      </c>
      <c r="BQ303" s="76">
        <f t="shared" si="386"/>
        <v>5301.7794060568585</v>
      </c>
      <c r="BR303" s="130">
        <f t="shared" si="387"/>
        <v>5349.4740367697514</v>
      </c>
      <c r="BS303" s="108">
        <f t="shared" si="368"/>
        <v>-112.88848692525335</v>
      </c>
      <c r="BT303" s="175">
        <f t="shared" si="388"/>
        <v>899867.12456926052</v>
      </c>
      <c r="BU303" s="108">
        <f t="shared" si="369"/>
        <v>-10348.192204132909</v>
      </c>
      <c r="BV303" s="137">
        <f t="shared" si="389"/>
        <v>8023</v>
      </c>
      <c r="BW303" s="529">
        <f>BT303/[9]CMWh!$L183</f>
        <v>0.90444724542006771</v>
      </c>
    </row>
    <row r="304" spans="1:75" s="89" customFormat="1" ht="12.75" customHeight="1">
      <c r="A304" s="225">
        <f t="shared" si="329"/>
        <v>2007</v>
      </c>
      <c r="B304" s="89">
        <f t="shared" si="330"/>
        <v>12</v>
      </c>
      <c r="C304" s="103">
        <f>'[2]FPC wSEB'!$E401</f>
        <v>943652</v>
      </c>
      <c r="D304" s="103">
        <f>'[2]FPC wSEB'!$Y401</f>
        <v>162318</v>
      </c>
      <c r="E304" s="109">
        <f t="shared" si="370"/>
        <v>5813.6</v>
      </c>
      <c r="F304" s="376">
        <v>86616</v>
      </c>
      <c r="G304" s="376">
        <v>109696</v>
      </c>
      <c r="H304" s="376">
        <v>11950</v>
      </c>
      <c r="I304" s="376">
        <v>5101</v>
      </c>
      <c r="J304" s="575">
        <f>[5]CC!$E184</f>
        <v>161377</v>
      </c>
      <c r="K304" s="89">
        <f>'[7]COM 55 &amp; 65'!$S389</f>
        <v>149.4</v>
      </c>
      <c r="L304" s="89">
        <f t="shared" si="216"/>
        <v>119.4</v>
      </c>
      <c r="M304" s="136">
        <f t="shared" si="365"/>
        <v>-30</v>
      </c>
      <c r="N304" s="89">
        <f>'[7]COM 55 &amp; 65'!$J389</f>
        <v>16.5</v>
      </c>
      <c r="O304" s="89">
        <f t="shared" si="209"/>
        <v>30.1</v>
      </c>
      <c r="P304" s="94">
        <f t="shared" si="371"/>
        <v>13.600000000000001</v>
      </c>
      <c r="Q304" s="475">
        <f t="shared" si="348"/>
        <v>-19427.28</v>
      </c>
      <c r="R304" s="473">
        <f t="shared" si="349"/>
        <v>10770.329600000001</v>
      </c>
      <c r="S304" s="329">
        <f t="shared" si="390"/>
        <v>-8657</v>
      </c>
      <c r="T304" s="90" t="s">
        <v>18</v>
      </c>
      <c r="U304" s="89">
        <f t="shared" si="217"/>
        <v>2007</v>
      </c>
      <c r="V304" s="89">
        <f t="shared" si="218"/>
        <v>12</v>
      </c>
      <c r="W304" s="328">
        <f t="shared" si="372"/>
        <v>5760.2668835249333</v>
      </c>
      <c r="X304" s="133">
        <f t="shared" si="366"/>
        <v>132.18098770574579</v>
      </c>
      <c r="Y304" s="330"/>
      <c r="Z304" s="176">
        <f t="shared" si="373"/>
        <v>934995</v>
      </c>
      <c r="AA304" s="105">
        <f t="shared" si="391"/>
        <v>-8657</v>
      </c>
      <c r="AB304" s="520">
        <f>[9]CMWh!$L184</f>
        <v>926107</v>
      </c>
      <c r="AC304" s="110">
        <f>RESID!AC304</f>
        <v>31.35</v>
      </c>
      <c r="AD304" s="331">
        <f t="shared" si="392"/>
        <v>915658.5</v>
      </c>
      <c r="AE304" s="331">
        <f t="shared" si="374"/>
        <v>18682.5</v>
      </c>
      <c r="AF304" s="89">
        <f t="shared" si="375"/>
        <v>-36394</v>
      </c>
      <c r="AG304" s="89">
        <f t="shared" si="376"/>
        <v>907258</v>
      </c>
      <c r="AH304" s="89">
        <f t="shared" si="367"/>
        <v>5039</v>
      </c>
      <c r="AJ304" s="351">
        <f t="shared" ref="AJ304:AK306" si="393">C304-AM304-AP304</f>
        <v>845086</v>
      </c>
      <c r="AK304" s="351">
        <f t="shared" si="393"/>
        <v>47521</v>
      </c>
      <c r="AL304" s="277">
        <f t="shared" si="378"/>
        <v>17783.422066033963</v>
      </c>
      <c r="AM304" s="351">
        <f t="shared" ref="AM304:AN306" si="394">F304</f>
        <v>86616</v>
      </c>
      <c r="AN304" s="351">
        <f t="shared" si="394"/>
        <v>109696</v>
      </c>
      <c r="AO304" s="277">
        <f t="shared" si="380"/>
        <v>789.60035005834311</v>
      </c>
      <c r="AP304" s="351">
        <f t="shared" ref="AP304:AQ306" si="395">H304</f>
        <v>11950</v>
      </c>
      <c r="AQ304" s="351">
        <f t="shared" si="395"/>
        <v>5101</v>
      </c>
      <c r="AR304" s="277">
        <f t="shared" si="382"/>
        <v>2342.6779062928836</v>
      </c>
      <c r="AX304" s="89">
        <f t="shared" si="331"/>
        <v>2007</v>
      </c>
      <c r="AY304" s="89">
        <f t="shared" si="332"/>
        <v>12</v>
      </c>
      <c r="AZ304" s="369">
        <f>'[8]COM 55 &amp; 65'!$S389</f>
        <v>144</v>
      </c>
      <c r="BA304" s="369">
        <f t="shared" si="221"/>
        <v>75.7</v>
      </c>
      <c r="BB304" s="370">
        <f t="shared" si="383"/>
        <v>-68.3</v>
      </c>
      <c r="BC304" s="370"/>
      <c r="BD304" s="369">
        <f>'[8]COM 55 &amp; 65'!$J389</f>
        <v>20.100000000000001</v>
      </c>
      <c r="BE304" s="369">
        <f t="shared" si="222"/>
        <v>44.3</v>
      </c>
      <c r="BF304" s="371">
        <f t="shared" si="384"/>
        <v>24.199999999999996</v>
      </c>
      <c r="BH304" s="327">
        <f t="shared" si="352"/>
        <v>-44229.440799999997</v>
      </c>
      <c r="BI304" s="328">
        <f t="shared" si="353"/>
        <v>19164.851199999997</v>
      </c>
      <c r="BJ304" s="328"/>
      <c r="BK304" s="329">
        <f t="shared" si="385"/>
        <v>-25065</v>
      </c>
      <c r="BL304" s="332"/>
      <c r="BM304" s="113" t="s">
        <v>18</v>
      </c>
      <c r="BN304" s="89">
        <f t="shared" si="223"/>
        <v>2007</v>
      </c>
      <c r="BO304" s="89">
        <f t="shared" si="224"/>
        <v>12</v>
      </c>
      <c r="BP304" s="117">
        <f>C304+[4]MWh!$AK138</f>
        <v>938230.67998712661</v>
      </c>
      <c r="BQ304" s="92">
        <f t="shared" si="386"/>
        <v>5780.2010866763185</v>
      </c>
      <c r="BR304" s="299">
        <f t="shared" si="387"/>
        <v>5625.7819834345337</v>
      </c>
      <c r="BS304" s="117">
        <f t="shared" si="368"/>
        <v>314.078213416783</v>
      </c>
      <c r="BT304" s="176">
        <f t="shared" si="388"/>
        <v>913165.67998712661</v>
      </c>
      <c r="BU304" s="117">
        <f t="shared" si="369"/>
        <v>37032.01334531873</v>
      </c>
      <c r="BV304" s="139">
        <f t="shared" si="389"/>
        <v>-25065</v>
      </c>
      <c r="BW304" s="536">
        <f>BT304/[9]CMWh!$L184</f>
        <v>0.98602610712058825</v>
      </c>
    </row>
    <row r="305" spans="1:75" ht="12.75" customHeight="1">
      <c r="A305" s="22">
        <f t="shared" si="329"/>
        <v>2008</v>
      </c>
      <c r="B305" s="4">
        <f t="shared" si="330"/>
        <v>1</v>
      </c>
      <c r="C305" s="5">
        <f>'[2]FPC wSEB'!$E402</f>
        <v>914752</v>
      </c>
      <c r="D305" s="5">
        <f>'[2]FPC wSEB'!$Y402</f>
        <v>161944</v>
      </c>
      <c r="E305" s="74">
        <f t="shared" si="370"/>
        <v>5648.6</v>
      </c>
      <c r="F305" s="358">
        <f>ROUND([10]Jan!$Q$4/1000,0)</f>
        <v>80346</v>
      </c>
      <c r="G305" s="358">
        <f>ROUND([10]Jan!$P$4,0)</f>
        <v>107320</v>
      </c>
      <c r="H305" s="358">
        <f>ROUND([10]Jan!$Q$11/1000,0)</f>
        <v>12413</v>
      </c>
      <c r="I305" s="358">
        <f>ROUND([10]Jan!$P$11,0)</f>
        <v>5268</v>
      </c>
      <c r="J305" s="574">
        <f>[5]CC!$E185</f>
        <v>162685</v>
      </c>
      <c r="K305" s="4">
        <f>'[7]COM 55 &amp; 65'!$S390</f>
        <v>113.9</v>
      </c>
      <c r="L305" s="4">
        <f t="shared" si="216"/>
        <v>70.8</v>
      </c>
      <c r="M305" s="135">
        <f t="shared" ref="M305:M310" si="396">(L305-K305)</f>
        <v>-43.100000000000009</v>
      </c>
      <c r="N305" s="4">
        <f>'[7]COM 55 &amp; 65'!$J390</f>
        <v>45.5</v>
      </c>
      <c r="O305" s="4">
        <f t="shared" si="209"/>
        <v>54.9</v>
      </c>
      <c r="P305" s="41">
        <f t="shared" si="371"/>
        <v>9.3999999999999986</v>
      </c>
      <c r="Q305" s="474">
        <f t="shared" ref="Q305:Q310" si="397">M305*$E$10</f>
        <v>-34214.89190000001</v>
      </c>
      <c r="R305" s="472">
        <f t="shared" ref="R305:R310" si="398">P305*$E$9</f>
        <v>7136.9311999999991</v>
      </c>
      <c r="S305" s="241">
        <f t="shared" si="390"/>
        <v>-27078</v>
      </c>
      <c r="T305" s="13" t="s">
        <v>18</v>
      </c>
      <c r="U305" s="4">
        <f t="shared" si="217"/>
        <v>2008</v>
      </c>
      <c r="V305" s="4">
        <f t="shared" si="218"/>
        <v>1</v>
      </c>
      <c r="W305" s="242">
        <f t="shared" si="372"/>
        <v>5481.3639282715012</v>
      </c>
      <c r="X305" s="131">
        <f t="shared" ref="X305:X310" si="399">W305-W293</f>
        <v>-200.53311843693973</v>
      </c>
      <c r="Z305" s="175">
        <f t="shared" si="373"/>
        <v>887674</v>
      </c>
      <c r="AA305" s="12">
        <f t="shared" si="391"/>
        <v>-27078</v>
      </c>
      <c r="AB305" s="519">
        <f>[9]CMWh!$L185</f>
        <v>905294</v>
      </c>
      <c r="AC305" s="107">
        <f>RESID!AC305</f>
        <v>31.85</v>
      </c>
      <c r="AD305" s="243">
        <f t="shared" si="392"/>
        <v>873681.5</v>
      </c>
      <c r="AE305" s="243">
        <f t="shared" si="374"/>
        <v>-7034.3000000000466</v>
      </c>
      <c r="AF305" s="4">
        <f t="shared" si="375"/>
        <v>-66933</v>
      </c>
      <c r="AG305" s="4">
        <f t="shared" si="376"/>
        <v>847819</v>
      </c>
      <c r="AH305" s="4">
        <f t="shared" ref="AH305:AH310" si="400">AG305-AG293</f>
        <v>-21705</v>
      </c>
      <c r="AJ305" s="269">
        <f t="shared" si="393"/>
        <v>821993</v>
      </c>
      <c r="AK305" s="269">
        <f t="shared" si="393"/>
        <v>49356</v>
      </c>
      <c r="AL305" s="276">
        <f t="shared" si="378"/>
        <v>16654.368263230404</v>
      </c>
      <c r="AM305" s="269">
        <f t="shared" si="394"/>
        <v>80346</v>
      </c>
      <c r="AN305" s="269">
        <f t="shared" si="394"/>
        <v>107320</v>
      </c>
      <c r="AO305" s="276">
        <f t="shared" si="380"/>
        <v>748.6582184122251</v>
      </c>
      <c r="AP305" s="269">
        <f t="shared" si="395"/>
        <v>12413</v>
      </c>
      <c r="AQ305" s="269">
        <f t="shared" si="395"/>
        <v>5268</v>
      </c>
      <c r="AR305" s="276">
        <f t="shared" si="382"/>
        <v>2356.3022019741838</v>
      </c>
      <c r="AX305" s="4">
        <f t="shared" si="331"/>
        <v>2008</v>
      </c>
      <c r="AY305" s="4">
        <f t="shared" si="332"/>
        <v>1</v>
      </c>
      <c r="AZ305" s="366">
        <f>'[8]COM 55 &amp; 65'!$S390</f>
        <v>59</v>
      </c>
      <c r="BA305" s="366">
        <f t="shared" si="221"/>
        <v>72.3</v>
      </c>
      <c r="BB305" s="367">
        <f t="shared" si="383"/>
        <v>13.299999999999997</v>
      </c>
      <c r="BC305" s="367"/>
      <c r="BD305" s="366">
        <f>'[8]COM 55 &amp; 65'!$J390</f>
        <v>62.8</v>
      </c>
      <c r="BE305" s="366">
        <f t="shared" si="222"/>
        <v>52.4</v>
      </c>
      <c r="BF305" s="368">
        <f t="shared" si="384"/>
        <v>-10.399999999999999</v>
      </c>
      <c r="BH305" s="244">
        <f t="shared" ref="BH305:BH310" si="401">BB305*$E$10</f>
        <v>10558.191699999998</v>
      </c>
      <c r="BI305" s="242">
        <f t="shared" ref="BI305:BI310" si="402">BF305*$E$9</f>
        <v>-7896.1791999999996</v>
      </c>
      <c r="BJ305" s="242"/>
      <c r="BK305" s="241">
        <f t="shared" si="385"/>
        <v>2662</v>
      </c>
      <c r="BL305" s="262"/>
      <c r="BM305" s="36" t="s">
        <v>18</v>
      </c>
      <c r="BN305" s="4">
        <f t="shared" si="223"/>
        <v>2008</v>
      </c>
      <c r="BO305" s="4">
        <f t="shared" si="224"/>
        <v>1</v>
      </c>
      <c r="BP305" s="108">
        <f>C305+[4]MWh!$AK139</f>
        <v>935238.96054128953</v>
      </c>
      <c r="BQ305" s="76">
        <f t="shared" si="386"/>
        <v>5775.0763260218937</v>
      </c>
      <c r="BR305" s="130">
        <f t="shared" si="387"/>
        <v>5791.5141069832134</v>
      </c>
      <c r="BS305" s="108">
        <f t="shared" ref="BS305:BS310" si="403">BR305-BR293</f>
        <v>-384.93094788248436</v>
      </c>
      <c r="BT305" s="175">
        <f t="shared" si="388"/>
        <v>937900.96054128953</v>
      </c>
      <c r="BU305" s="108">
        <f t="shared" ref="BU305:BU310" si="404">BT305-BT293</f>
        <v>-51738.477709731553</v>
      </c>
      <c r="BV305" s="137">
        <f t="shared" si="389"/>
        <v>2662</v>
      </c>
      <c r="BW305" s="529">
        <f>BT305/[9]CMWh!$L185</f>
        <v>1.0360180897490645</v>
      </c>
    </row>
    <row r="306" spans="1:75" ht="12.75" customHeight="1">
      <c r="A306" s="22">
        <f t="shared" si="329"/>
        <v>2008</v>
      </c>
      <c r="B306" s="4">
        <f t="shared" si="330"/>
        <v>2</v>
      </c>
      <c r="C306" s="5">
        <f>'[2]FPC wSEB'!$E403</f>
        <v>873753</v>
      </c>
      <c r="D306" s="5">
        <f>'[2]FPC wSEB'!$Y403</f>
        <v>163595</v>
      </c>
      <c r="E306" s="74">
        <f t="shared" ref="E306:E311" si="405">ROUND((C306/D306)*1000,1)</f>
        <v>5341</v>
      </c>
      <c r="F306" s="358">
        <v>78359</v>
      </c>
      <c r="G306" s="358">
        <v>110053</v>
      </c>
      <c r="H306" s="358">
        <v>12079</v>
      </c>
      <c r="I306" s="358">
        <v>5103</v>
      </c>
      <c r="J306" s="574">
        <f>[5]CC!$E186</f>
        <v>162362</v>
      </c>
      <c r="K306" s="4">
        <f>'[7]COM 55 &amp; 65'!$S391</f>
        <v>76.3</v>
      </c>
      <c r="L306" s="4">
        <f t="shared" si="216"/>
        <v>62.7</v>
      </c>
      <c r="M306" s="135">
        <f t="shared" si="396"/>
        <v>-13.599999999999994</v>
      </c>
      <c r="N306" s="4">
        <f>'[7]COM 55 &amp; 65'!$J391</f>
        <v>36.799999999999997</v>
      </c>
      <c r="O306" s="4">
        <f t="shared" si="209"/>
        <v>46.9</v>
      </c>
      <c r="P306" s="41">
        <f t="shared" si="371"/>
        <v>10.100000000000001</v>
      </c>
      <c r="Q306" s="474">
        <f t="shared" si="397"/>
        <v>-10796.346399999997</v>
      </c>
      <c r="R306" s="472">
        <f t="shared" si="398"/>
        <v>7668.4048000000012</v>
      </c>
      <c r="S306" s="241">
        <f t="shared" si="390"/>
        <v>-3128</v>
      </c>
      <c r="T306" s="13" t="s">
        <v>18</v>
      </c>
      <c r="U306" s="4">
        <f t="shared" si="217"/>
        <v>2008</v>
      </c>
      <c r="V306" s="4">
        <f t="shared" si="218"/>
        <v>2</v>
      </c>
      <c r="W306" s="242">
        <f t="shared" si="372"/>
        <v>5321.8313518139303</v>
      </c>
      <c r="X306" s="131">
        <f t="shared" si="399"/>
        <v>156.73860826598957</v>
      </c>
      <c r="Z306" s="175">
        <f t="shared" si="373"/>
        <v>870625</v>
      </c>
      <c r="AA306" s="12">
        <f t="shared" si="391"/>
        <v>-3128</v>
      </c>
      <c r="AB306" s="519">
        <f>[9]CMWh!$L186</f>
        <v>869646</v>
      </c>
      <c r="AC306" s="107">
        <f>RESID!AC306</f>
        <v>29.65</v>
      </c>
      <c r="AD306" s="243">
        <f t="shared" si="392"/>
        <v>896444.1</v>
      </c>
      <c r="AE306" s="243">
        <f t="shared" si="374"/>
        <v>35235.900000000023</v>
      </c>
      <c r="AF306" s="4">
        <f t="shared" si="375"/>
        <v>19482</v>
      </c>
      <c r="AG306" s="4">
        <f t="shared" si="376"/>
        <v>893235</v>
      </c>
      <c r="AH306" s="4">
        <f t="shared" si="400"/>
        <v>28957</v>
      </c>
      <c r="AJ306" s="269">
        <f t="shared" si="393"/>
        <v>783315</v>
      </c>
      <c r="AK306" s="269">
        <f t="shared" si="393"/>
        <v>48439</v>
      </c>
      <c r="AL306" s="276">
        <f t="shared" si="378"/>
        <v>16171.163731703793</v>
      </c>
      <c r="AM306" s="269">
        <f t="shared" si="394"/>
        <v>78359</v>
      </c>
      <c r="AN306" s="269">
        <f t="shared" si="394"/>
        <v>110053</v>
      </c>
      <c r="AO306" s="276">
        <f t="shared" si="380"/>
        <v>712.01148537522829</v>
      </c>
      <c r="AP306" s="269">
        <f t="shared" si="395"/>
        <v>12079</v>
      </c>
      <c r="AQ306" s="269">
        <f t="shared" si="395"/>
        <v>5103</v>
      </c>
      <c r="AR306" s="276">
        <f t="shared" si="382"/>
        <v>2367.0389966686262</v>
      </c>
      <c r="AX306" s="4">
        <f t="shared" si="331"/>
        <v>2008</v>
      </c>
      <c r="AY306" s="4">
        <f t="shared" si="332"/>
        <v>2</v>
      </c>
      <c r="AZ306" s="366">
        <f>'[8]COM 55 &amp; 65'!$S391</f>
        <v>105.8</v>
      </c>
      <c r="BA306" s="366">
        <f t="shared" si="221"/>
        <v>82.6</v>
      </c>
      <c r="BB306" s="367">
        <f t="shared" si="383"/>
        <v>-23.200000000000003</v>
      </c>
      <c r="BC306" s="367"/>
      <c r="BD306" s="366">
        <f>'[8]COM 55 &amp; 65'!$J391</f>
        <v>28</v>
      </c>
      <c r="BE306" s="366">
        <f t="shared" si="222"/>
        <v>36.5</v>
      </c>
      <c r="BF306" s="368">
        <f t="shared" si="384"/>
        <v>8.5</v>
      </c>
      <c r="BH306" s="244">
        <f t="shared" si="401"/>
        <v>-18417.296800000004</v>
      </c>
      <c r="BI306" s="242">
        <f t="shared" si="402"/>
        <v>6453.6080000000002</v>
      </c>
      <c r="BJ306" s="242"/>
      <c r="BK306" s="241">
        <f t="shared" si="385"/>
        <v>-11964</v>
      </c>
      <c r="BL306" s="262"/>
      <c r="BM306" s="36" t="s">
        <v>18</v>
      </c>
      <c r="BN306" s="4">
        <f t="shared" si="223"/>
        <v>2008</v>
      </c>
      <c r="BO306" s="4">
        <f t="shared" si="224"/>
        <v>2</v>
      </c>
      <c r="BP306" s="108">
        <f>C306+[4]MWh!$AK140</f>
        <v>847881.97314213112</v>
      </c>
      <c r="BQ306" s="76">
        <f t="shared" si="386"/>
        <v>5182.8110464386509</v>
      </c>
      <c r="BR306" s="130">
        <f t="shared" si="387"/>
        <v>5109.6792270065162</v>
      </c>
      <c r="BS306" s="108">
        <f t="shared" si="403"/>
        <v>724.23100468171015</v>
      </c>
      <c r="BT306" s="175">
        <f t="shared" si="388"/>
        <v>835917.97314213112</v>
      </c>
      <c r="BU306" s="108">
        <f t="shared" si="404"/>
        <v>123085.29184434551</v>
      </c>
      <c r="BV306" s="137">
        <f t="shared" si="389"/>
        <v>-11964</v>
      </c>
      <c r="BW306" s="529">
        <f>BT306/[9]CMWh!$L186</f>
        <v>0.96121637211248157</v>
      </c>
    </row>
    <row r="307" spans="1:75" ht="12.75" customHeight="1">
      <c r="A307" s="22">
        <f t="shared" si="329"/>
        <v>2008</v>
      </c>
      <c r="B307" s="4">
        <f t="shared" si="330"/>
        <v>3</v>
      </c>
      <c r="C307" s="5">
        <f>'[2]FPC wSEB'!$E404</f>
        <v>871953</v>
      </c>
      <c r="D307" s="5">
        <f>'[2]FPC wSEB'!$Y404</f>
        <v>159688</v>
      </c>
      <c r="E307" s="74">
        <f t="shared" si="405"/>
        <v>5460.4</v>
      </c>
      <c r="F307" s="358">
        <v>78861</v>
      </c>
      <c r="G307" s="358">
        <v>105852</v>
      </c>
      <c r="H307" s="358">
        <v>12291</v>
      </c>
      <c r="I307" s="358">
        <v>5123</v>
      </c>
      <c r="J307" s="574">
        <f>[5]CC!$E187</f>
        <v>163703</v>
      </c>
      <c r="K307" s="4">
        <f>'[7]COM 55 &amp; 65'!$S392</f>
        <v>106.1</v>
      </c>
      <c r="L307" s="4">
        <f t="shared" si="216"/>
        <v>105.4</v>
      </c>
      <c r="M307" s="135">
        <f t="shared" si="396"/>
        <v>-0.69999999999998863</v>
      </c>
      <c r="N307" s="4">
        <f>'[7]COM 55 &amp; 65'!$J392</f>
        <v>25.6</v>
      </c>
      <c r="O307" s="4">
        <f t="shared" si="209"/>
        <v>26.8</v>
      </c>
      <c r="P307" s="41">
        <f t="shared" ref="P307:P312" si="406">(O307-N307)</f>
        <v>1.1999999999999993</v>
      </c>
      <c r="Q307" s="474">
        <f t="shared" si="397"/>
        <v>-555.69429999999102</v>
      </c>
      <c r="R307" s="472">
        <f t="shared" si="398"/>
        <v>911.09759999999949</v>
      </c>
      <c r="S307" s="241">
        <f t="shared" si="390"/>
        <v>355</v>
      </c>
      <c r="T307" s="13" t="s">
        <v>18</v>
      </c>
      <c r="U307" s="4">
        <f t="shared" si="217"/>
        <v>2008</v>
      </c>
      <c r="V307" s="4">
        <f t="shared" si="218"/>
        <v>3</v>
      </c>
      <c r="W307" s="242">
        <f t="shared" ref="W307:W312" si="407">Z307/D307*1000</f>
        <v>5462.577025199138</v>
      </c>
      <c r="X307" s="131">
        <f t="shared" si="399"/>
        <v>122.56899331875138</v>
      </c>
      <c r="Z307" s="175">
        <f t="shared" ref="Z307:Z312" si="408">S307+C307</f>
        <v>872308</v>
      </c>
      <c r="AA307" s="12">
        <f t="shared" si="391"/>
        <v>355</v>
      </c>
      <c r="AB307" s="519">
        <f>[9]CMWh!$L187</f>
        <v>882900</v>
      </c>
      <c r="AC307" s="107">
        <f>RESID!AC307</f>
        <v>29.6</v>
      </c>
      <c r="AD307" s="243">
        <f t="shared" si="392"/>
        <v>896108.5</v>
      </c>
      <c r="AE307" s="243">
        <f t="shared" ref="AE307:AE312" si="409">AD307-AD295</f>
        <v>967.90000000002328</v>
      </c>
      <c r="AF307" s="4">
        <f t="shared" ref="AF307:AF312" si="410">AG307-C307</f>
        <v>24520</v>
      </c>
      <c r="AG307" s="4">
        <f t="shared" ref="AG307:AG312" si="411">ROUND(Z307/(AC307/30.42),0)</f>
        <v>896473</v>
      </c>
      <c r="AH307" s="4">
        <f t="shared" si="400"/>
        <v>2180</v>
      </c>
      <c r="AJ307" s="269">
        <f t="shared" ref="AJ307:AK309" si="412">C307-AM307-AP307</f>
        <v>780801</v>
      </c>
      <c r="AK307" s="269">
        <f t="shared" si="412"/>
        <v>48713</v>
      </c>
      <c r="AL307" s="276">
        <f t="shared" ref="AL307:AL312" si="413">AJ307/AK307*1000</f>
        <v>16028.596062652681</v>
      </c>
      <c r="AM307" s="269">
        <f t="shared" ref="AM307:AN309" si="414">F307</f>
        <v>78861</v>
      </c>
      <c r="AN307" s="269">
        <f t="shared" si="414"/>
        <v>105852</v>
      </c>
      <c r="AO307" s="276">
        <f t="shared" ref="AO307:AO312" si="415">AM307/AN307*1000</f>
        <v>745.01190341231154</v>
      </c>
      <c r="AP307" s="269">
        <f t="shared" ref="AP307:AQ309" si="416">H307</f>
        <v>12291</v>
      </c>
      <c r="AQ307" s="269">
        <f t="shared" si="416"/>
        <v>5123</v>
      </c>
      <c r="AR307" s="276">
        <f t="shared" ref="AR307:AR312" si="417">AP307/AQ307*1000</f>
        <v>2399.1801678703887</v>
      </c>
      <c r="AX307" s="4">
        <f t="shared" si="331"/>
        <v>2008</v>
      </c>
      <c r="AY307" s="4">
        <f t="shared" si="332"/>
        <v>3</v>
      </c>
      <c r="AZ307" s="366">
        <f>'[8]COM 55 &amp; 65'!$S392</f>
        <v>128</v>
      </c>
      <c r="BA307" s="366">
        <f t="shared" si="221"/>
        <v>140.4</v>
      </c>
      <c r="BB307" s="367">
        <f t="shared" ref="BB307:BB312" si="418">(BA307-AZ307)</f>
        <v>12.400000000000006</v>
      </c>
      <c r="BC307" s="367"/>
      <c r="BD307" s="366">
        <f>'[8]COM 55 &amp; 65'!$J392</f>
        <v>13.7</v>
      </c>
      <c r="BE307" s="366">
        <f t="shared" si="222"/>
        <v>15.1</v>
      </c>
      <c r="BF307" s="368">
        <f t="shared" ref="BF307:BF312" si="419">(BE307-BD307)</f>
        <v>1.4000000000000004</v>
      </c>
      <c r="BH307" s="244">
        <f t="shared" si="401"/>
        <v>9843.7276000000056</v>
      </c>
      <c r="BI307" s="242">
        <f t="shared" si="402"/>
        <v>1062.9472000000003</v>
      </c>
      <c r="BJ307" s="242"/>
      <c r="BK307" s="241">
        <f t="shared" ref="BK307:BK312" si="420">ROUND(SUM(BH307,BI307),0)</f>
        <v>10907</v>
      </c>
      <c r="BL307" s="262"/>
      <c r="BM307" s="36" t="s">
        <v>18</v>
      </c>
      <c r="BN307" s="4">
        <f t="shared" si="223"/>
        <v>2008</v>
      </c>
      <c r="BO307" s="4">
        <f t="shared" si="224"/>
        <v>3</v>
      </c>
      <c r="BP307" s="108">
        <f>C307+[4]MWh!$AK141</f>
        <v>891691.63226347486</v>
      </c>
      <c r="BQ307" s="76">
        <f t="shared" ref="BQ307:BQ312" si="421">BP307/D307*1000</f>
        <v>5583.9614264282527</v>
      </c>
      <c r="BR307" s="130">
        <f t="shared" ref="BR307:BR312" si="422">BT307/D307*1000</f>
        <v>5652.2633652088753</v>
      </c>
      <c r="BS307" s="108">
        <f t="shared" si="403"/>
        <v>-131.38889480728267</v>
      </c>
      <c r="BT307" s="175">
        <f t="shared" ref="BT307:BT312" si="423">BK307+BP307</f>
        <v>902598.63226347486</v>
      </c>
      <c r="BU307" s="108">
        <f t="shared" si="404"/>
        <v>-33514.404281440424</v>
      </c>
      <c r="BV307" s="137">
        <f t="shared" ref="BV307:BV312" si="424">BT307-BP307</f>
        <v>10907</v>
      </c>
      <c r="BW307" s="529">
        <f>BT307/[9]CMWh!$L187</f>
        <v>1.0223112835694586</v>
      </c>
    </row>
    <row r="308" spans="1:75" ht="12.75" customHeight="1">
      <c r="A308" s="22">
        <f t="shared" si="329"/>
        <v>2008</v>
      </c>
      <c r="B308" s="4">
        <f t="shared" si="330"/>
        <v>4</v>
      </c>
      <c r="C308" s="5">
        <f>'[2]FPC wSEB'!$E405</f>
        <v>931639</v>
      </c>
      <c r="D308" s="5">
        <f>'[2]FPC wSEB'!$Y405</f>
        <v>163540</v>
      </c>
      <c r="E308" s="74">
        <f t="shared" si="405"/>
        <v>5696.7</v>
      </c>
      <c r="F308" s="358">
        <v>86883</v>
      </c>
      <c r="G308" s="358">
        <v>110753</v>
      </c>
      <c r="H308" s="358">
        <v>12375</v>
      </c>
      <c r="I308" s="358">
        <v>5148</v>
      </c>
      <c r="J308" s="574">
        <f>[5]CC!$E188</f>
        <v>161848</v>
      </c>
      <c r="K308" s="4">
        <f>'[7]COM 55 &amp; 65'!$S393</f>
        <v>168.6</v>
      </c>
      <c r="L308" s="4">
        <f t="shared" si="216"/>
        <v>178.4</v>
      </c>
      <c r="M308" s="135">
        <f t="shared" si="396"/>
        <v>9.8000000000000114</v>
      </c>
      <c r="N308" s="4">
        <f>'[7]COM 55 &amp; 65'!$J393</f>
        <v>11.3</v>
      </c>
      <c r="O308" s="4">
        <f t="shared" si="209"/>
        <v>9.5</v>
      </c>
      <c r="P308" s="41">
        <f t="shared" si="406"/>
        <v>-1.8000000000000007</v>
      </c>
      <c r="Q308" s="474">
        <f t="shared" si="397"/>
        <v>7779.7202000000098</v>
      </c>
      <c r="R308" s="472">
        <f t="shared" si="398"/>
        <v>-1366.6464000000005</v>
      </c>
      <c r="S308" s="241">
        <f t="shared" ref="S308:S313" si="425">ROUND(SUM(Q308,R308),0)</f>
        <v>6413</v>
      </c>
      <c r="T308" s="13" t="s">
        <v>18</v>
      </c>
      <c r="U308" s="4">
        <f t="shared" si="217"/>
        <v>2008</v>
      </c>
      <c r="V308" s="4">
        <f t="shared" si="218"/>
        <v>4</v>
      </c>
      <c r="W308" s="242">
        <f t="shared" si="407"/>
        <v>5735.9178182707592</v>
      </c>
      <c r="X308" s="131">
        <f t="shared" si="399"/>
        <v>88.111284331193019</v>
      </c>
      <c r="Z308" s="175">
        <f t="shared" si="408"/>
        <v>938052</v>
      </c>
      <c r="AA308" s="12">
        <f t="shared" ref="AA308:AA313" si="426">Z308-C308</f>
        <v>6413</v>
      </c>
      <c r="AB308" s="519">
        <f>[9]CMWh!$L188</f>
        <v>937133</v>
      </c>
      <c r="AC308" s="107">
        <f>RESID!AC308</f>
        <v>30.6</v>
      </c>
      <c r="AD308" s="243">
        <f t="shared" ref="AD308:AD313" si="427">ROUND(C308/(AC308/30.42),1)</f>
        <v>926158.8</v>
      </c>
      <c r="AE308" s="243">
        <f t="shared" si="409"/>
        <v>21025.70000000007</v>
      </c>
      <c r="AF308" s="4">
        <f t="shared" si="410"/>
        <v>895</v>
      </c>
      <c r="AG308" s="4">
        <f t="shared" si="411"/>
        <v>932534</v>
      </c>
      <c r="AH308" s="4">
        <f t="shared" si="400"/>
        <v>20186</v>
      </c>
      <c r="AJ308" s="269">
        <f t="shared" si="412"/>
        <v>832381</v>
      </c>
      <c r="AK308" s="269">
        <f t="shared" si="412"/>
        <v>47639</v>
      </c>
      <c r="AL308" s="276">
        <f t="shared" si="413"/>
        <v>17472.679947102166</v>
      </c>
      <c r="AM308" s="269">
        <f t="shared" si="414"/>
        <v>86883</v>
      </c>
      <c r="AN308" s="269">
        <f t="shared" si="414"/>
        <v>110753</v>
      </c>
      <c r="AO308" s="276">
        <f t="shared" si="415"/>
        <v>784.47536409848942</v>
      </c>
      <c r="AP308" s="269">
        <f t="shared" si="416"/>
        <v>12375</v>
      </c>
      <c r="AQ308" s="269">
        <f t="shared" si="416"/>
        <v>5148</v>
      </c>
      <c r="AR308" s="276">
        <f t="shared" si="417"/>
        <v>2403.8461538461538</v>
      </c>
      <c r="AX308" s="4">
        <f t="shared" si="331"/>
        <v>2008</v>
      </c>
      <c r="AY308" s="4">
        <f t="shared" si="332"/>
        <v>4</v>
      </c>
      <c r="AZ308" s="366">
        <f>'[8]COM 55 &amp; 65'!$S393</f>
        <v>226.8</v>
      </c>
      <c r="BA308" s="366">
        <f t="shared" si="221"/>
        <v>227.4</v>
      </c>
      <c r="BB308" s="367">
        <f t="shared" si="418"/>
        <v>0.59999999999999432</v>
      </c>
      <c r="BC308" s="367"/>
      <c r="BD308" s="366">
        <f>'[8]COM 55 &amp; 65'!$J393</f>
        <v>5</v>
      </c>
      <c r="BE308" s="366">
        <f t="shared" si="222"/>
        <v>4.8</v>
      </c>
      <c r="BF308" s="368">
        <f t="shared" si="419"/>
        <v>-0.20000000000000018</v>
      </c>
      <c r="BH308" s="244">
        <f t="shared" si="401"/>
        <v>476.30939999999549</v>
      </c>
      <c r="BI308" s="242">
        <f t="shared" si="402"/>
        <v>-151.84960000000015</v>
      </c>
      <c r="BJ308" s="242"/>
      <c r="BK308" s="241">
        <f t="shared" si="420"/>
        <v>324</v>
      </c>
      <c r="BL308" s="262"/>
      <c r="BM308" s="36" t="s">
        <v>18</v>
      </c>
      <c r="BN308" s="4">
        <f t="shared" si="223"/>
        <v>2008</v>
      </c>
      <c r="BO308" s="4">
        <f t="shared" si="224"/>
        <v>4</v>
      </c>
      <c r="BP308" s="108">
        <f>C308+[4]MWh!$AK142</f>
        <v>980690.24656679621</v>
      </c>
      <c r="BQ308" s="76">
        <f t="shared" si="421"/>
        <v>5996.6384160865618</v>
      </c>
      <c r="BR308" s="130">
        <f t="shared" si="422"/>
        <v>5998.6195827736101</v>
      </c>
      <c r="BS308" s="108">
        <f t="shared" si="403"/>
        <v>51.907614217677292</v>
      </c>
      <c r="BT308" s="175">
        <f t="shared" si="423"/>
        <v>981014.24656679621</v>
      </c>
      <c r="BU308" s="108">
        <f t="shared" si="404"/>
        <v>21012.746634937706</v>
      </c>
      <c r="BV308" s="137">
        <f t="shared" si="424"/>
        <v>324</v>
      </c>
      <c r="BW308" s="529">
        <f>BT308/[9]CMWh!$L188</f>
        <v>1.0468249934286769</v>
      </c>
    </row>
    <row r="309" spans="1:75" ht="12.75" customHeight="1">
      <c r="A309" s="22">
        <f t="shared" si="329"/>
        <v>2008</v>
      </c>
      <c r="B309" s="4">
        <f t="shared" si="330"/>
        <v>5</v>
      </c>
      <c r="C309" s="5">
        <f>'[2]FPC wSEB'!$E406</f>
        <v>972963</v>
      </c>
      <c r="D309" s="5">
        <f>'[2]FPC wSEB'!$Y406</f>
        <v>162865</v>
      </c>
      <c r="E309" s="74">
        <f t="shared" si="405"/>
        <v>5974</v>
      </c>
      <c r="F309" s="358">
        <v>92883</v>
      </c>
      <c r="G309" s="358">
        <v>108563</v>
      </c>
      <c r="H309" s="358">
        <v>12200</v>
      </c>
      <c r="I309" s="358">
        <v>5159</v>
      </c>
      <c r="J309" s="574">
        <f>[5]CC!$E189</f>
        <v>162613</v>
      </c>
      <c r="K309" s="4">
        <f>'[7]COM 55 &amp; 65'!$S394</f>
        <v>258.89999999999998</v>
      </c>
      <c r="L309" s="4">
        <f t="shared" si="216"/>
        <v>273.89999999999998</v>
      </c>
      <c r="M309" s="135">
        <f t="shared" si="396"/>
        <v>15</v>
      </c>
      <c r="N309" s="4">
        <f>'[7]COM 55 &amp; 65'!$J394</f>
        <v>3.5</v>
      </c>
      <c r="O309" s="4">
        <f t="shared" si="209"/>
        <v>2</v>
      </c>
      <c r="P309" s="41">
        <f t="shared" si="406"/>
        <v>-1.5</v>
      </c>
      <c r="Q309" s="474">
        <f t="shared" si="397"/>
        <v>11907.735000000001</v>
      </c>
      <c r="R309" s="472">
        <f t="shared" si="398"/>
        <v>-1138.8720000000001</v>
      </c>
      <c r="S309" s="241">
        <f t="shared" si="425"/>
        <v>10769</v>
      </c>
      <c r="T309" s="13" t="s">
        <v>18</v>
      </c>
      <c r="U309" s="4">
        <f t="shared" si="217"/>
        <v>2008</v>
      </c>
      <c r="V309" s="4">
        <f t="shared" si="218"/>
        <v>5</v>
      </c>
      <c r="W309" s="242">
        <f t="shared" si="407"/>
        <v>6040.1682374973134</v>
      </c>
      <c r="X309" s="131">
        <f t="shared" si="399"/>
        <v>-5.4033819899905211</v>
      </c>
      <c r="Z309" s="175">
        <f t="shared" si="408"/>
        <v>983732</v>
      </c>
      <c r="AA309" s="12">
        <f t="shared" si="426"/>
        <v>10769</v>
      </c>
      <c r="AB309" s="519">
        <f>[9]CMWh!$L189</f>
        <v>971197</v>
      </c>
      <c r="AC309" s="107">
        <f>RESID!AC309</f>
        <v>29.35</v>
      </c>
      <c r="AD309" s="243">
        <f t="shared" si="427"/>
        <v>1008433.9</v>
      </c>
      <c r="AE309" s="243">
        <f t="shared" si="409"/>
        <v>-2.4000000000232831</v>
      </c>
      <c r="AF309" s="4">
        <f t="shared" si="410"/>
        <v>46632</v>
      </c>
      <c r="AG309" s="4">
        <f t="shared" si="411"/>
        <v>1019595</v>
      </c>
      <c r="AH309" s="4">
        <f t="shared" si="400"/>
        <v>3667</v>
      </c>
      <c r="AJ309" s="269">
        <f t="shared" si="412"/>
        <v>867880</v>
      </c>
      <c r="AK309" s="269">
        <f t="shared" si="412"/>
        <v>49143</v>
      </c>
      <c r="AL309" s="276">
        <f t="shared" si="413"/>
        <v>17660.297499135177</v>
      </c>
      <c r="AM309" s="269">
        <f t="shared" si="414"/>
        <v>92883</v>
      </c>
      <c r="AN309" s="269">
        <f t="shared" si="414"/>
        <v>108563</v>
      </c>
      <c r="AO309" s="276">
        <f t="shared" si="415"/>
        <v>855.56773486362761</v>
      </c>
      <c r="AP309" s="269">
        <f t="shared" si="416"/>
        <v>12200</v>
      </c>
      <c r="AQ309" s="269">
        <f t="shared" si="416"/>
        <v>5159</v>
      </c>
      <c r="AR309" s="276">
        <f t="shared" si="417"/>
        <v>2364.7993797247532</v>
      </c>
      <c r="AX309" s="4">
        <f t="shared" si="331"/>
        <v>2008</v>
      </c>
      <c r="AY309" s="4">
        <f t="shared" si="332"/>
        <v>5</v>
      </c>
      <c r="AZ309" s="366">
        <f>'[8]COM 55 &amp; 65'!$S394</f>
        <v>414.1</v>
      </c>
      <c r="BA309" s="366">
        <f t="shared" si="221"/>
        <v>395.2</v>
      </c>
      <c r="BB309" s="367">
        <f t="shared" si="418"/>
        <v>-18.900000000000034</v>
      </c>
      <c r="BC309" s="367"/>
      <c r="BD309" s="366">
        <f>'[8]COM 55 &amp; 65'!$J394</f>
        <v>0.1</v>
      </c>
      <c r="BE309" s="366">
        <f t="shared" si="222"/>
        <v>0.2</v>
      </c>
      <c r="BF309" s="368">
        <f t="shared" si="419"/>
        <v>0.1</v>
      </c>
      <c r="BH309" s="244">
        <f t="shared" si="401"/>
        <v>-15003.746100000028</v>
      </c>
      <c r="BI309" s="242">
        <f t="shared" si="402"/>
        <v>75.924800000000005</v>
      </c>
      <c r="BJ309" s="242"/>
      <c r="BK309" s="241">
        <f t="shared" si="420"/>
        <v>-14928</v>
      </c>
      <c r="BL309" s="262"/>
      <c r="BM309" s="36" t="s">
        <v>18</v>
      </c>
      <c r="BN309" s="4">
        <f t="shared" si="223"/>
        <v>2008</v>
      </c>
      <c r="BO309" s="4">
        <f t="shared" si="224"/>
        <v>5</v>
      </c>
      <c r="BP309" s="108">
        <f>C309+[4]MWh!$AK143</f>
        <v>1106960.5032297163</v>
      </c>
      <c r="BQ309" s="76">
        <f t="shared" si="421"/>
        <v>6796.7979813324928</v>
      </c>
      <c r="BR309" s="130">
        <f t="shared" si="422"/>
        <v>6705.1392455697442</v>
      </c>
      <c r="BS309" s="108">
        <f t="shared" si="403"/>
        <v>-191.91667707320175</v>
      </c>
      <c r="BT309" s="175">
        <f t="shared" si="423"/>
        <v>1092032.5032297163</v>
      </c>
      <c r="BU309" s="108">
        <f t="shared" si="404"/>
        <v>-43360.842755765421</v>
      </c>
      <c r="BV309" s="137">
        <f t="shared" si="424"/>
        <v>-14928</v>
      </c>
      <c r="BW309" s="529">
        <f>BT309/[9]CMWh!$L189</f>
        <v>1.1244191479480645</v>
      </c>
    </row>
    <row r="310" spans="1:75" ht="12.75" customHeight="1">
      <c r="A310" s="22">
        <f t="shared" si="329"/>
        <v>2008</v>
      </c>
      <c r="B310" s="4">
        <f t="shared" si="330"/>
        <v>6</v>
      </c>
      <c r="C310" s="5">
        <f>'[2]FPC wSEB'!$E407</f>
        <v>1164204</v>
      </c>
      <c r="D310" s="5">
        <f>'[2]FPC wSEB'!$Y407</f>
        <v>164831</v>
      </c>
      <c r="E310" s="74">
        <f t="shared" si="405"/>
        <v>7063</v>
      </c>
      <c r="F310" s="358">
        <v>112414</v>
      </c>
      <c r="G310" s="358">
        <v>111219</v>
      </c>
      <c r="H310" s="358">
        <v>12216</v>
      </c>
      <c r="I310" s="358">
        <v>5197</v>
      </c>
      <c r="J310" s="574">
        <f>[5]CC!$E190</f>
        <v>162704</v>
      </c>
      <c r="K310" s="4">
        <f>'[7]COM 55 &amp; 65'!$S395</f>
        <v>460.5</v>
      </c>
      <c r="L310" s="4">
        <f t="shared" si="216"/>
        <v>442.7</v>
      </c>
      <c r="M310" s="135">
        <f t="shared" si="396"/>
        <v>-17.800000000000011</v>
      </c>
      <c r="N310" s="4">
        <f>'[7]COM 55 &amp; 65'!$J395</f>
        <v>0.1</v>
      </c>
      <c r="O310" s="4">
        <f t="shared" si="209"/>
        <v>0.1</v>
      </c>
      <c r="P310" s="41">
        <f t="shared" si="406"/>
        <v>0</v>
      </c>
      <c r="Q310" s="474">
        <f t="shared" si="397"/>
        <v>-14130.51220000001</v>
      </c>
      <c r="R310" s="472">
        <f t="shared" si="398"/>
        <v>0</v>
      </c>
      <c r="S310" s="241">
        <f t="shared" si="425"/>
        <v>-14131</v>
      </c>
      <c r="T310" s="13" t="s">
        <v>18</v>
      </c>
      <c r="U310" s="4">
        <f t="shared" si="217"/>
        <v>2008</v>
      </c>
      <c r="V310" s="4">
        <f t="shared" si="218"/>
        <v>6</v>
      </c>
      <c r="W310" s="242">
        <f t="shared" si="407"/>
        <v>6977.2858260885387</v>
      </c>
      <c r="X310" s="131">
        <f t="shared" si="399"/>
        <v>357.92140563945759</v>
      </c>
      <c r="Z310" s="175">
        <f t="shared" si="408"/>
        <v>1150073</v>
      </c>
      <c r="AA310" s="12">
        <f t="shared" si="426"/>
        <v>-14131</v>
      </c>
      <c r="AB310" s="519">
        <f>[9]CMWh!$L190</f>
        <v>1145189</v>
      </c>
      <c r="AC310" s="107">
        <f>RESID!AC310</f>
        <v>30.85</v>
      </c>
      <c r="AD310" s="243">
        <f t="shared" si="427"/>
        <v>1147976.8</v>
      </c>
      <c r="AE310" s="243">
        <f t="shared" si="409"/>
        <v>106894.80000000005</v>
      </c>
      <c r="AF310" s="4">
        <f t="shared" si="410"/>
        <v>-30161</v>
      </c>
      <c r="AG310" s="4">
        <f t="shared" si="411"/>
        <v>1134043</v>
      </c>
      <c r="AH310" s="4">
        <f t="shared" si="400"/>
        <v>59958</v>
      </c>
      <c r="AJ310" s="269">
        <f t="shared" ref="AJ310:AK312" si="428">C310-AM310-AP310</f>
        <v>1039574</v>
      </c>
      <c r="AK310" s="269">
        <f t="shared" si="428"/>
        <v>48415</v>
      </c>
      <c r="AL310" s="276">
        <f t="shared" si="413"/>
        <v>21472.147061860993</v>
      </c>
      <c r="AM310" s="269">
        <f t="shared" ref="AM310:AN312" si="429">F310</f>
        <v>112414</v>
      </c>
      <c r="AN310" s="269">
        <f t="shared" si="429"/>
        <v>111219</v>
      </c>
      <c r="AO310" s="276">
        <f t="shared" si="415"/>
        <v>1010.7445670254183</v>
      </c>
      <c r="AP310" s="269">
        <f t="shared" ref="AP310:AQ312" si="430">H310</f>
        <v>12216</v>
      </c>
      <c r="AQ310" s="269">
        <f t="shared" si="430"/>
        <v>5197</v>
      </c>
      <c r="AR310" s="276">
        <f t="shared" si="417"/>
        <v>2350.586877044449</v>
      </c>
      <c r="AX310" s="4">
        <f t="shared" si="331"/>
        <v>2008</v>
      </c>
      <c r="AY310" s="4">
        <f t="shared" si="332"/>
        <v>6</v>
      </c>
      <c r="AZ310" s="366">
        <f>'[8]COM 55 &amp; 65'!$S395</f>
        <v>501.7</v>
      </c>
      <c r="BA310" s="366">
        <f t="shared" si="221"/>
        <v>485.1</v>
      </c>
      <c r="BB310" s="367">
        <f t="shared" si="418"/>
        <v>-16.599999999999966</v>
      </c>
      <c r="BC310" s="367"/>
      <c r="BD310" s="366">
        <f>'[8]COM 55 &amp; 65'!$J395</f>
        <v>0</v>
      </c>
      <c r="BE310" s="366">
        <f t="shared" si="222"/>
        <v>0</v>
      </c>
      <c r="BF310" s="368">
        <f t="shared" si="419"/>
        <v>0</v>
      </c>
      <c r="BH310" s="244">
        <f t="shared" si="401"/>
        <v>-13177.893399999974</v>
      </c>
      <c r="BI310" s="242">
        <f t="shared" si="402"/>
        <v>0</v>
      </c>
      <c r="BJ310" s="242"/>
      <c r="BK310" s="241">
        <f t="shared" si="420"/>
        <v>-13178</v>
      </c>
      <c r="BL310" s="262"/>
      <c r="BM310" s="36" t="s">
        <v>18</v>
      </c>
      <c r="BN310" s="4">
        <f t="shared" si="223"/>
        <v>2008</v>
      </c>
      <c r="BO310" s="4">
        <f t="shared" si="224"/>
        <v>6</v>
      </c>
      <c r="BP310" s="108">
        <f>C310+[4]MWh!$AK144</f>
        <v>1159816.4484696442</v>
      </c>
      <c r="BQ310" s="76">
        <f t="shared" si="421"/>
        <v>7036.3975736945367</v>
      </c>
      <c r="BR310" s="130">
        <f t="shared" si="422"/>
        <v>6956.4490203277546</v>
      </c>
      <c r="BS310" s="108">
        <f t="shared" si="403"/>
        <v>106.33689396038972</v>
      </c>
      <c r="BT310" s="175">
        <f t="shared" si="423"/>
        <v>1146638.4484696442</v>
      </c>
      <c r="BU310" s="108">
        <f t="shared" si="404"/>
        <v>21226.677116623381</v>
      </c>
      <c r="BV310" s="137">
        <f t="shared" si="424"/>
        <v>-13178</v>
      </c>
      <c r="BW310" s="529">
        <f>BT310/[9]CMWh!$L190</f>
        <v>1.0012656849390311</v>
      </c>
    </row>
    <row r="311" spans="1:75" ht="12.75" customHeight="1">
      <c r="A311" s="22">
        <f t="shared" si="329"/>
        <v>2008</v>
      </c>
      <c r="B311" s="4">
        <f t="shared" si="330"/>
        <v>7</v>
      </c>
      <c r="C311" s="5">
        <f>'[2]FPC wSEB'!$E408</f>
        <v>1105846</v>
      </c>
      <c r="D311" s="5">
        <f>'[2]FPC wSEB'!$Y408</f>
        <v>155026</v>
      </c>
      <c r="E311" s="74">
        <f t="shared" si="405"/>
        <v>7133.3</v>
      </c>
      <c r="F311" s="358">
        <v>105124</v>
      </c>
      <c r="G311" s="358">
        <v>102214</v>
      </c>
      <c r="H311" s="358">
        <v>12299</v>
      </c>
      <c r="I311" s="358">
        <v>5228</v>
      </c>
      <c r="J311" s="574">
        <f>[5]CC!$E191</f>
        <v>162655</v>
      </c>
      <c r="K311" s="4">
        <f>'[7]COM 55 &amp; 65'!$S396</f>
        <v>494.3</v>
      </c>
      <c r="L311" s="4">
        <f t="shared" si="216"/>
        <v>516.1</v>
      </c>
      <c r="M311" s="135">
        <f t="shared" ref="M311:M316" si="431">(L311-K311)</f>
        <v>21.800000000000011</v>
      </c>
      <c r="N311" s="4">
        <f>'[7]COM 55 &amp; 65'!$J396</f>
        <v>0</v>
      </c>
      <c r="O311" s="4">
        <f t="shared" si="209"/>
        <v>0</v>
      </c>
      <c r="P311" s="41">
        <f t="shared" si="406"/>
        <v>0</v>
      </c>
      <c r="Q311" s="474">
        <f t="shared" ref="Q311:Q316" si="432">M311*$E$10</f>
        <v>17305.908200000009</v>
      </c>
      <c r="R311" s="472">
        <f t="shared" ref="R311:R316" si="433">P311*$E$9</f>
        <v>0</v>
      </c>
      <c r="S311" s="241">
        <f t="shared" si="425"/>
        <v>17306</v>
      </c>
      <c r="T311" s="13" t="s">
        <v>18</v>
      </c>
      <c r="U311" s="4">
        <f t="shared" si="217"/>
        <v>2008</v>
      </c>
      <c r="V311" s="4">
        <f t="shared" si="218"/>
        <v>7</v>
      </c>
      <c r="W311" s="242">
        <f t="shared" si="407"/>
        <v>7244.9266574639096</v>
      </c>
      <c r="X311" s="131">
        <f t="shared" ref="X311:X316" si="434">W311-W299</f>
        <v>142.2047245972426</v>
      </c>
      <c r="Z311" s="175">
        <f t="shared" si="408"/>
        <v>1123152</v>
      </c>
      <c r="AA311" s="12">
        <f t="shared" si="426"/>
        <v>17306</v>
      </c>
      <c r="AB311" s="519">
        <f>[9]CMWh!$L191</f>
        <v>1144257</v>
      </c>
      <c r="AC311" s="107">
        <f>RESID!AC311</f>
        <v>30.35</v>
      </c>
      <c r="AD311" s="243">
        <f t="shared" si="427"/>
        <v>1108396.6000000001</v>
      </c>
      <c r="AE311" s="243">
        <f t="shared" si="409"/>
        <v>-1912.5</v>
      </c>
      <c r="AF311" s="4">
        <f t="shared" si="410"/>
        <v>19896</v>
      </c>
      <c r="AG311" s="4">
        <f t="shared" si="411"/>
        <v>1125742</v>
      </c>
      <c r="AH311" s="4">
        <f t="shared" ref="AH311:AH316" si="435">AG311-AG299</f>
        <v>18598</v>
      </c>
      <c r="AJ311" s="269">
        <f t="shared" si="428"/>
        <v>988423</v>
      </c>
      <c r="AK311" s="269">
        <f t="shared" si="428"/>
        <v>47584</v>
      </c>
      <c r="AL311" s="276">
        <f t="shared" si="413"/>
        <v>20772.171318090113</v>
      </c>
      <c r="AM311" s="269">
        <f t="shared" si="429"/>
        <v>105124</v>
      </c>
      <c r="AN311" s="269">
        <f t="shared" si="429"/>
        <v>102214</v>
      </c>
      <c r="AO311" s="276">
        <f t="shared" si="415"/>
        <v>1028.4696812569707</v>
      </c>
      <c r="AP311" s="269">
        <f t="shared" si="430"/>
        <v>12299</v>
      </c>
      <c r="AQ311" s="269">
        <f t="shared" si="430"/>
        <v>5228</v>
      </c>
      <c r="AR311" s="276">
        <f t="shared" si="417"/>
        <v>2352.5248661055853</v>
      </c>
      <c r="AX311" s="4">
        <f t="shared" si="331"/>
        <v>2008</v>
      </c>
      <c r="AY311" s="4">
        <f t="shared" si="332"/>
        <v>7</v>
      </c>
      <c r="AZ311" s="366">
        <f>'[8]COM 55 &amp; 65'!$S396</f>
        <v>515.1</v>
      </c>
      <c r="BA311" s="366">
        <f t="shared" si="221"/>
        <v>546.1</v>
      </c>
      <c r="BB311" s="367">
        <f t="shared" si="418"/>
        <v>31</v>
      </c>
      <c r="BC311" s="367"/>
      <c r="BD311" s="366">
        <f>'[8]COM 55 &amp; 65'!$J396</f>
        <v>0</v>
      </c>
      <c r="BE311" s="366">
        <f t="shared" si="222"/>
        <v>0</v>
      </c>
      <c r="BF311" s="368">
        <f t="shared" si="419"/>
        <v>0</v>
      </c>
      <c r="BH311" s="244">
        <f t="shared" ref="BH311:BH316" si="436">BB311*$E$10</f>
        <v>24609.319000000003</v>
      </c>
      <c r="BI311" s="242">
        <f t="shared" ref="BI311:BI316" si="437">BF311*$E$9</f>
        <v>0</v>
      </c>
      <c r="BJ311" s="242"/>
      <c r="BK311" s="241">
        <f t="shared" si="420"/>
        <v>24609</v>
      </c>
      <c r="BL311" s="262"/>
      <c r="BM311" s="36" t="s">
        <v>18</v>
      </c>
      <c r="BN311" s="4">
        <f t="shared" si="223"/>
        <v>2008</v>
      </c>
      <c r="BO311" s="4">
        <f t="shared" si="224"/>
        <v>7</v>
      </c>
      <c r="BP311" s="108">
        <f>C311+[4]MWh!$AK145</f>
        <v>1175261.228884805</v>
      </c>
      <c r="BQ311" s="76">
        <f t="shared" si="421"/>
        <v>7581.0588474501374</v>
      </c>
      <c r="BR311" s="130">
        <f t="shared" si="422"/>
        <v>7739.7999618438525</v>
      </c>
      <c r="BS311" s="108">
        <f t="shared" ref="BS311:BS316" si="438">BR311-BR299</f>
        <v>375.40029164980115</v>
      </c>
      <c r="BT311" s="175">
        <f t="shared" si="423"/>
        <v>1199870.228884805</v>
      </c>
      <c r="BU311" s="108">
        <f t="shared" ref="BU311:BU316" si="439">BT311-BT299</f>
        <v>48917.662028857507</v>
      </c>
      <c r="BV311" s="137">
        <f t="shared" si="424"/>
        <v>24609</v>
      </c>
      <c r="BW311" s="529">
        <f>BT311/[9]CMWh!$L191</f>
        <v>1.0486020438457488</v>
      </c>
    </row>
    <row r="312" spans="1:75" ht="12.75" customHeight="1">
      <c r="A312" s="22">
        <f t="shared" si="329"/>
        <v>2008</v>
      </c>
      <c r="B312" s="4">
        <f t="shared" si="330"/>
        <v>8</v>
      </c>
      <c r="C312" s="5">
        <f>'[2]FPC wSEB'!$E409</f>
        <v>1166826</v>
      </c>
      <c r="D312" s="5">
        <f>'[2]FPC wSEB'!$Y409</f>
        <v>162952</v>
      </c>
      <c r="E312" s="74">
        <f t="shared" ref="E312:E317" si="440">ROUND((C312/D312)*1000,1)</f>
        <v>7160.6</v>
      </c>
      <c r="F312" s="358">
        <v>109180</v>
      </c>
      <c r="G312" s="358">
        <v>109244</v>
      </c>
      <c r="H312" s="358">
        <v>12365</v>
      </c>
      <c r="I312" s="358">
        <v>5246</v>
      </c>
      <c r="J312" s="574">
        <f>[5]CC!$E192</f>
        <v>162729</v>
      </c>
      <c r="K312" s="4">
        <f>'[7]COM 55 &amp; 65'!$S397</f>
        <v>527.9</v>
      </c>
      <c r="L312" s="4">
        <f t="shared" si="216"/>
        <v>542</v>
      </c>
      <c r="M312" s="135">
        <f t="shared" si="431"/>
        <v>14.100000000000023</v>
      </c>
      <c r="N312" s="4">
        <f>'[7]COM 55 &amp; 65'!$J397</f>
        <v>0</v>
      </c>
      <c r="O312" s="4">
        <f t="shared" si="209"/>
        <v>0</v>
      </c>
      <c r="P312" s="41">
        <f t="shared" si="406"/>
        <v>0</v>
      </c>
      <c r="Q312" s="474">
        <f t="shared" si="432"/>
        <v>11193.27090000002</v>
      </c>
      <c r="R312" s="472">
        <f t="shared" si="433"/>
        <v>0</v>
      </c>
      <c r="S312" s="241">
        <f t="shared" si="425"/>
        <v>11193</v>
      </c>
      <c r="T312" s="13" t="s">
        <v>18</v>
      </c>
      <c r="U312" s="4">
        <f t="shared" si="217"/>
        <v>2008</v>
      </c>
      <c r="V312" s="4">
        <f t="shared" si="218"/>
        <v>8</v>
      </c>
      <c r="W312" s="242">
        <f t="shared" si="407"/>
        <v>7229.239285188276</v>
      </c>
      <c r="X312" s="131">
        <f t="shared" si="434"/>
        <v>50.601879894103149</v>
      </c>
      <c r="Z312" s="175">
        <f t="shared" si="408"/>
        <v>1178019</v>
      </c>
      <c r="AA312" s="12">
        <f t="shared" si="426"/>
        <v>11193</v>
      </c>
      <c r="AB312" s="519">
        <f>[9]CMWh!$L192</f>
        <v>1181492</v>
      </c>
      <c r="AC312" s="107">
        <f>RESID!AC312</f>
        <v>31.25</v>
      </c>
      <c r="AD312" s="243">
        <f t="shared" si="427"/>
        <v>1135835.1000000001</v>
      </c>
      <c r="AE312" s="243">
        <f t="shared" si="409"/>
        <v>-84330.699999999953</v>
      </c>
      <c r="AF312" s="4">
        <f t="shared" si="410"/>
        <v>-20095</v>
      </c>
      <c r="AG312" s="4">
        <f t="shared" si="411"/>
        <v>1146731</v>
      </c>
      <c r="AH312" s="4">
        <f t="shared" si="435"/>
        <v>-54369</v>
      </c>
      <c r="AJ312" s="269">
        <f t="shared" si="428"/>
        <v>1045281</v>
      </c>
      <c r="AK312" s="269">
        <f t="shared" si="428"/>
        <v>48462</v>
      </c>
      <c r="AL312" s="276">
        <f t="shared" si="413"/>
        <v>21569.085056332795</v>
      </c>
      <c r="AM312" s="269">
        <f t="shared" si="429"/>
        <v>109180</v>
      </c>
      <c r="AN312" s="269">
        <f t="shared" si="429"/>
        <v>109244</v>
      </c>
      <c r="AO312" s="276">
        <f t="shared" si="415"/>
        <v>999.41415546849259</v>
      </c>
      <c r="AP312" s="269">
        <f t="shared" si="430"/>
        <v>12365</v>
      </c>
      <c r="AQ312" s="269">
        <f t="shared" si="430"/>
        <v>5246</v>
      </c>
      <c r="AR312" s="276">
        <f t="shared" si="417"/>
        <v>2357.0339306138012</v>
      </c>
      <c r="AX312" s="4">
        <f t="shared" si="331"/>
        <v>2008</v>
      </c>
      <c r="AY312" s="4">
        <f t="shared" si="332"/>
        <v>8</v>
      </c>
      <c r="AZ312" s="366">
        <f>'[8]COM 55 &amp; 65'!$S397</f>
        <v>521.9</v>
      </c>
      <c r="BA312" s="366">
        <f t="shared" si="221"/>
        <v>549</v>
      </c>
      <c r="BB312" s="367">
        <f t="shared" si="418"/>
        <v>27.100000000000023</v>
      </c>
      <c r="BC312" s="367"/>
      <c r="BD312" s="366">
        <f>'[8]COM 55 &amp; 65'!$J397</f>
        <v>0</v>
      </c>
      <c r="BE312" s="366">
        <f t="shared" si="222"/>
        <v>0</v>
      </c>
      <c r="BF312" s="368">
        <f t="shared" si="419"/>
        <v>0</v>
      </c>
      <c r="BH312" s="244">
        <f t="shared" si="436"/>
        <v>21513.307900000018</v>
      </c>
      <c r="BI312" s="242">
        <f t="shared" si="437"/>
        <v>0</v>
      </c>
      <c r="BJ312" s="242"/>
      <c r="BK312" s="241">
        <f t="shared" si="420"/>
        <v>21513</v>
      </c>
      <c r="BL312" s="262"/>
      <c r="BM312" s="36" t="s">
        <v>18</v>
      </c>
      <c r="BN312" s="4">
        <f t="shared" si="223"/>
        <v>2008</v>
      </c>
      <c r="BO312" s="4">
        <f t="shared" si="224"/>
        <v>8</v>
      </c>
      <c r="BP312" s="108">
        <f>C312+[4]MWh!$AK146</f>
        <v>1132278.9193411982</v>
      </c>
      <c r="BQ312" s="76">
        <f t="shared" si="421"/>
        <v>6948.542634280022</v>
      </c>
      <c r="BR312" s="130">
        <f t="shared" si="422"/>
        <v>7080.5631065663392</v>
      </c>
      <c r="BS312" s="108">
        <f t="shared" si="438"/>
        <v>94.752766954708932</v>
      </c>
      <c r="BT312" s="175">
        <f t="shared" si="423"/>
        <v>1153791.9193411982</v>
      </c>
      <c r="BU312" s="108">
        <f t="shared" si="439"/>
        <v>-41172.854111408815</v>
      </c>
      <c r="BV312" s="137">
        <f t="shared" si="424"/>
        <v>21513</v>
      </c>
      <c r="BW312" s="529">
        <f>BT312/[9]CMWh!$L192</f>
        <v>0.97655499939161516</v>
      </c>
    </row>
    <row r="313" spans="1:75" ht="12.75" customHeight="1">
      <c r="A313" s="22">
        <f t="shared" si="329"/>
        <v>2008</v>
      </c>
      <c r="B313" s="4">
        <f t="shared" si="330"/>
        <v>9</v>
      </c>
      <c r="C313" s="5">
        <f>'[2]FPC wSEB'!$E410</f>
        <v>1250019</v>
      </c>
      <c r="D313" s="5">
        <f>'[2]FPC wSEB'!$Y410</f>
        <v>170052</v>
      </c>
      <c r="E313" s="74">
        <f t="shared" si="440"/>
        <v>7350.8</v>
      </c>
      <c r="F313" s="358">
        <v>123191</v>
      </c>
      <c r="G313" s="358">
        <v>114822</v>
      </c>
      <c r="H313" s="358">
        <v>12648</v>
      </c>
      <c r="I313" s="358">
        <v>5273</v>
      </c>
      <c r="J313" s="574">
        <f>[5]CC!$E193</f>
        <v>162493</v>
      </c>
      <c r="K313" s="4">
        <f>'[7]COM 55 &amp; 65'!$S398</f>
        <v>550.79999999999995</v>
      </c>
      <c r="L313" s="4">
        <f t="shared" si="216"/>
        <v>531.20000000000005</v>
      </c>
      <c r="M313" s="135">
        <f t="shared" si="431"/>
        <v>-19.599999999999909</v>
      </c>
      <c r="N313" s="4">
        <f>'[7]COM 55 &amp; 65'!$J398</f>
        <v>0</v>
      </c>
      <c r="O313" s="4">
        <f t="shared" si="209"/>
        <v>0</v>
      </c>
      <c r="P313" s="41">
        <f t="shared" ref="P313:P318" si="441">(O313-N313)</f>
        <v>0</v>
      </c>
      <c r="Q313" s="474">
        <f t="shared" si="432"/>
        <v>-15559.440399999929</v>
      </c>
      <c r="R313" s="472">
        <f t="shared" si="433"/>
        <v>0</v>
      </c>
      <c r="S313" s="241">
        <f t="shared" si="425"/>
        <v>-15559</v>
      </c>
      <c r="T313" s="13" t="s">
        <v>18</v>
      </c>
      <c r="U313" s="4">
        <f t="shared" si="217"/>
        <v>2008</v>
      </c>
      <c r="V313" s="4">
        <f t="shared" si="218"/>
        <v>9</v>
      </c>
      <c r="W313" s="242">
        <f t="shared" ref="W313:W318" si="442">Z313/D313*1000</f>
        <v>7259.3089172723639</v>
      </c>
      <c r="X313" s="131">
        <f t="shared" si="434"/>
        <v>-137.61841469702267</v>
      </c>
      <c r="Z313" s="175">
        <f t="shared" ref="Z313:Z318" si="443">S313+C313</f>
        <v>1234460</v>
      </c>
      <c r="AA313" s="12">
        <f t="shared" si="426"/>
        <v>-15559</v>
      </c>
      <c r="AB313" s="519">
        <f>[9]CMWh!$L193</f>
        <v>1203733</v>
      </c>
      <c r="AC313" s="107">
        <f>RESID!AC313</f>
        <v>31.95</v>
      </c>
      <c r="AD313" s="243">
        <f t="shared" si="427"/>
        <v>1190158.8999999999</v>
      </c>
      <c r="AE313" s="243">
        <f t="shared" ref="AE313:AE318" si="444">AD313-AD301</f>
        <v>1168.0999999998603</v>
      </c>
      <c r="AF313" s="4">
        <f t="shared" ref="AF313:AF318" si="445">AG313-C313</f>
        <v>-74674</v>
      </c>
      <c r="AG313" s="4">
        <f t="shared" ref="AG313:AG318" si="446">ROUND(Z313/(AC313/30.42),0)</f>
        <v>1175345</v>
      </c>
      <c r="AH313" s="4">
        <f t="shared" si="435"/>
        <v>8923</v>
      </c>
      <c r="AJ313" s="269">
        <f t="shared" ref="AJ313:AK315" si="447">C313-AM313-AP313</f>
        <v>1114180</v>
      </c>
      <c r="AK313" s="269">
        <f t="shared" si="447"/>
        <v>49957</v>
      </c>
      <c r="AL313" s="276">
        <f t="shared" ref="AL313:AL318" si="448">AJ313/AK313*1000</f>
        <v>22302.780391136377</v>
      </c>
      <c r="AM313" s="269">
        <f t="shared" ref="AM313:AN315" si="449">F313</f>
        <v>123191</v>
      </c>
      <c r="AN313" s="269">
        <f t="shared" si="449"/>
        <v>114822</v>
      </c>
      <c r="AO313" s="276">
        <f t="shared" ref="AO313:AO318" si="450">AM313/AN313*1000</f>
        <v>1072.8867290240546</v>
      </c>
      <c r="AP313" s="269">
        <f t="shared" ref="AP313:AQ315" si="451">H313</f>
        <v>12648</v>
      </c>
      <c r="AQ313" s="269">
        <f t="shared" si="451"/>
        <v>5273</v>
      </c>
      <c r="AR313" s="276">
        <f t="shared" ref="AR313:AR318" si="452">AP313/AQ313*1000</f>
        <v>2398.6345533851695</v>
      </c>
      <c r="AX313" s="4">
        <f t="shared" si="331"/>
        <v>2008</v>
      </c>
      <c r="AY313" s="4">
        <f t="shared" si="332"/>
        <v>9</v>
      </c>
      <c r="AZ313" s="366">
        <f>'[8]COM 55 &amp; 65'!$S398</f>
        <v>494.6</v>
      </c>
      <c r="BA313" s="366">
        <f t="shared" si="221"/>
        <v>487.9</v>
      </c>
      <c r="BB313" s="367">
        <f t="shared" ref="BB313:BB318" si="453">(BA313-AZ313)</f>
        <v>-6.7000000000000455</v>
      </c>
      <c r="BC313" s="367"/>
      <c r="BD313" s="366">
        <f>'[8]COM 55 &amp; 65'!$J398</f>
        <v>0</v>
      </c>
      <c r="BE313" s="366">
        <f t="shared" si="222"/>
        <v>0</v>
      </c>
      <c r="BF313" s="368">
        <f t="shared" ref="BF313:BF318" si="454">(BE313-BD313)</f>
        <v>0</v>
      </c>
      <c r="BH313" s="244">
        <f t="shared" si="436"/>
        <v>-5318.7883000000365</v>
      </c>
      <c r="BI313" s="242">
        <f t="shared" si="437"/>
        <v>0</v>
      </c>
      <c r="BJ313" s="242"/>
      <c r="BK313" s="241">
        <f t="shared" ref="BK313:BK318" si="455">ROUND(SUM(BH313,BI313),0)</f>
        <v>-5319</v>
      </c>
      <c r="BL313" s="262"/>
      <c r="BM313" s="36" t="s">
        <v>18</v>
      </c>
      <c r="BN313" s="4">
        <f t="shared" si="223"/>
        <v>2008</v>
      </c>
      <c r="BO313" s="4">
        <f t="shared" si="224"/>
        <v>9</v>
      </c>
      <c r="BP313" s="108">
        <f>C313+[4]MWh!$AK147</f>
        <v>1129254.667426195</v>
      </c>
      <c r="BQ313" s="76">
        <f t="shared" ref="BQ313:BQ318" si="456">BP313/D313*1000</f>
        <v>6640.6432586867249</v>
      </c>
      <c r="BR313" s="130">
        <f t="shared" ref="BR313:BR318" si="457">BT313/D313*1000</f>
        <v>6609.3645909850802</v>
      </c>
      <c r="BS313" s="108">
        <f t="shared" si="438"/>
        <v>-432.37460730270959</v>
      </c>
      <c r="BT313" s="175">
        <f t="shared" ref="BT313:BT318" si="458">BK313+BP313</f>
        <v>1123935.667426195</v>
      </c>
      <c r="BU313" s="108">
        <f t="shared" si="439"/>
        <v>8777.6810285474639</v>
      </c>
      <c r="BV313" s="137">
        <f t="shared" ref="BV313:BV318" si="459">BT313-BP313</f>
        <v>-5319</v>
      </c>
      <c r="BW313" s="529">
        <f>BT313/[9]CMWh!$L193</f>
        <v>0.93370844483468929</v>
      </c>
    </row>
    <row r="314" spans="1:75" ht="12.75" customHeight="1">
      <c r="A314" s="22">
        <f t="shared" si="329"/>
        <v>2008</v>
      </c>
      <c r="B314" s="4">
        <f t="shared" si="330"/>
        <v>10</v>
      </c>
      <c r="C314" s="5">
        <f>'[2]FPC wSEB'!$E411</f>
        <v>1028182</v>
      </c>
      <c r="D314" s="5">
        <f>'[2]FPC wSEB'!$Y411</f>
        <v>157338</v>
      </c>
      <c r="E314" s="74">
        <f t="shared" si="440"/>
        <v>6534.9</v>
      </c>
      <c r="F314" s="358">
        <v>98497</v>
      </c>
      <c r="G314" s="358">
        <v>104189</v>
      </c>
      <c r="H314" s="358">
        <v>12411</v>
      </c>
      <c r="I314" s="358">
        <v>5270</v>
      </c>
      <c r="J314" s="574">
        <f>[5]CC!$E194</f>
        <v>162440</v>
      </c>
      <c r="K314" s="4">
        <f>'[7]COM 55 &amp; 65'!$S399</f>
        <v>434.8</v>
      </c>
      <c r="L314" s="4">
        <f t="shared" si="216"/>
        <v>431.2</v>
      </c>
      <c r="M314" s="135">
        <f t="shared" si="431"/>
        <v>-3.6000000000000227</v>
      </c>
      <c r="N314" s="4">
        <f>'[7]COM 55 &amp; 65'!$J399</f>
        <v>0.1</v>
      </c>
      <c r="O314" s="4">
        <f t="shared" si="209"/>
        <v>0.2</v>
      </c>
      <c r="P314" s="41">
        <f t="shared" si="441"/>
        <v>0.1</v>
      </c>
      <c r="Q314" s="474">
        <f t="shared" si="432"/>
        <v>-2857.8564000000183</v>
      </c>
      <c r="R314" s="472">
        <f t="shared" si="433"/>
        <v>75.924800000000005</v>
      </c>
      <c r="S314" s="241">
        <f t="shared" ref="S314:S319" si="460">ROUND(SUM(Q314,R314),0)</f>
        <v>-2782</v>
      </c>
      <c r="T314" s="13" t="s">
        <v>18</v>
      </c>
      <c r="U314" s="4">
        <f t="shared" si="217"/>
        <v>2008</v>
      </c>
      <c r="V314" s="4">
        <f t="shared" si="218"/>
        <v>10</v>
      </c>
      <c r="W314" s="242">
        <f t="shared" si="442"/>
        <v>6517.1795751820919</v>
      </c>
      <c r="X314" s="131">
        <f t="shared" si="434"/>
        <v>-113.89643520892241</v>
      </c>
      <c r="Z314" s="175">
        <f t="shared" si="443"/>
        <v>1025400</v>
      </c>
      <c r="AA314" s="12">
        <f t="shared" ref="AA314:AA319" si="461">Z314-C314</f>
        <v>-2782</v>
      </c>
      <c r="AB314" s="519">
        <f>[9]CMWh!$L194</f>
        <v>1055817</v>
      </c>
      <c r="AC314" s="107">
        <f>RESID!AC314</f>
        <v>29.65</v>
      </c>
      <c r="AD314" s="243">
        <f t="shared" ref="AD314:AD319" si="462">ROUND(C314/(AC314/30.42),1)</f>
        <v>1054883.5</v>
      </c>
      <c r="AE314" s="243">
        <f t="shared" si="444"/>
        <v>-72751.5</v>
      </c>
      <c r="AF314" s="4">
        <f t="shared" si="445"/>
        <v>23847</v>
      </c>
      <c r="AG314" s="4">
        <f t="shared" si="446"/>
        <v>1052029</v>
      </c>
      <c r="AH314" s="4">
        <f t="shared" si="435"/>
        <v>-55770</v>
      </c>
      <c r="AJ314" s="269">
        <f t="shared" si="447"/>
        <v>917274</v>
      </c>
      <c r="AK314" s="269">
        <f t="shared" si="447"/>
        <v>47879</v>
      </c>
      <c r="AL314" s="276">
        <f t="shared" si="448"/>
        <v>19158.169552413376</v>
      </c>
      <c r="AM314" s="269">
        <f t="shared" si="449"/>
        <v>98497</v>
      </c>
      <c r="AN314" s="269">
        <f t="shared" si="449"/>
        <v>104189</v>
      </c>
      <c r="AO314" s="276">
        <f t="shared" si="450"/>
        <v>945.36851299081479</v>
      </c>
      <c r="AP314" s="269">
        <f t="shared" si="451"/>
        <v>12411</v>
      </c>
      <c r="AQ314" s="269">
        <f t="shared" si="451"/>
        <v>5270</v>
      </c>
      <c r="AR314" s="276">
        <f t="shared" si="452"/>
        <v>2355.0284629981024</v>
      </c>
      <c r="AX314" s="4">
        <f t="shared" si="331"/>
        <v>2008</v>
      </c>
      <c r="AY314" s="4">
        <f t="shared" si="332"/>
        <v>10</v>
      </c>
      <c r="AZ314" s="366">
        <f>'[8]COM 55 &amp; 65'!$S399</f>
        <v>309.39999999999998</v>
      </c>
      <c r="BA314" s="366">
        <f t="shared" si="221"/>
        <v>332.5</v>
      </c>
      <c r="BB314" s="367">
        <f t="shared" si="453"/>
        <v>23.100000000000023</v>
      </c>
      <c r="BC314" s="367"/>
      <c r="BD314" s="366">
        <f>'[8]COM 55 &amp; 65'!$J399</f>
        <v>7.9</v>
      </c>
      <c r="BE314" s="366">
        <f t="shared" si="222"/>
        <v>2</v>
      </c>
      <c r="BF314" s="368">
        <f t="shared" si="454"/>
        <v>-5.9</v>
      </c>
      <c r="BH314" s="244">
        <f t="shared" si="436"/>
        <v>18337.911900000017</v>
      </c>
      <c r="BI314" s="242">
        <f t="shared" si="437"/>
        <v>-4479.5632000000005</v>
      </c>
      <c r="BJ314" s="242"/>
      <c r="BK314" s="241">
        <f t="shared" si="455"/>
        <v>13858</v>
      </c>
      <c r="BL314" s="262"/>
      <c r="BM314" s="36" t="s">
        <v>18</v>
      </c>
      <c r="BN314" s="4">
        <f t="shared" si="223"/>
        <v>2008</v>
      </c>
      <c r="BO314" s="4">
        <f t="shared" si="224"/>
        <v>10</v>
      </c>
      <c r="BP314" s="108">
        <f>C314+[4]MWh!$AK148</f>
        <v>969809.96466250578</v>
      </c>
      <c r="BQ314" s="76">
        <f t="shared" si="456"/>
        <v>6163.8635591052753</v>
      </c>
      <c r="BR314" s="130">
        <f t="shared" si="457"/>
        <v>6251.9414550998854</v>
      </c>
      <c r="BS314" s="108">
        <f t="shared" si="438"/>
        <v>-12.796394593188779</v>
      </c>
      <c r="BT314" s="175">
        <f t="shared" si="458"/>
        <v>983667.96466250578</v>
      </c>
      <c r="BU314" s="108">
        <f t="shared" si="439"/>
        <v>-36438.093616566621</v>
      </c>
      <c r="BV314" s="137">
        <f t="shared" si="459"/>
        <v>13858</v>
      </c>
      <c r="BW314" s="529">
        <f>BT314/[9]CMWh!$L194</f>
        <v>0.93166520776091477</v>
      </c>
    </row>
    <row r="315" spans="1:75" ht="12.75" customHeight="1">
      <c r="A315" s="22">
        <f t="shared" si="329"/>
        <v>2008</v>
      </c>
      <c r="B315" s="4">
        <f t="shared" si="330"/>
        <v>11</v>
      </c>
      <c r="C315" s="5">
        <f>'[2]FPC wSEB'!$E412</f>
        <v>981596</v>
      </c>
      <c r="D315" s="5">
        <f>'[2]FPC wSEB'!$Y412</f>
        <v>168291</v>
      </c>
      <c r="E315" s="74">
        <f t="shared" si="440"/>
        <v>5832.7</v>
      </c>
      <c r="F315" s="358">
        <v>86423</v>
      </c>
      <c r="G315" s="358">
        <v>112617</v>
      </c>
      <c r="H315" s="358">
        <v>12672</v>
      </c>
      <c r="I315" s="358">
        <v>5258</v>
      </c>
      <c r="J315" s="574">
        <f>[5]CC!$E195</f>
        <v>162493</v>
      </c>
      <c r="K315" s="4">
        <f>'[7]COM 55 &amp; 65'!$S400</f>
        <v>222.4</v>
      </c>
      <c r="L315" s="4">
        <f t="shared" si="216"/>
        <v>251.9</v>
      </c>
      <c r="M315" s="135">
        <f t="shared" si="431"/>
        <v>29.5</v>
      </c>
      <c r="N315" s="4">
        <f>'[7]COM 55 &amp; 65'!$J400</f>
        <v>12.6</v>
      </c>
      <c r="O315" s="4">
        <f t="shared" si="209"/>
        <v>6.3</v>
      </c>
      <c r="P315" s="41">
        <f t="shared" si="441"/>
        <v>-6.3</v>
      </c>
      <c r="Q315" s="474">
        <f t="shared" si="432"/>
        <v>23418.5455</v>
      </c>
      <c r="R315" s="472">
        <f t="shared" si="433"/>
        <v>-4783.2624000000005</v>
      </c>
      <c r="S315" s="241">
        <f t="shared" si="460"/>
        <v>18635</v>
      </c>
      <c r="T315" s="13" t="s">
        <v>18</v>
      </c>
      <c r="U315" s="4">
        <f t="shared" si="217"/>
        <v>2008</v>
      </c>
      <c r="V315" s="4">
        <f t="shared" si="218"/>
        <v>11</v>
      </c>
      <c r="W315" s="242">
        <f t="shared" si="442"/>
        <v>5943.4610288131862</v>
      </c>
      <c r="X315" s="131">
        <f t="shared" si="434"/>
        <v>1.7135137135528566</v>
      </c>
      <c r="Z315" s="175">
        <f t="shared" si="443"/>
        <v>1000231</v>
      </c>
      <c r="AA315" s="12">
        <f t="shared" si="461"/>
        <v>18635</v>
      </c>
      <c r="AB315" s="519">
        <f>[9]CMWh!$L195</f>
        <v>962891</v>
      </c>
      <c r="AC315" s="107">
        <f>RESID!AC315</f>
        <v>30.05</v>
      </c>
      <c r="AD315" s="243">
        <f t="shared" si="462"/>
        <v>993682.2</v>
      </c>
      <c r="AE315" s="243">
        <f t="shared" si="444"/>
        <v>-17818.100000000093</v>
      </c>
      <c r="AF315" s="4">
        <f t="shared" si="445"/>
        <v>30951</v>
      </c>
      <c r="AG315" s="4">
        <f t="shared" si="446"/>
        <v>1012547</v>
      </c>
      <c r="AH315" s="4">
        <f t="shared" si="435"/>
        <v>17303</v>
      </c>
      <c r="AJ315" s="269">
        <f t="shared" si="447"/>
        <v>882501</v>
      </c>
      <c r="AK315" s="269">
        <f t="shared" si="447"/>
        <v>50416</v>
      </c>
      <c r="AL315" s="276">
        <f t="shared" si="448"/>
        <v>17504.383529038401</v>
      </c>
      <c r="AM315" s="269">
        <f t="shared" si="449"/>
        <v>86423</v>
      </c>
      <c r="AN315" s="269">
        <f t="shared" si="449"/>
        <v>112617</v>
      </c>
      <c r="AO315" s="276">
        <f t="shared" si="450"/>
        <v>767.40634184892156</v>
      </c>
      <c r="AP315" s="269">
        <f t="shared" si="451"/>
        <v>12672</v>
      </c>
      <c r="AQ315" s="269">
        <f t="shared" si="451"/>
        <v>5258</v>
      </c>
      <c r="AR315" s="276">
        <f t="shared" si="452"/>
        <v>2410.0418410041843</v>
      </c>
      <c r="AX315" s="4">
        <f t="shared" si="331"/>
        <v>2008</v>
      </c>
      <c r="AY315" s="4">
        <f t="shared" si="332"/>
        <v>11</v>
      </c>
      <c r="AZ315" s="366">
        <f>'[8]COM 55 &amp; 65'!$S400</f>
        <v>102.7</v>
      </c>
      <c r="BA315" s="366">
        <f t="shared" si="221"/>
        <v>146</v>
      </c>
      <c r="BB315" s="367">
        <f t="shared" si="453"/>
        <v>43.3</v>
      </c>
      <c r="BC315" s="367"/>
      <c r="BD315" s="366">
        <f>'[8]COM 55 &amp; 65'!$J400</f>
        <v>34.9</v>
      </c>
      <c r="BE315" s="366">
        <f t="shared" si="222"/>
        <v>14</v>
      </c>
      <c r="BF315" s="368">
        <f t="shared" si="454"/>
        <v>-20.9</v>
      </c>
      <c r="BH315" s="244">
        <f t="shared" si="436"/>
        <v>34373.661699999997</v>
      </c>
      <c r="BI315" s="242">
        <f t="shared" si="437"/>
        <v>-15868.2832</v>
      </c>
      <c r="BJ315" s="242"/>
      <c r="BK315" s="241">
        <f t="shared" si="455"/>
        <v>18505</v>
      </c>
      <c r="BL315" s="262"/>
      <c r="BM315" s="36" t="s">
        <v>18</v>
      </c>
      <c r="BN315" s="4">
        <f t="shared" si="223"/>
        <v>2008</v>
      </c>
      <c r="BO315" s="4">
        <f t="shared" si="224"/>
        <v>11</v>
      </c>
      <c r="BP315" s="108">
        <f>C315+[4]MWh!$AK149</f>
        <v>891275.49644375173</v>
      </c>
      <c r="BQ315" s="76">
        <f t="shared" si="456"/>
        <v>5296.0377943190761</v>
      </c>
      <c r="BR315" s="130">
        <f t="shared" si="457"/>
        <v>5405.9961402793479</v>
      </c>
      <c r="BS315" s="108">
        <f t="shared" si="438"/>
        <v>56.522103509596491</v>
      </c>
      <c r="BT315" s="175">
        <f t="shared" si="458"/>
        <v>909780.49644375173</v>
      </c>
      <c r="BU315" s="108">
        <f t="shared" si="439"/>
        <v>9913.3718744912185</v>
      </c>
      <c r="BV315" s="137">
        <f t="shared" si="459"/>
        <v>18505</v>
      </c>
      <c r="BW315" s="529">
        <f>BT315/[9]CMWh!$L195</f>
        <v>0.94484266281827511</v>
      </c>
    </row>
    <row r="316" spans="1:75" s="89" customFormat="1" ht="12.75" customHeight="1">
      <c r="A316" s="225">
        <f t="shared" si="329"/>
        <v>2008</v>
      </c>
      <c r="B316" s="89">
        <f t="shared" si="330"/>
        <v>12</v>
      </c>
      <c r="C316" s="103">
        <f>'[2]FPC wSEB'!$E413</f>
        <v>877192</v>
      </c>
      <c r="D316" s="103">
        <f>'[2]FPC wSEB'!$Y413</f>
        <v>160701</v>
      </c>
      <c r="E316" s="109">
        <f t="shared" si="440"/>
        <v>5458.5</v>
      </c>
      <c r="F316" s="376">
        <v>83852</v>
      </c>
      <c r="G316" s="376">
        <v>107652</v>
      </c>
      <c r="H316" s="376">
        <v>12443</v>
      </c>
      <c r="I316" s="376">
        <v>5252</v>
      </c>
      <c r="J316" s="575">
        <f>[5]CC!$E196</f>
        <v>161922</v>
      </c>
      <c r="K316" s="89">
        <f>'[7]COM 55 &amp; 65'!$S401</f>
        <v>81.5</v>
      </c>
      <c r="L316" s="89">
        <f t="shared" si="216"/>
        <v>119.4</v>
      </c>
      <c r="M316" s="136">
        <f t="shared" si="431"/>
        <v>37.900000000000006</v>
      </c>
      <c r="N316" s="89">
        <f>'[7]COM 55 &amp; 65'!$J401</f>
        <v>43.6</v>
      </c>
      <c r="O316" s="89">
        <f t="shared" si="209"/>
        <v>30.1</v>
      </c>
      <c r="P316" s="94">
        <f t="shared" si="441"/>
        <v>-13.5</v>
      </c>
      <c r="Q316" s="475">
        <f t="shared" si="432"/>
        <v>30086.877100000005</v>
      </c>
      <c r="R316" s="473">
        <f t="shared" si="433"/>
        <v>-10249.848</v>
      </c>
      <c r="S316" s="329">
        <f t="shared" si="460"/>
        <v>19837</v>
      </c>
      <c r="T316" s="90" t="s">
        <v>18</v>
      </c>
      <c r="U316" s="89">
        <f t="shared" si="217"/>
        <v>2008</v>
      </c>
      <c r="V316" s="89">
        <f t="shared" si="218"/>
        <v>12</v>
      </c>
      <c r="W316" s="328">
        <f t="shared" si="442"/>
        <v>5581.9752210627194</v>
      </c>
      <c r="X316" s="133">
        <f t="shared" si="434"/>
        <v>-178.29166246221394</v>
      </c>
      <c r="Y316" s="330"/>
      <c r="Z316" s="176">
        <f t="shared" si="443"/>
        <v>897029</v>
      </c>
      <c r="AA316" s="105">
        <f t="shared" si="461"/>
        <v>19837</v>
      </c>
      <c r="AB316" s="520">
        <f>[9]CMWh!$L196</f>
        <v>913213</v>
      </c>
      <c r="AC316" s="110">
        <f>RESID!AC316</f>
        <v>31.45</v>
      </c>
      <c r="AD316" s="331">
        <f t="shared" si="462"/>
        <v>848463.6</v>
      </c>
      <c r="AE316" s="331">
        <f t="shared" si="444"/>
        <v>-67194.900000000023</v>
      </c>
      <c r="AF316" s="89">
        <f t="shared" si="445"/>
        <v>-9541</v>
      </c>
      <c r="AG316" s="89">
        <f t="shared" si="446"/>
        <v>867651</v>
      </c>
      <c r="AH316" s="89">
        <f t="shared" si="435"/>
        <v>-39607</v>
      </c>
      <c r="AJ316" s="351">
        <f t="shared" ref="AJ316:AK318" si="463">C316-AM316-AP316</f>
        <v>780897</v>
      </c>
      <c r="AK316" s="351">
        <f t="shared" si="463"/>
        <v>47797</v>
      </c>
      <c r="AL316" s="277">
        <f t="shared" si="448"/>
        <v>16337.782706027574</v>
      </c>
      <c r="AM316" s="351">
        <f t="shared" ref="AM316:AN318" si="464">F316</f>
        <v>83852</v>
      </c>
      <c r="AN316" s="351">
        <f t="shared" si="464"/>
        <v>107652</v>
      </c>
      <c r="AO316" s="277">
        <f t="shared" si="450"/>
        <v>778.91725188570581</v>
      </c>
      <c r="AP316" s="351">
        <f t="shared" ref="AP316:AQ318" si="465">H316</f>
        <v>12443</v>
      </c>
      <c r="AQ316" s="351">
        <f t="shared" si="465"/>
        <v>5252</v>
      </c>
      <c r="AR316" s="277">
        <f t="shared" si="452"/>
        <v>2369.1926884996192</v>
      </c>
      <c r="AX316" s="89">
        <f t="shared" si="331"/>
        <v>2008</v>
      </c>
      <c r="AY316" s="89">
        <f t="shared" si="332"/>
        <v>12</v>
      </c>
      <c r="AZ316" s="369">
        <f>'[8]COM 55 &amp; 65'!$S401</f>
        <v>93.3</v>
      </c>
      <c r="BA316" s="369">
        <f t="shared" si="221"/>
        <v>75.7</v>
      </c>
      <c r="BB316" s="370">
        <f t="shared" si="453"/>
        <v>-17.599999999999994</v>
      </c>
      <c r="BC316" s="370"/>
      <c r="BD316" s="369">
        <f>'[8]COM 55 &amp; 65'!$J401</f>
        <v>27.7</v>
      </c>
      <c r="BE316" s="369">
        <f t="shared" si="222"/>
        <v>44.3</v>
      </c>
      <c r="BF316" s="371">
        <f t="shared" si="454"/>
        <v>16.599999999999998</v>
      </c>
      <c r="BH316" s="327">
        <f t="shared" si="436"/>
        <v>-13971.742399999996</v>
      </c>
      <c r="BI316" s="328">
        <f t="shared" si="437"/>
        <v>12603.516799999999</v>
      </c>
      <c r="BJ316" s="328"/>
      <c r="BK316" s="329">
        <f t="shared" si="455"/>
        <v>-1368</v>
      </c>
      <c r="BL316" s="332"/>
      <c r="BM316" s="113" t="s">
        <v>18</v>
      </c>
      <c r="BN316" s="89">
        <f t="shared" si="223"/>
        <v>2008</v>
      </c>
      <c r="BO316" s="89">
        <f t="shared" si="224"/>
        <v>12</v>
      </c>
      <c r="BP316" s="117">
        <f>C316+[4]MWh!$AK150</f>
        <v>869730.17853597738</v>
      </c>
      <c r="BQ316" s="92">
        <f t="shared" si="456"/>
        <v>5412.1018446430171</v>
      </c>
      <c r="BR316" s="299">
        <f t="shared" si="457"/>
        <v>5403.5891409261758</v>
      </c>
      <c r="BS316" s="117">
        <f t="shared" si="438"/>
        <v>-222.1928425083579</v>
      </c>
      <c r="BT316" s="176">
        <f t="shared" si="458"/>
        <v>868362.17853597738</v>
      </c>
      <c r="BU316" s="117">
        <f t="shared" si="439"/>
        <v>-44803.501451149234</v>
      </c>
      <c r="BV316" s="139">
        <f t="shared" si="459"/>
        <v>-1368</v>
      </c>
      <c r="BW316" s="536">
        <f>BT316/[9]CMWh!$L196</f>
        <v>0.95088679041579283</v>
      </c>
    </row>
    <row r="317" spans="1:75" ht="12.75" customHeight="1">
      <c r="A317" s="22">
        <f t="shared" si="329"/>
        <v>2009</v>
      </c>
      <c r="B317" s="4">
        <f t="shared" si="330"/>
        <v>1</v>
      </c>
      <c r="C317" s="5">
        <f>'[2]FPC wSEB'!$E414</f>
        <v>884071</v>
      </c>
      <c r="D317" s="5">
        <f>'[2]FPC wSEB'!$Y414</f>
        <v>161720</v>
      </c>
      <c r="E317" s="74">
        <f t="shared" si="440"/>
        <v>5466.7</v>
      </c>
      <c r="F317" s="358">
        <v>80346</v>
      </c>
      <c r="G317" s="358">
        <v>107320</v>
      </c>
      <c r="H317" s="358">
        <v>12413</v>
      </c>
      <c r="I317" s="358">
        <v>5268</v>
      </c>
      <c r="J317" s="574">
        <f>[5]CC!$E197</f>
        <v>161925</v>
      </c>
      <c r="K317" s="4">
        <f>'[7]COM 55 &amp; 65'!$S402</f>
        <v>95.2</v>
      </c>
      <c r="L317" s="4">
        <f t="shared" si="216"/>
        <v>70.8</v>
      </c>
      <c r="M317" s="135">
        <f t="shared" ref="M317" si="466">(L317-K317)</f>
        <v>-24.400000000000006</v>
      </c>
      <c r="N317" s="4">
        <f>'[7]COM 55 &amp; 65'!$J402</f>
        <v>33.9</v>
      </c>
      <c r="O317" s="4">
        <f t="shared" si="209"/>
        <v>54.9</v>
      </c>
      <c r="P317" s="41">
        <f t="shared" si="441"/>
        <v>21</v>
      </c>
      <c r="Q317" s="474">
        <f t="shared" ref="Q317:Q322" si="467">M317*$F$10</f>
        <v>-19447.776000000005</v>
      </c>
      <c r="R317" s="472">
        <f t="shared" ref="R317:R322" si="468">P317*$F$9</f>
        <v>14528.870999999999</v>
      </c>
      <c r="S317" s="241">
        <f t="shared" si="460"/>
        <v>-4919</v>
      </c>
      <c r="T317" s="13" t="s">
        <v>18</v>
      </c>
      <c r="U317" s="143">
        <f t="shared" si="217"/>
        <v>2009</v>
      </c>
      <c r="V317" s="143">
        <f t="shared" si="218"/>
        <v>1</v>
      </c>
      <c r="W317" s="408">
        <f t="shared" si="442"/>
        <v>5436.2602028196879</v>
      </c>
      <c r="X317" s="409">
        <f t="shared" ref="X317" si="469">W317-W305</f>
        <v>-45.103725451813261</v>
      </c>
      <c r="Y317" s="410"/>
      <c r="Z317" s="411">
        <f t="shared" si="443"/>
        <v>879152</v>
      </c>
      <c r="AA317" s="412">
        <f t="shared" si="461"/>
        <v>-4919</v>
      </c>
      <c r="AB317" s="521">
        <f>[9]CMWh!$L197</f>
        <v>886350</v>
      </c>
      <c r="AC317" s="413">
        <f>RESID!AC317</f>
        <v>32.15</v>
      </c>
      <c r="AD317" s="414">
        <f t="shared" si="462"/>
        <v>836498.9</v>
      </c>
      <c r="AE317" s="414">
        <f t="shared" si="444"/>
        <v>-37182.599999999977</v>
      </c>
      <c r="AF317" s="143">
        <f t="shared" si="445"/>
        <v>-52226</v>
      </c>
      <c r="AG317" s="143">
        <f t="shared" si="446"/>
        <v>831845</v>
      </c>
      <c r="AH317" s="143">
        <f t="shared" ref="AH317" si="470">AG317-AG305</f>
        <v>-15974</v>
      </c>
      <c r="AI317" s="143"/>
      <c r="AJ317" s="415">
        <f t="shared" si="463"/>
        <v>791312</v>
      </c>
      <c r="AK317" s="415">
        <f t="shared" si="463"/>
        <v>49132</v>
      </c>
      <c r="AL317" s="416">
        <f t="shared" si="448"/>
        <v>16105.837336155662</v>
      </c>
      <c r="AM317" s="415">
        <f t="shared" si="464"/>
        <v>80346</v>
      </c>
      <c r="AN317" s="415">
        <f t="shared" si="464"/>
        <v>107320</v>
      </c>
      <c r="AO317" s="416">
        <f t="shared" si="450"/>
        <v>748.6582184122251</v>
      </c>
      <c r="AP317" s="415">
        <f t="shared" si="465"/>
        <v>12413</v>
      </c>
      <c r="AQ317" s="415">
        <f t="shared" si="465"/>
        <v>5268</v>
      </c>
      <c r="AR317" s="416">
        <f t="shared" si="452"/>
        <v>2356.3022019741838</v>
      </c>
      <c r="AX317" s="4">
        <f t="shared" si="331"/>
        <v>2009</v>
      </c>
      <c r="AY317" s="4">
        <f t="shared" si="332"/>
        <v>1</v>
      </c>
      <c r="AZ317" s="366">
        <f>'[8]COM 55 &amp; 65'!$S402</f>
        <v>54.1</v>
      </c>
      <c r="BA317" s="366">
        <f t="shared" si="221"/>
        <v>72.3</v>
      </c>
      <c r="BB317" s="367">
        <f t="shared" si="453"/>
        <v>18.199999999999996</v>
      </c>
      <c r="BC317" s="367"/>
      <c r="BD317" s="366">
        <f>'[8]COM 55 &amp; 65'!$J402</f>
        <v>78.5</v>
      </c>
      <c r="BE317" s="366">
        <f t="shared" si="222"/>
        <v>52.4</v>
      </c>
      <c r="BF317" s="368">
        <f t="shared" si="454"/>
        <v>-26.1</v>
      </c>
      <c r="BH317" s="244">
        <f t="shared" ref="BH317:BH322" si="471">BB317*$F$10</f>
        <v>14506.127999999995</v>
      </c>
      <c r="BI317" s="242">
        <f t="shared" ref="BI317:BI322" si="472">BF317*$F$9</f>
        <v>-18057.311100000003</v>
      </c>
      <c r="BJ317" s="242"/>
      <c r="BK317" s="241">
        <f t="shared" si="455"/>
        <v>-3551</v>
      </c>
      <c r="BL317" s="262"/>
      <c r="BM317" s="36" t="s">
        <v>18</v>
      </c>
      <c r="BN317" s="4">
        <f t="shared" si="223"/>
        <v>2009</v>
      </c>
      <c r="BO317" s="4">
        <f t="shared" si="224"/>
        <v>1</v>
      </c>
      <c r="BP317" s="108">
        <f>C317+[4]MWh!$AK151</f>
        <v>930401.34630758828</v>
      </c>
      <c r="BQ317" s="76">
        <f t="shared" si="456"/>
        <v>5753.1619237421983</v>
      </c>
      <c r="BR317" s="130">
        <f t="shared" si="457"/>
        <v>5731.204219067451</v>
      </c>
      <c r="BS317" s="108">
        <f t="shared" ref="BS317" si="473">BR317-BR305</f>
        <v>-60.309887915762374</v>
      </c>
      <c r="BT317" s="175">
        <f t="shared" si="458"/>
        <v>926850.34630758828</v>
      </c>
      <c r="BU317" s="108">
        <f t="shared" ref="BU317" si="474">BT317-BT305</f>
        <v>-11050.614233701257</v>
      </c>
      <c r="BV317" s="137">
        <f t="shared" si="459"/>
        <v>-3551</v>
      </c>
      <c r="BW317" s="529">
        <f>BT317/[9]CMWh!$L197</f>
        <v>1.0456934013737105</v>
      </c>
    </row>
    <row r="318" spans="1:75" ht="12.75" customHeight="1">
      <c r="A318" s="22">
        <f t="shared" si="329"/>
        <v>2009</v>
      </c>
      <c r="B318" s="4">
        <f t="shared" si="330"/>
        <v>2</v>
      </c>
      <c r="C318" s="5">
        <f>'[2]FPC wSEB'!$E415</f>
        <v>825540</v>
      </c>
      <c r="D318" s="5">
        <f>'[2]FPC wSEB'!$Y415</f>
        <v>162263</v>
      </c>
      <c r="E318" s="74">
        <f t="shared" ref="E318" si="475">ROUND((C318/D318)*1000,1)</f>
        <v>5087.7</v>
      </c>
      <c r="F318" s="358">
        <v>85715</v>
      </c>
      <c r="G318" s="358">
        <v>108694</v>
      </c>
      <c r="H318" s="358">
        <v>12410</v>
      </c>
      <c r="I318" s="358">
        <v>5242</v>
      </c>
      <c r="J318" s="574">
        <f>[5]CC!$E198</f>
        <v>161752</v>
      </c>
      <c r="K318" s="4">
        <f>'[7]COM 55 &amp; 65'!$S403</f>
        <v>44.1</v>
      </c>
      <c r="L318" s="4">
        <f t="shared" si="216"/>
        <v>62.7</v>
      </c>
      <c r="M318" s="135">
        <f t="shared" ref="M318" si="476">(L318-K318)</f>
        <v>18.600000000000001</v>
      </c>
      <c r="N318" s="4">
        <f>'[7]COM 55 &amp; 65'!$J403</f>
        <v>93.6</v>
      </c>
      <c r="O318" s="4">
        <f t="shared" si="209"/>
        <v>46.9</v>
      </c>
      <c r="P318" s="41">
        <f t="shared" si="441"/>
        <v>-46.699999999999996</v>
      </c>
      <c r="Q318" s="474">
        <f t="shared" si="467"/>
        <v>14824.944000000001</v>
      </c>
      <c r="R318" s="472">
        <f t="shared" si="468"/>
        <v>-32309.441699999996</v>
      </c>
      <c r="S318" s="241">
        <f t="shared" si="460"/>
        <v>-17484</v>
      </c>
      <c r="T318" s="13" t="s">
        <v>18</v>
      </c>
      <c r="U318" s="23">
        <f t="shared" si="217"/>
        <v>2009</v>
      </c>
      <c r="V318" s="23">
        <f t="shared" si="218"/>
        <v>2</v>
      </c>
      <c r="W318" s="336">
        <f t="shared" si="442"/>
        <v>4979.9153226551962</v>
      </c>
      <c r="X318" s="338">
        <f t="shared" ref="X318" si="477">W318-W306</f>
        <v>-341.91602915873409</v>
      </c>
      <c r="Y318" s="339"/>
      <c r="Z318" s="178">
        <f t="shared" si="443"/>
        <v>808056</v>
      </c>
      <c r="AA318" s="340">
        <f t="shared" si="461"/>
        <v>-17484</v>
      </c>
      <c r="AB318" s="518">
        <f>[9]CMWh!$L198</f>
        <v>813808</v>
      </c>
      <c r="AC318" s="341">
        <f>RESID!AC318</f>
        <v>29.55</v>
      </c>
      <c r="AD318" s="342">
        <f t="shared" si="462"/>
        <v>849845.2</v>
      </c>
      <c r="AE318" s="342">
        <f t="shared" si="444"/>
        <v>-46598.900000000023</v>
      </c>
      <c r="AF318" s="23">
        <f t="shared" si="445"/>
        <v>6306</v>
      </c>
      <c r="AG318" s="23">
        <f t="shared" si="446"/>
        <v>831846</v>
      </c>
      <c r="AH318" s="23">
        <f t="shared" ref="AH318" si="478">AG318-AG306</f>
        <v>-61389</v>
      </c>
      <c r="AI318" s="23"/>
      <c r="AJ318" s="352">
        <f t="shared" si="463"/>
        <v>727415</v>
      </c>
      <c r="AK318" s="352">
        <f t="shared" si="463"/>
        <v>48327</v>
      </c>
      <c r="AL318" s="353">
        <f t="shared" si="448"/>
        <v>15051.937840130777</v>
      </c>
      <c r="AM318" s="352">
        <f t="shared" si="464"/>
        <v>85715</v>
      </c>
      <c r="AN318" s="352">
        <f t="shared" si="464"/>
        <v>108694</v>
      </c>
      <c r="AO318" s="353">
        <f t="shared" si="450"/>
        <v>788.58998656779579</v>
      </c>
      <c r="AP318" s="352">
        <f t="shared" si="465"/>
        <v>12410</v>
      </c>
      <c r="AQ318" s="352">
        <f t="shared" si="465"/>
        <v>5242</v>
      </c>
      <c r="AR318" s="353">
        <f t="shared" si="452"/>
        <v>2367.4170164059519</v>
      </c>
      <c r="AX318" s="4">
        <f t="shared" si="331"/>
        <v>2009</v>
      </c>
      <c r="AY318" s="4">
        <f t="shared" si="332"/>
        <v>2</v>
      </c>
      <c r="AZ318" s="366">
        <f>'[8]COM 55 &amp; 65'!$S403</f>
        <v>49.7</v>
      </c>
      <c r="BA318" s="366">
        <f t="shared" si="221"/>
        <v>82.6</v>
      </c>
      <c r="BB318" s="367">
        <f t="shared" si="453"/>
        <v>32.899999999999991</v>
      </c>
      <c r="BC318" s="367"/>
      <c r="BD318" s="366">
        <f>'[8]COM 55 &amp; 65'!$J403</f>
        <v>64.599999999999994</v>
      </c>
      <c r="BE318" s="366">
        <f t="shared" si="222"/>
        <v>36.5</v>
      </c>
      <c r="BF318" s="368">
        <f t="shared" si="454"/>
        <v>-28.099999999999994</v>
      </c>
      <c r="BH318" s="244">
        <f t="shared" si="471"/>
        <v>26222.615999999991</v>
      </c>
      <c r="BI318" s="242">
        <f t="shared" si="472"/>
        <v>-19441.013099999996</v>
      </c>
      <c r="BJ318" s="242"/>
      <c r="BK318" s="241">
        <f t="shared" si="455"/>
        <v>6782</v>
      </c>
      <c r="BL318" s="262"/>
      <c r="BM318" s="36" t="s">
        <v>18</v>
      </c>
      <c r="BN318" s="4">
        <f t="shared" si="223"/>
        <v>2009</v>
      </c>
      <c r="BO318" s="4">
        <f t="shared" si="224"/>
        <v>2</v>
      </c>
      <c r="BP318" s="108">
        <f>C318+[4]MWh!$AK152</f>
        <v>685501.36892185104</v>
      </c>
      <c r="BQ318" s="76">
        <f t="shared" si="456"/>
        <v>4224.6314250436089</v>
      </c>
      <c r="BR318" s="130">
        <f t="shared" si="457"/>
        <v>4266.4277680176692</v>
      </c>
      <c r="BS318" s="108">
        <f t="shared" ref="BS318" si="479">BR318-BR306</f>
        <v>-843.25145898884693</v>
      </c>
      <c r="BT318" s="175">
        <f t="shared" si="458"/>
        <v>692283.36892185104</v>
      </c>
      <c r="BU318" s="108">
        <f t="shared" ref="BU318" si="480">BT318-BT306</f>
        <v>-143634.60422028007</v>
      </c>
      <c r="BV318" s="137">
        <f t="shared" si="459"/>
        <v>6782</v>
      </c>
      <c r="BW318" s="529">
        <f>BT318/[9]CMWh!$L198</f>
        <v>0.85067161900823174</v>
      </c>
    </row>
    <row r="319" spans="1:75" ht="12.75" customHeight="1">
      <c r="A319" s="22">
        <f t="shared" si="329"/>
        <v>2009</v>
      </c>
      <c r="B319" s="4">
        <f t="shared" si="330"/>
        <v>3</v>
      </c>
      <c r="C319" s="5">
        <f>'[2]FPC wSEB'!$E416</f>
        <v>844403</v>
      </c>
      <c r="D319" s="5">
        <f>'[2]FPC wSEB'!$Y416</f>
        <v>160340</v>
      </c>
      <c r="E319" s="74">
        <f t="shared" ref="E319" si="481">ROUND((C319/D319)*1000,1)</f>
        <v>5266.3</v>
      </c>
      <c r="F319" s="358">
        <v>81019</v>
      </c>
      <c r="G319" s="358">
        <v>106640</v>
      </c>
      <c r="H319" s="358">
        <v>12397</v>
      </c>
      <c r="I319" s="358">
        <v>5245</v>
      </c>
      <c r="J319" s="574">
        <f>[5]CC!$E199</f>
        <v>161596</v>
      </c>
      <c r="K319" s="4">
        <f>'[7]COM 55 &amp; 65'!$S404</f>
        <v>80.7</v>
      </c>
      <c r="L319" s="4">
        <f t="shared" si="216"/>
        <v>105.4</v>
      </c>
      <c r="M319" s="135">
        <f t="shared" ref="M319" si="482">(L319-K319)</f>
        <v>24.700000000000003</v>
      </c>
      <c r="N319" s="4">
        <f>'[7]COM 55 &amp; 65'!$J404</f>
        <v>45.5</v>
      </c>
      <c r="O319" s="4">
        <f t="shared" si="209"/>
        <v>26.8</v>
      </c>
      <c r="P319" s="41">
        <f t="shared" ref="P319" si="483">(O319-N319)</f>
        <v>-18.7</v>
      </c>
      <c r="Q319" s="474">
        <f t="shared" si="467"/>
        <v>19686.888000000003</v>
      </c>
      <c r="R319" s="472">
        <f t="shared" si="468"/>
        <v>-12937.6137</v>
      </c>
      <c r="S319" s="241">
        <f t="shared" si="460"/>
        <v>6749</v>
      </c>
      <c r="T319" s="13" t="s">
        <v>18</v>
      </c>
      <c r="U319" s="23">
        <f t="shared" si="217"/>
        <v>2009</v>
      </c>
      <c r="V319" s="23">
        <f t="shared" si="218"/>
        <v>3</v>
      </c>
      <c r="W319" s="336">
        <f t="shared" ref="W319" si="484">Z319/D319*1000</f>
        <v>5308.419608332294</v>
      </c>
      <c r="X319" s="338">
        <f t="shared" ref="X319" si="485">W319-W307</f>
        <v>-154.15741686684396</v>
      </c>
      <c r="Y319" s="339"/>
      <c r="Z319" s="178">
        <f t="shared" ref="Z319" si="486">S319+C319</f>
        <v>851152</v>
      </c>
      <c r="AA319" s="340">
        <f t="shared" si="461"/>
        <v>6749</v>
      </c>
      <c r="AB319" s="518">
        <f>[9]CMWh!$L199</f>
        <v>852075</v>
      </c>
      <c r="AC319" s="341">
        <f>RESID!AC319</f>
        <v>29.45</v>
      </c>
      <c r="AD319" s="342">
        <f t="shared" si="462"/>
        <v>872215.3</v>
      </c>
      <c r="AE319" s="342">
        <f t="shared" ref="AE319" si="487">AD319-AD307</f>
        <v>-23893.199999999953</v>
      </c>
      <c r="AF319" s="23">
        <f t="shared" ref="AF319" si="488">AG319-C319</f>
        <v>34784</v>
      </c>
      <c r="AG319" s="23">
        <f t="shared" ref="AG319" si="489">ROUND(Z319/(AC319/30.42),0)</f>
        <v>879187</v>
      </c>
      <c r="AH319" s="23">
        <f t="shared" ref="AH319" si="490">AG319-AG307</f>
        <v>-17286</v>
      </c>
      <c r="AI319" s="23"/>
      <c r="AJ319" s="352">
        <f t="shared" ref="AJ319" si="491">C319-AM319-AP319</f>
        <v>750987</v>
      </c>
      <c r="AK319" s="352">
        <f t="shared" ref="AK319" si="492">D319-AN319-AQ319</f>
        <v>48455</v>
      </c>
      <c r="AL319" s="353">
        <f t="shared" ref="AL319" si="493">AJ319/AK319*1000</f>
        <v>15498.648230316789</v>
      </c>
      <c r="AM319" s="352">
        <f t="shared" ref="AM319" si="494">F319</f>
        <v>81019</v>
      </c>
      <c r="AN319" s="352">
        <f t="shared" ref="AN319" si="495">G319</f>
        <v>106640</v>
      </c>
      <c r="AO319" s="353">
        <f t="shared" ref="AO319" si="496">AM319/AN319*1000</f>
        <v>759.74306076519122</v>
      </c>
      <c r="AP319" s="352">
        <f t="shared" ref="AP319" si="497">H319</f>
        <v>12397</v>
      </c>
      <c r="AQ319" s="352">
        <f t="shared" ref="AQ319" si="498">I319</f>
        <v>5245</v>
      </c>
      <c r="AR319" s="353">
        <f t="shared" ref="AR319" si="499">AP319/AQ319*1000</f>
        <v>2363.5843660629171</v>
      </c>
      <c r="AX319" s="4">
        <f t="shared" si="331"/>
        <v>2009</v>
      </c>
      <c r="AY319" s="4">
        <f t="shared" si="332"/>
        <v>3</v>
      </c>
      <c r="AZ319" s="366">
        <f>'[8]COM 55 &amp; 65'!$S404</f>
        <v>161.80000000000001</v>
      </c>
      <c r="BA319" s="366">
        <f t="shared" si="221"/>
        <v>140.4</v>
      </c>
      <c r="BB319" s="367">
        <f t="shared" ref="BB319" si="500">(BA319-AZ319)</f>
        <v>-21.400000000000006</v>
      </c>
      <c r="BC319" s="367"/>
      <c r="BD319" s="366">
        <f>'[8]COM 55 &amp; 65'!$J404</f>
        <v>19.8</v>
      </c>
      <c r="BE319" s="366">
        <f t="shared" si="222"/>
        <v>15.1</v>
      </c>
      <c r="BF319" s="368">
        <f t="shared" ref="BF319" si="501">(BE319-BD319)</f>
        <v>-4.7000000000000011</v>
      </c>
      <c r="BH319" s="244">
        <f t="shared" si="471"/>
        <v>-17056.656000000003</v>
      </c>
      <c r="BI319" s="242">
        <f t="shared" si="472"/>
        <v>-3251.6997000000006</v>
      </c>
      <c r="BJ319" s="242"/>
      <c r="BK319" s="241">
        <f t="shared" ref="BK319" si="502">ROUND(SUM(BH319,BI319),0)</f>
        <v>-20308</v>
      </c>
      <c r="BL319" s="262"/>
      <c r="BM319" s="36" t="s">
        <v>18</v>
      </c>
      <c r="BN319" s="4">
        <f t="shared" si="223"/>
        <v>2009</v>
      </c>
      <c r="BO319" s="4">
        <f t="shared" si="224"/>
        <v>3</v>
      </c>
      <c r="BP319" s="108">
        <f>C319+[4]MWh!$AK153</f>
        <v>936363.72809195938</v>
      </c>
      <c r="BQ319" s="76">
        <f t="shared" ref="BQ319" si="503">BP319/D319*1000</f>
        <v>5839.8635904450502</v>
      </c>
      <c r="BR319" s="130">
        <f t="shared" ref="BR319" si="504">BT319/D319*1000</f>
        <v>5713.2077341396989</v>
      </c>
      <c r="BS319" s="108">
        <f t="shared" ref="BS319" si="505">BR319-BR307</f>
        <v>60.944368930823657</v>
      </c>
      <c r="BT319" s="175">
        <f t="shared" ref="BT319" si="506">BK319+BP319</f>
        <v>916055.72809195938</v>
      </c>
      <c r="BU319" s="108">
        <f t="shared" ref="BU319" si="507">BT319-BT307</f>
        <v>13457.095828484511</v>
      </c>
      <c r="BV319" s="137">
        <f t="shared" ref="BV319" si="508">BT319-BP319</f>
        <v>-20308</v>
      </c>
      <c r="BW319" s="529">
        <f>BT319/[9]CMWh!$L199</f>
        <v>1.0750881414100395</v>
      </c>
    </row>
    <row r="320" spans="1:75" ht="12.75" customHeight="1">
      <c r="A320" s="22">
        <f t="shared" si="329"/>
        <v>2009</v>
      </c>
      <c r="B320" s="4">
        <f t="shared" si="330"/>
        <v>4</v>
      </c>
      <c r="C320" s="5">
        <f>'[2]FPC wSEB'!$E417</f>
        <v>921919</v>
      </c>
      <c r="D320" s="5">
        <f>'[2]FPC wSEB'!$Y417</f>
        <v>161346</v>
      </c>
      <c r="E320" s="74">
        <f t="shared" ref="E320" si="509">ROUND((C320/D320)*1000,1)</f>
        <v>5713.9</v>
      </c>
      <c r="F320" s="358">
        <v>85465</v>
      </c>
      <c r="G320" s="358">
        <v>106967</v>
      </c>
      <c r="H320" s="358">
        <v>12396</v>
      </c>
      <c r="I320" s="358">
        <v>5240</v>
      </c>
      <c r="J320" s="574">
        <f>[5]CC!$E200</f>
        <v>161234</v>
      </c>
      <c r="K320" s="4">
        <f>'[7]COM 55 &amp; 65'!$S405</f>
        <v>195.6</v>
      </c>
      <c r="L320" s="4">
        <f t="shared" si="216"/>
        <v>178.4</v>
      </c>
      <c r="M320" s="135">
        <f t="shared" ref="M320" si="510">(L320-K320)</f>
        <v>-17.199999999999989</v>
      </c>
      <c r="N320" s="4">
        <f>'[7]COM 55 &amp; 65'!$J405</f>
        <v>6.3</v>
      </c>
      <c r="O320" s="4">
        <f t="shared" si="209"/>
        <v>9.5</v>
      </c>
      <c r="P320" s="41">
        <f t="shared" ref="P320" si="511">(O320-N320)</f>
        <v>3.2</v>
      </c>
      <c r="Q320" s="474">
        <f t="shared" si="467"/>
        <v>-13709.087999999991</v>
      </c>
      <c r="R320" s="472">
        <f t="shared" si="468"/>
        <v>2213.9232000000002</v>
      </c>
      <c r="S320" s="241">
        <f t="shared" ref="S320" si="512">ROUND(SUM(Q320,R320),0)</f>
        <v>-11495</v>
      </c>
      <c r="T320" s="13" t="s">
        <v>18</v>
      </c>
      <c r="U320" s="23">
        <f t="shared" si="217"/>
        <v>2009</v>
      </c>
      <c r="V320" s="23">
        <f t="shared" si="218"/>
        <v>4</v>
      </c>
      <c r="W320" s="336">
        <f t="shared" ref="W320" si="513">Z320/D320*1000</f>
        <v>5642.6809465372553</v>
      </c>
      <c r="X320" s="338">
        <f t="shared" ref="X320" si="514">W320-W308</f>
        <v>-93.236871733503904</v>
      </c>
      <c r="Y320" s="339"/>
      <c r="Z320" s="178">
        <f t="shared" ref="Z320" si="515">S320+C320</f>
        <v>910424</v>
      </c>
      <c r="AA320" s="340">
        <f t="shared" ref="AA320" si="516">Z320-C320</f>
        <v>-11495</v>
      </c>
      <c r="AB320" s="518">
        <f>[9]CMWh!$L200</f>
        <v>900564</v>
      </c>
      <c r="AC320" s="341">
        <f>RESID!AC320</f>
        <v>28.65</v>
      </c>
      <c r="AD320" s="342">
        <f t="shared" ref="AD320" si="517">ROUND(C320/(AC320/30.42),1)</f>
        <v>978875.3</v>
      </c>
      <c r="AE320" s="342">
        <f t="shared" ref="AE320" si="518">AD320-AD308</f>
        <v>52716.5</v>
      </c>
      <c r="AF320" s="23">
        <f t="shared" ref="AF320" si="519">AG320-C320</f>
        <v>44751</v>
      </c>
      <c r="AG320" s="23">
        <f t="shared" ref="AG320" si="520">ROUND(Z320/(AC320/30.42),0)</f>
        <v>966670</v>
      </c>
      <c r="AH320" s="23">
        <f t="shared" ref="AH320" si="521">AG320-AG308</f>
        <v>34136</v>
      </c>
      <c r="AI320" s="23"/>
      <c r="AJ320" s="352">
        <f t="shared" ref="AJ320" si="522">C320-AM320-AP320</f>
        <v>824058</v>
      </c>
      <c r="AK320" s="352">
        <f t="shared" ref="AK320" si="523">D320-AN320-AQ320</f>
        <v>49139</v>
      </c>
      <c r="AL320" s="353">
        <f t="shared" ref="AL320" si="524">AJ320/AK320*1000</f>
        <v>16769.938338183521</v>
      </c>
      <c r="AM320" s="352">
        <f t="shared" ref="AM320" si="525">F320</f>
        <v>85465</v>
      </c>
      <c r="AN320" s="352">
        <f t="shared" ref="AN320" si="526">G320</f>
        <v>106967</v>
      </c>
      <c r="AO320" s="353">
        <f t="shared" ref="AO320" si="527">AM320/AN320*1000</f>
        <v>798.98473360943092</v>
      </c>
      <c r="AP320" s="352">
        <f t="shared" ref="AP320" si="528">H320</f>
        <v>12396</v>
      </c>
      <c r="AQ320" s="352">
        <f t="shared" ref="AQ320" si="529">I320</f>
        <v>5240</v>
      </c>
      <c r="AR320" s="353">
        <f t="shared" ref="AR320" si="530">AP320/AQ320*1000</f>
        <v>2365.6488549618321</v>
      </c>
      <c r="AX320" s="4">
        <f t="shared" si="331"/>
        <v>2009</v>
      </c>
      <c r="AY320" s="4">
        <f t="shared" si="332"/>
        <v>4</v>
      </c>
      <c r="AZ320" s="366">
        <f>'[8]COM 55 &amp; 65'!$S405</f>
        <v>236.6</v>
      </c>
      <c r="BA320" s="366">
        <f t="shared" si="221"/>
        <v>227.4</v>
      </c>
      <c r="BB320" s="367">
        <f t="shared" ref="BB320" si="531">(BA320-AZ320)</f>
        <v>-9.1999999999999886</v>
      </c>
      <c r="BC320" s="367"/>
      <c r="BD320" s="366">
        <f>'[8]COM 55 &amp; 65'!$J405</f>
        <v>4</v>
      </c>
      <c r="BE320" s="366">
        <f t="shared" si="222"/>
        <v>4.8</v>
      </c>
      <c r="BF320" s="368">
        <f t="shared" ref="BF320" si="532">(BE320-BD320)</f>
        <v>0.79999999999999982</v>
      </c>
      <c r="BH320" s="244">
        <f t="shared" si="471"/>
        <v>-7332.7679999999909</v>
      </c>
      <c r="BI320" s="242">
        <f t="shared" si="472"/>
        <v>553.48079999999993</v>
      </c>
      <c r="BJ320" s="242"/>
      <c r="BK320" s="241">
        <f t="shared" ref="BK320" si="533">ROUND(SUM(BH320,BI320),0)</f>
        <v>-6779</v>
      </c>
      <c r="BL320" s="262"/>
      <c r="BM320" s="36" t="s">
        <v>18</v>
      </c>
      <c r="BN320" s="4">
        <f t="shared" si="223"/>
        <v>2009</v>
      </c>
      <c r="BO320" s="4">
        <f t="shared" si="224"/>
        <v>4</v>
      </c>
      <c r="BP320" s="108">
        <f>C320+[4]MWh!$AK154</f>
        <v>977869.2135545169</v>
      </c>
      <c r="BQ320" s="76">
        <f t="shared" ref="BQ320" si="534">BP320/D320*1000</f>
        <v>6060.6969714434626</v>
      </c>
      <c r="BR320" s="130">
        <f t="shared" ref="BR320" si="535">BT320/D320*1000</f>
        <v>6018.681675123752</v>
      </c>
      <c r="BS320" s="108">
        <f t="shared" ref="BS320" si="536">BR320-BR308</f>
        <v>20.062092350141938</v>
      </c>
      <c r="BT320" s="175">
        <f t="shared" ref="BT320" si="537">BK320+BP320</f>
        <v>971090.2135545169</v>
      </c>
      <c r="BU320" s="108">
        <f t="shared" ref="BU320" si="538">BT320-BT308</f>
        <v>-9924.0330122793093</v>
      </c>
      <c r="BV320" s="137">
        <f t="shared" ref="BV320" si="539">BT320-BP320</f>
        <v>-6779</v>
      </c>
      <c r="BW320" s="529">
        <f>BT320/[9]CMWh!$L200</f>
        <v>1.0783133831182647</v>
      </c>
    </row>
    <row r="321" spans="1:111" ht="12.75" customHeight="1">
      <c r="A321" s="22">
        <f t="shared" si="329"/>
        <v>2009</v>
      </c>
      <c r="B321" s="4">
        <f t="shared" si="330"/>
        <v>5</v>
      </c>
      <c r="C321" s="5">
        <f>'[2]FPC wSEB'!$E418</f>
        <v>970271</v>
      </c>
      <c r="D321" s="5">
        <f>'[2]FPC wSEB'!$Y418</f>
        <v>159537</v>
      </c>
      <c r="E321" s="74">
        <f t="shared" ref="E321" si="540">ROUND((C321/D321)*1000,1)</f>
        <v>6081.8</v>
      </c>
      <c r="F321" s="358">
        <v>92150</v>
      </c>
      <c r="G321" s="358">
        <v>105941</v>
      </c>
      <c r="H321" s="358">
        <v>12350</v>
      </c>
      <c r="I321" s="358">
        <v>5267</v>
      </c>
      <c r="J321" s="574">
        <f>[5]CC!$E201</f>
        <v>161219</v>
      </c>
      <c r="K321" s="4">
        <f>'[7]COM 55 &amp; 65'!$S406</f>
        <v>304.89999999999998</v>
      </c>
      <c r="L321" s="4">
        <f t="shared" si="216"/>
        <v>273.89999999999998</v>
      </c>
      <c r="M321" s="135">
        <f t="shared" ref="M321" si="541">(L321-K321)</f>
        <v>-31</v>
      </c>
      <c r="N321" s="4">
        <f>'[7]COM 55 &amp; 65'!$J406</f>
        <v>1.7</v>
      </c>
      <c r="O321" s="4">
        <f t="shared" si="209"/>
        <v>2</v>
      </c>
      <c r="P321" s="41">
        <f t="shared" ref="P321" si="542">(O321-N321)</f>
        <v>0.30000000000000004</v>
      </c>
      <c r="Q321" s="474">
        <f t="shared" si="467"/>
        <v>-24708.239999999998</v>
      </c>
      <c r="R321" s="472">
        <f t="shared" si="468"/>
        <v>207.55530000000002</v>
      </c>
      <c r="S321" s="241">
        <f t="shared" ref="S321" si="543">ROUND(SUM(Q321,R321),0)</f>
        <v>-24501</v>
      </c>
      <c r="T321" s="13" t="s">
        <v>18</v>
      </c>
      <c r="U321" s="23">
        <f t="shared" si="217"/>
        <v>2009</v>
      </c>
      <c r="V321" s="23">
        <f t="shared" si="218"/>
        <v>5</v>
      </c>
      <c r="W321" s="336">
        <f t="shared" ref="W321" si="544">Z321/D321*1000</f>
        <v>5928.2172787503841</v>
      </c>
      <c r="X321" s="338">
        <f t="shared" ref="X321" si="545">W321-W309</f>
        <v>-111.95095874692925</v>
      </c>
      <c r="Y321" s="339"/>
      <c r="Z321" s="178">
        <f t="shared" ref="Z321" si="546">S321+C321</f>
        <v>945770</v>
      </c>
      <c r="AA321" s="340">
        <f t="shared" ref="AA321" si="547">Z321-C321</f>
        <v>-24501</v>
      </c>
      <c r="AB321" s="518">
        <f>[9]CMWh!$L201</f>
        <v>945668</v>
      </c>
      <c r="AC321" s="341">
        <f>RESID!AC321</f>
        <v>30.15</v>
      </c>
      <c r="AD321" s="342">
        <f t="shared" ref="AD321" si="548">ROUND(C321/(AC321/30.42),1)</f>
        <v>978960</v>
      </c>
      <c r="AE321" s="342">
        <f t="shared" ref="AE321" si="549">AD321-AD309</f>
        <v>-29473.900000000023</v>
      </c>
      <c r="AF321" s="23">
        <f t="shared" ref="AF321" si="550">AG321-C321</f>
        <v>-16031</v>
      </c>
      <c r="AG321" s="23">
        <f t="shared" ref="AG321" si="551">ROUND(Z321/(AC321/30.42),0)</f>
        <v>954240</v>
      </c>
      <c r="AH321" s="23">
        <f t="shared" ref="AH321" si="552">AG321-AG309</f>
        <v>-65355</v>
      </c>
      <c r="AI321" s="23"/>
      <c r="AJ321" s="352">
        <f t="shared" ref="AJ321" si="553">C321-AM321-AP321</f>
        <v>865771</v>
      </c>
      <c r="AK321" s="352">
        <f t="shared" ref="AK321" si="554">D321-AN321-AQ321</f>
        <v>48329</v>
      </c>
      <c r="AL321" s="353">
        <f t="shared" ref="AL321" si="555">AJ321/AK321*1000</f>
        <v>17914.109540855388</v>
      </c>
      <c r="AM321" s="352">
        <f t="shared" ref="AM321" si="556">F321</f>
        <v>92150</v>
      </c>
      <c r="AN321" s="352">
        <f t="shared" ref="AN321" si="557">G321</f>
        <v>105941</v>
      </c>
      <c r="AO321" s="353">
        <f t="shared" ref="AO321" si="558">AM321/AN321*1000</f>
        <v>869.82376983415304</v>
      </c>
      <c r="AP321" s="352">
        <f t="shared" ref="AP321" si="559">H321</f>
        <v>12350</v>
      </c>
      <c r="AQ321" s="352">
        <f t="shared" ref="AQ321" si="560">I321</f>
        <v>5267</v>
      </c>
      <c r="AR321" s="353">
        <f t="shared" ref="AR321" si="561">AP321/AQ321*1000</f>
        <v>2344.7883045376875</v>
      </c>
      <c r="AX321" s="4">
        <f t="shared" si="331"/>
        <v>2009</v>
      </c>
      <c r="AY321" s="4">
        <f t="shared" si="332"/>
        <v>5</v>
      </c>
      <c r="AZ321" s="366">
        <f>'[8]COM 55 &amp; 65'!$S406</f>
        <v>402.6</v>
      </c>
      <c r="BA321" s="366">
        <f t="shared" si="221"/>
        <v>395.2</v>
      </c>
      <c r="BB321" s="367">
        <f t="shared" ref="BB321" si="562">(BA321-AZ321)</f>
        <v>-7.4000000000000341</v>
      </c>
      <c r="BC321" s="367"/>
      <c r="BD321" s="366">
        <f>'[8]COM 55 &amp; 65'!$J406</f>
        <v>0</v>
      </c>
      <c r="BE321" s="366">
        <f t="shared" si="222"/>
        <v>0.2</v>
      </c>
      <c r="BF321" s="368">
        <f t="shared" ref="BF321" si="563">(BE321-BD321)</f>
        <v>0.2</v>
      </c>
      <c r="BH321" s="244">
        <f t="shared" si="471"/>
        <v>-5898.0960000000268</v>
      </c>
      <c r="BI321" s="242">
        <f t="shared" si="472"/>
        <v>138.37020000000001</v>
      </c>
      <c r="BJ321" s="242"/>
      <c r="BK321" s="241">
        <f t="shared" ref="BK321" si="564">ROUND(SUM(BH321,BI321),0)</f>
        <v>-5760</v>
      </c>
      <c r="BL321" s="262"/>
      <c r="BM321" s="36" t="s">
        <v>18</v>
      </c>
      <c r="BN321" s="4">
        <f t="shared" si="223"/>
        <v>2009</v>
      </c>
      <c r="BO321" s="4">
        <f t="shared" si="224"/>
        <v>5</v>
      </c>
      <c r="BP321" s="108">
        <f>C321+[4]MWh!$AK155</f>
        <v>1064224.7279731573</v>
      </c>
      <c r="BQ321" s="76">
        <f t="shared" ref="BQ321" si="565">BP321/D321*1000</f>
        <v>6670.7079108492535</v>
      </c>
      <c r="BR321" s="130">
        <f t="shared" ref="BR321" si="566">BT321/D321*1000</f>
        <v>6634.6034335179756</v>
      </c>
      <c r="BS321" s="108">
        <f t="shared" ref="BS321" si="567">BR321-BR309</f>
        <v>-70.535812051768517</v>
      </c>
      <c r="BT321" s="175">
        <f t="shared" ref="BT321" si="568">BK321+BP321</f>
        <v>1058464.7279731573</v>
      </c>
      <c r="BU321" s="108">
        <f t="shared" ref="BU321" si="569">BT321-BT309</f>
        <v>-33567.77525655902</v>
      </c>
      <c r="BV321" s="137">
        <f t="shared" ref="BV321" si="570">BT321-BP321</f>
        <v>-5760</v>
      </c>
      <c r="BW321" s="529">
        <f>BT321/[9]CMWh!$L201</f>
        <v>1.1192773023652669</v>
      </c>
    </row>
    <row r="322" spans="1:111" ht="12.75" customHeight="1">
      <c r="A322" s="22">
        <f t="shared" si="329"/>
        <v>2009</v>
      </c>
      <c r="B322" s="4">
        <f t="shared" si="330"/>
        <v>6</v>
      </c>
      <c r="C322" s="5">
        <f>'[2]FPC wSEB'!$E419</f>
        <v>1056018</v>
      </c>
      <c r="D322" s="5">
        <f>'[2]FPC wSEB'!$Y419</f>
        <v>162803</v>
      </c>
      <c r="E322" s="74">
        <f t="shared" ref="E322" si="571">ROUND((C322/D322)*1000,1)</f>
        <v>6486.5</v>
      </c>
      <c r="F322" s="358">
        <v>102826</v>
      </c>
      <c r="G322" s="358">
        <v>109174</v>
      </c>
      <c r="H322" s="358">
        <v>12502</v>
      </c>
      <c r="I322" s="358">
        <v>5248</v>
      </c>
      <c r="J322" s="574">
        <f>[5]CC!$E202</f>
        <v>161244</v>
      </c>
      <c r="K322" s="4">
        <f>'[7]COM 55 &amp; 65'!$S407</f>
        <v>426.5</v>
      </c>
      <c r="L322" s="4">
        <f t="shared" si="216"/>
        <v>442.7</v>
      </c>
      <c r="M322" s="135">
        <f t="shared" ref="M322" si="572">(L322-K322)</f>
        <v>16.199999999999989</v>
      </c>
      <c r="N322" s="4">
        <f>'[7]COM 55 &amp; 65'!$J407</f>
        <v>0</v>
      </c>
      <c r="O322" s="4">
        <f t="shared" si="209"/>
        <v>0.1</v>
      </c>
      <c r="P322" s="41">
        <f t="shared" ref="P322" si="573">(O322-N322)</f>
        <v>0.1</v>
      </c>
      <c r="Q322" s="474">
        <f t="shared" si="467"/>
        <v>12912.04799999999</v>
      </c>
      <c r="R322" s="472">
        <f t="shared" si="468"/>
        <v>69.185100000000006</v>
      </c>
      <c r="S322" s="241">
        <f t="shared" ref="S322" si="574">ROUND(SUM(Q322,R322),0)</f>
        <v>12981</v>
      </c>
      <c r="T322" s="13" t="s">
        <v>18</v>
      </c>
      <c r="U322" s="23">
        <f t="shared" si="217"/>
        <v>2009</v>
      </c>
      <c r="V322" s="23">
        <f t="shared" si="218"/>
        <v>6</v>
      </c>
      <c r="W322" s="336">
        <f t="shared" ref="W322" si="575">Z322/D322*1000</f>
        <v>6566.2119248416793</v>
      </c>
      <c r="X322" s="338">
        <f t="shared" ref="X322" si="576">W322-W310</f>
        <v>-411.07390124685935</v>
      </c>
      <c r="Y322" s="339"/>
      <c r="Z322" s="178">
        <f t="shared" ref="Z322" si="577">S322+C322</f>
        <v>1068999</v>
      </c>
      <c r="AA322" s="340">
        <f t="shared" ref="AA322" si="578">Z322-C322</f>
        <v>12981</v>
      </c>
      <c r="AB322" s="518">
        <f>[9]CMWh!$L202</f>
        <v>1071880</v>
      </c>
      <c r="AC322" s="341">
        <f>RESID!AC322</f>
        <v>30.75</v>
      </c>
      <c r="AD322" s="342">
        <f t="shared" ref="AD322" si="579">ROUND(C322/(AC322/30.42),1)</f>
        <v>1044685.1</v>
      </c>
      <c r="AE322" s="342">
        <f t="shared" ref="AE322" si="580">AD322-AD310</f>
        <v>-103291.70000000007</v>
      </c>
      <c r="AF322" s="23">
        <f t="shared" ref="AF322" si="581">AG322-C322</f>
        <v>1509</v>
      </c>
      <c r="AG322" s="23">
        <f t="shared" ref="AG322" si="582">ROUND(Z322/(AC322/30.42),0)</f>
        <v>1057527</v>
      </c>
      <c r="AH322" s="23">
        <f t="shared" ref="AH322" si="583">AG322-AG310</f>
        <v>-76516</v>
      </c>
      <c r="AI322" s="23"/>
      <c r="AJ322" s="352">
        <f t="shared" ref="AJ322" si="584">C322-AM322-AP322</f>
        <v>940690</v>
      </c>
      <c r="AK322" s="352">
        <f t="shared" ref="AK322" si="585">D322-AN322-AQ322</f>
        <v>48381</v>
      </c>
      <c r="AL322" s="353">
        <f t="shared" ref="AL322" si="586">AJ322/AK322*1000</f>
        <v>19443.376532109713</v>
      </c>
      <c r="AM322" s="352">
        <f t="shared" ref="AM322" si="587">F322</f>
        <v>102826</v>
      </c>
      <c r="AN322" s="352">
        <f t="shared" ref="AN322" si="588">G322</f>
        <v>109174</v>
      </c>
      <c r="AO322" s="353">
        <f t="shared" ref="AO322" si="589">AM322/AN322*1000</f>
        <v>941.8542876509058</v>
      </c>
      <c r="AP322" s="352">
        <f t="shared" ref="AP322" si="590">H322</f>
        <v>12502</v>
      </c>
      <c r="AQ322" s="352">
        <f t="shared" ref="AQ322" si="591">I322</f>
        <v>5248</v>
      </c>
      <c r="AR322" s="353">
        <f t="shared" ref="AR322" si="592">AP322/AQ322*1000</f>
        <v>2382.2408536585367</v>
      </c>
      <c r="AX322" s="4">
        <f t="shared" si="331"/>
        <v>2009</v>
      </c>
      <c r="AY322" s="4">
        <f t="shared" si="332"/>
        <v>6</v>
      </c>
      <c r="AZ322" s="366">
        <f>'[8]COM 55 &amp; 65'!$S407</f>
        <v>521.6</v>
      </c>
      <c r="BA322" s="366">
        <f t="shared" si="221"/>
        <v>485.1</v>
      </c>
      <c r="BB322" s="367">
        <f t="shared" ref="BB322" si="593">(BA322-AZ322)</f>
        <v>-36.5</v>
      </c>
      <c r="BC322" s="367"/>
      <c r="BD322" s="366">
        <f>'[8]COM 55 &amp; 65'!$J407</f>
        <v>0</v>
      </c>
      <c r="BE322" s="366">
        <f t="shared" si="222"/>
        <v>0</v>
      </c>
      <c r="BF322" s="368">
        <f t="shared" ref="BF322" si="594">(BE322-BD322)</f>
        <v>0</v>
      </c>
      <c r="BH322" s="244">
        <f t="shared" si="471"/>
        <v>-29091.96</v>
      </c>
      <c r="BI322" s="242">
        <f t="shared" si="472"/>
        <v>0</v>
      </c>
      <c r="BJ322" s="242"/>
      <c r="BK322" s="241">
        <f t="shared" ref="BK322" si="595">ROUND(SUM(BH322,BI322),0)</f>
        <v>-29092</v>
      </c>
      <c r="BL322" s="262"/>
      <c r="BM322" s="36" t="s">
        <v>18</v>
      </c>
      <c r="BN322" s="4">
        <f t="shared" si="223"/>
        <v>2009</v>
      </c>
      <c r="BO322" s="4">
        <f t="shared" si="224"/>
        <v>6</v>
      </c>
      <c r="BP322" s="108">
        <f>C322+[4]MWh!$AK156</f>
        <v>1102939.4787585889</v>
      </c>
      <c r="BQ322" s="76">
        <f t="shared" ref="BQ322" si="596">BP322/D322*1000</f>
        <v>6774.6876824050469</v>
      </c>
      <c r="BR322" s="130">
        <f t="shared" ref="BR322" si="597">BT322/D322*1000</f>
        <v>6595.993186603373</v>
      </c>
      <c r="BS322" s="108">
        <f t="shared" ref="BS322" si="598">BR322-BR310</f>
        <v>-360.45583372438159</v>
      </c>
      <c r="BT322" s="175">
        <f t="shared" ref="BT322" si="599">BK322+BP322</f>
        <v>1073847.4787585889</v>
      </c>
      <c r="BU322" s="108">
        <f t="shared" ref="BU322" si="600">BT322-BT310</f>
        <v>-72790.969711055281</v>
      </c>
      <c r="BV322" s="137">
        <f t="shared" ref="BV322" si="601">BT322-BP322</f>
        <v>-29092</v>
      </c>
      <c r="BW322" s="529">
        <f>BT322/[9]CMWh!$L202</f>
        <v>1.0018355401337733</v>
      </c>
    </row>
    <row r="323" spans="1:111" ht="12.75" customHeight="1">
      <c r="A323" s="22">
        <f t="shared" si="329"/>
        <v>2009</v>
      </c>
      <c r="B323" s="4">
        <f t="shared" si="330"/>
        <v>7</v>
      </c>
      <c r="C323" s="5">
        <f>'[2]FPC wSEB'!$E420</f>
        <v>1160785</v>
      </c>
      <c r="D323" s="5">
        <f>'[2]FPC wSEB'!$Y420</f>
        <v>162340</v>
      </c>
      <c r="E323" s="74">
        <f t="shared" ref="E323" si="602">ROUND((C323/D323)*1000,1)</f>
        <v>7150.3</v>
      </c>
      <c r="F323" s="436">
        <v>113549</v>
      </c>
      <c r="G323" s="436">
        <v>107801</v>
      </c>
      <c r="H323" s="436">
        <v>12483</v>
      </c>
      <c r="I323" s="436">
        <v>5262</v>
      </c>
      <c r="J323" s="574">
        <f>[5]CC!$E203</f>
        <v>161180</v>
      </c>
      <c r="K323" s="4">
        <f>'[7]COM 55 &amp; 65'!$S408</f>
        <v>538.5</v>
      </c>
      <c r="L323" s="4">
        <f t="shared" si="216"/>
        <v>516.1</v>
      </c>
      <c r="M323" s="135">
        <f t="shared" ref="M323" si="603">(L323-K323)</f>
        <v>-22.399999999999977</v>
      </c>
      <c r="N323" s="4">
        <f>'[7]COM 55 &amp; 65'!$J408</f>
        <v>0</v>
      </c>
      <c r="O323" s="4">
        <f t="shared" si="209"/>
        <v>0</v>
      </c>
      <c r="P323" s="41">
        <f t="shared" ref="P323" si="604">(O323-N323)</f>
        <v>0</v>
      </c>
      <c r="Q323" s="474">
        <f t="shared" ref="Q323" si="605">M323*$F$10</f>
        <v>-17853.695999999982</v>
      </c>
      <c r="R323" s="472">
        <f t="shared" ref="R323" si="606">P323*$F$9</f>
        <v>0</v>
      </c>
      <c r="S323" s="241">
        <f t="shared" ref="S323" si="607">ROUND(SUM(Q323,R323),0)</f>
        <v>-17854</v>
      </c>
      <c r="T323" s="13" t="s">
        <v>18</v>
      </c>
      <c r="U323" s="23">
        <f t="shared" si="217"/>
        <v>2009</v>
      </c>
      <c r="V323" s="23">
        <f t="shared" si="218"/>
        <v>7</v>
      </c>
      <c r="W323" s="336">
        <f t="shared" ref="W323" si="608">Z323/D323*1000</f>
        <v>7040.3535789084635</v>
      </c>
      <c r="X323" s="338">
        <f t="shared" ref="X323" si="609">W323-W311</f>
        <v>-204.57307855544605</v>
      </c>
      <c r="Y323" s="339"/>
      <c r="Z323" s="178">
        <f t="shared" ref="Z323" si="610">S323+C323</f>
        <v>1142931</v>
      </c>
      <c r="AA323" s="340">
        <f t="shared" ref="AA323" si="611">Z323-C323</f>
        <v>-17854</v>
      </c>
      <c r="AB323" s="518">
        <f>[9]CMWh!$L203</f>
        <v>1128558</v>
      </c>
      <c r="AC323" s="341">
        <f>RESID!AC323</f>
        <v>30.45</v>
      </c>
      <c r="AD323" s="342">
        <f t="shared" ref="AD323" si="612">ROUND(C323/(AC323/30.42),1)</f>
        <v>1159641.3999999999</v>
      </c>
      <c r="AE323" s="342">
        <f t="shared" ref="AE323" si="613">AD323-AD311</f>
        <v>51244.799999999814</v>
      </c>
      <c r="AF323" s="23">
        <f t="shared" ref="AF323" si="614">AG323-C323</f>
        <v>-18980</v>
      </c>
      <c r="AG323" s="23">
        <f t="shared" ref="AG323" si="615">ROUND(Z323/(AC323/30.42),0)</f>
        <v>1141805</v>
      </c>
      <c r="AH323" s="23">
        <f t="shared" ref="AH323" si="616">AG323-AG311</f>
        <v>16063</v>
      </c>
      <c r="AI323" s="23"/>
      <c r="AJ323" s="352">
        <f t="shared" ref="AJ323" si="617">C323-AM323-AP323</f>
        <v>1034753</v>
      </c>
      <c r="AK323" s="352">
        <f t="shared" ref="AK323" si="618">D323-AN323-AQ323</f>
        <v>49277</v>
      </c>
      <c r="AL323" s="353">
        <f t="shared" ref="AL323" si="619">AJ323/AK323*1000</f>
        <v>20998.701219635936</v>
      </c>
      <c r="AM323" s="352">
        <f t="shared" ref="AM323" si="620">F323</f>
        <v>113549</v>
      </c>
      <c r="AN323" s="352">
        <f t="shared" ref="AN323" si="621">G323</f>
        <v>107801</v>
      </c>
      <c r="AO323" s="353">
        <f t="shared" ref="AO323" si="622">AM323/AN323*1000</f>
        <v>1053.320470125509</v>
      </c>
      <c r="AP323" s="352">
        <f t="shared" ref="AP323" si="623">H323</f>
        <v>12483</v>
      </c>
      <c r="AQ323" s="352">
        <f t="shared" ref="AQ323" si="624">I323</f>
        <v>5262</v>
      </c>
      <c r="AR323" s="353">
        <f t="shared" ref="AR323" si="625">AP323/AQ323*1000</f>
        <v>2372.2919042189283</v>
      </c>
      <c r="AX323" s="4">
        <f t="shared" si="331"/>
        <v>2009</v>
      </c>
      <c r="AY323" s="4">
        <f t="shared" si="332"/>
        <v>7</v>
      </c>
      <c r="AZ323" s="366">
        <f>'[8]COM 55 &amp; 65'!$S408</f>
        <v>535.1</v>
      </c>
      <c r="BA323" s="366">
        <f t="shared" si="221"/>
        <v>546.1</v>
      </c>
      <c r="BB323" s="367">
        <f t="shared" ref="BB323" si="626">(BA323-AZ323)</f>
        <v>11</v>
      </c>
      <c r="BC323" s="367"/>
      <c r="BD323" s="366">
        <f>'[8]COM 55 &amp; 65'!$J408</f>
        <v>0</v>
      </c>
      <c r="BE323" s="366">
        <f t="shared" si="222"/>
        <v>0</v>
      </c>
      <c r="BF323" s="368">
        <f t="shared" ref="BF323" si="627">(BE323-BD323)</f>
        <v>0</v>
      </c>
      <c r="BH323" s="244">
        <f t="shared" ref="BH323" si="628">BB323*$F$10</f>
        <v>8767.4399999999987</v>
      </c>
      <c r="BI323" s="242">
        <f t="shared" ref="BI323" si="629">BF323*$F$9</f>
        <v>0</v>
      </c>
      <c r="BJ323" s="242"/>
      <c r="BK323" s="241">
        <f t="shared" ref="BK323" si="630">ROUND(SUM(BH323,BI323),0)</f>
        <v>8767</v>
      </c>
      <c r="BL323" s="262"/>
      <c r="BM323" s="36" t="s">
        <v>18</v>
      </c>
      <c r="BN323" s="4">
        <f t="shared" si="223"/>
        <v>2009</v>
      </c>
      <c r="BO323" s="4">
        <f t="shared" si="224"/>
        <v>7</v>
      </c>
      <c r="BP323" s="108">
        <f>C323+[4]MWh!$AK157</f>
        <v>1176960.3566031107</v>
      </c>
      <c r="BQ323" s="76">
        <f t="shared" ref="BQ323" si="631">BP323/D323*1000</f>
        <v>7249.9713970870434</v>
      </c>
      <c r="BR323" s="130">
        <f t="shared" ref="BR323" si="632">BT323/D323*1000</f>
        <v>7303.9753394302734</v>
      </c>
      <c r="BS323" s="108">
        <f t="shared" ref="BS323" si="633">BR323-BR311</f>
        <v>-435.82462241357916</v>
      </c>
      <c r="BT323" s="175">
        <f t="shared" ref="BT323" si="634">BK323+BP323</f>
        <v>1185727.3566031107</v>
      </c>
      <c r="BU323" s="108">
        <f t="shared" ref="BU323" si="635">BT323-BT311</f>
        <v>-14142.872281694319</v>
      </c>
      <c r="BV323" s="137">
        <f t="shared" ref="BV323" si="636">BT323-BP323</f>
        <v>8767</v>
      </c>
      <c r="BW323" s="529">
        <f>BT323/[9]CMWh!$L203</f>
        <v>1.0506569946809208</v>
      </c>
    </row>
    <row r="324" spans="1:111" ht="12.75" customHeight="1">
      <c r="A324" s="22">
        <f t="shared" si="329"/>
        <v>2009</v>
      </c>
      <c r="B324" s="4">
        <f t="shared" si="330"/>
        <v>8</v>
      </c>
      <c r="C324" s="5">
        <f>'[2]FPC wSEB'!$E421</f>
        <v>1113932</v>
      </c>
      <c r="D324" s="5">
        <f>'[2]FPC wSEB'!$Y421</f>
        <v>156142</v>
      </c>
      <c r="E324" s="74">
        <f t="shared" ref="E324" si="637">ROUND((C324/D324)*1000,1)</f>
        <v>7134.1</v>
      </c>
      <c r="F324" s="436">
        <v>106944</v>
      </c>
      <c r="G324" s="436">
        <v>102571</v>
      </c>
      <c r="H324" s="436">
        <v>12397</v>
      </c>
      <c r="I324" s="436">
        <v>5286</v>
      </c>
      <c r="J324" s="574">
        <f>[5]CC!$E204</f>
        <v>161266</v>
      </c>
      <c r="K324" s="4">
        <f>'[7]COM 55 &amp; 65'!$S409</f>
        <v>530.70000000000005</v>
      </c>
      <c r="L324" s="4">
        <f t="shared" si="216"/>
        <v>542</v>
      </c>
      <c r="M324" s="135">
        <f t="shared" ref="M324" si="638">(L324-K324)</f>
        <v>11.299999999999955</v>
      </c>
      <c r="N324" s="4">
        <f>'[7]COM 55 &amp; 65'!$J409</f>
        <v>0</v>
      </c>
      <c r="O324" s="4">
        <f t="shared" si="209"/>
        <v>0</v>
      </c>
      <c r="P324" s="41">
        <f t="shared" ref="P324" si="639">(O324-N324)</f>
        <v>0</v>
      </c>
      <c r="Q324" s="474">
        <f t="shared" ref="Q324" si="640">M324*$F$10</f>
        <v>9006.5519999999633</v>
      </c>
      <c r="R324" s="472">
        <f t="shared" ref="R324" si="641">P324*$F$9</f>
        <v>0</v>
      </c>
      <c r="S324" s="241">
        <f t="shared" ref="S324" si="642">ROUND(SUM(Q324,R324),0)</f>
        <v>9007</v>
      </c>
      <c r="T324" s="13" t="s">
        <v>18</v>
      </c>
      <c r="U324" s="23">
        <f t="shared" si="217"/>
        <v>2009</v>
      </c>
      <c r="V324" s="23">
        <f t="shared" si="218"/>
        <v>8</v>
      </c>
      <c r="W324" s="336">
        <f t="shared" ref="W324" si="643">Z324/D324*1000</f>
        <v>7191.7805587221892</v>
      </c>
      <c r="X324" s="338">
        <f t="shared" ref="X324" si="644">W324-W312</f>
        <v>-37.458726466086773</v>
      </c>
      <c r="Y324" s="339"/>
      <c r="Z324" s="178">
        <f t="shared" ref="Z324" si="645">S324+C324</f>
        <v>1122939</v>
      </c>
      <c r="AA324" s="340">
        <f t="shared" ref="AA324" si="646">Z324-C324</f>
        <v>9007</v>
      </c>
      <c r="AB324" s="518">
        <f>[9]CMWh!$L204</f>
        <v>1130135</v>
      </c>
      <c r="AC324" s="341">
        <f>RESID!AC324</f>
        <v>29.75</v>
      </c>
      <c r="AD324" s="342">
        <f t="shared" ref="AD324" si="647">ROUND(C324/(AC324/30.42),1)</f>
        <v>1139018.8999999999</v>
      </c>
      <c r="AE324" s="342">
        <f t="shared" ref="AE324" si="648">AD324-AD312</f>
        <v>3183.7999999998137</v>
      </c>
      <c r="AF324" s="23">
        <f t="shared" ref="AF324" si="649">AG324-C324</f>
        <v>34297</v>
      </c>
      <c r="AG324" s="23">
        <f t="shared" ref="AG324" si="650">ROUND(Z324/(AC324/30.42),0)</f>
        <v>1148229</v>
      </c>
      <c r="AH324" s="23">
        <f t="shared" ref="AH324" si="651">AG324-AG312</f>
        <v>1498</v>
      </c>
      <c r="AI324" s="23"/>
      <c r="AJ324" s="352">
        <f t="shared" ref="AJ324" si="652">C324-AM324-AP324</f>
        <v>994591</v>
      </c>
      <c r="AK324" s="352">
        <f t="shared" ref="AK324" si="653">D324-AN324-AQ324</f>
        <v>48285</v>
      </c>
      <c r="AL324" s="353">
        <f t="shared" ref="AL324" si="654">AJ324/AK324*1000</f>
        <v>20598.343170756962</v>
      </c>
      <c r="AM324" s="352">
        <f t="shared" ref="AM324" si="655">F324</f>
        <v>106944</v>
      </c>
      <c r="AN324" s="352">
        <f t="shared" ref="AN324" si="656">G324</f>
        <v>102571</v>
      </c>
      <c r="AO324" s="353">
        <f t="shared" ref="AO324" si="657">AM324/AN324*1000</f>
        <v>1042.6338828713767</v>
      </c>
      <c r="AP324" s="352">
        <f t="shared" ref="AP324" si="658">H324</f>
        <v>12397</v>
      </c>
      <c r="AQ324" s="352">
        <f t="shared" ref="AQ324" si="659">I324</f>
        <v>5286</v>
      </c>
      <c r="AR324" s="353">
        <f t="shared" ref="AR324" si="660">AP324/AQ324*1000</f>
        <v>2345.2516080211881</v>
      </c>
      <c r="AX324" s="4">
        <f t="shared" si="331"/>
        <v>2009</v>
      </c>
      <c r="AY324" s="4">
        <f t="shared" si="332"/>
        <v>8</v>
      </c>
      <c r="AZ324" s="366">
        <f>'[8]COM 55 &amp; 65'!$S409</f>
        <v>557.6</v>
      </c>
      <c r="BA324" s="366">
        <f t="shared" si="221"/>
        <v>549</v>
      </c>
      <c r="BB324" s="367">
        <f t="shared" ref="BB324" si="661">(BA324-AZ324)</f>
        <v>-8.6000000000000227</v>
      </c>
      <c r="BC324" s="367"/>
      <c r="BD324" s="366">
        <f>'[8]COM 55 &amp; 65'!$J409</f>
        <v>0</v>
      </c>
      <c r="BE324" s="366">
        <f t="shared" si="222"/>
        <v>0</v>
      </c>
      <c r="BF324" s="368">
        <f t="shared" ref="BF324" si="662">(BE324-BD324)</f>
        <v>0</v>
      </c>
      <c r="BH324" s="244">
        <f t="shared" ref="BH324" si="663">BB324*$F$10</f>
        <v>-6854.5440000000181</v>
      </c>
      <c r="BI324" s="242">
        <f t="shared" ref="BI324" si="664">BF324*$F$9</f>
        <v>0</v>
      </c>
      <c r="BJ324" s="242"/>
      <c r="BK324" s="241">
        <f t="shared" ref="BK324" si="665">ROUND(SUM(BH324,BI324),0)</f>
        <v>-6855</v>
      </c>
      <c r="BL324" s="262"/>
      <c r="BM324" s="36" t="s">
        <v>18</v>
      </c>
      <c r="BN324" s="4">
        <f t="shared" si="223"/>
        <v>2009</v>
      </c>
      <c r="BO324" s="4">
        <f t="shared" si="224"/>
        <v>8</v>
      </c>
      <c r="BP324" s="108">
        <f>C324+[4]MWh!$AK158</f>
        <v>1199660.5620554113</v>
      </c>
      <c r="BQ324" s="76">
        <f t="shared" ref="BQ324" si="666">BP324/D324*1000</f>
        <v>7683.1381822662152</v>
      </c>
      <c r="BR324" s="130">
        <f t="shared" ref="BR324" si="667">BT324/D324*1000</f>
        <v>7639.2358369651429</v>
      </c>
      <c r="BS324" s="108">
        <f t="shared" ref="BS324" si="668">BR324-BR312</f>
        <v>558.67273039880365</v>
      </c>
      <c r="BT324" s="175">
        <f t="shared" ref="BT324" si="669">BK324+BP324</f>
        <v>1192805.5620554113</v>
      </c>
      <c r="BU324" s="108">
        <f t="shared" ref="BU324" si="670">BT324-BT312</f>
        <v>39013.642714213114</v>
      </c>
      <c r="BV324" s="137">
        <f t="shared" ref="BV324" si="671">BT324-BP324</f>
        <v>-6855</v>
      </c>
      <c r="BW324" s="529">
        <f>BT324/[9]CMWh!$L204</f>
        <v>1.0554540493440263</v>
      </c>
      <c r="DA324" s="494"/>
    </row>
    <row r="325" spans="1:111" ht="12.75" customHeight="1">
      <c r="A325" s="22">
        <f t="shared" si="329"/>
        <v>2009</v>
      </c>
      <c r="B325" s="4">
        <f t="shared" si="330"/>
        <v>9</v>
      </c>
      <c r="C325" s="5">
        <f>'[2]FPC wSEB'!$E422</f>
        <v>1129981</v>
      </c>
      <c r="D325" s="5">
        <f>'[2]FPC wSEB'!$Y422</f>
        <v>159941</v>
      </c>
      <c r="E325" s="74">
        <f t="shared" ref="E325" si="672">ROUND((C325/D325)*1000,1)</f>
        <v>7065</v>
      </c>
      <c r="F325" s="436">
        <v>109750</v>
      </c>
      <c r="G325" s="436">
        <v>106190</v>
      </c>
      <c r="H325" s="436">
        <v>12356</v>
      </c>
      <c r="I325" s="436">
        <v>5260</v>
      </c>
      <c r="J325" s="574">
        <f>[5]CC!$E205</f>
        <v>161135</v>
      </c>
      <c r="K325" s="4">
        <f>'[7]COM 55 &amp; 65'!$S410</f>
        <v>519.6</v>
      </c>
      <c r="L325" s="4">
        <f t="shared" si="216"/>
        <v>531.20000000000005</v>
      </c>
      <c r="M325" s="135">
        <f t="shared" ref="M325" si="673">(L325-K325)</f>
        <v>11.600000000000023</v>
      </c>
      <c r="N325" s="4">
        <f>'[7]COM 55 &amp; 65'!$J410</f>
        <v>0</v>
      </c>
      <c r="O325" s="4">
        <f t="shared" si="209"/>
        <v>0</v>
      </c>
      <c r="P325" s="41">
        <f t="shared" ref="P325" si="674">(O325-N325)</f>
        <v>0</v>
      </c>
      <c r="Q325" s="474">
        <f t="shared" ref="Q325" si="675">M325*$F$10</f>
        <v>9245.664000000017</v>
      </c>
      <c r="R325" s="472">
        <f t="shared" ref="R325" si="676">P325*$F$9</f>
        <v>0</v>
      </c>
      <c r="S325" s="241">
        <f t="shared" ref="S325" si="677">ROUND(SUM(Q325,R325),0)</f>
        <v>9246</v>
      </c>
      <c r="T325" s="13" t="s">
        <v>18</v>
      </c>
      <c r="U325" s="23">
        <f t="shared" si="217"/>
        <v>2009</v>
      </c>
      <c r="V325" s="23">
        <f t="shared" si="218"/>
        <v>9</v>
      </c>
      <c r="W325" s="336">
        <f t="shared" ref="W325" si="678">Z325/D325*1000</f>
        <v>7122.7952807597794</v>
      </c>
      <c r="X325" s="338">
        <f t="shared" ref="X325" si="679">W325-W313</f>
        <v>-136.51363651258453</v>
      </c>
      <c r="Y325" s="339"/>
      <c r="Z325" s="178">
        <f t="shared" ref="Z325" si="680">S325+C325</f>
        <v>1139227</v>
      </c>
      <c r="AA325" s="340">
        <f t="shared" ref="AA325" si="681">Z325-C325</f>
        <v>9246</v>
      </c>
      <c r="AB325" s="518">
        <f>[9]CMWh!$L205</f>
        <v>1140291</v>
      </c>
      <c r="AC325" s="341">
        <f>RESID!AC325</f>
        <v>30.2</v>
      </c>
      <c r="AD325" s="342">
        <f t="shared" ref="AD325" si="682">ROUND(C325/(AC325/30.42),1)</f>
        <v>1138212.6000000001</v>
      </c>
      <c r="AE325" s="342">
        <f t="shared" ref="AE325" si="683">AD325-AD313</f>
        <v>-51946.299999999814</v>
      </c>
      <c r="AF325" s="23">
        <f t="shared" ref="AF325" si="684">AG325-C325</f>
        <v>17545</v>
      </c>
      <c r="AG325" s="23">
        <f t="shared" ref="AG325" si="685">ROUND(Z325/(AC325/30.42),0)</f>
        <v>1147526</v>
      </c>
      <c r="AH325" s="23">
        <f t="shared" ref="AH325" si="686">AG325-AG313</f>
        <v>-27819</v>
      </c>
      <c r="AI325" s="23"/>
      <c r="AJ325" s="352">
        <f t="shared" ref="AJ325" si="687">C325-AM325-AP325</f>
        <v>1007875</v>
      </c>
      <c r="AK325" s="352">
        <f t="shared" ref="AK325" si="688">D325-AN325-AQ325</f>
        <v>48491</v>
      </c>
      <c r="AL325" s="353">
        <f t="shared" ref="AL325" si="689">AJ325/AK325*1000</f>
        <v>20784.784805427811</v>
      </c>
      <c r="AM325" s="352">
        <f t="shared" ref="AM325" si="690">F325</f>
        <v>109750</v>
      </c>
      <c r="AN325" s="352">
        <f t="shared" ref="AN325" si="691">G325</f>
        <v>106190</v>
      </c>
      <c r="AO325" s="353">
        <f t="shared" ref="AO325" si="692">AM325/AN325*1000</f>
        <v>1033.5248140126189</v>
      </c>
      <c r="AP325" s="352">
        <f t="shared" ref="AP325" si="693">H325</f>
        <v>12356</v>
      </c>
      <c r="AQ325" s="352">
        <f t="shared" ref="AQ325" si="694">I325</f>
        <v>5260</v>
      </c>
      <c r="AR325" s="353">
        <f t="shared" ref="AR325" si="695">AP325/AQ325*1000</f>
        <v>2349.0494296577945</v>
      </c>
      <c r="AX325" s="4">
        <f t="shared" si="331"/>
        <v>2009</v>
      </c>
      <c r="AY325" s="4">
        <f t="shared" si="332"/>
        <v>9</v>
      </c>
      <c r="AZ325" s="366">
        <f>'[8]COM 55 &amp; 65'!$S410</f>
        <v>493.3</v>
      </c>
      <c r="BA325" s="366">
        <f t="shared" si="221"/>
        <v>487.9</v>
      </c>
      <c r="BB325" s="367">
        <f t="shared" ref="BB325" si="696">(BA325-AZ325)</f>
        <v>-5.4000000000000341</v>
      </c>
      <c r="BC325" s="367"/>
      <c r="BD325" s="366">
        <f>'[8]COM 55 &amp; 65'!$J410</f>
        <v>0</v>
      </c>
      <c r="BE325" s="366">
        <f t="shared" si="222"/>
        <v>0</v>
      </c>
      <c r="BF325" s="368">
        <f t="shared" ref="BF325" si="697">(BE325-BD325)</f>
        <v>0</v>
      </c>
      <c r="BH325" s="244">
        <f t="shared" ref="BH325" si="698">BB325*$F$10</f>
        <v>-4304.0160000000269</v>
      </c>
      <c r="BI325" s="242">
        <f t="shared" ref="BI325" si="699">BF325*$F$9</f>
        <v>0</v>
      </c>
      <c r="BJ325" s="242"/>
      <c r="BK325" s="241">
        <f t="shared" ref="BK325" si="700">ROUND(SUM(BH325,BI325),0)</f>
        <v>-4304</v>
      </c>
      <c r="BL325" s="262"/>
      <c r="BM325" s="36" t="s">
        <v>18</v>
      </c>
      <c r="BN325" s="4">
        <f t="shared" si="223"/>
        <v>2009</v>
      </c>
      <c r="BO325" s="4">
        <f t="shared" si="224"/>
        <v>9</v>
      </c>
      <c r="BP325" s="108">
        <f>C325+[4]MWh!$AK159</f>
        <v>1039795.5297279987</v>
      </c>
      <c r="BQ325" s="76">
        <f t="shared" ref="BQ325" si="701">BP325/D325*1000</f>
        <v>6501.1193485597732</v>
      </c>
      <c r="BR325" s="130">
        <f t="shared" ref="BR325" si="702">BT325/D325*1000</f>
        <v>6474.2094255256543</v>
      </c>
      <c r="BS325" s="108">
        <f t="shared" ref="BS325" si="703">BR325-BR313</f>
        <v>-135.15516545942592</v>
      </c>
      <c r="BT325" s="175">
        <f t="shared" ref="BT325" si="704">BK325+BP325</f>
        <v>1035491.5297279987</v>
      </c>
      <c r="BU325" s="108">
        <f t="shared" ref="BU325" si="705">BT325-BT313</f>
        <v>-88444.13769819634</v>
      </c>
      <c r="BV325" s="137">
        <f t="shared" ref="BV325" si="706">BT325-BP325</f>
        <v>-4304</v>
      </c>
      <c r="BW325" s="529">
        <f>BT325/[9]CMWh!$L205</f>
        <v>0.90809410030246551</v>
      </c>
      <c r="DA325" s="494"/>
    </row>
    <row r="326" spans="1:111" ht="12.75" customHeight="1">
      <c r="A326" s="22">
        <f t="shared" si="329"/>
        <v>2009</v>
      </c>
      <c r="B326" s="4">
        <f t="shared" si="330"/>
        <v>10</v>
      </c>
      <c r="C326" s="5">
        <f>'[2]FPC wSEB'!$E423</f>
        <v>1077662</v>
      </c>
      <c r="D326" s="5">
        <f>'[2]FPC wSEB'!$Y423</f>
        <v>158091</v>
      </c>
      <c r="E326" s="74">
        <f t="shared" ref="E326" si="707">ROUND((C326/D326)*1000,1)</f>
        <v>6816.7</v>
      </c>
      <c r="F326" s="436">
        <v>104860</v>
      </c>
      <c r="G326" s="436">
        <v>104130</v>
      </c>
      <c r="H326" s="436">
        <v>12309</v>
      </c>
      <c r="I326" s="436">
        <v>5240</v>
      </c>
      <c r="J326" s="574">
        <f>[5]CC!$E206</f>
        <v>161046</v>
      </c>
      <c r="K326" s="4">
        <f>'[7]COM 55 &amp; 65'!$S411</f>
        <v>481.5</v>
      </c>
      <c r="L326" s="4">
        <f t="shared" si="216"/>
        <v>431.2</v>
      </c>
      <c r="M326" s="135">
        <f t="shared" ref="M326" si="708">(L326-K326)</f>
        <v>-50.300000000000011</v>
      </c>
      <c r="N326" s="4">
        <f>'[7]COM 55 &amp; 65'!$J411</f>
        <v>0.6</v>
      </c>
      <c r="O326" s="4">
        <f t="shared" si="209"/>
        <v>0.2</v>
      </c>
      <c r="P326" s="41">
        <f t="shared" ref="P326" si="709">(O326-N326)</f>
        <v>-0.39999999999999997</v>
      </c>
      <c r="Q326" s="474">
        <f t="shared" ref="Q326" si="710">M326*$F$10</f>
        <v>-40091.112000000008</v>
      </c>
      <c r="R326" s="472">
        <f t="shared" ref="R326" si="711">P326*$F$9</f>
        <v>-276.74039999999997</v>
      </c>
      <c r="S326" s="241">
        <f t="shared" ref="S326" si="712">ROUND(SUM(Q326,R326),0)</f>
        <v>-40368</v>
      </c>
      <c r="T326" s="13" t="s">
        <v>18</v>
      </c>
      <c r="U326" s="23">
        <f t="shared" si="217"/>
        <v>2009</v>
      </c>
      <c r="V326" s="23">
        <f t="shared" si="218"/>
        <v>10</v>
      </c>
      <c r="W326" s="336">
        <f t="shared" ref="W326" si="713">Z326/D326*1000</f>
        <v>6561.3728801766074</v>
      </c>
      <c r="X326" s="338">
        <f t="shared" ref="X326" si="714">W326-W314</f>
        <v>44.193304994515529</v>
      </c>
      <c r="Y326" s="339"/>
      <c r="Z326" s="178">
        <f t="shared" ref="Z326" si="715">S326+C326</f>
        <v>1037294</v>
      </c>
      <c r="AA326" s="340">
        <f t="shared" ref="AA326" si="716">Z326-C326</f>
        <v>-40368</v>
      </c>
      <c r="AB326" s="518">
        <f>[9]CMWh!$L206</f>
        <v>1041226</v>
      </c>
      <c r="AC326" s="341">
        <f>RESID!AC326</f>
        <v>30</v>
      </c>
      <c r="AD326" s="342">
        <f t="shared" ref="AD326" si="717">ROUND(C326/(AC326/30.42),1)</f>
        <v>1092749.3</v>
      </c>
      <c r="AE326" s="342">
        <f t="shared" ref="AE326" si="718">AD326-AD314</f>
        <v>37865.800000000047</v>
      </c>
      <c r="AF326" s="23">
        <f t="shared" ref="AF326" si="719">AG326-C326</f>
        <v>-25846</v>
      </c>
      <c r="AG326" s="23">
        <f t="shared" ref="AG326" si="720">ROUND(Z326/(AC326/30.42),0)</f>
        <v>1051816</v>
      </c>
      <c r="AH326" s="23">
        <f t="shared" ref="AH326" si="721">AG326-AG314</f>
        <v>-213</v>
      </c>
      <c r="AI326" s="23"/>
      <c r="AJ326" s="352">
        <f t="shared" ref="AJ326" si="722">C326-AM326-AP326</f>
        <v>960493</v>
      </c>
      <c r="AK326" s="352">
        <f t="shared" ref="AK326" si="723">D326-AN326-AQ326</f>
        <v>48721</v>
      </c>
      <c r="AL326" s="353">
        <f t="shared" ref="AL326" si="724">AJ326/AK326*1000</f>
        <v>19714.147903368157</v>
      </c>
      <c r="AM326" s="352">
        <f t="shared" ref="AM326" si="725">F326</f>
        <v>104860</v>
      </c>
      <c r="AN326" s="352">
        <f t="shared" ref="AN326" si="726">G326</f>
        <v>104130</v>
      </c>
      <c r="AO326" s="353">
        <f t="shared" ref="AO326" si="727">AM326/AN326*1000</f>
        <v>1007.010467684625</v>
      </c>
      <c r="AP326" s="352">
        <f t="shared" ref="AP326" si="728">H326</f>
        <v>12309</v>
      </c>
      <c r="AQ326" s="352">
        <f t="shared" ref="AQ326" si="729">I326</f>
        <v>5240</v>
      </c>
      <c r="AR326" s="353">
        <f t="shared" ref="AR326" si="730">AP326/AQ326*1000</f>
        <v>2349.0458015267177</v>
      </c>
      <c r="AX326" s="4">
        <f t="shared" si="331"/>
        <v>2009</v>
      </c>
      <c r="AY326" s="4">
        <f t="shared" si="332"/>
        <v>10</v>
      </c>
      <c r="AZ326" s="366">
        <f>'[8]COM 55 &amp; 65'!$S411</f>
        <v>401.3</v>
      </c>
      <c r="BA326" s="366">
        <f t="shared" si="221"/>
        <v>332.5</v>
      </c>
      <c r="BB326" s="367">
        <f t="shared" ref="BB326" si="731">(BA326-AZ326)</f>
        <v>-68.800000000000011</v>
      </c>
      <c r="BC326" s="367"/>
      <c r="BD326" s="366">
        <f>'[8]COM 55 &amp; 65'!$J411</f>
        <v>2.7</v>
      </c>
      <c r="BE326" s="366">
        <f t="shared" si="222"/>
        <v>2</v>
      </c>
      <c r="BF326" s="368">
        <f t="shared" ref="BF326" si="732">(BE326-BD326)</f>
        <v>-0.70000000000000018</v>
      </c>
      <c r="BH326" s="244">
        <f t="shared" ref="BH326" si="733">BB326*$F$10</f>
        <v>-54836.352000000006</v>
      </c>
      <c r="BI326" s="242">
        <f t="shared" ref="BI326" si="734">BF326*$F$9</f>
        <v>-484.29570000000012</v>
      </c>
      <c r="BJ326" s="242"/>
      <c r="BK326" s="241">
        <f t="shared" ref="BK326" si="735">ROUND(SUM(BH326,BI326),0)</f>
        <v>-55321</v>
      </c>
      <c r="BL326" s="262"/>
      <c r="BM326" s="36" t="s">
        <v>18</v>
      </c>
      <c r="BN326" s="4">
        <f t="shared" si="223"/>
        <v>2009</v>
      </c>
      <c r="BO326" s="4">
        <f t="shared" si="224"/>
        <v>10</v>
      </c>
      <c r="BP326" s="108">
        <f>C326+[4]MWh!$AK160</f>
        <v>1048174.2580137822</v>
      </c>
      <c r="BQ326" s="76">
        <f t="shared" ref="BQ326" si="736">BP326/D326*1000</f>
        <v>6630.1956342472513</v>
      </c>
      <c r="BR326" s="130">
        <f t="shared" ref="BR326" si="737">BT326/D326*1000</f>
        <v>6280.2642656051403</v>
      </c>
      <c r="BS326" s="108">
        <f t="shared" ref="BS326" si="738">BR326-BR314</f>
        <v>28.322810505254893</v>
      </c>
      <c r="BT326" s="175">
        <f t="shared" ref="BT326" si="739">BK326+BP326</f>
        <v>992853.25801378221</v>
      </c>
      <c r="BU326" s="108">
        <f t="shared" ref="BU326" si="740">BT326-BT314</f>
        <v>9185.2933512764284</v>
      </c>
      <c r="BV326" s="137">
        <f t="shared" ref="BV326" si="741">BT326-BP326</f>
        <v>-55321</v>
      </c>
      <c r="BW326" s="529">
        <f>BT326/[9]CMWh!$L206</f>
        <v>0.95354251431848824</v>
      </c>
    </row>
    <row r="327" spans="1:111" ht="12.75" customHeight="1">
      <c r="A327" s="22">
        <f t="shared" si="329"/>
        <v>2009</v>
      </c>
      <c r="B327" s="4">
        <f t="shared" si="330"/>
        <v>11</v>
      </c>
      <c r="C327" s="5">
        <f>'[2]FPC wSEB'!$E424</f>
        <v>1014437</v>
      </c>
      <c r="D327" s="5">
        <f>'[2]FPC wSEB'!$Y424</f>
        <v>172922</v>
      </c>
      <c r="E327" s="74">
        <f t="shared" ref="E327" si="742">ROUND((C327/D327)*1000,1)</f>
        <v>5866.4</v>
      </c>
      <c r="F327" s="436">
        <v>100665</v>
      </c>
      <c r="G327" s="436">
        <v>117886</v>
      </c>
      <c r="H327" s="436">
        <v>12755</v>
      </c>
      <c r="I327" s="436">
        <v>5234</v>
      </c>
      <c r="J327" s="574">
        <f>[5]CC!$E207</f>
        <v>161061</v>
      </c>
      <c r="K327" s="4">
        <f>'[7]COM 55 &amp; 65'!$S412</f>
        <v>315.2</v>
      </c>
      <c r="L327" s="4">
        <f t="shared" si="216"/>
        <v>251.9</v>
      </c>
      <c r="M327" s="135">
        <f t="shared" ref="M327" si="743">(L327-K327)</f>
        <v>-63.299999999999983</v>
      </c>
      <c r="N327" s="4">
        <f>'[7]COM 55 &amp; 65'!$J412</f>
        <v>3.2</v>
      </c>
      <c r="O327" s="4">
        <f t="shared" si="209"/>
        <v>6.3</v>
      </c>
      <c r="P327" s="41">
        <f t="shared" ref="P327" si="744">(O327-N327)</f>
        <v>3.0999999999999996</v>
      </c>
      <c r="Q327" s="474">
        <f t="shared" ref="Q327" si="745">M327*$F$10</f>
        <v>-50452.631999999983</v>
      </c>
      <c r="R327" s="472">
        <f t="shared" ref="R327" si="746">P327*$F$9</f>
        <v>2144.7380999999996</v>
      </c>
      <c r="S327" s="241">
        <f t="shared" ref="S327" si="747">ROUND(SUM(Q327,R327),0)</f>
        <v>-48308</v>
      </c>
      <c r="T327" s="13" t="s">
        <v>18</v>
      </c>
      <c r="U327" s="23">
        <f t="shared" si="217"/>
        <v>2009</v>
      </c>
      <c r="V327" s="23">
        <f t="shared" si="218"/>
        <v>11</v>
      </c>
      <c r="W327" s="336">
        <f t="shared" ref="W327" si="748">Z327/D327*1000</f>
        <v>5587.0797238061095</v>
      </c>
      <c r="X327" s="338">
        <f t="shared" ref="X327" si="749">W327-W315</f>
        <v>-356.38130500707666</v>
      </c>
      <c r="Y327" s="339"/>
      <c r="Z327" s="178">
        <f t="shared" ref="Z327" si="750">S327+C327</f>
        <v>966129</v>
      </c>
      <c r="AA327" s="340">
        <f t="shared" ref="AA327" si="751">Z327-C327</f>
        <v>-48308</v>
      </c>
      <c r="AB327" s="518">
        <f>[9]CMWh!$L207</f>
        <v>930044</v>
      </c>
      <c r="AC327" s="341">
        <f>RESID!AC327</f>
        <v>30</v>
      </c>
      <c r="AD327" s="342">
        <f t="shared" ref="AD327" si="752">ROUND(C327/(AC327/30.42),1)</f>
        <v>1028639.1</v>
      </c>
      <c r="AE327" s="342">
        <f t="shared" ref="AE327" si="753">AD327-AD315</f>
        <v>34956.900000000023</v>
      </c>
      <c r="AF327" s="23">
        <f t="shared" ref="AF327" si="754">AG327-C327</f>
        <v>-34782</v>
      </c>
      <c r="AG327" s="23">
        <f t="shared" ref="AG327" si="755">ROUND(Z327/(AC327/30.42),0)</f>
        <v>979655</v>
      </c>
      <c r="AH327" s="23">
        <f t="shared" ref="AH327" si="756">AG327-AG315</f>
        <v>-32892</v>
      </c>
      <c r="AI327" s="23"/>
      <c r="AJ327" s="352">
        <f t="shared" ref="AJ327" si="757">C327-AM327-AP327</f>
        <v>901017</v>
      </c>
      <c r="AK327" s="352">
        <f t="shared" ref="AK327" si="758">D327-AN327-AQ327</f>
        <v>49802</v>
      </c>
      <c r="AL327" s="353">
        <f t="shared" ref="AL327" si="759">AJ327/AK327*1000</f>
        <v>18091.984257660337</v>
      </c>
      <c r="AM327" s="352">
        <f t="shared" ref="AM327" si="760">F327</f>
        <v>100665</v>
      </c>
      <c r="AN327" s="352">
        <f t="shared" ref="AN327" si="761">G327</f>
        <v>117886</v>
      </c>
      <c r="AO327" s="353">
        <f t="shared" ref="AO327" si="762">AM327/AN327*1000</f>
        <v>853.91819215173985</v>
      </c>
      <c r="AP327" s="352">
        <f t="shared" ref="AP327" si="763">H327</f>
        <v>12755</v>
      </c>
      <c r="AQ327" s="352">
        <f t="shared" ref="AQ327" si="764">I327</f>
        <v>5234</v>
      </c>
      <c r="AR327" s="353">
        <f t="shared" ref="AR327" si="765">AP327/AQ327*1000</f>
        <v>2436.9507069163164</v>
      </c>
      <c r="AX327" s="4">
        <f t="shared" si="331"/>
        <v>2009</v>
      </c>
      <c r="AY327" s="4">
        <f t="shared" si="332"/>
        <v>11</v>
      </c>
      <c r="AZ327" s="366">
        <f>'[8]COM 55 &amp; 65'!$S412</f>
        <v>156.5</v>
      </c>
      <c r="BA327" s="366">
        <f t="shared" si="221"/>
        <v>146</v>
      </c>
      <c r="BB327" s="367">
        <f t="shared" ref="BB327" si="766">(BA327-AZ327)</f>
        <v>-10.5</v>
      </c>
      <c r="BC327" s="367"/>
      <c r="BD327" s="366">
        <f>'[8]COM 55 &amp; 65'!$J412</f>
        <v>9.3000000000000007</v>
      </c>
      <c r="BE327" s="366">
        <f t="shared" si="222"/>
        <v>14</v>
      </c>
      <c r="BF327" s="368">
        <f t="shared" ref="BF327" si="767">(BE327-BD327)</f>
        <v>4.6999999999999993</v>
      </c>
      <c r="BH327" s="244">
        <f t="shared" ref="BH327" si="768">BB327*$F$10</f>
        <v>-8368.92</v>
      </c>
      <c r="BI327" s="242">
        <f t="shared" ref="BI327" si="769">BF327*$F$9</f>
        <v>3251.6996999999997</v>
      </c>
      <c r="BJ327" s="242"/>
      <c r="BK327" s="241">
        <f t="shared" ref="BK327" si="770">ROUND(SUM(BH327,BI327),0)</f>
        <v>-5117</v>
      </c>
      <c r="BL327" s="262"/>
      <c r="BM327" s="36" t="s">
        <v>18</v>
      </c>
      <c r="BN327" s="4">
        <f t="shared" si="223"/>
        <v>2009</v>
      </c>
      <c r="BO327" s="4">
        <f t="shared" si="224"/>
        <v>11</v>
      </c>
      <c r="BP327" s="108">
        <f>C327+[4]MWh!$AK161</f>
        <v>844163.08944102714</v>
      </c>
      <c r="BQ327" s="76">
        <f t="shared" ref="BQ327" si="771">BP327/D327*1000</f>
        <v>4881.7564534358098</v>
      </c>
      <c r="BR327" s="130">
        <f t="shared" ref="BR327" si="772">BT327/D327*1000</f>
        <v>4852.1650769770595</v>
      </c>
      <c r="BS327" s="108">
        <f t="shared" ref="BS327" si="773">BR327-BR315</f>
        <v>-553.83106330228838</v>
      </c>
      <c r="BT327" s="175">
        <f t="shared" ref="BT327" si="774">BK327+BP327</f>
        <v>839046.08944102714</v>
      </c>
      <c r="BU327" s="108">
        <f t="shared" ref="BU327" si="775">BT327-BT315</f>
        <v>-70734.407002724591</v>
      </c>
      <c r="BV327" s="137">
        <f t="shared" ref="BV327" si="776">BT327-BP327</f>
        <v>-5117</v>
      </c>
      <c r="BW327" s="529">
        <f>BT327/[9]CMWh!$L207</f>
        <v>0.90215741345681189</v>
      </c>
    </row>
    <row r="328" spans="1:111" s="89" customFormat="1" ht="12.75" customHeight="1">
      <c r="A328" s="225">
        <f t="shared" si="329"/>
        <v>2009</v>
      </c>
      <c r="B328" s="89">
        <f t="shared" si="330"/>
        <v>12</v>
      </c>
      <c r="C328" s="103">
        <f>'[2]FPC wSEB'!$E425</f>
        <v>884457</v>
      </c>
      <c r="D328" s="103">
        <f>'[2]FPC wSEB'!$Y425</f>
        <v>159240</v>
      </c>
      <c r="E328" s="109">
        <f t="shared" ref="E328" si="777">ROUND((C328/D328)*1000,1)</f>
        <v>5554.2</v>
      </c>
      <c r="F328" s="437">
        <v>81172</v>
      </c>
      <c r="G328" s="437">
        <v>106588</v>
      </c>
      <c r="H328" s="437">
        <v>12343</v>
      </c>
      <c r="I328" s="437">
        <v>5249</v>
      </c>
      <c r="J328" s="575">
        <f>[5]CC!$E208</f>
        <v>161022</v>
      </c>
      <c r="K328" s="89">
        <f>'[7]COM 55 &amp; 65'!$S413</f>
        <v>147.4</v>
      </c>
      <c r="L328" s="89">
        <f t="shared" si="216"/>
        <v>119.4</v>
      </c>
      <c r="M328" s="136">
        <f t="shared" ref="M328" si="778">(L328-K328)</f>
        <v>-28</v>
      </c>
      <c r="N328" s="89">
        <f>'[7]COM 55 &amp; 65'!$J413</f>
        <v>15.4</v>
      </c>
      <c r="O328" s="89">
        <f t="shared" si="209"/>
        <v>30.1</v>
      </c>
      <c r="P328" s="94">
        <f t="shared" ref="P328" si="779">(O328-N328)</f>
        <v>14.700000000000001</v>
      </c>
      <c r="Q328" s="475">
        <f t="shared" ref="Q328" si="780">M328*$F$10</f>
        <v>-22317.119999999999</v>
      </c>
      <c r="R328" s="473">
        <f t="shared" ref="R328" si="781">P328*$F$9</f>
        <v>10170.209700000001</v>
      </c>
      <c r="S328" s="329">
        <f t="shared" ref="S328" si="782">ROUND(SUM(Q328,R328),0)</f>
        <v>-12147</v>
      </c>
      <c r="T328" s="90" t="s">
        <v>18</v>
      </c>
      <c r="U328" s="89">
        <f t="shared" si="217"/>
        <v>2009</v>
      </c>
      <c r="V328" s="89">
        <f t="shared" si="218"/>
        <v>12</v>
      </c>
      <c r="W328" s="328">
        <f t="shared" ref="W328" si="783">Z328/D328*1000</f>
        <v>5477.9577995478521</v>
      </c>
      <c r="X328" s="133">
        <f t="shared" ref="X328" si="784">W328-W316</f>
        <v>-104.01742151486724</v>
      </c>
      <c r="Y328" s="330"/>
      <c r="Z328" s="176">
        <f t="shared" ref="Z328" si="785">S328+C328</f>
        <v>872310</v>
      </c>
      <c r="AA328" s="105">
        <f t="shared" ref="AA328" si="786">Z328-C328</f>
        <v>-12147</v>
      </c>
      <c r="AB328" s="520">
        <f>[9]CMWh!$L208</f>
        <v>903114</v>
      </c>
      <c r="AC328" s="110">
        <f>RESID!AC328</f>
        <v>31.4</v>
      </c>
      <c r="AD328" s="331">
        <f t="shared" ref="AD328" si="787">ROUND(C328/(AC328/30.42),1)</f>
        <v>856852.9</v>
      </c>
      <c r="AE328" s="331">
        <f t="shared" ref="AE328" si="788">AD328-AD316</f>
        <v>8389.3000000000466</v>
      </c>
      <c r="AF328" s="89">
        <f t="shared" ref="AF328" si="789">AG328-C328</f>
        <v>-39372</v>
      </c>
      <c r="AG328" s="89">
        <f t="shared" ref="AG328" si="790">ROUND(Z328/(AC328/30.42),0)</f>
        <v>845085</v>
      </c>
      <c r="AH328" s="89">
        <f t="shared" ref="AH328" si="791">AG328-AG316</f>
        <v>-22566</v>
      </c>
      <c r="AJ328" s="351">
        <f t="shared" ref="AJ328" si="792">C328-AM328-AP328</f>
        <v>790942</v>
      </c>
      <c r="AK328" s="351">
        <f t="shared" ref="AK328" si="793">D328-AN328-AQ328</f>
        <v>47403</v>
      </c>
      <c r="AL328" s="277">
        <f t="shared" ref="AL328" si="794">AJ328/AK328*1000</f>
        <v>16685.484041094445</v>
      </c>
      <c r="AM328" s="351">
        <f t="shared" ref="AM328" si="795">F328</f>
        <v>81172</v>
      </c>
      <c r="AN328" s="351">
        <f t="shared" ref="AN328" si="796">G328</f>
        <v>106588</v>
      </c>
      <c r="AO328" s="277">
        <f t="shared" ref="AO328" si="797">AM328/AN328*1000</f>
        <v>761.54914249258832</v>
      </c>
      <c r="AP328" s="351">
        <f t="shared" ref="AP328" si="798">H328</f>
        <v>12343</v>
      </c>
      <c r="AQ328" s="351">
        <f t="shared" ref="AQ328" si="799">I328</f>
        <v>5249</v>
      </c>
      <c r="AR328" s="277">
        <f t="shared" ref="AR328" si="800">AP328/AQ328*1000</f>
        <v>2351.4955229567536</v>
      </c>
      <c r="AX328" s="89">
        <f t="shared" si="331"/>
        <v>2009</v>
      </c>
      <c r="AY328" s="89">
        <f t="shared" si="332"/>
        <v>12</v>
      </c>
      <c r="AZ328" s="369">
        <f>'[8]COM 55 &amp; 65'!$S413</f>
        <v>86.5</v>
      </c>
      <c r="BA328" s="369">
        <f t="shared" si="221"/>
        <v>75.7</v>
      </c>
      <c r="BB328" s="370">
        <f t="shared" ref="BB328" si="801">(BA328-AZ328)</f>
        <v>-10.799999999999997</v>
      </c>
      <c r="BC328" s="370"/>
      <c r="BD328" s="369">
        <f>'[8]COM 55 &amp; 65'!$J413</f>
        <v>39.799999999999997</v>
      </c>
      <c r="BE328" s="369">
        <f t="shared" si="222"/>
        <v>44.3</v>
      </c>
      <c r="BF328" s="371">
        <f t="shared" ref="BF328" si="802">(BE328-BD328)</f>
        <v>4.5</v>
      </c>
      <c r="BH328" s="327">
        <f t="shared" ref="BH328" si="803">BB328*$F$10</f>
        <v>-8608.0319999999974</v>
      </c>
      <c r="BI328" s="328">
        <f t="shared" ref="BI328" si="804">BF328*$F$9</f>
        <v>3113.3294999999998</v>
      </c>
      <c r="BJ328" s="328"/>
      <c r="BK328" s="329">
        <f t="shared" ref="BK328" si="805">ROUND(SUM(BH328,BI328),0)</f>
        <v>-5495</v>
      </c>
      <c r="BL328" s="332"/>
      <c r="BM328" s="113" t="s">
        <v>18</v>
      </c>
      <c r="BN328" s="89">
        <f t="shared" si="223"/>
        <v>2009</v>
      </c>
      <c r="BO328" s="89">
        <f t="shared" si="224"/>
        <v>12</v>
      </c>
      <c r="BP328" s="117">
        <f>C328+[4]MWh!$AK162</f>
        <v>948290.03266270983</v>
      </c>
      <c r="BQ328" s="92">
        <f t="shared" ref="BQ328" si="806">BP328/D328*1000</f>
        <v>5955.0994264174196</v>
      </c>
      <c r="BR328" s="299">
        <f t="shared" ref="BR328" si="807">BT328/D328*1000</f>
        <v>5920.5917650258089</v>
      </c>
      <c r="BS328" s="117">
        <f t="shared" ref="BS328" si="808">BR328-BR316</f>
        <v>517.00262409963307</v>
      </c>
      <c r="BT328" s="176">
        <f t="shared" ref="BT328" si="809">BK328+BP328</f>
        <v>942795.03266270983</v>
      </c>
      <c r="BU328" s="117">
        <f t="shared" ref="BU328" si="810">BT328-BT316</f>
        <v>74432.854126732447</v>
      </c>
      <c r="BV328" s="139">
        <f t="shared" ref="BV328" si="811">BT328-BP328</f>
        <v>-5495</v>
      </c>
      <c r="BW328" s="536">
        <f>BT328/[9]CMWh!$L208</f>
        <v>1.0439380107746197</v>
      </c>
    </row>
    <row r="329" spans="1:111" ht="12.75" customHeight="1">
      <c r="A329" s="22">
        <f t="shared" si="329"/>
        <v>2010</v>
      </c>
      <c r="B329" s="4">
        <f t="shared" si="330"/>
        <v>1</v>
      </c>
      <c r="C329" s="5">
        <f>'[2]FPC wSEB'!$E426</f>
        <v>909100</v>
      </c>
      <c r="D329" s="5">
        <f>'[2]FPC wSEB'!$Y426</f>
        <v>160133</v>
      </c>
      <c r="E329" s="74">
        <f t="shared" ref="E329" si="812">ROUND((C329/D329)*1000,1)</f>
        <v>5677.2</v>
      </c>
      <c r="F329" s="358">
        <v>94658</v>
      </c>
      <c r="G329" s="358">
        <v>107010</v>
      </c>
      <c r="H329" s="358">
        <v>12296</v>
      </c>
      <c r="I329" s="358">
        <v>5260</v>
      </c>
      <c r="J329" s="574">
        <f>[5]CC!$E209</f>
        <v>161016</v>
      </c>
      <c r="K329" s="4">
        <f>'[7]COM 55 &amp; 65'!$S414</f>
        <v>51.1</v>
      </c>
      <c r="L329" s="4">
        <f t="shared" si="216"/>
        <v>70.8</v>
      </c>
      <c r="M329" s="135">
        <f t="shared" ref="M329" si="813">(L329-K329)</f>
        <v>19.699999999999996</v>
      </c>
      <c r="N329" s="4">
        <f>'[7]COM 55 &amp; 65'!$J414</f>
        <v>134.30000000000001</v>
      </c>
      <c r="O329" s="4">
        <f t="shared" si="209"/>
        <v>54.9</v>
      </c>
      <c r="P329" s="41">
        <f t="shared" ref="P329" si="814">(O329-N329)</f>
        <v>-79.400000000000006</v>
      </c>
      <c r="Q329" s="474">
        <f t="shared" ref="Q329:Q334" si="815">M329*$G$10</f>
        <v>13829.675799999997</v>
      </c>
      <c r="R329" s="472">
        <f t="shared" ref="R329:R334" si="816">P329*$G$9</f>
        <v>-48303.0694</v>
      </c>
      <c r="S329" s="241">
        <f t="shared" ref="S329" si="817">ROUND(SUM(Q329,R329),0)</f>
        <v>-34473</v>
      </c>
      <c r="T329" s="13" t="s">
        <v>18</v>
      </c>
      <c r="U329" s="23">
        <f t="shared" si="217"/>
        <v>2010</v>
      </c>
      <c r="V329" s="23">
        <f t="shared" si="218"/>
        <v>1</v>
      </c>
      <c r="W329" s="336">
        <f t="shared" ref="W329" si="818">Z329/D329*1000</f>
        <v>5461.8785634441374</v>
      </c>
      <c r="X329" s="338">
        <f t="shared" ref="X329" si="819">W329-W317</f>
        <v>25.618360624449451</v>
      </c>
      <c r="Y329" s="339"/>
      <c r="Z329" s="178">
        <f t="shared" ref="Z329" si="820">S329+C329</f>
        <v>874627</v>
      </c>
      <c r="AA329" s="340">
        <f t="shared" ref="AA329" si="821">Z329-C329</f>
        <v>-34473</v>
      </c>
      <c r="AB329" s="518">
        <f>[9]CMWh!$L209</f>
        <v>885067</v>
      </c>
      <c r="AC329" s="341">
        <f>RESID!AC329</f>
        <v>32.200000000000003</v>
      </c>
      <c r="AD329" s="342">
        <f t="shared" ref="AD329" si="822">ROUND(C329/(AC329/30.42),1)</f>
        <v>858845.4</v>
      </c>
      <c r="AE329" s="342">
        <f t="shared" ref="AE329" si="823">AD329-AD317</f>
        <v>22346.5</v>
      </c>
      <c r="AF329" s="23">
        <f t="shared" ref="AF329" si="824">AG329-C329</f>
        <v>-82822</v>
      </c>
      <c r="AG329" s="23">
        <f t="shared" ref="AG329" si="825">ROUND(Z329/(AC329/30.42),0)</f>
        <v>826278</v>
      </c>
      <c r="AH329" s="23">
        <f t="shared" ref="AH329" si="826">AG329-AG317</f>
        <v>-5567</v>
      </c>
      <c r="AI329" s="23"/>
      <c r="AJ329" s="352">
        <f t="shared" ref="AJ329" si="827">C329-AM329-AP329</f>
        <v>802146</v>
      </c>
      <c r="AK329" s="352">
        <f t="shared" ref="AK329" si="828">D329-AN329-AQ329</f>
        <v>47863</v>
      </c>
      <c r="AL329" s="353">
        <f t="shared" ref="AL329" si="829">AJ329/AK329*1000</f>
        <v>16759.208574472974</v>
      </c>
      <c r="AM329" s="352">
        <f t="shared" ref="AM329" si="830">F329</f>
        <v>94658</v>
      </c>
      <c r="AN329" s="352">
        <f t="shared" ref="AN329" si="831">G329</f>
        <v>107010</v>
      </c>
      <c r="AO329" s="353">
        <f t="shared" ref="AO329" si="832">AM329/AN329*1000</f>
        <v>884.57153537052614</v>
      </c>
      <c r="AP329" s="352">
        <f t="shared" ref="AP329" si="833">H329</f>
        <v>12296</v>
      </c>
      <c r="AQ329" s="352">
        <f t="shared" ref="AQ329" si="834">I329</f>
        <v>5260</v>
      </c>
      <c r="AR329" s="353">
        <f t="shared" ref="AR329" si="835">AP329/AQ329*1000</f>
        <v>2337.6425855513307</v>
      </c>
      <c r="AX329" s="4">
        <f t="shared" si="331"/>
        <v>2010</v>
      </c>
      <c r="AY329" s="4">
        <f t="shared" si="332"/>
        <v>1</v>
      </c>
      <c r="AZ329" s="366">
        <f>'[8]COM 55 &amp; 65'!$S414</f>
        <v>29.3</v>
      </c>
      <c r="BA329" s="366">
        <f t="shared" si="221"/>
        <v>72.3</v>
      </c>
      <c r="BB329" s="367">
        <f t="shared" ref="BB329" si="836">(BA329-AZ329)</f>
        <v>43</v>
      </c>
      <c r="BC329" s="367"/>
      <c r="BD329" s="366">
        <f>'[8]COM 55 &amp; 65'!$J414</f>
        <v>175.2</v>
      </c>
      <c r="BE329" s="366">
        <f t="shared" si="222"/>
        <v>52.4</v>
      </c>
      <c r="BF329" s="368">
        <f t="shared" ref="BF329" si="837">(BE329-BD329)</f>
        <v>-122.79999999999998</v>
      </c>
      <c r="BH329" s="244">
        <f t="shared" ref="BH329:BH334" si="838">BB329*$G$10</f>
        <v>30186.601999999999</v>
      </c>
      <c r="BI329" s="242">
        <f t="shared" ref="BI329:BI334" si="839">BF329*$G$9</f>
        <v>-74705.502799999987</v>
      </c>
      <c r="BJ329" s="242"/>
      <c r="BK329" s="241">
        <f t="shared" ref="BK329" si="840">ROUND(SUM(BH329,BI329),0)</f>
        <v>-44519</v>
      </c>
      <c r="BL329" s="262"/>
      <c r="BM329" s="36" t="s">
        <v>18</v>
      </c>
      <c r="BN329" s="4">
        <f t="shared" si="223"/>
        <v>2010</v>
      </c>
      <c r="BO329" s="4">
        <f t="shared" si="224"/>
        <v>1</v>
      </c>
      <c r="BP329" s="108">
        <f>C329+[4]MWh!$AK163</f>
        <v>866467.45862589881</v>
      </c>
      <c r="BQ329" s="76">
        <f t="shared" ref="BQ329" si="841">BP329/D329*1000</f>
        <v>5410.9237860147423</v>
      </c>
      <c r="BR329" s="130">
        <f t="shared" ref="BR329" si="842">BT329/D329*1000</f>
        <v>5132.911134031704</v>
      </c>
      <c r="BS329" s="108">
        <f t="shared" ref="BS329" si="843">BR329-BR317</f>
        <v>-598.29308503574703</v>
      </c>
      <c r="BT329" s="175">
        <f t="shared" ref="BT329" si="844">BK329+BP329</f>
        <v>821948.45862589881</v>
      </c>
      <c r="BU329" s="108">
        <f t="shared" ref="BU329" si="845">BT329-BT317</f>
        <v>-104901.88768168946</v>
      </c>
      <c r="BV329" s="137">
        <f t="shared" ref="BV329" si="846">BT329-BP329</f>
        <v>-44519</v>
      </c>
      <c r="BW329" s="529">
        <f>BT329/[9]CMWh!$L209</f>
        <v>0.92868501325424946</v>
      </c>
      <c r="DA329" s="50">
        <f>(663.233*M329)+(570.985*P329)</f>
        <v>-32270.518900000006</v>
      </c>
      <c r="DB329" s="108">
        <f>[9]CMWh!$E209</f>
        <v>919540</v>
      </c>
      <c r="DC329" s="50"/>
      <c r="DD329" s="108"/>
      <c r="DE329" s="50"/>
      <c r="DF329" s="23"/>
      <c r="DG329" s="50">
        <f>DB329+DA329</f>
        <v>887269.48109999998</v>
      </c>
    </row>
    <row r="330" spans="1:111" ht="12.75" customHeight="1">
      <c r="A330" s="22">
        <f t="shared" si="329"/>
        <v>2010</v>
      </c>
      <c r="B330" s="4">
        <f t="shared" si="330"/>
        <v>2</v>
      </c>
      <c r="C330" s="5">
        <f>'[2]FPC wSEB'!$E427</f>
        <v>843529</v>
      </c>
      <c r="D330" s="5">
        <f>'[2]FPC wSEB'!$Y427</f>
        <v>158444</v>
      </c>
      <c r="E330" s="74">
        <f t="shared" ref="E330" si="847">ROUND((C330/D330)*1000,1)</f>
        <v>5323.8</v>
      </c>
      <c r="F330" s="358">
        <v>86969</v>
      </c>
      <c r="G330" s="358">
        <v>104861</v>
      </c>
      <c r="H330" s="358">
        <v>12315</v>
      </c>
      <c r="I330" s="358">
        <v>5241</v>
      </c>
      <c r="J330" s="574">
        <f>[5]CC!$E210</f>
        <v>161060</v>
      </c>
      <c r="K330" s="4">
        <f>'[7]COM 55 &amp; 65'!$S415</f>
        <v>29.8</v>
      </c>
      <c r="L330" s="4">
        <f t="shared" si="216"/>
        <v>62.7</v>
      </c>
      <c r="M330" s="135">
        <f t="shared" ref="M330" si="848">(L330-K330)</f>
        <v>32.900000000000006</v>
      </c>
      <c r="N330" s="4">
        <f>'[7]COM 55 &amp; 65'!$J415</f>
        <v>105.7</v>
      </c>
      <c r="O330" s="4">
        <f t="shared" si="209"/>
        <v>46.9</v>
      </c>
      <c r="P330" s="41">
        <f t="shared" ref="P330" si="849">(O330-N330)</f>
        <v>-58.800000000000004</v>
      </c>
      <c r="Q330" s="474">
        <f t="shared" si="815"/>
        <v>23096.260600000005</v>
      </c>
      <c r="R330" s="472">
        <f t="shared" si="816"/>
        <v>-35771.038800000002</v>
      </c>
      <c r="S330" s="241">
        <f t="shared" ref="S330" si="850">ROUND(SUM(Q330,R330),0)</f>
        <v>-12675</v>
      </c>
      <c r="T330" s="13" t="s">
        <v>18</v>
      </c>
      <c r="U330" s="23">
        <f t="shared" si="217"/>
        <v>2010</v>
      </c>
      <c r="V330" s="23">
        <f t="shared" si="218"/>
        <v>2</v>
      </c>
      <c r="W330" s="336">
        <f t="shared" ref="W330" si="851">Z330/D330*1000</f>
        <v>5243.8337835449747</v>
      </c>
      <c r="X330" s="338">
        <f t="shared" ref="X330" si="852">W330-W318</f>
        <v>263.91846088977854</v>
      </c>
      <c r="Y330" s="339"/>
      <c r="Z330" s="178">
        <f t="shared" ref="Z330" si="853">S330+C330</f>
        <v>830854</v>
      </c>
      <c r="AA330" s="340">
        <f t="shared" ref="AA330" si="854">Z330-C330</f>
        <v>-12675</v>
      </c>
      <c r="AB330" s="518">
        <f>[9]CMWh!$L210</f>
        <v>836646</v>
      </c>
      <c r="AC330" s="341">
        <f>RESID!AC330</f>
        <v>29.6</v>
      </c>
      <c r="AD330" s="342">
        <f t="shared" ref="AD330" si="855">ROUND(C330/(AC330/30.42),1)</f>
        <v>866897</v>
      </c>
      <c r="AE330" s="342">
        <f t="shared" ref="AE330" si="856">AD330-AD318</f>
        <v>17051.800000000047</v>
      </c>
      <c r="AF330" s="23">
        <f t="shared" ref="AF330" si="857">AG330-C330</f>
        <v>10342</v>
      </c>
      <c r="AG330" s="23">
        <f t="shared" ref="AG330" si="858">ROUND(Z330/(AC330/30.42),0)</f>
        <v>853871</v>
      </c>
      <c r="AH330" s="23">
        <f t="shared" ref="AH330" si="859">AG330-AG318</f>
        <v>22025</v>
      </c>
      <c r="AI330" s="23"/>
      <c r="AJ330" s="352">
        <f t="shared" ref="AJ330" si="860">C330-AM330-AP330</f>
        <v>744245</v>
      </c>
      <c r="AK330" s="352">
        <f t="shared" ref="AK330" si="861">D330-AN330-AQ330</f>
        <v>48342</v>
      </c>
      <c r="AL330" s="353">
        <f t="shared" ref="AL330" si="862">AJ330/AK330*1000</f>
        <v>15395.411857184228</v>
      </c>
      <c r="AM330" s="352">
        <f t="shared" ref="AM330" si="863">F330</f>
        <v>86969</v>
      </c>
      <c r="AN330" s="352">
        <f t="shared" ref="AN330" si="864">G330</f>
        <v>104861</v>
      </c>
      <c r="AO330" s="353">
        <f t="shared" ref="AO330" si="865">AM330/AN330*1000</f>
        <v>829.37412384013123</v>
      </c>
      <c r="AP330" s="352">
        <f t="shared" ref="AP330" si="866">H330</f>
        <v>12315</v>
      </c>
      <c r="AQ330" s="352">
        <f t="shared" ref="AQ330" si="867">I330</f>
        <v>5241</v>
      </c>
      <c r="AR330" s="353">
        <f t="shared" ref="AR330" si="868">AP330/AQ330*1000</f>
        <v>2349.7424155695476</v>
      </c>
      <c r="AX330" s="4">
        <f t="shared" si="331"/>
        <v>2010</v>
      </c>
      <c r="AY330" s="4">
        <f t="shared" si="332"/>
        <v>2</v>
      </c>
      <c r="AZ330" s="366">
        <f>'[8]COM 55 &amp; 65'!$S415</f>
        <v>12.8</v>
      </c>
      <c r="BA330" s="366">
        <f t="shared" si="221"/>
        <v>82.6</v>
      </c>
      <c r="BB330" s="367">
        <f t="shared" ref="BB330" si="869">(BA330-AZ330)</f>
        <v>69.8</v>
      </c>
      <c r="BC330" s="367"/>
      <c r="BD330" s="366">
        <f>'[8]COM 55 &amp; 65'!$J415</f>
        <v>112</v>
      </c>
      <c r="BE330" s="366">
        <f t="shared" si="222"/>
        <v>36.5</v>
      </c>
      <c r="BF330" s="368">
        <f t="shared" ref="BF330" si="870">(BE330-BD330)</f>
        <v>-75.5</v>
      </c>
      <c r="BH330" s="244">
        <f t="shared" si="838"/>
        <v>49000.5772</v>
      </c>
      <c r="BI330" s="242">
        <f t="shared" si="839"/>
        <v>-45930.500500000002</v>
      </c>
      <c r="BJ330" s="242"/>
      <c r="BK330" s="241">
        <f t="shared" ref="BK330" si="871">ROUND(SUM(BH330,BI330),0)</f>
        <v>3070</v>
      </c>
      <c r="BL330" s="262"/>
      <c r="BM330" s="36" t="s">
        <v>18</v>
      </c>
      <c r="BN330" s="4">
        <f t="shared" si="223"/>
        <v>2010</v>
      </c>
      <c r="BO330" s="4">
        <f t="shared" si="224"/>
        <v>2</v>
      </c>
      <c r="BP330" s="108">
        <f>C330+[4]MWh!$AK164</f>
        <v>864459.79334056168</v>
      </c>
      <c r="BQ330" s="76">
        <f t="shared" ref="BQ330" si="872">BP330/D330*1000</f>
        <v>5455.9326534331485</v>
      </c>
      <c r="BR330" s="130">
        <f t="shared" ref="BR330" si="873">BT330/D330*1000</f>
        <v>5475.3085843614253</v>
      </c>
      <c r="BS330" s="108">
        <f t="shared" ref="BS330" si="874">BR330-BR318</f>
        <v>1208.8808163437561</v>
      </c>
      <c r="BT330" s="175">
        <f t="shared" ref="BT330" si="875">BK330+BP330</f>
        <v>867529.79334056168</v>
      </c>
      <c r="BU330" s="108">
        <f t="shared" ref="BU330" si="876">BT330-BT318</f>
        <v>175246.42441871064</v>
      </c>
      <c r="BV330" s="137">
        <f t="shared" ref="BV330" si="877">BT330-BP330</f>
        <v>3070</v>
      </c>
      <c r="BW330" s="529">
        <f>BT330/[9]CMWh!$L210</f>
        <v>1.0369138122223278</v>
      </c>
      <c r="DA330" s="50">
        <f t="shared" ref="DA330:DA364" si="878">(663.233*M330)+(570.985*P330)</f>
        <v>-11753.552300000003</v>
      </c>
      <c r="DB330" s="108">
        <f>[9]CMWh!$E210</f>
        <v>849321</v>
      </c>
      <c r="DC330" s="50"/>
      <c r="DD330" s="108"/>
      <c r="DE330" s="50"/>
      <c r="DF330" s="23"/>
      <c r="DG330" s="50">
        <f t="shared" ref="DG330:DG364" si="879">DB330+DA330</f>
        <v>837567.44770000002</v>
      </c>
    </row>
    <row r="331" spans="1:111" ht="12.75" customHeight="1">
      <c r="A331" s="22">
        <f t="shared" si="329"/>
        <v>2010</v>
      </c>
      <c r="B331" s="4">
        <f t="shared" si="330"/>
        <v>3</v>
      </c>
      <c r="C331" s="5">
        <f>'[2]FPC wSEB'!$E428</f>
        <v>844159</v>
      </c>
      <c r="D331" s="5">
        <f>'[2]FPC wSEB'!$Y428</f>
        <v>162994</v>
      </c>
      <c r="E331" s="74">
        <f t="shared" ref="E331" si="880">ROUND((C331/D331)*1000,1)</f>
        <v>5179.1000000000004</v>
      </c>
      <c r="F331" s="358">
        <v>87159</v>
      </c>
      <c r="G331" s="358">
        <v>108571</v>
      </c>
      <c r="H331" s="358">
        <v>12340</v>
      </c>
      <c r="I331" s="358">
        <v>5224</v>
      </c>
      <c r="J331" s="574">
        <f>[5]CC!$E211</f>
        <v>161282</v>
      </c>
      <c r="K331" s="4">
        <f>'[7]COM 55 &amp; 65'!$S416</f>
        <v>15.7</v>
      </c>
      <c r="L331" s="4">
        <f t="shared" si="216"/>
        <v>105.4</v>
      </c>
      <c r="M331" s="135">
        <f t="shared" ref="M331" si="881">(L331-K331)</f>
        <v>89.7</v>
      </c>
      <c r="N331" s="4">
        <f>'[7]COM 55 &amp; 65'!$J416</f>
        <v>101.5</v>
      </c>
      <c r="O331" s="4">
        <f t="shared" si="209"/>
        <v>26.8</v>
      </c>
      <c r="P331" s="41">
        <f t="shared" ref="P331" si="882">(O331-N331)</f>
        <v>-74.7</v>
      </c>
      <c r="Q331" s="474">
        <f t="shared" si="815"/>
        <v>62970.6558</v>
      </c>
      <c r="R331" s="472">
        <f t="shared" si="816"/>
        <v>-45443.8197</v>
      </c>
      <c r="S331" s="241">
        <f t="shared" ref="S331" si="883">ROUND(SUM(Q331,R331),0)</f>
        <v>17527</v>
      </c>
      <c r="T331" s="13" t="s">
        <v>18</v>
      </c>
      <c r="U331" s="23">
        <f t="shared" si="217"/>
        <v>2010</v>
      </c>
      <c r="V331" s="23">
        <f t="shared" si="218"/>
        <v>3</v>
      </c>
      <c r="W331" s="336">
        <f t="shared" ref="W331" si="884">Z331/D331*1000</f>
        <v>5286.61177712063</v>
      </c>
      <c r="X331" s="338">
        <f t="shared" ref="X331" si="885">W331-W319</f>
        <v>-21.807831211664052</v>
      </c>
      <c r="Y331" s="339"/>
      <c r="Z331" s="178">
        <f t="shared" ref="Z331" si="886">S331+C331</f>
        <v>861686</v>
      </c>
      <c r="AA331" s="340">
        <f t="shared" ref="AA331" si="887">Z331-C331</f>
        <v>17527</v>
      </c>
      <c r="AB331" s="518">
        <f>[9]CMWh!$L211</f>
        <v>852104</v>
      </c>
      <c r="AC331" s="341">
        <f>RESID!AC331</f>
        <v>29.4</v>
      </c>
      <c r="AD331" s="342">
        <f t="shared" ref="AD331" si="888">ROUND(C331/(AC331/30.42),1)</f>
        <v>873446.1</v>
      </c>
      <c r="AE331" s="342">
        <f t="shared" ref="AE331" si="889">AD331-AD319</f>
        <v>1230.7999999999302</v>
      </c>
      <c r="AF331" s="23">
        <f t="shared" ref="AF331" si="890">AG331-C331</f>
        <v>47422</v>
      </c>
      <c r="AG331" s="23">
        <f t="shared" ref="AG331" si="891">ROUND(Z331/(AC331/30.42),0)</f>
        <v>891581</v>
      </c>
      <c r="AH331" s="23">
        <f t="shared" ref="AH331" si="892">AG331-AG319</f>
        <v>12394</v>
      </c>
      <c r="AI331" s="23"/>
      <c r="AJ331" s="352">
        <f t="shared" ref="AJ331" si="893">C331-AM331-AP331</f>
        <v>744660</v>
      </c>
      <c r="AK331" s="352">
        <f t="shared" ref="AK331" si="894">D331-AN331-AQ331</f>
        <v>49199</v>
      </c>
      <c r="AL331" s="353">
        <f t="shared" ref="AL331" si="895">AJ331/AK331*1000</f>
        <v>15135.673489298562</v>
      </c>
      <c r="AM331" s="352">
        <f t="shared" ref="AM331" si="896">F331</f>
        <v>87159</v>
      </c>
      <c r="AN331" s="352">
        <f t="shared" ref="AN331" si="897">G331</f>
        <v>108571</v>
      </c>
      <c r="AO331" s="353">
        <f t="shared" ref="AO331" si="898">AM331/AN331*1000</f>
        <v>802.78343203986333</v>
      </c>
      <c r="AP331" s="352">
        <f t="shared" ref="AP331" si="899">H331</f>
        <v>12340</v>
      </c>
      <c r="AQ331" s="352">
        <f t="shared" ref="AQ331" si="900">I331</f>
        <v>5224</v>
      </c>
      <c r="AR331" s="353">
        <f t="shared" ref="AR331" si="901">AP331/AQ331*1000</f>
        <v>2362.1745788667686</v>
      </c>
      <c r="AX331" s="4">
        <f t="shared" si="331"/>
        <v>2010</v>
      </c>
      <c r="AY331" s="4">
        <f t="shared" si="332"/>
        <v>3</v>
      </c>
      <c r="AZ331" s="366">
        <f>'[8]COM 55 &amp; 65'!$S416</f>
        <v>37.799999999999997</v>
      </c>
      <c r="BA331" s="366">
        <f t="shared" si="221"/>
        <v>140.4</v>
      </c>
      <c r="BB331" s="367">
        <f t="shared" ref="BB331" si="902">(BA331-AZ331)</f>
        <v>102.60000000000001</v>
      </c>
      <c r="BC331" s="367"/>
      <c r="BD331" s="366">
        <f>'[8]COM 55 &amp; 65'!$J416</f>
        <v>37.4</v>
      </c>
      <c r="BE331" s="366">
        <f t="shared" si="222"/>
        <v>15.1</v>
      </c>
      <c r="BF331" s="368">
        <f t="shared" ref="BF331" si="903">(BE331-BD331)</f>
        <v>-22.299999999999997</v>
      </c>
      <c r="BH331" s="244">
        <f t="shared" si="838"/>
        <v>72026.636400000003</v>
      </c>
      <c r="BI331" s="242">
        <f t="shared" si="839"/>
        <v>-13566.227299999999</v>
      </c>
      <c r="BJ331" s="242"/>
      <c r="BK331" s="241">
        <f t="shared" ref="BK331" si="904">ROUND(SUM(BH331,BI331),0)</f>
        <v>58460</v>
      </c>
      <c r="BL331" s="262"/>
      <c r="BM331" s="36" t="s">
        <v>18</v>
      </c>
      <c r="BN331" s="4">
        <f t="shared" si="223"/>
        <v>2010</v>
      </c>
      <c r="BO331" s="4">
        <f t="shared" si="224"/>
        <v>3</v>
      </c>
      <c r="BP331" s="108">
        <f>C331+[4]MWh!$AK165</f>
        <v>761132.89286562358</v>
      </c>
      <c r="BQ331" s="76">
        <f t="shared" ref="BQ331" si="905">BP331/D331*1000</f>
        <v>4669.6988408507277</v>
      </c>
      <c r="BR331" s="130">
        <f t="shared" ref="BR331" si="906">BT331/D331*1000</f>
        <v>5028.3623499369514</v>
      </c>
      <c r="BS331" s="108">
        <f t="shared" ref="BS331" si="907">BR331-BR319</f>
        <v>-684.84538420274748</v>
      </c>
      <c r="BT331" s="175">
        <f t="shared" ref="BT331" si="908">BK331+BP331</f>
        <v>819592.89286562358</v>
      </c>
      <c r="BU331" s="108">
        <f t="shared" ref="BU331" si="909">BT331-BT319</f>
        <v>-96462.835226335796</v>
      </c>
      <c r="BV331" s="137">
        <f t="shared" ref="BV331" si="910">BT331-BP331</f>
        <v>58460</v>
      </c>
      <c r="BW331" s="529">
        <f>BT331/[9]CMWh!$L211</f>
        <v>0.96184608083710854</v>
      </c>
      <c r="DA331" s="50">
        <f t="shared" si="878"/>
        <v>16839.420599999998</v>
      </c>
      <c r="DB331" s="108">
        <f>[9]CMWh!$E211</f>
        <v>834577</v>
      </c>
      <c r="DC331" s="50"/>
      <c r="DD331" s="108"/>
      <c r="DE331" s="50"/>
      <c r="DF331" s="23"/>
      <c r="DG331" s="50">
        <f t="shared" si="879"/>
        <v>851416.42059999995</v>
      </c>
    </row>
    <row r="332" spans="1:111" ht="12.75" customHeight="1">
      <c r="A332" s="22">
        <f t="shared" si="329"/>
        <v>2010</v>
      </c>
      <c r="B332" s="4">
        <f t="shared" si="330"/>
        <v>4</v>
      </c>
      <c r="C332" s="5">
        <f>'[2]FPC wSEB'!$E429</f>
        <v>873347</v>
      </c>
      <c r="D332" s="5">
        <f>'[2]FPC wSEB'!$Y429</f>
        <v>161961</v>
      </c>
      <c r="E332" s="74">
        <f t="shared" ref="E332" si="911">ROUND((C332/D332)*1000,1)</f>
        <v>5392.3</v>
      </c>
      <c r="F332" s="358">
        <v>80660</v>
      </c>
      <c r="G332" s="358">
        <v>108010</v>
      </c>
      <c r="H332" s="358">
        <v>12281</v>
      </c>
      <c r="I332" s="358">
        <v>5198</v>
      </c>
      <c r="J332" s="574">
        <f>[5]CC!$E212</f>
        <v>161453</v>
      </c>
      <c r="K332" s="4">
        <f>'[7]COM 55 &amp; 65'!$S417</f>
        <v>99.1</v>
      </c>
      <c r="L332" s="4">
        <f t="shared" si="216"/>
        <v>178.4</v>
      </c>
      <c r="M332" s="135">
        <f t="shared" ref="M332" si="912">(L332-K332)</f>
        <v>79.300000000000011</v>
      </c>
      <c r="N332" s="4">
        <f>'[7]COM 55 &amp; 65'!$J417</f>
        <v>15.9</v>
      </c>
      <c r="O332" s="4">
        <f t="shared" si="209"/>
        <v>9.5</v>
      </c>
      <c r="P332" s="41">
        <f t="shared" ref="P332" si="913">(O332-N332)</f>
        <v>-6.4</v>
      </c>
      <c r="Q332" s="474">
        <f t="shared" si="815"/>
        <v>55669.710200000009</v>
      </c>
      <c r="R332" s="472">
        <f t="shared" si="816"/>
        <v>-3893.4464000000003</v>
      </c>
      <c r="S332" s="241">
        <f t="shared" ref="S332" si="914">ROUND(SUM(Q332,R332),0)</f>
        <v>51776</v>
      </c>
      <c r="T332" s="13" t="s">
        <v>18</v>
      </c>
      <c r="U332" s="23">
        <f t="shared" si="217"/>
        <v>2010</v>
      </c>
      <c r="V332" s="23">
        <f t="shared" si="218"/>
        <v>4</v>
      </c>
      <c r="W332" s="336">
        <f t="shared" ref="W332" si="915">Z332/D332*1000</f>
        <v>5712.0109162082235</v>
      </c>
      <c r="X332" s="338">
        <f t="shared" ref="X332" si="916">W332-W320</f>
        <v>69.329969670968239</v>
      </c>
      <c r="Y332" s="339"/>
      <c r="Z332" s="178">
        <f t="shared" ref="Z332" si="917">S332+C332</f>
        <v>925123</v>
      </c>
      <c r="AA332" s="340">
        <f t="shared" ref="AA332" si="918">Z332-C332</f>
        <v>51776</v>
      </c>
      <c r="AB332" s="518">
        <f>[9]CMWh!$L212</f>
        <v>913341</v>
      </c>
      <c r="AC332" s="341">
        <f>RESID!AC332</f>
        <v>30.45</v>
      </c>
      <c r="AD332" s="342">
        <f t="shared" ref="AD332" si="919">ROUND(C332/(AC332/30.42),1)</f>
        <v>872486.6</v>
      </c>
      <c r="AE332" s="342">
        <f t="shared" ref="AE332" si="920">AD332-AD320</f>
        <v>-106388.70000000007</v>
      </c>
      <c r="AF332" s="23">
        <f t="shared" ref="AF332" si="921">AG332-C332</f>
        <v>50865</v>
      </c>
      <c r="AG332" s="23">
        <f t="shared" ref="AG332" si="922">ROUND(Z332/(AC332/30.42),0)</f>
        <v>924212</v>
      </c>
      <c r="AH332" s="23">
        <f t="shared" ref="AH332" si="923">AG332-AG320</f>
        <v>-42458</v>
      </c>
      <c r="AI332" s="23"/>
      <c r="AJ332" s="352">
        <f t="shared" ref="AJ332" si="924">C332-AM332-AP332</f>
        <v>780406</v>
      </c>
      <c r="AK332" s="352">
        <f t="shared" ref="AK332" si="925">D332-AN332-AQ332</f>
        <v>48753</v>
      </c>
      <c r="AL332" s="353">
        <f t="shared" ref="AL332" si="926">AJ332/AK332*1000</f>
        <v>16007.343137858183</v>
      </c>
      <c r="AM332" s="352">
        <f t="shared" ref="AM332" si="927">F332</f>
        <v>80660</v>
      </c>
      <c r="AN332" s="352">
        <f t="shared" ref="AN332" si="928">G332</f>
        <v>108010</v>
      </c>
      <c r="AO332" s="353">
        <f t="shared" ref="AO332" si="929">AM332/AN332*1000</f>
        <v>746.78270530506427</v>
      </c>
      <c r="AP332" s="352">
        <f t="shared" ref="AP332" si="930">H332</f>
        <v>12281</v>
      </c>
      <c r="AQ332" s="352">
        <f t="shared" ref="AQ332" si="931">I332</f>
        <v>5198</v>
      </c>
      <c r="AR332" s="353">
        <f t="shared" ref="AR332" si="932">AP332/AQ332*1000</f>
        <v>2362.6394767218158</v>
      </c>
      <c r="AX332" s="4">
        <f t="shared" si="331"/>
        <v>2010</v>
      </c>
      <c r="AY332" s="4">
        <f t="shared" si="332"/>
        <v>4</v>
      </c>
      <c r="AZ332" s="366">
        <f>'[8]COM 55 &amp; 65'!$S417</f>
        <v>212.7</v>
      </c>
      <c r="BA332" s="366">
        <f t="shared" si="221"/>
        <v>227.4</v>
      </c>
      <c r="BB332" s="367">
        <f t="shared" ref="BB332" si="933">(BA332-AZ332)</f>
        <v>14.700000000000017</v>
      </c>
      <c r="BC332" s="367"/>
      <c r="BD332" s="366">
        <f>'[8]COM 55 &amp; 65'!$J417</f>
        <v>1.1000000000000001</v>
      </c>
      <c r="BE332" s="366">
        <f t="shared" si="222"/>
        <v>4.8</v>
      </c>
      <c r="BF332" s="368">
        <f t="shared" ref="BF332" si="934">(BE332-BD332)</f>
        <v>3.6999999999999997</v>
      </c>
      <c r="BH332" s="244">
        <f t="shared" si="838"/>
        <v>10319.605800000012</v>
      </c>
      <c r="BI332" s="242">
        <f t="shared" si="839"/>
        <v>2250.8986999999997</v>
      </c>
      <c r="BJ332" s="242"/>
      <c r="BK332" s="241">
        <f t="shared" ref="BK332" si="935">ROUND(SUM(BH332,BI332),0)</f>
        <v>12571</v>
      </c>
      <c r="BL332" s="262"/>
      <c r="BM332" s="36" t="s">
        <v>18</v>
      </c>
      <c r="BN332" s="4">
        <f t="shared" si="223"/>
        <v>2010</v>
      </c>
      <c r="BO332" s="4">
        <f t="shared" si="224"/>
        <v>4</v>
      </c>
      <c r="BP332" s="108">
        <f>C332+[4]MWh!$AK166</f>
        <v>970044.75559071451</v>
      </c>
      <c r="BQ332" s="76">
        <f t="shared" ref="BQ332" si="936">BP332/D332*1000</f>
        <v>5989.3724760325913</v>
      </c>
      <c r="BR332" s="130">
        <f t="shared" ref="BR332" si="937">BT332/D332*1000</f>
        <v>6066.989927147366</v>
      </c>
      <c r="BS332" s="108">
        <f t="shared" ref="BS332" si="938">BR332-BR320</f>
        <v>48.308252023613932</v>
      </c>
      <c r="BT332" s="175">
        <f t="shared" ref="BT332" si="939">BK332+BP332</f>
        <v>982615.75559071451</v>
      </c>
      <c r="BU332" s="108">
        <f t="shared" ref="BU332" si="940">BT332-BT320</f>
        <v>11525.542036197614</v>
      </c>
      <c r="BV332" s="137">
        <f t="shared" ref="BV332" si="941">BT332-BP332</f>
        <v>12571</v>
      </c>
      <c r="BW332" s="529">
        <f>BT332/[9]CMWh!$L212</f>
        <v>1.0758476358673426</v>
      </c>
      <c r="DA332" s="50">
        <f t="shared" si="878"/>
        <v>48940.072899999999</v>
      </c>
      <c r="DB332" s="108">
        <f>[9]CMWh!$E212</f>
        <v>861565</v>
      </c>
      <c r="DC332" s="50"/>
      <c r="DD332" s="108"/>
      <c r="DE332" s="50"/>
      <c r="DF332" s="23"/>
      <c r="DG332" s="50">
        <f t="shared" si="879"/>
        <v>910505.07290000003</v>
      </c>
    </row>
    <row r="333" spans="1:111" ht="12.75" customHeight="1">
      <c r="A333" s="22">
        <f t="shared" si="329"/>
        <v>2010</v>
      </c>
      <c r="B333" s="4">
        <f t="shared" si="330"/>
        <v>5</v>
      </c>
      <c r="C333" s="5">
        <f>'[2]FPC wSEB'!$E430</f>
        <v>951480</v>
      </c>
      <c r="D333" s="5">
        <f>'[2]FPC wSEB'!$Y430</f>
        <v>160310</v>
      </c>
      <c r="E333" s="74">
        <f t="shared" ref="E333" si="942">ROUND((C333/D333)*1000,1)</f>
        <v>5935.3</v>
      </c>
      <c r="F333" s="358">
        <v>91582</v>
      </c>
      <c r="G333" s="358">
        <v>107220</v>
      </c>
      <c r="H333" s="358">
        <v>12300</v>
      </c>
      <c r="I333" s="358">
        <v>5216</v>
      </c>
      <c r="J333" s="574">
        <f>[5]CC!$E213</f>
        <v>161480</v>
      </c>
      <c r="K333" s="4">
        <f>'[7]COM 55 &amp; 65'!$S418</f>
        <v>294.8</v>
      </c>
      <c r="L333" s="4">
        <f t="shared" si="216"/>
        <v>273.89999999999998</v>
      </c>
      <c r="M333" s="135">
        <f t="shared" ref="M333" si="943">(L333-K333)</f>
        <v>-20.900000000000034</v>
      </c>
      <c r="N333" s="4">
        <f>'[7]COM 55 &amp; 65'!$J418</f>
        <v>0.8</v>
      </c>
      <c r="O333" s="4">
        <f t="shared" si="209"/>
        <v>2</v>
      </c>
      <c r="P333" s="41">
        <f t="shared" ref="P333" si="944">(O333-N333)</f>
        <v>1.2</v>
      </c>
      <c r="Q333" s="474">
        <f t="shared" si="815"/>
        <v>-14672.092600000024</v>
      </c>
      <c r="R333" s="472">
        <f t="shared" si="816"/>
        <v>730.02120000000002</v>
      </c>
      <c r="S333" s="241">
        <f t="shared" ref="S333" si="945">ROUND(SUM(Q333,R333),0)</f>
        <v>-13942</v>
      </c>
      <c r="T333" s="13" t="s">
        <v>18</v>
      </c>
      <c r="U333" s="23">
        <f t="shared" si="217"/>
        <v>2010</v>
      </c>
      <c r="V333" s="23">
        <f t="shared" si="218"/>
        <v>5</v>
      </c>
      <c r="W333" s="336">
        <f t="shared" ref="W333" si="946">Z333/D333*1000</f>
        <v>5848.2814546815544</v>
      </c>
      <c r="X333" s="338">
        <f t="shared" ref="X333" si="947">W333-W321</f>
        <v>-79.935824068829788</v>
      </c>
      <c r="Y333" s="339"/>
      <c r="Z333" s="178">
        <f t="shared" ref="Z333" si="948">S333+C333</f>
        <v>937538</v>
      </c>
      <c r="AA333" s="340">
        <f t="shared" ref="AA333" si="949">Z333-C333</f>
        <v>-13942</v>
      </c>
      <c r="AB333" s="518">
        <f>[9]CMWh!$L213</f>
        <v>937685</v>
      </c>
      <c r="AC333" s="341">
        <f>RESID!AC333</f>
        <v>29.75</v>
      </c>
      <c r="AD333" s="342">
        <f t="shared" ref="AD333" si="950">ROUND(C333/(AC333/30.42),1)</f>
        <v>972908.3</v>
      </c>
      <c r="AE333" s="342">
        <f t="shared" ref="AE333" si="951">AD333-AD321</f>
        <v>-6051.6999999999534</v>
      </c>
      <c r="AF333" s="23">
        <f t="shared" ref="AF333" si="952">AG333-C333</f>
        <v>7172</v>
      </c>
      <c r="AG333" s="23">
        <f t="shared" ref="AG333" si="953">ROUND(Z333/(AC333/30.42),0)</f>
        <v>958652</v>
      </c>
      <c r="AH333" s="23">
        <f t="shared" ref="AH333" si="954">AG333-AG321</f>
        <v>4412</v>
      </c>
      <c r="AI333" s="23"/>
      <c r="AJ333" s="352">
        <f t="shared" ref="AJ333" si="955">C333-AM333-AP333</f>
        <v>847598</v>
      </c>
      <c r="AK333" s="352">
        <f t="shared" ref="AK333" si="956">D333-AN333-AQ333</f>
        <v>47874</v>
      </c>
      <c r="AL333" s="353">
        <f t="shared" ref="AL333" si="957">AJ333/AK333*1000</f>
        <v>17704.766679199565</v>
      </c>
      <c r="AM333" s="352">
        <f t="shared" ref="AM333" si="958">F333</f>
        <v>91582</v>
      </c>
      <c r="AN333" s="352">
        <f t="shared" ref="AN333" si="959">G333</f>
        <v>107220</v>
      </c>
      <c r="AO333" s="353">
        <f t="shared" ref="AO333" si="960">AM333/AN333*1000</f>
        <v>854.15034508487224</v>
      </c>
      <c r="AP333" s="352">
        <f t="shared" ref="AP333" si="961">H333</f>
        <v>12300</v>
      </c>
      <c r="AQ333" s="352">
        <f t="shared" ref="AQ333" si="962">I333</f>
        <v>5216</v>
      </c>
      <c r="AR333" s="353">
        <f t="shared" ref="AR333" si="963">AP333/AQ333*1000</f>
        <v>2358.1288343558281</v>
      </c>
      <c r="AX333" s="4">
        <f t="shared" si="331"/>
        <v>2010</v>
      </c>
      <c r="AY333" s="4">
        <f t="shared" si="332"/>
        <v>5</v>
      </c>
      <c r="AZ333" s="366">
        <f>'[8]COM 55 &amp; 65'!$S418</f>
        <v>462.5</v>
      </c>
      <c r="BA333" s="366">
        <f t="shared" si="221"/>
        <v>395.2</v>
      </c>
      <c r="BB333" s="367">
        <f t="shared" ref="BB333" si="964">(BA333-AZ333)</f>
        <v>-67.300000000000011</v>
      </c>
      <c r="BC333" s="367"/>
      <c r="BD333" s="366">
        <f>'[8]COM 55 &amp; 65'!$J418</f>
        <v>0</v>
      </c>
      <c r="BE333" s="366">
        <f t="shared" si="222"/>
        <v>0.2</v>
      </c>
      <c r="BF333" s="368">
        <f t="shared" ref="BF333" si="965">(BE333-BD333)</f>
        <v>0.2</v>
      </c>
      <c r="BH333" s="244">
        <f t="shared" si="838"/>
        <v>-47245.542200000011</v>
      </c>
      <c r="BI333" s="242">
        <f t="shared" si="839"/>
        <v>121.67020000000001</v>
      </c>
      <c r="BJ333" s="242"/>
      <c r="BK333" s="241">
        <f t="shared" ref="BK333" si="966">ROUND(SUM(BH333,BI333),0)</f>
        <v>-47124</v>
      </c>
      <c r="BL333" s="262"/>
      <c r="BM333" s="36" t="s">
        <v>18</v>
      </c>
      <c r="BN333" s="4">
        <f t="shared" si="223"/>
        <v>2010</v>
      </c>
      <c r="BO333" s="4">
        <f t="shared" si="224"/>
        <v>5</v>
      </c>
      <c r="BP333" s="108">
        <f>C333+[4]MWh!$AK167</f>
        <v>1104814.8662874601</v>
      </c>
      <c r="BQ333" s="76">
        <f t="shared" ref="BQ333" si="967">BP333/D333*1000</f>
        <v>6891.7401677216649</v>
      </c>
      <c r="BR333" s="130">
        <f t="shared" ref="BR333" si="968">BT333/D333*1000</f>
        <v>6597.7847064279213</v>
      </c>
      <c r="BS333" s="108">
        <f t="shared" ref="BS333" si="969">BR333-BR321</f>
        <v>-36.818727090054381</v>
      </c>
      <c r="BT333" s="175">
        <f t="shared" ref="BT333" si="970">BK333+BP333</f>
        <v>1057690.8662874601</v>
      </c>
      <c r="BU333" s="108">
        <f t="shared" ref="BU333" si="971">BT333-BT321</f>
        <v>-773.86168569722213</v>
      </c>
      <c r="BV333" s="137">
        <f t="shared" ref="BV333" si="972">BT333-BP333</f>
        <v>-47124</v>
      </c>
      <c r="BW333" s="529">
        <f>BT333/[9]CMWh!$L213</f>
        <v>1.1279810024554728</v>
      </c>
      <c r="DA333" s="50">
        <f t="shared" si="878"/>
        <v>-13176.387700000021</v>
      </c>
      <c r="DB333" s="108">
        <f>[9]CMWh!$E213</f>
        <v>951627</v>
      </c>
      <c r="DC333" s="50"/>
      <c r="DD333" s="108"/>
      <c r="DE333" s="50"/>
      <c r="DF333" s="23"/>
      <c r="DG333" s="50">
        <f t="shared" si="879"/>
        <v>938450.61229999992</v>
      </c>
    </row>
    <row r="334" spans="1:111" ht="12.75" customHeight="1">
      <c r="A334" s="22">
        <f t="shared" si="329"/>
        <v>2010</v>
      </c>
      <c r="B334" s="4">
        <f t="shared" si="330"/>
        <v>6</v>
      </c>
      <c r="C334" s="5">
        <f>'[2]FPC wSEB'!$E431</f>
        <v>1114029</v>
      </c>
      <c r="D334" s="5">
        <f>'[2]FPC wSEB'!$Y431</f>
        <v>162284</v>
      </c>
      <c r="E334" s="74">
        <f t="shared" ref="E334" si="973">ROUND((C334/D334)*1000,1)</f>
        <v>6864.7</v>
      </c>
      <c r="F334" s="358">
        <v>111187</v>
      </c>
      <c r="G334" s="358">
        <v>109096</v>
      </c>
      <c r="H334" s="358">
        <v>12377</v>
      </c>
      <c r="I334" s="358">
        <v>5190</v>
      </c>
      <c r="J334" s="574">
        <f>[5]CC!$E214</f>
        <v>161294</v>
      </c>
      <c r="K334" s="4">
        <f>'[7]COM 55 &amp; 65'!$S419</f>
        <v>489.9</v>
      </c>
      <c r="L334" s="4">
        <f t="shared" si="216"/>
        <v>442.7</v>
      </c>
      <c r="M334" s="135">
        <f t="shared" ref="M334" si="974">(L334-K334)</f>
        <v>-47.199999999999989</v>
      </c>
      <c r="N334" s="4">
        <f>'[7]COM 55 &amp; 65'!$J419</f>
        <v>0</v>
      </c>
      <c r="O334" s="4">
        <f t="shared" si="209"/>
        <v>0.1</v>
      </c>
      <c r="P334" s="41">
        <f t="shared" ref="P334" si="975">(O334-N334)</f>
        <v>0.1</v>
      </c>
      <c r="Q334" s="474">
        <f t="shared" si="815"/>
        <v>-33135.060799999992</v>
      </c>
      <c r="R334" s="472">
        <f t="shared" si="816"/>
        <v>60.835100000000004</v>
      </c>
      <c r="S334" s="241">
        <f t="shared" ref="S334" si="976">ROUND(SUM(Q334,R334),0)</f>
        <v>-33074</v>
      </c>
      <c r="T334" s="13" t="s">
        <v>18</v>
      </c>
      <c r="U334" s="23">
        <f t="shared" si="217"/>
        <v>2010</v>
      </c>
      <c r="V334" s="23">
        <f t="shared" si="218"/>
        <v>6</v>
      </c>
      <c r="W334" s="336">
        <f t="shared" ref="W334" si="977">Z334/D334*1000</f>
        <v>6660.8846220206551</v>
      </c>
      <c r="X334" s="338">
        <f t="shared" ref="X334" si="978">W334-W322</f>
        <v>94.672697178975795</v>
      </c>
      <c r="Y334" s="339"/>
      <c r="Z334" s="178">
        <f t="shared" ref="Z334" si="979">S334+C334</f>
        <v>1080955</v>
      </c>
      <c r="AA334" s="340">
        <f t="shared" ref="AA334" si="980">Z334-C334</f>
        <v>-33074</v>
      </c>
      <c r="AB334" s="518">
        <f>[9]CMWh!$L214</f>
        <v>1077679</v>
      </c>
      <c r="AC334" s="341">
        <f>RESID!AC334</f>
        <v>30.55</v>
      </c>
      <c r="AD334" s="342">
        <f t="shared" ref="AD334" si="981">ROUND(C334/(AC334/30.42),1)</f>
        <v>1109288.5</v>
      </c>
      <c r="AE334" s="342">
        <f t="shared" ref="AE334" si="982">AD334-AD322</f>
        <v>64603.400000000023</v>
      </c>
      <c r="AF334" s="23">
        <f t="shared" ref="AF334" si="983">AG334-C334</f>
        <v>-37674</v>
      </c>
      <c r="AG334" s="23">
        <f t="shared" ref="AG334" si="984">ROUND(Z334/(AC334/30.42),0)</f>
        <v>1076355</v>
      </c>
      <c r="AH334" s="23">
        <f t="shared" ref="AH334" si="985">AG334-AG322</f>
        <v>18828</v>
      </c>
      <c r="AI334" s="23"/>
      <c r="AJ334" s="352">
        <f t="shared" ref="AJ334" si="986">C334-AM334-AP334</f>
        <v>990465</v>
      </c>
      <c r="AK334" s="352">
        <f t="shared" ref="AK334" si="987">D334-AN334-AQ334</f>
        <v>47998</v>
      </c>
      <c r="AL334" s="353">
        <f t="shared" ref="AL334" si="988">AJ334/AK334*1000</f>
        <v>20635.547314471438</v>
      </c>
      <c r="AM334" s="352">
        <f t="shared" ref="AM334" si="989">F334</f>
        <v>111187</v>
      </c>
      <c r="AN334" s="352">
        <f t="shared" ref="AN334" si="990">G334</f>
        <v>109096</v>
      </c>
      <c r="AO334" s="353">
        <f t="shared" ref="AO334" si="991">AM334/AN334*1000</f>
        <v>1019.1666055584072</v>
      </c>
      <c r="AP334" s="352">
        <f t="shared" ref="AP334" si="992">H334</f>
        <v>12377</v>
      </c>
      <c r="AQ334" s="352">
        <f t="shared" ref="AQ334" si="993">I334</f>
        <v>5190</v>
      </c>
      <c r="AR334" s="353">
        <f t="shared" ref="AR334" si="994">AP334/AQ334*1000</f>
        <v>2384.7784200385358</v>
      </c>
      <c r="AX334" s="4">
        <f t="shared" si="331"/>
        <v>2010</v>
      </c>
      <c r="AY334" s="4">
        <f t="shared" si="332"/>
        <v>6</v>
      </c>
      <c r="AZ334" s="366">
        <f>'[8]COM 55 &amp; 65'!$S419</f>
        <v>576.29999999999995</v>
      </c>
      <c r="BA334" s="366">
        <f t="shared" si="221"/>
        <v>485.1</v>
      </c>
      <c r="BB334" s="367">
        <f t="shared" ref="BB334" si="995">(BA334-AZ334)</f>
        <v>-91.199999999999932</v>
      </c>
      <c r="BC334" s="367"/>
      <c r="BD334" s="366">
        <f>'[8]COM 55 &amp; 65'!$J419</f>
        <v>0</v>
      </c>
      <c r="BE334" s="366">
        <f t="shared" si="222"/>
        <v>0</v>
      </c>
      <c r="BF334" s="368">
        <f t="shared" ref="BF334" si="996">(BE334-BD334)</f>
        <v>0</v>
      </c>
      <c r="BH334" s="244">
        <f t="shared" si="838"/>
        <v>-64023.67679999995</v>
      </c>
      <c r="BI334" s="242">
        <f t="shared" si="839"/>
        <v>0</v>
      </c>
      <c r="BJ334" s="242"/>
      <c r="BK334" s="241">
        <f t="shared" ref="BK334" si="997">ROUND(SUM(BH334,BI334),0)</f>
        <v>-64024</v>
      </c>
      <c r="BL334" s="262"/>
      <c r="BM334" s="36" t="s">
        <v>18</v>
      </c>
      <c r="BN334" s="4">
        <f t="shared" si="223"/>
        <v>2010</v>
      </c>
      <c r="BO334" s="4">
        <f t="shared" si="224"/>
        <v>6</v>
      </c>
      <c r="BP334" s="108">
        <f>C334+[4]MWh!$AK168</f>
        <v>1143615.7257523115</v>
      </c>
      <c r="BQ334" s="76">
        <f t="shared" ref="BQ334" si="998">BP334/D334*1000</f>
        <v>7047.0023277236915</v>
      </c>
      <c r="BR334" s="130">
        <f t="shared" ref="BR334" si="999">BT334/D334*1000</f>
        <v>6652.484075770325</v>
      </c>
      <c r="BS334" s="108">
        <f t="shared" ref="BS334" si="1000">BR334-BR322</f>
        <v>56.490889166952002</v>
      </c>
      <c r="BT334" s="175">
        <f t="shared" ref="BT334" si="1001">BK334+BP334</f>
        <v>1079591.7257523115</v>
      </c>
      <c r="BU334" s="108">
        <f t="shared" ref="BU334" si="1002">BT334-BT322</f>
        <v>5744.2469937226269</v>
      </c>
      <c r="BV334" s="137">
        <f t="shared" ref="BV334" si="1003">BT334-BP334</f>
        <v>-64024</v>
      </c>
      <c r="BW334" s="529">
        <f>BT334/[9]CMWh!$L214</f>
        <v>1.0017748566616882</v>
      </c>
      <c r="DA334" s="50">
        <f t="shared" si="878"/>
        <v>-31247.49909999999</v>
      </c>
      <c r="DB334" s="108">
        <f>[9]CMWh!$E214</f>
        <v>1110753</v>
      </c>
      <c r="DC334" s="50"/>
      <c r="DD334" s="108"/>
      <c r="DE334" s="50"/>
      <c r="DF334" s="23"/>
      <c r="DG334" s="50">
        <f t="shared" si="879"/>
        <v>1079505.5009000001</v>
      </c>
    </row>
    <row r="335" spans="1:111" ht="12.75" customHeight="1">
      <c r="A335" s="22">
        <f t="shared" si="329"/>
        <v>2010</v>
      </c>
      <c r="B335" s="4">
        <f t="shared" si="330"/>
        <v>7</v>
      </c>
      <c r="C335" s="5">
        <f>'[2]FPC wSEB'!$E432</f>
        <v>1157779</v>
      </c>
      <c r="D335" s="5">
        <f>'[2]FPC wSEB'!$Y432</f>
        <v>160741</v>
      </c>
      <c r="E335" s="74">
        <f t="shared" ref="E335" si="1004">ROUND((C335/D335)*1000,1)</f>
        <v>7202.8</v>
      </c>
      <c r="F335" s="358">
        <v>114696</v>
      </c>
      <c r="G335" s="358">
        <v>107149</v>
      </c>
      <c r="H335" s="358">
        <v>12343</v>
      </c>
      <c r="I335" s="358">
        <v>5209</v>
      </c>
      <c r="J335" s="574">
        <f>[5]CC!$E215</f>
        <v>161445</v>
      </c>
      <c r="K335" s="4">
        <f>'[7]COM 55 &amp; 65'!$S420</f>
        <v>572.29999999999995</v>
      </c>
      <c r="L335" s="4">
        <f t="shared" si="216"/>
        <v>516.1</v>
      </c>
      <c r="M335" s="135">
        <f t="shared" ref="M335" si="1005">(L335-K335)</f>
        <v>-56.199999999999932</v>
      </c>
      <c r="N335" s="4">
        <f>'[7]COM 55 &amp; 65'!$J420</f>
        <v>0</v>
      </c>
      <c r="O335" s="4">
        <f t="shared" si="209"/>
        <v>0</v>
      </c>
      <c r="P335" s="41">
        <f t="shared" ref="P335" si="1006">(O335-N335)</f>
        <v>0</v>
      </c>
      <c r="Q335" s="474">
        <f t="shared" ref="Q335" si="1007">M335*$G$10</f>
        <v>-39453.186799999952</v>
      </c>
      <c r="R335" s="472">
        <f t="shared" ref="R335" si="1008">P335*$G$9</f>
        <v>0</v>
      </c>
      <c r="S335" s="241">
        <f t="shared" ref="S335" si="1009">ROUND(SUM(Q335,R335),0)</f>
        <v>-39453</v>
      </c>
      <c r="T335" s="13" t="s">
        <v>18</v>
      </c>
      <c r="U335" s="23">
        <f t="shared" si="217"/>
        <v>2010</v>
      </c>
      <c r="V335" s="23">
        <f t="shared" si="218"/>
        <v>7</v>
      </c>
      <c r="W335" s="336">
        <f t="shared" ref="W335" si="1010">Z335/D335*1000</f>
        <v>6957.3164282914749</v>
      </c>
      <c r="X335" s="338">
        <f t="shared" ref="X335" si="1011">W335-W323</f>
        <v>-83.037150616988583</v>
      </c>
      <c r="Y335" s="339"/>
      <c r="Z335" s="178">
        <f t="shared" ref="Z335" si="1012">S335+C335</f>
        <v>1118326</v>
      </c>
      <c r="AA335" s="340">
        <f t="shared" ref="AA335" si="1013">Z335-C335</f>
        <v>-39453</v>
      </c>
      <c r="AB335" s="518">
        <f>[9]CMWh!$L215</f>
        <v>1114140</v>
      </c>
      <c r="AC335" s="341">
        <f>RESID!AC335</f>
        <v>30.55</v>
      </c>
      <c r="AD335" s="342">
        <f t="shared" ref="AD335" si="1014">ROUND(C335/(AC335/30.42),1)</f>
        <v>1152852.3</v>
      </c>
      <c r="AE335" s="342">
        <f t="shared" ref="AE335" si="1015">AD335-AD323</f>
        <v>-6789.0999999998603</v>
      </c>
      <c r="AF335" s="23">
        <f t="shared" ref="AF335" si="1016">AG335-C335</f>
        <v>-44212</v>
      </c>
      <c r="AG335" s="23">
        <f t="shared" ref="AG335" si="1017">ROUND(Z335/(AC335/30.42),0)</f>
        <v>1113567</v>
      </c>
      <c r="AH335" s="23">
        <f t="shared" ref="AH335" si="1018">AG335-AG323</f>
        <v>-28238</v>
      </c>
      <c r="AI335" s="23"/>
      <c r="AJ335" s="352">
        <f t="shared" ref="AJ335" si="1019">C335-AM335-AP335</f>
        <v>1030740</v>
      </c>
      <c r="AK335" s="352">
        <f t="shared" ref="AK335" si="1020">D335-AN335-AQ335</f>
        <v>48383</v>
      </c>
      <c r="AL335" s="353">
        <f t="shared" ref="AL335" si="1021">AJ335/AK335*1000</f>
        <v>21303.763718661514</v>
      </c>
      <c r="AM335" s="352">
        <f t="shared" ref="AM335" si="1022">F335</f>
        <v>114696</v>
      </c>
      <c r="AN335" s="352">
        <f t="shared" ref="AN335" si="1023">G335</f>
        <v>107149</v>
      </c>
      <c r="AO335" s="353">
        <f t="shared" ref="AO335" si="1024">AM335/AN335*1000</f>
        <v>1070.4346284146375</v>
      </c>
      <c r="AP335" s="352">
        <f t="shared" ref="AP335" si="1025">H335</f>
        <v>12343</v>
      </c>
      <c r="AQ335" s="352">
        <f t="shared" ref="AQ335" si="1026">I335</f>
        <v>5209</v>
      </c>
      <c r="AR335" s="353">
        <f t="shared" ref="AR335" si="1027">AP335/AQ335*1000</f>
        <v>2369.5526972547514</v>
      </c>
      <c r="AX335" s="4">
        <f t="shared" si="331"/>
        <v>2010</v>
      </c>
      <c r="AY335" s="4">
        <f t="shared" si="332"/>
        <v>7</v>
      </c>
      <c r="AZ335" s="366">
        <f>'[8]COM 55 &amp; 65'!$S420</f>
        <v>595.79999999999995</v>
      </c>
      <c r="BA335" s="366">
        <f t="shared" si="221"/>
        <v>546.1</v>
      </c>
      <c r="BB335" s="367">
        <f t="shared" ref="BB335" si="1028">(BA335-AZ335)</f>
        <v>-49.699999999999932</v>
      </c>
      <c r="BC335" s="367"/>
      <c r="BD335" s="366">
        <f>'[8]COM 55 &amp; 65'!$J420</f>
        <v>0</v>
      </c>
      <c r="BE335" s="366">
        <f t="shared" si="222"/>
        <v>0</v>
      </c>
      <c r="BF335" s="368">
        <f t="shared" ref="BF335" si="1029">(BE335-BD335)</f>
        <v>0</v>
      </c>
      <c r="BH335" s="244">
        <f t="shared" ref="BH335" si="1030">BB335*$G$10</f>
        <v>-34890.095799999952</v>
      </c>
      <c r="BI335" s="242">
        <f t="shared" ref="BI335" si="1031">BF335*$G$9</f>
        <v>0</v>
      </c>
      <c r="BJ335" s="242"/>
      <c r="BK335" s="241">
        <f t="shared" ref="BK335" si="1032">ROUND(SUM(BH335,BI335),0)</f>
        <v>-34890</v>
      </c>
      <c r="BL335" s="262"/>
      <c r="BM335" s="36" t="s">
        <v>18</v>
      </c>
      <c r="BN335" s="4">
        <f t="shared" si="223"/>
        <v>2010</v>
      </c>
      <c r="BO335" s="4">
        <f t="shared" si="224"/>
        <v>7</v>
      </c>
      <c r="BP335" s="108">
        <f>C335+[4]MWh!$AK169</f>
        <v>1192620.3709004982</v>
      </c>
      <c r="BQ335" s="76">
        <f t="shared" ref="BQ335" si="1033">BP335/D335*1000</f>
        <v>7419.5156861068317</v>
      </c>
      <c r="BR335" s="130">
        <f t="shared" ref="BR335" si="1034">BT335/D335*1000</f>
        <v>7202.4584325125406</v>
      </c>
      <c r="BS335" s="108">
        <f t="shared" ref="BS335" si="1035">BR335-BR323</f>
        <v>-101.51690691773274</v>
      </c>
      <c r="BT335" s="175">
        <f t="shared" ref="BT335" si="1036">BK335+BP335</f>
        <v>1157730.3709004982</v>
      </c>
      <c r="BU335" s="108">
        <f t="shared" ref="BU335" si="1037">BT335-BT323</f>
        <v>-27996.985702612437</v>
      </c>
      <c r="BV335" s="137">
        <f t="shared" ref="BV335" si="1038">BT335-BP335</f>
        <v>-34890</v>
      </c>
      <c r="BW335" s="529">
        <f>BT335/[9]CMWh!$L215</f>
        <v>1.0391246799329512</v>
      </c>
      <c r="DA335" s="50">
        <f t="shared" si="878"/>
        <v>-37273.694599999952</v>
      </c>
      <c r="DB335" s="108">
        <f>[9]CMWh!$E215</f>
        <v>1153593</v>
      </c>
      <c r="DC335" s="50"/>
      <c r="DD335" s="108"/>
      <c r="DE335" s="50"/>
      <c r="DF335" s="23"/>
      <c r="DG335" s="50">
        <f t="shared" si="879"/>
        <v>1116319.3054</v>
      </c>
    </row>
    <row r="336" spans="1:111" ht="12.75" customHeight="1">
      <c r="A336" s="22">
        <f t="shared" si="329"/>
        <v>2010</v>
      </c>
      <c r="B336" s="4">
        <f t="shared" si="330"/>
        <v>8</v>
      </c>
      <c r="C336" s="5">
        <f>'[2]FPC wSEB'!$E433</f>
        <v>1162292</v>
      </c>
      <c r="D336" s="5">
        <f>'[2]FPC wSEB'!$Y433</f>
        <v>158917</v>
      </c>
      <c r="E336" s="74">
        <f t="shared" ref="E336" si="1039">ROUND((C336/D336)*1000,1)</f>
        <v>7313.8</v>
      </c>
      <c r="F336" s="358">
        <v>118128</v>
      </c>
      <c r="G336" s="358">
        <v>105325</v>
      </c>
      <c r="H336" s="358">
        <v>12346</v>
      </c>
      <c r="I336" s="358">
        <v>5212</v>
      </c>
      <c r="J336" s="574">
        <f>[5]CC!$E216</f>
        <v>161504</v>
      </c>
      <c r="K336" s="76">
        <f>'[7]COM 55 &amp; 65'!$S421</f>
        <v>597</v>
      </c>
      <c r="L336" s="4">
        <f t="shared" si="216"/>
        <v>542</v>
      </c>
      <c r="M336" s="135">
        <f t="shared" ref="M336" si="1040">(L336-K336)</f>
        <v>-55</v>
      </c>
      <c r="N336" s="4">
        <f>'[7]COM 55 &amp; 65'!$J421</f>
        <v>0</v>
      </c>
      <c r="O336" s="4">
        <f t="shared" si="209"/>
        <v>0</v>
      </c>
      <c r="P336" s="41">
        <f t="shared" ref="P336" si="1041">(O336-N336)</f>
        <v>0</v>
      </c>
      <c r="Q336" s="474">
        <f t="shared" ref="Q336" si="1042">M336*$G$10</f>
        <v>-38610.770000000004</v>
      </c>
      <c r="R336" s="472">
        <f t="shared" ref="R336" si="1043">P336*$G$9</f>
        <v>0</v>
      </c>
      <c r="S336" s="241">
        <f t="shared" ref="S336" si="1044">ROUND(SUM(Q336,R336),0)</f>
        <v>-38611</v>
      </c>
      <c r="T336" s="13" t="s">
        <v>18</v>
      </c>
      <c r="U336" s="23">
        <f t="shared" si="217"/>
        <v>2010</v>
      </c>
      <c r="V336" s="23">
        <f t="shared" si="218"/>
        <v>8</v>
      </c>
      <c r="W336" s="336">
        <f t="shared" ref="W336" si="1045">Z336/D336*1000</f>
        <v>7070.8671822397855</v>
      </c>
      <c r="X336" s="338">
        <f t="shared" ref="X336" si="1046">W336-W324</f>
        <v>-120.91337648240369</v>
      </c>
      <c r="Y336" s="339"/>
      <c r="Z336" s="178">
        <f t="shared" ref="Z336" si="1047">S336+C336</f>
        <v>1123681</v>
      </c>
      <c r="AA336" s="340">
        <f t="shared" ref="AA336" si="1048">Z336-C336</f>
        <v>-38611</v>
      </c>
      <c r="AB336" s="518">
        <f>[9]CMWh!$L216</f>
        <v>1123071</v>
      </c>
      <c r="AC336" s="341">
        <f>RESID!AC336</f>
        <v>29.9</v>
      </c>
      <c r="AD336" s="342">
        <f t="shared" ref="AD336" si="1049">ROUND(C336/(AC336/30.42),1)</f>
        <v>1182505.8</v>
      </c>
      <c r="AE336" s="342">
        <f t="shared" ref="AE336" si="1050">AD336-AD324</f>
        <v>43486.90000000014</v>
      </c>
      <c r="AF336" s="23">
        <f t="shared" ref="AF336" si="1051">AG336-C336</f>
        <v>-19069</v>
      </c>
      <c r="AG336" s="23">
        <f t="shared" ref="AG336" si="1052">ROUND(Z336/(AC336/30.42),0)</f>
        <v>1143223</v>
      </c>
      <c r="AH336" s="23">
        <f t="shared" ref="AH336" si="1053">AG336-AG324</f>
        <v>-5006</v>
      </c>
      <c r="AI336" s="23"/>
      <c r="AJ336" s="352">
        <f t="shared" ref="AJ336" si="1054">C336-AM336-AP336</f>
        <v>1031818</v>
      </c>
      <c r="AK336" s="352">
        <f t="shared" ref="AK336" si="1055">D336-AN336-AQ336</f>
        <v>48380</v>
      </c>
      <c r="AL336" s="353">
        <f t="shared" ref="AL336" si="1056">AJ336/AK336*1000</f>
        <v>21327.366680446466</v>
      </c>
      <c r="AM336" s="352">
        <f t="shared" ref="AM336" si="1057">F336</f>
        <v>118128</v>
      </c>
      <c r="AN336" s="352">
        <f t="shared" ref="AN336" si="1058">G336</f>
        <v>105325</v>
      </c>
      <c r="AO336" s="353">
        <f t="shared" ref="AO336" si="1059">AM336/AN336*1000</f>
        <v>1121.5570852124376</v>
      </c>
      <c r="AP336" s="352">
        <f t="shared" ref="AP336" si="1060">H336</f>
        <v>12346</v>
      </c>
      <c r="AQ336" s="352">
        <f t="shared" ref="AQ336" si="1061">I336</f>
        <v>5212</v>
      </c>
      <c r="AR336" s="353">
        <f t="shared" ref="AR336" si="1062">AP336/AQ336*1000</f>
        <v>2368.7643898695319</v>
      </c>
      <c r="AX336" s="4">
        <f t="shared" si="331"/>
        <v>2010</v>
      </c>
      <c r="AY336" s="4">
        <f t="shared" si="332"/>
        <v>8</v>
      </c>
      <c r="AZ336" s="366">
        <f>'[8]COM 55 &amp; 65'!$S421</f>
        <v>589.1</v>
      </c>
      <c r="BA336" s="366">
        <f t="shared" si="221"/>
        <v>549</v>
      </c>
      <c r="BB336" s="367">
        <f t="shared" ref="BB336" si="1063">(BA336-AZ336)</f>
        <v>-40.100000000000023</v>
      </c>
      <c r="BC336" s="367"/>
      <c r="BD336" s="366">
        <f>'[8]COM 55 &amp; 65'!$J421</f>
        <v>0</v>
      </c>
      <c r="BE336" s="366">
        <f t="shared" si="222"/>
        <v>0</v>
      </c>
      <c r="BF336" s="368">
        <f t="shared" ref="BF336" si="1064">(BE336-BD336)</f>
        <v>0</v>
      </c>
      <c r="BH336" s="244">
        <f t="shared" ref="BH336" si="1065">BB336*$G$10</f>
        <v>-28150.761400000018</v>
      </c>
      <c r="BI336" s="242">
        <f t="shared" ref="BI336" si="1066">BF336*$G$9</f>
        <v>0</v>
      </c>
      <c r="BJ336" s="242"/>
      <c r="BK336" s="241">
        <f t="shared" ref="BK336" si="1067">ROUND(SUM(BH336,BI336),0)</f>
        <v>-28151</v>
      </c>
      <c r="BL336" s="262"/>
      <c r="BM336" s="36" t="s">
        <v>18</v>
      </c>
      <c r="BN336" s="4">
        <f t="shared" si="223"/>
        <v>2010</v>
      </c>
      <c r="BO336" s="4">
        <f t="shared" si="224"/>
        <v>8</v>
      </c>
      <c r="BP336" s="108">
        <f>C336+[4]MWh!$AK170</f>
        <v>1122079.7913771211</v>
      </c>
      <c r="BQ336" s="76">
        <f t="shared" ref="BQ336" si="1068">BP336/D336*1000</f>
        <v>7060.7914280858631</v>
      </c>
      <c r="BR336" s="130">
        <f t="shared" ref="BR336" si="1069">BT336/D336*1000</f>
        <v>6883.6486428583539</v>
      </c>
      <c r="BS336" s="108">
        <f t="shared" ref="BS336" si="1070">BR336-BR324</f>
        <v>-755.58719410678896</v>
      </c>
      <c r="BT336" s="175">
        <f t="shared" ref="BT336" si="1071">BK336+BP336</f>
        <v>1093928.7913771211</v>
      </c>
      <c r="BU336" s="108">
        <f t="shared" ref="BU336" si="1072">BT336-BT324</f>
        <v>-98876.770678290166</v>
      </c>
      <c r="BV336" s="137">
        <f t="shared" ref="BV336" si="1073">BT336-BP336</f>
        <v>-28151</v>
      </c>
      <c r="BW336" s="529">
        <f>BT336/[9]CMWh!$L216</f>
        <v>0.97405132122289784</v>
      </c>
      <c r="DA336" s="50">
        <f t="shared" si="878"/>
        <v>-36477.814999999995</v>
      </c>
      <c r="DB336" s="108">
        <f>[9]CMWh!$E216</f>
        <v>1161682</v>
      </c>
      <c r="DC336" s="50"/>
      <c r="DD336" s="108"/>
      <c r="DE336" s="50"/>
      <c r="DF336" s="23"/>
      <c r="DG336" s="50">
        <f t="shared" si="879"/>
        <v>1125204.1850000001</v>
      </c>
    </row>
    <row r="337" spans="1:111" ht="12.75" customHeight="1">
      <c r="A337" s="22">
        <f t="shared" si="329"/>
        <v>2010</v>
      </c>
      <c r="B337" s="4">
        <f t="shared" si="330"/>
        <v>9</v>
      </c>
      <c r="C337" s="5">
        <f>'[2]FPC wSEB'!$E434</f>
        <v>1134918</v>
      </c>
      <c r="D337" s="5">
        <f>'[2]FPC wSEB'!$Y434</f>
        <v>160216</v>
      </c>
      <c r="E337" s="74">
        <f t="shared" ref="E337" si="1074">ROUND((C337/D337)*1000,1)</f>
        <v>7083.7</v>
      </c>
      <c r="F337" s="358">
        <v>113813</v>
      </c>
      <c r="G337" s="358">
        <v>107981</v>
      </c>
      <c r="H337" s="358">
        <v>12318</v>
      </c>
      <c r="I337" s="358">
        <v>5196</v>
      </c>
      <c r="J337" s="574">
        <f>[5]CC!$E217</f>
        <v>161260</v>
      </c>
      <c r="K337" s="76">
        <f>'[7]COM 55 &amp; 65'!$S422</f>
        <v>560.70000000000005</v>
      </c>
      <c r="L337" s="4">
        <f t="shared" si="216"/>
        <v>531.20000000000005</v>
      </c>
      <c r="M337" s="135">
        <f t="shared" ref="M337" si="1075">(L337-K337)</f>
        <v>-29.5</v>
      </c>
      <c r="N337" s="4">
        <f>'[7]COM 55 &amp; 65'!$J422</f>
        <v>0</v>
      </c>
      <c r="O337" s="4">
        <f t="shared" si="209"/>
        <v>0</v>
      </c>
      <c r="P337" s="41">
        <f t="shared" ref="P337" si="1076">(O337-N337)</f>
        <v>0</v>
      </c>
      <c r="Q337" s="474">
        <f t="shared" ref="Q337" si="1077">M337*$G$10</f>
        <v>-20709.413</v>
      </c>
      <c r="R337" s="472">
        <f t="shared" ref="R337" si="1078">P337*$G$9</f>
        <v>0</v>
      </c>
      <c r="S337" s="241">
        <f t="shared" ref="S337" si="1079">ROUND(SUM(Q337,R337),0)</f>
        <v>-20709</v>
      </c>
      <c r="T337" s="13" t="s">
        <v>18</v>
      </c>
      <c r="U337" s="23">
        <f t="shared" si="217"/>
        <v>2010</v>
      </c>
      <c r="V337" s="23">
        <f t="shared" si="218"/>
        <v>9</v>
      </c>
      <c r="W337" s="336">
        <f t="shared" ref="W337" si="1080">Z337/D337*1000</f>
        <v>6954.4177859889151</v>
      </c>
      <c r="X337" s="338">
        <f t="shared" ref="X337" si="1081">W337-W325</f>
        <v>-168.37749477086436</v>
      </c>
      <c r="Y337" s="339"/>
      <c r="Z337" s="178">
        <f t="shared" ref="Z337" si="1082">S337+C337</f>
        <v>1114209</v>
      </c>
      <c r="AA337" s="340">
        <f t="shared" ref="AA337" si="1083">Z337-C337</f>
        <v>-20709</v>
      </c>
      <c r="AB337" s="518">
        <f>[9]CMWh!$L217</f>
        <v>1133667</v>
      </c>
      <c r="AC337" s="341">
        <f>RESID!AC337</f>
        <v>30.2</v>
      </c>
      <c r="AD337" s="342">
        <f t="shared" ref="AD337" si="1084">ROUND(C337/(AC337/30.42),1)</f>
        <v>1143185.6000000001</v>
      </c>
      <c r="AE337" s="342">
        <f t="shared" ref="AE337" si="1085">AD337-AD325</f>
        <v>4973</v>
      </c>
      <c r="AF337" s="23">
        <f t="shared" ref="AF337" si="1086">AG337-C337</f>
        <v>-12592</v>
      </c>
      <c r="AG337" s="23">
        <f t="shared" ref="AG337" si="1087">ROUND(Z337/(AC337/30.42),0)</f>
        <v>1122326</v>
      </c>
      <c r="AH337" s="23">
        <f t="shared" ref="AH337" si="1088">AG337-AG325</f>
        <v>-25200</v>
      </c>
      <c r="AI337" s="23"/>
      <c r="AJ337" s="352">
        <f t="shared" ref="AJ337" si="1089">C337-AM337-AP337</f>
        <v>1008787</v>
      </c>
      <c r="AK337" s="352">
        <f t="shared" ref="AK337" si="1090">D337-AN337-AQ337</f>
        <v>47039</v>
      </c>
      <c r="AL337" s="353">
        <f t="shared" ref="AL337" si="1091">AJ337/AK337*1000</f>
        <v>21445.757775462913</v>
      </c>
      <c r="AM337" s="352">
        <f t="shared" ref="AM337" si="1092">F337</f>
        <v>113813</v>
      </c>
      <c r="AN337" s="352">
        <f t="shared" ref="AN337" si="1093">G337</f>
        <v>107981</v>
      </c>
      <c r="AO337" s="353">
        <f t="shared" ref="AO337" si="1094">AM337/AN337*1000</f>
        <v>1054.0095016715904</v>
      </c>
      <c r="AP337" s="352">
        <f t="shared" ref="AP337" si="1095">H337</f>
        <v>12318</v>
      </c>
      <c r="AQ337" s="352">
        <f t="shared" ref="AQ337" si="1096">I337</f>
        <v>5196</v>
      </c>
      <c r="AR337" s="353">
        <f t="shared" ref="AR337" si="1097">AP337/AQ337*1000</f>
        <v>2370.6697459584298</v>
      </c>
      <c r="AX337" s="4">
        <f t="shared" si="331"/>
        <v>2010</v>
      </c>
      <c r="AY337" s="4">
        <f t="shared" si="332"/>
        <v>9</v>
      </c>
      <c r="AZ337" s="366">
        <f>'[8]COM 55 &amp; 65'!$S422</f>
        <v>519</v>
      </c>
      <c r="BA337" s="366">
        <f t="shared" si="221"/>
        <v>487.9</v>
      </c>
      <c r="BB337" s="367">
        <f t="shared" ref="BB337" si="1098">(BA337-AZ337)</f>
        <v>-31.100000000000023</v>
      </c>
      <c r="BC337" s="367"/>
      <c r="BD337" s="366">
        <f>'[8]COM 55 &amp; 65'!$J422</f>
        <v>0</v>
      </c>
      <c r="BE337" s="366">
        <f t="shared" si="222"/>
        <v>0</v>
      </c>
      <c r="BF337" s="368">
        <f t="shared" ref="BF337" si="1099">(BE337-BD337)</f>
        <v>0</v>
      </c>
      <c r="BH337" s="244">
        <f t="shared" ref="BH337" si="1100">BB337*$G$10</f>
        <v>-21832.635400000017</v>
      </c>
      <c r="BI337" s="242">
        <f t="shared" ref="BI337" si="1101">BF337*$G$9</f>
        <v>0</v>
      </c>
      <c r="BJ337" s="242"/>
      <c r="BK337" s="241">
        <f t="shared" ref="BK337" si="1102">ROUND(SUM(BH337,BI337),0)</f>
        <v>-21833</v>
      </c>
      <c r="BL337" s="262"/>
      <c r="BM337" s="36" t="s">
        <v>18</v>
      </c>
      <c r="BN337" s="4">
        <f t="shared" si="223"/>
        <v>2010</v>
      </c>
      <c r="BO337" s="4">
        <f t="shared" si="224"/>
        <v>9</v>
      </c>
      <c r="BP337" s="108">
        <f>C337+[4]MWh!$AK171</f>
        <v>1103393.9413567327</v>
      </c>
      <c r="BQ337" s="76">
        <f t="shared" ref="BQ337" si="1103">BP337/D337*1000</f>
        <v>6886.9147985016025</v>
      </c>
      <c r="BR337" s="130">
        <f t="shared" ref="BR337" si="1104">BT337/D337*1000</f>
        <v>6750.6425160828676</v>
      </c>
      <c r="BS337" s="108">
        <f t="shared" ref="BS337" si="1105">BR337-BR325</f>
        <v>276.43309055721329</v>
      </c>
      <c r="BT337" s="175">
        <f t="shared" ref="BT337" si="1106">BK337+BP337</f>
        <v>1081560.9413567327</v>
      </c>
      <c r="BU337" s="108">
        <f t="shared" ref="BU337" si="1107">BT337-BT325</f>
        <v>46069.411628734088</v>
      </c>
      <c r="BV337" s="137">
        <f t="shared" ref="BV337" si="1108">BT337-BP337</f>
        <v>-21833</v>
      </c>
      <c r="BW337" s="529">
        <f>BT337/[9]CMWh!$L217</f>
        <v>0.95403759777494868</v>
      </c>
      <c r="DA337" s="50">
        <f t="shared" si="878"/>
        <v>-19565.373499999998</v>
      </c>
      <c r="DB337" s="108">
        <f>[9]CMWh!$E217</f>
        <v>1154376</v>
      </c>
      <c r="DC337" s="50"/>
      <c r="DD337" s="108"/>
      <c r="DE337" s="50"/>
      <c r="DF337" s="23"/>
      <c r="DG337" s="50">
        <f t="shared" si="879"/>
        <v>1134810.6265</v>
      </c>
    </row>
    <row r="338" spans="1:111" ht="12.75" customHeight="1">
      <c r="A338" s="22">
        <f t="shared" si="329"/>
        <v>2010</v>
      </c>
      <c r="B338" s="4">
        <f t="shared" si="330"/>
        <v>10</v>
      </c>
      <c r="C338" s="5">
        <f>'[2]FPC wSEB'!$E435</f>
        <v>1042956</v>
      </c>
      <c r="D338" s="5">
        <f>'[2]FPC wSEB'!$Y435</f>
        <v>156122</v>
      </c>
      <c r="E338" s="74">
        <f t="shared" ref="E338" si="1109">ROUND((C338/D338)*1000,1)</f>
        <v>6680.4</v>
      </c>
      <c r="F338" s="358">
        <v>100909</v>
      </c>
      <c r="G338" s="358">
        <v>102872</v>
      </c>
      <c r="H338" s="358">
        <v>12204</v>
      </c>
      <c r="I338" s="358">
        <v>5188</v>
      </c>
      <c r="J338" s="574">
        <f>[5]CC!$E218</f>
        <v>161392</v>
      </c>
      <c r="K338" s="76">
        <f>'[7]COM 55 &amp; 65'!$S423</f>
        <v>448.6</v>
      </c>
      <c r="L338" s="4">
        <f t="shared" si="216"/>
        <v>431.2</v>
      </c>
      <c r="M338" s="135">
        <f t="shared" ref="M338" si="1110">(L338-K338)</f>
        <v>-17.400000000000034</v>
      </c>
      <c r="N338" s="4">
        <f>'[7]COM 55 &amp; 65'!$J423</f>
        <v>0.3</v>
      </c>
      <c r="O338" s="4">
        <f t="shared" si="209"/>
        <v>0.2</v>
      </c>
      <c r="P338" s="41">
        <f t="shared" ref="P338" si="1111">(O338-N338)</f>
        <v>-9.9999999999999978E-2</v>
      </c>
      <c r="Q338" s="474">
        <f t="shared" ref="Q338" si="1112">M338*$G$10</f>
        <v>-12215.043600000025</v>
      </c>
      <c r="R338" s="472">
        <f t="shared" ref="R338" si="1113">P338*$G$9</f>
        <v>-60.835099999999983</v>
      </c>
      <c r="S338" s="241">
        <f t="shared" ref="S338" si="1114">ROUND(SUM(Q338,R338),0)</f>
        <v>-12276</v>
      </c>
      <c r="T338" s="13" t="s">
        <v>18</v>
      </c>
      <c r="U338" s="23">
        <f t="shared" si="217"/>
        <v>2010</v>
      </c>
      <c r="V338" s="23">
        <f t="shared" si="218"/>
        <v>10</v>
      </c>
      <c r="W338" s="336">
        <f t="shared" ref="W338" si="1115">Z338/D338*1000</f>
        <v>6601.7601619246489</v>
      </c>
      <c r="X338" s="338">
        <f t="shared" ref="X338" si="1116">W338-W326</f>
        <v>40.38728174804146</v>
      </c>
      <c r="Y338" s="339"/>
      <c r="Z338" s="178">
        <f t="shared" ref="Z338" si="1117">S338+C338</f>
        <v>1030680</v>
      </c>
      <c r="AA338" s="340">
        <f t="shared" ref="AA338" si="1118">Z338-C338</f>
        <v>-12276</v>
      </c>
      <c r="AB338" s="518">
        <f>[9]CMWh!$L218</f>
        <v>1042514</v>
      </c>
      <c r="AC338" s="341">
        <f>RESID!AC338</f>
        <v>30</v>
      </c>
      <c r="AD338" s="342">
        <f t="shared" ref="AD338" si="1119">ROUND(C338/(AC338/30.42),1)</f>
        <v>1057557.3999999999</v>
      </c>
      <c r="AE338" s="342">
        <f t="shared" ref="AE338" si="1120">AD338-AD326</f>
        <v>-35191.90000000014</v>
      </c>
      <c r="AF338" s="23">
        <f t="shared" ref="AF338" si="1121">AG338-C338</f>
        <v>2154</v>
      </c>
      <c r="AG338" s="23">
        <f t="shared" ref="AG338" si="1122">ROUND(Z338/(AC338/30.42),0)</f>
        <v>1045110</v>
      </c>
      <c r="AH338" s="23">
        <f t="shared" ref="AH338" si="1123">AG338-AG326</f>
        <v>-6706</v>
      </c>
      <c r="AI338" s="23"/>
      <c r="AJ338" s="352">
        <f t="shared" ref="AJ338" si="1124">C338-AM338-AP338</f>
        <v>929843</v>
      </c>
      <c r="AK338" s="352">
        <f t="shared" ref="AK338" si="1125">D338-AN338-AQ338</f>
        <v>48062</v>
      </c>
      <c r="AL338" s="353">
        <f t="shared" ref="AL338" si="1126">AJ338/AK338*1000</f>
        <v>19346.739627980525</v>
      </c>
      <c r="AM338" s="352">
        <f t="shared" ref="AM338" si="1127">F338</f>
        <v>100909</v>
      </c>
      <c r="AN338" s="352">
        <f t="shared" ref="AN338" si="1128">G338</f>
        <v>102872</v>
      </c>
      <c r="AO338" s="353">
        <f t="shared" ref="AO338" si="1129">AM338/AN338*1000</f>
        <v>980.91803406174665</v>
      </c>
      <c r="AP338" s="352">
        <f t="shared" ref="AP338" si="1130">H338</f>
        <v>12204</v>
      </c>
      <c r="AQ338" s="352">
        <f t="shared" ref="AQ338" si="1131">I338</f>
        <v>5188</v>
      </c>
      <c r="AR338" s="353">
        <f t="shared" ref="AR338" si="1132">AP338/AQ338*1000</f>
        <v>2352.3515805705474</v>
      </c>
      <c r="AX338" s="4">
        <f t="shared" si="331"/>
        <v>2010</v>
      </c>
      <c r="AY338" s="4">
        <f t="shared" si="332"/>
        <v>10</v>
      </c>
      <c r="AZ338" s="366">
        <f>'[8]COM 55 &amp; 65'!$S423</f>
        <v>326.8</v>
      </c>
      <c r="BA338" s="366">
        <f t="shared" si="221"/>
        <v>332.5</v>
      </c>
      <c r="BB338" s="367">
        <f t="shared" ref="BB338" si="1133">(BA338-AZ338)</f>
        <v>5.6999999999999886</v>
      </c>
      <c r="BC338" s="367"/>
      <c r="BD338" s="366">
        <f>'[8]COM 55 &amp; 65'!$J423</f>
        <v>1.2</v>
      </c>
      <c r="BE338" s="366">
        <f t="shared" si="222"/>
        <v>2</v>
      </c>
      <c r="BF338" s="368">
        <f t="shared" ref="BF338" si="1134">(BE338-BD338)</f>
        <v>0.8</v>
      </c>
      <c r="BH338" s="244">
        <f t="shared" ref="BH338" si="1135">BB338*$G$10</f>
        <v>4001.4797999999919</v>
      </c>
      <c r="BI338" s="242">
        <f t="shared" ref="BI338" si="1136">BF338*$G$9</f>
        <v>486.68080000000003</v>
      </c>
      <c r="BJ338" s="242"/>
      <c r="BK338" s="241">
        <f t="shared" ref="BK338" si="1137">ROUND(SUM(BH338,BI338),0)</f>
        <v>4488</v>
      </c>
      <c r="BL338" s="262"/>
      <c r="BM338" s="36" t="s">
        <v>18</v>
      </c>
      <c r="BN338" s="4">
        <f t="shared" si="223"/>
        <v>2010</v>
      </c>
      <c r="BO338" s="4">
        <f t="shared" si="224"/>
        <v>10</v>
      </c>
      <c r="BP338" s="108">
        <f>C338+[4]MWh!$AK172</f>
        <v>1032855.7606933544</v>
      </c>
      <c r="BQ338" s="76">
        <f t="shared" ref="BQ338" si="1138">BP338/D338*1000</f>
        <v>6615.6964469668237</v>
      </c>
      <c r="BR338" s="130">
        <f t="shared" ref="BR338" si="1139">BT338/D338*1000</f>
        <v>6644.4431963038805</v>
      </c>
      <c r="BS338" s="108">
        <f t="shared" ref="BS338" si="1140">BR338-BR326</f>
        <v>364.17893069874026</v>
      </c>
      <c r="BT338" s="175">
        <f t="shared" ref="BT338" si="1141">BK338+BP338</f>
        <v>1037343.7606933544</v>
      </c>
      <c r="BU338" s="108">
        <f t="shared" ref="BU338" si="1142">BT338-BT326</f>
        <v>44490.502679572208</v>
      </c>
      <c r="BV338" s="137">
        <f t="shared" ref="BV338" si="1143">BT338-BP338</f>
        <v>4488</v>
      </c>
      <c r="BW338" s="529">
        <f>BT338/[9]CMWh!$L218</f>
        <v>0.99504060443634756</v>
      </c>
      <c r="DA338" s="50">
        <f t="shared" si="878"/>
        <v>-11597.352700000021</v>
      </c>
      <c r="DB338" s="108">
        <f>[9]CMWh!$E218</f>
        <v>1054790</v>
      </c>
      <c r="DC338" s="50"/>
      <c r="DD338" s="108"/>
      <c r="DE338" s="50"/>
      <c r="DF338" s="23"/>
      <c r="DG338" s="50">
        <f t="shared" si="879"/>
        <v>1043192.6473</v>
      </c>
    </row>
    <row r="339" spans="1:111" ht="12.75" customHeight="1">
      <c r="A339" s="22">
        <f t="shared" si="329"/>
        <v>2010</v>
      </c>
      <c r="B339" s="4">
        <f t="shared" si="330"/>
        <v>11</v>
      </c>
      <c r="C339" s="5">
        <f>'[2]FPC wSEB'!$E436</f>
        <v>964894</v>
      </c>
      <c r="D339" s="5">
        <f>'[2]FPC wSEB'!$Y436</f>
        <v>174390</v>
      </c>
      <c r="E339" s="74">
        <f t="shared" ref="E339" si="1144">ROUND((C339/D339)*1000,1)</f>
        <v>5533</v>
      </c>
      <c r="F339" s="358">
        <v>100347</v>
      </c>
      <c r="G339" s="358">
        <v>119408</v>
      </c>
      <c r="H339" s="358">
        <v>12624</v>
      </c>
      <c r="I339" s="358">
        <v>5172</v>
      </c>
      <c r="J339" s="574">
        <f>[5]CC!$E219</f>
        <v>161473</v>
      </c>
      <c r="K339" s="76">
        <f>'[7]COM 55 &amp; 65'!$S424</f>
        <v>278.7</v>
      </c>
      <c r="L339" s="4">
        <f t="shared" si="216"/>
        <v>251.9</v>
      </c>
      <c r="M339" s="135">
        <f t="shared" ref="M339" si="1145">(L339-K339)</f>
        <v>-26.799999999999983</v>
      </c>
      <c r="N339" s="4">
        <f>'[7]COM 55 &amp; 65'!$J424</f>
        <v>5.7</v>
      </c>
      <c r="O339" s="4">
        <f t="shared" si="209"/>
        <v>6.3</v>
      </c>
      <c r="P339" s="41">
        <f t="shared" ref="P339" si="1146">(O339-N339)</f>
        <v>0.59999999999999964</v>
      </c>
      <c r="Q339" s="474">
        <f t="shared" ref="Q339" si="1147">M339*$G$10</f>
        <v>-18813.97519999999</v>
      </c>
      <c r="R339" s="472">
        <f t="shared" ref="R339" si="1148">P339*$G$9</f>
        <v>365.01059999999978</v>
      </c>
      <c r="S339" s="241">
        <f t="shared" ref="S339" si="1149">ROUND(SUM(Q339,R339),0)</f>
        <v>-18449</v>
      </c>
      <c r="T339" s="13" t="s">
        <v>18</v>
      </c>
      <c r="U339" s="23">
        <f t="shared" si="217"/>
        <v>2010</v>
      </c>
      <c r="V339" s="23">
        <f t="shared" si="218"/>
        <v>11</v>
      </c>
      <c r="W339" s="336">
        <f t="shared" ref="W339" si="1150">Z339/D339*1000</f>
        <v>5427.1747233212918</v>
      </c>
      <c r="X339" s="338">
        <f t="shared" ref="X339" si="1151">W339-W327</f>
        <v>-159.90500048481772</v>
      </c>
      <c r="Y339" s="339"/>
      <c r="Z339" s="178">
        <f t="shared" ref="Z339" si="1152">S339+C339</f>
        <v>946445</v>
      </c>
      <c r="AA339" s="340">
        <f t="shared" ref="AA339" si="1153">Z339-C339</f>
        <v>-18449</v>
      </c>
      <c r="AB339" s="518">
        <f>[9]CMWh!$L219</f>
        <v>909004</v>
      </c>
      <c r="AC339" s="341">
        <f>RESID!AC339</f>
        <v>30.05</v>
      </c>
      <c r="AD339" s="342">
        <f t="shared" ref="AD339" si="1154">ROUND(C339/(AC339/30.42),1)</f>
        <v>976774.6</v>
      </c>
      <c r="AE339" s="342">
        <f t="shared" ref="AE339" si="1155">AD339-AD327</f>
        <v>-51864.5</v>
      </c>
      <c r="AF339" s="23">
        <f t="shared" ref="AF339" si="1156">AG339-C339</f>
        <v>-6796</v>
      </c>
      <c r="AG339" s="23">
        <f t="shared" ref="AG339" si="1157">ROUND(Z339/(AC339/30.42),0)</f>
        <v>958098</v>
      </c>
      <c r="AH339" s="23">
        <f t="shared" ref="AH339" si="1158">AG339-AG327</f>
        <v>-21557</v>
      </c>
      <c r="AI339" s="23"/>
      <c r="AJ339" s="352">
        <f t="shared" ref="AJ339" si="1159">C339-AM339-AP339</f>
        <v>851923</v>
      </c>
      <c r="AK339" s="352">
        <f t="shared" ref="AK339" si="1160">D339-AN339-AQ339</f>
        <v>49810</v>
      </c>
      <c r="AL339" s="353">
        <f t="shared" ref="AL339" si="1161">AJ339/AK339*1000</f>
        <v>17103.45312186308</v>
      </c>
      <c r="AM339" s="352">
        <f t="shared" ref="AM339" si="1162">F339</f>
        <v>100347</v>
      </c>
      <c r="AN339" s="352">
        <f t="shared" ref="AN339" si="1163">G339</f>
        <v>119408</v>
      </c>
      <c r="AO339" s="353">
        <f t="shared" ref="AO339" si="1164">AM339/AN339*1000</f>
        <v>840.37082942516417</v>
      </c>
      <c r="AP339" s="352">
        <f t="shared" ref="AP339" si="1165">H339</f>
        <v>12624</v>
      </c>
      <c r="AQ339" s="352">
        <f t="shared" ref="AQ339" si="1166">I339</f>
        <v>5172</v>
      </c>
      <c r="AR339" s="353">
        <f t="shared" ref="AR339" si="1167">AP339/AQ339*1000</f>
        <v>2440.8352668213456</v>
      </c>
      <c r="AX339" s="4">
        <f t="shared" si="331"/>
        <v>2010</v>
      </c>
      <c r="AY339" s="4">
        <f t="shared" si="332"/>
        <v>11</v>
      </c>
      <c r="AZ339" s="366">
        <f>'[8]COM 55 &amp; 65'!$S424</f>
        <v>155.30000000000001</v>
      </c>
      <c r="BA339" s="366">
        <f t="shared" si="221"/>
        <v>146</v>
      </c>
      <c r="BB339" s="367">
        <f t="shared" ref="BB339" si="1168">(BA339-AZ339)</f>
        <v>-9.3000000000000114</v>
      </c>
      <c r="BC339" s="367"/>
      <c r="BD339" s="366">
        <f>'[8]COM 55 &amp; 65'!$J424</f>
        <v>13</v>
      </c>
      <c r="BE339" s="366">
        <f t="shared" si="222"/>
        <v>14</v>
      </c>
      <c r="BF339" s="368">
        <f t="shared" ref="BF339" si="1169">(BE339-BD339)</f>
        <v>1</v>
      </c>
      <c r="BH339" s="244">
        <f t="shared" ref="BH339" si="1170">BB339*$G$10</f>
        <v>-6528.7302000000082</v>
      </c>
      <c r="BI339" s="242">
        <f t="shared" ref="BI339" si="1171">BF339*$G$9</f>
        <v>608.351</v>
      </c>
      <c r="BJ339" s="242"/>
      <c r="BK339" s="241">
        <f t="shared" ref="BK339" si="1172">ROUND(SUM(BH339,BI339),0)</f>
        <v>-5920</v>
      </c>
      <c r="BL339" s="262"/>
      <c r="BM339" s="36" t="s">
        <v>18</v>
      </c>
      <c r="BN339" s="4">
        <f t="shared" si="223"/>
        <v>2010</v>
      </c>
      <c r="BO339" s="4">
        <f t="shared" si="224"/>
        <v>11</v>
      </c>
      <c r="BP339" s="108">
        <f>C339+[4]MWh!$AK173</f>
        <v>808753.29909412353</v>
      </c>
      <c r="BQ339" s="76">
        <f t="shared" ref="BQ339" si="1173">BP339/D339*1000</f>
        <v>4637.612816641571</v>
      </c>
      <c r="BR339" s="130">
        <f t="shared" ref="BR339" si="1174">BT339/D339*1000</f>
        <v>4603.6659160165345</v>
      </c>
      <c r="BS339" s="108">
        <f t="shared" ref="BS339" si="1175">BR339-BR327</f>
        <v>-248.49916096052493</v>
      </c>
      <c r="BT339" s="175">
        <f t="shared" ref="BT339" si="1176">BK339+BP339</f>
        <v>802833.29909412353</v>
      </c>
      <c r="BU339" s="108">
        <f t="shared" ref="BU339" si="1177">BT339-BT327</f>
        <v>-36212.79034690361</v>
      </c>
      <c r="BV339" s="137">
        <f t="shared" ref="BV339" si="1178">BT339-BP339</f>
        <v>-5920</v>
      </c>
      <c r="BW339" s="529">
        <f>BT339/[9]CMWh!$L219</f>
        <v>0.8832010630251611</v>
      </c>
      <c r="DA339" s="50">
        <f t="shared" si="878"/>
        <v>-17432.053399999986</v>
      </c>
      <c r="DB339" s="108">
        <f>[9]CMWh!$E219</f>
        <v>927453</v>
      </c>
      <c r="DC339" s="50"/>
      <c r="DD339" s="108"/>
      <c r="DE339" s="50"/>
      <c r="DF339" s="23"/>
      <c r="DG339" s="50">
        <f t="shared" si="879"/>
        <v>910020.94660000002</v>
      </c>
    </row>
    <row r="340" spans="1:111" s="89" customFormat="1" ht="12.75" customHeight="1">
      <c r="A340" s="225">
        <f t="shared" si="329"/>
        <v>2010</v>
      </c>
      <c r="B340" s="89">
        <f t="shared" si="330"/>
        <v>12</v>
      </c>
      <c r="C340" s="103">
        <f>'[2]FPC wSEB'!$E437</f>
        <v>897406</v>
      </c>
      <c r="D340" s="103">
        <f>'[2]FPC wSEB'!$Y437</f>
        <v>163574</v>
      </c>
      <c r="E340" s="109">
        <f t="shared" ref="E340" si="1179">ROUND((C340/D340)*1000,1)</f>
        <v>5486.2</v>
      </c>
      <c r="F340" s="376">
        <v>92772</v>
      </c>
      <c r="G340" s="376">
        <v>110863</v>
      </c>
      <c r="H340" s="376">
        <v>12256</v>
      </c>
      <c r="I340" s="376">
        <v>5187</v>
      </c>
      <c r="J340" s="575">
        <f>[5]CC!$E220</f>
        <v>161359</v>
      </c>
      <c r="K340" s="92">
        <f>'[7]COM 55 &amp; 65'!$S425</f>
        <v>125.4</v>
      </c>
      <c r="L340" s="89">
        <f t="shared" si="216"/>
        <v>119.4</v>
      </c>
      <c r="M340" s="136">
        <f t="shared" ref="M340" si="1180">(L340-K340)</f>
        <v>-6</v>
      </c>
      <c r="N340" s="89">
        <f>'[7]COM 55 &amp; 65'!$J425</f>
        <v>56.6</v>
      </c>
      <c r="O340" s="89">
        <f t="shared" si="209"/>
        <v>30.1</v>
      </c>
      <c r="P340" s="94">
        <f t="shared" ref="P340" si="1181">(O340-N340)</f>
        <v>-26.5</v>
      </c>
      <c r="Q340" s="475">
        <f t="shared" ref="Q340" si="1182">M340*$G$10</f>
        <v>-4212.0839999999998</v>
      </c>
      <c r="R340" s="473">
        <f t="shared" ref="R340" si="1183">P340*$G$9</f>
        <v>-16121.3015</v>
      </c>
      <c r="S340" s="329">
        <f t="shared" ref="S340" si="1184">ROUND(SUM(Q340,R340),0)</f>
        <v>-20333</v>
      </c>
      <c r="T340" s="90" t="s">
        <v>18</v>
      </c>
      <c r="U340" s="89">
        <f t="shared" si="217"/>
        <v>2010</v>
      </c>
      <c r="V340" s="89">
        <f t="shared" si="218"/>
        <v>12</v>
      </c>
      <c r="W340" s="328">
        <f t="shared" ref="W340" si="1185">Z340/D340*1000</f>
        <v>5361.9340481983691</v>
      </c>
      <c r="X340" s="133">
        <f t="shared" ref="X340" si="1186">W340-W328</f>
        <v>-116.02375134948306</v>
      </c>
      <c r="Y340" s="330"/>
      <c r="Z340" s="176">
        <f t="shared" ref="Z340" si="1187">S340+C340</f>
        <v>877073</v>
      </c>
      <c r="AA340" s="105">
        <f t="shared" ref="AA340" si="1188">Z340-C340</f>
        <v>-20333</v>
      </c>
      <c r="AB340" s="520">
        <f>[9]CMWh!$L220</f>
        <v>888882</v>
      </c>
      <c r="AC340" s="110">
        <f>RESID!AC340</f>
        <v>31.35</v>
      </c>
      <c r="AD340" s="331">
        <f t="shared" ref="AD340" si="1189">ROUND(C340/(AC340/30.42),1)</f>
        <v>870784.4</v>
      </c>
      <c r="AE340" s="331">
        <f t="shared" ref="AE340" si="1190">AD340-AD328</f>
        <v>13931.5</v>
      </c>
      <c r="AF340" s="89">
        <f t="shared" ref="AF340" si="1191">AG340-C340</f>
        <v>-46351</v>
      </c>
      <c r="AG340" s="89">
        <f t="shared" ref="AG340" si="1192">ROUND(Z340/(AC340/30.42),0)</f>
        <v>851055</v>
      </c>
      <c r="AH340" s="89">
        <f t="shared" ref="AH340" si="1193">AG340-AG328</f>
        <v>5970</v>
      </c>
      <c r="AJ340" s="351">
        <f t="shared" ref="AJ340" si="1194">C340-AM340-AP340</f>
        <v>792378</v>
      </c>
      <c r="AK340" s="351">
        <f t="shared" ref="AK340" si="1195">D340-AN340-AQ340</f>
        <v>47524</v>
      </c>
      <c r="AL340" s="277">
        <f t="shared" ref="AL340" si="1196">AJ340/AK340*1000</f>
        <v>16673.217742614259</v>
      </c>
      <c r="AM340" s="351">
        <f t="shared" ref="AM340" si="1197">F340</f>
        <v>92772</v>
      </c>
      <c r="AN340" s="351">
        <f t="shared" ref="AN340" si="1198">G340</f>
        <v>110863</v>
      </c>
      <c r="AO340" s="277">
        <f t="shared" ref="AO340" si="1199">AM340/AN340*1000</f>
        <v>836.81661149346485</v>
      </c>
      <c r="AP340" s="351">
        <f t="shared" ref="AP340" si="1200">H340</f>
        <v>12256</v>
      </c>
      <c r="AQ340" s="351">
        <f t="shared" ref="AQ340" si="1201">I340</f>
        <v>5187</v>
      </c>
      <c r="AR340" s="277">
        <f t="shared" ref="AR340" si="1202">AP340/AQ340*1000</f>
        <v>2362.8301523038363</v>
      </c>
      <c r="AX340" s="89">
        <f t="shared" si="331"/>
        <v>2010</v>
      </c>
      <c r="AY340" s="89">
        <f t="shared" si="332"/>
        <v>12</v>
      </c>
      <c r="AZ340" s="369">
        <f>'[8]COM 55 &amp; 65'!$S425</f>
        <v>11.1</v>
      </c>
      <c r="BA340" s="369">
        <f t="shared" si="221"/>
        <v>75.7</v>
      </c>
      <c r="BB340" s="370">
        <f t="shared" ref="BB340" si="1203">(BA340-AZ340)</f>
        <v>64.600000000000009</v>
      </c>
      <c r="BC340" s="370"/>
      <c r="BD340" s="369">
        <f>'[8]COM 55 &amp; 65'!$J425</f>
        <v>162.9</v>
      </c>
      <c r="BE340" s="369">
        <f t="shared" si="222"/>
        <v>44.3</v>
      </c>
      <c r="BF340" s="371">
        <f t="shared" ref="BF340" si="1204">(BE340-BD340)</f>
        <v>-118.60000000000001</v>
      </c>
      <c r="BH340" s="327">
        <f t="shared" ref="BH340" si="1205">BB340*$G$10</f>
        <v>45350.104400000004</v>
      </c>
      <c r="BI340" s="328">
        <f t="shared" ref="BI340" si="1206">BF340*$G$9</f>
        <v>-72150.428599999999</v>
      </c>
      <c r="BJ340" s="328"/>
      <c r="BK340" s="329">
        <f t="shared" ref="BK340" si="1207">ROUND(SUM(BH340,BI340),0)</f>
        <v>-26800</v>
      </c>
      <c r="BL340" s="332"/>
      <c r="BM340" s="113" t="s">
        <v>18</v>
      </c>
      <c r="BN340" s="89">
        <f t="shared" si="223"/>
        <v>2010</v>
      </c>
      <c r="BO340" s="89">
        <f t="shared" si="224"/>
        <v>12</v>
      </c>
      <c r="BP340" s="117">
        <f>C340+[4]MWh!$AK174</f>
        <v>1017805.3961291169</v>
      </c>
      <c r="BQ340" s="92">
        <f t="shared" ref="BQ340" si="1208">BP340/D340*1000</f>
        <v>6222.2932503277843</v>
      </c>
      <c r="BR340" s="299">
        <f t="shared" ref="BR340" si="1209">BT340/D340*1000</f>
        <v>6058.4530312220577</v>
      </c>
      <c r="BS340" s="117">
        <f t="shared" ref="BS340" si="1210">BR340-BR328</f>
        <v>137.86126619624883</v>
      </c>
      <c r="BT340" s="176">
        <f t="shared" ref="BT340" si="1211">BK340+BP340</f>
        <v>991005.39612911688</v>
      </c>
      <c r="BU340" s="117">
        <f t="shared" ref="BU340" si="1212">BT340-BT328</f>
        <v>48210.363466407056</v>
      </c>
      <c r="BV340" s="139">
        <f t="shared" ref="BV340" si="1213">BT340-BP340</f>
        <v>-26800</v>
      </c>
      <c r="BW340" s="536">
        <f>BT340/[9]CMWh!$L220</f>
        <v>1.1148897110405172</v>
      </c>
      <c r="DA340" s="50">
        <f t="shared" si="878"/>
        <v>-19110.500500000002</v>
      </c>
      <c r="DB340" s="108">
        <f>[9]CMWh!$E220</f>
        <v>909215</v>
      </c>
      <c r="DC340" s="50"/>
      <c r="DD340" s="108"/>
      <c r="DE340" s="50"/>
      <c r="DF340" s="23"/>
      <c r="DG340" s="50">
        <f t="shared" si="879"/>
        <v>890104.49950000003</v>
      </c>
    </row>
    <row r="341" spans="1:111" ht="12.75" customHeight="1">
      <c r="A341" s="22">
        <f t="shared" si="329"/>
        <v>2011</v>
      </c>
      <c r="B341" s="4">
        <f t="shared" si="330"/>
        <v>1</v>
      </c>
      <c r="C341" s="5">
        <f>'[2]FPC wSEB'!$E438</f>
        <v>898055</v>
      </c>
      <c r="D341" s="5">
        <f>'[2]FPC wSEB'!$Y438</f>
        <v>156932</v>
      </c>
      <c r="E341" s="74">
        <f t="shared" ref="E341" si="1214">ROUND((C341/D341)*1000,1)</f>
        <v>5722.6</v>
      </c>
      <c r="F341" s="358">
        <v>95950</v>
      </c>
      <c r="G341" s="358">
        <v>104262</v>
      </c>
      <c r="H341" s="358">
        <v>12197</v>
      </c>
      <c r="I341" s="358">
        <v>5220</v>
      </c>
      <c r="J341" s="574">
        <f>[5]CC!$E221</f>
        <v>161529</v>
      </c>
      <c r="K341" s="76">
        <f>'[7]COM 55 &amp; 65'!$S426</f>
        <v>23.4</v>
      </c>
      <c r="L341" s="4">
        <f t="shared" si="216"/>
        <v>70.8</v>
      </c>
      <c r="M341" s="135">
        <f t="shared" ref="M341" si="1215">(L341-K341)</f>
        <v>47.4</v>
      </c>
      <c r="N341" s="4">
        <f>'[7]COM 55 &amp; 65'!$J426</f>
        <v>135.1</v>
      </c>
      <c r="O341" s="4">
        <f t="shared" si="209"/>
        <v>54.9</v>
      </c>
      <c r="P341" s="41">
        <f t="shared" ref="P341" si="1216">(O341-N341)</f>
        <v>-80.199999999999989</v>
      </c>
      <c r="Q341" s="474">
        <f t="shared" ref="Q341" si="1217">M341*$G$10</f>
        <v>33275.463600000003</v>
      </c>
      <c r="R341" s="472">
        <f t="shared" ref="R341" si="1218">P341*$G$9</f>
        <v>-48789.750199999995</v>
      </c>
      <c r="S341" s="241">
        <f t="shared" ref="S341" si="1219">ROUND(SUM(Q341,R341),0)</f>
        <v>-15514</v>
      </c>
      <c r="T341" s="13" t="s">
        <v>18</v>
      </c>
      <c r="U341" s="23">
        <f t="shared" si="217"/>
        <v>2011</v>
      </c>
      <c r="V341" s="23">
        <f t="shared" si="218"/>
        <v>1</v>
      </c>
      <c r="W341" s="336">
        <f t="shared" ref="W341" si="1220">Z341/D341*1000</f>
        <v>5623.7160043840649</v>
      </c>
      <c r="X341" s="338">
        <f t="shared" ref="X341" si="1221">W341-W329</f>
        <v>161.83744093992755</v>
      </c>
      <c r="Y341" s="339"/>
      <c r="Z341" s="178">
        <f t="shared" ref="Z341" si="1222">S341+C341</f>
        <v>882541</v>
      </c>
      <c r="AA341" s="340">
        <f t="shared" ref="AA341" si="1223">Z341-C341</f>
        <v>-15514</v>
      </c>
      <c r="AB341" s="518">
        <f>[9]CMWh!$L221</f>
        <v>896659</v>
      </c>
      <c r="AC341" s="341">
        <f>RESID!AC341</f>
        <v>31.85</v>
      </c>
      <c r="AD341" s="342">
        <f t="shared" ref="AD341" si="1224">ROUND(C341/(AC341/30.42),1)</f>
        <v>857734.2</v>
      </c>
      <c r="AE341" s="342">
        <f t="shared" ref="AE341" si="1225">AD341-AD329</f>
        <v>-1111.2000000000698</v>
      </c>
      <c r="AF341" s="23">
        <f t="shared" ref="AF341" si="1226">AG341-C341</f>
        <v>-55138</v>
      </c>
      <c r="AG341" s="23">
        <f t="shared" ref="AG341" si="1227">ROUND(Z341/(AC341/30.42),0)</f>
        <v>842917</v>
      </c>
      <c r="AH341" s="23">
        <f t="shared" ref="AH341" si="1228">AG341-AG329</f>
        <v>16639</v>
      </c>
      <c r="AI341" s="23"/>
      <c r="AJ341" s="352">
        <f t="shared" ref="AJ341" si="1229">C341-AM341-AP341</f>
        <v>789908</v>
      </c>
      <c r="AK341" s="352">
        <f t="shared" ref="AK341" si="1230">D341-AN341-AQ341</f>
        <v>47450</v>
      </c>
      <c r="AL341" s="353">
        <f t="shared" ref="AL341" si="1231">AJ341/AK341*1000</f>
        <v>16647.165437302421</v>
      </c>
      <c r="AM341" s="352">
        <f t="shared" ref="AM341" si="1232">F341</f>
        <v>95950</v>
      </c>
      <c r="AN341" s="352">
        <f t="shared" ref="AN341" si="1233">G341</f>
        <v>104262</v>
      </c>
      <c r="AO341" s="353">
        <f t="shared" ref="AO341" si="1234">AM341/AN341*1000</f>
        <v>920.27776179240766</v>
      </c>
      <c r="AP341" s="352">
        <f t="shared" ref="AP341" si="1235">H341</f>
        <v>12197</v>
      </c>
      <c r="AQ341" s="352">
        <f t="shared" ref="AQ341" si="1236">I341</f>
        <v>5220</v>
      </c>
      <c r="AR341" s="353">
        <f t="shared" ref="AR341" si="1237">AP341/AQ341*1000</f>
        <v>2336.5900383141766</v>
      </c>
      <c r="AX341" s="4">
        <f t="shared" si="331"/>
        <v>2011</v>
      </c>
      <c r="AY341" s="4">
        <f t="shared" si="332"/>
        <v>1</v>
      </c>
      <c r="AZ341" s="366">
        <f>'[8]COM 55 &amp; 65'!$S426</f>
        <v>29.6</v>
      </c>
      <c r="BA341" s="366">
        <f t="shared" si="221"/>
        <v>72.3</v>
      </c>
      <c r="BB341" s="367">
        <f t="shared" ref="BB341" si="1238">(BA341-AZ341)</f>
        <v>42.699999999999996</v>
      </c>
      <c r="BC341" s="367"/>
      <c r="BD341" s="366">
        <f>'[8]COM 55 &amp; 65'!$J426</f>
        <v>78.8</v>
      </c>
      <c r="BE341" s="366">
        <f t="shared" si="222"/>
        <v>52.4</v>
      </c>
      <c r="BF341" s="368">
        <f t="shared" ref="BF341" si="1239">(BE341-BD341)</f>
        <v>-26.4</v>
      </c>
      <c r="BH341" s="244">
        <f t="shared" ref="BH341" si="1240">BB341*$G$10</f>
        <v>29975.997799999997</v>
      </c>
      <c r="BI341" s="242">
        <f t="shared" ref="BI341" si="1241">BF341*$G$9</f>
        <v>-16060.466399999999</v>
      </c>
      <c r="BJ341" s="242"/>
      <c r="BK341" s="241">
        <f t="shared" ref="BK341" si="1242">ROUND(SUM(BH341,BI341),0)</f>
        <v>13916</v>
      </c>
      <c r="BL341" s="262"/>
      <c r="BM341" s="36" t="s">
        <v>18</v>
      </c>
      <c r="BN341" s="4">
        <f t="shared" si="223"/>
        <v>2011</v>
      </c>
      <c r="BO341" s="4">
        <f t="shared" si="224"/>
        <v>1</v>
      </c>
      <c r="BP341" s="108">
        <f>C341+[4]MWh!$AK175</f>
        <v>759765.08883264672</v>
      </c>
      <c r="BQ341" s="76">
        <f t="shared" ref="BQ341" si="1243">BP341/D341*1000</f>
        <v>4841.3649786700398</v>
      </c>
      <c r="BR341" s="130">
        <f t="shared" ref="BR341" si="1244">BT341/D341*1000</f>
        <v>4930.0403285030889</v>
      </c>
      <c r="BS341" s="108">
        <f t="shared" ref="BS341" si="1245">BR341-BR329</f>
        <v>-202.87080552861516</v>
      </c>
      <c r="BT341" s="175">
        <f t="shared" ref="BT341" si="1246">BK341+BP341</f>
        <v>773681.08883264672</v>
      </c>
      <c r="BU341" s="108">
        <f t="shared" ref="BU341" si="1247">BT341-BT329</f>
        <v>-48267.369793252088</v>
      </c>
      <c r="BV341" s="137">
        <f t="shared" ref="BV341" si="1248">BT341-BP341</f>
        <v>13916</v>
      </c>
      <c r="BW341" s="529">
        <f>BT341/[9]CMWh!$L221</f>
        <v>0.86284874052749905</v>
      </c>
      <c r="DA341" s="50">
        <f t="shared" si="878"/>
        <v>-14355.752799999998</v>
      </c>
      <c r="DB341" s="108">
        <f>[9]CMWh!$E221</f>
        <v>912173</v>
      </c>
      <c r="DC341" s="50"/>
      <c r="DD341" s="108"/>
      <c r="DE341" s="50"/>
      <c r="DF341" s="23"/>
      <c r="DG341" s="50">
        <f t="shared" si="879"/>
        <v>897817.24719999998</v>
      </c>
    </row>
    <row r="342" spans="1:111" ht="12.75" customHeight="1">
      <c r="A342" s="22">
        <f t="shared" si="329"/>
        <v>2011</v>
      </c>
      <c r="B342" s="4">
        <f t="shared" si="330"/>
        <v>2</v>
      </c>
      <c r="C342" s="5">
        <f>'[2]FPC wSEB'!$E439</f>
        <v>814973</v>
      </c>
      <c r="D342" s="5">
        <f>'[2]FPC wSEB'!$Y439</f>
        <v>161830</v>
      </c>
      <c r="E342" s="74">
        <f t="shared" ref="E342" si="1249">ROUND((C342/D342)*1000,1)</f>
        <v>5036</v>
      </c>
      <c r="F342" s="358">
        <v>84558</v>
      </c>
      <c r="G342" s="358">
        <v>108687</v>
      </c>
      <c r="H342" s="358">
        <v>12342</v>
      </c>
      <c r="I342" s="358">
        <v>5206</v>
      </c>
      <c r="J342" s="574">
        <f>[5]CC!$E222</f>
        <v>161537</v>
      </c>
      <c r="K342" s="76">
        <f>'[7]COM 55 &amp; 65'!$S427</f>
        <v>41.7</v>
      </c>
      <c r="L342" s="4">
        <f t="shared" si="216"/>
        <v>62.7</v>
      </c>
      <c r="M342" s="135">
        <f t="shared" ref="M342" si="1250">(L342-K342)</f>
        <v>21</v>
      </c>
      <c r="N342" s="4">
        <f>'[7]COM 55 &amp; 65'!$J427</f>
        <v>68.2</v>
      </c>
      <c r="O342" s="4">
        <f t="shared" si="209"/>
        <v>46.9</v>
      </c>
      <c r="P342" s="41">
        <f t="shared" ref="P342" si="1251">(O342-N342)</f>
        <v>-21.300000000000004</v>
      </c>
      <c r="Q342" s="474">
        <f t="shared" ref="Q342" si="1252">M342*$G$10</f>
        <v>14742.294</v>
      </c>
      <c r="R342" s="472">
        <f t="shared" ref="R342" si="1253">P342*$G$9</f>
        <v>-12957.876300000002</v>
      </c>
      <c r="S342" s="241">
        <f t="shared" ref="S342" si="1254">ROUND(SUM(Q342,R342),0)</f>
        <v>1784</v>
      </c>
      <c r="T342" s="13" t="s">
        <v>18</v>
      </c>
      <c r="U342" s="23">
        <f t="shared" si="217"/>
        <v>2011</v>
      </c>
      <c r="V342" s="23">
        <f t="shared" si="218"/>
        <v>2</v>
      </c>
      <c r="W342" s="336">
        <f t="shared" ref="W342" si="1255">Z342/D342*1000</f>
        <v>5047.0061175307419</v>
      </c>
      <c r="X342" s="338">
        <f t="shared" ref="X342" si="1256">W342-W330</f>
        <v>-196.82766601423282</v>
      </c>
      <c r="Y342" s="339"/>
      <c r="Z342" s="178">
        <f t="shared" ref="Z342" si="1257">S342+C342</f>
        <v>816757</v>
      </c>
      <c r="AA342" s="340">
        <f t="shared" ref="AA342" si="1258">Z342-C342</f>
        <v>1784</v>
      </c>
      <c r="AB342" s="518">
        <f>[9]CMWh!$L222</f>
        <v>820850</v>
      </c>
      <c r="AC342" s="341">
        <f>RESID!AC342</f>
        <v>29.95</v>
      </c>
      <c r="AD342" s="342">
        <f t="shared" ref="AD342" si="1259">ROUND(C342/(AC342/30.42),1)</f>
        <v>827762.2</v>
      </c>
      <c r="AE342" s="342">
        <f t="shared" ref="AE342" si="1260">AD342-AD330</f>
        <v>-39134.800000000047</v>
      </c>
      <c r="AF342" s="23">
        <f t="shared" ref="AF342" si="1261">AG342-C342</f>
        <v>14601</v>
      </c>
      <c r="AG342" s="23">
        <f t="shared" ref="AG342" si="1262">ROUND(Z342/(AC342/30.42),0)</f>
        <v>829574</v>
      </c>
      <c r="AH342" s="23">
        <f t="shared" ref="AH342" si="1263">AG342-AG330</f>
        <v>-24297</v>
      </c>
      <c r="AI342" s="23"/>
      <c r="AJ342" s="352">
        <f t="shared" ref="AJ342" si="1264">C342-AM342-AP342</f>
        <v>718073</v>
      </c>
      <c r="AK342" s="352">
        <f t="shared" ref="AK342" si="1265">D342-AN342-AQ342</f>
        <v>47937</v>
      </c>
      <c r="AL342" s="353">
        <f t="shared" ref="AL342" si="1266">AJ342/AK342*1000</f>
        <v>14979.514779815174</v>
      </c>
      <c r="AM342" s="352">
        <f t="shared" ref="AM342" si="1267">F342</f>
        <v>84558</v>
      </c>
      <c r="AN342" s="352">
        <f t="shared" ref="AN342" si="1268">G342</f>
        <v>108687</v>
      </c>
      <c r="AO342" s="353">
        <f t="shared" ref="AO342" si="1269">AM342/AN342*1000</f>
        <v>777.99552844406412</v>
      </c>
      <c r="AP342" s="352">
        <f t="shared" ref="AP342" si="1270">H342</f>
        <v>12342</v>
      </c>
      <c r="AQ342" s="352">
        <f t="shared" ref="AQ342" si="1271">I342</f>
        <v>5206</v>
      </c>
      <c r="AR342" s="353">
        <f t="shared" ref="AR342" si="1272">AP342/AQ342*1000</f>
        <v>2370.7260852862082</v>
      </c>
      <c r="AX342" s="4">
        <f t="shared" si="331"/>
        <v>2011</v>
      </c>
      <c r="AY342" s="4">
        <f t="shared" si="332"/>
        <v>2</v>
      </c>
      <c r="AZ342" s="366">
        <f>'[8]COM 55 &amp; 65'!$S427</f>
        <v>104.3</v>
      </c>
      <c r="BA342" s="366">
        <f t="shared" si="221"/>
        <v>82.6</v>
      </c>
      <c r="BB342" s="367">
        <f t="shared" ref="BB342" si="1273">(BA342-AZ342)</f>
        <v>-21.700000000000003</v>
      </c>
      <c r="BC342" s="367"/>
      <c r="BD342" s="366">
        <f>'[8]COM 55 &amp; 65'!$J427</f>
        <v>26.5</v>
      </c>
      <c r="BE342" s="366">
        <f t="shared" si="222"/>
        <v>36.5</v>
      </c>
      <c r="BF342" s="368">
        <f t="shared" ref="BF342" si="1274">(BE342-BD342)</f>
        <v>10</v>
      </c>
      <c r="BH342" s="244">
        <f t="shared" ref="BH342" si="1275">BB342*$G$10</f>
        <v>-15233.703800000003</v>
      </c>
      <c r="BI342" s="242">
        <f t="shared" ref="BI342" si="1276">BF342*$G$9</f>
        <v>6083.51</v>
      </c>
      <c r="BJ342" s="242"/>
      <c r="BK342" s="241">
        <f t="shared" ref="BK342" si="1277">ROUND(SUM(BH342,BI342),0)</f>
        <v>-9150</v>
      </c>
      <c r="BL342" s="262"/>
      <c r="BM342" s="36" t="s">
        <v>18</v>
      </c>
      <c r="BN342" s="4">
        <f t="shared" si="223"/>
        <v>2011</v>
      </c>
      <c r="BO342" s="4">
        <f t="shared" si="224"/>
        <v>2</v>
      </c>
      <c r="BP342" s="108">
        <f>C342+[4]MWh!$AK176</f>
        <v>770280.75997343473</v>
      </c>
      <c r="BQ342" s="76">
        <f t="shared" ref="BQ342" si="1278">BP342/D342*1000</f>
        <v>4759.8143729434269</v>
      </c>
      <c r="BR342" s="130">
        <f t="shared" ref="BR342" si="1279">BT342/D342*1000</f>
        <v>4703.2735585085256</v>
      </c>
      <c r="BS342" s="108">
        <f t="shared" ref="BS342" si="1280">BR342-BR330</f>
        <v>-772.03502585289971</v>
      </c>
      <c r="BT342" s="175">
        <f t="shared" ref="BT342" si="1281">BK342+BP342</f>
        <v>761130.75997343473</v>
      </c>
      <c r="BU342" s="108">
        <f t="shared" ref="BU342" si="1282">BT342-BT330</f>
        <v>-106399.03336712695</v>
      </c>
      <c r="BV342" s="137">
        <f t="shared" ref="BV342" si="1283">BT342-BP342</f>
        <v>-9150</v>
      </c>
      <c r="BW342" s="529">
        <f>BT342/[9]CMWh!$L222</f>
        <v>0.92724707312351184</v>
      </c>
      <c r="DA342" s="50">
        <f t="shared" si="878"/>
        <v>1765.9124999999949</v>
      </c>
      <c r="DB342" s="108">
        <f>[9]CMWh!$E222</f>
        <v>819066</v>
      </c>
      <c r="DC342" s="50"/>
      <c r="DD342" s="108"/>
      <c r="DE342" s="50"/>
      <c r="DF342" s="23"/>
      <c r="DG342" s="50">
        <f t="shared" si="879"/>
        <v>820831.91249999998</v>
      </c>
    </row>
    <row r="343" spans="1:111" ht="12.75" customHeight="1">
      <c r="A343" s="22">
        <f t="shared" si="329"/>
        <v>2011</v>
      </c>
      <c r="B343" s="4">
        <f t="shared" si="330"/>
        <v>3</v>
      </c>
      <c r="C343" s="5">
        <f>'[2]FPC wSEB'!$E440</f>
        <v>833624</v>
      </c>
      <c r="D343" s="5">
        <f>'[2]FPC wSEB'!$Y440</f>
        <v>156319</v>
      </c>
      <c r="E343" s="74">
        <f t="shared" ref="E343" si="1284">ROUND((C343/D343)*1000,1)</f>
        <v>5332.8</v>
      </c>
      <c r="F343" s="358">
        <v>80243</v>
      </c>
      <c r="G343" s="358">
        <v>103439</v>
      </c>
      <c r="H343" s="358">
        <v>12240</v>
      </c>
      <c r="I343" s="358">
        <v>5209</v>
      </c>
      <c r="J343" s="574">
        <f>[5]CC!$E223</f>
        <v>161755</v>
      </c>
      <c r="K343" s="76">
        <f>'[7]COM 55 &amp; 65'!$S428</f>
        <v>118.7</v>
      </c>
      <c r="L343" s="4">
        <f t="shared" si="216"/>
        <v>105.4</v>
      </c>
      <c r="M343" s="135">
        <f t="shared" ref="M343" si="1285">(L343-K343)</f>
        <v>-13.299999999999997</v>
      </c>
      <c r="N343" s="4">
        <f>'[7]COM 55 &amp; 65'!$J428</f>
        <v>20.3</v>
      </c>
      <c r="O343" s="4">
        <f t="shared" si="209"/>
        <v>26.8</v>
      </c>
      <c r="P343" s="41">
        <f t="shared" ref="P343" si="1286">(O343-N343)</f>
        <v>6.5</v>
      </c>
      <c r="Q343" s="474">
        <f t="shared" ref="Q343" si="1287">M343*$G$10</f>
        <v>-9336.7861999999986</v>
      </c>
      <c r="R343" s="472">
        <f t="shared" ref="R343" si="1288">P343*$G$9</f>
        <v>3954.2815000000001</v>
      </c>
      <c r="S343" s="241">
        <f t="shared" ref="S343" si="1289">ROUND(SUM(Q343,R343),0)</f>
        <v>-5383</v>
      </c>
      <c r="T343" s="13" t="s">
        <v>18</v>
      </c>
      <c r="U343" s="23">
        <f t="shared" si="217"/>
        <v>2011</v>
      </c>
      <c r="V343" s="23">
        <f t="shared" si="218"/>
        <v>3</v>
      </c>
      <c r="W343" s="336">
        <f t="shared" ref="W343" si="1290">Z343/D343*1000</f>
        <v>5298.402625400623</v>
      </c>
      <c r="X343" s="338">
        <f t="shared" ref="X343" si="1291">W343-W331</f>
        <v>11.790848279993043</v>
      </c>
      <c r="Y343" s="339"/>
      <c r="Z343" s="178">
        <f t="shared" ref="Z343" si="1292">S343+C343</f>
        <v>828241</v>
      </c>
      <c r="AA343" s="340">
        <f t="shared" ref="AA343" si="1293">Z343-C343</f>
        <v>-5383</v>
      </c>
      <c r="AB343" s="518">
        <f>[9]CMWh!$L223</f>
        <v>833357</v>
      </c>
      <c r="AC343" s="341">
        <f>RESID!AC343</f>
        <v>29.4</v>
      </c>
      <c r="AD343" s="342">
        <f t="shared" ref="AD343" si="1294">ROUND(C343/(AC343/30.42),1)</f>
        <v>862545.6</v>
      </c>
      <c r="AE343" s="342">
        <f t="shared" ref="AE343" si="1295">AD343-AD331</f>
        <v>-10900.5</v>
      </c>
      <c r="AF343" s="23">
        <f t="shared" ref="AF343" si="1296">AG343-C343</f>
        <v>23352</v>
      </c>
      <c r="AG343" s="23">
        <f t="shared" ref="AG343" si="1297">ROUND(Z343/(AC343/30.42),0)</f>
        <v>856976</v>
      </c>
      <c r="AH343" s="23">
        <f t="shared" ref="AH343" si="1298">AG343-AG331</f>
        <v>-34605</v>
      </c>
      <c r="AI343" s="23"/>
      <c r="AJ343" s="352">
        <f t="shared" ref="AJ343" si="1299">C343-AM343-AP343</f>
        <v>741141</v>
      </c>
      <c r="AK343" s="352">
        <f t="shared" ref="AK343" si="1300">D343-AN343-AQ343</f>
        <v>47671</v>
      </c>
      <c r="AL343" s="353">
        <f t="shared" ref="AL343" si="1301">AJ343/AK343*1000</f>
        <v>15546.999223846782</v>
      </c>
      <c r="AM343" s="352">
        <f t="shared" ref="AM343" si="1302">F343</f>
        <v>80243</v>
      </c>
      <c r="AN343" s="352">
        <f t="shared" ref="AN343" si="1303">G343</f>
        <v>103439</v>
      </c>
      <c r="AO343" s="353">
        <f t="shared" ref="AO343" si="1304">AM343/AN343*1000</f>
        <v>775.75189241968701</v>
      </c>
      <c r="AP343" s="352">
        <f t="shared" ref="AP343" si="1305">H343</f>
        <v>12240</v>
      </c>
      <c r="AQ343" s="352">
        <f t="shared" ref="AQ343" si="1306">I343</f>
        <v>5209</v>
      </c>
      <c r="AR343" s="353">
        <f t="shared" ref="AR343" si="1307">AP343/AQ343*1000</f>
        <v>2349.779228258783</v>
      </c>
      <c r="AX343" s="4">
        <f t="shared" si="331"/>
        <v>2011</v>
      </c>
      <c r="AY343" s="4">
        <f t="shared" si="332"/>
        <v>3</v>
      </c>
      <c r="AZ343" s="366">
        <f>'[8]COM 55 &amp; 65'!$S428</f>
        <v>163.5</v>
      </c>
      <c r="BA343" s="366">
        <f t="shared" si="221"/>
        <v>140.4</v>
      </c>
      <c r="BB343" s="367">
        <f t="shared" ref="BB343" si="1308">(BA343-AZ343)</f>
        <v>-23.099999999999994</v>
      </c>
      <c r="BC343" s="367"/>
      <c r="BD343" s="366">
        <f>'[8]COM 55 &amp; 65'!$J428</f>
        <v>8.6999999999999993</v>
      </c>
      <c r="BE343" s="366">
        <f t="shared" si="222"/>
        <v>15.1</v>
      </c>
      <c r="BF343" s="368">
        <f t="shared" ref="BF343" si="1309">(BE343-BD343)</f>
        <v>6.4</v>
      </c>
      <c r="BH343" s="244">
        <f t="shared" ref="BH343" si="1310">BB343*$G$10</f>
        <v>-16216.523399999996</v>
      </c>
      <c r="BI343" s="242">
        <f t="shared" ref="BI343" si="1311">BF343*$G$9</f>
        <v>3893.4464000000003</v>
      </c>
      <c r="BJ343" s="242"/>
      <c r="BK343" s="241">
        <f t="shared" ref="BK343" si="1312">ROUND(SUM(BH343,BI343),0)</f>
        <v>-12323</v>
      </c>
      <c r="BL343" s="262"/>
      <c r="BM343" s="36" t="s">
        <v>18</v>
      </c>
      <c r="BN343" s="4">
        <f t="shared" si="223"/>
        <v>2011</v>
      </c>
      <c r="BO343" s="4">
        <f t="shared" si="224"/>
        <v>3</v>
      </c>
      <c r="BP343" s="108">
        <f>C343+[4]MWh!$AK177</f>
        <v>965933.78490170557</v>
      </c>
      <c r="BQ343" s="76">
        <f t="shared" ref="BQ343" si="1313">BP343/D343*1000</f>
        <v>6179.2474676891843</v>
      </c>
      <c r="BR343" s="130">
        <f t="shared" ref="BR343" si="1314">BT343/D343*1000</f>
        <v>6100.4150800715561</v>
      </c>
      <c r="BS343" s="108">
        <f t="shared" ref="BS343" si="1315">BR343-BR331</f>
        <v>1072.0527301346046</v>
      </c>
      <c r="BT343" s="175">
        <f t="shared" ref="BT343" si="1316">BK343+BP343</f>
        <v>953610.78490170557</v>
      </c>
      <c r="BU343" s="108">
        <f t="shared" ref="BU343" si="1317">BT343-BT331</f>
        <v>134017.89203608199</v>
      </c>
      <c r="BV343" s="137">
        <f t="shared" ref="BV343" si="1318">BT343-BP343</f>
        <v>-12323</v>
      </c>
      <c r="BW343" s="529">
        <f>BT343/[9]CMWh!$L223</f>
        <v>1.1443004437494442</v>
      </c>
      <c r="DA343" s="50">
        <f t="shared" si="878"/>
        <v>-5109.5963999999967</v>
      </c>
      <c r="DB343" s="108">
        <f>[9]CMWh!$E223</f>
        <v>838740</v>
      </c>
      <c r="DC343" s="50"/>
      <c r="DD343" s="108"/>
      <c r="DE343" s="50"/>
      <c r="DF343" s="23"/>
      <c r="DG343" s="50">
        <f t="shared" si="879"/>
        <v>833630.40359999996</v>
      </c>
    </row>
    <row r="344" spans="1:111" ht="12.75" customHeight="1">
      <c r="A344" s="22">
        <f t="shared" si="329"/>
        <v>2011</v>
      </c>
      <c r="B344" s="4">
        <f t="shared" si="330"/>
        <v>4</v>
      </c>
      <c r="C344" s="5">
        <f>'[2]FPC wSEB'!$E441</f>
        <v>913903</v>
      </c>
      <c r="D344" s="5">
        <f>'[2]FPC wSEB'!$Y441</f>
        <v>161651</v>
      </c>
      <c r="E344" s="74">
        <f t="shared" ref="E344" si="1319">ROUND((C344/D344)*1000,1)</f>
        <v>5653.6</v>
      </c>
      <c r="F344" s="358">
        <v>89893</v>
      </c>
      <c r="G344" s="358">
        <v>108536</v>
      </c>
      <c r="H344" s="358">
        <v>12321</v>
      </c>
      <c r="I344" s="358">
        <v>5229</v>
      </c>
      <c r="J344" s="574">
        <f>[5]CC!$E224</f>
        <v>161834</v>
      </c>
      <c r="K344" s="76">
        <f>'[7]COM 55 &amp; 65'!$S429</f>
        <v>197.8</v>
      </c>
      <c r="L344" s="4">
        <f t="shared" si="216"/>
        <v>178.4</v>
      </c>
      <c r="M344" s="135">
        <f t="shared" ref="M344" si="1320">(L344-K344)</f>
        <v>-19.400000000000006</v>
      </c>
      <c r="N344" s="4">
        <f>'[7]COM 55 &amp; 65'!$J429</f>
        <v>5.7</v>
      </c>
      <c r="O344" s="4">
        <f t="shared" si="209"/>
        <v>9.5</v>
      </c>
      <c r="P344" s="41">
        <f t="shared" ref="P344" si="1321">(O344-N344)</f>
        <v>3.8</v>
      </c>
      <c r="Q344" s="474">
        <f t="shared" ref="Q344" si="1322">M344*$G$10</f>
        <v>-13619.071600000005</v>
      </c>
      <c r="R344" s="472">
        <f t="shared" ref="R344" si="1323">P344*$G$9</f>
        <v>2311.7338</v>
      </c>
      <c r="S344" s="241">
        <f t="shared" ref="S344" si="1324">ROUND(SUM(Q344,R344),0)</f>
        <v>-11307</v>
      </c>
      <c r="T344" s="13" t="s">
        <v>18</v>
      </c>
      <c r="U344" s="23">
        <f t="shared" si="217"/>
        <v>2011</v>
      </c>
      <c r="V344" s="23">
        <f t="shared" si="218"/>
        <v>4</v>
      </c>
      <c r="W344" s="336">
        <f t="shared" ref="W344" si="1325">Z344/D344*1000</f>
        <v>5583.6091332562128</v>
      </c>
      <c r="X344" s="338">
        <f t="shared" ref="X344" si="1326">W344-W332</f>
        <v>-128.40178295201076</v>
      </c>
      <c r="Y344" s="339"/>
      <c r="Z344" s="178">
        <f t="shared" ref="Z344" si="1327">S344+C344</f>
        <v>902596</v>
      </c>
      <c r="AA344" s="340">
        <f t="shared" ref="AA344" si="1328">Z344-C344</f>
        <v>-11307</v>
      </c>
      <c r="AB344" s="518">
        <f>[9]CMWh!$L224</f>
        <v>893631</v>
      </c>
      <c r="AC344" s="341">
        <f>RESID!AC344</f>
        <v>29.4</v>
      </c>
      <c r="AD344" s="342">
        <f t="shared" ref="AD344" si="1329">ROUND(C344/(AC344/30.42),1)</f>
        <v>945609.8</v>
      </c>
      <c r="AE344" s="342">
        <f t="shared" ref="AE344" si="1330">AD344-AD332</f>
        <v>73123.20000000007</v>
      </c>
      <c r="AF344" s="23">
        <f t="shared" ref="AF344" si="1331">AG344-C344</f>
        <v>20008</v>
      </c>
      <c r="AG344" s="23">
        <f t="shared" ref="AG344" si="1332">ROUND(Z344/(AC344/30.42),0)</f>
        <v>933911</v>
      </c>
      <c r="AH344" s="23">
        <f t="shared" ref="AH344" si="1333">AG344-AG332</f>
        <v>9699</v>
      </c>
      <c r="AI344" s="23"/>
      <c r="AJ344" s="352">
        <f t="shared" ref="AJ344" si="1334">C344-AM344-AP344</f>
        <v>811689</v>
      </c>
      <c r="AK344" s="352">
        <f t="shared" ref="AK344" si="1335">D344-AN344-AQ344</f>
        <v>47886</v>
      </c>
      <c r="AL344" s="353">
        <f t="shared" ref="AL344" si="1336">AJ344/AK344*1000</f>
        <v>16950.444806415238</v>
      </c>
      <c r="AM344" s="352">
        <f t="shared" ref="AM344" si="1337">F344</f>
        <v>89893</v>
      </c>
      <c r="AN344" s="352">
        <f t="shared" ref="AN344" si="1338">G344</f>
        <v>108536</v>
      </c>
      <c r="AO344" s="353">
        <f t="shared" ref="AO344" si="1339">AM344/AN344*1000</f>
        <v>828.23210731923052</v>
      </c>
      <c r="AP344" s="352">
        <f t="shared" ref="AP344" si="1340">H344</f>
        <v>12321</v>
      </c>
      <c r="AQ344" s="352">
        <f t="shared" ref="AQ344" si="1341">I344</f>
        <v>5229</v>
      </c>
      <c r="AR344" s="353">
        <f t="shared" ref="AR344" si="1342">AP344/AQ344*1000</f>
        <v>2356.2822719449223</v>
      </c>
      <c r="AX344" s="4">
        <f t="shared" si="331"/>
        <v>2011</v>
      </c>
      <c r="AY344" s="4">
        <f t="shared" si="332"/>
        <v>4</v>
      </c>
      <c r="AZ344" s="366">
        <f>'[8]COM 55 &amp; 65'!$S429</f>
        <v>323.10000000000002</v>
      </c>
      <c r="BA344" s="366">
        <f t="shared" si="221"/>
        <v>227.4</v>
      </c>
      <c r="BB344" s="367">
        <f t="shared" ref="BB344" si="1343">(BA344-AZ344)</f>
        <v>-95.700000000000017</v>
      </c>
      <c r="BC344" s="367"/>
      <c r="BD344" s="366">
        <f>'[8]COM 55 &amp; 65'!$J429</f>
        <v>1.5</v>
      </c>
      <c r="BE344" s="366">
        <f t="shared" si="222"/>
        <v>4.8</v>
      </c>
      <c r="BF344" s="368">
        <f t="shared" ref="BF344" si="1344">(BE344-BD344)</f>
        <v>3.3</v>
      </c>
      <c r="BH344" s="244">
        <f t="shared" ref="BH344" si="1345">BB344*$G$10</f>
        <v>-67182.73980000001</v>
      </c>
      <c r="BI344" s="242">
        <f t="shared" ref="BI344" si="1346">BF344*$G$9</f>
        <v>2007.5582999999999</v>
      </c>
      <c r="BJ344" s="242"/>
      <c r="BK344" s="241">
        <f t="shared" ref="BK344" si="1347">ROUND(SUM(BH344,BI344),0)</f>
        <v>-65175</v>
      </c>
      <c r="BL344" s="262"/>
      <c r="BM344" s="36" t="s">
        <v>18</v>
      </c>
      <c r="BN344" s="4">
        <f t="shared" si="223"/>
        <v>2011</v>
      </c>
      <c r="BO344" s="4">
        <f t="shared" si="224"/>
        <v>4</v>
      </c>
      <c r="BP344" s="108">
        <f>C344+[4]MWh!$AK178</f>
        <v>1021718.5196656669</v>
      </c>
      <c r="BQ344" s="76">
        <f t="shared" ref="BQ344" si="1348">BP344/D344*1000</f>
        <v>6320.5208731505954</v>
      </c>
      <c r="BR344" s="130">
        <f t="shared" ref="BR344" si="1349">BT344/D344*1000</f>
        <v>5917.3374718725327</v>
      </c>
      <c r="BS344" s="108">
        <f t="shared" ref="BS344" si="1350">BR344-BR332</f>
        <v>-149.6524552748333</v>
      </c>
      <c r="BT344" s="175">
        <f t="shared" ref="BT344" si="1351">BK344+BP344</f>
        <v>956543.51966566686</v>
      </c>
      <c r="BU344" s="108">
        <f t="shared" ref="BU344" si="1352">BT344-BT332</f>
        <v>-26072.235925047658</v>
      </c>
      <c r="BV344" s="137">
        <f t="shared" ref="BV344" si="1353">BT344-BP344</f>
        <v>-65175</v>
      </c>
      <c r="BW344" s="529">
        <f>BT344/[9]CMWh!$L224</f>
        <v>1.0704010040673018</v>
      </c>
      <c r="DA344" s="50">
        <f t="shared" si="878"/>
        <v>-10696.977200000003</v>
      </c>
      <c r="DB344" s="108">
        <f>[9]CMWh!$E224</f>
        <v>904938</v>
      </c>
      <c r="DC344" s="50"/>
      <c r="DD344" s="108"/>
      <c r="DE344" s="50"/>
      <c r="DF344" s="23"/>
      <c r="DG344" s="50">
        <f t="shared" si="879"/>
        <v>894241.02280000004</v>
      </c>
    </row>
    <row r="345" spans="1:111" ht="12.75" customHeight="1">
      <c r="A345" s="22">
        <f t="shared" si="329"/>
        <v>2011</v>
      </c>
      <c r="B345" s="4">
        <f t="shared" si="330"/>
        <v>5</v>
      </c>
      <c r="C345" s="5">
        <f>'[2]FPC wSEB'!$E442</f>
        <v>1019182</v>
      </c>
      <c r="D345" s="5">
        <f>'[2]FPC wSEB'!$Y442</f>
        <v>161693</v>
      </c>
      <c r="E345" s="74">
        <f t="shared" ref="E345" si="1354">ROUND((C345/D345)*1000,1)</f>
        <v>6303.2</v>
      </c>
      <c r="F345" s="358">
        <v>102447</v>
      </c>
      <c r="G345" s="358">
        <v>108843</v>
      </c>
      <c r="H345" s="358">
        <v>12280</v>
      </c>
      <c r="I345" s="358">
        <v>5220</v>
      </c>
      <c r="J345" s="574">
        <f>[5]CC!$E225</f>
        <v>162061</v>
      </c>
      <c r="K345" s="76">
        <f>'[7]COM 55 &amp; 65'!$S430</f>
        <v>359.9</v>
      </c>
      <c r="L345" s="4">
        <f t="shared" si="216"/>
        <v>273.89999999999998</v>
      </c>
      <c r="M345" s="135">
        <f t="shared" ref="M345" si="1355">(L345-K345)</f>
        <v>-86</v>
      </c>
      <c r="N345" s="4">
        <f>'[7]COM 55 &amp; 65'!$J430</f>
        <v>0.8</v>
      </c>
      <c r="O345" s="4">
        <f t="shared" si="209"/>
        <v>2</v>
      </c>
      <c r="P345" s="41">
        <f t="shared" ref="P345" si="1356">(O345-N345)</f>
        <v>1.2</v>
      </c>
      <c r="Q345" s="474">
        <f t="shared" ref="Q345" si="1357">M345*$G$10</f>
        <v>-60373.203999999998</v>
      </c>
      <c r="R345" s="472">
        <f t="shared" ref="R345" si="1358">P345*$G$9</f>
        <v>730.02120000000002</v>
      </c>
      <c r="S345" s="241">
        <f t="shared" ref="S345" si="1359">ROUND(SUM(Q345,R345),0)</f>
        <v>-59643</v>
      </c>
      <c r="T345" s="13" t="s">
        <v>18</v>
      </c>
      <c r="U345" s="23">
        <f t="shared" si="217"/>
        <v>2011</v>
      </c>
      <c r="V345" s="23">
        <f t="shared" si="218"/>
        <v>5</v>
      </c>
      <c r="W345" s="336">
        <f t="shared" ref="W345" si="1360">Z345/D345*1000</f>
        <v>5934.3261613056839</v>
      </c>
      <c r="X345" s="338">
        <f t="shared" ref="X345" si="1361">W345-W333</f>
        <v>86.044706624129503</v>
      </c>
      <c r="Y345" s="339"/>
      <c r="Z345" s="178">
        <f t="shared" ref="Z345" si="1362">S345+C345</f>
        <v>959539</v>
      </c>
      <c r="AA345" s="340">
        <f t="shared" ref="AA345" si="1363">Z345-C345</f>
        <v>-59643</v>
      </c>
      <c r="AB345" s="518">
        <f>[9]CMWh!$L225</f>
        <v>962147</v>
      </c>
      <c r="AC345" s="341">
        <f>RESID!AC345</f>
        <v>30.8</v>
      </c>
      <c r="AD345" s="342">
        <f t="shared" ref="AD345" si="1364">ROUND(C345/(AC345/30.42),1)</f>
        <v>1006607.7</v>
      </c>
      <c r="AE345" s="342">
        <f t="shared" ref="AE345" si="1365">AD345-AD333</f>
        <v>33699.399999999907</v>
      </c>
      <c r="AF345" s="23">
        <f t="shared" ref="AF345" si="1366">AG345-C345</f>
        <v>-71481</v>
      </c>
      <c r="AG345" s="23">
        <f t="shared" ref="AG345" si="1367">ROUND(Z345/(AC345/30.42),0)</f>
        <v>947701</v>
      </c>
      <c r="AH345" s="23">
        <f t="shared" ref="AH345" si="1368">AG345-AG333</f>
        <v>-10951</v>
      </c>
      <c r="AI345" s="23"/>
      <c r="AJ345" s="352">
        <f t="shared" ref="AJ345" si="1369">C345-AM345-AP345</f>
        <v>904455</v>
      </c>
      <c r="AK345" s="352">
        <f t="shared" ref="AK345" si="1370">D345-AN345-AQ345</f>
        <v>47630</v>
      </c>
      <c r="AL345" s="353">
        <f t="shared" ref="AL345" si="1371">AJ345/AK345*1000</f>
        <v>18989.187486878018</v>
      </c>
      <c r="AM345" s="352">
        <f t="shared" ref="AM345" si="1372">F345</f>
        <v>102447</v>
      </c>
      <c r="AN345" s="352">
        <f t="shared" ref="AN345" si="1373">G345</f>
        <v>108843</v>
      </c>
      <c r="AO345" s="353">
        <f t="shared" ref="AO345" si="1374">AM345/AN345*1000</f>
        <v>941.2364598550206</v>
      </c>
      <c r="AP345" s="352">
        <f t="shared" ref="AP345" si="1375">H345</f>
        <v>12280</v>
      </c>
      <c r="AQ345" s="352">
        <f t="shared" ref="AQ345" si="1376">I345</f>
        <v>5220</v>
      </c>
      <c r="AR345" s="353">
        <f t="shared" ref="AR345" si="1377">AP345/AQ345*1000</f>
        <v>2352.4904214559388</v>
      </c>
      <c r="AX345" s="4">
        <f t="shared" si="331"/>
        <v>2011</v>
      </c>
      <c r="AY345" s="4">
        <f t="shared" si="332"/>
        <v>5</v>
      </c>
      <c r="AZ345" s="366">
        <f>'[8]COM 55 &amp; 65'!$S430</f>
        <v>415.4</v>
      </c>
      <c r="BA345" s="366">
        <f t="shared" si="221"/>
        <v>395.2</v>
      </c>
      <c r="BB345" s="367">
        <f t="shared" ref="BB345" si="1378">(BA345-AZ345)</f>
        <v>-20.199999999999989</v>
      </c>
      <c r="BC345" s="367"/>
      <c r="BD345" s="366">
        <f>'[8]COM 55 &amp; 65'!$J430</f>
        <v>0.2</v>
      </c>
      <c r="BE345" s="366">
        <f t="shared" si="222"/>
        <v>0.2</v>
      </c>
      <c r="BF345" s="368">
        <f t="shared" ref="BF345" si="1379">(BE345-BD345)</f>
        <v>0</v>
      </c>
      <c r="BH345" s="244">
        <f t="shared" ref="BH345" si="1380">BB345*$G$10</f>
        <v>-14180.682799999991</v>
      </c>
      <c r="BI345" s="242">
        <f t="shared" ref="BI345" si="1381">BF345*$G$9</f>
        <v>0</v>
      </c>
      <c r="BJ345" s="242"/>
      <c r="BK345" s="241">
        <f t="shared" ref="BK345" si="1382">ROUND(SUM(BH345,BI345),0)</f>
        <v>-14181</v>
      </c>
      <c r="BL345" s="262"/>
      <c r="BM345" s="36" t="s">
        <v>18</v>
      </c>
      <c r="BN345" s="4">
        <f t="shared" si="223"/>
        <v>2011</v>
      </c>
      <c r="BO345" s="4">
        <f t="shared" si="224"/>
        <v>5</v>
      </c>
      <c r="BP345" s="108">
        <f>C345+[4]MWh!$AK179</f>
        <v>1032564.9358780857</v>
      </c>
      <c r="BQ345" s="76">
        <f t="shared" ref="BQ345" si="1383">BP345/D345*1000</f>
        <v>6385.9594161657315</v>
      </c>
      <c r="BR345" s="130">
        <f t="shared" ref="BR345" si="1384">BT345/D345*1000</f>
        <v>6298.2561760749422</v>
      </c>
      <c r="BS345" s="108">
        <f t="shared" ref="BS345" si="1385">BR345-BR333</f>
        <v>-299.52853035297903</v>
      </c>
      <c r="BT345" s="175">
        <f t="shared" ref="BT345" si="1386">BK345+BP345</f>
        <v>1018383.9358780857</v>
      </c>
      <c r="BU345" s="108">
        <f t="shared" ref="BU345" si="1387">BT345-BT333</f>
        <v>-39306.930409374414</v>
      </c>
      <c r="BV345" s="137">
        <f t="shared" ref="BV345" si="1388">BT345-BP345</f>
        <v>-14181</v>
      </c>
      <c r="BW345" s="529">
        <f>BT345/[9]CMWh!$L225</f>
        <v>1.0584494218431131</v>
      </c>
      <c r="DA345" s="50">
        <f t="shared" si="878"/>
        <v>-56352.855999999992</v>
      </c>
      <c r="DB345" s="108">
        <f>[9]CMWh!$E225</f>
        <v>1021790</v>
      </c>
      <c r="DC345" s="50"/>
      <c r="DD345" s="108"/>
      <c r="DE345" s="50"/>
      <c r="DF345" s="23"/>
      <c r="DG345" s="50">
        <f t="shared" si="879"/>
        <v>965437.14399999997</v>
      </c>
    </row>
    <row r="346" spans="1:111" ht="12.75" customHeight="1">
      <c r="A346" s="22">
        <f t="shared" si="329"/>
        <v>2011</v>
      </c>
      <c r="B346" s="4">
        <f t="shared" si="330"/>
        <v>6</v>
      </c>
      <c r="C346" s="5">
        <f>'[2]FPC wSEB'!$E443</f>
        <v>1098545</v>
      </c>
      <c r="D346" s="5">
        <f>'[2]FPC wSEB'!$Y443</f>
        <v>162558</v>
      </c>
      <c r="E346" s="74">
        <f t="shared" ref="E346" si="1389">ROUND((C346/D346)*1000,1)</f>
        <v>6757.9</v>
      </c>
      <c r="F346" s="358">
        <v>113718</v>
      </c>
      <c r="G346" s="358">
        <v>109386</v>
      </c>
      <c r="H346" s="358">
        <v>12512</v>
      </c>
      <c r="I346" s="358">
        <v>5252</v>
      </c>
      <c r="J346" s="574">
        <f>[5]CC!$E226</f>
        <v>162318</v>
      </c>
      <c r="K346" s="76">
        <f>'[7]COM 55 &amp; 65'!$S431</f>
        <v>450.7</v>
      </c>
      <c r="L346" s="4">
        <f t="shared" si="216"/>
        <v>442.7</v>
      </c>
      <c r="M346" s="135">
        <f t="shared" ref="M346" si="1390">(L346-K346)</f>
        <v>-8</v>
      </c>
      <c r="N346" s="4">
        <f>'[7]COM 55 &amp; 65'!$J431</f>
        <v>0.2</v>
      </c>
      <c r="O346" s="4">
        <f t="shared" si="209"/>
        <v>0.1</v>
      </c>
      <c r="P346" s="41">
        <f t="shared" ref="P346" si="1391">(O346-N346)</f>
        <v>-0.1</v>
      </c>
      <c r="Q346" s="474">
        <f t="shared" ref="Q346" si="1392">M346*$G$10</f>
        <v>-5616.1120000000001</v>
      </c>
      <c r="R346" s="472">
        <f t="shared" ref="R346" si="1393">P346*$G$9</f>
        <v>-60.835100000000004</v>
      </c>
      <c r="S346" s="241">
        <f t="shared" ref="S346" si="1394">ROUND(SUM(Q346,R346),0)</f>
        <v>-5677</v>
      </c>
      <c r="T346" s="13" t="s">
        <v>18</v>
      </c>
      <c r="U346" s="23">
        <f t="shared" si="217"/>
        <v>2011</v>
      </c>
      <c r="V346" s="23">
        <f t="shared" si="218"/>
        <v>6</v>
      </c>
      <c r="W346" s="336">
        <f t="shared" ref="W346" si="1395">Z346/D346*1000</f>
        <v>6722.941965329298</v>
      </c>
      <c r="X346" s="338">
        <f t="shared" ref="X346" si="1396">W346-W334</f>
        <v>62.057343308642885</v>
      </c>
      <c r="Y346" s="339"/>
      <c r="Z346" s="178">
        <f t="shared" ref="Z346" si="1397">S346+C346</f>
        <v>1092868</v>
      </c>
      <c r="AA346" s="340">
        <f t="shared" ref="AA346" si="1398">Z346-C346</f>
        <v>-5677</v>
      </c>
      <c r="AB346" s="518">
        <f>[9]CMWh!$L226</f>
        <v>1081165</v>
      </c>
      <c r="AC346" s="341">
        <f>RESID!AC346</f>
        <v>30.55</v>
      </c>
      <c r="AD346" s="342">
        <f t="shared" ref="AD346" si="1399">ROUND(C346/(AC346/30.42),1)</f>
        <v>1093870.3</v>
      </c>
      <c r="AE346" s="342">
        <f t="shared" ref="AE346" si="1400">AD346-AD334</f>
        <v>-15418.199999999953</v>
      </c>
      <c r="AF346" s="23">
        <f t="shared" ref="AF346" si="1401">AG346-C346</f>
        <v>-10328</v>
      </c>
      <c r="AG346" s="23">
        <f t="shared" ref="AG346" si="1402">ROUND(Z346/(AC346/30.42),0)</f>
        <v>1088217</v>
      </c>
      <c r="AH346" s="23">
        <f t="shared" ref="AH346" si="1403">AG346-AG334</f>
        <v>11862</v>
      </c>
      <c r="AI346" s="23"/>
      <c r="AJ346" s="352">
        <f t="shared" ref="AJ346" si="1404">C346-AM346-AP346</f>
        <v>972315</v>
      </c>
      <c r="AK346" s="352">
        <f t="shared" ref="AK346" si="1405">D346-AN346-AQ346</f>
        <v>47920</v>
      </c>
      <c r="AL346" s="353">
        <f t="shared" ref="AL346" si="1406">AJ346/AK346*1000</f>
        <v>20290.379799666109</v>
      </c>
      <c r="AM346" s="352">
        <f t="shared" ref="AM346" si="1407">F346</f>
        <v>113718</v>
      </c>
      <c r="AN346" s="352">
        <f t="shared" ref="AN346" si="1408">G346</f>
        <v>109386</v>
      </c>
      <c r="AO346" s="353">
        <f t="shared" ref="AO346" si="1409">AM346/AN346*1000</f>
        <v>1039.6028742252208</v>
      </c>
      <c r="AP346" s="352">
        <f t="shared" ref="AP346" si="1410">H346</f>
        <v>12512</v>
      </c>
      <c r="AQ346" s="352">
        <f t="shared" ref="AQ346" si="1411">I346</f>
        <v>5252</v>
      </c>
      <c r="AR346" s="353">
        <f t="shared" ref="AR346" si="1412">AP346/AQ346*1000</f>
        <v>2382.3305407463822</v>
      </c>
      <c r="AX346" s="4">
        <f t="shared" si="331"/>
        <v>2011</v>
      </c>
      <c r="AY346" s="4">
        <f t="shared" si="332"/>
        <v>6</v>
      </c>
      <c r="AZ346" s="366">
        <f>'[8]COM 55 &amp; 65'!$S431</f>
        <v>525.79999999999995</v>
      </c>
      <c r="BA346" s="366">
        <f t="shared" si="221"/>
        <v>485.1</v>
      </c>
      <c r="BB346" s="367">
        <f t="shared" ref="BB346" si="1413">(BA346-AZ346)</f>
        <v>-40.699999999999932</v>
      </c>
      <c r="BC346" s="367"/>
      <c r="BD346" s="366">
        <f>'[8]COM 55 &amp; 65'!$J431</f>
        <v>0</v>
      </c>
      <c r="BE346" s="366">
        <f t="shared" si="222"/>
        <v>0</v>
      </c>
      <c r="BF346" s="368">
        <f t="shared" ref="BF346" si="1414">(BE346-BD346)</f>
        <v>0</v>
      </c>
      <c r="BH346" s="244">
        <f t="shared" ref="BH346" si="1415">BB346*$G$10</f>
        <v>-28571.969799999952</v>
      </c>
      <c r="BI346" s="242">
        <f t="shared" ref="BI346" si="1416">BF346*$G$9</f>
        <v>0</v>
      </c>
      <c r="BJ346" s="242"/>
      <c r="BK346" s="241">
        <f t="shared" ref="BK346" si="1417">ROUND(SUM(BH346,BI346),0)</f>
        <v>-28572</v>
      </c>
      <c r="BL346" s="262"/>
      <c r="BM346" s="36" t="s">
        <v>18</v>
      </c>
      <c r="BN346" s="4">
        <f t="shared" si="223"/>
        <v>2011</v>
      </c>
      <c r="BO346" s="4">
        <f t="shared" si="224"/>
        <v>6</v>
      </c>
      <c r="BP346" s="108">
        <f>C346+[4]MWh!$AK180</f>
        <v>1139517.5026844731</v>
      </c>
      <c r="BQ346" s="76">
        <f t="shared" ref="BQ346" si="1418">BP346/D346*1000</f>
        <v>7009.913401275071</v>
      </c>
      <c r="BR346" s="130">
        <f t="shared" ref="BR346" si="1419">BT346/D346*1000</f>
        <v>6834.1484435369102</v>
      </c>
      <c r="BS346" s="108">
        <f t="shared" ref="BS346" si="1420">BR346-BR334</f>
        <v>181.6643677665852</v>
      </c>
      <c r="BT346" s="175">
        <f t="shared" ref="BT346" si="1421">BK346+BP346</f>
        <v>1110945.5026844731</v>
      </c>
      <c r="BU346" s="108">
        <f t="shared" ref="BU346" si="1422">BT346-BT334</f>
        <v>31353.776932161534</v>
      </c>
      <c r="BV346" s="137">
        <f t="shared" ref="BV346" si="1423">BT346-BP346</f>
        <v>-28572</v>
      </c>
      <c r="BW346" s="529">
        <f>BT346/[9]CMWh!$L226</f>
        <v>1.0275448268159559</v>
      </c>
      <c r="DA346" s="50">
        <f t="shared" si="878"/>
        <v>-5362.9624999999996</v>
      </c>
      <c r="DB346" s="108">
        <f>[9]CMWh!$E226</f>
        <v>1086842</v>
      </c>
      <c r="DC346" s="50"/>
      <c r="DD346" s="108"/>
      <c r="DE346" s="50"/>
      <c r="DF346" s="23"/>
      <c r="DG346" s="50">
        <f t="shared" si="879"/>
        <v>1081479.0375000001</v>
      </c>
    </row>
    <row r="347" spans="1:111" ht="12.75" customHeight="1">
      <c r="A347" s="22">
        <f t="shared" si="329"/>
        <v>2011</v>
      </c>
      <c r="B347" s="4">
        <f t="shared" si="330"/>
        <v>7</v>
      </c>
      <c r="C347" s="5">
        <f>'[2]FPC wSEB'!$E444</f>
        <v>1112858</v>
      </c>
      <c r="D347" s="5">
        <f>'[2]FPC wSEB'!$Y444</f>
        <v>160697</v>
      </c>
      <c r="E347" s="74">
        <f t="shared" ref="E347" si="1424">ROUND((C347/D347)*1000,1)</f>
        <v>6925.2</v>
      </c>
      <c r="F347" s="358">
        <v>117102</v>
      </c>
      <c r="G347" s="358">
        <v>108483</v>
      </c>
      <c r="H347" s="358">
        <v>12310</v>
      </c>
      <c r="I347" s="358">
        <v>5250</v>
      </c>
      <c r="J347" s="574">
        <f>[5]CC!$E227</f>
        <v>162442</v>
      </c>
      <c r="K347" s="76">
        <f>'[7]COM 55 &amp; 65'!$S432</f>
        <v>542.79999999999995</v>
      </c>
      <c r="L347" s="4">
        <f t="shared" si="216"/>
        <v>516.1</v>
      </c>
      <c r="M347" s="135">
        <f t="shared" ref="M347" si="1425">(L347-K347)</f>
        <v>-26.699999999999932</v>
      </c>
      <c r="N347" s="4">
        <f>'[7]COM 55 &amp; 65'!$J432</f>
        <v>0</v>
      </c>
      <c r="O347" s="4">
        <f t="shared" si="209"/>
        <v>0</v>
      </c>
      <c r="P347" s="41">
        <f t="shared" ref="P347" si="1426">(O347-N347)</f>
        <v>0</v>
      </c>
      <c r="Q347" s="474">
        <f t="shared" ref="Q347" si="1427">M347*$G$10</f>
        <v>-18743.773799999952</v>
      </c>
      <c r="R347" s="472">
        <f t="shared" ref="R347" si="1428">P347*$G$9</f>
        <v>0</v>
      </c>
      <c r="S347" s="241">
        <f t="shared" ref="S347" si="1429">ROUND(SUM(Q347,R347),0)</f>
        <v>-18744</v>
      </c>
      <c r="T347" s="13" t="s">
        <v>18</v>
      </c>
      <c r="U347" s="23">
        <f t="shared" si="217"/>
        <v>2011</v>
      </c>
      <c r="V347" s="23">
        <f t="shared" si="218"/>
        <v>7</v>
      </c>
      <c r="W347" s="336">
        <f t="shared" ref="W347" si="1430">Z347/D347*1000</f>
        <v>6808.5527421171528</v>
      </c>
      <c r="X347" s="338">
        <f t="shared" ref="X347" si="1431">W347-W335</f>
        <v>-148.76368617432217</v>
      </c>
      <c r="Y347" s="339"/>
      <c r="Z347" s="178">
        <f t="shared" ref="Z347" si="1432">S347+C347</f>
        <v>1094114</v>
      </c>
      <c r="AA347" s="340">
        <f t="shared" ref="AA347" si="1433">Z347-C347</f>
        <v>-18744</v>
      </c>
      <c r="AB347" s="518">
        <f>[9]CMWh!$L227</f>
        <v>1116611</v>
      </c>
      <c r="AC347" s="341">
        <f>RESID!AC347</f>
        <v>30.55</v>
      </c>
      <c r="AD347" s="342">
        <f t="shared" ref="AD347" si="1434">ROUND(C347/(AC347/30.42),1)</f>
        <v>1108122.3999999999</v>
      </c>
      <c r="AE347" s="342">
        <f t="shared" ref="AE347" si="1435">AD347-AD335</f>
        <v>-44729.90000000014</v>
      </c>
      <c r="AF347" s="23">
        <f t="shared" ref="AF347" si="1436">AG347-C347</f>
        <v>-23400</v>
      </c>
      <c r="AG347" s="23">
        <f t="shared" ref="AG347" si="1437">ROUND(Z347/(AC347/30.42),0)</f>
        <v>1089458</v>
      </c>
      <c r="AH347" s="23">
        <f t="shared" ref="AH347" si="1438">AG347-AG335</f>
        <v>-24109</v>
      </c>
      <c r="AI347" s="23"/>
      <c r="AJ347" s="352">
        <f t="shared" ref="AJ347" si="1439">C347-AM347-AP347</f>
        <v>983446</v>
      </c>
      <c r="AK347" s="352">
        <f t="shared" ref="AK347" si="1440">D347-AN347-AQ347</f>
        <v>46964</v>
      </c>
      <c r="AL347" s="353">
        <f t="shared" ref="AL347" si="1441">AJ347/AK347*1000</f>
        <v>20940.422451239247</v>
      </c>
      <c r="AM347" s="352">
        <f t="shared" ref="AM347" si="1442">F347</f>
        <v>117102</v>
      </c>
      <c r="AN347" s="352">
        <f t="shared" ref="AN347" si="1443">G347</f>
        <v>108483</v>
      </c>
      <c r="AO347" s="353">
        <f t="shared" ref="AO347" si="1444">AM347/AN347*1000</f>
        <v>1079.4502364425762</v>
      </c>
      <c r="AP347" s="352">
        <f t="shared" ref="AP347" si="1445">H347</f>
        <v>12310</v>
      </c>
      <c r="AQ347" s="352">
        <f t="shared" ref="AQ347" si="1446">I347</f>
        <v>5250</v>
      </c>
      <c r="AR347" s="353">
        <f t="shared" ref="AR347" si="1447">AP347/AQ347*1000</f>
        <v>2344.7619047619046</v>
      </c>
      <c r="AX347" s="4">
        <f t="shared" si="331"/>
        <v>2011</v>
      </c>
      <c r="AY347" s="4">
        <f t="shared" si="332"/>
        <v>7</v>
      </c>
      <c r="AZ347" s="366">
        <f>'[8]COM 55 &amp; 65'!$S432</f>
        <v>569.9</v>
      </c>
      <c r="BA347" s="366">
        <f t="shared" si="221"/>
        <v>546.1</v>
      </c>
      <c r="BB347" s="367">
        <f t="shared" ref="BB347" si="1448">(BA347-AZ347)</f>
        <v>-23.799999999999955</v>
      </c>
      <c r="BC347" s="367"/>
      <c r="BD347" s="366">
        <f>'[8]COM 55 &amp; 65'!$J432</f>
        <v>0</v>
      </c>
      <c r="BE347" s="366">
        <f t="shared" si="222"/>
        <v>0</v>
      </c>
      <c r="BF347" s="368">
        <f t="shared" ref="BF347" si="1449">(BE347-BD347)</f>
        <v>0</v>
      </c>
      <c r="BH347" s="244">
        <f t="shared" ref="BH347" si="1450">BB347*$G$10</f>
        <v>-16707.933199999967</v>
      </c>
      <c r="BI347" s="242">
        <f t="shared" ref="BI347" si="1451">BF347*$G$9</f>
        <v>0</v>
      </c>
      <c r="BJ347" s="242"/>
      <c r="BK347" s="241">
        <f t="shared" ref="BK347" si="1452">ROUND(SUM(BH347,BI347),0)</f>
        <v>-16708</v>
      </c>
      <c r="BL347" s="262"/>
      <c r="BM347" s="36" t="s">
        <v>18</v>
      </c>
      <c r="BN347" s="4">
        <f t="shared" si="223"/>
        <v>2011</v>
      </c>
      <c r="BO347" s="4">
        <f t="shared" si="224"/>
        <v>7</v>
      </c>
      <c r="BP347" s="108">
        <f>C347+[4]MWh!$AK181</f>
        <v>1132897.9962455002</v>
      </c>
      <c r="BQ347" s="76">
        <f t="shared" ref="BQ347" si="1453">BP347/D347*1000</f>
        <v>7049.9013438054235</v>
      </c>
      <c r="BR347" s="130">
        <f t="shared" ref="BR347" si="1454">BT347/D347*1000</f>
        <v>6945.9292721426045</v>
      </c>
      <c r="BS347" s="108">
        <f t="shared" ref="BS347" si="1455">BR347-BR335</f>
        <v>-256.52916036993611</v>
      </c>
      <c r="BT347" s="175">
        <f t="shared" ref="BT347" si="1456">BK347+BP347</f>
        <v>1116189.9962455002</v>
      </c>
      <c r="BU347" s="108">
        <f t="shared" ref="BU347" si="1457">BT347-BT335</f>
        <v>-41540.374654998071</v>
      </c>
      <c r="BV347" s="137">
        <f t="shared" ref="BV347" si="1458">BT347-BP347</f>
        <v>-16708</v>
      </c>
      <c r="BW347" s="529">
        <f>BT347/[9]CMWh!$L227</f>
        <v>0.99962296291680819</v>
      </c>
      <c r="DA347" s="50">
        <f t="shared" si="878"/>
        <v>-17708.321099999954</v>
      </c>
      <c r="DB347" s="108">
        <f>[9]CMWh!$E227</f>
        <v>1135355</v>
      </c>
      <c r="DC347" s="50"/>
      <c r="DD347" s="108"/>
      <c r="DE347" s="50"/>
      <c r="DF347" s="23"/>
      <c r="DG347" s="50">
        <f t="shared" si="879"/>
        <v>1117646.6788999999</v>
      </c>
    </row>
    <row r="348" spans="1:111" ht="12.75" customHeight="1">
      <c r="A348" s="22">
        <f t="shared" si="329"/>
        <v>2011</v>
      </c>
      <c r="B348" s="4">
        <f t="shared" si="330"/>
        <v>8</v>
      </c>
      <c r="C348" s="5">
        <f>'[2]FPC wSEB'!$E445</f>
        <v>1216737</v>
      </c>
      <c r="D348" s="5">
        <f>'[2]FPC wSEB'!$Y445</f>
        <v>169440</v>
      </c>
      <c r="E348" s="74">
        <f t="shared" ref="E348" si="1459">ROUND((C348/D348)*1000,1)</f>
        <v>7180.9</v>
      </c>
      <c r="F348" s="358">
        <v>126765</v>
      </c>
      <c r="G348" s="358">
        <v>115323</v>
      </c>
      <c r="H348" s="358">
        <v>12508</v>
      </c>
      <c r="I348" s="358">
        <v>5268</v>
      </c>
      <c r="J348" s="574">
        <f>[5]CC!$E228</f>
        <v>162518</v>
      </c>
      <c r="K348" s="76">
        <f>'[7]COM 55 &amp; 65'!$S433</f>
        <v>590.5</v>
      </c>
      <c r="L348" s="4">
        <f t="shared" si="216"/>
        <v>542</v>
      </c>
      <c r="M348" s="135">
        <f t="shared" ref="M348" si="1460">(L348-K348)</f>
        <v>-48.5</v>
      </c>
      <c r="N348" s="4">
        <f>'[7]COM 55 &amp; 65'!$J433</f>
        <v>0</v>
      </c>
      <c r="O348" s="4">
        <f t="shared" si="209"/>
        <v>0</v>
      </c>
      <c r="P348" s="41">
        <f t="shared" ref="P348" si="1461">(O348-N348)</f>
        <v>0</v>
      </c>
      <c r="Q348" s="474">
        <f t="shared" ref="Q348" si="1462">M348*$G$10</f>
        <v>-34047.679000000004</v>
      </c>
      <c r="R348" s="472">
        <f t="shared" ref="R348" si="1463">P348*$G$9</f>
        <v>0</v>
      </c>
      <c r="S348" s="241">
        <f t="shared" ref="S348" si="1464">ROUND(SUM(Q348,R348),0)</f>
        <v>-34048</v>
      </c>
      <c r="T348" s="13" t="s">
        <v>18</v>
      </c>
      <c r="U348" s="23">
        <f t="shared" si="217"/>
        <v>2011</v>
      </c>
      <c r="V348" s="23">
        <f t="shared" si="218"/>
        <v>8</v>
      </c>
      <c r="W348" s="336">
        <f t="shared" ref="W348" si="1465">Z348/D348*1000</f>
        <v>6979.9870160528799</v>
      </c>
      <c r="X348" s="338">
        <f t="shared" ref="X348" si="1466">W348-W336</f>
        <v>-90.880166186905626</v>
      </c>
      <c r="Y348" s="339"/>
      <c r="Z348" s="178">
        <f t="shared" ref="Z348" si="1467">S348+C348</f>
        <v>1182689</v>
      </c>
      <c r="AA348" s="340">
        <f t="shared" ref="AA348" si="1468">Z348-C348</f>
        <v>-34048</v>
      </c>
      <c r="AB348" s="518">
        <f>[9]CMWh!$L228</f>
        <v>1162262</v>
      </c>
      <c r="AC348" s="341">
        <f>RESID!AC348</f>
        <v>31.3</v>
      </c>
      <c r="AD348" s="342">
        <f t="shared" ref="AD348" si="1469">ROUND(C348/(AC348/30.42),1)</f>
        <v>1182528.3999999999</v>
      </c>
      <c r="AE348" s="342">
        <f t="shared" ref="AE348" si="1470">AD348-AD336</f>
        <v>22.599999999860302</v>
      </c>
      <c r="AF348" s="23">
        <f t="shared" ref="AF348" si="1471">AG348-C348</f>
        <v>-67299</v>
      </c>
      <c r="AG348" s="23">
        <f t="shared" ref="AG348" si="1472">ROUND(Z348/(AC348/30.42),0)</f>
        <v>1149438</v>
      </c>
      <c r="AH348" s="23">
        <f t="shared" ref="AH348" si="1473">AG348-AG336</f>
        <v>6215</v>
      </c>
      <c r="AI348" s="23"/>
      <c r="AJ348" s="352">
        <f t="shared" ref="AJ348" si="1474">C348-AM348-AP348</f>
        <v>1077464</v>
      </c>
      <c r="AK348" s="352">
        <f t="shared" ref="AK348" si="1475">D348-AN348-AQ348</f>
        <v>48849</v>
      </c>
      <c r="AL348" s="353">
        <f t="shared" ref="AL348" si="1476">AJ348/AK348*1000</f>
        <v>22057.032897295747</v>
      </c>
      <c r="AM348" s="352">
        <f t="shared" ref="AM348" si="1477">F348</f>
        <v>126765</v>
      </c>
      <c r="AN348" s="352">
        <f t="shared" ref="AN348" si="1478">G348</f>
        <v>115323</v>
      </c>
      <c r="AO348" s="353">
        <f t="shared" ref="AO348" si="1479">AM348/AN348*1000</f>
        <v>1099.2169818683178</v>
      </c>
      <c r="AP348" s="352">
        <f t="shared" ref="AP348" si="1480">H348</f>
        <v>12508</v>
      </c>
      <c r="AQ348" s="352">
        <f t="shared" ref="AQ348" si="1481">I348</f>
        <v>5268</v>
      </c>
      <c r="AR348" s="353">
        <f t="shared" ref="AR348" si="1482">AP348/AQ348*1000</f>
        <v>2374.3356112376614</v>
      </c>
      <c r="AX348" s="4">
        <f t="shared" si="331"/>
        <v>2011</v>
      </c>
      <c r="AY348" s="4">
        <f t="shared" si="332"/>
        <v>8</v>
      </c>
      <c r="AZ348" s="366">
        <f>'[8]COM 55 &amp; 65'!$S433</f>
        <v>592.4</v>
      </c>
      <c r="BA348" s="366">
        <f t="shared" si="221"/>
        <v>549</v>
      </c>
      <c r="BB348" s="367">
        <f t="shared" ref="BB348" si="1483">(BA348-AZ348)</f>
        <v>-43.399999999999977</v>
      </c>
      <c r="BC348" s="367"/>
      <c r="BD348" s="366">
        <f>'[8]COM 55 &amp; 65'!$J433</f>
        <v>0</v>
      </c>
      <c r="BE348" s="366">
        <f t="shared" si="222"/>
        <v>0</v>
      </c>
      <c r="BF348" s="368">
        <f t="shared" ref="BF348" si="1484">(BE348-BD348)</f>
        <v>0</v>
      </c>
      <c r="BH348" s="244">
        <f t="shared" ref="BH348" si="1485">BB348*$G$10</f>
        <v>-30467.407599999984</v>
      </c>
      <c r="BI348" s="242">
        <f t="shared" ref="BI348" si="1486">BF348*$G$9</f>
        <v>0</v>
      </c>
      <c r="BJ348" s="242"/>
      <c r="BK348" s="241">
        <f t="shared" ref="BK348" si="1487">ROUND(SUM(BH348,BI348),0)</f>
        <v>-30467</v>
      </c>
      <c r="BL348" s="262"/>
      <c r="BM348" s="36" t="s">
        <v>18</v>
      </c>
      <c r="BN348" s="4">
        <f t="shared" si="223"/>
        <v>2011</v>
      </c>
      <c r="BO348" s="4">
        <f t="shared" si="224"/>
        <v>8</v>
      </c>
      <c r="BP348" s="108">
        <f>C348+[4]MWh!$AK182</f>
        <v>1214437.9697425908</v>
      </c>
      <c r="BQ348" s="76">
        <f t="shared" ref="BQ348" si="1488">BP348/D348*1000</f>
        <v>7167.3628998028262</v>
      </c>
      <c r="BR348" s="130">
        <f t="shared" ref="BR348" si="1489">BT348/D348*1000</f>
        <v>6987.5529375743081</v>
      </c>
      <c r="BS348" s="108">
        <f t="shared" ref="BS348" si="1490">BR348-BR336</f>
        <v>103.90429471595417</v>
      </c>
      <c r="BT348" s="175">
        <f t="shared" ref="BT348" si="1491">BK348+BP348</f>
        <v>1183970.9697425908</v>
      </c>
      <c r="BU348" s="108">
        <f t="shared" ref="BU348" si="1492">BT348-BT336</f>
        <v>90042.178365469677</v>
      </c>
      <c r="BV348" s="137">
        <f t="shared" ref="BV348" si="1493">BT348-BP348</f>
        <v>-30467</v>
      </c>
      <c r="BW348" s="529">
        <f>BT348/[9]CMWh!$L228</f>
        <v>1.0186782065855984</v>
      </c>
      <c r="DA348" s="50">
        <f t="shared" si="878"/>
        <v>-32166.800499999998</v>
      </c>
      <c r="DB348" s="108">
        <f>[9]CMWh!$E228</f>
        <v>1196310</v>
      </c>
      <c r="DC348" s="50"/>
      <c r="DD348" s="108"/>
      <c r="DE348" s="50"/>
      <c r="DF348" s="23"/>
      <c r="DG348" s="50">
        <f t="shared" si="879"/>
        <v>1164143.1995000001</v>
      </c>
    </row>
    <row r="349" spans="1:111" ht="12.75" customHeight="1">
      <c r="A349" s="22">
        <f t="shared" si="329"/>
        <v>2011</v>
      </c>
      <c r="B349" s="4">
        <f t="shared" si="330"/>
        <v>9</v>
      </c>
      <c r="C349" s="5">
        <f>'[2]FPC wSEB'!$E446</f>
        <v>1128878</v>
      </c>
      <c r="D349" s="5">
        <f>'[2]FPC wSEB'!$Y446</f>
        <v>161849</v>
      </c>
      <c r="E349" s="74">
        <f t="shared" ref="E349" si="1494">ROUND((C349/D349)*1000,1)</f>
        <v>6974.9</v>
      </c>
      <c r="F349" s="358">
        <v>117942</v>
      </c>
      <c r="G349" s="358">
        <v>109337</v>
      </c>
      <c r="H349" s="358">
        <v>12267</v>
      </c>
      <c r="I349" s="358">
        <v>5268</v>
      </c>
      <c r="J349" s="574">
        <f>[5]CC!$E229</f>
        <v>162599</v>
      </c>
      <c r="K349" s="76">
        <f>'[7]COM 55 &amp; 65'!$S434</f>
        <v>547.29999999999995</v>
      </c>
      <c r="L349" s="4">
        <f t="shared" si="216"/>
        <v>531.20000000000005</v>
      </c>
      <c r="M349" s="135">
        <f t="shared" ref="M349" si="1495">(L349-K349)</f>
        <v>-16.099999999999909</v>
      </c>
      <c r="N349" s="4">
        <f>'[7]COM 55 &amp; 65'!$J434</f>
        <v>0</v>
      </c>
      <c r="O349" s="4">
        <f t="shared" si="209"/>
        <v>0</v>
      </c>
      <c r="P349" s="41">
        <f t="shared" ref="P349" si="1496">(O349-N349)</f>
        <v>0</v>
      </c>
      <c r="Q349" s="474">
        <f t="shared" ref="Q349" si="1497">M349*$G$10</f>
        <v>-11302.425399999936</v>
      </c>
      <c r="R349" s="472">
        <f t="shared" ref="R349" si="1498">P349*$G$9</f>
        <v>0</v>
      </c>
      <c r="S349" s="241">
        <f t="shared" ref="S349" si="1499">ROUND(SUM(Q349,R349),0)</f>
        <v>-11302</v>
      </c>
      <c r="T349" s="13" t="s">
        <v>18</v>
      </c>
      <c r="U349" s="23">
        <f t="shared" si="217"/>
        <v>2011</v>
      </c>
      <c r="V349" s="23">
        <f t="shared" si="218"/>
        <v>9</v>
      </c>
      <c r="W349" s="336">
        <f t="shared" ref="W349" si="1500">Z349/D349*1000</f>
        <v>6905.0534757706264</v>
      </c>
      <c r="X349" s="338">
        <f t="shared" ref="X349" si="1501">W349-W337</f>
        <v>-49.364310218288665</v>
      </c>
      <c r="Y349" s="339"/>
      <c r="Z349" s="178">
        <f t="shared" ref="Z349" si="1502">S349+C349</f>
        <v>1117576</v>
      </c>
      <c r="AA349" s="340">
        <f t="shared" ref="AA349" si="1503">Z349-C349</f>
        <v>-11302</v>
      </c>
      <c r="AB349" s="518">
        <f>[9]CMWh!$L229</f>
        <v>1130912</v>
      </c>
      <c r="AC349" s="341">
        <f>RESID!AC349</f>
        <v>30.25</v>
      </c>
      <c r="AD349" s="342">
        <f t="shared" ref="AD349" si="1504">ROUND(C349/(AC349/30.42),1)</f>
        <v>1135222.1000000001</v>
      </c>
      <c r="AE349" s="342">
        <f t="shared" ref="AE349" si="1505">AD349-AD337</f>
        <v>-7963.5</v>
      </c>
      <c r="AF349" s="23">
        <f t="shared" ref="AF349" si="1506">AG349-C349</f>
        <v>-5021</v>
      </c>
      <c r="AG349" s="23">
        <f t="shared" ref="AG349" si="1507">ROUND(Z349/(AC349/30.42),0)</f>
        <v>1123857</v>
      </c>
      <c r="AH349" s="23">
        <f t="shared" ref="AH349" si="1508">AG349-AG337</f>
        <v>1531</v>
      </c>
      <c r="AI349" s="23"/>
      <c r="AJ349" s="352">
        <f t="shared" ref="AJ349" si="1509">C349-AM349-AP349</f>
        <v>998669</v>
      </c>
      <c r="AK349" s="352">
        <f t="shared" ref="AK349" si="1510">D349-AN349-AQ349</f>
        <v>47244</v>
      </c>
      <c r="AL349" s="353">
        <f t="shared" ref="AL349" si="1511">AJ349/AK349*1000</f>
        <v>21138.536110405552</v>
      </c>
      <c r="AM349" s="352">
        <f t="shared" ref="AM349" si="1512">F349</f>
        <v>117942</v>
      </c>
      <c r="AN349" s="352">
        <f t="shared" ref="AN349" si="1513">G349</f>
        <v>109337</v>
      </c>
      <c r="AO349" s="353">
        <f t="shared" ref="AO349" si="1514">AM349/AN349*1000</f>
        <v>1078.7016289087865</v>
      </c>
      <c r="AP349" s="352">
        <f t="shared" ref="AP349" si="1515">H349</f>
        <v>12267</v>
      </c>
      <c r="AQ349" s="352">
        <f t="shared" ref="AQ349" si="1516">I349</f>
        <v>5268</v>
      </c>
      <c r="AR349" s="353">
        <f t="shared" ref="AR349" si="1517">AP349/AQ349*1000</f>
        <v>2328.5876993166289</v>
      </c>
      <c r="AX349" s="4">
        <f t="shared" si="331"/>
        <v>2011</v>
      </c>
      <c r="AY349" s="4">
        <f t="shared" si="332"/>
        <v>9</v>
      </c>
      <c r="AZ349" s="366">
        <f>'[8]COM 55 &amp; 65'!$S434</f>
        <v>489.2</v>
      </c>
      <c r="BA349" s="366">
        <f t="shared" si="221"/>
        <v>487.9</v>
      </c>
      <c r="BB349" s="367">
        <f t="shared" ref="BB349" si="1518">(BA349-AZ349)</f>
        <v>-1.3000000000000114</v>
      </c>
      <c r="BC349" s="367"/>
      <c r="BD349" s="366">
        <f>'[8]COM 55 &amp; 65'!$J434</f>
        <v>0</v>
      </c>
      <c r="BE349" s="366">
        <f t="shared" si="222"/>
        <v>0</v>
      </c>
      <c r="BF349" s="368">
        <f t="shared" ref="BF349" si="1519">(BE349-BD349)</f>
        <v>0</v>
      </c>
      <c r="BH349" s="244">
        <f t="shared" ref="BH349" si="1520">BB349*$G$10</f>
        <v>-912.61820000000796</v>
      </c>
      <c r="BI349" s="242">
        <f t="shared" ref="BI349" si="1521">BF349*$G$9</f>
        <v>0</v>
      </c>
      <c r="BJ349" s="242"/>
      <c r="BK349" s="241">
        <f t="shared" ref="BK349" si="1522">ROUND(SUM(BH349,BI349),0)</f>
        <v>-913</v>
      </c>
      <c r="BL349" s="262"/>
      <c r="BM349" s="36" t="s">
        <v>18</v>
      </c>
      <c r="BN349" s="4">
        <f t="shared" si="223"/>
        <v>2011</v>
      </c>
      <c r="BO349" s="4">
        <f t="shared" si="224"/>
        <v>9</v>
      </c>
      <c r="BP349" s="108">
        <f>C349+[4]MWh!$AK183</f>
        <v>1029615.8718930999</v>
      </c>
      <c r="BQ349" s="76">
        <f t="shared" ref="BQ349" si="1523">BP349/D349*1000</f>
        <v>6361.5831540083645</v>
      </c>
      <c r="BR349" s="130">
        <f t="shared" ref="BR349" si="1524">BT349/D349*1000</f>
        <v>6355.9420935137068</v>
      </c>
      <c r="BS349" s="108">
        <f t="shared" ref="BS349" si="1525">BR349-BR337</f>
        <v>-394.70042256916076</v>
      </c>
      <c r="BT349" s="175">
        <f t="shared" ref="BT349" si="1526">BK349+BP349</f>
        <v>1028702.8718930999</v>
      </c>
      <c r="BU349" s="108">
        <f t="shared" ref="BU349" si="1527">BT349-BT337</f>
        <v>-52858.069463632884</v>
      </c>
      <c r="BV349" s="137">
        <f t="shared" ref="BV349" si="1528">BT349-BP349</f>
        <v>-913</v>
      </c>
      <c r="BW349" s="529">
        <f>BT349/[9]CMWh!$L229</f>
        <v>0.90962238608583146</v>
      </c>
      <c r="DA349" s="50">
        <f t="shared" si="878"/>
        <v>-10678.051299999939</v>
      </c>
      <c r="DB349" s="108">
        <f>[9]CMWh!$E229</f>
        <v>1142214</v>
      </c>
      <c r="DC349" s="50"/>
      <c r="DD349" s="108"/>
      <c r="DE349" s="50"/>
      <c r="DF349" s="23"/>
      <c r="DG349" s="50">
        <f t="shared" si="879"/>
        <v>1131535.9487000001</v>
      </c>
    </row>
    <row r="350" spans="1:111" ht="12.75" customHeight="1">
      <c r="A350" s="22">
        <f t="shared" ref="A350:A377" si="1529">A338+1</f>
        <v>2011</v>
      </c>
      <c r="B350" s="4">
        <f t="shared" ref="B350:B377" si="1530">B338</f>
        <v>10</v>
      </c>
      <c r="C350" s="5">
        <f>'[2]FPC wSEB'!$E447</f>
        <v>1043831</v>
      </c>
      <c r="D350" s="5">
        <f>'[2]FPC wSEB'!$Y447</f>
        <v>156948</v>
      </c>
      <c r="E350" s="74">
        <f t="shared" ref="E350" si="1531">ROUND((C350/D350)*1000,1)</f>
        <v>6650.8</v>
      </c>
      <c r="F350" s="358">
        <v>104451</v>
      </c>
      <c r="G350" s="358">
        <v>103819</v>
      </c>
      <c r="H350" s="358">
        <v>12250</v>
      </c>
      <c r="I350" s="358">
        <v>5268</v>
      </c>
      <c r="J350" s="574">
        <f>[5]CC!$E230</f>
        <v>162647</v>
      </c>
      <c r="K350" s="76">
        <f>'[7]COM 55 &amp; 65'!$S435</f>
        <v>432.8</v>
      </c>
      <c r="L350" s="4">
        <f t="shared" si="216"/>
        <v>431.2</v>
      </c>
      <c r="M350" s="135">
        <f t="shared" ref="M350" si="1532">(L350-K350)</f>
        <v>-1.6000000000000227</v>
      </c>
      <c r="N350" s="4">
        <f>'[7]COM 55 &amp; 65'!$J435</f>
        <v>0.4</v>
      </c>
      <c r="O350" s="4">
        <f t="shared" si="209"/>
        <v>0.2</v>
      </c>
      <c r="P350" s="41">
        <f t="shared" ref="P350" si="1533">(O350-N350)</f>
        <v>-0.2</v>
      </c>
      <c r="Q350" s="474">
        <f t="shared" ref="Q350" si="1534">M350*$G$10</f>
        <v>-1123.222400000016</v>
      </c>
      <c r="R350" s="472">
        <f t="shared" ref="R350" si="1535">P350*$G$9</f>
        <v>-121.67020000000001</v>
      </c>
      <c r="S350" s="241">
        <f t="shared" ref="S350" si="1536">ROUND(SUM(Q350,R350),0)</f>
        <v>-1245</v>
      </c>
      <c r="T350" s="13" t="s">
        <v>18</v>
      </c>
      <c r="U350" s="23">
        <f t="shared" si="217"/>
        <v>2011</v>
      </c>
      <c r="V350" s="23">
        <f t="shared" si="218"/>
        <v>10</v>
      </c>
      <c r="W350" s="336">
        <f t="shared" ref="W350" si="1537">Z350/D350*1000</f>
        <v>6642.8753472487706</v>
      </c>
      <c r="X350" s="338">
        <f t="shared" ref="X350" si="1538">W350-W338</f>
        <v>41.11518532412174</v>
      </c>
      <c r="Y350" s="339"/>
      <c r="Z350" s="178">
        <f t="shared" ref="Z350" si="1539">S350+C350</f>
        <v>1042586</v>
      </c>
      <c r="AA350" s="340">
        <f t="shared" ref="AA350" si="1540">Z350-C350</f>
        <v>-1245</v>
      </c>
      <c r="AB350" s="518">
        <f>[9]CMWh!$L230</f>
        <v>1052719</v>
      </c>
      <c r="AC350" s="341">
        <f>RESID!AC350</f>
        <v>29.95</v>
      </c>
      <c r="AD350" s="342">
        <f t="shared" ref="AD350" si="1541">ROUND(C350/(AC350/30.42),1)</f>
        <v>1060211.7</v>
      </c>
      <c r="AE350" s="342">
        <f t="shared" ref="AE350" si="1542">AD350-AD338</f>
        <v>2654.3000000000466</v>
      </c>
      <c r="AF350" s="23">
        <f t="shared" ref="AF350" si="1543">AG350-C350</f>
        <v>15116</v>
      </c>
      <c r="AG350" s="23">
        <f t="shared" ref="AG350" si="1544">ROUND(Z350/(AC350/30.42),0)</f>
        <v>1058947</v>
      </c>
      <c r="AH350" s="23">
        <f t="shared" ref="AH350" si="1545">AG350-AG338</f>
        <v>13837</v>
      </c>
      <c r="AI350" s="23"/>
      <c r="AJ350" s="352">
        <f t="shared" ref="AJ350" si="1546">C350-AM350-AP350</f>
        <v>927130</v>
      </c>
      <c r="AK350" s="352">
        <f t="shared" ref="AK350" si="1547">D350-AN350-AQ350</f>
        <v>47861</v>
      </c>
      <c r="AL350" s="353">
        <f t="shared" ref="AL350" si="1548">AJ350/AK350*1000</f>
        <v>19371.304402331752</v>
      </c>
      <c r="AM350" s="352">
        <f t="shared" ref="AM350" si="1549">F350</f>
        <v>104451</v>
      </c>
      <c r="AN350" s="352">
        <f t="shared" ref="AN350" si="1550">G350</f>
        <v>103819</v>
      </c>
      <c r="AO350" s="353">
        <f t="shared" ref="AO350" si="1551">AM350/AN350*1000</f>
        <v>1006.0875176990725</v>
      </c>
      <c r="AP350" s="352">
        <f t="shared" ref="AP350" si="1552">H350</f>
        <v>12250</v>
      </c>
      <c r="AQ350" s="352">
        <f t="shared" ref="AQ350" si="1553">I350</f>
        <v>5268</v>
      </c>
      <c r="AR350" s="353">
        <f t="shared" ref="AR350" si="1554">AP350/AQ350*1000</f>
        <v>2325.3606681852698</v>
      </c>
      <c r="AX350" s="4">
        <f t="shared" si="331"/>
        <v>2011</v>
      </c>
      <c r="AY350" s="4">
        <f t="shared" si="332"/>
        <v>10</v>
      </c>
      <c r="AZ350" s="366">
        <f>'[8]COM 55 &amp; 65'!$S435</f>
        <v>248.5</v>
      </c>
      <c r="BA350" s="366">
        <f t="shared" si="221"/>
        <v>332.5</v>
      </c>
      <c r="BB350" s="367">
        <f t="shared" ref="BB350" si="1555">(BA350-AZ350)</f>
        <v>84</v>
      </c>
      <c r="BC350" s="367"/>
      <c r="BD350" s="366">
        <f>'[8]COM 55 &amp; 65'!$J435</f>
        <v>3.4</v>
      </c>
      <c r="BE350" s="366">
        <f t="shared" si="222"/>
        <v>2</v>
      </c>
      <c r="BF350" s="368">
        <f t="shared" ref="BF350" si="1556">(BE350-BD350)</f>
        <v>-1.4</v>
      </c>
      <c r="BH350" s="244">
        <f t="shared" ref="BH350" si="1557">BB350*$G$10</f>
        <v>58969.175999999999</v>
      </c>
      <c r="BI350" s="242">
        <f t="shared" ref="BI350" si="1558">BF350*$G$9</f>
        <v>-851.69139999999993</v>
      </c>
      <c r="BJ350" s="242"/>
      <c r="BK350" s="241">
        <f t="shared" ref="BK350" si="1559">ROUND(SUM(BH350,BI350),0)</f>
        <v>58117</v>
      </c>
      <c r="BL350" s="262"/>
      <c r="BM350" s="36" t="s">
        <v>18</v>
      </c>
      <c r="BN350" s="4">
        <f t="shared" si="223"/>
        <v>2011</v>
      </c>
      <c r="BO350" s="4">
        <f t="shared" si="224"/>
        <v>10</v>
      </c>
      <c r="BP350" s="108">
        <f>C350+[4]MWh!$AK184</f>
        <v>956698.92871530459</v>
      </c>
      <c r="BQ350" s="76">
        <f t="shared" ref="BQ350" si="1560">BP350/D350*1000</f>
        <v>6095.6426887587259</v>
      </c>
      <c r="BR350" s="130">
        <f t="shared" ref="BR350" si="1561">BT350/D350*1000</f>
        <v>6465.9373086328242</v>
      </c>
      <c r="BS350" s="108">
        <f t="shared" ref="BS350" si="1562">BR350-BR338</f>
        <v>-178.50588767105637</v>
      </c>
      <c r="BT350" s="175">
        <f t="shared" ref="BT350" si="1563">BK350+BP350</f>
        <v>1014815.9287153046</v>
      </c>
      <c r="BU350" s="108">
        <f t="shared" ref="BU350" si="1564">BT350-BT338</f>
        <v>-22527.831978049828</v>
      </c>
      <c r="BV350" s="137">
        <f t="shared" ref="BV350" si="1565">BT350-BP350</f>
        <v>58117</v>
      </c>
      <c r="BW350" s="529">
        <f>BT350/[9]CMWh!$L230</f>
        <v>0.96399507248876914</v>
      </c>
      <c r="DA350" s="50">
        <f t="shared" si="878"/>
        <v>-1175.3698000000149</v>
      </c>
      <c r="DB350" s="108">
        <f>[9]CMWh!$E230</f>
        <v>1053964</v>
      </c>
      <c r="DC350" s="50"/>
      <c r="DD350" s="108"/>
      <c r="DE350" s="50"/>
      <c r="DF350" s="23"/>
      <c r="DG350" s="50">
        <f t="shared" si="879"/>
        <v>1052788.6302</v>
      </c>
    </row>
    <row r="351" spans="1:111" ht="12.75" customHeight="1">
      <c r="A351" s="22">
        <f t="shared" si="1529"/>
        <v>2011</v>
      </c>
      <c r="B351" s="4">
        <f t="shared" si="1530"/>
        <v>11</v>
      </c>
      <c r="C351" s="5">
        <f>'[2]FPC wSEB'!$E448</f>
        <v>932105</v>
      </c>
      <c r="D351" s="5">
        <f>'[2]FPC wSEB'!$Y448</f>
        <v>173104</v>
      </c>
      <c r="E351" s="74">
        <f t="shared" ref="E351" si="1566">ROUND((C351/D351)*1000,1)</f>
        <v>5384.7</v>
      </c>
      <c r="F351" s="358">
        <v>94775</v>
      </c>
      <c r="G351" s="358">
        <v>118596</v>
      </c>
      <c r="H351" s="358">
        <v>12643</v>
      </c>
      <c r="I351" s="358">
        <v>5285</v>
      </c>
      <c r="J351" s="574">
        <f>[5]CC!$E231</f>
        <v>162935</v>
      </c>
      <c r="K351" s="76">
        <f>'[7]COM 55 &amp; 65'!$S436</f>
        <v>201.7</v>
      </c>
      <c r="L351" s="4">
        <f t="shared" si="216"/>
        <v>251.9</v>
      </c>
      <c r="M351" s="135">
        <f t="shared" ref="M351" si="1567">(L351-K351)</f>
        <v>50.200000000000017</v>
      </c>
      <c r="N351" s="4">
        <f>'[7]COM 55 &amp; 65'!$J436</f>
        <v>4.8</v>
      </c>
      <c r="O351" s="4">
        <f t="shared" si="209"/>
        <v>6.3</v>
      </c>
      <c r="P351" s="41">
        <f t="shared" ref="P351" si="1568">(O351-N351)</f>
        <v>1.5</v>
      </c>
      <c r="Q351" s="474">
        <f t="shared" ref="Q351" si="1569">M351*$G$10</f>
        <v>35241.102800000015</v>
      </c>
      <c r="R351" s="472">
        <f t="shared" ref="R351" si="1570">P351*$G$9</f>
        <v>912.52649999999994</v>
      </c>
      <c r="S351" s="241">
        <f t="shared" ref="S351" si="1571">ROUND(SUM(Q351,R351),0)</f>
        <v>36154</v>
      </c>
      <c r="T351" s="13" t="s">
        <v>18</v>
      </c>
      <c r="U351" s="23">
        <f t="shared" si="217"/>
        <v>2011</v>
      </c>
      <c r="V351" s="23">
        <f t="shared" si="218"/>
        <v>11</v>
      </c>
      <c r="W351" s="336">
        <f t="shared" ref="W351" si="1572">Z351/D351*1000</f>
        <v>5593.5102597282557</v>
      </c>
      <c r="X351" s="338">
        <f t="shared" ref="X351" si="1573">W351-W339</f>
        <v>166.33553640696391</v>
      </c>
      <c r="Y351" s="339"/>
      <c r="Z351" s="178">
        <f t="shared" ref="Z351" si="1574">S351+C351</f>
        <v>968259</v>
      </c>
      <c r="AA351" s="340">
        <f t="shared" ref="AA351" si="1575">Z351-C351</f>
        <v>36154</v>
      </c>
      <c r="AB351" s="518">
        <f>[9]CMWh!$L231</f>
        <v>939468</v>
      </c>
      <c r="AC351" s="341">
        <f>RESID!AC351</f>
        <v>29.95</v>
      </c>
      <c r="AD351" s="342">
        <f t="shared" ref="AD351" si="1576">ROUND(C351/(AC351/30.42),1)</f>
        <v>946732.4</v>
      </c>
      <c r="AE351" s="342">
        <f t="shared" ref="AE351" si="1577">AD351-AD339</f>
        <v>-30042.199999999953</v>
      </c>
      <c r="AF351" s="23">
        <f t="shared" ref="AF351" si="1578">AG351-C351</f>
        <v>51349</v>
      </c>
      <c r="AG351" s="23">
        <f t="shared" ref="AG351" si="1579">ROUND(Z351/(AC351/30.42),0)</f>
        <v>983454</v>
      </c>
      <c r="AH351" s="23">
        <f t="shared" ref="AH351" si="1580">AG351-AG339</f>
        <v>25356</v>
      </c>
      <c r="AI351" s="23"/>
      <c r="AJ351" s="352">
        <f t="shared" ref="AJ351" si="1581">C351-AM351-AP351</f>
        <v>824687</v>
      </c>
      <c r="AK351" s="352">
        <f t="shared" ref="AK351" si="1582">D351-AN351-AQ351</f>
        <v>49223</v>
      </c>
      <c r="AL351" s="353">
        <f t="shared" ref="AL351" si="1583">AJ351/AK351*1000</f>
        <v>16754.0986937001</v>
      </c>
      <c r="AM351" s="352">
        <f t="shared" ref="AM351" si="1584">F351</f>
        <v>94775</v>
      </c>
      <c r="AN351" s="352">
        <f t="shared" ref="AN351" si="1585">G351</f>
        <v>118596</v>
      </c>
      <c r="AO351" s="353">
        <f t="shared" ref="AO351" si="1586">AM351/AN351*1000</f>
        <v>799.14162366352991</v>
      </c>
      <c r="AP351" s="352">
        <f t="shared" ref="AP351" si="1587">H351</f>
        <v>12643</v>
      </c>
      <c r="AQ351" s="352">
        <f t="shared" ref="AQ351" si="1588">I351</f>
        <v>5285</v>
      </c>
      <c r="AR351" s="353">
        <f t="shared" ref="AR351" si="1589">AP351/AQ351*1000</f>
        <v>2392.2421948912015</v>
      </c>
      <c r="AX351" s="4">
        <f t="shared" si="331"/>
        <v>2011</v>
      </c>
      <c r="AY351" s="4">
        <f t="shared" si="332"/>
        <v>11</v>
      </c>
      <c r="AZ351" s="366">
        <f>'[8]COM 55 &amp; 65'!$S436</f>
        <v>148.9</v>
      </c>
      <c r="BA351" s="366">
        <f t="shared" si="221"/>
        <v>146</v>
      </c>
      <c r="BB351" s="367">
        <f t="shared" ref="BB351" si="1590">(BA351-AZ351)</f>
        <v>-2.9000000000000057</v>
      </c>
      <c r="BC351" s="367"/>
      <c r="BD351" s="366">
        <f>'[8]COM 55 &amp; 65'!$J436</f>
        <v>7.6</v>
      </c>
      <c r="BE351" s="366">
        <f t="shared" si="222"/>
        <v>14</v>
      </c>
      <c r="BF351" s="368">
        <f t="shared" ref="BF351" si="1591">(BE351-BD351)</f>
        <v>6.4</v>
      </c>
      <c r="BH351" s="244">
        <f t="shared" ref="BH351" si="1592">BB351*$G$10</f>
        <v>-2035.8406000000041</v>
      </c>
      <c r="BI351" s="242">
        <f t="shared" ref="BI351" si="1593">BF351*$G$9</f>
        <v>3893.4464000000003</v>
      </c>
      <c r="BJ351" s="242"/>
      <c r="BK351" s="241">
        <f t="shared" ref="BK351" si="1594">ROUND(SUM(BH351,BI351),0)</f>
        <v>1858</v>
      </c>
      <c r="BL351" s="262"/>
      <c r="BM351" s="36" t="s">
        <v>18</v>
      </c>
      <c r="BN351" s="4">
        <f t="shared" si="223"/>
        <v>2011</v>
      </c>
      <c r="BO351" s="4">
        <f t="shared" si="224"/>
        <v>11</v>
      </c>
      <c r="BP351" s="108">
        <f>C351+[4]MWh!$AK185</f>
        <v>873179.96130592038</v>
      </c>
      <c r="BQ351" s="76">
        <f t="shared" ref="BQ351" si="1595">BP351/D351*1000</f>
        <v>5044.2506314465318</v>
      </c>
      <c r="BR351" s="130">
        <f t="shared" ref="BR351" si="1596">BT351/D351*1000</f>
        <v>5054.9840633718486</v>
      </c>
      <c r="BS351" s="108">
        <f t="shared" ref="BS351" si="1597">BR351-BR339</f>
        <v>451.31814735531407</v>
      </c>
      <c r="BT351" s="175">
        <f t="shared" ref="BT351" si="1598">BK351+BP351</f>
        <v>875037.96130592038</v>
      </c>
      <c r="BU351" s="108">
        <f t="shared" ref="BU351" si="1599">BT351-BT339</f>
        <v>72204.662211796851</v>
      </c>
      <c r="BV351" s="137">
        <f t="shared" ref="BV351" si="1600">BT351-BP351</f>
        <v>1858</v>
      </c>
      <c r="BW351" s="529">
        <f>BT351/[9]CMWh!$L231</f>
        <v>0.93141859148573491</v>
      </c>
      <c r="DA351" s="50">
        <f t="shared" si="878"/>
        <v>34150.77410000001</v>
      </c>
      <c r="DB351" s="108">
        <f>[9]CMWh!$E231</f>
        <v>903314</v>
      </c>
      <c r="DC351" s="50"/>
      <c r="DD351" s="108"/>
      <c r="DE351" s="50"/>
      <c r="DF351" s="23"/>
      <c r="DG351" s="50">
        <f t="shared" si="879"/>
        <v>937464.77410000004</v>
      </c>
    </row>
    <row r="352" spans="1:111" s="89" customFormat="1" ht="12.75" customHeight="1">
      <c r="A352" s="225">
        <f t="shared" si="1529"/>
        <v>2011</v>
      </c>
      <c r="B352" s="89">
        <f t="shared" si="1530"/>
        <v>12</v>
      </c>
      <c r="C352" s="103">
        <f>'[2]FPC wSEB'!$E449</f>
        <v>879119</v>
      </c>
      <c r="D352" s="103">
        <f>'[2]FPC wSEB'!$Y449</f>
        <v>161833</v>
      </c>
      <c r="E352" s="109">
        <f t="shared" ref="E352" si="1601">ROUND((C352/D352)*1000,1)</f>
        <v>5432.3</v>
      </c>
      <c r="F352" s="376">
        <v>86201</v>
      </c>
      <c r="G352" s="376">
        <v>110021</v>
      </c>
      <c r="H352" s="376">
        <v>12332</v>
      </c>
      <c r="I352" s="376">
        <v>5269</v>
      </c>
      <c r="J352" s="575">
        <f>[5]CC!$E232</f>
        <v>162457</v>
      </c>
      <c r="K352" s="92">
        <f>'[7]COM 55 &amp; 65'!$S437</f>
        <v>144.9</v>
      </c>
      <c r="L352" s="89">
        <f t="shared" si="216"/>
        <v>119.4</v>
      </c>
      <c r="M352" s="136">
        <f t="shared" ref="M352" si="1602">(L352-K352)</f>
        <v>-25.5</v>
      </c>
      <c r="N352" s="89">
        <f>'[7]COM 55 &amp; 65'!$J437</f>
        <v>12</v>
      </c>
      <c r="O352" s="89">
        <f t="shared" si="209"/>
        <v>30.1</v>
      </c>
      <c r="P352" s="94">
        <f t="shared" ref="P352" si="1603">(O352-N352)</f>
        <v>18.100000000000001</v>
      </c>
      <c r="Q352" s="475">
        <f t="shared" ref="Q352" si="1604">M352*$G$10</f>
        <v>-17901.357</v>
      </c>
      <c r="R352" s="473">
        <f t="shared" ref="R352" si="1605">P352*$G$9</f>
        <v>11011.153100000001</v>
      </c>
      <c r="S352" s="329">
        <f t="shared" ref="S352" si="1606">ROUND(SUM(Q352,R352),0)</f>
        <v>-6890</v>
      </c>
      <c r="T352" s="90" t="s">
        <v>18</v>
      </c>
      <c r="U352" s="89">
        <f t="shared" si="217"/>
        <v>2011</v>
      </c>
      <c r="V352" s="89">
        <f t="shared" si="218"/>
        <v>12</v>
      </c>
      <c r="W352" s="328">
        <f t="shared" ref="W352" si="1607">Z352/D352*1000</f>
        <v>5389.6856636161965</v>
      </c>
      <c r="X352" s="133">
        <f t="shared" ref="X352" si="1608">W352-W340</f>
        <v>27.751615417827452</v>
      </c>
      <c r="Y352" s="330"/>
      <c r="Z352" s="176">
        <f t="shared" ref="Z352" si="1609">S352+C352</f>
        <v>872229</v>
      </c>
      <c r="AA352" s="105">
        <f t="shared" ref="AA352" si="1610">Z352-C352</f>
        <v>-6890</v>
      </c>
      <c r="AB352" s="520">
        <f>[9]CMWh!$L232</f>
        <v>892288</v>
      </c>
      <c r="AC352" s="110">
        <f>RESID!AC352</f>
        <v>31.55</v>
      </c>
      <c r="AD352" s="331">
        <f t="shared" ref="AD352" si="1611">ROUND(C352/(AC352/30.42),1)</f>
        <v>847632.3</v>
      </c>
      <c r="AE352" s="331">
        <f t="shared" ref="AE352" si="1612">AD352-AD340</f>
        <v>-23152.099999999977</v>
      </c>
      <c r="AF352" s="89">
        <f t="shared" ref="AF352" si="1613">AG352-C352</f>
        <v>-38130</v>
      </c>
      <c r="AG352" s="89">
        <f t="shared" ref="AG352" si="1614">ROUND(Z352/(AC352/30.42),0)</f>
        <v>840989</v>
      </c>
      <c r="AH352" s="89">
        <f t="shared" ref="AH352" si="1615">AG352-AG340</f>
        <v>-10066</v>
      </c>
      <c r="AJ352" s="351">
        <f t="shared" ref="AJ352" si="1616">C352-AM352-AP352</f>
        <v>780586</v>
      </c>
      <c r="AK352" s="351">
        <f t="shared" ref="AK352" si="1617">D352-AN352-AQ352</f>
        <v>46543</v>
      </c>
      <c r="AL352" s="277">
        <f t="shared" ref="AL352" si="1618">AJ352/AK352*1000</f>
        <v>16771.28676707561</v>
      </c>
      <c r="AM352" s="351">
        <f t="shared" ref="AM352" si="1619">F352</f>
        <v>86201</v>
      </c>
      <c r="AN352" s="351">
        <f t="shared" ref="AN352" si="1620">G352</f>
        <v>110021</v>
      </c>
      <c r="AO352" s="277">
        <f t="shared" ref="AO352" si="1621">AM352/AN352*1000</f>
        <v>783.49587805964313</v>
      </c>
      <c r="AP352" s="351">
        <f t="shared" ref="AP352" si="1622">H352</f>
        <v>12332</v>
      </c>
      <c r="AQ352" s="351">
        <f t="shared" ref="AQ352" si="1623">I352</f>
        <v>5269</v>
      </c>
      <c r="AR352" s="277">
        <f t="shared" ref="AR352" si="1624">AP352/AQ352*1000</f>
        <v>2340.482064907952</v>
      </c>
      <c r="AX352" s="89">
        <f t="shared" si="331"/>
        <v>2011</v>
      </c>
      <c r="AY352" s="89">
        <f t="shared" si="332"/>
        <v>12</v>
      </c>
      <c r="AZ352" s="369">
        <f>'[8]COM 55 &amp; 65'!$S437</f>
        <v>101.5</v>
      </c>
      <c r="BA352" s="369">
        <f t="shared" si="221"/>
        <v>75.7</v>
      </c>
      <c r="BB352" s="370">
        <f t="shared" ref="BB352" si="1625">(BA352-AZ352)</f>
        <v>-25.799999999999997</v>
      </c>
      <c r="BC352" s="370"/>
      <c r="BD352" s="369">
        <f>'[8]COM 55 &amp; 65'!$J437</f>
        <v>19.600000000000001</v>
      </c>
      <c r="BE352" s="369">
        <f t="shared" si="222"/>
        <v>44.3</v>
      </c>
      <c r="BF352" s="371">
        <f t="shared" ref="BF352" si="1626">(BE352-BD352)</f>
        <v>24.699999999999996</v>
      </c>
      <c r="BH352" s="327">
        <f t="shared" ref="BH352" si="1627">BB352*$G$10</f>
        <v>-18111.961199999998</v>
      </c>
      <c r="BI352" s="328">
        <f t="shared" ref="BI352" si="1628">BF352*$G$9</f>
        <v>15026.269699999997</v>
      </c>
      <c r="BJ352" s="328"/>
      <c r="BK352" s="329">
        <f t="shared" ref="BK352" si="1629">ROUND(SUM(BH352,BI352),0)</f>
        <v>-3086</v>
      </c>
      <c r="BL352" s="332"/>
      <c r="BM352" s="113" t="s">
        <v>18</v>
      </c>
      <c r="BN352" s="89">
        <f t="shared" si="223"/>
        <v>2011</v>
      </c>
      <c r="BO352" s="89">
        <f t="shared" si="224"/>
        <v>12</v>
      </c>
      <c r="BP352" s="117">
        <f>C352+[4]MWh!$AK186</f>
        <v>853789.75369727844</v>
      </c>
      <c r="BQ352" s="92">
        <f t="shared" ref="BQ352" si="1630">BP352/D352*1000</f>
        <v>5275.7456989444572</v>
      </c>
      <c r="BR352" s="299">
        <f t="shared" ref="BR352" si="1631">BT352/D352*1000</f>
        <v>5256.6766586374752</v>
      </c>
      <c r="BS352" s="117">
        <f t="shared" ref="BS352" si="1632">BR352-BR340</f>
        <v>-801.77637258458253</v>
      </c>
      <c r="BT352" s="176">
        <f t="shared" ref="BT352" si="1633">BK352+BP352</f>
        <v>850703.75369727844</v>
      </c>
      <c r="BU352" s="117">
        <f t="shared" ref="BU352" si="1634">BT352-BT340</f>
        <v>-140301.64243183844</v>
      </c>
      <c r="BV352" s="139">
        <f t="shared" ref="BV352" si="1635">BT352-BP352</f>
        <v>-3086</v>
      </c>
      <c r="BW352" s="536">
        <f>BT352/[9]CMWh!$L232</f>
        <v>0.95339593684693558</v>
      </c>
      <c r="BX352" s="539" t="s">
        <v>312</v>
      </c>
      <c r="DA352" s="50">
        <f t="shared" si="878"/>
        <v>-6577.6129999999957</v>
      </c>
      <c r="DB352" s="108">
        <f>[9]CMWh!$E232</f>
        <v>899178</v>
      </c>
      <c r="DC352" s="50"/>
      <c r="DD352" s="108"/>
      <c r="DE352" s="50"/>
      <c r="DF352" s="23"/>
      <c r="DG352" s="50">
        <f t="shared" si="879"/>
        <v>892600.38699999999</v>
      </c>
    </row>
    <row r="353" spans="1:111" ht="12.75" customHeight="1">
      <c r="A353" s="22">
        <f t="shared" si="1529"/>
        <v>2012</v>
      </c>
      <c r="B353" s="4">
        <f t="shared" si="1530"/>
        <v>1</v>
      </c>
      <c r="C353" s="5">
        <f>'[2]FPC wSEB'!$E450</f>
        <v>881436</v>
      </c>
      <c r="D353" s="5">
        <f>'[2]FPC wSEB'!$Y450</f>
        <v>159179</v>
      </c>
      <c r="E353" s="74">
        <f t="shared" ref="E353" si="1636">ROUND((C353/D353)*1000,1)</f>
        <v>5537.4</v>
      </c>
      <c r="F353" s="358">
        <v>82768</v>
      </c>
      <c r="G353" s="358">
        <v>105973</v>
      </c>
      <c r="H353" s="358">
        <v>12248</v>
      </c>
      <c r="I353" s="358">
        <v>5241</v>
      </c>
      <c r="J353" s="574">
        <f>[5]CC!$E233</f>
        <v>162586</v>
      </c>
      <c r="K353" s="76">
        <f>'[7]COM 55 &amp; 65'!$S438</f>
        <v>86.3</v>
      </c>
      <c r="L353" s="4">
        <f t="shared" si="216"/>
        <v>70.8</v>
      </c>
      <c r="M353" s="135">
        <f t="shared" ref="M353" si="1637">(L353-K353)</f>
        <v>-15.5</v>
      </c>
      <c r="N353" s="4">
        <f>'[7]COM 55 &amp; 65'!$J438</f>
        <v>42</v>
      </c>
      <c r="O353" s="4">
        <f t="shared" si="209"/>
        <v>54.9</v>
      </c>
      <c r="P353" s="41">
        <f t="shared" ref="P353" si="1638">(O353-N353)</f>
        <v>12.899999999999999</v>
      </c>
      <c r="Q353" s="474">
        <f t="shared" ref="Q353:Q358" si="1639">M353*$H$10</f>
        <v>-11110.031778505947</v>
      </c>
      <c r="R353" s="472">
        <f t="shared" ref="R353:R358" si="1640">P353*$H$9</f>
        <v>10115.760236013337</v>
      </c>
      <c r="S353" s="241">
        <f t="shared" ref="S353" si="1641">ROUND(SUM(Q353,R353),0)</f>
        <v>-994</v>
      </c>
      <c r="T353" s="13" t="s">
        <v>18</v>
      </c>
      <c r="U353" s="23">
        <f t="shared" si="217"/>
        <v>2012</v>
      </c>
      <c r="V353" s="23">
        <f t="shared" si="218"/>
        <v>1</v>
      </c>
      <c r="W353" s="336">
        <f t="shared" ref="W353" si="1642">Z353/D353*1000</f>
        <v>5531.1441835920568</v>
      </c>
      <c r="X353" s="338">
        <f t="shared" ref="X353" si="1643">W353-W341</f>
        <v>-92.571820792008111</v>
      </c>
      <c r="Y353" s="339"/>
      <c r="Z353" s="178">
        <f t="shared" ref="Z353" si="1644">S353+C353</f>
        <v>880442</v>
      </c>
      <c r="AA353" s="340">
        <f t="shared" ref="AA353" si="1645">Z353-C353</f>
        <v>-994</v>
      </c>
      <c r="AB353" s="518">
        <f>[9]CMWh!$L233</f>
        <v>885172</v>
      </c>
      <c r="AC353" s="341">
        <f>RESID!AC353</f>
        <v>31.7</v>
      </c>
      <c r="AD353" s="342">
        <f t="shared" ref="AD353" si="1646">ROUND(C353/(AC353/30.42),1)</f>
        <v>845844.9</v>
      </c>
      <c r="AE353" s="342">
        <f t="shared" ref="AE353" si="1647">AD353-AD341</f>
        <v>-11889.29999999993</v>
      </c>
      <c r="AF353" s="23">
        <f t="shared" ref="AF353" si="1648">AG353-C353</f>
        <v>-36545</v>
      </c>
      <c r="AG353" s="23">
        <f t="shared" ref="AG353" si="1649">ROUND(Z353/(AC353/30.42),0)</f>
        <v>844891</v>
      </c>
      <c r="AH353" s="23">
        <f t="shared" ref="AH353" si="1650">AG353-AG341</f>
        <v>1974</v>
      </c>
      <c r="AI353" s="23"/>
      <c r="AJ353" s="352">
        <f t="shared" ref="AJ353" si="1651">C353-AM353-AP353</f>
        <v>786420</v>
      </c>
      <c r="AK353" s="352">
        <f t="shared" ref="AK353" si="1652">D353-AN353-AQ353</f>
        <v>47965</v>
      </c>
      <c r="AL353" s="353">
        <f t="shared" ref="AL353" si="1653">AJ353/AK353*1000</f>
        <v>16395.705201709578</v>
      </c>
      <c r="AM353" s="352">
        <f t="shared" ref="AM353" si="1654">F353</f>
        <v>82768</v>
      </c>
      <c r="AN353" s="352">
        <f t="shared" ref="AN353" si="1655">G353</f>
        <v>105973</v>
      </c>
      <c r="AO353" s="353">
        <f t="shared" ref="AO353" si="1656">AM353/AN353*1000</f>
        <v>781.02913006143069</v>
      </c>
      <c r="AP353" s="352">
        <f t="shared" ref="AP353" si="1657">H353</f>
        <v>12248</v>
      </c>
      <c r="AQ353" s="352">
        <f t="shared" ref="AQ353" si="1658">I353</f>
        <v>5241</v>
      </c>
      <c r="AR353" s="353">
        <f t="shared" ref="AR353" si="1659">AP353/AQ353*1000</f>
        <v>2336.9585956878459</v>
      </c>
      <c r="AX353" s="4">
        <f t="shared" si="331"/>
        <v>2012</v>
      </c>
      <c r="AY353" s="4">
        <f t="shared" si="332"/>
        <v>1</v>
      </c>
      <c r="AZ353" s="366">
        <f>'[8]COM 55 &amp; 65'!$S438</f>
        <v>63.5</v>
      </c>
      <c r="BA353" s="366">
        <f t="shared" si="221"/>
        <v>72.3</v>
      </c>
      <c r="BB353" s="367">
        <f t="shared" ref="BB353" si="1660">(BA353-AZ353)</f>
        <v>8.7999999999999972</v>
      </c>
      <c r="BC353" s="367"/>
      <c r="BD353" s="366">
        <f>'[8]COM 55 &amp; 65'!$J438</f>
        <v>55.8</v>
      </c>
      <c r="BE353" s="366">
        <f t="shared" si="222"/>
        <v>52.4</v>
      </c>
      <c r="BF353" s="368">
        <f t="shared" ref="BF353" si="1661">(BE353-BD353)</f>
        <v>-3.3999999999999986</v>
      </c>
      <c r="BH353" s="244">
        <f t="shared" ref="BH353:BH358" si="1662">BB353*$H$10</f>
        <v>6307.6309452162777</v>
      </c>
      <c r="BI353" s="242">
        <f t="shared" ref="BI353:BI358" si="1663">BF353*$H$9</f>
        <v>-2666.1693645306459</v>
      </c>
      <c r="BJ353" s="242"/>
      <c r="BK353" s="241">
        <f t="shared" ref="BK353" si="1664">ROUND(SUM(BH353,BI353),0)</f>
        <v>3641</v>
      </c>
      <c r="BL353" s="262"/>
      <c r="BM353" s="36" t="s">
        <v>18</v>
      </c>
      <c r="BN353" s="4">
        <f t="shared" si="223"/>
        <v>2012</v>
      </c>
      <c r="BO353" s="4">
        <f t="shared" si="224"/>
        <v>1</v>
      </c>
      <c r="BP353" s="108">
        <f>C353+[4]MWh!$AK187</f>
        <v>918400.17131316359</v>
      </c>
      <c r="BQ353" s="76">
        <f t="shared" ref="BQ353" si="1665">BP353/D353*1000</f>
        <v>5769.6063633592594</v>
      </c>
      <c r="BR353" s="130">
        <f t="shared" ref="BR353" si="1666">BT353/D353*1000</f>
        <v>5792.4799836232387</v>
      </c>
      <c r="BS353" s="108">
        <f t="shared" ref="BS353" si="1667">BR353-BR341</f>
        <v>862.43965512014984</v>
      </c>
      <c r="BT353" s="175">
        <f t="shared" ref="BT353" si="1668">BK353+BP353</f>
        <v>922041.17131316359</v>
      </c>
      <c r="BU353" s="108">
        <f t="shared" ref="BU353" si="1669">BT353-BT341</f>
        <v>148360.08248051687</v>
      </c>
      <c r="BV353" s="137">
        <f t="shared" ref="BV353" si="1670">BT353-BP353</f>
        <v>3641</v>
      </c>
      <c r="BW353" s="529">
        <f>BT353/[9]CMWh!$L233</f>
        <v>1.0416519855046968</v>
      </c>
      <c r="BX353" s="537">
        <f>AVERAGE(BW353,BW341,BW329,BW317,BW305,BW293,BW281,BW269,BW257,BW245)</f>
        <v>0.96836789092633302</v>
      </c>
      <c r="DA353" s="50">
        <f t="shared" si="878"/>
        <v>-2914.4049999999997</v>
      </c>
      <c r="DB353" s="108">
        <f>[9]CMWh!$E233</f>
        <v>886166</v>
      </c>
      <c r="DC353" s="50"/>
      <c r="DD353" s="108"/>
      <c r="DE353" s="50"/>
      <c r="DF353" s="23"/>
      <c r="DG353" s="50">
        <f t="shared" si="879"/>
        <v>883251.59499999997</v>
      </c>
    </row>
    <row r="354" spans="1:111" ht="12.75" customHeight="1">
      <c r="A354" s="22">
        <f t="shared" si="1529"/>
        <v>2012</v>
      </c>
      <c r="B354" s="4">
        <f t="shared" si="1530"/>
        <v>2</v>
      </c>
      <c r="C354" s="5">
        <f>'[2]FPC wSEB'!$E451</f>
        <v>816900</v>
      </c>
      <c r="D354" s="5">
        <f>'[2]FPC wSEB'!$Y451</f>
        <v>158095</v>
      </c>
      <c r="E354" s="74">
        <f t="shared" ref="E354" si="1671">ROUND((C354/D354)*1000,1)</f>
        <v>5167.1000000000004</v>
      </c>
      <c r="F354" s="358">
        <v>81712</v>
      </c>
      <c r="G354" s="358">
        <v>104735</v>
      </c>
      <c r="H354" s="358">
        <v>12136</v>
      </c>
      <c r="I354" s="358">
        <v>5255</v>
      </c>
      <c r="J354" s="574">
        <f>[5]CC!$E234</f>
        <v>162826</v>
      </c>
      <c r="K354" s="76">
        <f>'[7]COM 55 &amp; 65'!$S439</f>
        <v>84.5</v>
      </c>
      <c r="L354" s="4">
        <f t="shared" si="216"/>
        <v>62.7</v>
      </c>
      <c r="M354" s="135">
        <f t="shared" ref="M354" si="1672">(L354-K354)</f>
        <v>-21.799999999999997</v>
      </c>
      <c r="N354" s="4">
        <f>'[7]COM 55 &amp; 65'!$J439</f>
        <v>35.700000000000003</v>
      </c>
      <c r="O354" s="4">
        <f t="shared" si="209"/>
        <v>46.9</v>
      </c>
      <c r="P354" s="41">
        <f t="shared" ref="P354" si="1673">(O354-N354)</f>
        <v>11.199999999999996</v>
      </c>
      <c r="Q354" s="474">
        <f t="shared" si="1639"/>
        <v>-15625.722114285782</v>
      </c>
      <c r="R354" s="472">
        <f t="shared" si="1640"/>
        <v>8782.6755537480112</v>
      </c>
      <c r="S354" s="241">
        <f t="shared" ref="S354" si="1674">ROUND(SUM(Q354,R354),0)</f>
        <v>-6843</v>
      </c>
      <c r="T354" s="13" t="s">
        <v>18</v>
      </c>
      <c r="U354" s="23">
        <f t="shared" si="217"/>
        <v>2012</v>
      </c>
      <c r="V354" s="23">
        <f t="shared" si="218"/>
        <v>2</v>
      </c>
      <c r="W354" s="336">
        <f t="shared" ref="W354" si="1675">Z354/D354*1000</f>
        <v>5123.8622347322816</v>
      </c>
      <c r="X354" s="338">
        <f t="shared" ref="X354" si="1676">W354-W342</f>
        <v>76.856117201539746</v>
      </c>
      <c r="Y354" s="339"/>
      <c r="Z354" s="178">
        <f t="shared" ref="Z354" si="1677">S354+C354</f>
        <v>810057</v>
      </c>
      <c r="AA354" s="340">
        <f t="shared" ref="AA354" si="1678">Z354-C354</f>
        <v>-6843</v>
      </c>
      <c r="AB354" s="518">
        <f>[9]CMWh!$L234</f>
        <v>802458</v>
      </c>
      <c r="AC354" s="341">
        <f>RESID!AC354</f>
        <v>30</v>
      </c>
      <c r="AD354" s="342">
        <f t="shared" ref="AD354" si="1679">ROUND(C354/(AC354/30.42),1)</f>
        <v>828336.6</v>
      </c>
      <c r="AE354" s="342">
        <f t="shared" ref="AE354" si="1680">AD354-AD342</f>
        <v>574.40000000002328</v>
      </c>
      <c r="AF354" s="23">
        <f t="shared" ref="AF354" si="1681">AG354-C354</f>
        <v>4498</v>
      </c>
      <c r="AG354" s="23">
        <f t="shared" ref="AG354" si="1682">ROUND(Z354/(AC354/30.42),0)</f>
        <v>821398</v>
      </c>
      <c r="AH354" s="23">
        <f t="shared" ref="AH354" si="1683">AG354-AG342</f>
        <v>-8176</v>
      </c>
      <c r="AI354" s="23"/>
      <c r="AJ354" s="352">
        <f t="shared" ref="AJ354" si="1684">C354-AM354-AP354</f>
        <v>723052</v>
      </c>
      <c r="AK354" s="352">
        <f t="shared" ref="AK354" si="1685">D354-AN354-AQ354</f>
        <v>48105</v>
      </c>
      <c r="AL354" s="353">
        <f t="shared" ref="AL354" si="1686">AJ354/AK354*1000</f>
        <v>15030.703669057271</v>
      </c>
      <c r="AM354" s="352">
        <f t="shared" ref="AM354" si="1687">F354</f>
        <v>81712</v>
      </c>
      <c r="AN354" s="352">
        <f t="shared" ref="AN354" si="1688">G354</f>
        <v>104735</v>
      </c>
      <c r="AO354" s="353">
        <f t="shared" ref="AO354" si="1689">AM354/AN354*1000</f>
        <v>780.17854585382156</v>
      </c>
      <c r="AP354" s="352">
        <f t="shared" ref="AP354" si="1690">H354</f>
        <v>12136</v>
      </c>
      <c r="AQ354" s="352">
        <f t="shared" ref="AQ354" si="1691">I354</f>
        <v>5255</v>
      </c>
      <c r="AR354" s="353">
        <f t="shared" ref="AR354" si="1692">AP354/AQ354*1000</f>
        <v>2309.4196003805896</v>
      </c>
      <c r="AX354" s="4">
        <f t="shared" si="331"/>
        <v>2012</v>
      </c>
      <c r="AY354" s="4">
        <f t="shared" si="332"/>
        <v>2</v>
      </c>
      <c r="AZ354" s="366">
        <f>'[8]COM 55 &amp; 65'!$S439</f>
        <v>122.3</v>
      </c>
      <c r="BA354" s="366">
        <f t="shared" si="221"/>
        <v>82.6</v>
      </c>
      <c r="BB354" s="367">
        <f t="shared" ref="BB354" si="1693">(BA354-AZ354)</f>
        <v>-39.700000000000003</v>
      </c>
      <c r="BC354" s="367"/>
      <c r="BD354" s="366">
        <f>'[8]COM 55 &amp; 65'!$J439</f>
        <v>24.1</v>
      </c>
      <c r="BE354" s="366">
        <f t="shared" si="222"/>
        <v>36.5</v>
      </c>
      <c r="BF354" s="368">
        <f t="shared" ref="BF354" si="1694">(BE354-BD354)</f>
        <v>12.399999999999999</v>
      </c>
      <c r="BH354" s="244">
        <f t="shared" si="1662"/>
        <v>-28456.016877850718</v>
      </c>
      <c r="BI354" s="242">
        <f t="shared" si="1663"/>
        <v>9723.6765059353002</v>
      </c>
      <c r="BJ354" s="242"/>
      <c r="BK354" s="241">
        <f t="shared" ref="BK354" si="1695">ROUND(SUM(BH354,BI354),0)</f>
        <v>-18732</v>
      </c>
      <c r="BL354" s="262"/>
      <c r="BM354" s="36" t="s">
        <v>18</v>
      </c>
      <c r="BN354" s="4">
        <f t="shared" si="223"/>
        <v>2012</v>
      </c>
      <c r="BO354" s="4">
        <f t="shared" si="224"/>
        <v>2</v>
      </c>
      <c r="BP354" s="108">
        <f>C354+[4]MWh!$AK188</f>
        <v>805921.49251330225</v>
      </c>
      <c r="BQ354" s="76">
        <f t="shared" ref="BQ354" si="1696">BP354/D354*1000</f>
        <v>5097.7038648489979</v>
      </c>
      <c r="BR354" s="130">
        <f t="shared" ref="BR354" si="1697">BT354/D354*1000</f>
        <v>4979.2181442379724</v>
      </c>
      <c r="BS354" s="108">
        <f t="shared" ref="BS354" si="1698">BR354-BR342</f>
        <v>275.94458572944677</v>
      </c>
      <c r="BT354" s="175">
        <f t="shared" ref="BT354" si="1699">BK354+BP354</f>
        <v>787189.49251330225</v>
      </c>
      <c r="BU354" s="108">
        <f t="shared" ref="BU354" si="1700">BT354-BT342</f>
        <v>26058.732539867517</v>
      </c>
      <c r="BV354" s="137">
        <f t="shared" ref="BV354" si="1701">BT354-BP354</f>
        <v>-18732</v>
      </c>
      <c r="BW354" s="529">
        <f>BT354/[9]CMWh!$L234</f>
        <v>0.98097282663180163</v>
      </c>
      <c r="BX354" s="537">
        <f t="shared" ref="BX354:BX363" si="1702">AVERAGE(BW354,BW342,BW330,BW318,BW306,BW294,BW282,BW270,BW246)</f>
        <v>0.93103314372333024</v>
      </c>
      <c r="DA354" s="50">
        <f t="shared" si="878"/>
        <v>-8063.4473999999991</v>
      </c>
      <c r="DB354" s="108">
        <f>[9]CMWh!$E234</f>
        <v>809301</v>
      </c>
      <c r="DC354" s="50"/>
      <c r="DD354" s="108"/>
      <c r="DE354" s="50"/>
      <c r="DF354" s="23"/>
      <c r="DG354" s="50">
        <f t="shared" si="879"/>
        <v>801237.55260000005</v>
      </c>
    </row>
    <row r="355" spans="1:111" ht="12.75" customHeight="1">
      <c r="A355" s="22">
        <f t="shared" si="1529"/>
        <v>2012</v>
      </c>
      <c r="B355" s="4">
        <f t="shared" si="1530"/>
        <v>3</v>
      </c>
      <c r="C355" s="5">
        <f>'[2]FPC wSEB'!$E452</f>
        <v>866212</v>
      </c>
      <c r="D355" s="5">
        <f>'[2]FPC wSEB'!$Y452</f>
        <v>162808</v>
      </c>
      <c r="E355" s="74">
        <f t="shared" ref="E355" si="1703">ROUND((C355/D355)*1000,1)</f>
        <v>5320.5</v>
      </c>
      <c r="F355" s="358">
        <v>88892</v>
      </c>
      <c r="G355" s="358">
        <v>110214</v>
      </c>
      <c r="H355" s="358">
        <v>12258</v>
      </c>
      <c r="I355" s="358">
        <v>5265</v>
      </c>
      <c r="J355" s="574">
        <f>[5]CC!$E235</f>
        <v>162989</v>
      </c>
      <c r="K355" s="76">
        <f>'[7]COM 55 &amp; 65'!$S440</f>
        <v>151.30000000000001</v>
      </c>
      <c r="L355" s="4">
        <f t="shared" si="216"/>
        <v>105.4</v>
      </c>
      <c r="M355" s="135">
        <f t="shared" ref="M355" si="1704">(L355-K355)</f>
        <v>-45.900000000000006</v>
      </c>
      <c r="N355" s="4">
        <f>'[7]COM 55 &amp; 65'!$J440</f>
        <v>17.5</v>
      </c>
      <c r="O355" s="4">
        <f t="shared" si="209"/>
        <v>26.8</v>
      </c>
      <c r="P355" s="41">
        <f t="shared" ref="P355" si="1705">(O355-N355)</f>
        <v>9.3000000000000007</v>
      </c>
      <c r="Q355" s="474">
        <f t="shared" si="1639"/>
        <v>-32900.029589253099</v>
      </c>
      <c r="R355" s="472">
        <f t="shared" si="1640"/>
        <v>7292.7573794514765</v>
      </c>
      <c r="S355" s="241">
        <f t="shared" ref="S355" si="1706">ROUND(SUM(Q355,R355),0)</f>
        <v>-25607</v>
      </c>
      <c r="T355" s="13" t="s">
        <v>18</v>
      </c>
      <c r="U355" s="23">
        <f t="shared" si="217"/>
        <v>2012</v>
      </c>
      <c r="V355" s="23">
        <f t="shared" si="218"/>
        <v>3</v>
      </c>
      <c r="W355" s="336">
        <f t="shared" ref="W355" si="1707">Z355/D355*1000</f>
        <v>5163.1676576089621</v>
      </c>
      <c r="X355" s="338">
        <f t="shared" ref="X355" si="1708">W355-W343</f>
        <v>-135.23496779166089</v>
      </c>
      <c r="Y355" s="339"/>
      <c r="Z355" s="178">
        <f t="shared" ref="Z355" si="1709">S355+C355</f>
        <v>840605</v>
      </c>
      <c r="AA355" s="340">
        <f t="shared" ref="AA355" si="1710">Z355-C355</f>
        <v>-25607</v>
      </c>
      <c r="AB355" s="518">
        <f>[9]CMWh!$L235</f>
        <v>842752</v>
      </c>
      <c r="AC355" s="341">
        <f>RESID!AC355</f>
        <v>29.4</v>
      </c>
      <c r="AD355" s="342">
        <f t="shared" ref="AD355" si="1711">ROUND(C355/(AC355/30.42),1)</f>
        <v>896264.3</v>
      </c>
      <c r="AE355" s="342">
        <f t="shared" ref="AE355" si="1712">AD355-AD343</f>
        <v>33718.70000000007</v>
      </c>
      <c r="AF355" s="23">
        <f t="shared" ref="AF355" si="1713">AG355-C355</f>
        <v>3557</v>
      </c>
      <c r="AG355" s="23">
        <f t="shared" ref="AG355" si="1714">ROUND(Z355/(AC355/30.42),0)</f>
        <v>869769</v>
      </c>
      <c r="AH355" s="23">
        <f t="shared" ref="AH355" si="1715">AG355-AG343</f>
        <v>12793</v>
      </c>
      <c r="AI355" s="23"/>
      <c r="AJ355" s="352">
        <f t="shared" ref="AJ355" si="1716">C355-AM355-AP355</f>
        <v>765062</v>
      </c>
      <c r="AK355" s="352">
        <f t="shared" ref="AK355" si="1717">D355-AN355-AQ355</f>
        <v>47329</v>
      </c>
      <c r="AL355" s="353">
        <f t="shared" ref="AL355" si="1718">AJ355/AK355*1000</f>
        <v>16164.761562678272</v>
      </c>
      <c r="AM355" s="352">
        <f t="shared" ref="AM355" si="1719">F355</f>
        <v>88892</v>
      </c>
      <c r="AN355" s="352">
        <f t="shared" ref="AN355" si="1720">G355</f>
        <v>110214</v>
      </c>
      <c r="AO355" s="353">
        <f t="shared" ref="AO355" si="1721">AM355/AN355*1000</f>
        <v>806.54000399223321</v>
      </c>
      <c r="AP355" s="352">
        <f t="shared" ref="AP355" si="1722">H355</f>
        <v>12258</v>
      </c>
      <c r="AQ355" s="352">
        <f t="shared" ref="AQ355" si="1723">I355</f>
        <v>5265</v>
      </c>
      <c r="AR355" s="353">
        <f t="shared" ref="AR355" si="1724">AP355/AQ355*1000</f>
        <v>2328.2051282051284</v>
      </c>
      <c r="AX355" s="4">
        <f t="shared" si="331"/>
        <v>2012</v>
      </c>
      <c r="AY355" s="4">
        <f t="shared" si="332"/>
        <v>3</v>
      </c>
      <c r="AZ355" s="366">
        <f>'[8]COM 55 &amp; 65'!$S440</f>
        <v>245.9</v>
      </c>
      <c r="BA355" s="366">
        <f t="shared" si="221"/>
        <v>140.4</v>
      </c>
      <c r="BB355" s="367">
        <f t="shared" ref="BB355" si="1725">(BA355-AZ355)</f>
        <v>-105.5</v>
      </c>
      <c r="BC355" s="367"/>
      <c r="BD355" s="366">
        <f>'[8]COM 55 &amp; 65'!$J440</f>
        <v>3</v>
      </c>
      <c r="BE355" s="366">
        <f t="shared" si="222"/>
        <v>15.1</v>
      </c>
      <c r="BF355" s="368">
        <f t="shared" ref="BF355" si="1726">(BE355-BD355)</f>
        <v>12.1</v>
      </c>
      <c r="BH355" s="244">
        <f t="shared" si="1662"/>
        <v>-75619.893718217892</v>
      </c>
      <c r="BI355" s="242">
        <f t="shared" si="1663"/>
        <v>9488.4262678884788</v>
      </c>
      <c r="BJ355" s="242"/>
      <c r="BK355" s="241">
        <f t="shared" ref="BK355" si="1727">ROUND(SUM(BH355,BI355),0)</f>
        <v>-66131</v>
      </c>
      <c r="BL355" s="262"/>
      <c r="BM355" s="36" t="s">
        <v>18</v>
      </c>
      <c r="BN355" s="4">
        <f t="shared" si="223"/>
        <v>2012</v>
      </c>
      <c r="BO355" s="4">
        <f t="shared" si="224"/>
        <v>3</v>
      </c>
      <c r="BP355" s="108">
        <f>C355+[4]MWh!$AK189</f>
        <v>937223.63075733441</v>
      </c>
      <c r="BQ355" s="76">
        <f t="shared" ref="BQ355" si="1728">BP355/D355*1000</f>
        <v>5756.6190282869047</v>
      </c>
      <c r="BR355" s="130">
        <f t="shared" ref="BR355" si="1729">BT355/D355*1000</f>
        <v>5350.4289147789686</v>
      </c>
      <c r="BS355" s="108">
        <f t="shared" ref="BS355" si="1730">BR355-BR343</f>
        <v>-749.98616529258743</v>
      </c>
      <c r="BT355" s="175">
        <f t="shared" ref="BT355" si="1731">BK355+BP355</f>
        <v>871092.63075733441</v>
      </c>
      <c r="BU355" s="108">
        <f t="shared" ref="BU355" si="1732">BT355-BT343</f>
        <v>-82518.154144371161</v>
      </c>
      <c r="BV355" s="137">
        <f t="shared" ref="BV355" si="1733">BT355-BP355</f>
        <v>-66131</v>
      </c>
      <c r="BW355" s="529">
        <f>BT355/[9]CMWh!$L235</f>
        <v>1.0336286722040819</v>
      </c>
      <c r="BX355" s="537">
        <f t="shared" si="1702"/>
        <v>1.0698876356110159</v>
      </c>
      <c r="DA355" s="50">
        <f t="shared" si="878"/>
        <v>-25132.234199999999</v>
      </c>
      <c r="DB355" s="108">
        <f>[9]CMWh!$E235</f>
        <v>868359</v>
      </c>
      <c r="DC355" s="50"/>
      <c r="DD355" s="108"/>
      <c r="DE355" s="50"/>
      <c r="DF355" s="23"/>
      <c r="DG355" s="50">
        <f t="shared" si="879"/>
        <v>843226.76580000005</v>
      </c>
    </row>
    <row r="356" spans="1:111" ht="12.75" customHeight="1">
      <c r="A356" s="22">
        <f t="shared" si="1529"/>
        <v>2012</v>
      </c>
      <c r="B356" s="4">
        <f t="shared" si="1530"/>
        <v>4</v>
      </c>
      <c r="C356" s="5">
        <f>'[2]FPC wSEB'!$E453</f>
        <v>937252</v>
      </c>
      <c r="D356" s="5">
        <f>'[2]FPC wSEB'!$Y453</f>
        <v>161378</v>
      </c>
      <c r="E356" s="74">
        <f t="shared" ref="E356" si="1734">ROUND((C356/D356)*1000,1)</f>
        <v>5807.8</v>
      </c>
      <c r="F356" s="358">
        <v>97684</v>
      </c>
      <c r="G356" s="358">
        <v>109136</v>
      </c>
      <c r="H356" s="358">
        <v>12200</v>
      </c>
      <c r="I356" s="358">
        <v>5251</v>
      </c>
      <c r="J356" s="574">
        <f>[5]CC!$E236</f>
        <v>163173</v>
      </c>
      <c r="K356" s="76">
        <f>'[7]COM 55 &amp; 65'!$S441</f>
        <v>260.7</v>
      </c>
      <c r="L356" s="4">
        <f t="shared" si="216"/>
        <v>178.4</v>
      </c>
      <c r="M356" s="135">
        <f t="shared" ref="M356" si="1735">(L356-K356)</f>
        <v>-82.299999999999983</v>
      </c>
      <c r="N356" s="4">
        <f>'[7]COM 55 &amp; 65'!$J441</f>
        <v>1.2</v>
      </c>
      <c r="O356" s="4">
        <f t="shared" si="209"/>
        <v>9.5</v>
      </c>
      <c r="P356" s="41">
        <f t="shared" ref="P356" si="1736">(O356-N356)</f>
        <v>8.3000000000000007</v>
      </c>
      <c r="Q356" s="474">
        <f t="shared" si="1639"/>
        <v>-58990.684862647693</v>
      </c>
      <c r="R356" s="472">
        <f t="shared" si="1640"/>
        <v>6508.5899192954039</v>
      </c>
      <c r="S356" s="241">
        <f t="shared" ref="S356" si="1737">ROUND(SUM(Q356,R356),0)</f>
        <v>-52482</v>
      </c>
      <c r="T356" s="13" t="s">
        <v>18</v>
      </c>
      <c r="U356" s="23">
        <f t="shared" si="217"/>
        <v>2012</v>
      </c>
      <c r="V356" s="23">
        <f t="shared" si="218"/>
        <v>4</v>
      </c>
      <c r="W356" s="336">
        <f t="shared" ref="W356" si="1738">Z356/D356*1000</f>
        <v>5482.5936620852899</v>
      </c>
      <c r="X356" s="338">
        <f t="shared" ref="X356" si="1739">W356-W344</f>
        <v>-101.01547117092286</v>
      </c>
      <c r="Y356" s="339"/>
      <c r="Z356" s="178">
        <f t="shared" ref="Z356" si="1740">S356+C356</f>
        <v>884770</v>
      </c>
      <c r="AA356" s="340">
        <f t="shared" ref="AA356" si="1741">Z356-C356</f>
        <v>-52482</v>
      </c>
      <c r="AB356" s="518">
        <f>[9]CMWh!$L236</f>
        <v>896983</v>
      </c>
      <c r="AC356" s="341">
        <f>RESID!AC356</f>
        <v>30.25</v>
      </c>
      <c r="AD356" s="342">
        <f t="shared" ref="AD356" si="1742">ROUND(C356/(AC356/30.42),1)</f>
        <v>942519.2</v>
      </c>
      <c r="AE356" s="342">
        <f t="shared" ref="AE356" si="1743">AD356-AD344</f>
        <v>-3090.6000000000931</v>
      </c>
      <c r="AF356" s="23">
        <f t="shared" ref="AF356" si="1744">AG356-C356</f>
        <v>-47510</v>
      </c>
      <c r="AG356" s="23">
        <f t="shared" ref="AG356" si="1745">ROUND(Z356/(AC356/30.42),0)</f>
        <v>889742</v>
      </c>
      <c r="AH356" s="23">
        <f t="shared" ref="AH356" si="1746">AG356-AG344</f>
        <v>-44169</v>
      </c>
      <c r="AI356" s="23"/>
      <c r="AJ356" s="352">
        <f t="shared" ref="AJ356" si="1747">C356-AM356-AP356</f>
        <v>827368</v>
      </c>
      <c r="AK356" s="352">
        <f t="shared" ref="AK356" si="1748">D356-AN356-AQ356</f>
        <v>46991</v>
      </c>
      <c r="AL356" s="353">
        <f t="shared" ref="AL356" si="1749">AJ356/AK356*1000</f>
        <v>17606.946010938267</v>
      </c>
      <c r="AM356" s="352">
        <f t="shared" ref="AM356" si="1750">F356</f>
        <v>97684</v>
      </c>
      <c r="AN356" s="352">
        <f t="shared" ref="AN356" si="1751">G356</f>
        <v>109136</v>
      </c>
      <c r="AO356" s="353">
        <f t="shared" ref="AO356" si="1752">AM356/AN356*1000</f>
        <v>895.06670576161855</v>
      </c>
      <c r="AP356" s="352">
        <f t="shared" ref="AP356" si="1753">H356</f>
        <v>12200</v>
      </c>
      <c r="AQ356" s="352">
        <f t="shared" ref="AQ356" si="1754">I356</f>
        <v>5251</v>
      </c>
      <c r="AR356" s="353">
        <f t="shared" ref="AR356" si="1755">AP356/AQ356*1000</f>
        <v>2323.3669777185296</v>
      </c>
      <c r="AX356" s="4">
        <f t="shared" si="331"/>
        <v>2012</v>
      </c>
      <c r="AY356" s="4">
        <f t="shared" si="332"/>
        <v>4</v>
      </c>
      <c r="AZ356" s="366">
        <f>'[8]COM 55 &amp; 65'!$S441</f>
        <v>260.8</v>
      </c>
      <c r="BA356" s="366">
        <f t="shared" si="221"/>
        <v>227.4</v>
      </c>
      <c r="BB356" s="367">
        <f t="shared" ref="BB356" si="1756">(BA356-AZ356)</f>
        <v>-33.400000000000006</v>
      </c>
      <c r="BC356" s="367"/>
      <c r="BD356" s="366">
        <f>'[8]COM 55 &amp; 65'!$J441</f>
        <v>1.4</v>
      </c>
      <c r="BE356" s="366">
        <f t="shared" si="222"/>
        <v>4.8</v>
      </c>
      <c r="BF356" s="368">
        <f t="shared" ref="BF356" si="1757">(BE356-BD356)</f>
        <v>3.4</v>
      </c>
      <c r="BH356" s="244">
        <f t="shared" si="1662"/>
        <v>-23940.326542070881</v>
      </c>
      <c r="BI356" s="242">
        <f t="shared" si="1663"/>
        <v>2666.1693645306473</v>
      </c>
      <c r="BJ356" s="242"/>
      <c r="BK356" s="241">
        <f t="shared" ref="BK356" si="1758">ROUND(SUM(BH356,BI356),0)</f>
        <v>-21274</v>
      </c>
      <c r="BL356" s="262"/>
      <c r="BM356" s="36" t="s">
        <v>18</v>
      </c>
      <c r="BN356" s="4">
        <f t="shared" si="223"/>
        <v>2012</v>
      </c>
      <c r="BO356" s="4">
        <f t="shared" si="224"/>
        <v>4</v>
      </c>
      <c r="BP356" s="108">
        <f>C356+[4]MWh!$AK190</f>
        <v>957917.6350007318</v>
      </c>
      <c r="BQ356" s="76">
        <f t="shared" ref="BQ356" si="1759">BP356/D356*1000</f>
        <v>5935.8626020940392</v>
      </c>
      <c r="BR356" s="130">
        <f t="shared" ref="BR356" si="1760">BT356/D356*1000</f>
        <v>5804.0354633266725</v>
      </c>
      <c r="BS356" s="108">
        <f t="shared" ref="BS356" si="1761">BR356-BR344</f>
        <v>-113.30200854586019</v>
      </c>
      <c r="BT356" s="175">
        <f t="shared" ref="BT356" si="1762">BK356+BP356</f>
        <v>936643.6350007318</v>
      </c>
      <c r="BU356" s="108">
        <f t="shared" ref="BU356" si="1763">BT356-BT344</f>
        <v>-19899.88466493506</v>
      </c>
      <c r="BV356" s="137">
        <f t="shared" ref="BV356" si="1764">BT356-BP356</f>
        <v>-21274</v>
      </c>
      <c r="BW356" s="529">
        <f>BT356/[9]CMWh!$L236</f>
        <v>1.044215592715505</v>
      </c>
      <c r="BX356" s="537">
        <f t="shared" si="1702"/>
        <v>1.0545736768857279</v>
      </c>
      <c r="DA356" s="50">
        <f t="shared" si="878"/>
        <v>-49844.900399999984</v>
      </c>
      <c r="DB356" s="108">
        <f>[9]CMWh!$E236</f>
        <v>949465</v>
      </c>
      <c r="DC356" s="50"/>
      <c r="DD356" s="108"/>
      <c r="DE356" s="50"/>
      <c r="DF356" s="23"/>
      <c r="DG356" s="50">
        <f t="shared" si="879"/>
        <v>899620.09960000007</v>
      </c>
    </row>
    <row r="357" spans="1:111" ht="12.75" customHeight="1">
      <c r="A357" s="22">
        <f t="shared" si="1529"/>
        <v>2012</v>
      </c>
      <c r="B357" s="4">
        <f t="shared" si="1530"/>
        <v>5</v>
      </c>
      <c r="C357" s="5">
        <f>'[2]FPC wSEB'!$E454</f>
        <v>958782</v>
      </c>
      <c r="D357" s="5">
        <f>'[2]FPC wSEB'!$Y454</f>
        <v>163247</v>
      </c>
      <c r="E357" s="74">
        <f t="shared" ref="E357" si="1765">ROUND((C357/D357)*1000,1)</f>
        <v>5873.2</v>
      </c>
      <c r="F357" s="358">
        <v>100792</v>
      </c>
      <c r="G357" s="358">
        <v>107973</v>
      </c>
      <c r="H357" s="358">
        <v>12180</v>
      </c>
      <c r="I357" s="358">
        <v>5264</v>
      </c>
      <c r="J357" s="574">
        <f>[5]CC!$E237</f>
        <v>163195</v>
      </c>
      <c r="K357" s="76">
        <f>'[7]COM 55 &amp; 65'!$S442</f>
        <v>294.7</v>
      </c>
      <c r="L357" s="4">
        <f t="shared" si="216"/>
        <v>273.89999999999998</v>
      </c>
      <c r="M357" s="135">
        <f t="shared" ref="M357" si="1766">(L357-K357)</f>
        <v>-20.800000000000011</v>
      </c>
      <c r="N357" s="4">
        <f>'[7]COM 55 &amp; 65'!$J442</f>
        <v>1.3</v>
      </c>
      <c r="O357" s="4">
        <f t="shared" si="209"/>
        <v>2</v>
      </c>
      <c r="P357" s="41">
        <f t="shared" ref="P357" si="1767">(O357-N357)</f>
        <v>0.7</v>
      </c>
      <c r="Q357" s="474">
        <f t="shared" si="1639"/>
        <v>-14908.945870511214</v>
      </c>
      <c r="R357" s="472">
        <f t="shared" si="1640"/>
        <v>548.91722210925082</v>
      </c>
      <c r="S357" s="241">
        <f t="shared" ref="S357" si="1768">ROUND(SUM(Q357,R357),0)</f>
        <v>-14360</v>
      </c>
      <c r="T357" s="13" t="s">
        <v>18</v>
      </c>
      <c r="U357" s="23">
        <f t="shared" si="217"/>
        <v>2012</v>
      </c>
      <c r="V357" s="23">
        <f t="shared" si="218"/>
        <v>5</v>
      </c>
      <c r="W357" s="336">
        <f t="shared" ref="W357" si="1769">Z357/D357*1000</f>
        <v>5785.2334192971393</v>
      </c>
      <c r="X357" s="338">
        <f t="shared" ref="X357" si="1770">W357-W345</f>
        <v>-149.09274200854452</v>
      </c>
      <c r="Y357" s="339"/>
      <c r="Z357" s="178">
        <f t="shared" ref="Z357" si="1771">S357+C357</f>
        <v>944422</v>
      </c>
      <c r="AA357" s="340">
        <f t="shared" ref="AA357" si="1772">Z357-C357</f>
        <v>-14360</v>
      </c>
      <c r="AB357" s="518">
        <f>[9]CMWh!$L237</f>
        <v>947596</v>
      </c>
      <c r="AC357" s="341">
        <f>RESID!AC357</f>
        <v>29.95</v>
      </c>
      <c r="AD357" s="342">
        <f t="shared" ref="AD357" si="1773">ROUND(C357/(AC357/30.42),1)</f>
        <v>973828</v>
      </c>
      <c r="AE357" s="342">
        <f t="shared" ref="AE357" si="1774">AD357-AD345</f>
        <v>-32779.699999999953</v>
      </c>
      <c r="AF357" s="23">
        <f t="shared" ref="AF357" si="1775">AG357-C357</f>
        <v>461</v>
      </c>
      <c r="AG357" s="23">
        <f t="shared" ref="AG357" si="1776">ROUND(Z357/(AC357/30.42),0)</f>
        <v>959243</v>
      </c>
      <c r="AH357" s="23">
        <f t="shared" ref="AH357" si="1777">AG357-AG345</f>
        <v>11542</v>
      </c>
      <c r="AI357" s="23"/>
      <c r="AJ357" s="352">
        <f t="shared" ref="AJ357" si="1778">C357-AM357-AP357</f>
        <v>845810</v>
      </c>
      <c r="AK357" s="352">
        <f t="shared" ref="AK357" si="1779">D357-AN357-AQ357</f>
        <v>50010</v>
      </c>
      <c r="AL357" s="353">
        <f t="shared" ref="AL357" si="1780">AJ357/AK357*1000</f>
        <v>16912.817436512698</v>
      </c>
      <c r="AM357" s="352">
        <f t="shared" ref="AM357" si="1781">F357</f>
        <v>100792</v>
      </c>
      <c r="AN357" s="352">
        <f t="shared" ref="AN357" si="1782">G357</f>
        <v>107973</v>
      </c>
      <c r="AO357" s="353">
        <f t="shared" ref="AO357" si="1783">AM357/AN357*1000</f>
        <v>933.49263241736355</v>
      </c>
      <c r="AP357" s="352">
        <f t="shared" ref="AP357" si="1784">H357</f>
        <v>12180</v>
      </c>
      <c r="AQ357" s="352">
        <f t="shared" ref="AQ357" si="1785">I357</f>
        <v>5264</v>
      </c>
      <c r="AR357" s="353">
        <f t="shared" ref="AR357" si="1786">AP357/AQ357*1000</f>
        <v>2313.8297872340427</v>
      </c>
      <c r="AX357" s="4">
        <f t="shared" si="331"/>
        <v>2012</v>
      </c>
      <c r="AY357" s="4">
        <f t="shared" si="332"/>
        <v>5</v>
      </c>
      <c r="AZ357" s="366">
        <f>'[8]COM 55 &amp; 65'!$S442</f>
        <v>434.4</v>
      </c>
      <c r="BA357" s="366">
        <f t="shared" si="221"/>
        <v>395.2</v>
      </c>
      <c r="BB357" s="367">
        <f t="shared" ref="BB357" si="1787">(BA357-AZ357)</f>
        <v>-39.199999999999989</v>
      </c>
      <c r="BC357" s="367"/>
      <c r="BD357" s="366">
        <f>'[8]COM 55 &amp; 65'!$J442</f>
        <v>0</v>
      </c>
      <c r="BE357" s="366">
        <f t="shared" si="222"/>
        <v>0.2</v>
      </c>
      <c r="BF357" s="368">
        <f t="shared" ref="BF357" si="1788">(BE357-BD357)</f>
        <v>0.2</v>
      </c>
      <c r="BH357" s="244">
        <f t="shared" si="1662"/>
        <v>-28097.628755963418</v>
      </c>
      <c r="BI357" s="242">
        <f t="shared" si="1663"/>
        <v>156.83349203121455</v>
      </c>
      <c r="BJ357" s="242"/>
      <c r="BK357" s="241">
        <f t="shared" ref="BK357" si="1789">ROUND(SUM(BH357,BI357),0)</f>
        <v>-27941</v>
      </c>
      <c r="BL357" s="262"/>
      <c r="BM357" s="36" t="s">
        <v>18</v>
      </c>
      <c r="BN357" s="4">
        <f t="shared" si="223"/>
        <v>2012</v>
      </c>
      <c r="BO357" s="4">
        <f t="shared" si="224"/>
        <v>5</v>
      </c>
      <c r="BP357" s="108">
        <f>C357+[4]MWh!$AK191</f>
        <v>1087329.1672515166</v>
      </c>
      <c r="BQ357" s="76">
        <f t="shared" ref="BQ357" si="1790">BP357/D357*1000</f>
        <v>6660.6379734483116</v>
      </c>
      <c r="BR357" s="130">
        <f t="shared" ref="BR357" si="1791">BT357/D357*1000</f>
        <v>6489.4801573781851</v>
      </c>
      <c r="BS357" s="108">
        <f t="shared" ref="BS357" si="1792">BR357-BR345</f>
        <v>191.22398130324291</v>
      </c>
      <c r="BT357" s="175">
        <f t="shared" ref="BT357" si="1793">BK357+BP357</f>
        <v>1059388.1672515166</v>
      </c>
      <c r="BU357" s="108">
        <f t="shared" ref="BU357" si="1794">BT357-BT345</f>
        <v>41004.231373430928</v>
      </c>
      <c r="BV357" s="137">
        <f t="shared" ref="BV357" si="1795">BT357-BP357</f>
        <v>-27941</v>
      </c>
      <c r="BW357" s="529">
        <f>BT357/[9]CMWh!$L237</f>
        <v>1.1179745031126309</v>
      </c>
      <c r="BX357" s="537">
        <f t="shared" si="1702"/>
        <v>1.1247144163231146</v>
      </c>
      <c r="DA357" s="50">
        <f t="shared" si="878"/>
        <v>-13395.556900000007</v>
      </c>
      <c r="DB357" s="108">
        <f>[9]CMWh!$E237</f>
        <v>961956</v>
      </c>
      <c r="DC357" s="50"/>
      <c r="DD357" s="108"/>
      <c r="DE357" s="50"/>
      <c r="DF357" s="23"/>
      <c r="DG357" s="50">
        <f t="shared" si="879"/>
        <v>948560.44310000003</v>
      </c>
    </row>
    <row r="358" spans="1:111" ht="12.75" customHeight="1">
      <c r="A358" s="22">
        <f t="shared" si="1529"/>
        <v>2012</v>
      </c>
      <c r="B358" s="4">
        <f t="shared" si="1530"/>
        <v>6</v>
      </c>
      <c r="C358" s="5">
        <f>'[2]FPC wSEB'!$E455</f>
        <v>1065220</v>
      </c>
      <c r="D358" s="5">
        <f>'[2]FPC wSEB'!$Y455</f>
        <v>163589</v>
      </c>
      <c r="E358" s="74">
        <f t="shared" ref="E358" si="1796">ROUND((C358/D358)*1000,1)</f>
        <v>6511.6</v>
      </c>
      <c r="F358" s="358">
        <v>112132</v>
      </c>
      <c r="G358" s="358">
        <v>110463</v>
      </c>
      <c r="H358" s="358">
        <v>12495</v>
      </c>
      <c r="I358" s="358">
        <v>5267</v>
      </c>
      <c r="J358" s="574">
        <f>[5]CC!$E238</f>
        <v>163131</v>
      </c>
      <c r="K358" s="76">
        <f>'[7]COM 55 &amp; 65'!$S443</f>
        <v>440.8</v>
      </c>
      <c r="L358" s="4">
        <f t="shared" si="216"/>
        <v>442.7</v>
      </c>
      <c r="M358" s="135">
        <f t="shared" ref="M358" si="1797">(L358-K358)</f>
        <v>1.8999999999999773</v>
      </c>
      <c r="N358" s="4">
        <f>'[7]COM 55 &amp; 65'!$J443</f>
        <v>0</v>
      </c>
      <c r="O358" s="4">
        <f t="shared" si="209"/>
        <v>0.1</v>
      </c>
      <c r="P358" s="41">
        <f t="shared" ref="P358" si="1798">(O358-N358)</f>
        <v>0.1</v>
      </c>
      <c r="Q358" s="474">
        <f t="shared" si="1639"/>
        <v>1361.8748631716803</v>
      </c>
      <c r="R358" s="472">
        <f t="shared" si="1640"/>
        <v>78.416746015607274</v>
      </c>
      <c r="S358" s="241">
        <f t="shared" ref="S358" si="1799">ROUND(SUM(Q358,R358),0)</f>
        <v>1440</v>
      </c>
      <c r="T358" s="13" t="s">
        <v>18</v>
      </c>
      <c r="U358" s="23">
        <f t="shared" si="217"/>
        <v>2012</v>
      </c>
      <c r="V358" s="23">
        <f t="shared" si="218"/>
        <v>6</v>
      </c>
      <c r="W358" s="336">
        <f t="shared" ref="W358" si="1800">Z358/D358*1000</f>
        <v>6520.3650612204983</v>
      </c>
      <c r="X358" s="338">
        <f t="shared" ref="X358" si="1801">W358-W346</f>
        <v>-202.57690410879968</v>
      </c>
      <c r="Y358" s="339"/>
      <c r="Z358" s="178">
        <f t="shared" ref="Z358" si="1802">S358+C358</f>
        <v>1066660</v>
      </c>
      <c r="AA358" s="340">
        <f t="shared" ref="AA358" si="1803">Z358-C358</f>
        <v>1440</v>
      </c>
      <c r="AB358" s="518">
        <f>[9]CMWh!$L238</f>
        <v>1057013</v>
      </c>
      <c r="AC358" s="341">
        <f>RESID!AC358</f>
        <v>30.6</v>
      </c>
      <c r="AD358" s="342">
        <f t="shared" ref="AD358" si="1804">ROUND(C358/(AC358/30.42),1)</f>
        <v>1058954</v>
      </c>
      <c r="AE358" s="342">
        <f t="shared" ref="AE358" si="1805">AD358-AD346</f>
        <v>-34916.300000000047</v>
      </c>
      <c r="AF358" s="23">
        <f t="shared" ref="AF358" si="1806">AG358-C358</f>
        <v>-4834</v>
      </c>
      <c r="AG358" s="23">
        <f t="shared" ref="AG358" si="1807">ROUND(Z358/(AC358/30.42),0)</f>
        <v>1060386</v>
      </c>
      <c r="AH358" s="23">
        <f t="shared" ref="AH358" si="1808">AG358-AG346</f>
        <v>-27831</v>
      </c>
      <c r="AI358" s="23"/>
      <c r="AJ358" s="352">
        <f t="shared" ref="AJ358" si="1809">C358-AM358-AP358</f>
        <v>940593</v>
      </c>
      <c r="AK358" s="352">
        <f t="shared" ref="AK358" si="1810">D358-AN358-AQ358</f>
        <v>47859</v>
      </c>
      <c r="AL358" s="353">
        <f t="shared" ref="AL358" si="1811">AJ358/AK358*1000</f>
        <v>19653.419419544913</v>
      </c>
      <c r="AM358" s="352">
        <f t="shared" ref="AM358" si="1812">F358</f>
        <v>112132</v>
      </c>
      <c r="AN358" s="352">
        <f t="shared" ref="AN358" si="1813">G358</f>
        <v>110463</v>
      </c>
      <c r="AO358" s="353">
        <f t="shared" ref="AO358" si="1814">AM358/AN358*1000</f>
        <v>1015.1091315644152</v>
      </c>
      <c r="AP358" s="352">
        <f t="shared" ref="AP358" si="1815">H358</f>
        <v>12495</v>
      </c>
      <c r="AQ358" s="352">
        <f t="shared" ref="AQ358" si="1816">I358</f>
        <v>5267</v>
      </c>
      <c r="AR358" s="353">
        <f t="shared" ref="AR358" si="1817">AP358/AQ358*1000</f>
        <v>2372.3182077083729</v>
      </c>
      <c r="AX358" s="4">
        <f t="shared" si="331"/>
        <v>2012</v>
      </c>
      <c r="AY358" s="4">
        <f t="shared" si="332"/>
        <v>6</v>
      </c>
      <c r="AZ358" s="366">
        <f>'[8]COM 55 &amp; 65'!$S443</f>
        <v>449.7</v>
      </c>
      <c r="BA358" s="366">
        <f t="shared" si="221"/>
        <v>485.1</v>
      </c>
      <c r="BB358" s="367">
        <f t="shared" ref="BB358" si="1818">(BA358-AZ358)</f>
        <v>35.400000000000034</v>
      </c>
      <c r="BC358" s="367"/>
      <c r="BD358" s="366">
        <f>'[8]COM 55 &amp; 65'!$J443</f>
        <v>0</v>
      </c>
      <c r="BE358" s="366">
        <f t="shared" si="222"/>
        <v>0</v>
      </c>
      <c r="BF358" s="368">
        <f t="shared" ref="BF358" si="1819">(BE358-BD358)</f>
        <v>0</v>
      </c>
      <c r="BH358" s="244">
        <f t="shared" si="1662"/>
        <v>25373.879029620057</v>
      </c>
      <c r="BI358" s="242">
        <f t="shared" si="1663"/>
        <v>0</v>
      </c>
      <c r="BJ358" s="242"/>
      <c r="BK358" s="241">
        <f t="shared" ref="BK358" si="1820">ROUND(SUM(BH358,BI358),0)</f>
        <v>25374</v>
      </c>
      <c r="BL358" s="262"/>
      <c r="BM358" s="36" t="s">
        <v>18</v>
      </c>
      <c r="BN358" s="4">
        <f t="shared" si="223"/>
        <v>2012</v>
      </c>
      <c r="BO358" s="4">
        <f t="shared" si="224"/>
        <v>6</v>
      </c>
      <c r="BP358" s="108">
        <f>C358+[4]MWh!$AK192</f>
        <v>1012507.939285322</v>
      </c>
      <c r="BQ358" s="76">
        <f t="shared" ref="BQ358" si="1821">BP358/D358*1000</f>
        <v>6189.33998792903</v>
      </c>
      <c r="BR358" s="130">
        <f t="shared" ref="BR358" si="1822">BT358/D358*1000</f>
        <v>6344.4482164774035</v>
      </c>
      <c r="BS358" s="108">
        <f t="shared" ref="BS358" si="1823">BR358-BR346</f>
        <v>-489.70022705950669</v>
      </c>
      <c r="BT358" s="175">
        <f t="shared" ref="BT358" si="1824">BK358+BP358</f>
        <v>1037881.939285322</v>
      </c>
      <c r="BU358" s="108">
        <f t="shared" ref="BU358" si="1825">BT358-BT346</f>
        <v>-73063.563399151084</v>
      </c>
      <c r="BV358" s="137">
        <f t="shared" ref="BV358" si="1826">BT358-BP358</f>
        <v>25374</v>
      </c>
      <c r="BW358" s="529">
        <f>BT358/[9]CMWh!$L238</f>
        <v>0.98190082741207718</v>
      </c>
      <c r="BX358" s="537">
        <f t="shared" si="1702"/>
        <v>1.0019478433376083</v>
      </c>
      <c r="DA358" s="50">
        <f t="shared" si="878"/>
        <v>1317.2411999999849</v>
      </c>
      <c r="DB358" s="108">
        <f>[9]CMWh!$E238</f>
        <v>1055573</v>
      </c>
      <c r="DC358" s="50"/>
      <c r="DD358" s="108"/>
      <c r="DE358" s="50"/>
      <c r="DF358" s="23"/>
      <c r="DG358" s="50">
        <f t="shared" si="879"/>
        <v>1056890.2412</v>
      </c>
    </row>
    <row r="359" spans="1:111" ht="12.75" customHeight="1">
      <c r="A359" s="22">
        <f t="shared" si="1529"/>
        <v>2012</v>
      </c>
      <c r="B359" s="4">
        <f t="shared" si="1530"/>
        <v>7</v>
      </c>
      <c r="C359" s="5">
        <f>'[2]FPC wSEB'!$E456</f>
        <v>1066254</v>
      </c>
      <c r="D359" s="5">
        <f>'[2]FPC wSEB'!$Y456</f>
        <v>158331</v>
      </c>
      <c r="E359" s="74">
        <f t="shared" ref="E359" si="1827">ROUND((C359/D359)*1000,1)</f>
        <v>6734.3</v>
      </c>
      <c r="F359" s="358">
        <v>110363</v>
      </c>
      <c r="G359" s="358">
        <v>105794</v>
      </c>
      <c r="H359" s="358">
        <v>12370</v>
      </c>
      <c r="I359" s="358">
        <v>5290</v>
      </c>
      <c r="J359" s="574">
        <f>[5]CC!$E239</f>
        <v>163667</v>
      </c>
      <c r="K359" s="76">
        <f>'[7]COM 55 &amp; 65'!$S444</f>
        <v>486.6</v>
      </c>
      <c r="L359" s="4">
        <f t="shared" si="216"/>
        <v>516.1</v>
      </c>
      <c r="M359" s="135">
        <f t="shared" ref="M359" si="1828">(L359-K359)</f>
        <v>29.5</v>
      </c>
      <c r="N359" s="4">
        <f>'[7]COM 55 &amp; 65'!$J444</f>
        <v>0</v>
      </c>
      <c r="O359" s="4">
        <f t="shared" si="209"/>
        <v>0</v>
      </c>
      <c r="P359" s="41">
        <f t="shared" ref="P359" si="1829">(O359-N359)</f>
        <v>0</v>
      </c>
      <c r="Q359" s="474">
        <f t="shared" ref="Q359" si="1830">M359*$H$10</f>
        <v>21144.899191350029</v>
      </c>
      <c r="R359" s="472">
        <f t="shared" ref="R359" si="1831">P359*$H$9</f>
        <v>0</v>
      </c>
      <c r="S359" s="241">
        <f t="shared" ref="S359" si="1832">ROUND(SUM(Q359,R359),0)</f>
        <v>21145</v>
      </c>
      <c r="T359" s="13" t="s">
        <v>18</v>
      </c>
      <c r="U359" s="23">
        <f t="shared" si="217"/>
        <v>2012</v>
      </c>
      <c r="V359" s="23">
        <f t="shared" si="218"/>
        <v>7</v>
      </c>
      <c r="W359" s="336">
        <f t="shared" ref="W359" si="1833">Z359/D359*1000</f>
        <v>6867.8843688222778</v>
      </c>
      <c r="X359" s="338">
        <f t="shared" ref="X359" si="1834">W359-W347</f>
        <v>59.331626705125018</v>
      </c>
      <c r="Y359" s="339"/>
      <c r="Z359" s="178">
        <f t="shared" ref="Z359" si="1835">S359+C359</f>
        <v>1087399</v>
      </c>
      <c r="AA359" s="340">
        <f t="shared" ref="AA359" si="1836">Z359-C359</f>
        <v>21145</v>
      </c>
      <c r="AB359" s="518">
        <f>[9]CMWh!$L239</f>
        <v>1099077</v>
      </c>
      <c r="AC359" s="341">
        <f>RESID!AC359</f>
        <v>30.55</v>
      </c>
      <c r="AD359" s="342">
        <f t="shared" ref="AD359" si="1837">ROUND(C359/(AC359/30.42),1)</f>
        <v>1061716.7</v>
      </c>
      <c r="AE359" s="342">
        <f t="shared" ref="AE359" si="1838">AD359-AD347</f>
        <v>-46405.699999999953</v>
      </c>
      <c r="AF359" s="23">
        <f t="shared" ref="AF359" si="1839">AG359-C359</f>
        <v>16518</v>
      </c>
      <c r="AG359" s="23">
        <f t="shared" ref="AG359" si="1840">ROUND(Z359/(AC359/30.42),0)</f>
        <v>1082772</v>
      </c>
      <c r="AH359" s="23">
        <f t="shared" ref="AH359" si="1841">AG359-AG347</f>
        <v>-6686</v>
      </c>
      <c r="AI359" s="23"/>
      <c r="AJ359" s="352">
        <f t="shared" ref="AJ359" si="1842">C359-AM359-AP359</f>
        <v>943521</v>
      </c>
      <c r="AK359" s="352">
        <f t="shared" ref="AK359" si="1843">D359-AN359-AQ359</f>
        <v>47247</v>
      </c>
      <c r="AL359" s="353">
        <f t="shared" ref="AL359" si="1844">AJ359/AK359*1000</f>
        <v>19969.966347069654</v>
      </c>
      <c r="AM359" s="352">
        <f t="shared" ref="AM359" si="1845">F359</f>
        <v>110363</v>
      </c>
      <c r="AN359" s="352">
        <f t="shared" ref="AN359" si="1846">G359</f>
        <v>105794</v>
      </c>
      <c r="AO359" s="353">
        <f t="shared" ref="AO359" si="1847">AM359/AN359*1000</f>
        <v>1043.1877044066771</v>
      </c>
      <c r="AP359" s="352">
        <f t="shared" ref="AP359" si="1848">H359</f>
        <v>12370</v>
      </c>
      <c r="AQ359" s="352">
        <f t="shared" ref="AQ359" si="1849">I359</f>
        <v>5290</v>
      </c>
      <c r="AR359" s="353">
        <f t="shared" ref="AR359" si="1850">AP359/AQ359*1000</f>
        <v>2338.3742911153117</v>
      </c>
      <c r="AX359" s="4">
        <f t="shared" si="331"/>
        <v>2012</v>
      </c>
      <c r="AY359" s="4">
        <f t="shared" si="332"/>
        <v>7</v>
      </c>
      <c r="AZ359" s="366">
        <f>'[8]COM 55 &amp; 65'!$S444</f>
        <v>556.79999999999995</v>
      </c>
      <c r="BA359" s="366">
        <f t="shared" si="221"/>
        <v>546.1</v>
      </c>
      <c r="BB359" s="367">
        <f t="shared" ref="BB359" si="1851">(BA359-AZ359)</f>
        <v>-10.699999999999932</v>
      </c>
      <c r="BC359" s="367"/>
      <c r="BD359" s="366">
        <f>'[8]COM 55 &amp; 65'!$J444</f>
        <v>0</v>
      </c>
      <c r="BE359" s="366">
        <f t="shared" si="222"/>
        <v>0</v>
      </c>
      <c r="BF359" s="368">
        <f t="shared" ref="BF359" si="1852">(BE359-BD359)</f>
        <v>0</v>
      </c>
      <c r="BH359" s="244">
        <f t="shared" ref="BH359" si="1853">BB359*$H$10</f>
        <v>-7669.5058083879276</v>
      </c>
      <c r="BI359" s="242">
        <f t="shared" ref="BI359" si="1854">BF359*$H$9</f>
        <v>0</v>
      </c>
      <c r="BJ359" s="242"/>
      <c r="BK359" s="241">
        <f t="shared" ref="BK359" si="1855">ROUND(SUM(BH359,BI359),0)</f>
        <v>-7670</v>
      </c>
      <c r="BL359" s="262"/>
      <c r="BM359" s="36" t="s">
        <v>18</v>
      </c>
      <c r="BN359" s="4">
        <f t="shared" si="223"/>
        <v>2012</v>
      </c>
      <c r="BO359" s="4">
        <f t="shared" si="224"/>
        <v>7</v>
      </c>
      <c r="BP359" s="108">
        <f>C359+[4]MWh!$AK193</f>
        <v>1196127.5459135948</v>
      </c>
      <c r="BQ359" s="76">
        <f t="shared" ref="BQ359" si="1856">BP359/D359*1000</f>
        <v>7554.6010946283086</v>
      </c>
      <c r="BR359" s="130">
        <f t="shared" ref="BR359" si="1857">BT359/D359*1000</f>
        <v>7506.1582754709743</v>
      </c>
      <c r="BS359" s="108">
        <f t="shared" ref="BS359" si="1858">BR359-BR347</f>
        <v>560.2290033283698</v>
      </c>
      <c r="BT359" s="175">
        <f t="shared" ref="BT359" si="1859">BK359+BP359</f>
        <v>1188457.5459135948</v>
      </c>
      <c r="BU359" s="108">
        <f t="shared" ref="BU359" si="1860">BT359-BT347</f>
        <v>72267.549668094609</v>
      </c>
      <c r="BV359" s="137">
        <f t="shared" ref="BV359" si="1861">BT359-BP359</f>
        <v>-7670</v>
      </c>
      <c r="BW359" s="529">
        <f>BT359/[9]CMWh!$L239</f>
        <v>1.0813232793640435</v>
      </c>
      <c r="BX359" s="537">
        <f t="shared" si="1702"/>
        <v>1.038135473611012</v>
      </c>
      <c r="DA359" s="50">
        <f t="shared" si="878"/>
        <v>19565.373499999998</v>
      </c>
      <c r="DB359" s="108">
        <f>[9]CMWh!$E239</f>
        <v>1077932</v>
      </c>
      <c r="DC359" s="50"/>
      <c r="DD359" s="108"/>
      <c r="DE359" s="50"/>
      <c r="DF359" s="23"/>
      <c r="DG359" s="50">
        <f t="shared" si="879"/>
        <v>1097497.3735</v>
      </c>
    </row>
    <row r="360" spans="1:111" ht="12.75" customHeight="1">
      <c r="A360" s="22">
        <f t="shared" si="1529"/>
        <v>2012</v>
      </c>
      <c r="B360" s="4">
        <f t="shared" si="1530"/>
        <v>8</v>
      </c>
      <c r="C360" s="5">
        <f>'[2]FPC wSEB'!$E457</f>
        <v>1165669</v>
      </c>
      <c r="D360" s="5">
        <f>'[2]FPC wSEB'!$Y457</f>
        <v>169014</v>
      </c>
      <c r="E360" s="74">
        <f t="shared" ref="E360" si="1862">ROUND((C360/D360)*1000,1)</f>
        <v>6896.9</v>
      </c>
      <c r="F360" s="358">
        <v>125471</v>
      </c>
      <c r="G360" s="358">
        <v>116009</v>
      </c>
      <c r="H360" s="358">
        <v>12468</v>
      </c>
      <c r="I360" s="358">
        <v>5277</v>
      </c>
      <c r="J360" s="574">
        <f>[5]CC!$E240</f>
        <v>163856</v>
      </c>
      <c r="K360" s="76">
        <f>'[7]COM 55 &amp; 65'!$S445</f>
        <v>557.9</v>
      </c>
      <c r="L360" s="4">
        <f t="shared" si="216"/>
        <v>542</v>
      </c>
      <c r="M360" s="135">
        <f t="shared" ref="M360" si="1863">(L360-K360)</f>
        <v>-15.899999999999977</v>
      </c>
      <c r="N360" s="4">
        <f>'[7]COM 55 &amp; 65'!$J445</f>
        <v>0</v>
      </c>
      <c r="O360" s="4">
        <f t="shared" si="209"/>
        <v>0</v>
      </c>
      <c r="P360" s="41">
        <f t="shared" ref="P360" si="1864">(O360-N360)</f>
        <v>0</v>
      </c>
      <c r="Q360" s="474">
        <f t="shared" ref="Q360" si="1865">M360*$H$10</f>
        <v>-11396.742276015761</v>
      </c>
      <c r="R360" s="472">
        <f t="shared" ref="R360" si="1866">P360*$H$9</f>
        <v>0</v>
      </c>
      <c r="S360" s="241">
        <f t="shared" ref="S360" si="1867">ROUND(SUM(Q360,R360),0)</f>
        <v>-11397</v>
      </c>
      <c r="T360" s="13" t="s">
        <v>18</v>
      </c>
      <c r="U360" s="23">
        <f t="shared" si="217"/>
        <v>2012</v>
      </c>
      <c r="V360" s="23">
        <f t="shared" si="218"/>
        <v>8</v>
      </c>
      <c r="W360" s="336">
        <f t="shared" ref="W360" si="1868">Z360/D360*1000</f>
        <v>6829.4460813897076</v>
      </c>
      <c r="X360" s="338">
        <f t="shared" ref="X360" si="1869">W360-W348</f>
        <v>-150.54093466317227</v>
      </c>
      <c r="Y360" s="339"/>
      <c r="Z360" s="178">
        <f t="shared" ref="Z360" si="1870">S360+C360</f>
        <v>1154272</v>
      </c>
      <c r="AA360" s="340">
        <f t="shared" ref="AA360" si="1871">Z360-C360</f>
        <v>-11397</v>
      </c>
      <c r="AB360" s="518">
        <f>[9]CMWh!$L240</f>
        <v>1147907</v>
      </c>
      <c r="AC360" s="341">
        <f>RESID!AC360</f>
        <v>31.25</v>
      </c>
      <c r="AD360" s="342">
        <f t="shared" ref="AD360" si="1872">ROUND(C360/(AC360/30.42),1)</f>
        <v>1134708.8</v>
      </c>
      <c r="AE360" s="342">
        <f t="shared" ref="AE360" si="1873">AD360-AD348</f>
        <v>-47819.59999999986</v>
      </c>
      <c r="AF360" s="23">
        <f t="shared" ref="AF360" si="1874">AG360-C360</f>
        <v>-42054</v>
      </c>
      <c r="AG360" s="23">
        <f t="shared" ref="AG360" si="1875">ROUND(Z360/(AC360/30.42),0)</f>
        <v>1123615</v>
      </c>
      <c r="AH360" s="23">
        <f t="shared" ref="AH360" si="1876">AG360-AG348</f>
        <v>-25823</v>
      </c>
      <c r="AI360" s="23"/>
      <c r="AJ360" s="352">
        <f t="shared" ref="AJ360" si="1877">C360-AM360-AP360</f>
        <v>1027730</v>
      </c>
      <c r="AK360" s="352">
        <f t="shared" ref="AK360" si="1878">D360-AN360-AQ360</f>
        <v>47728</v>
      </c>
      <c r="AL360" s="353">
        <f t="shared" ref="AL360" si="1879">AJ360/AK360*1000</f>
        <v>21533.062353335568</v>
      </c>
      <c r="AM360" s="352">
        <f t="shared" ref="AM360" si="1880">F360</f>
        <v>125471</v>
      </c>
      <c r="AN360" s="352">
        <f t="shared" ref="AN360" si="1881">G360</f>
        <v>116009</v>
      </c>
      <c r="AO360" s="353">
        <f t="shared" ref="AO360" si="1882">AM360/AN360*1000</f>
        <v>1081.5626373815826</v>
      </c>
      <c r="AP360" s="352">
        <f t="shared" ref="AP360" si="1883">H360</f>
        <v>12468</v>
      </c>
      <c r="AQ360" s="352">
        <f t="shared" ref="AQ360" si="1884">I360</f>
        <v>5277</v>
      </c>
      <c r="AR360" s="353">
        <f t="shared" ref="AR360" si="1885">AP360/AQ360*1000</f>
        <v>2362.7060830017058</v>
      </c>
      <c r="AX360" s="4">
        <f t="shared" si="331"/>
        <v>2012</v>
      </c>
      <c r="AY360" s="4">
        <f t="shared" si="332"/>
        <v>8</v>
      </c>
      <c r="AZ360" s="366">
        <f>'[8]COM 55 &amp; 65'!$S445</f>
        <v>540.4</v>
      </c>
      <c r="BA360" s="366">
        <f t="shared" si="221"/>
        <v>549</v>
      </c>
      <c r="BB360" s="367">
        <f t="shared" ref="BB360" si="1886">(BA360-AZ360)</f>
        <v>8.6000000000000227</v>
      </c>
      <c r="BC360" s="367"/>
      <c r="BD360" s="366">
        <f>'[8]COM 55 &amp; 65'!$J445</f>
        <v>0</v>
      </c>
      <c r="BE360" s="366">
        <f t="shared" si="222"/>
        <v>0</v>
      </c>
      <c r="BF360" s="368">
        <f t="shared" ref="BF360" si="1887">(BE360-BD360)</f>
        <v>0</v>
      </c>
      <c r="BH360" s="244">
        <f t="shared" ref="BH360" si="1888">BB360*$H$10</f>
        <v>6164.27569646138</v>
      </c>
      <c r="BI360" s="242">
        <f t="shared" ref="BI360" si="1889">BF360*$H$9</f>
        <v>0</v>
      </c>
      <c r="BJ360" s="242"/>
      <c r="BK360" s="241">
        <f t="shared" ref="BK360" si="1890">ROUND(SUM(BH360,BI360),0)</f>
        <v>6164</v>
      </c>
      <c r="BL360" s="262"/>
      <c r="BM360" s="36" t="s">
        <v>18</v>
      </c>
      <c r="BN360" s="4">
        <f t="shared" si="223"/>
        <v>2012</v>
      </c>
      <c r="BO360" s="4">
        <f t="shared" si="224"/>
        <v>8</v>
      </c>
      <c r="BP360" s="108">
        <f>C360+[4]MWh!$AK194</f>
        <v>1081776.3092865043</v>
      </c>
      <c r="BQ360" s="76">
        <f t="shared" ref="BQ360" si="1891">BP360/D360*1000</f>
        <v>6400.5130302016651</v>
      </c>
      <c r="BR360" s="130">
        <f t="shared" ref="BR360" si="1892">BT360/D360*1000</f>
        <v>6436.9833817701747</v>
      </c>
      <c r="BS360" s="108">
        <f t="shared" ref="BS360" si="1893">BR360-BR348</f>
        <v>-550.56955580413342</v>
      </c>
      <c r="BT360" s="175">
        <f t="shared" ref="BT360" si="1894">BK360+BP360</f>
        <v>1087940.3092865043</v>
      </c>
      <c r="BU360" s="108">
        <f t="shared" ref="BU360" si="1895">BT360-BT348</f>
        <v>-96030.660456086509</v>
      </c>
      <c r="BV360" s="137">
        <f t="shared" ref="BV360" si="1896">BT360-BP360</f>
        <v>6164</v>
      </c>
      <c r="BW360" s="529">
        <f>BT360/[9]CMWh!$L240</f>
        <v>0.94775997470744955</v>
      </c>
      <c r="BX360" s="537">
        <f t="shared" si="1702"/>
        <v>0.99876493077160111</v>
      </c>
      <c r="DA360" s="50">
        <f t="shared" si="878"/>
        <v>-10545.404699999985</v>
      </c>
      <c r="DB360" s="108">
        <f>[9]CMWh!$E240</f>
        <v>1159304</v>
      </c>
      <c r="DC360" s="50"/>
      <c r="DD360" s="108"/>
      <c r="DE360" s="50"/>
      <c r="DF360" s="23"/>
      <c r="DG360" s="50">
        <f t="shared" si="879"/>
        <v>1148758.5952999999</v>
      </c>
    </row>
    <row r="361" spans="1:111" ht="12.75" customHeight="1">
      <c r="A361" s="22">
        <f t="shared" si="1529"/>
        <v>2012</v>
      </c>
      <c r="B361" s="4">
        <f t="shared" si="1530"/>
        <v>9</v>
      </c>
      <c r="C361" s="5">
        <f>'[2]FPC wSEB'!$E458</f>
        <v>1109929</v>
      </c>
      <c r="D361" s="5">
        <f>'[2]FPC wSEB'!$Y458</f>
        <v>160350</v>
      </c>
      <c r="E361" s="74">
        <f t="shared" ref="E361" si="1897">ROUND((C361/D361)*1000,1)</f>
        <v>6921.9</v>
      </c>
      <c r="F361" s="358">
        <v>114515</v>
      </c>
      <c r="G361" s="358">
        <v>107271</v>
      </c>
      <c r="H361" s="358">
        <v>12419</v>
      </c>
      <c r="I361" s="358">
        <v>5309</v>
      </c>
      <c r="J361" s="574">
        <f>[5]CC!$E241</f>
        <v>164034</v>
      </c>
      <c r="K361" s="76">
        <f>'[7]COM 55 &amp; 65'!$S446</f>
        <v>517.1</v>
      </c>
      <c r="L361" s="4">
        <f t="shared" si="216"/>
        <v>531.20000000000005</v>
      </c>
      <c r="M361" s="135">
        <f t="shared" ref="M361" si="1898">(L361-K361)</f>
        <v>14.100000000000023</v>
      </c>
      <c r="N361" s="4">
        <f>'[7]COM 55 &amp; 65'!$J446</f>
        <v>0</v>
      </c>
      <c r="O361" s="4">
        <f t="shared" si="209"/>
        <v>0</v>
      </c>
      <c r="P361" s="41">
        <f t="shared" ref="P361" si="1899">(O361-N361)</f>
        <v>0</v>
      </c>
      <c r="Q361" s="474">
        <f t="shared" ref="Q361" si="1900">M361*$H$10</f>
        <v>10106.545037221555</v>
      </c>
      <c r="R361" s="472">
        <f t="shared" ref="R361" si="1901">P361*$H$9</f>
        <v>0</v>
      </c>
      <c r="S361" s="241">
        <f t="shared" ref="S361" si="1902">ROUND(SUM(Q361,R361),0)</f>
        <v>10107</v>
      </c>
      <c r="T361" s="13" t="s">
        <v>18</v>
      </c>
      <c r="U361" s="23">
        <f t="shared" si="217"/>
        <v>2012</v>
      </c>
      <c r="V361" s="23">
        <f t="shared" si="218"/>
        <v>9</v>
      </c>
      <c r="W361" s="336">
        <f t="shared" ref="W361" si="1903">Z361/D361*1000</f>
        <v>6984.945431867789</v>
      </c>
      <c r="X361" s="338">
        <f t="shared" ref="X361" si="1904">W361-W349</f>
        <v>79.89195609716262</v>
      </c>
      <c r="Y361" s="339"/>
      <c r="Z361" s="178">
        <f t="shared" ref="Z361" si="1905">S361+C361</f>
        <v>1120036</v>
      </c>
      <c r="AA361" s="340">
        <f t="shared" ref="AA361" si="1906">Z361-C361</f>
        <v>10107</v>
      </c>
      <c r="AB361" s="518">
        <f>[9]CMWh!$L241</f>
        <v>1121659</v>
      </c>
      <c r="AC361" s="341">
        <f>RESID!AC361</f>
        <v>30.3</v>
      </c>
      <c r="AD361" s="342">
        <f t="shared" ref="AD361" si="1907">ROUND(C361/(AC361/30.42),1)</f>
        <v>1114324.8</v>
      </c>
      <c r="AE361" s="342">
        <f t="shared" ref="AE361" si="1908">AD361-AD349</f>
        <v>-20897.300000000047</v>
      </c>
      <c r="AF361" s="23">
        <f t="shared" ref="AF361" si="1909">AG361-C361</f>
        <v>14543</v>
      </c>
      <c r="AG361" s="23">
        <f t="shared" ref="AG361" si="1910">ROUND(Z361/(AC361/30.42),0)</f>
        <v>1124472</v>
      </c>
      <c r="AH361" s="23">
        <f t="shared" ref="AH361" si="1911">AG361-AG349</f>
        <v>615</v>
      </c>
      <c r="AI361" s="23"/>
      <c r="AJ361" s="352">
        <f t="shared" ref="AJ361" si="1912">C361-AM361-AP361</f>
        <v>982995</v>
      </c>
      <c r="AK361" s="352">
        <f t="shared" ref="AK361" si="1913">D361-AN361-AQ361</f>
        <v>47770</v>
      </c>
      <c r="AL361" s="353">
        <f t="shared" ref="AL361" si="1914">AJ361/AK361*1000</f>
        <v>20577.663805735818</v>
      </c>
      <c r="AM361" s="352">
        <f t="shared" ref="AM361" si="1915">F361</f>
        <v>114515</v>
      </c>
      <c r="AN361" s="352">
        <f t="shared" ref="AN361" si="1916">G361</f>
        <v>107271</v>
      </c>
      <c r="AO361" s="353">
        <f t="shared" ref="AO361" si="1917">AM361/AN361*1000</f>
        <v>1067.5299009051839</v>
      </c>
      <c r="AP361" s="352">
        <f t="shared" ref="AP361" si="1918">H361</f>
        <v>12419</v>
      </c>
      <c r="AQ361" s="352">
        <f t="shared" ref="AQ361" si="1919">I361</f>
        <v>5309</v>
      </c>
      <c r="AR361" s="353">
        <f t="shared" ref="AR361" si="1920">AP361/AQ361*1000</f>
        <v>2339.2352608777551</v>
      </c>
      <c r="AX361" s="4">
        <f t="shared" si="331"/>
        <v>2012</v>
      </c>
      <c r="AY361" s="4">
        <f t="shared" si="332"/>
        <v>9</v>
      </c>
      <c r="AZ361" s="366">
        <f>'[8]COM 55 &amp; 65'!$S446</f>
        <v>479</v>
      </c>
      <c r="BA361" s="366">
        <f t="shared" si="221"/>
        <v>487.9</v>
      </c>
      <c r="BB361" s="367">
        <f t="shared" ref="BB361" si="1921">(BA361-AZ361)</f>
        <v>8.8999999999999773</v>
      </c>
      <c r="BC361" s="367"/>
      <c r="BD361" s="366">
        <f>'[8]COM 55 &amp; 65'!$J446</f>
        <v>0</v>
      </c>
      <c r="BE361" s="366">
        <f t="shared" si="222"/>
        <v>0</v>
      </c>
      <c r="BF361" s="368">
        <f t="shared" ref="BF361" si="1922">(BE361-BD361)</f>
        <v>0</v>
      </c>
      <c r="BH361" s="244">
        <f t="shared" ref="BH361" si="1923">BB361*$H$10</f>
        <v>6379.3085695937207</v>
      </c>
      <c r="BI361" s="242">
        <f t="shared" ref="BI361" si="1924">BF361*$H$9</f>
        <v>0</v>
      </c>
      <c r="BJ361" s="242"/>
      <c r="BK361" s="241">
        <f t="shared" ref="BK361" si="1925">ROUND(SUM(BH361,BI361),0)</f>
        <v>6379</v>
      </c>
      <c r="BL361" s="262"/>
      <c r="BM361" s="36" t="s">
        <v>18</v>
      </c>
      <c r="BN361" s="4">
        <f t="shared" si="223"/>
        <v>2012</v>
      </c>
      <c r="BO361" s="4">
        <f t="shared" si="224"/>
        <v>9</v>
      </c>
      <c r="BP361" s="108">
        <f>C361+[4]MWh!$AK195</f>
        <v>1088388.0671866066</v>
      </c>
      <c r="BQ361" s="76">
        <f t="shared" ref="BQ361" si="1926">BP361/D361*1000</f>
        <v>6787.57759392957</v>
      </c>
      <c r="BR361" s="130">
        <f t="shared" ref="BR361" si="1927">BT361/D361*1000</f>
        <v>6827.3593214007269</v>
      </c>
      <c r="BS361" s="108">
        <f t="shared" ref="BS361" si="1928">BR361-BR349</f>
        <v>471.41722788702009</v>
      </c>
      <c r="BT361" s="175">
        <f t="shared" ref="BT361" si="1929">BK361+BP361</f>
        <v>1094767.0671866066</v>
      </c>
      <c r="BU361" s="108">
        <f t="shared" ref="BU361" si="1930">BT361-BT349</f>
        <v>66064.195293506724</v>
      </c>
      <c r="BV361" s="137">
        <f t="shared" ref="BV361" si="1931">BT361-BP361</f>
        <v>6379</v>
      </c>
      <c r="BW361" s="529">
        <f>BT361/[9]CMWh!$L241</f>
        <v>0.97602485888011115</v>
      </c>
      <c r="BX361" s="537">
        <f t="shared" si="1702"/>
        <v>0.94078554061828479</v>
      </c>
      <c r="DA361" s="50">
        <f t="shared" si="878"/>
        <v>9351.5853000000152</v>
      </c>
      <c r="DB361" s="108">
        <f>[9]CMWh!$E241</f>
        <v>1111552</v>
      </c>
      <c r="DC361" s="50"/>
      <c r="DD361" s="108"/>
      <c r="DE361" s="50"/>
      <c r="DF361" s="23"/>
      <c r="DG361" s="50">
        <f t="shared" si="879"/>
        <v>1120903.5852999999</v>
      </c>
    </row>
    <row r="362" spans="1:111" ht="12.75" customHeight="1">
      <c r="A362" s="22">
        <f t="shared" si="1529"/>
        <v>2012</v>
      </c>
      <c r="B362" s="4">
        <f t="shared" si="1530"/>
        <v>10</v>
      </c>
      <c r="C362" s="5">
        <f>'[2]FPC wSEB'!$E459</f>
        <v>1051180</v>
      </c>
      <c r="D362" s="5">
        <f>'[2]FPC wSEB'!$Y459</f>
        <v>164628</v>
      </c>
      <c r="E362" s="74">
        <f t="shared" ref="E362" si="1932">ROUND((C362/D362)*1000,1)</f>
        <v>6385.2</v>
      </c>
      <c r="F362" s="358">
        <v>111283</v>
      </c>
      <c r="G362" s="358">
        <v>110874</v>
      </c>
      <c r="H362" s="358">
        <v>12453</v>
      </c>
      <c r="I362" s="358">
        <v>5320</v>
      </c>
      <c r="J362" s="574">
        <f>[5]CC!$E242</f>
        <v>164104</v>
      </c>
      <c r="K362" s="76">
        <f>'[7]COM 55 &amp; 65'!$S447</f>
        <v>456.3</v>
      </c>
      <c r="L362" s="4">
        <f t="shared" si="216"/>
        <v>431.2</v>
      </c>
      <c r="M362" s="135">
        <f t="shared" ref="M362" si="1933">(L362-K362)</f>
        <v>-25.100000000000023</v>
      </c>
      <c r="N362" s="4">
        <f>'[7]COM 55 &amp; 65'!$J447</f>
        <v>0</v>
      </c>
      <c r="O362" s="4">
        <f t="shared" si="209"/>
        <v>0.2</v>
      </c>
      <c r="P362" s="41">
        <f t="shared" ref="P362" si="1934">(O362-N362)</f>
        <v>0.2</v>
      </c>
      <c r="Q362" s="474">
        <f t="shared" ref="Q362" si="1935">M362*$H$10</f>
        <v>-17991.083718741906</v>
      </c>
      <c r="R362" s="472">
        <f t="shared" ref="R362" si="1936">P362*$H$9</f>
        <v>156.83349203121455</v>
      </c>
      <c r="S362" s="241">
        <f t="shared" ref="S362" si="1937">ROUND(SUM(Q362,R362),0)</f>
        <v>-17834</v>
      </c>
      <c r="T362" s="13" t="s">
        <v>18</v>
      </c>
      <c r="U362" s="23">
        <f t="shared" si="217"/>
        <v>2012</v>
      </c>
      <c r="V362" s="23">
        <f t="shared" si="218"/>
        <v>10</v>
      </c>
      <c r="W362" s="336">
        <f t="shared" ref="W362" si="1938">Z362/D362*1000</f>
        <v>6276.8544840488858</v>
      </c>
      <c r="X362" s="338">
        <f t="shared" ref="X362" si="1939">W362-W350</f>
        <v>-366.02086319988484</v>
      </c>
      <c r="Y362" s="339"/>
      <c r="Z362" s="178">
        <f t="shared" ref="Z362" si="1940">S362+C362</f>
        <v>1033346</v>
      </c>
      <c r="AA362" s="340">
        <f t="shared" ref="AA362" si="1941">Z362-C362</f>
        <v>-17834</v>
      </c>
      <c r="AB362" s="518">
        <f>[9]CMWh!$L242</f>
        <v>1022010</v>
      </c>
      <c r="AC362" s="341">
        <f>RESID!AC362</f>
        <v>29.9</v>
      </c>
      <c r="AD362" s="342">
        <f t="shared" ref="AD362" si="1942">ROUND(C362/(AC362/30.42),1)</f>
        <v>1069461.3999999999</v>
      </c>
      <c r="AE362" s="342">
        <f t="shared" ref="AE362" si="1943">AD362-AD350</f>
        <v>9249.6999999999534</v>
      </c>
      <c r="AF362" s="23">
        <f t="shared" ref="AF362" si="1944">AG362-C362</f>
        <v>137</v>
      </c>
      <c r="AG362" s="23">
        <f t="shared" ref="AG362" si="1945">ROUND(Z362/(AC362/30.42),0)</f>
        <v>1051317</v>
      </c>
      <c r="AH362" s="23">
        <f t="shared" ref="AH362" si="1946">AG362-AG350</f>
        <v>-7630</v>
      </c>
      <c r="AI362" s="23"/>
      <c r="AJ362" s="352">
        <f t="shared" ref="AJ362" si="1947">C362-AM362-AP362</f>
        <v>927444</v>
      </c>
      <c r="AK362" s="352">
        <f t="shared" ref="AK362" si="1948">D362-AN362-AQ362</f>
        <v>48434</v>
      </c>
      <c r="AL362" s="353">
        <f t="shared" ref="AL362" si="1949">AJ362/AK362*1000</f>
        <v>19148.614609571789</v>
      </c>
      <c r="AM362" s="352">
        <f t="shared" ref="AM362" si="1950">F362</f>
        <v>111283</v>
      </c>
      <c r="AN362" s="352">
        <f t="shared" ref="AN362" si="1951">G362</f>
        <v>110874</v>
      </c>
      <c r="AO362" s="353">
        <f t="shared" ref="AO362" si="1952">AM362/AN362*1000</f>
        <v>1003.6888720529611</v>
      </c>
      <c r="AP362" s="352">
        <f t="shared" ref="AP362" si="1953">H362</f>
        <v>12453</v>
      </c>
      <c r="AQ362" s="352">
        <f t="shared" ref="AQ362" si="1954">I362</f>
        <v>5320</v>
      </c>
      <c r="AR362" s="353">
        <f t="shared" ref="AR362" si="1955">AP362/AQ362*1000</f>
        <v>2340.7894736842104</v>
      </c>
      <c r="AX362" s="4">
        <f t="shared" si="331"/>
        <v>2012</v>
      </c>
      <c r="AY362" s="4">
        <f t="shared" si="332"/>
        <v>10</v>
      </c>
      <c r="AZ362" s="366">
        <f>'[8]COM 55 &amp; 65'!$S447</f>
        <v>342.1</v>
      </c>
      <c r="BA362" s="366">
        <f t="shared" si="221"/>
        <v>332.5</v>
      </c>
      <c r="BB362" s="367">
        <f t="shared" ref="BB362" si="1956">(BA362-AZ362)</f>
        <v>-9.6000000000000227</v>
      </c>
      <c r="BC362" s="367"/>
      <c r="BD362" s="366">
        <f>'[8]COM 55 &amp; 65'!$J447</f>
        <v>3</v>
      </c>
      <c r="BE362" s="366">
        <f t="shared" si="222"/>
        <v>2</v>
      </c>
      <c r="BF362" s="368">
        <f t="shared" ref="BF362" si="1957">(BE362-BD362)</f>
        <v>-1</v>
      </c>
      <c r="BH362" s="244">
        <f t="shared" ref="BH362" si="1958">BB362*$H$10</f>
        <v>-6881.0519402359578</v>
      </c>
      <c r="BI362" s="242">
        <f t="shared" ref="BI362" si="1959">BF362*$H$9</f>
        <v>-784.16746015607271</v>
      </c>
      <c r="BJ362" s="242"/>
      <c r="BK362" s="241">
        <f t="shared" ref="BK362" si="1960">ROUND(SUM(BH362,BI362),0)</f>
        <v>-7665</v>
      </c>
      <c r="BL362" s="262"/>
      <c r="BM362" s="36" t="s">
        <v>18</v>
      </c>
      <c r="BN362" s="4">
        <f t="shared" si="223"/>
        <v>2012</v>
      </c>
      <c r="BO362" s="4">
        <f t="shared" si="224"/>
        <v>10</v>
      </c>
      <c r="BP362" s="108">
        <f>C362+[4]MWh!$AK196</f>
        <v>965608.04477112426</v>
      </c>
      <c r="BQ362" s="76">
        <f t="shared" ref="BQ362" si="1961">BP362/D362*1000</f>
        <v>5865.39376516221</v>
      </c>
      <c r="BR362" s="130">
        <f t="shared" ref="BR362" si="1962">BT362/D362*1000</f>
        <v>5818.8342491625008</v>
      </c>
      <c r="BS362" s="108">
        <f t="shared" ref="BS362" si="1963">BR362-BR350</f>
        <v>-647.10305947032339</v>
      </c>
      <c r="BT362" s="175">
        <f t="shared" ref="BT362" si="1964">BK362+BP362</f>
        <v>957943.04477112426</v>
      </c>
      <c r="BU362" s="108">
        <f t="shared" ref="BU362" si="1965">BT362-BT350</f>
        <v>-56872.883944180328</v>
      </c>
      <c r="BV362" s="137">
        <f t="shared" ref="BV362" si="1966">BT362-BP362</f>
        <v>-7665</v>
      </c>
      <c r="BW362" s="529">
        <f>BT362/[9]CMWh!$L242</f>
        <v>0.93731279025755543</v>
      </c>
      <c r="BX362" s="537">
        <f t="shared" si="1702"/>
        <v>0.95356915527706732</v>
      </c>
      <c r="DA362" s="50">
        <f t="shared" si="878"/>
        <v>-16532.951300000015</v>
      </c>
      <c r="DB362" s="108">
        <f>[9]CMWh!$E242</f>
        <v>1039844</v>
      </c>
      <c r="DC362" s="50"/>
      <c r="DD362" s="108"/>
      <c r="DE362" s="50"/>
      <c r="DF362" s="23"/>
      <c r="DG362" s="50">
        <f t="shared" si="879"/>
        <v>1023311.0486999999</v>
      </c>
    </row>
    <row r="363" spans="1:111" ht="12.75" customHeight="1">
      <c r="A363" s="22">
        <f t="shared" si="1529"/>
        <v>2012</v>
      </c>
      <c r="B363" s="4">
        <f t="shared" si="1530"/>
        <v>11</v>
      </c>
      <c r="C363" s="5">
        <f>'[2]FPC wSEB'!$E460</f>
        <v>952531</v>
      </c>
      <c r="D363" s="5">
        <f>'[2]FPC wSEB'!$Y460</f>
        <v>175822</v>
      </c>
      <c r="E363" s="74">
        <f t="shared" ref="E363" si="1967">ROUND((C363/D363)*1000,1)</f>
        <v>5417.6</v>
      </c>
      <c r="F363" s="358">
        <v>108202</v>
      </c>
      <c r="G363" s="358">
        <v>122242</v>
      </c>
      <c r="H363" s="358">
        <v>12629</v>
      </c>
      <c r="I363" s="358">
        <v>5303</v>
      </c>
      <c r="J363" s="574">
        <f>[5]CC!$E243</f>
        <v>164426</v>
      </c>
      <c r="K363" s="76">
        <f>'[7]COM 55 &amp; 65'!$S448</f>
        <v>256</v>
      </c>
      <c r="L363" s="4">
        <f t="shared" si="216"/>
        <v>251.9</v>
      </c>
      <c r="M363" s="135">
        <f t="shared" ref="M363" si="1968">(L363-K363)</f>
        <v>-4.0999999999999943</v>
      </c>
      <c r="N363" s="4">
        <f>'[7]COM 55 &amp; 65'!$J448</f>
        <v>4.5999999999999996</v>
      </c>
      <c r="O363" s="4">
        <f t="shared" si="209"/>
        <v>6.3</v>
      </c>
      <c r="P363" s="41">
        <f t="shared" ref="P363" si="1969">(O363-N363)</f>
        <v>1.7000000000000002</v>
      </c>
      <c r="Q363" s="474">
        <f t="shared" ref="Q363" si="1970">M363*$H$10</f>
        <v>-2938.7825994757627</v>
      </c>
      <c r="R363" s="472">
        <f t="shared" ref="R363" si="1971">P363*$H$9</f>
        <v>1333.0846822653236</v>
      </c>
      <c r="S363" s="241">
        <f t="shared" ref="S363" si="1972">ROUND(SUM(Q363,R363),0)</f>
        <v>-1606</v>
      </c>
      <c r="T363" s="13" t="s">
        <v>18</v>
      </c>
      <c r="U363" s="23">
        <f t="shared" si="217"/>
        <v>2012</v>
      </c>
      <c r="V363" s="23">
        <f t="shared" si="218"/>
        <v>11</v>
      </c>
      <c r="W363" s="336">
        <f t="shared" ref="W363" si="1973">Z363/D363*1000</f>
        <v>5408.4528671042308</v>
      </c>
      <c r="X363" s="338">
        <f t="shared" ref="X363" si="1974">W363-W351</f>
        <v>-185.05739262402494</v>
      </c>
      <c r="Y363" s="339"/>
      <c r="Z363" s="178">
        <f t="shared" ref="Z363" si="1975">S363+C363</f>
        <v>950925</v>
      </c>
      <c r="AA363" s="340">
        <f t="shared" ref="AA363" si="1976">Z363-C363</f>
        <v>-1606</v>
      </c>
      <c r="AB363" s="518">
        <f>[9]CMWh!$L243</f>
        <v>932665</v>
      </c>
      <c r="AC363" s="341">
        <f>RESID!AC363</f>
        <v>29.85</v>
      </c>
      <c r="AD363" s="342">
        <f t="shared" ref="AD363" si="1977">ROUND(C363/(AC363/30.42),1)</f>
        <v>970720</v>
      </c>
      <c r="AE363" s="342">
        <f t="shared" ref="AE363" si="1978">AD363-AD351</f>
        <v>23987.599999999977</v>
      </c>
      <c r="AF363" s="23">
        <f t="shared" ref="AF363" si="1979">AG363-C363</f>
        <v>16552</v>
      </c>
      <c r="AG363" s="23">
        <f t="shared" ref="AG363" si="1980">ROUND(Z363/(AC363/30.42),0)</f>
        <v>969083</v>
      </c>
      <c r="AH363" s="23">
        <f t="shared" ref="AH363" si="1981">AG363-AG351</f>
        <v>-14371</v>
      </c>
      <c r="AI363" s="23"/>
      <c r="AJ363" s="352">
        <f t="shared" ref="AJ363" si="1982">C363-AM363-AP363</f>
        <v>831700</v>
      </c>
      <c r="AK363" s="352">
        <f t="shared" ref="AK363" si="1983">D363-AN363-AQ363</f>
        <v>48277</v>
      </c>
      <c r="AL363" s="353">
        <f t="shared" ref="AL363" si="1984">AJ363/AK363*1000</f>
        <v>17227.665347888225</v>
      </c>
      <c r="AM363" s="352">
        <f t="shared" ref="AM363" si="1985">F363</f>
        <v>108202</v>
      </c>
      <c r="AN363" s="352">
        <f t="shared" ref="AN363" si="1986">G363</f>
        <v>122242</v>
      </c>
      <c r="AO363" s="353">
        <f t="shared" ref="AO363" si="1987">AM363/AN363*1000</f>
        <v>885.14585821567061</v>
      </c>
      <c r="AP363" s="352">
        <f t="shared" ref="AP363" si="1988">H363</f>
        <v>12629</v>
      </c>
      <c r="AQ363" s="352">
        <f t="shared" ref="AQ363" si="1989">I363</f>
        <v>5303</v>
      </c>
      <c r="AR363" s="353">
        <f t="shared" ref="AR363" si="1990">AP363/AQ363*1000</f>
        <v>2381.4821798981707</v>
      </c>
      <c r="AX363" s="4">
        <f t="shared" si="331"/>
        <v>2012</v>
      </c>
      <c r="AY363" s="4">
        <f t="shared" si="332"/>
        <v>11</v>
      </c>
      <c r="AZ363" s="366">
        <f>'[8]COM 55 &amp; 65'!$S448</f>
        <v>82.9</v>
      </c>
      <c r="BA363" s="366">
        <f t="shared" si="221"/>
        <v>146</v>
      </c>
      <c r="BB363" s="367">
        <f t="shared" ref="BB363" si="1991">(BA363-AZ363)</f>
        <v>63.099999999999994</v>
      </c>
      <c r="BC363" s="367"/>
      <c r="BD363" s="366">
        <f>'[8]COM 55 &amp; 65'!$J448</f>
        <v>14.2</v>
      </c>
      <c r="BE363" s="366">
        <f t="shared" si="222"/>
        <v>14</v>
      </c>
      <c r="BF363" s="368">
        <f t="shared" ref="BF363" si="1992">(BE363-BD363)</f>
        <v>-0.19999999999999929</v>
      </c>
      <c r="BH363" s="244">
        <f t="shared" ref="BH363" si="1993">BB363*$H$10</f>
        <v>45228.580982175816</v>
      </c>
      <c r="BI363" s="242">
        <f t="shared" ref="BI363" si="1994">BF363*$H$9</f>
        <v>-156.83349203121398</v>
      </c>
      <c r="BJ363" s="242"/>
      <c r="BK363" s="241">
        <f t="shared" ref="BK363" si="1995">ROUND(SUM(BH363,BI363),0)</f>
        <v>45072</v>
      </c>
      <c r="BL363" s="262"/>
      <c r="BM363" s="36" t="s">
        <v>18</v>
      </c>
      <c r="BN363" s="4">
        <f t="shared" si="223"/>
        <v>2012</v>
      </c>
      <c r="BO363" s="4">
        <f t="shared" si="224"/>
        <v>11</v>
      </c>
      <c r="BP363" s="108">
        <f>C363+[4]MWh!$AK197</f>
        <v>823625.32041381171</v>
      </c>
      <c r="BQ363" s="76">
        <f t="shared" ref="BQ363" si="1996">BP363/D363*1000</f>
        <v>4684.4269796374274</v>
      </c>
      <c r="BR363" s="130">
        <f t="shared" ref="BR363" si="1997">BT363/D363*1000</f>
        <v>4940.7771519708103</v>
      </c>
      <c r="BS363" s="108">
        <f t="shared" ref="BS363" si="1998">BR363-BR351</f>
        <v>-114.20691140103827</v>
      </c>
      <c r="BT363" s="175">
        <f t="shared" ref="BT363" si="1999">BK363+BP363</f>
        <v>868697.32041381171</v>
      </c>
      <c r="BU363" s="108">
        <f t="shared" ref="BU363" si="2000">BT363-BT351</f>
        <v>-6340.6408921086695</v>
      </c>
      <c r="BV363" s="137">
        <f t="shared" ref="BV363" si="2001">BT363-BP363</f>
        <v>45072</v>
      </c>
      <c r="BW363" s="529">
        <f>BT363/[9]CMWh!$L243</f>
        <v>0.93141408803140646</v>
      </c>
      <c r="BX363" s="537">
        <f t="shared" si="1702"/>
        <v>0.91585294717852528</v>
      </c>
      <c r="DA363" s="50">
        <f t="shared" si="878"/>
        <v>-1748.5807999999961</v>
      </c>
      <c r="DB363" s="108">
        <f>[9]CMWh!$E243</f>
        <v>934271</v>
      </c>
      <c r="DC363" s="50"/>
      <c r="DD363" s="108"/>
      <c r="DE363" s="50"/>
      <c r="DF363" s="23"/>
      <c r="DG363" s="50">
        <f t="shared" si="879"/>
        <v>932522.4192</v>
      </c>
    </row>
    <row r="364" spans="1:111" s="89" customFormat="1" ht="12.75" customHeight="1">
      <c r="A364" s="225">
        <f t="shared" si="1529"/>
        <v>2012</v>
      </c>
      <c r="B364" s="89">
        <f t="shared" si="1530"/>
        <v>12</v>
      </c>
      <c r="C364" s="103">
        <f>'[2]FPC wSEB'!$E461</f>
        <v>852094</v>
      </c>
      <c r="D364" s="103">
        <f>'[2]FPC wSEB'!$Y461</f>
        <v>163123</v>
      </c>
      <c r="E364" s="109">
        <f t="shared" ref="E364" si="2002">ROUND((C364/D364)*1000,1)</f>
        <v>5223.6000000000004</v>
      </c>
      <c r="F364" s="376">
        <v>80309</v>
      </c>
      <c r="G364" s="376">
        <v>111035</v>
      </c>
      <c r="H364" s="376">
        <v>12418</v>
      </c>
      <c r="I364" s="376">
        <v>5307</v>
      </c>
      <c r="J364" s="575">
        <f>[5]CC!$E244</f>
        <v>164107</v>
      </c>
      <c r="K364" s="92">
        <f>'[7]COM 55 &amp; 65'!$S449</f>
        <v>102.3</v>
      </c>
      <c r="L364" s="89">
        <f t="shared" si="216"/>
        <v>119.4</v>
      </c>
      <c r="M364" s="136">
        <f t="shared" ref="M364" si="2003">(L364-K364)</f>
        <v>17.100000000000009</v>
      </c>
      <c r="N364" s="89">
        <f>'[7]COM 55 &amp; 65'!$J449</f>
        <v>13.5</v>
      </c>
      <c r="O364" s="89">
        <f t="shared" si="209"/>
        <v>30.1</v>
      </c>
      <c r="P364" s="94">
        <f t="shared" ref="P364" si="2004">(O364-N364)</f>
        <v>16.600000000000001</v>
      </c>
      <c r="Q364" s="475">
        <f t="shared" ref="Q364" si="2005">M364*$H$10</f>
        <v>12256.873768545276</v>
      </c>
      <c r="R364" s="473">
        <f t="shared" ref="R364" si="2006">P364*$H$9</f>
        <v>13017.179838590808</v>
      </c>
      <c r="S364" s="329">
        <f t="shared" ref="S364" si="2007">ROUND(SUM(Q364,R364),0)</f>
        <v>25274</v>
      </c>
      <c r="T364" s="90" t="s">
        <v>18</v>
      </c>
      <c r="U364" s="89">
        <f t="shared" ref="U364:U376" si="2008">U352+1</f>
        <v>2012</v>
      </c>
      <c r="V364" s="89">
        <f t="shared" ref="V364:V376" si="2009">V352</f>
        <v>12</v>
      </c>
      <c r="W364" s="328">
        <f t="shared" ref="W364" si="2010">Z364/D364*1000</f>
        <v>5378.5670935429098</v>
      </c>
      <c r="X364" s="133">
        <f t="shared" ref="X364" si="2011">W364-W352</f>
        <v>-11.118570073286719</v>
      </c>
      <c r="Y364" s="330"/>
      <c r="Z364" s="176">
        <f t="shared" ref="Z364" si="2012">S364+C364</f>
        <v>877368</v>
      </c>
      <c r="AA364" s="105">
        <f t="shared" ref="AA364" si="2013">Z364-C364</f>
        <v>25274</v>
      </c>
      <c r="AB364" s="520">
        <f>[9]CMWh!$L244</f>
        <v>887741</v>
      </c>
      <c r="AC364" s="110">
        <f>RESID!AC364</f>
        <v>31.75</v>
      </c>
      <c r="AD364" s="331">
        <f t="shared" ref="AD364" si="2014">ROUND(C364/(AC364/30.42),1)</f>
        <v>816400</v>
      </c>
      <c r="AE364" s="331">
        <f t="shared" ref="AE364" si="2015">AD364-AD352</f>
        <v>-31232.300000000047</v>
      </c>
      <c r="AF364" s="89">
        <f t="shared" ref="AF364" si="2016">AG364-C364</f>
        <v>-11479</v>
      </c>
      <c r="AG364" s="89">
        <f t="shared" ref="AG364" si="2017">ROUND(Z364/(AC364/30.42),0)</f>
        <v>840615</v>
      </c>
      <c r="AH364" s="89">
        <f t="shared" ref="AH364" si="2018">AG364-AG352</f>
        <v>-374</v>
      </c>
      <c r="AJ364" s="351">
        <f t="shared" ref="AJ364" si="2019">C364-AM364-AP364</f>
        <v>759367</v>
      </c>
      <c r="AK364" s="351">
        <f t="shared" ref="AK364" si="2020">D364-AN364-AQ364</f>
        <v>46781</v>
      </c>
      <c r="AL364" s="277">
        <f t="shared" ref="AL364" si="2021">AJ364/AK364*1000</f>
        <v>16232.380667364958</v>
      </c>
      <c r="AM364" s="351">
        <f t="shared" ref="AM364" si="2022">F364</f>
        <v>80309</v>
      </c>
      <c r="AN364" s="351">
        <f t="shared" ref="AN364" si="2023">G364</f>
        <v>111035</v>
      </c>
      <c r="AO364" s="277">
        <f t="shared" ref="AO364" si="2024">AM364/AN364*1000</f>
        <v>723.2764443643897</v>
      </c>
      <c r="AP364" s="351">
        <f t="shared" ref="AP364" si="2025">H364</f>
        <v>12418</v>
      </c>
      <c r="AQ364" s="351">
        <f t="shared" ref="AQ364" si="2026">I364</f>
        <v>5307</v>
      </c>
      <c r="AR364" s="277">
        <f t="shared" ref="AR364" si="2027">AP364/AQ364*1000</f>
        <v>2339.9283964575088</v>
      </c>
      <c r="AX364" s="89">
        <f t="shared" si="331"/>
        <v>2012</v>
      </c>
      <c r="AY364" s="89">
        <f t="shared" si="332"/>
        <v>12</v>
      </c>
      <c r="AZ364" s="369">
        <f>'[8]COM 55 &amp; 65'!$S449</f>
        <v>107.4</v>
      </c>
      <c r="BA364" s="369">
        <f t="shared" si="221"/>
        <v>75.7</v>
      </c>
      <c r="BB364" s="370">
        <f t="shared" ref="BB364" si="2028">(BA364-AZ364)</f>
        <v>-31.700000000000003</v>
      </c>
      <c r="BC364" s="370"/>
      <c r="BD364" s="369">
        <f>'[8]COM 55 &amp; 65'!$J449</f>
        <v>32.9</v>
      </c>
      <c r="BE364" s="369">
        <f t="shared" si="222"/>
        <v>44.3</v>
      </c>
      <c r="BF364" s="371">
        <f t="shared" ref="BF364" si="2029">(BE364-BD364)</f>
        <v>11.399999999999999</v>
      </c>
      <c r="BH364" s="327">
        <f t="shared" ref="BH364" si="2030">BB364*$H$10</f>
        <v>-22721.806927654099</v>
      </c>
      <c r="BI364" s="328">
        <f t="shared" ref="BI364" si="2031">BF364*$H$9</f>
        <v>8939.5090457792285</v>
      </c>
      <c r="BJ364" s="328"/>
      <c r="BK364" s="329">
        <f t="shared" ref="BK364" si="2032">ROUND(SUM(BH364,BI364),0)</f>
        <v>-13782</v>
      </c>
      <c r="BL364" s="332"/>
      <c r="BM364" s="113" t="s">
        <v>18</v>
      </c>
      <c r="BN364" s="89">
        <f t="shared" si="223"/>
        <v>2012</v>
      </c>
      <c r="BO364" s="89">
        <f t="shared" si="224"/>
        <v>12</v>
      </c>
      <c r="BP364" s="117">
        <f>C364+[4]MWh!$AK198</f>
        <v>945291.60196081083</v>
      </c>
      <c r="BQ364" s="92">
        <f t="shared" ref="BQ364" si="2033">BP364/D364*1000</f>
        <v>5794.9620958467585</v>
      </c>
      <c r="BR364" s="299">
        <f t="shared" ref="BR364" si="2034">BT364/D364*1000</f>
        <v>5710.4737036519118</v>
      </c>
      <c r="BS364" s="117">
        <f t="shared" ref="BS364" si="2035">BR364-BR352</f>
        <v>453.79704501443666</v>
      </c>
      <c r="BT364" s="176">
        <f t="shared" ref="BT364" si="2036">BK364+BP364</f>
        <v>931509.60196081083</v>
      </c>
      <c r="BU364" s="117">
        <f t="shared" ref="BU364" si="2037">BT364-BT352</f>
        <v>80805.848263532389</v>
      </c>
      <c r="BV364" s="139">
        <f t="shared" ref="BV364" si="2038">BT364-BP364</f>
        <v>-13782</v>
      </c>
      <c r="BW364" s="536">
        <f>BT364/[9]CMWh!$L244</f>
        <v>1.0493033463147594</v>
      </c>
      <c r="BX364" s="443">
        <f>AVERAGE(BW364,BW352,BW340,BW328,BW316,BW304,BW292,BW280,BW256)-0.0122</f>
        <v>1.0022393829298175</v>
      </c>
      <c r="DA364" s="117">
        <f t="shared" si="878"/>
        <v>20819.635300000005</v>
      </c>
      <c r="DB364" s="117">
        <f>[9]CMWh!$E244</f>
        <v>862467</v>
      </c>
      <c r="DC364" s="117"/>
      <c r="DD364" s="117"/>
      <c r="DE364" s="117"/>
      <c r="DG364" s="117">
        <f t="shared" si="879"/>
        <v>883286.63529999997</v>
      </c>
    </row>
    <row r="365" spans="1:111" ht="12.75" customHeight="1">
      <c r="A365" s="22">
        <f t="shared" si="1529"/>
        <v>2013</v>
      </c>
      <c r="B365" s="4">
        <f t="shared" si="1530"/>
        <v>1</v>
      </c>
      <c r="C365" s="5">
        <f>'[2]FPC wSEB'!$E462</f>
        <v>869823</v>
      </c>
      <c r="D365" s="5">
        <f>'[2]FPC wSEB'!$Y462</f>
        <v>158539</v>
      </c>
      <c r="E365" s="74">
        <f t="shared" ref="E365" si="2039">ROUND((C365/D365)*1000,1)</f>
        <v>5486.5</v>
      </c>
      <c r="F365" s="377">
        <f>ROUND([11]Jan!$Q$4/1000,0)</f>
        <v>85863</v>
      </c>
      <c r="G365" s="377">
        <f>ROUND([11]Jan!$P$4,0)</f>
        <v>105977</v>
      </c>
      <c r="H365" s="377">
        <f>ROUND([11]Jan!$Q$11/1000,0)</f>
        <v>12340</v>
      </c>
      <c r="I365" s="377">
        <f>ROUND([11]Jan!$P$11,0)</f>
        <v>5327</v>
      </c>
      <c r="J365" s="574">
        <f>[5]CC!$E245</f>
        <v>163729</v>
      </c>
      <c r="K365" s="76">
        <f>'[7]COM 55 &amp; 65'!$S450</f>
        <v>105</v>
      </c>
      <c r="L365" s="4">
        <f t="shared" si="216"/>
        <v>70.8</v>
      </c>
      <c r="M365" s="135">
        <f t="shared" ref="M365" si="2040">(L365-K365)</f>
        <v>-34.200000000000003</v>
      </c>
      <c r="N365" s="4">
        <f>'[7]COM 55 &amp; 65'!$J450</f>
        <v>32.700000000000003</v>
      </c>
      <c r="O365" s="4">
        <f t="shared" si="209"/>
        <v>54.9</v>
      </c>
      <c r="P365" s="41">
        <f t="shared" ref="P365" si="2041">(O365-N365)</f>
        <v>22.199999999999996</v>
      </c>
      <c r="Q365" s="474">
        <f>M365*$I$10</f>
        <v>-24891.512400000003</v>
      </c>
      <c r="R365" s="472">
        <f>P365*$I$9</f>
        <v>18919.172999999999</v>
      </c>
      <c r="S365" s="241">
        <f t="shared" ref="S365" si="2042">ROUND(SUM(Q365,R365),0)</f>
        <v>-5972</v>
      </c>
      <c r="T365" s="13" t="s">
        <v>18</v>
      </c>
      <c r="U365" s="23">
        <f t="shared" si="2008"/>
        <v>2013</v>
      </c>
      <c r="V365" s="23">
        <f t="shared" si="2009"/>
        <v>1</v>
      </c>
      <c r="W365" s="336">
        <f t="shared" ref="W365" si="2043">Z365/D365*1000</f>
        <v>5448.8233179217732</v>
      </c>
      <c r="X365" s="338">
        <f t="shared" ref="X365" si="2044">W365-W353</f>
        <v>-82.320865670283638</v>
      </c>
      <c r="Y365" s="339"/>
      <c r="Z365" s="178">
        <f t="shared" ref="Z365" si="2045">S365+C365</f>
        <v>863851</v>
      </c>
      <c r="AA365" s="340">
        <f t="shared" ref="AA365" si="2046">Z365-C365</f>
        <v>-5972</v>
      </c>
      <c r="AB365" s="518">
        <f>[9]CMWh!$L245</f>
        <v>869735</v>
      </c>
      <c r="AC365" s="341">
        <f>RESID!AC365</f>
        <v>31.9</v>
      </c>
      <c r="AD365" s="342">
        <f t="shared" ref="AD365" si="2047">ROUND(C365/(AC365/30.42),1)</f>
        <v>829467.6</v>
      </c>
      <c r="AE365" s="342">
        <f t="shared" ref="AE365" si="2048">AD365-AD353</f>
        <v>-16377.300000000047</v>
      </c>
      <c r="AF365" s="23">
        <f t="shared" ref="AF365" si="2049">AG365-C365</f>
        <v>-46050</v>
      </c>
      <c r="AG365" s="23">
        <f t="shared" ref="AG365" si="2050">ROUND(Z365/(AC365/30.42),0)</f>
        <v>823773</v>
      </c>
      <c r="AH365" s="23">
        <f t="shared" ref="AH365" si="2051">AG365-AG353</f>
        <v>-21118</v>
      </c>
      <c r="AI365" s="23"/>
      <c r="AJ365" s="352">
        <f t="shared" ref="AJ365" si="2052">C365-AM365-AP365</f>
        <v>771620</v>
      </c>
      <c r="AK365" s="352">
        <f t="shared" ref="AK365" si="2053">D365-AN365-AQ365</f>
        <v>47235</v>
      </c>
      <c r="AL365" s="353">
        <f t="shared" ref="AL365" si="2054">AJ365/AK365*1000</f>
        <v>16335.767968667302</v>
      </c>
      <c r="AM365" s="352">
        <f t="shared" ref="AM365" si="2055">F365</f>
        <v>85863</v>
      </c>
      <c r="AN365" s="352">
        <f t="shared" ref="AN365" si="2056">G365</f>
        <v>105977</v>
      </c>
      <c r="AO365" s="353">
        <f t="shared" ref="AO365" si="2057">AM365/AN365*1000</f>
        <v>810.20410088981578</v>
      </c>
      <c r="AP365" s="352">
        <f t="shared" ref="AP365" si="2058">H365</f>
        <v>12340</v>
      </c>
      <c r="AQ365" s="352">
        <f t="shared" ref="AQ365" si="2059">I365</f>
        <v>5327</v>
      </c>
      <c r="AR365" s="353">
        <f t="shared" ref="AR365" si="2060">AP365/AQ365*1000</f>
        <v>2316.5008447531445</v>
      </c>
      <c r="AX365" s="4">
        <f t="shared" ref="AX365:AX376" si="2061">AX353+1</f>
        <v>2013</v>
      </c>
      <c r="AY365" s="4">
        <f t="shared" ref="AY365:AY376" si="2062">AY353</f>
        <v>1</v>
      </c>
      <c r="AZ365" s="366">
        <f>'[8]COM 55 &amp; 65'!$S450</f>
        <v>120.3</v>
      </c>
      <c r="BA365" s="366">
        <f t="shared" si="221"/>
        <v>72.3</v>
      </c>
      <c r="BB365" s="367">
        <f t="shared" ref="BB365" si="2063">(BA365-AZ365)</f>
        <v>-48</v>
      </c>
      <c r="BC365" s="367"/>
      <c r="BD365" s="366">
        <f>'[8]COM 55 &amp; 65'!$J450</f>
        <v>15.1</v>
      </c>
      <c r="BE365" s="366">
        <f t="shared" si="222"/>
        <v>52.4</v>
      </c>
      <c r="BF365" s="368">
        <f t="shared" ref="BF365" si="2064">(BE365-BD365)</f>
        <v>37.299999999999997</v>
      </c>
      <c r="BH365" s="244">
        <f>BB365*$I$10</f>
        <v>-34935.455999999998</v>
      </c>
      <c r="BI365" s="242">
        <f>BF365*$I$9</f>
        <v>31787.619499999997</v>
      </c>
      <c r="BJ365" s="242"/>
      <c r="BK365" s="241">
        <f t="shared" ref="BK365" si="2065">ROUND(SUM(BH365,BI365),0)</f>
        <v>-3148</v>
      </c>
      <c r="BL365" s="262"/>
      <c r="BM365" s="36" t="s">
        <v>18</v>
      </c>
      <c r="BN365" s="4">
        <f t="shared" ref="BN365:BN376" si="2066">BN353+1</f>
        <v>2013</v>
      </c>
      <c r="BO365" s="4">
        <f t="shared" ref="BO365:BO376" si="2067">BO353</f>
        <v>1</v>
      </c>
      <c r="BP365" s="108">
        <f>C365+[4]MWh!$AK199</f>
        <v>849236.0936247214</v>
      </c>
      <c r="BQ365" s="76">
        <f t="shared" ref="BQ365" si="2068">BP365/D365*1000</f>
        <v>5356.6383894481578</v>
      </c>
      <c r="BR365" s="130">
        <f t="shared" ref="BR365" si="2069">BT365/D365*1000</f>
        <v>5336.7820764904627</v>
      </c>
      <c r="BS365" s="108">
        <f t="shared" ref="BS365" si="2070">BR365-BR353</f>
        <v>-455.69790713277598</v>
      </c>
      <c r="BT365" s="175">
        <f t="shared" ref="BT365" si="2071">BK365+BP365</f>
        <v>846088.0936247214</v>
      </c>
      <c r="BU365" s="108">
        <f t="shared" ref="BU365" si="2072">BT365-BT353</f>
        <v>-75953.077688442194</v>
      </c>
      <c r="BV365" s="137">
        <f t="shared" ref="BV365" si="2073">BT365-BP365</f>
        <v>-3148</v>
      </c>
      <c r="BW365" s="529">
        <f>BT365/[9]CMWh!$L245</f>
        <v>0.97281136624916942</v>
      </c>
      <c r="BX365" s="538">
        <f>SUM(BX353:BX364)</f>
        <v>11.999872037193438</v>
      </c>
      <c r="DA365" s="50">
        <f t="shared" ref="DA365:DA366" si="2074">(663.233*M365)+(570.985*P365)</f>
        <v>-10006.7016</v>
      </c>
      <c r="DB365" s="108">
        <f>[9]CMWh!$E245</f>
        <v>875707</v>
      </c>
      <c r="DC365" s="50"/>
      <c r="DD365" s="108"/>
      <c r="DE365" s="50"/>
      <c r="DF365" s="23"/>
      <c r="DG365" s="50">
        <f t="shared" ref="DG365:DG366" si="2075">DB365+DA365</f>
        <v>865700.29839999997</v>
      </c>
    </row>
    <row r="366" spans="1:111" ht="12.75" customHeight="1">
      <c r="A366" s="22">
        <f t="shared" si="1529"/>
        <v>2013</v>
      </c>
      <c r="B366" s="4">
        <f t="shared" si="1530"/>
        <v>2</v>
      </c>
      <c r="C366" s="5">
        <f>'[2]FPC wSEB'!$E463</f>
        <v>824098</v>
      </c>
      <c r="D366" s="5">
        <f>'[2]FPC wSEB'!$Y463</f>
        <v>164377</v>
      </c>
      <c r="E366" s="74">
        <f t="shared" ref="E366" si="2076">ROUND((C366/D366)*1000,1)</f>
        <v>5013.5</v>
      </c>
      <c r="F366" s="377">
        <f>ROUND([11]Feb!$Q$4/1000,0)</f>
        <v>88082</v>
      </c>
      <c r="G366" s="377">
        <f>ROUND([11]Feb!$P$4,0)</f>
        <v>111383</v>
      </c>
      <c r="H366" s="377">
        <f>ROUND([11]Feb!$Q$11/1000,0)</f>
        <v>12310</v>
      </c>
      <c r="I366" s="377">
        <f>ROUND([11]Feb!$P$11,0)</f>
        <v>5354</v>
      </c>
      <c r="J366" s="574">
        <f>[5]CC!$E246</f>
        <v>164582</v>
      </c>
      <c r="K366" s="76">
        <f>'[7]COM 55 &amp; 65'!$S451</f>
        <v>98.7</v>
      </c>
      <c r="L366" s="4">
        <f t="shared" si="216"/>
        <v>62.7</v>
      </c>
      <c r="M366" s="135">
        <f t="shared" ref="M366" si="2077">(L366-K366)</f>
        <v>-36</v>
      </c>
      <c r="N366" s="4">
        <f>'[7]COM 55 &amp; 65'!$J451</f>
        <v>26.8</v>
      </c>
      <c r="O366" s="4">
        <f t="shared" si="209"/>
        <v>46.9</v>
      </c>
      <c r="P366" s="41">
        <f t="shared" ref="P366" si="2078">(O366-N366)</f>
        <v>20.099999999999998</v>
      </c>
      <c r="Q366" s="474">
        <f>M366*$I$10</f>
        <v>-26201.592000000001</v>
      </c>
      <c r="R366" s="472">
        <f>P366*$I$9</f>
        <v>17129.521499999999</v>
      </c>
      <c r="S366" s="241">
        <f t="shared" ref="S366" si="2079">ROUND(SUM(Q366,R366),0)</f>
        <v>-9072</v>
      </c>
      <c r="T366" s="13" t="s">
        <v>18</v>
      </c>
      <c r="U366" s="23">
        <f t="shared" si="2008"/>
        <v>2013</v>
      </c>
      <c r="V366" s="23">
        <f t="shared" si="2009"/>
        <v>2</v>
      </c>
      <c r="W366" s="336">
        <f t="shared" ref="W366" si="2080">Z366/D366*1000</f>
        <v>4958.2727510539798</v>
      </c>
      <c r="X366" s="338">
        <f t="shared" ref="X366" si="2081">W366-W354</f>
        <v>-165.5894836783018</v>
      </c>
      <c r="Y366" s="339"/>
      <c r="Z366" s="178">
        <f t="shared" ref="Z366" si="2082">S366+C366</f>
        <v>815026</v>
      </c>
      <c r="AA366" s="340">
        <f t="shared" ref="AA366" si="2083">Z366-C366</f>
        <v>-9072</v>
      </c>
      <c r="AB366" s="518">
        <f>[9]CMWh!$L246</f>
        <v>811730</v>
      </c>
      <c r="AC366" s="341">
        <f>RESID!AC366</f>
        <v>29.7</v>
      </c>
      <c r="AD366" s="342">
        <f t="shared" ref="AD366" si="2084">ROUND(C366/(AC366/30.42),1)</f>
        <v>844076.1</v>
      </c>
      <c r="AE366" s="342">
        <f t="shared" ref="AE366" si="2085">AD366-AD354</f>
        <v>15739.5</v>
      </c>
      <c r="AF366" s="23">
        <f t="shared" ref="AF366" si="2086">AG366-C366</f>
        <v>10686</v>
      </c>
      <c r="AG366" s="23">
        <f t="shared" ref="AG366" si="2087">ROUND(Z366/(AC366/30.42),0)</f>
        <v>834784</v>
      </c>
      <c r="AH366" s="23">
        <f t="shared" ref="AH366" si="2088">AG366-AG354</f>
        <v>13386</v>
      </c>
      <c r="AI366" s="23"/>
      <c r="AJ366" s="352">
        <f t="shared" ref="AJ366" si="2089">C366-AM366-AP366</f>
        <v>723706</v>
      </c>
      <c r="AK366" s="352">
        <f t="shared" ref="AK366" si="2090">D366-AN366-AQ366</f>
        <v>47640</v>
      </c>
      <c r="AL366" s="353">
        <f t="shared" ref="AL366" si="2091">AJ366/AK366*1000</f>
        <v>15191.14189756507</v>
      </c>
      <c r="AM366" s="352">
        <f t="shared" ref="AM366" si="2092">F366</f>
        <v>88082</v>
      </c>
      <c r="AN366" s="352">
        <f t="shared" ref="AN366" si="2093">G366</f>
        <v>111383</v>
      </c>
      <c r="AO366" s="353">
        <f t="shared" ref="AO366" si="2094">AM366/AN366*1000</f>
        <v>790.80290529075353</v>
      </c>
      <c r="AP366" s="352">
        <f t="shared" ref="AP366" si="2095">H366</f>
        <v>12310</v>
      </c>
      <c r="AQ366" s="352">
        <f t="shared" ref="AQ366" si="2096">I366</f>
        <v>5354</v>
      </c>
      <c r="AR366" s="353">
        <f t="shared" ref="AR366" si="2097">AP366/AQ366*1000</f>
        <v>2299.2155397833394</v>
      </c>
      <c r="AX366" s="4">
        <f t="shared" si="2061"/>
        <v>2013</v>
      </c>
      <c r="AY366" s="4">
        <f t="shared" si="2062"/>
        <v>2</v>
      </c>
      <c r="AZ366" s="366">
        <f>'[8]COM 55 &amp; 65'!$S451</f>
        <v>96.6</v>
      </c>
      <c r="BA366" s="366">
        <f t="shared" si="221"/>
        <v>82.6</v>
      </c>
      <c r="BB366" s="367">
        <f t="shared" ref="BB366" si="2098">(BA366-AZ366)</f>
        <v>-14</v>
      </c>
      <c r="BC366" s="367"/>
      <c r="BD366" s="366">
        <f>'[8]COM 55 &amp; 65'!$J451</f>
        <v>33.200000000000003</v>
      </c>
      <c r="BE366" s="366">
        <f t="shared" si="222"/>
        <v>36.5</v>
      </c>
      <c r="BF366" s="368">
        <f t="shared" ref="BF366" si="2099">(BE366-BD366)</f>
        <v>3.2999999999999972</v>
      </c>
      <c r="BH366" s="244">
        <f>BB366*$I$10</f>
        <v>-10189.508</v>
      </c>
      <c r="BI366" s="242">
        <f>BF366*$I$9</f>
        <v>2812.3094999999976</v>
      </c>
      <c r="BJ366" s="242"/>
      <c r="BK366" s="241">
        <f t="shared" ref="BK366" si="2100">ROUND(SUM(BH366,BI366),0)</f>
        <v>-7377</v>
      </c>
      <c r="BL366" s="262"/>
      <c r="BM366" s="36" t="s">
        <v>18</v>
      </c>
      <c r="BN366" s="4">
        <f t="shared" si="2066"/>
        <v>2013</v>
      </c>
      <c r="BO366" s="4">
        <f t="shared" si="2067"/>
        <v>2</v>
      </c>
      <c r="BP366" s="108">
        <f>C366+[4]MWh!$AK200</f>
        <v>760770.77785590221</v>
      </c>
      <c r="BQ366" s="76">
        <f t="shared" ref="BQ366" si="2101">BP366/D366*1000</f>
        <v>4628.2069745518056</v>
      </c>
      <c r="BR366" s="130">
        <f t="shared" ref="BR366" si="2102">BT366/D366*1000</f>
        <v>4583.328433150029</v>
      </c>
      <c r="BS366" s="108">
        <f t="shared" ref="BS366" si="2103">BR366-BR354</f>
        <v>-395.8897110879434</v>
      </c>
      <c r="BT366" s="175">
        <f t="shared" ref="BT366" si="2104">BK366+BP366</f>
        <v>753393.77785590221</v>
      </c>
      <c r="BU366" s="108">
        <f t="shared" ref="BU366" si="2105">BT366-BT354</f>
        <v>-33795.714657400036</v>
      </c>
      <c r="BV366" s="137">
        <f t="shared" ref="BV366" si="2106">BT366-BP366</f>
        <v>-7377</v>
      </c>
      <c r="BW366" s="529">
        <f>BT366/[9]CMWh!$L246</f>
        <v>0.92813346538368946</v>
      </c>
      <c r="DA366" s="50">
        <f t="shared" si="2074"/>
        <v>-12399.5895</v>
      </c>
      <c r="DB366" s="108">
        <f>[9]CMWh!$E246</f>
        <v>820802</v>
      </c>
      <c r="DC366" s="50"/>
      <c r="DD366" s="108"/>
      <c r="DE366" s="50"/>
      <c r="DF366" s="23"/>
      <c r="DG366" s="50">
        <f t="shared" si="2075"/>
        <v>808402.4105</v>
      </c>
    </row>
    <row r="367" spans="1:111" ht="12.75" customHeight="1">
      <c r="A367" s="22">
        <f t="shared" si="1529"/>
        <v>2013</v>
      </c>
      <c r="B367" s="4">
        <f t="shared" si="1530"/>
        <v>3</v>
      </c>
      <c r="C367" s="5">
        <f>'[2]FPC wSEB'!$E464</f>
        <v>828638</v>
      </c>
      <c r="D367" s="5">
        <f>'[2]FPC wSEB'!$Y464</f>
        <v>160252</v>
      </c>
      <c r="E367" s="74">
        <f t="shared" ref="E367" si="2107">ROUND((C367/D367)*1000,1)</f>
        <v>5170.8</v>
      </c>
      <c r="F367" s="377">
        <f>ROUND([11]Mar!$Q$4/1000,0)</f>
        <v>86220</v>
      </c>
      <c r="G367" s="377">
        <f>ROUND([11]Mar!$P$4,0)</f>
        <v>107096</v>
      </c>
      <c r="H367" s="377">
        <f>ROUND([11]Mar!$Q$11/1000,0)</f>
        <v>12416</v>
      </c>
      <c r="I367" s="377">
        <f>ROUND([11]Mar!$P$11,0)</f>
        <v>5315</v>
      </c>
      <c r="J367" s="574">
        <f>[5]CC!$E247</f>
        <v>164648</v>
      </c>
      <c r="K367" s="76">
        <f>'[7]COM 55 &amp; 65'!$S452</f>
        <v>88.5</v>
      </c>
      <c r="L367" s="4">
        <f t="shared" si="216"/>
        <v>105.4</v>
      </c>
      <c r="M367" s="135">
        <f t="shared" ref="M367" si="2108">(L367-K367)</f>
        <v>16.900000000000006</v>
      </c>
      <c r="N367" s="4">
        <f>'[7]COM 55 &amp; 65'!$J452</f>
        <v>43.6</v>
      </c>
      <c r="O367" s="4">
        <f t="shared" si="209"/>
        <v>26.8</v>
      </c>
      <c r="P367" s="41">
        <f t="shared" ref="P367" si="2109">(O367-N367)</f>
        <v>-16.8</v>
      </c>
      <c r="Q367" s="565">
        <f>M367*$I$10*0.5</f>
        <v>6150.0959000000021</v>
      </c>
      <c r="R367" s="562">
        <f>P367*$I$9*0.5</f>
        <v>-7158.6060000000007</v>
      </c>
      <c r="S367" s="241">
        <f t="shared" ref="S367" si="2110">ROUND(SUM(Q367,R367),0)</f>
        <v>-1009</v>
      </c>
      <c r="T367" s="13" t="s">
        <v>18</v>
      </c>
      <c r="U367" s="23">
        <f t="shared" si="2008"/>
        <v>2013</v>
      </c>
      <c r="V367" s="23">
        <f t="shared" si="2009"/>
        <v>3</v>
      </c>
      <c r="W367" s="336">
        <f t="shared" ref="W367" si="2111">Z367/D367*1000</f>
        <v>5164.5470883358712</v>
      </c>
      <c r="X367" s="338">
        <f t="shared" ref="X367" si="2112">W367-W355</f>
        <v>1.3794307269090496</v>
      </c>
      <c r="Y367" s="339"/>
      <c r="Z367" s="178">
        <f t="shared" ref="Z367" si="2113">S367+C367</f>
        <v>827629</v>
      </c>
      <c r="AA367" s="340">
        <f t="shared" ref="AA367" si="2114">Z367-C367</f>
        <v>-1009</v>
      </c>
      <c r="AB367" s="518">
        <f>[9]CMWh!$L247</f>
        <v>827286</v>
      </c>
      <c r="AC367" s="341">
        <f>RESID!AC367</f>
        <v>29.4</v>
      </c>
      <c r="AD367" s="342">
        <f t="shared" ref="AD367" si="2115">ROUND(C367/(AC367/30.42),1)</f>
        <v>857386.7</v>
      </c>
      <c r="AE367" s="342">
        <f t="shared" ref="AE367" si="2116">AD367-AD355</f>
        <v>-38877.600000000093</v>
      </c>
      <c r="AF367" s="23">
        <f t="shared" ref="AF367" si="2117">AG367-C367</f>
        <v>27705</v>
      </c>
      <c r="AG367" s="23">
        <f t="shared" ref="AG367" si="2118">ROUND(Z367/(AC367/30.42),0)</f>
        <v>856343</v>
      </c>
      <c r="AH367" s="23">
        <f t="shared" ref="AH367" si="2119">AG367-AG355</f>
        <v>-13426</v>
      </c>
      <c r="AI367" s="23"/>
      <c r="AJ367" s="352">
        <f t="shared" ref="AJ367" si="2120">C367-AM367-AP367</f>
        <v>730002</v>
      </c>
      <c r="AK367" s="352">
        <f t="shared" ref="AK367" si="2121">D367-AN367-AQ367</f>
        <v>47841</v>
      </c>
      <c r="AL367" s="353">
        <f t="shared" ref="AL367" si="2122">AJ367/AK367*1000</f>
        <v>15258.920173073306</v>
      </c>
      <c r="AM367" s="352">
        <f t="shared" ref="AM367" si="2123">F367</f>
        <v>86220</v>
      </c>
      <c r="AN367" s="352">
        <f t="shared" ref="AN367" si="2124">G367</f>
        <v>107096</v>
      </c>
      <c r="AO367" s="353">
        <f t="shared" ref="AO367" si="2125">AM367/AN367*1000</f>
        <v>805.07208485844467</v>
      </c>
      <c r="AP367" s="352">
        <f t="shared" ref="AP367" si="2126">H367</f>
        <v>12416</v>
      </c>
      <c r="AQ367" s="352">
        <f t="shared" ref="AQ367" si="2127">I367</f>
        <v>5315</v>
      </c>
      <c r="AR367" s="353">
        <f t="shared" ref="AR367" si="2128">AP367/AQ367*1000</f>
        <v>2336.0301034807153</v>
      </c>
      <c r="AX367" s="4">
        <f t="shared" si="2061"/>
        <v>2013</v>
      </c>
      <c r="AY367" s="4">
        <f t="shared" si="2062"/>
        <v>3</v>
      </c>
      <c r="AZ367" s="366">
        <f>'[8]COM 55 &amp; 65'!$S452</f>
        <v>63.1</v>
      </c>
      <c r="BA367" s="366">
        <f t="shared" si="221"/>
        <v>140.4</v>
      </c>
      <c r="BB367" s="367">
        <f t="shared" ref="BB367" si="2129">(BA367-AZ367)</f>
        <v>77.300000000000011</v>
      </c>
      <c r="BC367" s="367"/>
      <c r="BD367" s="366">
        <f>'[8]COM 55 &amp; 65'!$J452</f>
        <v>52.9</v>
      </c>
      <c r="BE367" s="366">
        <f t="shared" si="222"/>
        <v>15.1</v>
      </c>
      <c r="BF367" s="368">
        <f t="shared" ref="BF367" si="2130">(BE367-BD367)</f>
        <v>-37.799999999999997</v>
      </c>
      <c r="BH367" s="563">
        <f>BB367*$I$10*0.5</f>
        <v>28130.320300000003</v>
      </c>
      <c r="BI367" s="564">
        <f>BF367*$I$9*0.5</f>
        <v>-16106.863499999999</v>
      </c>
      <c r="BJ367" s="242"/>
      <c r="BK367" s="241">
        <f t="shared" ref="BK367" si="2131">ROUND(SUM(BH367,BI367),0)</f>
        <v>12023</v>
      </c>
      <c r="BL367" s="262"/>
      <c r="BM367" s="36" t="s">
        <v>18</v>
      </c>
      <c r="BN367" s="4">
        <f t="shared" si="2066"/>
        <v>2013</v>
      </c>
      <c r="BO367" s="4">
        <f t="shared" si="2067"/>
        <v>3</v>
      </c>
      <c r="BP367" s="108">
        <f>C367+[4]MWh!$AK201</f>
        <v>901533.04363687965</v>
      </c>
      <c r="BQ367" s="76">
        <f t="shared" ref="BQ367" si="2132">BP367/D367*1000</f>
        <v>5625.7210121363833</v>
      </c>
      <c r="BR367" s="130">
        <f t="shared" ref="BR367" si="2133">BT367/D367*1000</f>
        <v>5700.746596840474</v>
      </c>
      <c r="BS367" s="108">
        <f t="shared" ref="BS367" si="2134">BR367-BR355</f>
        <v>350.31768206150537</v>
      </c>
      <c r="BT367" s="175">
        <f t="shared" ref="BT367" si="2135">BK367+BP367</f>
        <v>913556.04363687965</v>
      </c>
      <c r="BU367" s="108">
        <f t="shared" ref="BU367" si="2136">BT367-BT355</f>
        <v>42463.412879545242</v>
      </c>
      <c r="BV367" s="137">
        <f t="shared" ref="BV367" si="2137">BT367-BP367</f>
        <v>12023</v>
      </c>
      <c r="BW367" s="529">
        <f>BT367/[9]CMWh!$L247</f>
        <v>1.1042807972537667</v>
      </c>
    </row>
    <row r="368" spans="1:111" ht="12.75" customHeight="1">
      <c r="A368" s="22">
        <f t="shared" si="1529"/>
        <v>2013</v>
      </c>
      <c r="B368" s="4">
        <f t="shared" si="1530"/>
        <v>4</v>
      </c>
      <c r="C368" s="5">
        <f>'[2]FPC wSEB'!$E465</f>
        <v>858116</v>
      </c>
      <c r="D368" s="5">
        <f>'[2]FPC wSEB'!$Y465</f>
        <v>162275</v>
      </c>
      <c r="E368" s="74">
        <f t="shared" ref="E368" si="2138">ROUND((C368/D368)*1000,1)</f>
        <v>5288</v>
      </c>
      <c r="F368" s="377">
        <f>ROUND([11]Apr!$Q$4/1000,0)</f>
        <v>91180</v>
      </c>
      <c r="G368" s="377">
        <f>ROUND([11]Apr!$P$4,0)</f>
        <v>111122</v>
      </c>
      <c r="H368" s="377">
        <f>ROUND([11]Apr!$Q$11/1000,0)</f>
        <v>12306</v>
      </c>
      <c r="I368" s="377">
        <f>ROUND([11]Apr!$P$11,0)</f>
        <v>5293</v>
      </c>
      <c r="J368" s="574">
        <f>[5]CC!$E248</f>
        <v>164749</v>
      </c>
      <c r="K368" s="76">
        <f>'[7]COM 55 &amp; 65'!$S453</f>
        <v>131.6</v>
      </c>
      <c r="L368" s="4">
        <f t="shared" si="216"/>
        <v>178.4</v>
      </c>
      <c r="M368" s="135">
        <f t="shared" ref="M368" si="2139">(L368-K368)</f>
        <v>46.800000000000011</v>
      </c>
      <c r="N368" s="4">
        <f>'[7]COM 55 &amp; 65'!$J453</f>
        <v>29.6</v>
      </c>
      <c r="O368" s="4">
        <f t="shared" si="209"/>
        <v>9.5</v>
      </c>
      <c r="P368" s="41">
        <f t="shared" ref="P368" si="2140">(O368-N368)</f>
        <v>-20.100000000000001</v>
      </c>
      <c r="Q368" s="474">
        <f t="shared" ref="Q368:Q373" si="2141">M368*$I$10</f>
        <v>34062.06960000001</v>
      </c>
      <c r="R368" s="472">
        <f t="shared" ref="R368:R373" si="2142">P368*$I$9</f>
        <v>-17129.521500000003</v>
      </c>
      <c r="S368" s="241">
        <f t="shared" ref="S368" si="2143">ROUND(SUM(Q368,R368),0)</f>
        <v>16933</v>
      </c>
      <c r="T368" s="13" t="s">
        <v>18</v>
      </c>
      <c r="U368" s="23">
        <f t="shared" si="2008"/>
        <v>2013</v>
      </c>
      <c r="V368" s="23">
        <f t="shared" si="2009"/>
        <v>4</v>
      </c>
      <c r="W368" s="336">
        <f t="shared" ref="W368" si="2144">Z368/D368*1000</f>
        <v>5392.3832999537826</v>
      </c>
      <c r="X368" s="338">
        <f t="shared" ref="X368" si="2145">W368-W356</f>
        <v>-90.210362131507281</v>
      </c>
      <c r="Y368" s="339"/>
      <c r="Z368" s="178">
        <f t="shared" ref="Z368" si="2146">S368+C368</f>
        <v>875049</v>
      </c>
      <c r="AA368" s="340">
        <f t="shared" ref="AA368" si="2147">Z368-C368</f>
        <v>16933</v>
      </c>
      <c r="AB368" s="518">
        <f>[9]CMWh!$L248</f>
        <v>895556</v>
      </c>
      <c r="AC368" s="341">
        <f>RESID!AC368</f>
        <v>30.65</v>
      </c>
      <c r="AD368" s="342">
        <f t="shared" ref="AD368" si="2148">ROUND(C368/(AC368/30.42),1)</f>
        <v>851676.6</v>
      </c>
      <c r="AE368" s="342">
        <f t="shared" ref="AE368" si="2149">AD368-AD356</f>
        <v>-90842.599999999977</v>
      </c>
      <c r="AF368" s="23">
        <f t="shared" ref="AF368" si="2150">AG368-C368</f>
        <v>10367</v>
      </c>
      <c r="AG368" s="23">
        <f t="shared" ref="AG368" si="2151">ROUND(Z368/(AC368/30.42),0)</f>
        <v>868483</v>
      </c>
      <c r="AH368" s="23">
        <f t="shared" ref="AH368" si="2152">AG368-AG356</f>
        <v>-21259</v>
      </c>
      <c r="AI368" s="23"/>
      <c r="AJ368" s="352">
        <f t="shared" ref="AJ368" si="2153">C368-AM368-AP368</f>
        <v>754630</v>
      </c>
      <c r="AK368" s="352">
        <f t="shared" ref="AK368" si="2154">D368-AN368-AQ368</f>
        <v>45860</v>
      </c>
      <c r="AL368" s="353">
        <f t="shared" ref="AL368" si="2155">AJ368/AK368*1000</f>
        <v>16455.080680331444</v>
      </c>
      <c r="AM368" s="352">
        <f t="shared" ref="AM368" si="2156">F368</f>
        <v>91180</v>
      </c>
      <c r="AN368" s="352">
        <f t="shared" ref="AN368" si="2157">G368</f>
        <v>111122</v>
      </c>
      <c r="AO368" s="353">
        <f t="shared" ref="AO368" si="2158">AM368/AN368*1000</f>
        <v>820.5395871204621</v>
      </c>
      <c r="AP368" s="352">
        <f t="shared" ref="AP368" si="2159">H368</f>
        <v>12306</v>
      </c>
      <c r="AQ368" s="352">
        <f t="shared" ref="AQ368" si="2160">I368</f>
        <v>5293</v>
      </c>
      <c r="AR368" s="353">
        <f t="shared" ref="AR368" si="2161">AP368/AQ368*1000</f>
        <v>2324.9574910258834</v>
      </c>
      <c r="AX368" s="4">
        <f t="shared" si="2061"/>
        <v>2013</v>
      </c>
      <c r="AY368" s="4">
        <f t="shared" si="2062"/>
        <v>4</v>
      </c>
      <c r="AZ368" s="366">
        <f>'[8]COM 55 &amp; 65'!$S453</f>
        <v>280.5</v>
      </c>
      <c r="BA368" s="366">
        <f t="shared" si="221"/>
        <v>227.4</v>
      </c>
      <c r="BB368" s="367">
        <f t="shared" ref="BB368" si="2162">(BA368-AZ368)</f>
        <v>-53.099999999999994</v>
      </c>
      <c r="BC368" s="367"/>
      <c r="BD368" s="366">
        <f>'[8]COM 55 &amp; 65'!$J453</f>
        <v>0.8</v>
      </c>
      <c r="BE368" s="366">
        <f t="shared" si="222"/>
        <v>4.8</v>
      </c>
      <c r="BF368" s="368">
        <f t="shared" ref="BF368" si="2163">(BE368-BD368)</f>
        <v>4</v>
      </c>
      <c r="BH368" s="244">
        <f t="shared" ref="BH368:BH373" si="2164">BB368*$I$10</f>
        <v>-38647.348199999993</v>
      </c>
      <c r="BI368" s="242">
        <f t="shared" ref="BI368:BI373" si="2165">BF368*$I$9</f>
        <v>3408.86</v>
      </c>
      <c r="BJ368" s="242"/>
      <c r="BK368" s="241">
        <f t="shared" ref="BK368" si="2166">ROUND(SUM(BH368,BI368),0)</f>
        <v>-35238</v>
      </c>
      <c r="BL368" s="262"/>
      <c r="BM368" s="36" t="s">
        <v>18</v>
      </c>
      <c r="BN368" s="4">
        <f t="shared" si="2066"/>
        <v>2013</v>
      </c>
      <c r="BO368" s="4">
        <f t="shared" si="2067"/>
        <v>4</v>
      </c>
      <c r="BP368" s="108">
        <f>C368+[4]MWh!$AK202</f>
        <v>886343.69328715326</v>
      </c>
      <c r="BQ368" s="76">
        <f t="shared" ref="BQ368" si="2167">BP368/D368*1000</f>
        <v>5461.9854770430029</v>
      </c>
      <c r="BR368" s="130">
        <f t="shared" ref="BR368" si="2168">BT368/D368*1000</f>
        <v>5244.8355771816559</v>
      </c>
      <c r="BS368" s="108">
        <f t="shared" ref="BS368" si="2169">BR368-BR356</f>
        <v>-559.19988614501654</v>
      </c>
      <c r="BT368" s="175">
        <f t="shared" ref="BT368" si="2170">BK368+BP368</f>
        <v>851105.69328715326</v>
      </c>
      <c r="BU368" s="108">
        <f t="shared" ref="BU368" si="2171">BT368-BT356</f>
        <v>-85537.941713578533</v>
      </c>
      <c r="BV368" s="137">
        <f t="shared" ref="BV368" si="2172">BT368-BP368</f>
        <v>-35238</v>
      </c>
      <c r="BW368" s="529">
        <f>BT368/[9]CMWh!$L248</f>
        <v>0.95036568711186487</v>
      </c>
    </row>
    <row r="369" spans="1:75" ht="12.75" customHeight="1">
      <c r="A369" s="22">
        <f t="shared" si="1529"/>
        <v>2013</v>
      </c>
      <c r="B369" s="4">
        <f t="shared" si="1530"/>
        <v>5</v>
      </c>
      <c r="C369" s="5">
        <f>'[2]FPC wSEB'!$E466</f>
        <v>993585</v>
      </c>
      <c r="D369" s="5">
        <f>'[2]FPC wSEB'!$Y466</f>
        <v>171432</v>
      </c>
      <c r="E369" s="74">
        <f t="shared" ref="E369" si="2173">ROUND((C369/D369)*1000,1)</f>
        <v>5795.8</v>
      </c>
      <c r="F369" s="377">
        <f>ROUND([11]May!$Q$4/1000,0)</f>
        <v>106366</v>
      </c>
      <c r="G369" s="377">
        <f>ROUND([11]May!$P$4,0)</f>
        <v>117752</v>
      </c>
      <c r="H369" s="377">
        <f>ROUND([11]May!$Q$11/1000,0)</f>
        <v>12669</v>
      </c>
      <c r="I369" s="377">
        <f>ROUND([11]May!$P$11,0)</f>
        <v>5290</v>
      </c>
      <c r="J369" s="574">
        <f>[5]CC!$E249</f>
        <v>165504</v>
      </c>
      <c r="K369" s="76">
        <f>'[7]COM 55 &amp; 65'!$S454</f>
        <v>289.3</v>
      </c>
      <c r="L369" s="4">
        <f t="shared" si="216"/>
        <v>273.89999999999998</v>
      </c>
      <c r="M369" s="135">
        <f t="shared" ref="M369" si="2174">(L369-K369)</f>
        <v>-15.400000000000034</v>
      </c>
      <c r="N369" s="4">
        <f>'[7]COM 55 &amp; 65'!$J454</f>
        <v>1.5</v>
      </c>
      <c r="O369" s="4">
        <f t="shared" si="209"/>
        <v>2</v>
      </c>
      <c r="P369" s="41">
        <f t="shared" ref="P369" si="2175">(O369-N369)</f>
        <v>0.5</v>
      </c>
      <c r="Q369" s="474">
        <f t="shared" si="2141"/>
        <v>-11208.458800000024</v>
      </c>
      <c r="R369" s="472">
        <f t="shared" si="2142"/>
        <v>426.10750000000002</v>
      </c>
      <c r="S369" s="241">
        <f t="shared" ref="S369" si="2176">ROUND(SUM(Q369,R369),0)</f>
        <v>-10782</v>
      </c>
      <c r="T369" s="13" t="s">
        <v>18</v>
      </c>
      <c r="U369" s="23">
        <f t="shared" si="2008"/>
        <v>2013</v>
      </c>
      <c r="V369" s="23">
        <f t="shared" si="2009"/>
        <v>5</v>
      </c>
      <c r="W369" s="336">
        <f t="shared" ref="W369" si="2177">Z369/D369*1000</f>
        <v>5732.9028419431615</v>
      </c>
      <c r="X369" s="338">
        <f t="shared" ref="X369" si="2178">W369-W357</f>
        <v>-52.330577353977787</v>
      </c>
      <c r="Y369" s="339"/>
      <c r="Z369" s="178">
        <f t="shared" ref="Z369" si="2179">S369+C369</f>
        <v>982803</v>
      </c>
      <c r="AA369" s="340">
        <f t="shared" ref="AA369" si="2180">Z369-C369</f>
        <v>-10782</v>
      </c>
      <c r="AB369" s="518">
        <f>[9]CMWh!$L249</f>
        <v>963013</v>
      </c>
      <c r="AC369" s="341">
        <f>RESID!AC369</f>
        <v>30.95</v>
      </c>
      <c r="AD369" s="342">
        <f t="shared" ref="AD369" si="2181">ROUND(C369/(AC369/30.42),1)</f>
        <v>976570.5</v>
      </c>
      <c r="AE369" s="342">
        <f t="shared" ref="AE369" si="2182">AD369-AD357</f>
        <v>2742.5</v>
      </c>
      <c r="AF369" s="23">
        <f t="shared" ref="AF369" si="2183">AG369-C369</f>
        <v>-27612</v>
      </c>
      <c r="AG369" s="23">
        <f t="shared" ref="AG369" si="2184">ROUND(Z369/(AC369/30.42),0)</f>
        <v>965973</v>
      </c>
      <c r="AH369" s="23">
        <f t="shared" ref="AH369" si="2185">AG369-AG357</f>
        <v>6730</v>
      </c>
      <c r="AI369" s="23"/>
      <c r="AJ369" s="352">
        <f t="shared" ref="AJ369" si="2186">C369-AM369-AP369</f>
        <v>874550</v>
      </c>
      <c r="AK369" s="352">
        <f t="shared" ref="AK369" si="2187">D369-AN369-AQ369</f>
        <v>48390</v>
      </c>
      <c r="AL369" s="353">
        <f t="shared" ref="AL369" si="2188">AJ369/AK369*1000</f>
        <v>18072.948956395951</v>
      </c>
      <c r="AM369" s="352">
        <f t="shared" ref="AM369" si="2189">F369</f>
        <v>106366</v>
      </c>
      <c r="AN369" s="352">
        <f t="shared" ref="AN369" si="2190">G369</f>
        <v>117752</v>
      </c>
      <c r="AO369" s="353">
        <f t="shared" ref="AO369" si="2191">AM369/AN369*1000</f>
        <v>903.30525171546981</v>
      </c>
      <c r="AP369" s="352">
        <f t="shared" ref="AP369" si="2192">H369</f>
        <v>12669</v>
      </c>
      <c r="AQ369" s="352">
        <f t="shared" ref="AQ369" si="2193">I369</f>
        <v>5290</v>
      </c>
      <c r="AR369" s="353">
        <f t="shared" ref="AR369" si="2194">AP369/AQ369*1000</f>
        <v>2394.8960302457463</v>
      </c>
      <c r="AX369" s="4">
        <f t="shared" si="2061"/>
        <v>2013</v>
      </c>
      <c r="AY369" s="4">
        <f t="shared" si="2062"/>
        <v>5</v>
      </c>
      <c r="AZ369" s="366">
        <f>'[8]COM 55 &amp; 65'!$S454</f>
        <v>348.4</v>
      </c>
      <c r="BA369" s="366">
        <f t="shared" si="221"/>
        <v>395.2</v>
      </c>
      <c r="BB369" s="367">
        <f t="shared" ref="BB369" si="2195">(BA369-AZ369)</f>
        <v>46.800000000000011</v>
      </c>
      <c r="BC369" s="367"/>
      <c r="BD369" s="366">
        <f>'[8]COM 55 &amp; 65'!$J454</f>
        <v>0.4</v>
      </c>
      <c r="BE369" s="366">
        <f t="shared" si="222"/>
        <v>0.2</v>
      </c>
      <c r="BF369" s="368">
        <f t="shared" ref="BF369" si="2196">(BE369-BD369)</f>
        <v>-0.2</v>
      </c>
      <c r="BH369" s="244">
        <f t="shared" si="2164"/>
        <v>34062.06960000001</v>
      </c>
      <c r="BI369" s="242">
        <f t="shared" si="2165"/>
        <v>-170.44300000000001</v>
      </c>
      <c r="BJ369" s="242"/>
      <c r="BK369" s="241">
        <f t="shared" ref="BK369" si="2197">ROUND(SUM(BH369,BI369),0)</f>
        <v>33892</v>
      </c>
      <c r="BL369" s="262"/>
      <c r="BM369" s="36" t="s">
        <v>18</v>
      </c>
      <c r="BN369" s="4">
        <f t="shared" si="2066"/>
        <v>2013</v>
      </c>
      <c r="BO369" s="4">
        <f t="shared" si="2067"/>
        <v>5</v>
      </c>
      <c r="BP369" s="108">
        <f>C369+[4]MWh!$AK203</f>
        <v>1048021.2621536299</v>
      </c>
      <c r="BQ369" s="76">
        <f t="shared" ref="BQ369" si="2198">BP369/D369*1000</f>
        <v>6113.3350958609235</v>
      </c>
      <c r="BR369" s="130">
        <f t="shared" ref="BR369" si="2199">BT369/D369*1000</f>
        <v>6311.0344752066703</v>
      </c>
      <c r="BS369" s="108">
        <f t="shared" ref="BS369" si="2200">BR369-BR357</f>
        <v>-178.44568217151482</v>
      </c>
      <c r="BT369" s="175">
        <f t="shared" ref="BT369" si="2201">BK369+BP369</f>
        <v>1081913.2621536299</v>
      </c>
      <c r="BU369" s="108">
        <f t="shared" ref="BU369" si="2202">BT369-BT357</f>
        <v>22525.094902113313</v>
      </c>
      <c r="BV369" s="137">
        <f t="shared" ref="BV369" si="2203">BT369-BP369</f>
        <v>33892</v>
      </c>
      <c r="BW369" s="529">
        <f>BT369/[9]CMWh!$L249</f>
        <v>1.1234669336277183</v>
      </c>
    </row>
    <row r="370" spans="1:75" ht="12.75" customHeight="1">
      <c r="A370" s="22">
        <f t="shared" si="1529"/>
        <v>2013</v>
      </c>
      <c r="B370" s="4">
        <f t="shared" si="1530"/>
        <v>6</v>
      </c>
      <c r="C370" s="5">
        <f>'[2]FPC wSEB'!$E467</f>
        <v>1057287</v>
      </c>
      <c r="D370" s="5">
        <f>'[2]FPC wSEB'!$Y467</f>
        <v>164961</v>
      </c>
      <c r="E370" s="74">
        <f t="shared" ref="E370" si="2204">ROUND((C370/D370)*1000,1)</f>
        <v>6409.3</v>
      </c>
      <c r="F370" s="377">
        <f>ROUND([11]Jun!$Q$4/1000,0)</f>
        <v>113257</v>
      </c>
      <c r="G370" s="377">
        <f>ROUND([11]Jun!$P$4,0)</f>
        <v>112692</v>
      </c>
      <c r="H370" s="377">
        <f>ROUND([11]Jun!$Q$11/1000,0)</f>
        <v>12414</v>
      </c>
      <c r="I370" s="377">
        <f>ROUND([11]Jun!$P$11,0)</f>
        <v>5286</v>
      </c>
      <c r="J370" s="574">
        <f>[5]CC!$E250</f>
        <v>165040</v>
      </c>
      <c r="K370" s="76">
        <f>'[7]COM 55 &amp; 65'!$S455</f>
        <v>420</v>
      </c>
      <c r="L370" s="4">
        <f t="shared" si="216"/>
        <v>442.7</v>
      </c>
      <c r="M370" s="135">
        <f t="shared" ref="M370" si="2205">(L370-K370)</f>
        <v>22.699999999999989</v>
      </c>
      <c r="N370" s="4">
        <f>'[7]COM 55 &amp; 65'!$J455</f>
        <v>0.2</v>
      </c>
      <c r="O370" s="4">
        <f t="shared" si="209"/>
        <v>0.1</v>
      </c>
      <c r="P370" s="41">
        <f t="shared" ref="P370" si="2206">(O370-N370)</f>
        <v>-0.1</v>
      </c>
      <c r="Q370" s="474">
        <f t="shared" si="2141"/>
        <v>16521.559399999991</v>
      </c>
      <c r="R370" s="472">
        <f t="shared" si="2142"/>
        <v>-85.221500000000006</v>
      </c>
      <c r="S370" s="241">
        <f t="shared" ref="S370" si="2207">ROUND(SUM(Q370,R370),0)</f>
        <v>16436</v>
      </c>
      <c r="T370" s="13" t="s">
        <v>18</v>
      </c>
      <c r="U370" s="23">
        <f t="shared" si="2008"/>
        <v>2013</v>
      </c>
      <c r="V370" s="23">
        <f t="shared" si="2009"/>
        <v>6</v>
      </c>
      <c r="W370" s="336">
        <f t="shared" ref="W370" si="2208">Z370/D370*1000</f>
        <v>6508.950600444954</v>
      </c>
      <c r="X370" s="338">
        <f t="shared" ref="X370" si="2209">W370-W358</f>
        <v>-11.414460775544285</v>
      </c>
      <c r="Y370" s="339"/>
      <c r="Z370" s="178">
        <f t="shared" ref="Z370" si="2210">S370+C370</f>
        <v>1073723</v>
      </c>
      <c r="AA370" s="340">
        <f t="shared" ref="AA370" si="2211">Z370-C370</f>
        <v>16436</v>
      </c>
      <c r="AB370" s="518">
        <f>[9]CMWh!$L250</f>
        <v>1072618</v>
      </c>
      <c r="AC370" s="341">
        <f>RESID!AC370</f>
        <v>30.8</v>
      </c>
      <c r="AD370" s="342">
        <f t="shared" ref="AD370" si="2212">ROUND(C370/(AC370/30.42),1)</f>
        <v>1044242.6</v>
      </c>
      <c r="AE370" s="342">
        <f t="shared" ref="AE370" si="2213">AD370-AD358</f>
        <v>-14711.400000000023</v>
      </c>
      <c r="AF370" s="23">
        <f t="shared" ref="AF370" si="2214">AG370-C370</f>
        <v>3189</v>
      </c>
      <c r="AG370" s="23">
        <f t="shared" ref="AG370" si="2215">ROUND(Z370/(AC370/30.42),0)</f>
        <v>1060476</v>
      </c>
      <c r="AH370" s="23">
        <f t="shared" ref="AH370" si="2216">AG370-AG358</f>
        <v>90</v>
      </c>
      <c r="AI370" s="23"/>
      <c r="AJ370" s="352">
        <f t="shared" ref="AJ370" si="2217">C370-AM370-AP370</f>
        <v>931616</v>
      </c>
      <c r="AK370" s="352">
        <f t="shared" ref="AK370" si="2218">D370-AN370-AQ370</f>
        <v>46983</v>
      </c>
      <c r="AL370" s="353">
        <f t="shared" ref="AL370" si="2219">AJ370/AK370*1000</f>
        <v>19828.78913649618</v>
      </c>
      <c r="AM370" s="352">
        <f t="shared" ref="AM370" si="2220">F370</f>
        <v>113257</v>
      </c>
      <c r="AN370" s="352">
        <f t="shared" ref="AN370" si="2221">G370</f>
        <v>112692</v>
      </c>
      <c r="AO370" s="353">
        <f t="shared" ref="AO370" si="2222">AM370/AN370*1000</f>
        <v>1005.0136655663224</v>
      </c>
      <c r="AP370" s="352">
        <f t="shared" ref="AP370" si="2223">H370</f>
        <v>12414</v>
      </c>
      <c r="AQ370" s="352">
        <f t="shared" ref="AQ370" si="2224">I370</f>
        <v>5286</v>
      </c>
      <c r="AR370" s="353">
        <f t="shared" ref="AR370" si="2225">AP370/AQ370*1000</f>
        <v>2348.467650397276</v>
      </c>
      <c r="AX370" s="4">
        <f t="shared" si="2061"/>
        <v>2013</v>
      </c>
      <c r="AY370" s="4">
        <f t="shared" si="2062"/>
        <v>6</v>
      </c>
      <c r="AZ370" s="366">
        <f>'[8]COM 55 &amp; 65'!$S455</f>
        <v>507.9</v>
      </c>
      <c r="BA370" s="366">
        <f t="shared" si="221"/>
        <v>485.1</v>
      </c>
      <c r="BB370" s="367">
        <f t="shared" ref="BB370" si="2226">(BA370-AZ370)</f>
        <v>-22.799999999999955</v>
      </c>
      <c r="BC370" s="367"/>
      <c r="BD370" s="366">
        <f>'[8]COM 55 &amp; 65'!$J455</f>
        <v>0</v>
      </c>
      <c r="BE370" s="366">
        <f t="shared" si="222"/>
        <v>0</v>
      </c>
      <c r="BF370" s="368">
        <f t="shared" ref="BF370" si="2227">(BE370-BD370)</f>
        <v>0</v>
      </c>
      <c r="BH370" s="244">
        <f t="shared" si="2164"/>
        <v>-16594.341599999967</v>
      </c>
      <c r="BI370" s="242">
        <f t="shared" si="2165"/>
        <v>0</v>
      </c>
      <c r="BJ370" s="242"/>
      <c r="BK370" s="241">
        <f t="shared" ref="BK370" si="2228">ROUND(SUM(BH370,BI370),0)</f>
        <v>-16594</v>
      </c>
      <c r="BL370" s="262"/>
      <c r="BM370" s="36" t="s">
        <v>18</v>
      </c>
      <c r="BN370" s="4">
        <f t="shared" si="2066"/>
        <v>2013</v>
      </c>
      <c r="BO370" s="4">
        <f t="shared" si="2067"/>
        <v>6</v>
      </c>
      <c r="BP370" s="108">
        <f>C370+[4]MWh!$AK204</f>
        <v>1079928.4646258208</v>
      </c>
      <c r="BQ370" s="76">
        <f t="shared" ref="BQ370" si="2229">BP370/D370*1000</f>
        <v>6546.5683684375144</v>
      </c>
      <c r="BR370" s="130">
        <f t="shared" ref="BR370" si="2230">BT370/D370*1000</f>
        <v>6445.9748948286006</v>
      </c>
      <c r="BS370" s="108">
        <f t="shared" ref="BS370" si="2231">BR370-BR358</f>
        <v>101.52667835119701</v>
      </c>
      <c r="BT370" s="175">
        <f t="shared" ref="BT370" si="2232">BK370+BP370</f>
        <v>1063334.4646258208</v>
      </c>
      <c r="BU370" s="108">
        <f t="shared" ref="BU370" si="2233">BT370-BT358</f>
        <v>25452.525340498774</v>
      </c>
      <c r="BV370" s="137">
        <f t="shared" ref="BV370" si="2234">BT370-BP370</f>
        <v>-16594</v>
      </c>
      <c r="BW370" s="529">
        <f>BT370/[9]CMWh!$L250</f>
        <v>0.99134497521561338</v>
      </c>
    </row>
    <row r="371" spans="1:75" ht="12.75" customHeight="1">
      <c r="A371" s="22">
        <f t="shared" si="1529"/>
        <v>2013</v>
      </c>
      <c r="B371" s="4">
        <f t="shared" si="1530"/>
        <v>7</v>
      </c>
      <c r="C371" s="5">
        <f>'[2]FPC wSEB'!$E468</f>
        <v>1105187</v>
      </c>
      <c r="D371" s="5">
        <f>'[2]FPC wSEB'!$Y468</f>
        <v>166872</v>
      </c>
      <c r="E371" s="74">
        <f t="shared" ref="E371" si="2235">ROUND((C371/D371)*1000,1)</f>
        <v>6623</v>
      </c>
      <c r="F371" s="377">
        <f>ROUND([11]Jul!$Q$4/1000,0)</f>
        <v>117929</v>
      </c>
      <c r="G371" s="377">
        <f>ROUND([11]Jul!$P$4,0)</f>
        <v>113397</v>
      </c>
      <c r="H371" s="377">
        <f>ROUND([11]Jul!$Q$11/1000,0)</f>
        <v>12552</v>
      </c>
      <c r="I371" s="377">
        <f>ROUND([11]Jul!$P$11,0)</f>
        <v>5315</v>
      </c>
      <c r="J371" s="574">
        <f>[5]CC!$E251</f>
        <v>165197</v>
      </c>
      <c r="K371" s="76">
        <f>'[7]COM 55 &amp; 65'!$S456</f>
        <v>515.4</v>
      </c>
      <c r="L371" s="4">
        <f t="shared" si="216"/>
        <v>516.1</v>
      </c>
      <c r="M371" s="135">
        <f t="shared" ref="M371" si="2236">(L371-K371)</f>
        <v>0.70000000000004547</v>
      </c>
      <c r="N371" s="4">
        <f>'[7]COM 55 &amp; 65'!$J456</f>
        <v>0</v>
      </c>
      <c r="O371" s="4">
        <f t="shared" si="209"/>
        <v>0</v>
      </c>
      <c r="P371" s="41">
        <f t="shared" ref="P371" si="2237">(O371-N371)</f>
        <v>0</v>
      </c>
      <c r="Q371" s="474">
        <f t="shared" si="2141"/>
        <v>509.47540000003312</v>
      </c>
      <c r="R371" s="472">
        <f t="shared" si="2142"/>
        <v>0</v>
      </c>
      <c r="S371" s="241">
        <f t="shared" ref="S371" si="2238">ROUND(SUM(Q371,R371),0)</f>
        <v>509</v>
      </c>
      <c r="T371" s="13" t="s">
        <v>18</v>
      </c>
      <c r="U371" s="23">
        <f t="shared" si="2008"/>
        <v>2013</v>
      </c>
      <c r="V371" s="23">
        <f t="shared" si="2009"/>
        <v>7</v>
      </c>
      <c r="W371" s="336">
        <f t="shared" ref="W371" si="2239">Z371/D371*1000</f>
        <v>6626.0127522891798</v>
      </c>
      <c r="X371" s="338">
        <f t="shared" ref="X371" si="2240">W371-W359</f>
        <v>-241.87161653309795</v>
      </c>
      <c r="Y371" s="339"/>
      <c r="Z371" s="178">
        <f t="shared" ref="Z371" si="2241">S371+C371</f>
        <v>1105696</v>
      </c>
      <c r="AA371" s="340">
        <f t="shared" ref="AA371" si="2242">Z371-C371</f>
        <v>509</v>
      </c>
      <c r="AB371" s="518">
        <f>[9]CMWh!$L251</f>
        <v>1095748</v>
      </c>
      <c r="AC371" s="341">
        <f>RESID!AC371</f>
        <v>30.4</v>
      </c>
      <c r="AD371" s="342">
        <f t="shared" ref="AD371" si="2243">ROUND(C371/(AC371/30.42),1)</f>
        <v>1105914.1000000001</v>
      </c>
      <c r="AE371" s="342">
        <f t="shared" ref="AE371" si="2244">AD371-AD359</f>
        <v>44197.40000000014</v>
      </c>
      <c r="AF371" s="23">
        <f t="shared" ref="AF371" si="2245">AG371-C371</f>
        <v>1236</v>
      </c>
      <c r="AG371" s="23">
        <f t="shared" ref="AG371" si="2246">ROUND(Z371/(AC371/30.42),0)</f>
        <v>1106423</v>
      </c>
      <c r="AH371" s="23">
        <f t="shared" ref="AH371" si="2247">AG371-AG359</f>
        <v>23651</v>
      </c>
      <c r="AI371" s="23"/>
      <c r="AJ371" s="352">
        <f t="shared" ref="AJ371" si="2248">C371-AM371-AP371</f>
        <v>974706</v>
      </c>
      <c r="AK371" s="352">
        <f t="shared" ref="AK371" si="2249">D371-AN371-AQ371</f>
        <v>48160</v>
      </c>
      <c r="AL371" s="353">
        <f t="shared" ref="AL371" si="2250">AJ371/AK371*1000</f>
        <v>20238.911960132889</v>
      </c>
      <c r="AM371" s="352">
        <f t="shared" ref="AM371" si="2251">F371</f>
        <v>117929</v>
      </c>
      <c r="AN371" s="352">
        <f t="shared" ref="AN371" si="2252">G371</f>
        <v>113397</v>
      </c>
      <c r="AO371" s="353">
        <f t="shared" ref="AO371" si="2253">AM371/AN371*1000</f>
        <v>1039.9657839272645</v>
      </c>
      <c r="AP371" s="352">
        <f t="shared" ref="AP371" si="2254">H371</f>
        <v>12552</v>
      </c>
      <c r="AQ371" s="352">
        <f t="shared" ref="AQ371" si="2255">I371</f>
        <v>5315</v>
      </c>
      <c r="AR371" s="353">
        <f t="shared" ref="AR371" si="2256">AP371/AQ371*1000</f>
        <v>2361.6180620884293</v>
      </c>
      <c r="AX371" s="4">
        <f t="shared" si="2061"/>
        <v>2013</v>
      </c>
      <c r="AY371" s="4">
        <f t="shared" si="2062"/>
        <v>7</v>
      </c>
      <c r="AZ371" s="366">
        <f>'[8]COM 55 &amp; 65'!$S456</f>
        <v>525.5</v>
      </c>
      <c r="BA371" s="366">
        <f t="shared" si="221"/>
        <v>546.1</v>
      </c>
      <c r="BB371" s="367">
        <f t="shared" ref="BB371" si="2257">(BA371-AZ371)</f>
        <v>20.600000000000023</v>
      </c>
      <c r="BC371" s="367"/>
      <c r="BD371" s="366">
        <f>'[8]COM 55 &amp; 65'!$J456</f>
        <v>0</v>
      </c>
      <c r="BE371" s="366">
        <f t="shared" si="222"/>
        <v>0</v>
      </c>
      <c r="BF371" s="368">
        <f t="shared" ref="BF371" si="2258">(BE371-BD371)</f>
        <v>0</v>
      </c>
      <c r="BH371" s="244">
        <f t="shared" si="2164"/>
        <v>14993.133200000017</v>
      </c>
      <c r="BI371" s="242">
        <f t="shared" si="2165"/>
        <v>0</v>
      </c>
      <c r="BJ371" s="242"/>
      <c r="BK371" s="241">
        <f t="shared" ref="BK371" si="2259">ROUND(SUM(BH371,BI371),0)</f>
        <v>14993</v>
      </c>
      <c r="BL371" s="262"/>
      <c r="BM371" s="36" t="s">
        <v>18</v>
      </c>
      <c r="BN371" s="4">
        <f t="shared" si="2066"/>
        <v>2013</v>
      </c>
      <c r="BO371" s="4">
        <f t="shared" si="2067"/>
        <v>7</v>
      </c>
      <c r="BP371" s="108">
        <f>C371+[4]MWh!$AK205</f>
        <v>1097469.7781970329</v>
      </c>
      <c r="BQ371" s="76">
        <f t="shared" ref="BQ371" si="2260">BP371/D371*1000</f>
        <v>6576.7161548793856</v>
      </c>
      <c r="BR371" s="130">
        <f t="shared" ref="BR371" si="2261">BT371/D371*1000</f>
        <v>6666.5634629957867</v>
      </c>
      <c r="BS371" s="108">
        <f t="shared" ref="BS371" si="2262">BR371-BR359</f>
        <v>-839.59481247518761</v>
      </c>
      <c r="BT371" s="175">
        <f t="shared" ref="BT371" si="2263">BK371+BP371</f>
        <v>1112462.7781970329</v>
      </c>
      <c r="BU371" s="108">
        <f t="shared" ref="BU371" si="2264">BT371-BT359</f>
        <v>-75994.76771656191</v>
      </c>
      <c r="BV371" s="137">
        <f t="shared" ref="BV371" si="2265">BT371-BP371</f>
        <v>14993</v>
      </c>
      <c r="BW371" s="529">
        <f>BT371/[9]CMWh!$L251</f>
        <v>1.0152542173903423</v>
      </c>
    </row>
    <row r="372" spans="1:75" ht="12.75" customHeight="1">
      <c r="A372" s="22">
        <f t="shared" si="1529"/>
        <v>2013</v>
      </c>
      <c r="B372" s="4">
        <f t="shared" si="1530"/>
        <v>8</v>
      </c>
      <c r="C372" s="5">
        <f>'[2]FPC wSEB'!$E469</f>
        <v>1098100</v>
      </c>
      <c r="D372" s="5">
        <f>'[2]FPC wSEB'!$Y469</f>
        <v>159944</v>
      </c>
      <c r="E372" s="74">
        <f t="shared" ref="E372" si="2266">ROUND((C372/D372)*1000,1)</f>
        <v>6865.5</v>
      </c>
      <c r="F372" s="377">
        <f>ROUND([11]Aug!$Q$4/1000,0)</f>
        <v>110361</v>
      </c>
      <c r="G372" s="377">
        <f>ROUND([11]Aug!$P$4,0)</f>
        <v>106858</v>
      </c>
      <c r="H372" s="377">
        <f>ROUND([11]Aug!$Q$11/1000,0)</f>
        <v>12376</v>
      </c>
      <c r="I372" s="377">
        <f>ROUND([11]Aug!$P$11,0)</f>
        <v>5306</v>
      </c>
      <c r="J372" s="574">
        <f>[5]CC!$E252</f>
        <v>165661</v>
      </c>
      <c r="K372" s="76">
        <f>'[7]COM 55 &amp; 65'!$S457</f>
        <v>532.79999999999995</v>
      </c>
      <c r="L372" s="4">
        <f t="shared" si="216"/>
        <v>542</v>
      </c>
      <c r="M372" s="135">
        <f t="shared" ref="M372" si="2267">(L372-K372)</f>
        <v>9.2000000000000455</v>
      </c>
      <c r="N372" s="4">
        <f>'[7]COM 55 &amp; 65'!$J457</f>
        <v>0</v>
      </c>
      <c r="O372" s="4">
        <f t="shared" si="209"/>
        <v>0</v>
      </c>
      <c r="P372" s="41">
        <f t="shared" ref="P372" si="2268">(O372-N372)</f>
        <v>0</v>
      </c>
      <c r="Q372" s="474">
        <f t="shared" si="2141"/>
        <v>6695.9624000000331</v>
      </c>
      <c r="R372" s="472">
        <f t="shared" si="2142"/>
        <v>0</v>
      </c>
      <c r="S372" s="241">
        <f t="shared" ref="S372" si="2269">ROUND(SUM(Q372,R372),0)</f>
        <v>6696</v>
      </c>
      <c r="T372" s="13" t="s">
        <v>18</v>
      </c>
      <c r="U372" s="23">
        <f t="shared" si="2008"/>
        <v>2013</v>
      </c>
      <c r="V372" s="23">
        <f t="shared" si="2009"/>
        <v>8</v>
      </c>
      <c r="W372" s="336">
        <f t="shared" ref="W372" si="2270">Z372/D372*1000</f>
        <v>6907.3925874055922</v>
      </c>
      <c r="X372" s="338">
        <f t="shared" ref="X372" si="2271">W372-W360</f>
        <v>77.946506015884552</v>
      </c>
      <c r="Y372" s="339"/>
      <c r="Z372" s="178">
        <f t="shared" ref="Z372" si="2272">S372+C372</f>
        <v>1104796</v>
      </c>
      <c r="AA372" s="340">
        <f t="shared" ref="AA372" si="2273">Z372-C372</f>
        <v>6696</v>
      </c>
      <c r="AB372" s="518">
        <f>[9]CMWh!$L252</f>
        <v>1112916</v>
      </c>
      <c r="AC372" s="341">
        <f>RESID!AC372</f>
        <v>29.8</v>
      </c>
      <c r="AD372" s="342">
        <f t="shared" ref="AD372" si="2274">ROUND(C372/(AC372/30.42),1)</f>
        <v>1120946.3999999999</v>
      </c>
      <c r="AE372" s="342">
        <f t="shared" ref="AE372" si="2275">AD372-AD360</f>
        <v>-13762.40000000014</v>
      </c>
      <c r="AF372" s="23">
        <f t="shared" ref="AF372" si="2276">AG372-C372</f>
        <v>29682</v>
      </c>
      <c r="AG372" s="23">
        <f t="shared" ref="AG372" si="2277">ROUND(Z372/(AC372/30.42),0)</f>
        <v>1127782</v>
      </c>
      <c r="AH372" s="23">
        <f t="shared" ref="AH372" si="2278">AG372-AG360</f>
        <v>4167</v>
      </c>
      <c r="AI372" s="23"/>
      <c r="AJ372" s="352">
        <f t="shared" ref="AJ372" si="2279">C372-AM372-AP372</f>
        <v>975363</v>
      </c>
      <c r="AK372" s="352">
        <f t="shared" ref="AK372" si="2280">D372-AN372-AQ372</f>
        <v>47780</v>
      </c>
      <c r="AL372" s="353">
        <f t="shared" ref="AL372" si="2281">AJ372/AK372*1000</f>
        <v>20413.62494767685</v>
      </c>
      <c r="AM372" s="352">
        <f t="shared" ref="AM372" si="2282">F372</f>
        <v>110361</v>
      </c>
      <c r="AN372" s="352">
        <f t="shared" ref="AN372" si="2283">G372</f>
        <v>106858</v>
      </c>
      <c r="AO372" s="353">
        <f t="shared" ref="AO372" si="2284">AM372/AN372*1000</f>
        <v>1032.7818226057011</v>
      </c>
      <c r="AP372" s="352">
        <f t="shared" ref="AP372" si="2285">H372</f>
        <v>12376</v>
      </c>
      <c r="AQ372" s="352">
        <f t="shared" ref="AQ372" si="2286">I372</f>
        <v>5306</v>
      </c>
      <c r="AR372" s="353">
        <f t="shared" ref="AR372" si="2287">AP372/AQ372*1000</f>
        <v>2332.4538258575199</v>
      </c>
      <c r="AX372" s="4">
        <f t="shared" si="2061"/>
        <v>2013</v>
      </c>
      <c r="AY372" s="4">
        <f t="shared" si="2062"/>
        <v>8</v>
      </c>
      <c r="AZ372" s="366">
        <f>'[8]COM 55 &amp; 65'!$S457</f>
        <v>580.5</v>
      </c>
      <c r="BA372" s="366">
        <f t="shared" si="221"/>
        <v>549</v>
      </c>
      <c r="BB372" s="367">
        <f t="shared" ref="BB372" si="2288">(BA372-AZ372)</f>
        <v>-31.5</v>
      </c>
      <c r="BC372" s="367"/>
      <c r="BD372" s="366">
        <f>'[8]COM 55 &amp; 65'!$J457</f>
        <v>0</v>
      </c>
      <c r="BE372" s="366">
        <f t="shared" si="222"/>
        <v>0</v>
      </c>
      <c r="BF372" s="368">
        <f t="shared" ref="BF372" si="2289">(BE372-BD372)</f>
        <v>0</v>
      </c>
      <c r="BH372" s="244">
        <f t="shared" si="2164"/>
        <v>-22926.393</v>
      </c>
      <c r="BI372" s="242">
        <f t="shared" si="2165"/>
        <v>0</v>
      </c>
      <c r="BJ372" s="242"/>
      <c r="BK372" s="241">
        <f t="shared" ref="BK372" si="2290">ROUND(SUM(BH372,BI372),0)</f>
        <v>-22926</v>
      </c>
      <c r="BL372" s="262"/>
      <c r="BM372" s="36" t="s">
        <v>18</v>
      </c>
      <c r="BN372" s="4">
        <f t="shared" si="2066"/>
        <v>2013</v>
      </c>
      <c r="BO372" s="4">
        <f t="shared" si="2067"/>
        <v>8</v>
      </c>
      <c r="BP372" s="108">
        <f>C372+[4]MWh!$AK206</f>
        <v>1209908.0820208178</v>
      </c>
      <c r="BQ372" s="76">
        <f t="shared" ref="BQ372" si="2291">BP372/D372*1000</f>
        <v>7564.5731132197379</v>
      </c>
      <c r="BR372" s="130">
        <f t="shared" ref="BR372" si="2292">BT372/D372*1000</f>
        <v>7421.2354450358744</v>
      </c>
      <c r="BS372" s="108">
        <f t="shared" ref="BS372" si="2293">BR372-BR360</f>
        <v>984.25206326569969</v>
      </c>
      <c r="BT372" s="175">
        <f t="shared" ref="BT372" si="2294">BK372+BP372</f>
        <v>1186982.0820208178</v>
      </c>
      <c r="BU372" s="108">
        <f t="shared" ref="BU372" si="2295">BT372-BT360</f>
        <v>99041.772734313505</v>
      </c>
      <c r="BV372" s="137">
        <f t="shared" ref="BV372" si="2296">BT372-BP372</f>
        <v>-22926</v>
      </c>
      <c r="BW372" s="529">
        <f>BT372/[9]CMWh!$L252</f>
        <v>1.0665513677769192</v>
      </c>
    </row>
    <row r="373" spans="1:75" ht="12.75" customHeight="1">
      <c r="A373" s="22">
        <f t="shared" si="1529"/>
        <v>2013</v>
      </c>
      <c r="B373" s="4">
        <f t="shared" si="1530"/>
        <v>9</v>
      </c>
      <c r="C373" s="5">
        <f>'[2]FPC wSEB'!$E470</f>
        <v>1130530</v>
      </c>
      <c r="D373" s="5">
        <f>'[2]FPC wSEB'!$Y470</f>
        <v>165753</v>
      </c>
      <c r="E373" s="74">
        <f t="shared" ref="E373" si="2297">ROUND((C373/D373)*1000,1)</f>
        <v>6820.6</v>
      </c>
      <c r="F373" s="377">
        <f>ROUND([11]Sep!$Q$4/1000,0)</f>
        <v>110948</v>
      </c>
      <c r="G373" s="377">
        <f>ROUND([11]Sep!$P$4,0)</f>
        <v>111247</v>
      </c>
      <c r="H373" s="377">
        <f>ROUND([11]Sep!$Q$11/1000,0)</f>
        <v>12440</v>
      </c>
      <c r="I373" s="377">
        <f>ROUND([11]Sep!$P$11,0)</f>
        <v>5321</v>
      </c>
      <c r="J373" s="574">
        <f>[5]CC!$E253</f>
        <v>165819</v>
      </c>
      <c r="K373" s="76">
        <f>'[7]COM 55 &amp; 65'!$S458</f>
        <v>554.1</v>
      </c>
      <c r="L373" s="4">
        <f t="shared" si="216"/>
        <v>531.20000000000005</v>
      </c>
      <c r="M373" s="135">
        <f t="shared" ref="M373" si="2298">(L373-K373)</f>
        <v>-22.899999999999977</v>
      </c>
      <c r="N373" s="4">
        <f>'[7]COM 55 &amp; 65'!$J458</f>
        <v>0</v>
      </c>
      <c r="O373" s="4">
        <f t="shared" si="209"/>
        <v>0</v>
      </c>
      <c r="P373" s="41">
        <f t="shared" ref="P373" si="2299">(O373-N373)</f>
        <v>0</v>
      </c>
      <c r="Q373" s="474">
        <f t="shared" si="2141"/>
        <v>-16667.123799999983</v>
      </c>
      <c r="R373" s="472">
        <f t="shared" si="2142"/>
        <v>0</v>
      </c>
      <c r="S373" s="241">
        <f t="shared" ref="S373" si="2300">ROUND(SUM(Q373,R373),0)</f>
        <v>-16667</v>
      </c>
      <c r="T373" s="13" t="s">
        <v>18</v>
      </c>
      <c r="U373" s="23">
        <f t="shared" si="2008"/>
        <v>2013</v>
      </c>
      <c r="V373" s="23">
        <f t="shared" si="2009"/>
        <v>9</v>
      </c>
      <c r="W373" s="336">
        <f t="shared" ref="W373" si="2301">Z373/D373*1000</f>
        <v>6720.0171339281942</v>
      </c>
      <c r="X373" s="338">
        <f t="shared" ref="X373" si="2302">W373-W361</f>
        <v>-264.92829793959481</v>
      </c>
      <c r="Y373" s="339"/>
      <c r="Z373" s="178">
        <f t="shared" ref="Z373" si="2303">S373+C373</f>
        <v>1113863</v>
      </c>
      <c r="AA373" s="340">
        <f t="shared" ref="AA373" si="2304">Z373-C373</f>
        <v>-16667</v>
      </c>
      <c r="AB373" s="518">
        <f>[9]CMWh!$L253</f>
        <v>1112615</v>
      </c>
      <c r="AC373" s="341">
        <f>RESID!AC373</f>
        <v>30.45</v>
      </c>
      <c r="AD373" s="342">
        <f t="shared" ref="AD373" si="2305">ROUND(C373/(AC373/30.42),1)</f>
        <v>1129416.2</v>
      </c>
      <c r="AE373" s="342">
        <f t="shared" ref="AE373" si="2306">AD373-AD361</f>
        <v>15091.399999999907</v>
      </c>
      <c r="AF373" s="23">
        <f t="shared" ref="AF373" si="2307">AG373-C373</f>
        <v>-17764</v>
      </c>
      <c r="AG373" s="23">
        <f t="shared" ref="AG373" si="2308">ROUND(Z373/(AC373/30.42),0)</f>
        <v>1112766</v>
      </c>
      <c r="AH373" s="23">
        <f t="shared" ref="AH373" si="2309">AG373-AG361</f>
        <v>-11706</v>
      </c>
      <c r="AI373" s="23"/>
      <c r="AJ373" s="352">
        <f t="shared" ref="AJ373" si="2310">C373-AM373-AP373</f>
        <v>1007142</v>
      </c>
      <c r="AK373" s="352">
        <f t="shared" ref="AK373" si="2311">D373-AN373-AQ373</f>
        <v>49185</v>
      </c>
      <c r="AL373" s="353">
        <f t="shared" ref="AL373" si="2312">AJ373/AK373*1000</f>
        <v>20476.608722171397</v>
      </c>
      <c r="AM373" s="352">
        <f t="shared" ref="AM373" si="2313">F373</f>
        <v>110948</v>
      </c>
      <c r="AN373" s="352">
        <f t="shared" ref="AN373" si="2314">G373</f>
        <v>111247</v>
      </c>
      <c r="AO373" s="353">
        <f t="shared" ref="AO373" si="2315">AM373/AN373*1000</f>
        <v>997.31228707290984</v>
      </c>
      <c r="AP373" s="352">
        <f t="shared" ref="AP373" si="2316">H373</f>
        <v>12440</v>
      </c>
      <c r="AQ373" s="352">
        <f t="shared" ref="AQ373" si="2317">I373</f>
        <v>5321</v>
      </c>
      <c r="AR373" s="353">
        <f t="shared" ref="AR373" si="2318">AP373/AQ373*1000</f>
        <v>2337.9064085698178</v>
      </c>
      <c r="AX373" s="4">
        <f t="shared" si="2061"/>
        <v>2013</v>
      </c>
      <c r="AY373" s="4">
        <f t="shared" si="2062"/>
        <v>9</v>
      </c>
      <c r="AZ373" s="366">
        <f>'[8]COM 55 &amp; 65'!$S458</f>
        <v>486.8</v>
      </c>
      <c r="BA373" s="366">
        <f t="shared" si="221"/>
        <v>487.9</v>
      </c>
      <c r="BB373" s="367">
        <f t="shared" ref="BB373" si="2319">(BA373-AZ373)</f>
        <v>1.0999999999999659</v>
      </c>
      <c r="BC373" s="367"/>
      <c r="BD373" s="366">
        <f>'[8]COM 55 &amp; 65'!$J458</f>
        <v>0</v>
      </c>
      <c r="BE373" s="366">
        <f t="shared" si="222"/>
        <v>0</v>
      </c>
      <c r="BF373" s="368">
        <f t="shared" ref="BF373" si="2320">(BE373-BD373)</f>
        <v>0</v>
      </c>
      <c r="BH373" s="244">
        <f t="shared" si="2164"/>
        <v>800.60419999997521</v>
      </c>
      <c r="BI373" s="242">
        <f t="shared" si="2165"/>
        <v>0</v>
      </c>
      <c r="BJ373" s="242"/>
      <c r="BK373" s="241">
        <f t="shared" ref="BK373" si="2321">ROUND(SUM(BH373,BI373),0)</f>
        <v>801</v>
      </c>
      <c r="BL373" s="262"/>
      <c r="BM373" s="36" t="s">
        <v>18</v>
      </c>
      <c r="BN373" s="4">
        <f t="shared" si="2066"/>
        <v>2013</v>
      </c>
      <c r="BO373" s="4">
        <f t="shared" si="2067"/>
        <v>9</v>
      </c>
      <c r="BP373" s="108">
        <f>C373+[4]MWh!$AK207</f>
        <v>1022943.3385850057</v>
      </c>
      <c r="BQ373" s="76">
        <f t="shared" ref="BQ373" si="2322">BP373/D373*1000</f>
        <v>6171.4921514844718</v>
      </c>
      <c r="BR373" s="130">
        <f t="shared" ref="BR373" si="2323">BT373/D373*1000</f>
        <v>6176.3246432040796</v>
      </c>
      <c r="BS373" s="108">
        <f t="shared" ref="BS373" si="2324">BR373-BR361</f>
        <v>-651.03467819664729</v>
      </c>
      <c r="BT373" s="175">
        <f t="shared" ref="BT373" si="2325">BK373+BP373</f>
        <v>1023744.3385850057</v>
      </c>
      <c r="BU373" s="108">
        <f t="shared" ref="BU373" si="2326">BT373-BT361</f>
        <v>-71022.728601600858</v>
      </c>
      <c r="BV373" s="137">
        <f t="shared" ref="BV373" si="2327">BT373-BP373</f>
        <v>801</v>
      </c>
      <c r="BW373" s="529">
        <f>BT373/[9]CMWh!$L253</f>
        <v>0.92012451619383684</v>
      </c>
    </row>
    <row r="374" spans="1:75" ht="12.75" customHeight="1">
      <c r="A374" s="22">
        <f t="shared" si="1529"/>
        <v>2013</v>
      </c>
      <c r="B374" s="4">
        <f t="shared" si="1530"/>
        <v>10</v>
      </c>
      <c r="C374" s="5">
        <f>'[2]FPC wSEB'!$E471</f>
        <v>1069777</v>
      </c>
      <c r="D374" s="5">
        <f>'[2]FPC wSEB'!$Y471</f>
        <v>166811</v>
      </c>
      <c r="E374" s="74">
        <f t="shared" ref="E374" si="2328">ROUND((C374/D374)*1000,1)</f>
        <v>6413.1</v>
      </c>
      <c r="F374" s="377">
        <f>ROUND([11]Oct!$Q$4/1000,0)</f>
        <v>103911</v>
      </c>
      <c r="G374" s="377">
        <f>ROUND([11]Oct!$P$4,0)</f>
        <v>111843</v>
      </c>
      <c r="H374" s="377">
        <f>ROUND([11]Oct!$Q$11/1000,0)</f>
        <v>12533</v>
      </c>
      <c r="I374" s="377">
        <f>ROUND([11]Oct!$P$11,0)</f>
        <v>5359</v>
      </c>
      <c r="J374" s="574">
        <f>[5]CC!$E254</f>
        <v>165846</v>
      </c>
      <c r="K374" s="76">
        <f>'[7]COM 55 &amp; 65'!$S459</f>
        <v>453.7</v>
      </c>
      <c r="L374" s="4">
        <f t="shared" si="216"/>
        <v>431.2</v>
      </c>
      <c r="M374" s="135">
        <f t="shared" ref="M374" si="2329">(L374-K374)</f>
        <v>-22.5</v>
      </c>
      <c r="N374" s="4">
        <f>'[7]COM 55 &amp; 65'!$J459</f>
        <v>0</v>
      </c>
      <c r="O374" s="4">
        <f t="shared" si="209"/>
        <v>0.2</v>
      </c>
      <c r="P374" s="41">
        <f t="shared" ref="P374" si="2330">(O374-N374)</f>
        <v>0.2</v>
      </c>
      <c r="Q374" s="474">
        <f t="shared" ref="Q374" si="2331">M374*$I$10</f>
        <v>-16375.995000000001</v>
      </c>
      <c r="R374" s="472">
        <f t="shared" ref="R374" si="2332">P374*$I$9</f>
        <v>170.44300000000001</v>
      </c>
      <c r="S374" s="241">
        <f t="shared" ref="S374" si="2333">ROUND(SUM(Q374,R374),0)</f>
        <v>-16206</v>
      </c>
      <c r="T374" s="13" t="s">
        <v>18</v>
      </c>
      <c r="U374" s="23">
        <f t="shared" si="2008"/>
        <v>2013</v>
      </c>
      <c r="V374" s="23">
        <f t="shared" si="2009"/>
        <v>10</v>
      </c>
      <c r="W374" s="336">
        <f t="shared" ref="W374" si="2334">Z374/D374*1000</f>
        <v>6315.9563817733842</v>
      </c>
      <c r="X374" s="338">
        <f t="shared" ref="X374" si="2335">W374-W362</f>
        <v>39.101897724498485</v>
      </c>
      <c r="Y374" s="339"/>
      <c r="Z374" s="178">
        <f t="shared" ref="Z374" si="2336">S374+C374</f>
        <v>1053571</v>
      </c>
      <c r="AA374" s="340">
        <f t="shared" ref="AA374" si="2337">Z374-C374</f>
        <v>-16206</v>
      </c>
      <c r="AB374" s="518">
        <f>[9]CMWh!$L254</f>
        <v>1047161</v>
      </c>
      <c r="AC374" s="341">
        <f>RESID!AC374</f>
        <v>29.75</v>
      </c>
      <c r="AD374" s="342">
        <f t="shared" ref="AD374" si="2338">ROUND(C374/(AC374/30.42),1)</f>
        <v>1093869.5</v>
      </c>
      <c r="AE374" s="342">
        <f t="shared" ref="AE374" si="2339">AD374-AD362</f>
        <v>24408.100000000093</v>
      </c>
      <c r="AF374" s="23">
        <f t="shared" ref="AF374" si="2340">AG374-C374</f>
        <v>7521</v>
      </c>
      <c r="AG374" s="23">
        <f t="shared" ref="AG374" si="2341">ROUND(Z374/(AC374/30.42),0)</f>
        <v>1077298</v>
      </c>
      <c r="AH374" s="23">
        <f t="shared" ref="AH374" si="2342">AG374-AG362</f>
        <v>25981</v>
      </c>
      <c r="AI374" s="23"/>
      <c r="AJ374" s="352">
        <f t="shared" ref="AJ374" si="2343">C374-AM374-AP374</f>
        <v>953333</v>
      </c>
      <c r="AK374" s="352">
        <f t="shared" ref="AK374" si="2344">D374-AN374-AQ374</f>
        <v>49609</v>
      </c>
      <c r="AL374" s="353">
        <f t="shared" ref="AL374" si="2345">AJ374/AK374*1000</f>
        <v>19216.936442984133</v>
      </c>
      <c r="AM374" s="352">
        <f t="shared" ref="AM374" si="2346">F374</f>
        <v>103911</v>
      </c>
      <c r="AN374" s="352">
        <f t="shared" ref="AN374" si="2347">G374</f>
        <v>111843</v>
      </c>
      <c r="AO374" s="353">
        <f t="shared" ref="AO374" si="2348">AM374/AN374*1000</f>
        <v>929.07915560204935</v>
      </c>
      <c r="AP374" s="352">
        <f t="shared" ref="AP374" si="2349">H374</f>
        <v>12533</v>
      </c>
      <c r="AQ374" s="352">
        <f t="shared" ref="AQ374" si="2350">I374</f>
        <v>5359</v>
      </c>
      <c r="AR374" s="353">
        <f t="shared" ref="AR374" si="2351">AP374/AQ374*1000</f>
        <v>2338.6825900354543</v>
      </c>
      <c r="AX374" s="4">
        <f t="shared" si="2061"/>
        <v>2013</v>
      </c>
      <c r="AY374" s="4">
        <f t="shared" si="2062"/>
        <v>10</v>
      </c>
      <c r="AZ374" s="366">
        <f>'[8]COM 55 &amp; 65'!$S459</f>
        <v>367.4</v>
      </c>
      <c r="BA374" s="366">
        <f t="shared" si="221"/>
        <v>332.5</v>
      </c>
      <c r="BB374" s="367">
        <f t="shared" ref="BB374" si="2352">(BA374-AZ374)</f>
        <v>-34.899999999999977</v>
      </c>
      <c r="BC374" s="367"/>
      <c r="BD374" s="366">
        <f>'[8]COM 55 &amp; 65'!$J459</f>
        <v>1.1000000000000001</v>
      </c>
      <c r="BE374" s="366">
        <f t="shared" si="222"/>
        <v>2</v>
      </c>
      <c r="BF374" s="368">
        <f t="shared" ref="BF374" si="2353">(BE374-BD374)</f>
        <v>0.89999999999999991</v>
      </c>
      <c r="BH374" s="244">
        <f t="shared" ref="BH374" si="2354">BB374*$I$10</f>
        <v>-25400.987799999984</v>
      </c>
      <c r="BI374" s="242">
        <f t="shared" ref="BI374" si="2355">BF374*$I$9</f>
        <v>766.99349999999993</v>
      </c>
      <c r="BJ374" s="242"/>
      <c r="BK374" s="241">
        <f t="shared" ref="BK374" si="2356">ROUND(SUM(BH374,BI374),0)</f>
        <v>-24634</v>
      </c>
      <c r="BL374" s="262"/>
      <c r="BM374" s="36" t="s">
        <v>18</v>
      </c>
      <c r="BN374" s="4">
        <f t="shared" si="2066"/>
        <v>2013</v>
      </c>
      <c r="BO374" s="4">
        <f t="shared" si="2067"/>
        <v>10</v>
      </c>
      <c r="BP374" s="108">
        <f>C374+[4]MWh!$AK208</f>
        <v>1017068.268204044</v>
      </c>
      <c r="BQ374" s="76">
        <f t="shared" ref="BQ374" si="2357">BP374/D374*1000</f>
        <v>6097.1294950815227</v>
      </c>
      <c r="BR374" s="130">
        <f t="shared" ref="BR374" si="2358">BT374/D374*1000</f>
        <v>5949.4533825949366</v>
      </c>
      <c r="BS374" s="108">
        <f t="shared" ref="BS374" si="2359">BR374-BR362</f>
        <v>130.61913343243577</v>
      </c>
      <c r="BT374" s="175">
        <f t="shared" ref="BT374" si="2360">BK374+BP374</f>
        <v>992434.26820404397</v>
      </c>
      <c r="BU374" s="108">
        <f t="shared" ref="BU374" si="2361">BT374-BT362</f>
        <v>34491.223432919709</v>
      </c>
      <c r="BV374" s="137">
        <f t="shared" ref="BV374" si="2362">BT374-BP374</f>
        <v>-24634</v>
      </c>
      <c r="BW374" s="529">
        <f>BT374/[9]CMWh!$L254</f>
        <v>0.94773799654880575</v>
      </c>
    </row>
    <row r="375" spans="1:75" ht="12.75" customHeight="1">
      <c r="A375" s="22">
        <f t="shared" si="1529"/>
        <v>2013</v>
      </c>
      <c r="B375" s="4">
        <f t="shared" si="1530"/>
        <v>11</v>
      </c>
      <c r="C375" s="5">
        <f>'[2]FPC wSEB'!$E472</f>
        <v>960526</v>
      </c>
      <c r="D375" s="5">
        <f>'[2]FPC wSEB'!$Y472</f>
        <v>174953</v>
      </c>
      <c r="E375" s="74">
        <f t="shared" ref="E375" si="2363">ROUND((C375/D375)*1000,1)</f>
        <v>5490.2</v>
      </c>
      <c r="F375" s="377">
        <f>ROUND([11]Nov!$Q$4/1000,0)</f>
        <v>91863</v>
      </c>
      <c r="G375" s="377">
        <f>ROUND([11]Nov!$P$4,0)</f>
        <v>118434</v>
      </c>
      <c r="H375" s="377">
        <f>ROUND([11]Nov!$Q$11/1000,0)</f>
        <v>12811</v>
      </c>
      <c r="I375" s="377">
        <f>ROUND([11]Nov!$P$11,0)</f>
        <v>5324</v>
      </c>
      <c r="J375" s="574">
        <f>[5]CC!$E255</f>
        <v>166882</v>
      </c>
      <c r="K375" s="76">
        <f>'[7]COM 55 &amp; 65'!$S460</f>
        <v>304.89999999999998</v>
      </c>
      <c r="L375" s="4">
        <f t="shared" si="216"/>
        <v>251.9</v>
      </c>
      <c r="M375" s="135">
        <f t="shared" ref="M375" si="2364">(L375-K375)</f>
        <v>-52.999999999999972</v>
      </c>
      <c r="N375" s="4">
        <f>'[7]COM 55 &amp; 65'!$J460</f>
        <v>1.6</v>
      </c>
      <c r="O375" s="4">
        <f t="shared" si="209"/>
        <v>6.3</v>
      </c>
      <c r="P375" s="41">
        <f t="shared" ref="P375" si="2365">(O375-N375)</f>
        <v>4.6999999999999993</v>
      </c>
      <c r="Q375" s="474">
        <f t="shared" ref="Q375" si="2366">M375*$I$10</f>
        <v>-38574.565999999977</v>
      </c>
      <c r="R375" s="472">
        <f t="shared" ref="R375" si="2367">P375*$I$9</f>
        <v>4005.4104999999995</v>
      </c>
      <c r="S375" s="241">
        <f t="shared" ref="S375" si="2368">ROUND(SUM(Q375,R375),0)</f>
        <v>-34569</v>
      </c>
      <c r="T375" s="13" t="s">
        <v>18</v>
      </c>
      <c r="U375" s="23">
        <f t="shared" si="2008"/>
        <v>2013</v>
      </c>
      <c r="V375" s="23">
        <f t="shared" si="2009"/>
        <v>11</v>
      </c>
      <c r="W375" s="336">
        <f t="shared" ref="W375" si="2369">Z375/D375*1000</f>
        <v>5292.6042994404206</v>
      </c>
      <c r="X375" s="338">
        <f t="shared" ref="X375" si="2370">W375-W363</f>
        <v>-115.84856766381017</v>
      </c>
      <c r="Y375" s="339"/>
      <c r="Z375" s="178">
        <f t="shared" ref="Z375" si="2371">S375+C375</f>
        <v>925957</v>
      </c>
      <c r="AA375" s="340">
        <f t="shared" ref="AA375" si="2372">Z375-C375</f>
        <v>-34569</v>
      </c>
      <c r="AB375" s="518">
        <f>[9]CMWh!$L255</f>
        <v>888117</v>
      </c>
      <c r="AC375" s="341">
        <f>RESID!AC375</f>
        <v>30.05</v>
      </c>
      <c r="AD375" s="342">
        <f t="shared" ref="AD375" si="2373">ROUND(C375/(AC375/30.42),1)</f>
        <v>972352.8</v>
      </c>
      <c r="AE375" s="342">
        <f t="shared" ref="AE375" si="2374">AD375-AD363</f>
        <v>1632.8000000000466</v>
      </c>
      <c r="AF375" s="23">
        <f t="shared" ref="AF375" si="2375">AG375-C375</f>
        <v>-23168</v>
      </c>
      <c r="AG375" s="23">
        <f t="shared" ref="AG375" si="2376">ROUND(Z375/(AC375/30.42),0)</f>
        <v>937358</v>
      </c>
      <c r="AH375" s="23">
        <f t="shared" ref="AH375" si="2377">AG375-AG363</f>
        <v>-31725</v>
      </c>
      <c r="AI375" s="23"/>
      <c r="AJ375" s="352">
        <f t="shared" ref="AJ375" si="2378">C375-AM375-AP375</f>
        <v>855852</v>
      </c>
      <c r="AK375" s="352">
        <f t="shared" ref="AK375" si="2379">D375-AN375-AQ375</f>
        <v>51195</v>
      </c>
      <c r="AL375" s="353">
        <f t="shared" ref="AL375" si="2380">AJ375/AK375*1000</f>
        <v>16717.49194257252</v>
      </c>
      <c r="AM375" s="352">
        <f t="shared" ref="AM375" si="2381">F375</f>
        <v>91863</v>
      </c>
      <c r="AN375" s="352">
        <f t="shared" ref="AN375" si="2382">G375</f>
        <v>118434</v>
      </c>
      <c r="AO375" s="353">
        <f t="shared" ref="AO375" si="2383">AM375/AN375*1000</f>
        <v>775.64719590658092</v>
      </c>
      <c r="AP375" s="352">
        <f t="shared" ref="AP375" si="2384">H375</f>
        <v>12811</v>
      </c>
      <c r="AQ375" s="352">
        <f t="shared" ref="AQ375" si="2385">I375</f>
        <v>5324</v>
      </c>
      <c r="AR375" s="353">
        <f t="shared" ref="AR375" si="2386">AP375/AQ375*1000</f>
        <v>2406.2734785875282</v>
      </c>
      <c r="AX375" s="4">
        <f t="shared" si="2061"/>
        <v>2013</v>
      </c>
      <c r="AY375" s="4">
        <f t="shared" si="2062"/>
        <v>11</v>
      </c>
      <c r="AZ375" s="366">
        <f>'[8]COM 55 &amp; 65'!$S460</f>
        <v>192.3</v>
      </c>
      <c r="BA375" s="366">
        <f t="shared" si="221"/>
        <v>146</v>
      </c>
      <c r="BB375" s="367">
        <f t="shared" ref="BB375" si="2387">(BA375-AZ375)</f>
        <v>-46.300000000000011</v>
      </c>
      <c r="BC375" s="367"/>
      <c r="BD375" s="366">
        <f>'[8]COM 55 &amp; 65'!$J460</f>
        <v>11.3</v>
      </c>
      <c r="BE375" s="366">
        <f t="shared" si="222"/>
        <v>14</v>
      </c>
      <c r="BF375" s="368">
        <f t="shared" ref="BF375" si="2388">(BE375-BD375)</f>
        <v>2.6999999999999993</v>
      </c>
      <c r="BH375" s="244">
        <f t="shared" ref="BH375" si="2389">BB375*$I$10</f>
        <v>-33698.15860000001</v>
      </c>
      <c r="BI375" s="242">
        <f t="shared" ref="BI375" si="2390">BF375*$I$9</f>
        <v>2300.9804999999997</v>
      </c>
      <c r="BJ375" s="242"/>
      <c r="BK375" s="241">
        <f t="shared" ref="BK375" si="2391">ROUND(SUM(BH375,BI375),0)</f>
        <v>-31397</v>
      </c>
      <c r="BL375" s="262"/>
      <c r="BM375" s="36" t="s">
        <v>18</v>
      </c>
      <c r="BN375" s="4">
        <f t="shared" si="2066"/>
        <v>2013</v>
      </c>
      <c r="BO375" s="4">
        <f t="shared" si="2067"/>
        <v>11</v>
      </c>
      <c r="BP375" s="108">
        <f>C375+[4]MWh!$AK209</f>
        <v>892339.22749162477</v>
      </c>
      <c r="BQ375" s="76">
        <f t="shared" ref="BQ375" si="2392">BP375/D375*1000</f>
        <v>5100.4511353999342</v>
      </c>
      <c r="BR375" s="130">
        <f t="shared" ref="BR375" si="2393">BT375/D375*1000</f>
        <v>4920.9915091002995</v>
      </c>
      <c r="BS375" s="108">
        <f t="shared" ref="BS375" si="2394">BR375-BR363</f>
        <v>-19.785642870510856</v>
      </c>
      <c r="BT375" s="175">
        <f t="shared" ref="BT375" si="2395">BK375+BP375</f>
        <v>860942.22749162477</v>
      </c>
      <c r="BU375" s="108">
        <f t="shared" ref="BU375" si="2396">BT375-BT363</f>
        <v>-7755.0929221869446</v>
      </c>
      <c r="BV375" s="137">
        <f t="shared" ref="BV375" si="2397">BT375-BP375</f>
        <v>-31397</v>
      </c>
      <c r="BW375" s="529">
        <f>BT375/[9]CMWh!$L255</f>
        <v>0.96940181022503202</v>
      </c>
    </row>
    <row r="376" spans="1:75" ht="12.75" customHeight="1">
      <c r="A376" s="22">
        <f t="shared" si="1529"/>
        <v>2013</v>
      </c>
      <c r="B376" s="4">
        <f t="shared" si="1530"/>
        <v>12</v>
      </c>
      <c r="C376" s="5">
        <f>'[2]FPC wSEB'!$E473</f>
        <v>922218</v>
      </c>
      <c r="D376" s="5">
        <f>'[2]FPC wSEB'!$Y473</f>
        <v>175057</v>
      </c>
      <c r="E376" s="74">
        <f t="shared" ref="E376" si="2398">ROUND((C376/D376)*1000,1)</f>
        <v>5268.1</v>
      </c>
      <c r="F376" s="377">
        <f>ROUND([11]Dec!$Q$4/1000,0)</f>
        <v>87937</v>
      </c>
      <c r="G376" s="377">
        <f>ROUND([11]Dec!$P$4,0)</f>
        <v>121217</v>
      </c>
      <c r="H376" s="377">
        <f>ROUND([11]Dec!$Q$11/1000,0)</f>
        <v>12679</v>
      </c>
      <c r="I376" s="377">
        <f>ROUND([11]Dec!$P$11,0)</f>
        <v>5327</v>
      </c>
      <c r="J376" s="574">
        <f>[5]CC!$E256</f>
        <v>166263</v>
      </c>
      <c r="K376" s="76">
        <f>'[7]COM 55 &amp; 65'!$S461</f>
        <v>188.1</v>
      </c>
      <c r="L376" s="4">
        <f t="shared" si="216"/>
        <v>119.4</v>
      </c>
      <c r="M376" s="135">
        <f t="shared" ref="M376" si="2399">(L376-K376)</f>
        <v>-68.699999999999989</v>
      </c>
      <c r="N376" s="4">
        <f>'[7]COM 55 &amp; 65'!$J461</f>
        <v>12.2</v>
      </c>
      <c r="O376" s="4">
        <f t="shared" si="209"/>
        <v>30.1</v>
      </c>
      <c r="P376" s="41">
        <f t="shared" ref="P376" si="2400">(O376-N376)</f>
        <v>17.900000000000002</v>
      </c>
      <c r="Q376" s="474">
        <f t="shared" ref="Q376" si="2401">M376*$I$10</f>
        <v>-50001.371399999989</v>
      </c>
      <c r="R376" s="472">
        <f t="shared" ref="R376" si="2402">P376*$I$9</f>
        <v>15254.648500000003</v>
      </c>
      <c r="S376" s="241">
        <f t="shared" ref="S376" si="2403">ROUND(SUM(Q376,R376),0)</f>
        <v>-34747</v>
      </c>
      <c r="T376" s="13" t="s">
        <v>18</v>
      </c>
      <c r="U376" s="23">
        <f t="shared" si="2008"/>
        <v>2013</v>
      </c>
      <c r="V376" s="23">
        <f t="shared" si="2009"/>
        <v>12</v>
      </c>
      <c r="W376" s="336">
        <f t="shared" ref="W376" si="2404">Z376/D376*1000</f>
        <v>5069.6116122177345</v>
      </c>
      <c r="X376" s="338">
        <f t="shared" ref="X376" si="2405">W376-W364</f>
        <v>-308.95548132517524</v>
      </c>
      <c r="Y376" s="339"/>
      <c r="Z376" s="178">
        <f t="shared" ref="Z376" si="2406">S376+C376</f>
        <v>887471</v>
      </c>
      <c r="AA376" s="340">
        <f t="shared" ref="AA376" si="2407">Z376-C376</f>
        <v>-34747</v>
      </c>
      <c r="AB376" s="518">
        <f>[9]CMWh!$L256</f>
        <v>878828</v>
      </c>
      <c r="AC376" s="341">
        <f>RESID!AC376</f>
        <v>31.05</v>
      </c>
      <c r="AD376" s="342">
        <f t="shared" ref="AD376" si="2408">ROUND(C376/(AC376/30.42),1)</f>
        <v>903506.3</v>
      </c>
      <c r="AE376" s="342">
        <f t="shared" ref="AE376" si="2409">AD376-AD364</f>
        <v>87106.300000000047</v>
      </c>
      <c r="AF376" s="23">
        <f t="shared" ref="AF376" si="2410">AG376-C376</f>
        <v>-52754</v>
      </c>
      <c r="AG376" s="23">
        <f t="shared" ref="AG376" si="2411">ROUND(Z376/(AC376/30.42),0)</f>
        <v>869464</v>
      </c>
      <c r="AH376" s="23">
        <f t="shared" ref="AH376" si="2412">AG376-AG364</f>
        <v>28849</v>
      </c>
      <c r="AI376" s="23"/>
      <c r="AJ376" s="352">
        <f t="shared" ref="AJ376" si="2413">C376-AM376-AP376</f>
        <v>821602</v>
      </c>
      <c r="AK376" s="352">
        <f t="shared" ref="AK376" si="2414">D376-AN376-AQ376</f>
        <v>48513</v>
      </c>
      <c r="AL376" s="353">
        <f t="shared" ref="AL376" si="2415">AJ376/AK376*1000</f>
        <v>16935.707954568879</v>
      </c>
      <c r="AM376" s="352">
        <f t="shared" ref="AM376" si="2416">F376</f>
        <v>87937</v>
      </c>
      <c r="AN376" s="352">
        <f t="shared" ref="AN376" si="2417">G376</f>
        <v>121217</v>
      </c>
      <c r="AO376" s="353">
        <f t="shared" ref="AO376" si="2418">AM376/AN376*1000</f>
        <v>725.45105059521359</v>
      </c>
      <c r="AP376" s="352">
        <f t="shared" ref="AP376" si="2419">H376</f>
        <v>12679</v>
      </c>
      <c r="AQ376" s="352">
        <f t="shared" ref="AQ376" si="2420">I376</f>
        <v>5327</v>
      </c>
      <c r="AR376" s="353">
        <f t="shared" ref="AR376" si="2421">AP376/AQ376*1000</f>
        <v>2380.138914961517</v>
      </c>
      <c r="AX376" s="4">
        <f t="shared" si="2061"/>
        <v>2013</v>
      </c>
      <c r="AY376" s="4">
        <f t="shared" si="2062"/>
        <v>12</v>
      </c>
      <c r="AZ376" s="366">
        <f>'[8]COM 55 &amp; 65'!$S461</f>
        <v>142.6</v>
      </c>
      <c r="BA376" s="366">
        <f t="shared" si="221"/>
        <v>75.7</v>
      </c>
      <c r="BB376" s="367">
        <f t="shared" ref="BB376" si="2422">(BA376-AZ376)</f>
        <v>-66.899999999999991</v>
      </c>
      <c r="BC376" s="367"/>
      <c r="BD376" s="366">
        <f>'[8]COM 55 &amp; 65'!$J461</f>
        <v>14.6</v>
      </c>
      <c r="BE376" s="366">
        <f t="shared" si="222"/>
        <v>44.3</v>
      </c>
      <c r="BF376" s="368">
        <f t="shared" ref="BF376" si="2423">(BE376-BD376)</f>
        <v>29.699999999999996</v>
      </c>
      <c r="BH376" s="244">
        <f t="shared" ref="BH376" si="2424">BB376*$I$10</f>
        <v>-48691.291799999992</v>
      </c>
      <c r="BI376" s="242">
        <f t="shared" ref="BI376" si="2425">BF376*$I$9</f>
        <v>25310.785499999998</v>
      </c>
      <c r="BJ376" s="242"/>
      <c r="BK376" s="241">
        <f t="shared" ref="BK376" si="2426">ROUND(SUM(BH376,BI376),0)</f>
        <v>-23381</v>
      </c>
      <c r="BL376" s="262"/>
      <c r="BM376" s="36" t="s">
        <v>18</v>
      </c>
      <c r="BN376" s="4">
        <f t="shared" si="2066"/>
        <v>2013</v>
      </c>
      <c r="BO376" s="4">
        <f t="shared" si="2067"/>
        <v>12</v>
      </c>
      <c r="BP376" s="108">
        <f>C376+[4]MWh!$AK210</f>
        <v>882469.79845945654</v>
      </c>
      <c r="BQ376" s="76">
        <f t="shared" ref="BQ376" si="2427">BP376/D376*1000</f>
        <v>5041.042623028251</v>
      </c>
      <c r="BR376" s="130">
        <f t="shared" ref="BR376" si="2428">BT376/D376*1000</f>
        <v>4907.4804118627453</v>
      </c>
      <c r="BS376" s="108">
        <f t="shared" ref="BS376" si="2429">BR376-BR364</f>
        <v>-802.99329178916651</v>
      </c>
      <c r="BT376" s="175">
        <f t="shared" ref="BT376" si="2430">BK376+BP376</f>
        <v>859088.79845945654</v>
      </c>
      <c r="BU376" s="108">
        <f t="shared" ref="BU376" si="2431">BT376-BT364</f>
        <v>-72420.803501354298</v>
      </c>
      <c r="BV376" s="137">
        <f t="shared" ref="BV376" si="2432">BT376-BP376</f>
        <v>-23381</v>
      </c>
      <c r="BW376" s="529">
        <f>BT376/[9]CMWh!$L256</f>
        <v>0.97753917542392432</v>
      </c>
    </row>
    <row r="377" spans="1:75" ht="12.75" customHeight="1">
      <c r="A377" s="22">
        <f t="shared" si="1529"/>
        <v>2014</v>
      </c>
      <c r="B377" s="4">
        <f t="shared" si="1530"/>
        <v>1</v>
      </c>
      <c r="K377" s="4"/>
      <c r="L377" s="6"/>
      <c r="N377" s="4"/>
      <c r="O377" s="5"/>
      <c r="Q377" s="6"/>
      <c r="Z377" s="6"/>
      <c r="AA377" s="86"/>
    </row>
    <row r="378" spans="1:75" ht="12.75" customHeight="1">
      <c r="K378" s="4"/>
      <c r="L378" s="6"/>
      <c r="N378" s="4"/>
      <c r="O378" s="5"/>
      <c r="Q378" s="6"/>
      <c r="Z378" s="6"/>
      <c r="AA378" s="86"/>
    </row>
    <row r="379" spans="1:75" ht="12.75" customHeight="1">
      <c r="K379" s="4"/>
      <c r="L379" s="6"/>
      <c r="N379" s="4"/>
      <c r="O379" s="5"/>
      <c r="Q379" s="6"/>
      <c r="Z379" s="6"/>
      <c r="AA379" s="86"/>
      <c r="BA379" s="384" t="s">
        <v>241</v>
      </c>
      <c r="BB379" s="385" t="s">
        <v>242</v>
      </c>
      <c r="BC379" s="143"/>
      <c r="BD379" s="386" t="s">
        <v>237</v>
      </c>
      <c r="BE379" s="386"/>
      <c r="BF379" s="386" t="s">
        <v>236</v>
      </c>
      <c r="BG379" s="387"/>
      <c r="BH379" s="388" t="s">
        <v>238</v>
      </c>
    </row>
    <row r="380" spans="1:75" ht="12.75" customHeight="1">
      <c r="K380" s="4"/>
      <c r="L380" s="6"/>
      <c r="N380" s="4"/>
      <c r="O380" s="5"/>
      <c r="Q380" s="6"/>
      <c r="Z380" s="6"/>
      <c r="AA380" s="86"/>
      <c r="BA380" s="245">
        <v>2007</v>
      </c>
      <c r="BB380" s="23">
        <v>1</v>
      </c>
      <c r="BC380" s="23"/>
      <c r="BD380" s="50">
        <f>[12]M!$AL127-6000000</f>
        <v>-5983239</v>
      </c>
      <c r="BE380" s="23"/>
      <c r="BF380" s="23">
        <f t="shared" ref="BF380:BF391" si="2433">BB293+BE293</f>
        <v>36.29999999999999</v>
      </c>
      <c r="BG380" s="389"/>
      <c r="BH380" s="390">
        <f t="shared" ref="BH380:BH391" si="2434">BD380/BF380</f>
        <v>-164827.52066115706</v>
      </c>
    </row>
    <row r="381" spans="1:75" ht="12.75" customHeight="1">
      <c r="K381" s="4"/>
      <c r="L381" s="6"/>
      <c r="N381" s="4"/>
      <c r="O381" s="5"/>
      <c r="Q381" s="6"/>
      <c r="Z381" s="6"/>
      <c r="AA381" s="86"/>
      <c r="BA381" s="245">
        <v>2007</v>
      </c>
      <c r="BB381" s="23">
        <v>2</v>
      </c>
      <c r="BC381" s="23"/>
      <c r="BD381" s="50">
        <f>[12]M!$AL128</f>
        <v>179810.89</v>
      </c>
      <c r="BE381" s="23"/>
      <c r="BF381" s="23">
        <f t="shared" si="2433"/>
        <v>71.3</v>
      </c>
      <c r="BG381" s="389"/>
      <c r="BH381" s="390">
        <f t="shared" si="2434"/>
        <v>2521.8918653576438</v>
      </c>
    </row>
    <row r="382" spans="1:75" ht="12.75" customHeight="1">
      <c r="K382" s="4"/>
      <c r="L382" s="6"/>
      <c r="N382" s="4"/>
      <c r="O382" s="5"/>
      <c r="Q382" s="6"/>
      <c r="BA382" s="245">
        <v>2007</v>
      </c>
      <c r="BB382" s="23">
        <v>3</v>
      </c>
      <c r="BC382" s="23"/>
      <c r="BD382" s="50">
        <f>[12]M!$AL129</f>
        <v>-190674.19999999998</v>
      </c>
      <c r="BE382" s="23"/>
      <c r="BF382" s="23">
        <f t="shared" si="2433"/>
        <v>-0.40000000000000036</v>
      </c>
      <c r="BG382" s="389"/>
      <c r="BH382" s="390">
        <f t="shared" si="2434"/>
        <v>476685.49999999953</v>
      </c>
    </row>
    <row r="383" spans="1:75" ht="12.75" customHeight="1">
      <c r="K383" s="4"/>
      <c r="L383" s="6"/>
      <c r="N383" s="4"/>
      <c r="O383" s="5"/>
      <c r="Q383" s="6"/>
      <c r="BA383" s="245">
        <v>2007</v>
      </c>
      <c r="BB383" s="23">
        <v>4</v>
      </c>
      <c r="BC383" s="23"/>
      <c r="BD383" s="50">
        <f>[12]M!$AL130</f>
        <v>517409.62</v>
      </c>
      <c r="BE383" s="23"/>
      <c r="BF383" s="23">
        <f t="shared" si="2433"/>
        <v>39.100000000000009</v>
      </c>
      <c r="BG383" s="389"/>
      <c r="BH383" s="390">
        <f t="shared" si="2434"/>
        <v>13232.982608695649</v>
      </c>
    </row>
    <row r="384" spans="1:75" ht="12.75" customHeight="1">
      <c r="K384" s="4"/>
      <c r="L384" s="6"/>
      <c r="N384" s="4"/>
      <c r="O384" s="5"/>
      <c r="Q384" s="6"/>
      <c r="BA384" s="245">
        <v>2007</v>
      </c>
      <c r="BB384" s="23">
        <v>5</v>
      </c>
      <c r="BC384" s="23"/>
      <c r="BD384" s="50">
        <f>[12]M!$AL131</f>
        <v>725951.85</v>
      </c>
      <c r="BE384" s="23"/>
      <c r="BF384" s="23">
        <f t="shared" si="2433"/>
        <v>47.2</v>
      </c>
      <c r="BG384" s="389"/>
      <c r="BH384" s="390">
        <f t="shared" si="2434"/>
        <v>15380.335805084744</v>
      </c>
    </row>
    <row r="385" spans="11:60" ht="12.75" customHeight="1">
      <c r="K385" s="4"/>
      <c r="L385" s="6"/>
      <c r="N385" s="4"/>
      <c r="O385" s="5"/>
      <c r="Q385" s="6"/>
      <c r="BA385" s="245">
        <v>2007</v>
      </c>
      <c r="BB385" s="23">
        <v>6</v>
      </c>
      <c r="BC385" s="23"/>
      <c r="BD385" s="50">
        <f>[12]M!$AL132</f>
        <v>213233.69</v>
      </c>
      <c r="BE385" s="23"/>
      <c r="BF385" s="23">
        <f t="shared" si="2433"/>
        <v>13.900000000000034</v>
      </c>
      <c r="BG385" s="389"/>
      <c r="BH385" s="390">
        <f t="shared" si="2434"/>
        <v>15340.553237410035</v>
      </c>
    </row>
    <row r="386" spans="11:60" ht="12.75" customHeight="1">
      <c r="K386" s="4"/>
      <c r="L386" s="6"/>
      <c r="N386" s="4"/>
      <c r="O386" s="5"/>
      <c r="Q386" s="6"/>
      <c r="BA386" s="245">
        <v>2007</v>
      </c>
      <c r="BB386" s="23">
        <v>7</v>
      </c>
      <c r="BC386" s="23"/>
      <c r="BD386" s="50">
        <f>[12]M!$AL133</f>
        <v>-123298.2</v>
      </c>
      <c r="BE386" s="23"/>
      <c r="BF386" s="23">
        <f t="shared" si="2433"/>
        <v>-8.1999999999999318</v>
      </c>
      <c r="BG386" s="389"/>
      <c r="BH386" s="390">
        <f t="shared" si="2434"/>
        <v>15036.365853658661</v>
      </c>
    </row>
    <row r="387" spans="11:60" ht="12.75" customHeight="1">
      <c r="K387" s="4"/>
      <c r="L387" s="6"/>
      <c r="N387" s="4"/>
      <c r="O387" s="5"/>
      <c r="Q387" s="6"/>
      <c r="BA387" s="245">
        <v>2007</v>
      </c>
      <c r="BB387" s="23">
        <v>8</v>
      </c>
      <c r="BC387" s="23"/>
      <c r="BD387" s="50">
        <f>[12]M!$AL134</f>
        <v>-751192.79999999993</v>
      </c>
      <c r="BE387" s="23"/>
      <c r="BF387" s="23">
        <f t="shared" si="2433"/>
        <v>-50</v>
      </c>
      <c r="BG387" s="389"/>
      <c r="BH387" s="390">
        <f t="shared" si="2434"/>
        <v>15023.855999999998</v>
      </c>
    </row>
    <row r="388" spans="11:60" ht="12.75" customHeight="1">
      <c r="K388" s="4"/>
      <c r="L388" s="6"/>
      <c r="N388" s="4"/>
      <c r="O388" s="5"/>
      <c r="Q388" s="6"/>
      <c r="BA388" s="245">
        <v>2007</v>
      </c>
      <c r="BB388" s="23">
        <v>9</v>
      </c>
      <c r="BC388" s="23"/>
      <c r="BD388" s="50">
        <f>[12]M!$AL135</f>
        <v>-160614.22</v>
      </c>
      <c r="BE388" s="23"/>
      <c r="BF388" s="23">
        <f t="shared" si="2433"/>
        <v>-10.700000000000045</v>
      </c>
      <c r="BG388" s="389"/>
      <c r="BH388" s="390">
        <f t="shared" si="2434"/>
        <v>15010.674766355076</v>
      </c>
    </row>
    <row r="389" spans="11:60" ht="12.75" customHeight="1">
      <c r="K389" s="4"/>
      <c r="L389" s="6"/>
      <c r="N389" s="4"/>
      <c r="O389" s="5"/>
      <c r="Q389" s="6"/>
      <c r="BA389" s="245">
        <v>2007</v>
      </c>
      <c r="BB389" s="23">
        <v>10</v>
      </c>
      <c r="BC389" s="23"/>
      <c r="BD389" s="50">
        <f>[12]M!$AL136</f>
        <v>-1120025.4474421537</v>
      </c>
      <c r="BE389" s="23"/>
      <c r="BF389" s="23">
        <f t="shared" si="2433"/>
        <v>-73.5</v>
      </c>
      <c r="BG389" s="389"/>
      <c r="BH389" s="390">
        <f t="shared" si="2434"/>
        <v>15238.441461798009</v>
      </c>
    </row>
    <row r="390" spans="11:60" ht="12.75" customHeight="1">
      <c r="K390" s="4"/>
      <c r="L390" s="6"/>
      <c r="N390" s="4"/>
      <c r="O390" s="5"/>
      <c r="Q390" s="6"/>
      <c r="BA390" s="245">
        <v>2007</v>
      </c>
      <c r="BB390" s="23">
        <v>11</v>
      </c>
      <c r="BC390" s="23"/>
      <c r="BD390" s="50">
        <f>[12]M!$AL137</f>
        <v>190546.25</v>
      </c>
      <c r="BE390" s="23"/>
      <c r="BF390" s="23">
        <f t="shared" si="2433"/>
        <v>25.900000000000006</v>
      </c>
      <c r="BG390" s="389"/>
      <c r="BH390" s="390">
        <f t="shared" si="2434"/>
        <v>7356.9980694980677</v>
      </c>
    </row>
    <row r="391" spans="11:60" ht="12.75" customHeight="1">
      <c r="K391" s="4"/>
      <c r="L391" s="6"/>
      <c r="N391" s="4"/>
      <c r="O391" s="5"/>
      <c r="Q391" s="6"/>
      <c r="BA391" s="245">
        <v>2007</v>
      </c>
      <c r="BB391" s="23">
        <v>12</v>
      </c>
      <c r="BC391" s="23"/>
      <c r="BD391" s="50">
        <f>[12]M!$AL138</f>
        <v>-595889.54505000007</v>
      </c>
      <c r="BE391" s="23"/>
      <c r="BF391" s="23">
        <f t="shared" si="2433"/>
        <v>-24</v>
      </c>
      <c r="BG391" s="389"/>
      <c r="BH391" s="390">
        <f t="shared" si="2434"/>
        <v>24828.731043750002</v>
      </c>
    </row>
    <row r="392" spans="11:60" ht="12.75" customHeight="1">
      <c r="K392" s="4"/>
      <c r="L392" s="6"/>
      <c r="N392" s="4"/>
      <c r="O392" s="5"/>
      <c r="Q392" s="6"/>
      <c r="BA392" s="245"/>
      <c r="BB392" s="23"/>
      <c r="BC392" s="23"/>
      <c r="BD392" s="23"/>
      <c r="BE392" s="23"/>
      <c r="BF392" s="389"/>
      <c r="BG392" s="389"/>
      <c r="BH392" s="391"/>
    </row>
    <row r="393" spans="11:60" ht="12.75" customHeight="1">
      <c r="K393" s="4"/>
      <c r="L393" s="6"/>
      <c r="N393" s="4"/>
      <c r="O393" s="5"/>
      <c r="Q393" s="6"/>
      <c r="BA393" s="245"/>
      <c r="BB393" s="23"/>
      <c r="BC393" s="23"/>
      <c r="BD393" s="23"/>
      <c r="BE393" s="23"/>
      <c r="BF393" s="389"/>
      <c r="BG393" s="392" t="s">
        <v>240</v>
      </c>
      <c r="BH393" s="393">
        <f>AVERAGE(BH380:BH391)</f>
        <v>37569.067504204191</v>
      </c>
    </row>
    <row r="394" spans="11:60" ht="12.75" customHeight="1">
      <c r="K394" s="4"/>
      <c r="L394" s="6"/>
      <c r="N394" s="4"/>
      <c r="O394" s="5"/>
      <c r="Q394" s="6"/>
      <c r="BA394" s="252"/>
      <c r="BB394" s="89"/>
      <c r="BC394" s="89"/>
      <c r="BD394" s="89"/>
      <c r="BE394" s="89"/>
      <c r="BF394" s="394"/>
      <c r="BG394" s="395" t="s">
        <v>239</v>
      </c>
      <c r="BH394" s="396">
        <f>BH393*(1-0.38575)</f>
        <v>23076.799714457422</v>
      </c>
    </row>
    <row r="395" spans="11:60" ht="12.75" customHeight="1">
      <c r="K395" s="4"/>
      <c r="L395" s="6"/>
      <c r="N395" s="4"/>
      <c r="O395" s="5"/>
      <c r="Q395" s="6"/>
    </row>
    <row r="396" spans="11:60" ht="12.75" customHeight="1">
      <c r="K396" s="4"/>
      <c r="L396" s="6"/>
      <c r="N396" s="4"/>
      <c r="O396" s="5"/>
      <c r="Q396" s="6"/>
    </row>
    <row r="397" spans="11:60" ht="12.75" customHeight="1">
      <c r="K397" s="4"/>
      <c r="L397" s="6"/>
      <c r="N397" s="4"/>
      <c r="O397" s="5"/>
      <c r="Q397" s="6"/>
    </row>
    <row r="398" spans="11:60" ht="12.75" customHeight="1">
      <c r="K398" s="4"/>
      <c r="L398" s="6"/>
      <c r="N398" s="4"/>
      <c r="O398" s="5"/>
      <c r="Q398" s="6"/>
    </row>
    <row r="399" spans="11:60" ht="12.75" customHeight="1">
      <c r="K399" s="4"/>
      <c r="L399" s="6"/>
      <c r="N399" s="4"/>
      <c r="O399" s="5"/>
      <c r="Q399" s="6"/>
    </row>
    <row r="400" spans="11:60" ht="12.75" customHeight="1">
      <c r="K400" s="4"/>
      <c r="L400" s="6"/>
      <c r="N400" s="4"/>
      <c r="O400" s="5"/>
      <c r="Q400" s="6"/>
    </row>
    <row r="401" spans="11:17" ht="12.75" customHeight="1">
      <c r="K401" s="4"/>
      <c r="L401" s="6"/>
      <c r="N401" s="4"/>
      <c r="O401" s="5"/>
      <c r="Q401" s="6"/>
    </row>
    <row r="402" spans="11:17" ht="12.75" customHeight="1">
      <c r="K402" s="4"/>
      <c r="L402" s="6"/>
      <c r="N402" s="4"/>
      <c r="O402" s="5"/>
      <c r="Q402" s="6"/>
    </row>
    <row r="403" spans="11:17" ht="12.75" customHeight="1">
      <c r="K403" s="4"/>
      <c r="L403" s="6"/>
      <c r="N403" s="4"/>
      <c r="O403" s="5"/>
      <c r="Q403" s="6"/>
    </row>
    <row r="404" spans="11:17" ht="12.75" customHeight="1">
      <c r="K404" s="4"/>
      <c r="L404" s="6"/>
      <c r="N404" s="4"/>
      <c r="O404" s="5"/>
      <c r="Q404" s="6"/>
    </row>
    <row r="405" spans="11:17" ht="12.75" customHeight="1">
      <c r="K405" s="4"/>
      <c r="L405" s="6"/>
      <c r="N405" s="4"/>
      <c r="O405" s="5"/>
      <c r="Q405" s="6"/>
    </row>
    <row r="406" spans="11:17" ht="12.75" customHeight="1">
      <c r="K406" s="4"/>
      <c r="L406" s="6"/>
      <c r="N406" s="4"/>
      <c r="O406" s="5"/>
      <c r="Q406" s="6"/>
    </row>
    <row r="407" spans="11:17" ht="12.75" customHeight="1">
      <c r="K407" s="4"/>
      <c r="L407" s="6"/>
      <c r="N407" s="4"/>
      <c r="O407" s="5"/>
      <c r="Q407" s="6"/>
    </row>
    <row r="408" spans="11:17" ht="12.75" customHeight="1">
      <c r="K408" s="4"/>
      <c r="L408" s="6"/>
      <c r="N408" s="4"/>
      <c r="O408" s="5"/>
      <c r="Q408" s="6"/>
    </row>
    <row r="409" spans="11:17" ht="12.75" customHeight="1">
      <c r="K409" s="4"/>
      <c r="L409" s="6"/>
      <c r="N409" s="4"/>
      <c r="O409" s="5"/>
      <c r="Q409" s="6"/>
    </row>
    <row r="410" spans="11:17" ht="12.75" customHeight="1">
      <c r="K410" s="4"/>
      <c r="L410" s="6"/>
      <c r="N410" s="4"/>
      <c r="O410" s="5"/>
      <c r="Q410" s="6"/>
    </row>
    <row r="411" spans="11:17" ht="12.75" customHeight="1">
      <c r="K411" s="4"/>
      <c r="L411" s="6"/>
      <c r="N411" s="4"/>
      <c r="O411" s="5"/>
      <c r="Q411" s="6"/>
    </row>
    <row r="412" spans="11:17" ht="12.75" customHeight="1">
      <c r="K412" s="4"/>
      <c r="L412" s="6"/>
      <c r="N412" s="4"/>
      <c r="O412" s="5"/>
      <c r="Q412" s="6"/>
    </row>
    <row r="413" spans="11:17" ht="12.75" customHeight="1">
      <c r="K413" s="4"/>
      <c r="L413" s="6"/>
      <c r="N413" s="4"/>
      <c r="O413" s="5"/>
      <c r="Q413" s="6"/>
    </row>
    <row r="414" spans="11:17" ht="12.75" customHeight="1">
      <c r="K414" s="4"/>
      <c r="L414" s="6"/>
      <c r="N414" s="4"/>
      <c r="O414" s="5"/>
      <c r="Q414" s="6"/>
    </row>
    <row r="415" spans="11:17" ht="12.75" customHeight="1">
      <c r="K415" s="4"/>
      <c r="L415" s="6"/>
      <c r="N415" s="4"/>
      <c r="O415" s="5"/>
      <c r="Q415" s="6"/>
    </row>
    <row r="416" spans="11:17" ht="12.75" customHeight="1">
      <c r="K416" s="4"/>
      <c r="L416" s="6"/>
      <c r="N416" s="4"/>
      <c r="O416" s="5"/>
      <c r="Q416" s="6"/>
    </row>
    <row r="417" spans="11:17" ht="12.75" customHeight="1">
      <c r="K417" s="4"/>
      <c r="L417" s="6"/>
      <c r="N417" s="4"/>
      <c r="O417" s="5"/>
      <c r="Q417" s="6"/>
    </row>
    <row r="418" spans="11:17" ht="12.75" customHeight="1">
      <c r="K418" s="4"/>
      <c r="L418" s="6"/>
      <c r="N418" s="4"/>
      <c r="O418" s="5"/>
      <c r="Q418" s="6"/>
    </row>
    <row r="419" spans="11:17" ht="12.75" customHeight="1">
      <c r="K419" s="4"/>
      <c r="L419" s="6"/>
      <c r="N419" s="4"/>
      <c r="O419" s="5"/>
      <c r="Q419" s="6"/>
    </row>
  </sheetData>
  <mergeCells count="4">
    <mergeCell ref="DA9:DG9"/>
    <mergeCell ref="AJ1:AU1"/>
    <mergeCell ref="AJ2:AU2"/>
    <mergeCell ref="DA8:DG8"/>
  </mergeCells>
  <phoneticPr fontId="4" type="noConversion"/>
  <pageMargins left="0.75" right="0.75" top="1" bottom="1" header="0.5" footer="0.5"/>
  <pageSetup orientation="portrait" r:id="rId1"/>
  <headerFooter alignWithMargins="0">
    <oddFooter>&amp;R14LGBRA-NRGPOD1-6-DOC 33
14BGBRA-STAFFROG1-19A-DOC 33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dimension ref="A1:DN403"/>
  <sheetViews>
    <sheetView tabSelected="1" zoomScale="80" zoomScaleNormal="80" workbookViewId="0">
      <pane xSplit="2" ySplit="16" topLeftCell="Y321" activePane="bottomRight" state="frozen"/>
      <selection activeCell="AW37" sqref="AW37"/>
      <selection pane="topRight" activeCell="AW37" sqref="AW37"/>
      <selection pane="bottomLeft" activeCell="AW37" sqref="AW37"/>
      <selection pane="bottomRight" activeCell="AW37" sqref="AW37"/>
    </sheetView>
  </sheetViews>
  <sheetFormatPr defaultColWidth="8.88671875" defaultRowHeight="15.75"/>
  <cols>
    <col min="1" max="1" width="7.109375" style="4" customWidth="1"/>
    <col min="2" max="2" width="6" style="4" customWidth="1"/>
    <col min="3" max="3" width="8.88671875" style="5"/>
    <col min="4" max="4" width="8.88671875" style="4"/>
    <col min="5" max="5" width="8.88671875" style="5"/>
    <col min="6" max="6" width="9.6640625" style="4" bestFit="1" customWidth="1"/>
    <col min="7" max="7" width="7.5546875" style="4" bestFit="1" customWidth="1"/>
    <col min="8" max="8" width="8.33203125" style="4" customWidth="1"/>
    <col min="9" max="9" width="6.6640625" style="4" customWidth="1"/>
    <col min="10" max="10" width="6.88671875" style="4" bestFit="1" customWidth="1"/>
    <col min="11" max="11" width="8.21875" style="4" customWidth="1"/>
    <col min="12" max="12" width="8.44140625" style="4" customWidth="1"/>
    <col min="13" max="13" width="7.88671875" style="4" customWidth="1"/>
    <col min="14" max="14" width="10.44140625" style="4" bestFit="1" customWidth="1"/>
    <col min="15" max="15" width="5.5546875" style="4" bestFit="1" customWidth="1"/>
    <col min="16" max="16" width="10.44140625" style="6" customWidth="1"/>
    <col min="17" max="17" width="7.109375" style="6" customWidth="1"/>
    <col min="18" max="18" width="10.44140625" style="6" bestFit="1" customWidth="1"/>
    <col min="19" max="19" width="7.109375" style="5" bestFit="1" customWidth="1"/>
    <col min="20" max="20" width="7.109375" style="4" bestFit="1" customWidth="1"/>
    <col min="21" max="21" width="8.88671875" style="4" customWidth="1"/>
    <col min="22" max="22" width="9.44140625" style="4" customWidth="1"/>
    <col min="23" max="23" width="8.88671875" style="5"/>
    <col min="24" max="24" width="9.5546875" style="4" bestFit="1" customWidth="1"/>
    <col min="25" max="25" width="8.88671875" style="4"/>
    <col min="26" max="26" width="11" style="6" customWidth="1"/>
    <col min="27" max="27" width="10.5546875" style="4" customWidth="1"/>
    <col min="28" max="28" width="10.77734375" style="4" bestFit="1" customWidth="1"/>
    <col min="29" max="29" width="7.33203125" style="4" bestFit="1" customWidth="1"/>
    <col min="30" max="30" width="7.44140625" style="4" bestFit="1" customWidth="1"/>
    <col min="31" max="31" width="9" style="4" bestFit="1" customWidth="1"/>
    <col min="32" max="32" width="7.88671875" style="4" bestFit="1" customWidth="1"/>
    <col min="33" max="33" width="8.88671875" style="4"/>
    <col min="34" max="34" width="10.33203125" style="245" bestFit="1" customWidth="1"/>
    <col min="35" max="35" width="10.88671875" style="4" customWidth="1"/>
    <col min="36" max="36" width="5.88671875" style="4" customWidth="1"/>
    <col min="37" max="37" width="10.5546875" style="4" customWidth="1"/>
    <col min="38" max="38" width="5.6640625" style="4" bestFit="1" customWidth="1"/>
    <col min="39" max="39" width="9.109375" style="4" customWidth="1"/>
    <col min="40" max="40" width="5.6640625" style="4" bestFit="1" customWidth="1"/>
    <col min="41" max="41" width="7" style="4" bestFit="1" customWidth="1"/>
    <col min="42" max="42" width="6.44140625" style="4" customWidth="1"/>
    <col min="43" max="43" width="7.109375" style="4" customWidth="1"/>
    <col min="44" max="44" width="5.6640625" style="4" bestFit="1" customWidth="1"/>
    <col min="45" max="45" width="6.6640625" style="4" customWidth="1"/>
    <col min="46" max="46" width="7" style="4" bestFit="1" customWidth="1"/>
    <col min="47" max="47" width="6.6640625" style="4" bestFit="1" customWidth="1"/>
    <col min="48" max="48" width="3.5546875" style="4" bestFit="1" customWidth="1"/>
    <col min="49" max="49" width="8.109375" style="4" bestFit="1" customWidth="1"/>
    <col min="50" max="50" width="8.5546875" style="4" bestFit="1" customWidth="1"/>
    <col min="51" max="51" width="6" style="4" bestFit="1" customWidth="1"/>
    <col min="52" max="52" width="5.44140625" style="4" bestFit="1" customWidth="1"/>
    <col min="53" max="53" width="9.5546875" style="4" customWidth="1"/>
    <col min="54" max="54" width="6.33203125" style="4" bestFit="1" customWidth="1"/>
    <col min="55" max="57" width="9.109375" style="9" customWidth="1"/>
    <col min="58" max="58" width="9.109375" style="10" bestFit="1" customWidth="1"/>
    <col min="59" max="59" width="8.44140625" style="11" bestFit="1" customWidth="1"/>
    <col min="60" max="60" width="7.33203125" style="4" customWidth="1"/>
    <col min="61" max="61" width="3.21875" style="4" bestFit="1" customWidth="1"/>
    <col min="62" max="62" width="10.109375" style="4" bestFit="1" customWidth="1"/>
    <col min="63" max="63" width="7.77734375" style="4" customWidth="1"/>
    <col min="64" max="64" width="8.6640625" style="4" bestFit="1" customWidth="1"/>
    <col min="65" max="65" width="8.88671875" style="4"/>
    <col min="66" max="66" width="8.88671875" style="6"/>
    <col min="67" max="67" width="7.77734375" style="6" customWidth="1"/>
    <col min="68" max="68" width="10.109375" style="4" bestFit="1" customWidth="1"/>
    <col min="69" max="70" width="8.88671875" style="4"/>
    <col min="71" max="71" width="9.6640625" style="4" bestFit="1" customWidth="1"/>
    <col min="72" max="72" width="8.77734375" style="6" bestFit="1" customWidth="1"/>
    <col min="73" max="73" width="9.44140625" style="4" customWidth="1"/>
    <col min="74" max="74" width="8.77734375" style="4" bestFit="1" customWidth="1"/>
    <col min="75" max="75" width="9.5546875" style="4" bestFit="1" customWidth="1"/>
    <col min="76" max="76" width="6.6640625" style="4" bestFit="1" customWidth="1"/>
    <col min="77" max="77" width="5.5546875" style="4" bestFit="1" customWidth="1"/>
    <col min="78" max="78" width="11.5546875" style="4" customWidth="1"/>
    <col min="79" max="79" width="10.77734375" style="4" bestFit="1" customWidth="1"/>
    <col min="80" max="80" width="8.77734375" style="4" customWidth="1"/>
    <col min="81" max="81" width="9.88671875" style="4" customWidth="1"/>
    <col min="82" max="82" width="9.44140625" style="4" customWidth="1"/>
    <col min="83" max="83" width="5" style="4" bestFit="1" customWidth="1"/>
    <col min="84" max="84" width="11" style="4" customWidth="1"/>
    <col min="85" max="85" width="5" style="4" bestFit="1" customWidth="1"/>
    <col min="86" max="86" width="7.21875" style="4" bestFit="1" customWidth="1"/>
    <col min="87" max="87" width="5.77734375" style="4" bestFit="1" customWidth="1"/>
    <col min="88" max="88" width="12.109375" style="4" customWidth="1"/>
    <col min="89" max="89" width="14" style="4" customWidth="1"/>
    <col min="90" max="90" width="12" style="4" customWidth="1"/>
    <col min="91" max="91" width="11.5546875" style="4" customWidth="1"/>
    <col min="92" max="94" width="8.88671875" style="4"/>
    <col min="95" max="95" width="10.109375" style="4" customWidth="1"/>
    <col min="96" max="98" width="8.88671875" style="4"/>
    <col min="99" max="99" width="10.33203125" style="4" customWidth="1"/>
    <col min="100" max="100" width="10.33203125" style="4" bestFit="1" customWidth="1"/>
    <col min="101" max="101" width="12.33203125" style="4" bestFit="1" customWidth="1"/>
    <col min="102" max="102" width="9.88671875" style="4" bestFit="1" customWidth="1"/>
    <col min="103" max="105" width="8.88671875" style="4"/>
    <col min="106" max="106" width="8.77734375"/>
    <col min="107" max="107" width="8.88671875" style="4"/>
    <col min="108" max="108" width="10.77734375" style="4" bestFit="1" customWidth="1"/>
    <col min="109" max="109" width="8.88671875" style="4"/>
    <col min="110" max="110" width="10.77734375" style="4" bestFit="1" customWidth="1"/>
    <col min="111" max="111" width="11.77734375" style="4" bestFit="1" customWidth="1"/>
    <col min="112" max="112" width="10.77734375" style="4" bestFit="1" customWidth="1"/>
    <col min="113" max="113" width="10.109375" style="4" bestFit="1" customWidth="1"/>
    <col min="114" max="16384" width="8.88671875" style="4"/>
  </cols>
  <sheetData>
    <row r="1" spans="1:112">
      <c r="A1" s="3" t="s">
        <v>57</v>
      </c>
      <c r="AH1" s="591" t="s">
        <v>58</v>
      </c>
      <c r="AI1" s="591"/>
      <c r="AJ1" s="591"/>
      <c r="AK1" s="591"/>
      <c r="AL1" s="591"/>
      <c r="AM1" s="591"/>
      <c r="AN1" s="591"/>
      <c r="AO1" s="591"/>
      <c r="AP1" s="591"/>
      <c r="AQ1" s="591"/>
      <c r="AR1" s="591"/>
      <c r="AS1" s="591"/>
      <c r="AT1" s="8"/>
      <c r="BM1" s="8"/>
    </row>
    <row r="2" spans="1:112">
      <c r="A2" s="12"/>
      <c r="AH2" s="592" t="s">
        <v>244</v>
      </c>
      <c r="AI2" s="591"/>
      <c r="AJ2" s="591"/>
      <c r="AK2" s="591"/>
      <c r="AL2" s="591"/>
      <c r="AM2" s="591"/>
      <c r="AN2" s="591"/>
      <c r="AO2" s="591"/>
      <c r="AP2" s="591"/>
      <c r="AQ2" s="591"/>
      <c r="AR2" s="591"/>
      <c r="AS2" s="591"/>
      <c r="AT2" s="8"/>
      <c r="BM2" s="8"/>
    </row>
    <row r="3" spans="1:112">
      <c r="A3" s="14" t="s">
        <v>59</v>
      </c>
      <c r="C3" s="4"/>
      <c r="E3" s="4"/>
      <c r="K3" s="374"/>
    </row>
    <row r="4" spans="1:112">
      <c r="A4" s="361" t="s">
        <v>257</v>
      </c>
      <c r="C4" s="4"/>
      <c r="E4" s="4"/>
      <c r="K4" s="379"/>
    </row>
    <row r="5" spans="1:112">
      <c r="K5" s="379"/>
      <c r="AI5" s="23"/>
      <c r="AK5" s="256" t="s">
        <v>97</v>
      </c>
      <c r="AL5" s="23"/>
      <c r="AM5" s="23"/>
      <c r="AN5" s="23"/>
      <c r="AO5" s="23"/>
      <c r="AP5" s="23"/>
      <c r="AQ5" s="23"/>
      <c r="AR5" s="23"/>
      <c r="AS5" s="356" t="s">
        <v>306</v>
      </c>
      <c r="BY5" s="22" t="s">
        <v>130</v>
      </c>
      <c r="BZ5" s="23"/>
      <c r="CF5" s="13" t="s">
        <v>157</v>
      </c>
    </row>
    <row r="6" spans="1:112">
      <c r="A6" s="4" t="s">
        <v>201</v>
      </c>
      <c r="C6" s="170" t="s">
        <v>202</v>
      </c>
      <c r="M6" s="379"/>
      <c r="O6" s="356" t="s">
        <v>234</v>
      </c>
      <c r="P6" s="4"/>
      <c r="Q6" s="4"/>
      <c r="AI6" s="255" t="s">
        <v>40</v>
      </c>
      <c r="AJ6" s="29" t="s">
        <v>42</v>
      </c>
      <c r="AK6" s="256" t="s">
        <v>4</v>
      </c>
      <c r="AL6" s="29" t="s">
        <v>42</v>
      </c>
      <c r="AM6" s="255" t="s">
        <v>193</v>
      </c>
      <c r="AN6" s="29" t="s">
        <v>42</v>
      </c>
      <c r="AO6" s="255" t="s">
        <v>40</v>
      </c>
      <c r="AP6" s="29"/>
      <c r="AQ6" s="253" t="s">
        <v>3</v>
      </c>
      <c r="AR6" s="29" t="s">
        <v>42</v>
      </c>
      <c r="AS6" s="255" t="s">
        <v>193</v>
      </c>
      <c r="BZ6" s="29" t="s">
        <v>40</v>
      </c>
      <c r="CB6" s="13"/>
      <c r="CD6" s="356" t="s">
        <v>40</v>
      </c>
      <c r="CF6" s="30" t="s">
        <v>3</v>
      </c>
    </row>
    <row r="7" spans="1:112">
      <c r="A7" s="15" t="s">
        <v>1</v>
      </c>
      <c r="B7" s="15"/>
      <c r="C7" s="13" t="s">
        <v>170</v>
      </c>
      <c r="D7" s="170">
        <v>2007</v>
      </c>
      <c r="E7" s="170">
        <v>2008</v>
      </c>
      <c r="F7" s="170">
        <v>2009</v>
      </c>
      <c r="G7" s="170" t="s">
        <v>267</v>
      </c>
      <c r="H7" s="463" t="s">
        <v>287</v>
      </c>
      <c r="I7" s="463">
        <v>2013</v>
      </c>
      <c r="K7" s="69"/>
      <c r="L7" s="69"/>
      <c r="M7" s="354">
        <v>2007</v>
      </c>
      <c r="N7" s="69"/>
      <c r="O7" s="374" t="s">
        <v>235</v>
      </c>
      <c r="P7" s="4"/>
      <c r="Q7" s="4"/>
      <c r="AH7" s="228" t="s">
        <v>8</v>
      </c>
      <c r="AI7" s="35" t="s">
        <v>61</v>
      </c>
      <c r="AJ7" s="229" t="s">
        <v>46</v>
      </c>
      <c r="AK7" s="254" t="s">
        <v>61</v>
      </c>
      <c r="AL7" s="229" t="s">
        <v>46</v>
      </c>
      <c r="AM7" s="123" t="s">
        <v>62</v>
      </c>
      <c r="AN7" s="229" t="s">
        <v>46</v>
      </c>
      <c r="AO7" s="35" t="s">
        <v>60</v>
      </c>
      <c r="AP7" s="229" t="s">
        <v>9</v>
      </c>
      <c r="AQ7" s="254" t="s">
        <v>60</v>
      </c>
      <c r="AR7" s="229" t="s">
        <v>46</v>
      </c>
      <c r="AS7" s="35" t="s">
        <v>60</v>
      </c>
      <c r="BY7" s="34" t="s">
        <v>8</v>
      </c>
      <c r="BZ7" s="35" t="s">
        <v>61</v>
      </c>
      <c r="CA7" s="36" t="s">
        <v>42</v>
      </c>
      <c r="CB7" s="129" t="s">
        <v>220</v>
      </c>
      <c r="CC7" s="356" t="s">
        <v>221</v>
      </c>
      <c r="CD7" s="36" t="s">
        <v>60</v>
      </c>
      <c r="CE7" s="36" t="s">
        <v>42</v>
      </c>
      <c r="CF7" s="37" t="s">
        <v>61</v>
      </c>
      <c r="CG7" s="36" t="s">
        <v>42</v>
      </c>
      <c r="CH7" s="4" t="s">
        <v>66</v>
      </c>
      <c r="CI7" s="36" t="s">
        <v>42</v>
      </c>
    </row>
    <row r="8" spans="1:112" ht="12.75">
      <c r="A8" s="38" t="s">
        <v>63</v>
      </c>
      <c r="B8" s="38"/>
      <c r="C8" s="129" t="s">
        <v>7</v>
      </c>
      <c r="D8" s="129" t="s">
        <v>7</v>
      </c>
      <c r="E8" s="129" t="s">
        <v>7</v>
      </c>
      <c r="F8" s="129" t="s">
        <v>7</v>
      </c>
      <c r="G8" s="129" t="s">
        <v>7</v>
      </c>
      <c r="H8" s="129" t="s">
        <v>7</v>
      </c>
      <c r="I8" s="129" t="s">
        <v>7</v>
      </c>
      <c r="K8" s="31" t="s">
        <v>226</v>
      </c>
      <c r="L8" s="31" t="s">
        <v>227</v>
      </c>
      <c r="M8" s="31" t="s">
        <v>228</v>
      </c>
      <c r="N8" s="36" t="s">
        <v>5</v>
      </c>
      <c r="O8" s="31" t="s">
        <v>229</v>
      </c>
      <c r="P8" s="31" t="s">
        <v>230</v>
      </c>
      <c r="Q8" s="31"/>
      <c r="R8" s="68" t="s">
        <v>231</v>
      </c>
      <c r="T8" s="23"/>
      <c r="AH8" s="227">
        <v>1984</v>
      </c>
      <c r="AI8" s="84">
        <f>ROUND(SUM(C17:C28),0)</f>
        <v>8553596</v>
      </c>
      <c r="AK8" s="50">
        <f>ROUND(SUM(Z17:Z28),0)</f>
        <v>8455002</v>
      </c>
      <c r="AL8" s="23"/>
      <c r="AM8" s="50">
        <f>ROUND(AVERAGE(D17:D28),0)</f>
        <v>804149</v>
      </c>
      <c r="AN8" s="23"/>
      <c r="AO8" s="50">
        <f t="shared" ref="AO8:AO29" si="0">AI8/AM8*1000</f>
        <v>10636.829741751839</v>
      </c>
      <c r="AP8" s="23"/>
      <c r="AQ8" s="50">
        <f t="shared" ref="AQ8:AQ29" si="1">ROUND((AK8/AM8*1000),0)</f>
        <v>10514</v>
      </c>
      <c r="AR8" s="23"/>
      <c r="BY8" s="22">
        <v>1984</v>
      </c>
      <c r="DB8" s="600" t="s">
        <v>288</v>
      </c>
      <c r="DC8" s="601"/>
      <c r="DD8" s="601"/>
      <c r="DE8" s="601"/>
      <c r="DF8" s="601"/>
      <c r="DG8" s="601"/>
      <c r="DH8" s="602"/>
    </row>
    <row r="9" spans="1:112" ht="12.75">
      <c r="A9" s="14" t="s">
        <v>173</v>
      </c>
      <c r="B9" s="41"/>
      <c r="C9" s="223">
        <v>2.71</v>
      </c>
      <c r="D9" s="170">
        <v>3.0880000000000001</v>
      </c>
      <c r="E9" s="170">
        <v>3.0009999999999999</v>
      </c>
      <c r="F9" s="170">
        <v>3.0790000000000002</v>
      </c>
      <c r="G9" s="170">
        <v>3.0990000000000002</v>
      </c>
      <c r="H9" s="170">
        <v>2.68</v>
      </c>
      <c r="I9" s="170">
        <v>2.8519999999999999</v>
      </c>
      <c r="K9" s="4">
        <f>SUM(N17:N28)</f>
        <v>500.5</v>
      </c>
      <c r="L9" s="174">
        <f>E9*K9</f>
        <v>1502.0004999999999</v>
      </c>
      <c r="M9" s="4">
        <f>AVERAGE(D293:D304)</f>
        <v>1442853.3333333333</v>
      </c>
      <c r="N9" s="108">
        <f>L9*M9/1000</f>
        <v>2167166.4280933333</v>
      </c>
      <c r="O9" s="4">
        <v>36.42</v>
      </c>
      <c r="P9" s="108">
        <f>O9*N9</f>
        <v>78928201.311159208</v>
      </c>
      <c r="Q9" s="4"/>
      <c r="R9" s="175">
        <f>SUM(P9:P11)*(1-0.38575)</f>
        <v>255786809.04993621</v>
      </c>
      <c r="T9" s="23"/>
      <c r="AH9" s="227">
        <v>1985</v>
      </c>
      <c r="AI9" s="84">
        <f>ROUND(SUM(C29:C40),0)</f>
        <v>9175020</v>
      </c>
      <c r="AJ9" s="47">
        <f t="shared" ref="AJ9:AL21" si="2">(AI9/AI8-1)*100</f>
        <v>7.2650613847088374</v>
      </c>
      <c r="AK9" s="50">
        <f>ROUND(SUM(Z29:Z40),0)</f>
        <v>8634783</v>
      </c>
      <c r="AL9" s="47">
        <f t="shared" si="2"/>
        <v>2.1263271138197259</v>
      </c>
      <c r="AM9" s="50">
        <f>ROUND(AVERAGE(D29:D40),0)</f>
        <v>838672</v>
      </c>
      <c r="AN9" s="47">
        <f t="shared" ref="AN9:AP21" si="3">(AM9/AM8-1)*100</f>
        <v>4.2931098589938044</v>
      </c>
      <c r="AO9" s="50">
        <f t="shared" si="0"/>
        <v>10939.938378770246</v>
      </c>
      <c r="AP9" s="47">
        <f t="shared" si="3"/>
        <v>2.8496144469497331</v>
      </c>
      <c r="AQ9" s="50">
        <f t="shared" si="1"/>
        <v>10296</v>
      </c>
      <c r="AR9" s="47">
        <f t="shared" ref="AR9:AR21" si="4">(AQ9/AQ8-1)*100</f>
        <v>-2.0734259083127204</v>
      </c>
      <c r="BY9" s="22">
        <v>1985</v>
      </c>
      <c r="CK9" s="7" t="s">
        <v>75</v>
      </c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DB9" s="596" t="s">
        <v>289</v>
      </c>
      <c r="DC9" s="596"/>
      <c r="DD9" s="596"/>
      <c r="DE9" s="596"/>
      <c r="DF9" s="596"/>
      <c r="DG9" s="596"/>
      <c r="DH9" s="596"/>
    </row>
    <row r="10" spans="1:112">
      <c r="A10" s="14" t="s">
        <v>174</v>
      </c>
      <c r="B10" s="44"/>
      <c r="C10" s="224">
        <v>2.16</v>
      </c>
      <c r="D10" s="171">
        <v>2.1960000000000002</v>
      </c>
      <c r="E10" s="171">
        <v>2.169</v>
      </c>
      <c r="F10" s="171">
        <v>2.2400000000000002</v>
      </c>
      <c r="G10" s="171">
        <v>2.2269999999999999</v>
      </c>
      <c r="H10" s="171">
        <v>2.0880000000000001</v>
      </c>
      <c r="I10" s="171">
        <v>2.1880000000000002</v>
      </c>
      <c r="K10" s="4">
        <f>SUM(K17:K28)</f>
        <v>2990.7999999999997</v>
      </c>
      <c r="L10" s="174">
        <f>E10*K10</f>
        <v>6487.0451999999996</v>
      </c>
      <c r="M10" s="4">
        <f>M9</f>
        <v>1442853.3333333333</v>
      </c>
      <c r="N10" s="108">
        <f>L10*M10/1000</f>
        <v>9359854.7903039996</v>
      </c>
      <c r="O10" s="4">
        <f>O9</f>
        <v>36.42</v>
      </c>
      <c r="P10" s="108">
        <f>O10*N10</f>
        <v>340885911.46287167</v>
      </c>
      <c r="Q10" s="4"/>
      <c r="R10" s="176">
        <f>SUM(K9:K10)</f>
        <v>3491.2999999999997</v>
      </c>
      <c r="T10" s="23"/>
      <c r="AH10" s="227">
        <v>1986</v>
      </c>
      <c r="AI10" s="84">
        <f>ROUND(SUM(C41:C52),0)</f>
        <v>9819175</v>
      </c>
      <c r="AJ10" s="47">
        <f t="shared" si="2"/>
        <v>7.0207476386972445</v>
      </c>
      <c r="AK10" s="50">
        <f>ROUND(SUM(Z41:Z52),0)</f>
        <v>9375431</v>
      </c>
      <c r="AL10" s="47">
        <f t="shared" si="2"/>
        <v>8.5774940725204196</v>
      </c>
      <c r="AM10" s="50">
        <f>ROUND(AVERAGE(D41:D52),0)</f>
        <v>872441</v>
      </c>
      <c r="AN10" s="47">
        <f t="shared" si="3"/>
        <v>4.026484728237012</v>
      </c>
      <c r="AO10" s="50">
        <f t="shared" si="0"/>
        <v>11254.829839496309</v>
      </c>
      <c r="AP10" s="47">
        <f t="shared" si="3"/>
        <v>2.8783659452518817</v>
      </c>
      <c r="AQ10" s="50">
        <f t="shared" si="1"/>
        <v>10746</v>
      </c>
      <c r="AR10" s="47">
        <f t="shared" si="4"/>
        <v>4.3706293706293753</v>
      </c>
      <c r="BY10" s="22">
        <v>1986</v>
      </c>
      <c r="CK10" s="8" t="s">
        <v>5</v>
      </c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</row>
    <row r="11" spans="1:112" ht="16.5" thickBot="1">
      <c r="A11" s="361" t="s">
        <v>260</v>
      </c>
      <c r="C11" s="224">
        <v>-0.61</v>
      </c>
      <c r="D11" s="171">
        <v>-0.24099999999999999</v>
      </c>
      <c r="E11" s="171">
        <v>-0.16300000000000001</v>
      </c>
      <c r="F11" s="171">
        <v>-0.14699999999999999</v>
      </c>
      <c r="G11" s="171">
        <v>-0.16900000000000001</v>
      </c>
      <c r="H11" s="171">
        <v>-0.35199999999999998</v>
      </c>
      <c r="I11" s="171">
        <v>-0.24299999999999999</v>
      </c>
      <c r="K11" s="4">
        <f>SUM(K17:K20,K28)</f>
        <v>396.1</v>
      </c>
      <c r="L11" s="174">
        <f>E11*K11</f>
        <v>-64.564300000000003</v>
      </c>
      <c r="M11" s="4">
        <f>M10</f>
        <v>1442853.3333333333</v>
      </c>
      <c r="N11" s="108">
        <f>L11*M11/1000</f>
        <v>-93156.815469333334</v>
      </c>
      <c r="O11" s="4">
        <f>O10</f>
        <v>36.42</v>
      </c>
      <c r="P11" s="108">
        <f>O11*N11</f>
        <v>-3392771.2193931201</v>
      </c>
      <c r="Q11" s="4"/>
      <c r="R11" s="175">
        <f>R9/R10</f>
        <v>73264.058960827257</v>
      </c>
      <c r="T11" s="23"/>
      <c r="AH11" s="227">
        <v>1987</v>
      </c>
      <c r="AI11" s="84">
        <f>ROUND(SUM(C53:C64),0)</f>
        <v>10318852</v>
      </c>
      <c r="AJ11" s="47">
        <f t="shared" si="2"/>
        <v>5.0887880091759152</v>
      </c>
      <c r="AK11" s="50">
        <f>ROUND(SUM(Z53:Z64),0)</f>
        <v>10386358</v>
      </c>
      <c r="AL11" s="47">
        <f t="shared" si="2"/>
        <v>10.78272561549436</v>
      </c>
      <c r="AM11" s="50">
        <f>ROUND(AVERAGE(D53:D64),0)</f>
        <v>908080</v>
      </c>
      <c r="AN11" s="47">
        <f t="shared" si="3"/>
        <v>4.0849753736929006</v>
      </c>
      <c r="AO11" s="50">
        <f t="shared" si="0"/>
        <v>11363.373271077438</v>
      </c>
      <c r="AP11" s="47">
        <f t="shared" si="3"/>
        <v>0.96441646056895092</v>
      </c>
      <c r="AQ11" s="50">
        <f t="shared" si="1"/>
        <v>11438</v>
      </c>
      <c r="AR11" s="47">
        <f t="shared" si="4"/>
        <v>6.4396054345803089</v>
      </c>
      <c r="BY11" s="22">
        <v>1987</v>
      </c>
    </row>
    <row r="12" spans="1:112" ht="16.5" thickBot="1">
      <c r="A12" s="280" t="s">
        <v>189</v>
      </c>
      <c r="K12" s="374" t="s">
        <v>251</v>
      </c>
      <c r="N12" s="13" t="str">
        <f>K12</f>
        <v>20Yr Normal</v>
      </c>
      <c r="R12" s="380">
        <f>R11+COML!O11</f>
        <v>84684.721812297779</v>
      </c>
      <c r="S12" s="381" t="s">
        <v>233</v>
      </c>
      <c r="T12" s="23"/>
      <c r="U12" s="24"/>
      <c r="AB12" s="507" t="s">
        <v>305</v>
      </c>
      <c r="AH12" s="227">
        <v>1988</v>
      </c>
      <c r="AI12" s="84">
        <f>ROUND(SUM(C65:C76),0)</f>
        <v>11065591</v>
      </c>
      <c r="AJ12" s="47">
        <f t="shared" si="2"/>
        <v>7.2366480302266112</v>
      </c>
      <c r="AK12" s="50">
        <f>ROUND(SUM(Z65:Z76),0)</f>
        <v>10987633</v>
      </c>
      <c r="AL12" s="47">
        <f t="shared" si="2"/>
        <v>5.7890841043607422</v>
      </c>
      <c r="AM12" s="50">
        <f>ROUND(AVERAGE(D65:D76),0)</f>
        <v>941439</v>
      </c>
      <c r="AN12" s="47">
        <f t="shared" si="3"/>
        <v>3.6735750154171409</v>
      </c>
      <c r="AO12" s="50">
        <f t="shared" si="0"/>
        <v>11753.91183071872</v>
      </c>
      <c r="AP12" s="47">
        <f t="shared" si="3"/>
        <v>3.4368188945733014</v>
      </c>
      <c r="AQ12" s="50">
        <f t="shared" si="1"/>
        <v>11671</v>
      </c>
      <c r="AR12" s="47">
        <f t="shared" si="4"/>
        <v>2.0370694177303639</v>
      </c>
      <c r="BY12" s="22">
        <v>1988</v>
      </c>
      <c r="CO12" s="13"/>
      <c r="CP12" s="13"/>
      <c r="CQ12" s="13"/>
      <c r="CR12" s="13"/>
      <c r="CS12" s="13"/>
      <c r="CT12" s="13"/>
      <c r="CV12" s="99" t="s">
        <v>76</v>
      </c>
      <c r="CW12" s="13" t="s">
        <v>41</v>
      </c>
      <c r="CX12" s="13" t="s">
        <v>41</v>
      </c>
    </row>
    <row r="13" spans="1:112">
      <c r="K13" s="374" t="s">
        <v>252</v>
      </c>
      <c r="N13" s="13" t="str">
        <f>K13</f>
        <v>1989-2008</v>
      </c>
      <c r="P13" s="46"/>
      <c r="Q13" s="46"/>
      <c r="R13" s="46"/>
      <c r="T13" s="375"/>
      <c r="U13" s="24"/>
      <c r="W13" s="170" t="s">
        <v>4</v>
      </c>
      <c r="X13" s="171" t="s">
        <v>4</v>
      </c>
      <c r="Y13" s="171" t="s">
        <v>4</v>
      </c>
      <c r="Z13" s="171"/>
      <c r="AB13" s="491" t="s">
        <v>304</v>
      </c>
      <c r="AG13" s="13" t="s">
        <v>14</v>
      </c>
      <c r="AH13" s="227">
        <v>1989</v>
      </c>
      <c r="AI13" s="84">
        <f>ROUND(SUM(C77:C88),0)</f>
        <v>11786858</v>
      </c>
      <c r="AJ13" s="47">
        <f t="shared" si="2"/>
        <v>6.5181064436594438</v>
      </c>
      <c r="AK13" s="50">
        <f>ROUND(SUM(Z77:Z88),0)</f>
        <v>11436621</v>
      </c>
      <c r="AL13" s="47">
        <f t="shared" si="2"/>
        <v>4.0863032101636554</v>
      </c>
      <c r="AM13" s="50">
        <f>ROUND(AVERAGE(D77:D88),0)</f>
        <v>977449</v>
      </c>
      <c r="AN13" s="47">
        <f t="shared" si="3"/>
        <v>3.8249955652994938</v>
      </c>
      <c r="AO13" s="50">
        <f t="shared" si="0"/>
        <v>12058.795906487192</v>
      </c>
      <c r="AP13" s="47">
        <f t="shared" si="3"/>
        <v>2.5938945277065972</v>
      </c>
      <c r="AQ13" s="50">
        <f t="shared" si="1"/>
        <v>11700</v>
      </c>
      <c r="AR13" s="47">
        <f t="shared" si="4"/>
        <v>0.24847913632080054</v>
      </c>
      <c r="AX13" s="374" t="s">
        <v>258</v>
      </c>
      <c r="BA13" s="374" t="s">
        <v>258</v>
      </c>
      <c r="BJ13" s="221" t="s">
        <v>64</v>
      </c>
      <c r="BK13" s="193" t="s">
        <v>130</v>
      </c>
      <c r="BL13" s="193" t="s">
        <v>130</v>
      </c>
      <c r="BM13" s="15" t="s">
        <v>130</v>
      </c>
      <c r="BN13" s="58" t="s">
        <v>130</v>
      </c>
      <c r="BO13" s="58" t="s">
        <v>130</v>
      </c>
      <c r="BP13" s="221"/>
      <c r="BY13" s="51">
        <v>1989</v>
      </c>
      <c r="CL13" s="24" t="s">
        <v>77</v>
      </c>
      <c r="CM13" s="13" t="s">
        <v>78</v>
      </c>
      <c r="CO13" s="13"/>
      <c r="CP13" s="13" t="s">
        <v>79</v>
      </c>
      <c r="CQ13" s="13" t="s">
        <v>80</v>
      </c>
      <c r="CR13" s="13" t="s">
        <v>81</v>
      </c>
      <c r="CS13" s="13" t="s">
        <v>80</v>
      </c>
      <c r="CT13" s="13" t="s">
        <v>82</v>
      </c>
      <c r="CV13" s="100" t="s">
        <v>83</v>
      </c>
      <c r="CW13" s="13" t="s">
        <v>84</v>
      </c>
      <c r="CX13" s="13" t="s">
        <v>84</v>
      </c>
      <c r="DC13" s="170" t="s">
        <v>4</v>
      </c>
      <c r="DD13" s="171" t="s">
        <v>4</v>
      </c>
      <c r="DE13" s="171" t="s">
        <v>4</v>
      </c>
      <c r="DF13" s="171"/>
    </row>
    <row r="14" spans="1:112" ht="13.5" thickBot="1">
      <c r="C14" s="52" t="s">
        <v>12</v>
      </c>
      <c r="D14" s="52" t="s">
        <v>12</v>
      </c>
      <c r="E14" s="52" t="s">
        <v>4</v>
      </c>
      <c r="F14" s="52" t="s">
        <v>4</v>
      </c>
      <c r="G14" s="52" t="s">
        <v>4</v>
      </c>
      <c r="J14" s="597" t="s">
        <v>268</v>
      </c>
      <c r="K14" s="598"/>
      <c r="L14" s="599"/>
      <c r="M14" s="597" t="s">
        <v>269</v>
      </c>
      <c r="N14" s="598"/>
      <c r="O14" s="599"/>
      <c r="P14" s="184" t="s">
        <v>65</v>
      </c>
      <c r="Q14" s="184"/>
      <c r="R14" s="184"/>
      <c r="S14" s="56"/>
      <c r="T14" s="55"/>
      <c r="U14" s="24"/>
      <c r="W14" s="170" t="s">
        <v>161</v>
      </c>
      <c r="X14" s="171" t="s">
        <v>161</v>
      </c>
      <c r="Y14" s="205" t="s">
        <v>166</v>
      </c>
      <c r="Z14" s="171" t="s">
        <v>168</v>
      </c>
      <c r="AA14" s="13" t="s">
        <v>167</v>
      </c>
      <c r="AB14" s="508" t="s">
        <v>303</v>
      </c>
      <c r="AC14" s="13" t="s">
        <v>13</v>
      </c>
      <c r="AD14" s="24" t="s">
        <v>14</v>
      </c>
      <c r="AE14" s="24" t="s">
        <v>14</v>
      </c>
      <c r="AF14" s="24" t="s">
        <v>14</v>
      </c>
      <c r="AG14" s="13" t="s">
        <v>66</v>
      </c>
      <c r="AH14" s="227">
        <v>1990</v>
      </c>
      <c r="AI14" s="84">
        <f>ROUND(SUM(C89:C100),0)</f>
        <v>12415513</v>
      </c>
      <c r="AJ14" s="47">
        <f t="shared" si="2"/>
        <v>5.3335248460615992</v>
      </c>
      <c r="AK14" s="50">
        <f>ROUND(SUM(Z89:Z100),0)</f>
        <v>12147605</v>
      </c>
      <c r="AL14" s="47">
        <f t="shared" si="2"/>
        <v>6.2167313230017784</v>
      </c>
      <c r="AM14" s="50">
        <f>ROUND(AVERAGE(D89:D100),0)</f>
        <v>1007806</v>
      </c>
      <c r="AN14" s="47">
        <f t="shared" si="3"/>
        <v>3.1057374860478548</v>
      </c>
      <c r="AO14" s="50">
        <f t="shared" si="0"/>
        <v>12319.348168199038</v>
      </c>
      <c r="AP14" s="47">
        <f t="shared" si="3"/>
        <v>2.1606822416795124</v>
      </c>
      <c r="AQ14" s="50">
        <f t="shared" si="1"/>
        <v>12054</v>
      </c>
      <c r="AR14" s="47">
        <f t="shared" si="4"/>
        <v>3.0256410256410238</v>
      </c>
      <c r="AW14" s="53" t="s">
        <v>16</v>
      </c>
      <c r="AX14" s="54"/>
      <c r="AY14" s="55"/>
      <c r="AZ14" s="59" t="str">
        <f>AW14</f>
        <v>Calendar Month</v>
      </c>
      <c r="BA14" s="54"/>
      <c r="BB14" s="55"/>
      <c r="BC14" s="60" t="str">
        <f>AZ14</f>
        <v>Calendar Month</v>
      </c>
      <c r="BD14" s="188"/>
      <c r="BE14" s="188"/>
      <c r="BF14" s="61"/>
      <c r="BG14" s="62"/>
      <c r="BJ14" s="221" t="s">
        <v>12</v>
      </c>
      <c r="BK14" s="192" t="s">
        <v>166</v>
      </c>
      <c r="BL14" s="194" t="s">
        <v>161</v>
      </c>
      <c r="BM14" s="15" t="s">
        <v>161</v>
      </c>
      <c r="BN14" s="58" t="s">
        <v>161</v>
      </c>
      <c r="BO14" s="286" t="s">
        <v>166</v>
      </c>
      <c r="BP14" s="439" t="s">
        <v>171</v>
      </c>
      <c r="BQ14" s="107" t="s">
        <v>172</v>
      </c>
      <c r="BR14" s="266" t="s">
        <v>17</v>
      </c>
      <c r="BS14" s="13"/>
      <c r="BT14" s="179" t="s">
        <v>17</v>
      </c>
      <c r="BU14" s="13"/>
      <c r="BW14" s="24"/>
      <c r="BY14" s="22">
        <v>1990</v>
      </c>
      <c r="CK14" s="89"/>
      <c r="CL14" s="101" t="s">
        <v>85</v>
      </c>
      <c r="CM14" s="101" t="s">
        <v>85</v>
      </c>
      <c r="CN14" s="89"/>
      <c r="CO14" s="90" t="s">
        <v>86</v>
      </c>
      <c r="CP14" s="90" t="s">
        <v>87</v>
      </c>
      <c r="CQ14" s="90" t="s">
        <v>88</v>
      </c>
      <c r="CR14" s="90" t="s">
        <v>87</v>
      </c>
      <c r="CS14" s="101" t="s">
        <v>89</v>
      </c>
      <c r="CT14" s="90" t="s">
        <v>90</v>
      </c>
      <c r="CU14" s="101" t="s">
        <v>91</v>
      </c>
      <c r="CV14" s="102" t="s">
        <v>92</v>
      </c>
      <c r="CW14" s="101" t="s">
        <v>93</v>
      </c>
      <c r="CX14" s="101" t="s">
        <v>94</v>
      </c>
      <c r="CY14" s="90" t="s">
        <v>95</v>
      </c>
      <c r="DB14" s="4"/>
      <c r="DC14" s="170" t="s">
        <v>161</v>
      </c>
      <c r="DD14" s="171" t="s">
        <v>161</v>
      </c>
      <c r="DE14" s="205" t="s">
        <v>166</v>
      </c>
      <c r="DF14" s="171" t="s">
        <v>168</v>
      </c>
      <c r="DG14" s="374" t="s">
        <v>292</v>
      </c>
      <c r="DH14" s="491" t="s">
        <v>294</v>
      </c>
    </row>
    <row r="15" spans="1:112" s="23" customFormat="1" ht="12.75">
      <c r="A15" s="4"/>
      <c r="B15" s="4"/>
      <c r="C15" s="52" t="s">
        <v>4</v>
      </c>
      <c r="D15" s="52" t="s">
        <v>4</v>
      </c>
      <c r="E15" s="52" t="s">
        <v>161</v>
      </c>
      <c r="F15" s="52" t="s">
        <v>161</v>
      </c>
      <c r="G15" s="52" t="s">
        <v>161</v>
      </c>
      <c r="H15" s="170" t="s">
        <v>72</v>
      </c>
      <c r="I15" s="170" t="s">
        <v>72</v>
      </c>
      <c r="J15" s="227" t="s">
        <v>12</v>
      </c>
      <c r="K15" s="29" t="s">
        <v>19</v>
      </c>
      <c r="L15" s="231"/>
      <c r="M15" s="227" t="s">
        <v>20</v>
      </c>
      <c r="N15" s="29" t="s">
        <v>21</v>
      </c>
      <c r="O15" s="231"/>
      <c r="P15" s="205" t="s">
        <v>163</v>
      </c>
      <c r="Q15" s="171" t="s">
        <v>164</v>
      </c>
      <c r="R15" s="465" t="s">
        <v>162</v>
      </c>
      <c r="S15" s="469" t="s">
        <v>70</v>
      </c>
      <c r="T15" s="580" t="s">
        <v>286</v>
      </c>
      <c r="U15" s="582" t="s">
        <v>328</v>
      </c>
      <c r="V15" s="4"/>
      <c r="W15" s="170" t="s">
        <v>25</v>
      </c>
      <c r="X15" s="171" t="s">
        <v>25</v>
      </c>
      <c r="Y15" s="171" t="s">
        <v>25</v>
      </c>
      <c r="Z15" s="205" t="s">
        <v>169</v>
      </c>
      <c r="AA15" s="13" t="s">
        <v>41</v>
      </c>
      <c r="AB15" s="508" t="s">
        <v>4</v>
      </c>
      <c r="AC15" s="13" t="s">
        <v>24</v>
      </c>
      <c r="AD15" s="13" t="s">
        <v>49</v>
      </c>
      <c r="AE15" s="13" t="s">
        <v>103</v>
      </c>
      <c r="AF15" s="13" t="s">
        <v>25</v>
      </c>
      <c r="AG15" s="13" t="s">
        <v>51</v>
      </c>
      <c r="AH15" s="227">
        <v>1991</v>
      </c>
      <c r="AI15" s="84">
        <f>ROUND(SUM(C101:C112),0)</f>
        <v>12623948</v>
      </c>
      <c r="AJ15" s="47">
        <f t="shared" si="2"/>
        <v>1.6788271253874054</v>
      </c>
      <c r="AK15" s="50">
        <f>ROUND(SUM(Z101:Z112),0)</f>
        <v>12449341</v>
      </c>
      <c r="AL15" s="47">
        <f t="shared" si="2"/>
        <v>2.4839134957055364</v>
      </c>
      <c r="AM15" s="50">
        <f>ROUND(AVERAGE(D101:D112),0)</f>
        <v>1029901</v>
      </c>
      <c r="AN15" s="47">
        <f t="shared" si="3"/>
        <v>2.1923862330647026</v>
      </c>
      <c r="AO15" s="50">
        <f t="shared" si="0"/>
        <v>12257.43833630611</v>
      </c>
      <c r="AP15" s="47">
        <f t="shared" si="3"/>
        <v>-0.50254145793802163</v>
      </c>
      <c r="AQ15" s="50">
        <f t="shared" si="1"/>
        <v>12088</v>
      </c>
      <c r="AR15" s="47">
        <f t="shared" si="4"/>
        <v>0.28206404513024808</v>
      </c>
      <c r="AS15" s="4"/>
      <c r="AT15" s="4"/>
      <c r="AU15" s="4"/>
      <c r="AV15" s="4"/>
      <c r="AW15" s="431" t="s">
        <v>12</v>
      </c>
      <c r="AX15" s="13" t="s">
        <v>19</v>
      </c>
      <c r="AY15" s="4"/>
      <c r="AZ15" s="431" t="s">
        <v>20</v>
      </c>
      <c r="BA15" s="441" t="s">
        <v>21</v>
      </c>
      <c r="BB15" s="21"/>
      <c r="BC15" s="213" t="s">
        <v>69</v>
      </c>
      <c r="BD15" s="171" t="s">
        <v>164</v>
      </c>
      <c r="BE15" s="205" t="s">
        <v>162</v>
      </c>
      <c r="BF15" s="214" t="s">
        <v>70</v>
      </c>
      <c r="BG15" s="215" t="s">
        <v>12</v>
      </c>
      <c r="BH15" s="4"/>
      <c r="BI15" s="4"/>
      <c r="BJ15" s="221" t="s">
        <v>28</v>
      </c>
      <c r="BK15" s="193" t="s">
        <v>20</v>
      </c>
      <c r="BL15" s="193" t="s">
        <v>20</v>
      </c>
      <c r="BM15" s="147" t="s">
        <v>25</v>
      </c>
      <c r="BN15" s="147" t="s">
        <v>25</v>
      </c>
      <c r="BO15" s="147" t="s">
        <v>25</v>
      </c>
      <c r="BP15" s="221" t="s">
        <v>41</v>
      </c>
      <c r="BQ15" s="107" t="s">
        <v>28</v>
      </c>
      <c r="BR15" s="107" t="s">
        <v>28</v>
      </c>
      <c r="BS15" s="374" t="s">
        <v>186</v>
      </c>
      <c r="BT15" s="284" t="s">
        <v>28</v>
      </c>
      <c r="BU15" s="13" t="s">
        <v>200</v>
      </c>
      <c r="BV15" s="65" t="s">
        <v>155</v>
      </c>
      <c r="BW15" s="545" t="s">
        <v>313</v>
      </c>
      <c r="BX15" s="4"/>
      <c r="BY15" s="22">
        <v>1991</v>
      </c>
      <c r="BZ15" s="4"/>
      <c r="CA15" s="4"/>
      <c r="CF15" s="4"/>
      <c r="CG15" s="4"/>
      <c r="CH15" s="4"/>
      <c r="CI15" s="4"/>
      <c r="CJ15" s="4"/>
      <c r="CK15" s="4"/>
      <c r="CL15" s="13" t="s">
        <v>39</v>
      </c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DB15" s="490" t="s">
        <v>290</v>
      </c>
      <c r="DC15" s="170" t="s">
        <v>25</v>
      </c>
      <c r="DD15" s="171" t="s">
        <v>25</v>
      </c>
      <c r="DE15" s="171" t="s">
        <v>25</v>
      </c>
      <c r="DF15" s="205" t="s">
        <v>169</v>
      </c>
      <c r="DG15" s="356" t="s">
        <v>293</v>
      </c>
      <c r="DH15" s="492" t="s">
        <v>295</v>
      </c>
    </row>
    <row r="16" spans="1:112" s="23" customFormat="1" ht="13.5" thickBot="1">
      <c r="A16" s="36" t="s">
        <v>8</v>
      </c>
      <c r="B16" s="36" t="s">
        <v>29</v>
      </c>
      <c r="C16" s="66" t="s">
        <v>73</v>
      </c>
      <c r="D16" s="67" t="s">
        <v>62</v>
      </c>
      <c r="E16" s="66" t="s">
        <v>73</v>
      </c>
      <c r="F16" s="67" t="s">
        <v>62</v>
      </c>
      <c r="G16" s="67" t="s">
        <v>60</v>
      </c>
      <c r="H16" s="185" t="s">
        <v>165</v>
      </c>
      <c r="I16" s="185" t="s">
        <v>10</v>
      </c>
      <c r="J16" s="228" t="s">
        <v>69</v>
      </c>
      <c r="K16" s="229" t="s">
        <v>69</v>
      </c>
      <c r="L16" s="232" t="s">
        <v>33</v>
      </c>
      <c r="M16" s="228" t="s">
        <v>34</v>
      </c>
      <c r="N16" s="229" t="s">
        <v>34</v>
      </c>
      <c r="O16" s="235" t="s">
        <v>33</v>
      </c>
      <c r="P16" s="238" t="s">
        <v>178</v>
      </c>
      <c r="Q16" s="238" t="s">
        <v>178</v>
      </c>
      <c r="R16" s="466" t="s">
        <v>35</v>
      </c>
      <c r="S16" s="235" t="s">
        <v>35</v>
      </c>
      <c r="T16" s="581" t="s">
        <v>35</v>
      </c>
      <c r="U16" s="583" t="s">
        <v>329</v>
      </c>
      <c r="V16" s="36" t="s">
        <v>330</v>
      </c>
      <c r="W16" s="185" t="s">
        <v>60</v>
      </c>
      <c r="X16" s="202" t="s">
        <v>73</v>
      </c>
      <c r="Y16" s="202" t="s">
        <v>73</v>
      </c>
      <c r="Z16" s="202" t="s">
        <v>73</v>
      </c>
      <c r="AA16" s="36" t="s">
        <v>143</v>
      </c>
      <c r="AB16" s="509" t="s">
        <v>73</v>
      </c>
      <c r="AC16" s="36" t="s">
        <v>36</v>
      </c>
      <c r="AD16" s="36" t="s">
        <v>5</v>
      </c>
      <c r="AE16" s="36" t="s">
        <v>104</v>
      </c>
      <c r="AF16" s="36" t="s">
        <v>60</v>
      </c>
      <c r="AG16" s="129" t="s">
        <v>54</v>
      </c>
      <c r="AH16" s="227">
        <v>1992</v>
      </c>
      <c r="AI16" s="84">
        <f>ROUND(SUM(C113:C124),0)</f>
        <v>12825813</v>
      </c>
      <c r="AJ16" s="47">
        <f t="shared" si="2"/>
        <v>1.599063937842593</v>
      </c>
      <c r="AK16" s="50">
        <f>ROUND(SUM(Z113:Z124),0)</f>
        <v>13175551</v>
      </c>
      <c r="AL16" s="568">
        <f>(AK16/AK15-1)</f>
        <v>5.8333208159371708E-2</v>
      </c>
      <c r="AM16" s="50">
        <f>ROUND(AVERAGE(D113:D124),0)</f>
        <v>1050077</v>
      </c>
      <c r="AN16" s="47">
        <f t="shared" si="3"/>
        <v>1.9590232459236301</v>
      </c>
      <c r="AO16" s="50">
        <f t="shared" si="0"/>
        <v>12214.164294618395</v>
      </c>
      <c r="AP16" s="47">
        <f t="shared" si="3"/>
        <v>-0.3530431114594168</v>
      </c>
      <c r="AQ16" s="50">
        <f t="shared" si="1"/>
        <v>12547</v>
      </c>
      <c r="AR16" s="47">
        <f t="shared" si="4"/>
        <v>3.7971542025148963</v>
      </c>
      <c r="AS16" s="108">
        <f t="shared" ref="AS16:AS22" si="5">AQ16</f>
        <v>12547</v>
      </c>
      <c r="AT16" s="86">
        <f>AS16/AQ15-1</f>
        <v>3.7971542025148963E-2</v>
      </c>
      <c r="AU16" s="31"/>
      <c r="AV16" s="31"/>
      <c r="AW16" s="228" t="s">
        <v>69</v>
      </c>
      <c r="AX16" s="36" t="s">
        <v>69</v>
      </c>
      <c r="AY16" s="202" t="s">
        <v>33</v>
      </c>
      <c r="AZ16" s="228" t="s">
        <v>34</v>
      </c>
      <c r="BA16" s="229" t="s">
        <v>34</v>
      </c>
      <c r="BB16" s="235" t="s">
        <v>33</v>
      </c>
      <c r="BC16" s="216" t="s">
        <v>35</v>
      </c>
      <c r="BD16" s="202" t="s">
        <v>102</v>
      </c>
      <c r="BE16" s="202" t="s">
        <v>35</v>
      </c>
      <c r="BF16" s="217" t="s">
        <v>35</v>
      </c>
      <c r="BG16" s="218" t="s">
        <v>35</v>
      </c>
      <c r="BH16" s="31" t="s">
        <v>8</v>
      </c>
      <c r="BI16" s="31" t="s">
        <v>29</v>
      </c>
      <c r="BJ16" s="222" t="s">
        <v>73</v>
      </c>
      <c r="BK16" s="195" t="s">
        <v>73</v>
      </c>
      <c r="BL16" s="195" t="s">
        <v>73</v>
      </c>
      <c r="BM16" s="31" t="s">
        <v>60</v>
      </c>
      <c r="BN16" s="68" t="s">
        <v>73</v>
      </c>
      <c r="BO16" s="68" t="s">
        <v>73</v>
      </c>
      <c r="BP16" s="222" t="s">
        <v>143</v>
      </c>
      <c r="BQ16" s="264" t="s">
        <v>60</v>
      </c>
      <c r="BR16" s="264" t="s">
        <v>60</v>
      </c>
      <c r="BS16" s="263" t="s">
        <v>243</v>
      </c>
      <c r="BT16" s="285" t="s">
        <v>73</v>
      </c>
      <c r="BU16" s="36" t="s">
        <v>67</v>
      </c>
      <c r="BV16" s="267" t="s">
        <v>156</v>
      </c>
      <c r="BW16" s="546" t="s">
        <v>314</v>
      </c>
      <c r="BX16" s="4"/>
      <c r="BY16" s="22">
        <v>1992</v>
      </c>
      <c r="BZ16" s="4"/>
      <c r="CA16" s="4"/>
      <c r="CF16" s="4"/>
      <c r="CG16" s="4"/>
      <c r="CH16" s="4"/>
      <c r="CI16" s="4"/>
      <c r="CJ16" s="89"/>
      <c r="CK16" s="89"/>
      <c r="CL16" s="90" t="s">
        <v>40</v>
      </c>
      <c r="CM16" s="89"/>
      <c r="CN16" s="89"/>
      <c r="CO16" s="89"/>
      <c r="CP16" s="89"/>
      <c r="CQ16" s="89"/>
      <c r="CR16" s="89"/>
      <c r="CS16" s="89"/>
      <c r="CT16" s="89"/>
      <c r="CU16" s="89"/>
      <c r="CV16" s="89"/>
      <c r="CW16" s="89"/>
      <c r="CX16" s="89"/>
      <c r="CY16" s="89"/>
      <c r="DB16" s="493" t="s">
        <v>291</v>
      </c>
      <c r="DC16" s="185" t="s">
        <v>60</v>
      </c>
      <c r="DD16" s="202" t="s">
        <v>73</v>
      </c>
      <c r="DE16" s="202" t="s">
        <v>73</v>
      </c>
      <c r="DF16" s="202" t="s">
        <v>73</v>
      </c>
      <c r="DG16" s="36" t="s">
        <v>143</v>
      </c>
      <c r="DH16" s="492" t="s">
        <v>296</v>
      </c>
    </row>
    <row r="17" spans="1:103" s="23" customFormat="1" ht="12.75">
      <c r="A17" s="13">
        <v>1984</v>
      </c>
      <c r="B17" s="13">
        <v>1</v>
      </c>
      <c r="C17" s="5">
        <v>922109</v>
      </c>
      <c r="D17" s="73">
        <v>808673</v>
      </c>
      <c r="E17" s="4">
        <f>C17</f>
        <v>922109</v>
      </c>
      <c r="F17" s="4">
        <f>D17</f>
        <v>808673</v>
      </c>
      <c r="G17" s="79">
        <f>ROUND((E17)/F17*1000,1)</f>
        <v>1140.3</v>
      </c>
      <c r="H17" s="13"/>
      <c r="I17" s="13"/>
      <c r="J17" s="230">
        <f>'[7]RES 62 &amp; 67'!$S102</f>
        <v>32.4</v>
      </c>
      <c r="K17" s="183">
        <f>[7]Res20Yr!$T6</f>
        <v>49.5</v>
      </c>
      <c r="L17" s="233">
        <f t="shared" ref="L17:L32" si="6">(K17-J17)</f>
        <v>17.100000000000001</v>
      </c>
      <c r="M17" s="230">
        <f>'[7]RES 62 &amp; 67'!$J102</f>
        <v>244.2</v>
      </c>
      <c r="N17" s="183">
        <f>[7]Res20Yr!$S6</f>
        <v>131.6</v>
      </c>
      <c r="O17" s="236">
        <f t="shared" ref="O17:O32" si="7">(N17-M17)</f>
        <v>-112.6</v>
      </c>
      <c r="P17" s="206">
        <f>L17*$C$10</f>
        <v>36.936000000000007</v>
      </c>
      <c r="Q17" s="206">
        <f>IF($B17=12,L17*$C$11,IF($B17&lt;5,L17*$C$11,0))</f>
        <v>-10.431000000000001</v>
      </c>
      <c r="R17" s="467">
        <f>P17+Q17</f>
        <v>26.505000000000006</v>
      </c>
      <c r="S17" s="470">
        <f>O17*$C$9</f>
        <v>-305.14599999999996</v>
      </c>
      <c r="T17" s="425">
        <f>ROUND((R17+S17),1)</f>
        <v>-278.60000000000002</v>
      </c>
      <c r="U17" s="515">
        <f>D17</f>
        <v>808673</v>
      </c>
      <c r="V17" s="447">
        <v>30682</v>
      </c>
      <c r="W17" s="78">
        <f t="shared" ref="W17:W80" si="8">(G17+T17)</f>
        <v>861.69999999999993</v>
      </c>
      <c r="X17" s="73">
        <f t="shared" ref="X17:X80" si="9">ROUND(W17*F17/1000,0)</f>
        <v>696834</v>
      </c>
      <c r="Y17" s="186">
        <v>0</v>
      </c>
      <c r="Z17" s="175">
        <f>Y17+X17</f>
        <v>696834</v>
      </c>
      <c r="AA17" s="40">
        <f t="shared" ref="AA17:AA80" si="10">Z17-C17</f>
        <v>-225275</v>
      </c>
      <c r="AB17" s="379">
        <f>Z17</f>
        <v>696834</v>
      </c>
      <c r="AC17" s="81">
        <f>'[7]Gov 65 &amp; 70'!$B102</f>
        <v>31.95</v>
      </c>
      <c r="AD17" s="4">
        <f t="shared" ref="AD17:AD80" si="11">ROUND(AB17/(AC17/30.42),0)</f>
        <v>663464</v>
      </c>
      <c r="AE17" s="4"/>
      <c r="AF17" s="23">
        <f t="shared" ref="AF17:AF80" si="12">ROUND((AD17/(D17)*1000),1)</f>
        <v>820.4</v>
      </c>
      <c r="AG17" s="4"/>
      <c r="AH17" s="227">
        <v>1993</v>
      </c>
      <c r="AI17" s="84">
        <f>ROUND(SUM(C125:C136),0)</f>
        <v>13372586</v>
      </c>
      <c r="AJ17" s="47">
        <f t="shared" si="2"/>
        <v>4.2630669884240469</v>
      </c>
      <c r="AK17" s="50">
        <f>ROUND(SUM(Z125:Z136),0)</f>
        <v>13747581</v>
      </c>
      <c r="AL17" s="568">
        <f t="shared" ref="AL17:AL36" si="13">(AK17/AK16-1)</f>
        <v>4.3416021083292788E-2</v>
      </c>
      <c r="AM17" s="50">
        <f>ROUND(AVERAGE(D125:D136),0)</f>
        <v>1076657</v>
      </c>
      <c r="AN17" s="47">
        <f t="shared" si="3"/>
        <v>2.5312429469457998</v>
      </c>
      <c r="AO17" s="50">
        <f t="shared" si="0"/>
        <v>12420.470028987877</v>
      </c>
      <c r="AP17" s="47">
        <f t="shared" si="3"/>
        <v>1.6890695866960126</v>
      </c>
      <c r="AQ17" s="50">
        <f t="shared" si="1"/>
        <v>12769</v>
      </c>
      <c r="AR17" s="47">
        <f t="shared" si="4"/>
        <v>1.7693472543237387</v>
      </c>
      <c r="AS17" s="108">
        <f t="shared" si="5"/>
        <v>12769</v>
      </c>
      <c r="AT17" s="86">
        <f>AS17/AS16-1</f>
        <v>1.7693472543237387E-2</v>
      </c>
      <c r="AU17" s="4"/>
      <c r="AV17" s="4"/>
      <c r="AW17" s="230">
        <f>'[8]RES 62 &amp; 67'!$S102</f>
        <v>31.4</v>
      </c>
      <c r="AX17" s="200">
        <f>[8]Res20Yr!$Y6</f>
        <v>50.5</v>
      </c>
      <c r="AY17" s="201">
        <f>(AX17-AW17)</f>
        <v>19.100000000000001</v>
      </c>
      <c r="AZ17" s="230">
        <f>'[8]RES 62 &amp; 67'!$J102</f>
        <v>212.9</v>
      </c>
      <c r="BA17" s="183">
        <f>[8]Res20Yr!$X6</f>
        <v>127.9</v>
      </c>
      <c r="BB17" s="429">
        <f>BA17-AZ17</f>
        <v>-85</v>
      </c>
      <c r="BC17" s="206">
        <f>AY17*$C$10</f>
        <v>41.256000000000007</v>
      </c>
      <c r="BD17" s="206">
        <f>IF($B17=4,(C$11*0.5*AY17),IF($B17=11,(C$11*0.5*AY17),IF($B17=12,AY17*$C$11,IF($B17&lt;5,AY17*$C$11,0))))</f>
        <v>-11.651</v>
      </c>
      <c r="BE17" s="206">
        <f>BC17+BD17</f>
        <v>29.605000000000008</v>
      </c>
      <c r="BF17" s="207">
        <f>BB17*$C$9</f>
        <v>-230.35</v>
      </c>
      <c r="BG17" s="219">
        <f>ROUND(BF17+BE17,1)</f>
        <v>-200.7</v>
      </c>
      <c r="BH17" s="4">
        <f t="shared" ref="BH17:BH48" si="14">AU17</f>
        <v>0</v>
      </c>
      <c r="BI17" s="4">
        <f t="shared" ref="BI17:BI48" si="15">AV17</f>
        <v>0</v>
      </c>
      <c r="BJ17" s="4"/>
      <c r="BK17" s="4"/>
      <c r="BL17" s="4"/>
      <c r="BM17" s="4"/>
      <c r="BN17" s="6"/>
      <c r="BO17" s="6"/>
      <c r="BP17" s="4"/>
      <c r="BQ17" s="4"/>
      <c r="BR17" s="4"/>
      <c r="BS17" s="4"/>
      <c r="BT17" s="6"/>
      <c r="BU17" s="4"/>
      <c r="BV17" s="4"/>
      <c r="BW17" s="4"/>
      <c r="BX17" s="4"/>
      <c r="BY17" s="22">
        <v>1993</v>
      </c>
      <c r="BZ17" s="4"/>
      <c r="CA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</row>
    <row r="18" spans="1:103" s="23" customFormat="1" ht="12.75">
      <c r="A18" s="13">
        <v>1984</v>
      </c>
      <c r="B18" s="13">
        <v>2</v>
      </c>
      <c r="C18" s="5">
        <v>780306</v>
      </c>
      <c r="D18" s="73">
        <v>798600</v>
      </c>
      <c r="E18" s="4">
        <f t="shared" ref="E18:E81" si="16">C18</f>
        <v>780306</v>
      </c>
      <c r="F18" s="4">
        <f t="shared" ref="F18:F81" si="17">D18</f>
        <v>798600</v>
      </c>
      <c r="G18" s="79">
        <f t="shared" ref="G18:G81" si="18">ROUND((E18)/F18*1000,1)</f>
        <v>977.1</v>
      </c>
      <c r="H18" s="13"/>
      <c r="I18" s="13"/>
      <c r="J18" s="230">
        <f>'[7]RES 62 &amp; 67'!$S103</f>
        <v>38.6</v>
      </c>
      <c r="K18" s="183">
        <f>[7]Res20Yr!$T7</f>
        <v>43.3</v>
      </c>
      <c r="L18" s="233">
        <f t="shared" si="6"/>
        <v>4.6999999999999957</v>
      </c>
      <c r="M18" s="230">
        <f>'[7]RES 62 &amp; 67'!$J103</f>
        <v>175.6</v>
      </c>
      <c r="N18" s="183">
        <f>[7]Res20Yr!$S7</f>
        <v>127.9</v>
      </c>
      <c r="O18" s="236">
        <f t="shared" si="7"/>
        <v>-47.699999999999989</v>
      </c>
      <c r="P18" s="206">
        <f t="shared" ref="P18:P81" si="19">L18*$C$10</f>
        <v>10.151999999999992</v>
      </c>
      <c r="Q18" s="206">
        <f t="shared" ref="Q18:Q81" si="20">IF($B18=12,L18*$C$11,IF($B18&lt;5,L18*$C$11,0))</f>
        <v>-2.8669999999999973</v>
      </c>
      <c r="R18" s="467">
        <f t="shared" ref="R18:R81" si="21">P18+Q18</f>
        <v>7.2849999999999948</v>
      </c>
      <c r="S18" s="470">
        <f t="shared" ref="S18:S81" si="22">O18*$C$9</f>
        <v>-129.26699999999997</v>
      </c>
      <c r="T18" s="425">
        <f t="shared" ref="T18:T81" si="23">ROUND((R18+S18),1)</f>
        <v>-122</v>
      </c>
      <c r="U18" s="515">
        <f t="shared" ref="U18:U81" si="24">D18</f>
        <v>798600</v>
      </c>
      <c r="V18" s="447">
        <v>30713</v>
      </c>
      <c r="W18" s="78">
        <f t="shared" si="8"/>
        <v>855.1</v>
      </c>
      <c r="X18" s="73">
        <f t="shared" si="9"/>
        <v>682883</v>
      </c>
      <c r="Y18" s="186">
        <v>0</v>
      </c>
      <c r="Z18" s="175">
        <f t="shared" ref="Z18:Z81" si="25">Y18+X18</f>
        <v>682883</v>
      </c>
      <c r="AA18" s="40">
        <f t="shared" si="10"/>
        <v>-97423</v>
      </c>
      <c r="AB18" s="379">
        <f t="shared" ref="AB18:AB81" si="26">Z18</f>
        <v>682883</v>
      </c>
      <c r="AC18" s="81">
        <f>'[7]Gov 65 &amp; 70'!$B103</f>
        <v>29.65</v>
      </c>
      <c r="AD18" s="4">
        <f t="shared" si="11"/>
        <v>700617</v>
      </c>
      <c r="AE18" s="4"/>
      <c r="AF18" s="23">
        <f t="shared" si="12"/>
        <v>877.3</v>
      </c>
      <c r="AG18" s="4"/>
      <c r="AH18" s="227">
        <v>1994</v>
      </c>
      <c r="AI18" s="84">
        <f>ROUND(SUM(C137:C148),0)</f>
        <v>13866172</v>
      </c>
      <c r="AJ18" s="47">
        <f t="shared" si="2"/>
        <v>3.6910287957766741</v>
      </c>
      <c r="AK18" s="50">
        <f>ROUND(SUM(Z137:Z148),0)</f>
        <v>13995193</v>
      </c>
      <c r="AL18" s="568">
        <f t="shared" si="13"/>
        <v>1.801131413591972E-2</v>
      </c>
      <c r="AM18" s="50">
        <f>ROUND(AVERAGE(D137:D148),0)</f>
        <v>1100537</v>
      </c>
      <c r="AN18" s="47">
        <f t="shared" si="3"/>
        <v>2.2179765700682808</v>
      </c>
      <c r="AO18" s="50">
        <f t="shared" si="0"/>
        <v>12599.460081760086</v>
      </c>
      <c r="AP18" s="47">
        <f t="shared" si="3"/>
        <v>1.4410892047923118</v>
      </c>
      <c r="AQ18" s="50">
        <f t="shared" si="1"/>
        <v>12717</v>
      </c>
      <c r="AR18" s="47">
        <f t="shared" si="4"/>
        <v>-0.40723627535437235</v>
      </c>
      <c r="AS18" s="108">
        <f t="shared" si="5"/>
        <v>12717</v>
      </c>
      <c r="AT18" s="86">
        <f t="shared" ref="AT18:AT36" si="27">AS18/AS17-1</f>
        <v>-4.0723627535437235E-3</v>
      </c>
      <c r="AU18" s="4"/>
      <c r="AV18" s="4"/>
      <c r="AW18" s="230">
        <f>'[8]RES 62 &amp; 67'!$S103</f>
        <v>44.1</v>
      </c>
      <c r="AX18" s="200">
        <f>[8]Res20Yr!$Y7</f>
        <v>59.2</v>
      </c>
      <c r="AY18" s="201">
        <f t="shared" ref="AY18:AY28" si="28">(AX18-AW18)</f>
        <v>15.100000000000001</v>
      </c>
      <c r="AZ18" s="230">
        <f>'[8]RES 62 &amp; 67'!$J103</f>
        <v>130.30000000000001</v>
      </c>
      <c r="BA18" s="183">
        <f>[8]Res20Yr!$X7</f>
        <v>97.8</v>
      </c>
      <c r="BB18" s="429">
        <f t="shared" ref="BB18:BB81" si="29">BA18-AZ18</f>
        <v>-32.500000000000014</v>
      </c>
      <c r="BC18" s="206">
        <f t="shared" ref="BC18:BC81" si="30">AY18*$C$10</f>
        <v>32.616000000000007</v>
      </c>
      <c r="BD18" s="206">
        <f t="shared" ref="BD18:BD81" si="31">IF($B18=4,(C$11*0.5*AY18),IF($B18=11,(C$11*0.5*AY18),IF($B18=12,AY18*$C$11,IF($B18&lt;5,AY18*$C$11,0))))</f>
        <v>-9.2110000000000003</v>
      </c>
      <c r="BE18" s="206">
        <f t="shared" ref="BE18:BE81" si="32">BC18+BD18</f>
        <v>23.405000000000008</v>
      </c>
      <c r="BF18" s="207">
        <f t="shared" ref="BF18:BF81" si="33">BB18*$C$9</f>
        <v>-88.075000000000031</v>
      </c>
      <c r="BG18" s="219">
        <f t="shared" ref="BG18:BG81" si="34">ROUND(BF18+BE18,1)</f>
        <v>-64.7</v>
      </c>
      <c r="BH18" s="4">
        <f t="shared" si="14"/>
        <v>0</v>
      </c>
      <c r="BI18" s="4">
        <f t="shared" si="15"/>
        <v>0</v>
      </c>
      <c r="BJ18" s="4"/>
      <c r="BK18" s="4"/>
      <c r="BL18" s="4"/>
      <c r="BM18" s="4"/>
      <c r="BN18" s="6"/>
      <c r="BO18" s="6"/>
      <c r="BP18" s="4"/>
      <c r="BQ18" s="4"/>
      <c r="BR18" s="4"/>
      <c r="BS18" s="4"/>
      <c r="BT18" s="6"/>
      <c r="BU18" s="4"/>
      <c r="BV18" s="4"/>
      <c r="BW18" s="4"/>
      <c r="BX18" s="4"/>
      <c r="BY18" s="51">
        <v>1994</v>
      </c>
      <c r="BZ18" s="4"/>
      <c r="CA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</row>
    <row r="19" spans="1:103" s="23" customFormat="1" ht="12.75">
      <c r="A19" s="13">
        <v>1984</v>
      </c>
      <c r="B19" s="13">
        <v>3</v>
      </c>
      <c r="C19" s="5">
        <v>642028</v>
      </c>
      <c r="D19" s="73">
        <v>807950</v>
      </c>
      <c r="E19" s="4">
        <f t="shared" si="16"/>
        <v>642028</v>
      </c>
      <c r="F19" s="4">
        <f t="shared" si="17"/>
        <v>807950</v>
      </c>
      <c r="G19" s="79">
        <f t="shared" si="18"/>
        <v>794.6</v>
      </c>
      <c r="H19" s="13"/>
      <c r="I19" s="13"/>
      <c r="J19" s="230">
        <f>'[7]RES 62 &amp; 67'!$S104</f>
        <v>57.9</v>
      </c>
      <c r="K19" s="183">
        <f>[7]Res20Yr!$T8</f>
        <v>77.2</v>
      </c>
      <c r="L19" s="233">
        <f t="shared" si="6"/>
        <v>19.300000000000004</v>
      </c>
      <c r="M19" s="230">
        <f>'[7]RES 62 &amp; 67'!$J104</f>
        <v>117.2</v>
      </c>
      <c r="N19" s="183">
        <f>[7]Res20Yr!$S8</f>
        <v>82.3</v>
      </c>
      <c r="O19" s="236">
        <f t="shared" si="7"/>
        <v>-34.900000000000006</v>
      </c>
      <c r="P19" s="206">
        <f t="shared" si="19"/>
        <v>41.688000000000009</v>
      </c>
      <c r="Q19" s="206">
        <f t="shared" si="20"/>
        <v>-11.773000000000001</v>
      </c>
      <c r="R19" s="467">
        <f t="shared" si="21"/>
        <v>29.915000000000006</v>
      </c>
      <c r="S19" s="470">
        <f t="shared" si="22"/>
        <v>-94.579000000000008</v>
      </c>
      <c r="T19" s="425">
        <f t="shared" si="23"/>
        <v>-64.7</v>
      </c>
      <c r="U19" s="515">
        <f t="shared" si="24"/>
        <v>807950</v>
      </c>
      <c r="V19" s="447">
        <v>30742</v>
      </c>
      <c r="W19" s="78">
        <f t="shared" si="8"/>
        <v>729.9</v>
      </c>
      <c r="X19" s="73">
        <f t="shared" si="9"/>
        <v>589723</v>
      </c>
      <c r="Y19" s="186">
        <v>0</v>
      </c>
      <c r="Z19" s="175">
        <f t="shared" si="25"/>
        <v>589723</v>
      </c>
      <c r="AA19" s="40">
        <f t="shared" si="10"/>
        <v>-52305</v>
      </c>
      <c r="AB19" s="379">
        <f t="shared" si="26"/>
        <v>589723</v>
      </c>
      <c r="AC19" s="81">
        <f>'[7]Gov 65 &amp; 70'!$B104</f>
        <v>29.4</v>
      </c>
      <c r="AD19" s="4">
        <f t="shared" si="11"/>
        <v>610183</v>
      </c>
      <c r="AE19" s="4"/>
      <c r="AF19" s="23">
        <f t="shared" si="12"/>
        <v>755.2</v>
      </c>
      <c r="AG19" s="4"/>
      <c r="AH19" s="227">
        <v>1995</v>
      </c>
      <c r="AI19" s="84">
        <f>ROUND(SUM(C149:C160),0)</f>
        <v>14937962</v>
      </c>
      <c r="AJ19" s="47">
        <f t="shared" si="2"/>
        <v>7.7295305438299877</v>
      </c>
      <c r="AK19" s="50">
        <f>ROUND(SUM(Z149:Z160),0)</f>
        <v>14732245</v>
      </c>
      <c r="AL19" s="568">
        <f t="shared" si="13"/>
        <v>5.2664654213771867E-2</v>
      </c>
      <c r="AM19" s="50">
        <f>ROUND(AVERAGE(D149:D160),0)</f>
        <v>1124679</v>
      </c>
      <c r="AN19" s="47">
        <f t="shared" si="3"/>
        <v>2.1936563695723166</v>
      </c>
      <c r="AO19" s="50">
        <f t="shared" si="0"/>
        <v>13281.97823556766</v>
      </c>
      <c r="AP19" s="47">
        <f t="shared" si="3"/>
        <v>5.4170428683339988</v>
      </c>
      <c r="AQ19" s="50">
        <f t="shared" si="1"/>
        <v>13099</v>
      </c>
      <c r="AR19" s="47">
        <f t="shared" si="4"/>
        <v>3.0038531100102128</v>
      </c>
      <c r="AS19" s="108">
        <f t="shared" si="5"/>
        <v>13099</v>
      </c>
      <c r="AT19" s="86">
        <f t="shared" si="27"/>
        <v>3.0038531100102128E-2</v>
      </c>
      <c r="AU19" s="4"/>
      <c r="AV19" s="4"/>
      <c r="AW19" s="230">
        <f>'[8]RES 62 &amp; 67'!$S104</f>
        <v>90.2</v>
      </c>
      <c r="AX19" s="200">
        <f>[8]Res20Yr!$Y8</f>
        <v>105.8</v>
      </c>
      <c r="AY19" s="201">
        <f t="shared" si="28"/>
        <v>15.599999999999994</v>
      </c>
      <c r="AZ19" s="230">
        <f>'[8]RES 62 &amp; 67'!$J104</f>
        <v>84.2</v>
      </c>
      <c r="BA19" s="183">
        <f>[8]Res20Yr!$X8</f>
        <v>49.9</v>
      </c>
      <c r="BB19" s="429">
        <f t="shared" si="29"/>
        <v>-34.300000000000004</v>
      </c>
      <c r="BC19" s="206">
        <f t="shared" si="30"/>
        <v>33.695999999999991</v>
      </c>
      <c r="BD19" s="206">
        <f t="shared" si="31"/>
        <v>-9.5159999999999965</v>
      </c>
      <c r="BE19" s="206">
        <f t="shared" si="32"/>
        <v>24.179999999999993</v>
      </c>
      <c r="BF19" s="207">
        <f t="shared" si="33"/>
        <v>-92.953000000000017</v>
      </c>
      <c r="BG19" s="219">
        <f t="shared" si="34"/>
        <v>-68.8</v>
      </c>
      <c r="BH19" s="4">
        <f t="shared" si="14"/>
        <v>0</v>
      </c>
      <c r="BI19" s="4">
        <f t="shared" si="15"/>
        <v>0</v>
      </c>
      <c r="BJ19" s="4"/>
      <c r="BK19" s="4"/>
      <c r="BL19" s="4"/>
      <c r="BM19" s="4"/>
      <c r="BN19" s="6"/>
      <c r="BO19" s="6"/>
      <c r="BP19" s="4"/>
      <c r="BQ19" s="4"/>
      <c r="BR19" s="4"/>
      <c r="BS19" s="4"/>
      <c r="BT19" s="6"/>
      <c r="BU19" s="4"/>
      <c r="BV19" s="4"/>
      <c r="BW19" s="4"/>
      <c r="BX19" s="4"/>
      <c r="BY19" s="22">
        <v>1995</v>
      </c>
      <c r="BZ19" s="4"/>
      <c r="CA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</row>
    <row r="20" spans="1:103" s="23" customFormat="1" ht="12.75">
      <c r="A20" s="13">
        <v>1984</v>
      </c>
      <c r="B20" s="13">
        <v>4</v>
      </c>
      <c r="C20" s="5">
        <v>536150</v>
      </c>
      <c r="D20" s="73">
        <v>805361</v>
      </c>
      <c r="E20" s="4">
        <f t="shared" si="16"/>
        <v>536150</v>
      </c>
      <c r="F20" s="4">
        <f t="shared" si="17"/>
        <v>805361</v>
      </c>
      <c r="G20" s="79">
        <f t="shared" si="18"/>
        <v>665.7</v>
      </c>
      <c r="H20" s="13"/>
      <c r="I20" s="13"/>
      <c r="J20" s="230">
        <f>'[7]RES 62 &amp; 67'!$S105</f>
        <v>95</v>
      </c>
      <c r="K20" s="183">
        <f>[7]Res20Yr!$T9</f>
        <v>138.1</v>
      </c>
      <c r="L20" s="233">
        <f t="shared" si="6"/>
        <v>43.099999999999994</v>
      </c>
      <c r="M20" s="230">
        <f>'[7]RES 62 &amp; 67'!$J105</f>
        <v>51.5</v>
      </c>
      <c r="N20" s="183">
        <f>[7]Res20Yr!$S9</f>
        <v>37.299999999999997</v>
      </c>
      <c r="O20" s="236">
        <f t="shared" si="7"/>
        <v>-14.200000000000003</v>
      </c>
      <c r="P20" s="206">
        <f t="shared" si="19"/>
        <v>93.095999999999989</v>
      </c>
      <c r="Q20" s="206">
        <f t="shared" si="20"/>
        <v>-26.290999999999997</v>
      </c>
      <c r="R20" s="467">
        <f t="shared" si="21"/>
        <v>66.804999999999993</v>
      </c>
      <c r="S20" s="470">
        <f t="shared" si="22"/>
        <v>-38.482000000000006</v>
      </c>
      <c r="T20" s="425">
        <f t="shared" si="23"/>
        <v>28.3</v>
      </c>
      <c r="U20" s="515">
        <f t="shared" si="24"/>
        <v>805361</v>
      </c>
      <c r="V20" s="447">
        <v>30773</v>
      </c>
      <c r="W20" s="78">
        <f t="shared" si="8"/>
        <v>694</v>
      </c>
      <c r="X20" s="73">
        <f t="shared" si="9"/>
        <v>558921</v>
      </c>
      <c r="Y20" s="186">
        <v>0</v>
      </c>
      <c r="Z20" s="175">
        <f t="shared" si="25"/>
        <v>558921</v>
      </c>
      <c r="AA20" s="40">
        <f t="shared" si="10"/>
        <v>22771</v>
      </c>
      <c r="AB20" s="379">
        <f t="shared" si="26"/>
        <v>558921</v>
      </c>
      <c r="AC20" s="81">
        <f>'[7]Gov 65 &amp; 70'!$B105</f>
        <v>29.6</v>
      </c>
      <c r="AD20" s="4">
        <f t="shared" si="11"/>
        <v>574405</v>
      </c>
      <c r="AE20" s="4"/>
      <c r="AF20" s="23">
        <f t="shared" si="12"/>
        <v>713.2</v>
      </c>
      <c r="AG20" s="4"/>
      <c r="AH20" s="227">
        <v>1996</v>
      </c>
      <c r="AI20" s="84">
        <f>ROUND(SUM(C161:C172),0)</f>
        <v>15481372</v>
      </c>
      <c r="AJ20" s="47">
        <f t="shared" si="2"/>
        <v>3.6377787010035245</v>
      </c>
      <c r="AK20" s="50">
        <f>ROUND(SUM(Z161:Z172),0)</f>
        <v>14852016</v>
      </c>
      <c r="AL20" s="568">
        <f t="shared" si="13"/>
        <v>8.1298539360430411E-3</v>
      </c>
      <c r="AM20" s="50">
        <f>ROUND(AVERAGE(D161:D172),0)</f>
        <v>1140005</v>
      </c>
      <c r="AN20" s="47">
        <f t="shared" si="3"/>
        <v>1.3626999348258506</v>
      </c>
      <c r="AO20" s="50">
        <f t="shared" si="0"/>
        <v>13580.091315388967</v>
      </c>
      <c r="AP20" s="47">
        <f t="shared" si="3"/>
        <v>2.2444930607023128</v>
      </c>
      <c r="AQ20" s="50">
        <f t="shared" si="1"/>
        <v>13028</v>
      </c>
      <c r="AR20" s="47">
        <f t="shared" si="4"/>
        <v>-0.54202610886326941</v>
      </c>
      <c r="AS20" s="108">
        <f t="shared" si="5"/>
        <v>13028</v>
      </c>
      <c r="AT20" s="86">
        <f t="shared" si="27"/>
        <v>-5.4202610886326941E-3</v>
      </c>
      <c r="AU20" s="4"/>
      <c r="AV20" s="4"/>
      <c r="AW20" s="230">
        <f>'[8]RES 62 &amp; 67'!$S105</f>
        <v>144.19999999999999</v>
      </c>
      <c r="AX20" s="200">
        <f>[8]Res20Yr!$Y9</f>
        <v>181.7</v>
      </c>
      <c r="AY20" s="201">
        <f t="shared" si="28"/>
        <v>37.5</v>
      </c>
      <c r="AZ20" s="230">
        <f>'[8]RES 62 &amp; 67'!$J105</f>
        <v>29.6</v>
      </c>
      <c r="BA20" s="183">
        <f>[8]Res20Yr!$X9</f>
        <v>21.5</v>
      </c>
      <c r="BB20" s="429">
        <f t="shared" si="29"/>
        <v>-8.1000000000000014</v>
      </c>
      <c r="BC20" s="206">
        <f t="shared" si="30"/>
        <v>81</v>
      </c>
      <c r="BD20" s="206">
        <f t="shared" si="31"/>
        <v>-11.4375</v>
      </c>
      <c r="BE20" s="206">
        <f t="shared" si="32"/>
        <v>69.5625</v>
      </c>
      <c r="BF20" s="207">
        <f t="shared" si="33"/>
        <v>-21.951000000000004</v>
      </c>
      <c r="BG20" s="219">
        <f t="shared" si="34"/>
        <v>47.6</v>
      </c>
      <c r="BH20" s="4">
        <f t="shared" si="14"/>
        <v>0</v>
      </c>
      <c r="BI20" s="4">
        <f t="shared" si="15"/>
        <v>0</v>
      </c>
      <c r="BJ20" s="4"/>
      <c r="BK20" s="4"/>
      <c r="BL20" s="4"/>
      <c r="BM20" s="4"/>
      <c r="BN20" s="6"/>
      <c r="BO20" s="6"/>
      <c r="BP20" s="4"/>
      <c r="BQ20" s="4"/>
      <c r="BR20" s="4"/>
      <c r="BS20" s="4"/>
      <c r="BT20" s="6"/>
      <c r="BU20" s="4"/>
      <c r="BV20" s="4"/>
      <c r="BW20" s="4"/>
      <c r="BX20" s="4"/>
      <c r="BY20" s="51">
        <v>1996</v>
      </c>
      <c r="BZ20" s="4"/>
      <c r="CA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</row>
    <row r="21" spans="1:103" s="23" customFormat="1" ht="12.75">
      <c r="A21" s="13">
        <v>1984</v>
      </c>
      <c r="B21" s="13">
        <v>5</v>
      </c>
      <c r="C21" s="5">
        <v>575735</v>
      </c>
      <c r="D21" s="73">
        <v>794783</v>
      </c>
      <c r="E21" s="4">
        <f t="shared" si="16"/>
        <v>575735</v>
      </c>
      <c r="F21" s="4">
        <f t="shared" si="17"/>
        <v>794783</v>
      </c>
      <c r="G21" s="79">
        <f t="shared" si="18"/>
        <v>724.4</v>
      </c>
      <c r="H21" s="13"/>
      <c r="I21" s="13"/>
      <c r="J21" s="230">
        <f>'[7]RES 62 &amp; 67'!$S106</f>
        <v>217.7</v>
      </c>
      <c r="K21" s="183">
        <f>[7]Res20Yr!$T10</f>
        <v>224.4</v>
      </c>
      <c r="L21" s="233">
        <f t="shared" si="6"/>
        <v>6.7000000000000171</v>
      </c>
      <c r="M21" s="230">
        <f>'[7]RES 62 &amp; 67'!$J106</f>
        <v>19.399999999999999</v>
      </c>
      <c r="N21" s="183">
        <f>[7]Res20Yr!$S10</f>
        <v>11.2</v>
      </c>
      <c r="O21" s="236">
        <f t="shared" si="7"/>
        <v>-8.1999999999999993</v>
      </c>
      <c r="P21" s="206">
        <f t="shared" si="19"/>
        <v>14.472000000000039</v>
      </c>
      <c r="Q21" s="208">
        <f t="shared" si="20"/>
        <v>0</v>
      </c>
      <c r="R21" s="467">
        <f t="shared" si="21"/>
        <v>14.472000000000039</v>
      </c>
      <c r="S21" s="470">
        <f t="shared" si="22"/>
        <v>-22.221999999999998</v>
      </c>
      <c r="T21" s="425">
        <f t="shared" si="23"/>
        <v>-7.7</v>
      </c>
      <c r="U21" s="515">
        <f t="shared" si="24"/>
        <v>794783</v>
      </c>
      <c r="V21" s="447">
        <v>30803</v>
      </c>
      <c r="W21" s="191">
        <f t="shared" si="8"/>
        <v>716.69999999999993</v>
      </c>
      <c r="X21" s="73">
        <f t="shared" si="9"/>
        <v>569621</v>
      </c>
      <c r="Y21" s="186">
        <v>0</v>
      </c>
      <c r="Z21" s="175">
        <f t="shared" si="25"/>
        <v>569621</v>
      </c>
      <c r="AA21" s="40">
        <f t="shared" si="10"/>
        <v>-6114</v>
      </c>
      <c r="AB21" s="379">
        <f t="shared" si="26"/>
        <v>569621</v>
      </c>
      <c r="AC21" s="81">
        <f>'[7]Gov 65 &amp; 70'!$B106</f>
        <v>30.6</v>
      </c>
      <c r="AD21" s="4">
        <f t="shared" si="11"/>
        <v>566270</v>
      </c>
      <c r="AE21" s="4"/>
      <c r="AF21" s="23">
        <f t="shared" si="12"/>
        <v>712.5</v>
      </c>
      <c r="AG21" s="4"/>
      <c r="AH21" s="227">
        <v>1997</v>
      </c>
      <c r="AI21" s="84">
        <f>ROUND(SUM(C173:C184),0)</f>
        <v>15079777</v>
      </c>
      <c r="AJ21" s="47">
        <f t="shared" si="2"/>
        <v>-2.5940530335425094</v>
      </c>
      <c r="AK21" s="50">
        <f>ROUND(SUM(Z173:Z184),0)</f>
        <v>15500088</v>
      </c>
      <c r="AL21" s="568">
        <f t="shared" si="13"/>
        <v>4.3635288300255093E-2</v>
      </c>
      <c r="AM21" s="50">
        <f>ROUND(AVERAGE(D173:D184),0)</f>
        <v>1160611</v>
      </c>
      <c r="AN21" s="47">
        <f t="shared" si="3"/>
        <v>1.8075359318599382</v>
      </c>
      <c r="AO21" s="50">
        <f t="shared" si="0"/>
        <v>12992.964050831846</v>
      </c>
      <c r="AP21" s="47">
        <f t="shared" si="3"/>
        <v>-4.3234412120026651</v>
      </c>
      <c r="AQ21" s="50">
        <f t="shared" si="1"/>
        <v>13355</v>
      </c>
      <c r="AR21" s="47">
        <f t="shared" si="4"/>
        <v>2.5099785078292802</v>
      </c>
      <c r="AS21" s="108">
        <f t="shared" si="5"/>
        <v>13355</v>
      </c>
      <c r="AT21" s="86">
        <f t="shared" si="27"/>
        <v>2.5099785078292802E-2</v>
      </c>
      <c r="AU21" s="4"/>
      <c r="AV21" s="4"/>
      <c r="AW21" s="230">
        <f>'[8]RES 62 &amp; 67'!$S106</f>
        <v>309.5</v>
      </c>
      <c r="AX21" s="200">
        <f>[8]Res20Yr!$Y10</f>
        <v>336.7</v>
      </c>
      <c r="AY21" s="201">
        <f t="shared" si="28"/>
        <v>27.199999999999989</v>
      </c>
      <c r="AZ21" s="230">
        <f>'[8]RES 62 &amp; 67'!$J106</f>
        <v>4.3</v>
      </c>
      <c r="BA21" s="183">
        <f>[8]Res20Yr!$X10</f>
        <v>2.1</v>
      </c>
      <c r="BB21" s="429">
        <f t="shared" si="29"/>
        <v>-2.1999999999999997</v>
      </c>
      <c r="BC21" s="206">
        <f t="shared" si="30"/>
        <v>58.751999999999981</v>
      </c>
      <c r="BD21" s="206">
        <f t="shared" si="31"/>
        <v>0</v>
      </c>
      <c r="BE21" s="206">
        <f t="shared" si="32"/>
        <v>58.751999999999981</v>
      </c>
      <c r="BF21" s="207">
        <f t="shared" si="33"/>
        <v>-5.9619999999999989</v>
      </c>
      <c r="BG21" s="219">
        <f t="shared" si="34"/>
        <v>52.8</v>
      </c>
      <c r="BH21" s="4">
        <f t="shared" si="14"/>
        <v>0</v>
      </c>
      <c r="BI21" s="4">
        <f t="shared" si="15"/>
        <v>0</v>
      </c>
      <c r="BJ21" s="4"/>
      <c r="BK21" s="4"/>
      <c r="BL21" s="4"/>
      <c r="BM21" s="4"/>
      <c r="BN21" s="6"/>
      <c r="BO21" s="6"/>
      <c r="BP21" s="4"/>
      <c r="BQ21" s="4"/>
      <c r="BR21" s="4"/>
      <c r="BS21" s="4"/>
      <c r="BT21" s="6"/>
      <c r="BU21" s="4"/>
      <c r="BV21" s="4"/>
      <c r="BW21" s="4"/>
      <c r="BX21" s="4"/>
      <c r="BY21" s="22">
        <v>1997</v>
      </c>
      <c r="BZ21" s="84">
        <f>ROUND(SUM(BJ173:BJ184),0)</f>
        <v>15101164</v>
      </c>
      <c r="CA21" s="47"/>
      <c r="CB21" s="50">
        <f>AM21</f>
        <v>1160611</v>
      </c>
      <c r="CD21" s="50">
        <f t="shared" ref="CD21:CD31" si="35">BZ21/CB21*1000</f>
        <v>13011.391413660564</v>
      </c>
      <c r="CF21" s="84">
        <f>ROUND(SUM(BT173:BT184),0)</f>
        <v>15391755</v>
      </c>
      <c r="CG21" s="4"/>
      <c r="CH21" s="108">
        <f t="shared" ref="CH21:CH31" si="36">CF21/AM21*1000</f>
        <v>13261.769016492175</v>
      </c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</row>
    <row r="22" spans="1:103" s="23" customFormat="1" ht="12.75">
      <c r="A22" s="13">
        <v>1984</v>
      </c>
      <c r="B22" s="13">
        <v>6</v>
      </c>
      <c r="C22" s="5">
        <v>647836</v>
      </c>
      <c r="D22" s="73">
        <v>791443</v>
      </c>
      <c r="E22" s="4">
        <f t="shared" si="16"/>
        <v>647836</v>
      </c>
      <c r="F22" s="4">
        <f t="shared" si="17"/>
        <v>791443</v>
      </c>
      <c r="G22" s="79">
        <f t="shared" si="18"/>
        <v>818.6</v>
      </c>
      <c r="H22" s="13"/>
      <c r="I22" s="13"/>
      <c r="J22" s="230">
        <f>'[7]RES 62 &amp; 67'!$S107</f>
        <v>310</v>
      </c>
      <c r="K22" s="183">
        <f>[7]Res20Yr!$T11</f>
        <v>382.8</v>
      </c>
      <c r="L22" s="233">
        <f t="shared" si="6"/>
        <v>72.800000000000011</v>
      </c>
      <c r="M22" s="230">
        <f>'[7]RES 62 &amp; 67'!$J107</f>
        <v>4.5</v>
      </c>
      <c r="N22" s="183">
        <f>[7]Res20Yr!$S11</f>
        <v>0.9</v>
      </c>
      <c r="O22" s="236">
        <f t="shared" si="7"/>
        <v>-3.6</v>
      </c>
      <c r="P22" s="206">
        <f t="shared" si="19"/>
        <v>157.24800000000005</v>
      </c>
      <c r="Q22" s="208">
        <f t="shared" si="20"/>
        <v>0</v>
      </c>
      <c r="R22" s="467">
        <f t="shared" si="21"/>
        <v>157.24800000000005</v>
      </c>
      <c r="S22" s="470">
        <f t="shared" si="22"/>
        <v>-9.7560000000000002</v>
      </c>
      <c r="T22" s="425">
        <f t="shared" si="23"/>
        <v>147.5</v>
      </c>
      <c r="U22" s="515">
        <f t="shared" si="24"/>
        <v>791443</v>
      </c>
      <c r="V22" s="447">
        <v>30834</v>
      </c>
      <c r="W22" s="191">
        <f t="shared" si="8"/>
        <v>966.1</v>
      </c>
      <c r="X22" s="73">
        <f t="shared" si="9"/>
        <v>764613</v>
      </c>
      <c r="Y22" s="186">
        <v>0</v>
      </c>
      <c r="Z22" s="175">
        <f t="shared" si="25"/>
        <v>764613</v>
      </c>
      <c r="AA22" s="40">
        <f t="shared" si="10"/>
        <v>116777</v>
      </c>
      <c r="AB22" s="379">
        <f t="shared" si="26"/>
        <v>764613</v>
      </c>
      <c r="AC22" s="81">
        <f>'[7]Gov 65 &amp; 70'!$B107</f>
        <v>30.65</v>
      </c>
      <c r="AD22" s="4">
        <f t="shared" si="11"/>
        <v>758875</v>
      </c>
      <c r="AE22" s="4"/>
      <c r="AF22" s="23">
        <f t="shared" si="12"/>
        <v>958.8</v>
      </c>
      <c r="AG22" s="4"/>
      <c r="AH22" s="227">
        <v>1998</v>
      </c>
      <c r="AI22" s="84">
        <f>ROUND(SUM(C185:C196),0)</f>
        <v>16526270</v>
      </c>
      <c r="AJ22" s="47">
        <f t="shared" ref="AJ22:AJ27" si="37">(AI22/AI21-1)*100</f>
        <v>9.5922704957772211</v>
      </c>
      <c r="AK22" s="50">
        <f>ROUND(SUM(Z185:Z196),0)</f>
        <v>15927978</v>
      </c>
      <c r="AL22" s="568">
        <f t="shared" si="13"/>
        <v>2.7605649722762804E-2</v>
      </c>
      <c r="AM22" s="50">
        <f>ROUND(AVERAGE(D185:D196),0)</f>
        <v>1182786</v>
      </c>
      <c r="AN22" s="47">
        <f t="shared" ref="AN22:AP27" si="38">(AM22/AM21-1)*100</f>
        <v>1.9106315552756215</v>
      </c>
      <c r="AO22" s="50">
        <f t="shared" si="0"/>
        <v>13972.324663971336</v>
      </c>
      <c r="AP22" s="47">
        <f t="shared" si="38"/>
        <v>7.5376227418776587</v>
      </c>
      <c r="AQ22" s="50">
        <f t="shared" si="1"/>
        <v>13466</v>
      </c>
      <c r="AR22" s="47">
        <f t="shared" ref="AR22:AR27" si="39">(AQ22/AQ21-1)*100</f>
        <v>0.83114938225383739</v>
      </c>
      <c r="AS22" s="108">
        <f t="shared" si="5"/>
        <v>13466</v>
      </c>
      <c r="AT22" s="86">
        <f t="shared" si="27"/>
        <v>8.3114938225383739E-3</v>
      </c>
      <c r="AU22" s="4"/>
      <c r="AV22" s="4"/>
      <c r="AW22" s="230">
        <f>'[8]RES 62 &amp; 67'!$S107</f>
        <v>374.8</v>
      </c>
      <c r="AX22" s="200">
        <f>[8]Res20Yr!$Y11</f>
        <v>425.2</v>
      </c>
      <c r="AY22" s="201">
        <f t="shared" si="28"/>
        <v>50.399999999999977</v>
      </c>
      <c r="AZ22" s="230">
        <f>'[8]RES 62 &amp; 67'!$J107</f>
        <v>2.1</v>
      </c>
      <c r="BA22" s="183">
        <f>[8]Res20Yr!$X11</f>
        <v>0</v>
      </c>
      <c r="BB22" s="429">
        <f t="shared" si="29"/>
        <v>-2.1</v>
      </c>
      <c r="BC22" s="206">
        <f t="shared" si="30"/>
        <v>108.86399999999996</v>
      </c>
      <c r="BD22" s="206">
        <f t="shared" si="31"/>
        <v>0</v>
      </c>
      <c r="BE22" s="206">
        <f t="shared" si="32"/>
        <v>108.86399999999996</v>
      </c>
      <c r="BF22" s="207">
        <f t="shared" si="33"/>
        <v>-5.6909999999999998</v>
      </c>
      <c r="BG22" s="219">
        <f t="shared" si="34"/>
        <v>103.2</v>
      </c>
      <c r="BH22" s="4">
        <f t="shared" si="14"/>
        <v>0</v>
      </c>
      <c r="BI22" s="4">
        <f t="shared" si="15"/>
        <v>0</v>
      </c>
      <c r="BJ22" s="4"/>
      <c r="BK22" s="4"/>
      <c r="BL22" s="4"/>
      <c r="BM22" s="4"/>
      <c r="BN22" s="6"/>
      <c r="BO22" s="6"/>
      <c r="BP22" s="4"/>
      <c r="BQ22" s="4"/>
      <c r="BR22" s="4"/>
      <c r="BS22" s="4"/>
      <c r="BT22" s="6"/>
      <c r="BU22" s="4"/>
      <c r="BV22" s="4"/>
      <c r="BW22" s="4"/>
      <c r="BX22" s="4"/>
      <c r="BY22" s="51">
        <v>1998</v>
      </c>
      <c r="BZ22" s="84">
        <f>ROUND(SUM(BJ185:BJ196),0)</f>
        <v>16493726</v>
      </c>
      <c r="CA22" s="47">
        <f t="shared" ref="CA22:CA29" si="40">(BZ22/BZ21-1)*100</f>
        <v>9.2215540470919954</v>
      </c>
      <c r="CB22" s="50">
        <f t="shared" ref="CB22:CB31" si="41">AM22</f>
        <v>1182786</v>
      </c>
      <c r="CC22" s="50">
        <f>CB22-CB21</f>
        <v>22175</v>
      </c>
      <c r="CD22" s="50">
        <f t="shared" si="35"/>
        <v>13944.809965623535</v>
      </c>
      <c r="CE22" s="47">
        <f t="shared" ref="CE22:CG27" si="42">(CD22/CD21-1)*100</f>
        <v>7.1738565253135267</v>
      </c>
      <c r="CF22" s="84">
        <f>ROUND(SUM(BT185:BT196),0)</f>
        <v>15865995</v>
      </c>
      <c r="CG22" s="47">
        <f t="shared" si="42"/>
        <v>3.0811301245374567</v>
      </c>
      <c r="CH22" s="108">
        <f t="shared" si="36"/>
        <v>13414.0875864273</v>
      </c>
      <c r="CI22" s="120">
        <f t="shared" ref="CI22:CI29" si="43">CH22/CH21-1</f>
        <v>1.1485539353437879E-2</v>
      </c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</row>
    <row r="23" spans="1:103" s="23" customFormat="1" ht="12.75">
      <c r="A23" s="13">
        <v>1984</v>
      </c>
      <c r="B23" s="13">
        <v>7</v>
      </c>
      <c r="C23" s="5">
        <v>793896</v>
      </c>
      <c r="D23" s="73">
        <v>793289</v>
      </c>
      <c r="E23" s="4">
        <f t="shared" si="16"/>
        <v>793896</v>
      </c>
      <c r="F23" s="4">
        <f t="shared" si="17"/>
        <v>793289</v>
      </c>
      <c r="G23" s="79">
        <f t="shared" si="18"/>
        <v>1000.8</v>
      </c>
      <c r="H23" s="13"/>
      <c r="I23" s="13"/>
      <c r="J23" s="230">
        <f>'[7]RES 62 &amp; 67'!$S108</f>
        <v>411</v>
      </c>
      <c r="K23" s="183">
        <f>[7]Res20Yr!$T12</f>
        <v>454.9</v>
      </c>
      <c r="L23" s="233">
        <f t="shared" si="6"/>
        <v>43.899999999999977</v>
      </c>
      <c r="M23" s="230">
        <f>'[7]RES 62 &amp; 67'!$J108</f>
        <v>0.5</v>
      </c>
      <c r="N23" s="183">
        <f>[7]Res20Yr!$S12</f>
        <v>0</v>
      </c>
      <c r="O23" s="236">
        <f t="shared" si="7"/>
        <v>-0.5</v>
      </c>
      <c r="P23" s="206">
        <f t="shared" si="19"/>
        <v>94.823999999999955</v>
      </c>
      <c r="Q23" s="208">
        <f t="shared" si="20"/>
        <v>0</v>
      </c>
      <c r="R23" s="467">
        <f t="shared" si="21"/>
        <v>94.823999999999955</v>
      </c>
      <c r="S23" s="470">
        <f t="shared" si="22"/>
        <v>-1.355</v>
      </c>
      <c r="T23" s="425">
        <f t="shared" si="23"/>
        <v>93.5</v>
      </c>
      <c r="U23" s="515">
        <f t="shared" si="24"/>
        <v>793289</v>
      </c>
      <c r="V23" s="447">
        <v>30864</v>
      </c>
      <c r="W23" s="191">
        <f t="shared" si="8"/>
        <v>1094.3</v>
      </c>
      <c r="X23" s="73">
        <f t="shared" si="9"/>
        <v>868096</v>
      </c>
      <c r="Y23" s="186">
        <v>0</v>
      </c>
      <c r="Z23" s="175">
        <f t="shared" si="25"/>
        <v>868096</v>
      </c>
      <c r="AA23" s="40">
        <f t="shared" si="10"/>
        <v>74200</v>
      </c>
      <c r="AB23" s="379">
        <f t="shared" si="26"/>
        <v>868096</v>
      </c>
      <c r="AC23" s="81">
        <f>'[7]Gov 65 &amp; 70'!$B108</f>
        <v>30.55</v>
      </c>
      <c r="AD23" s="4">
        <f t="shared" si="11"/>
        <v>864402</v>
      </c>
      <c r="AE23" s="4"/>
      <c r="AF23" s="23">
        <f t="shared" si="12"/>
        <v>1089.5999999999999</v>
      </c>
      <c r="AG23" s="4"/>
      <c r="AH23" s="227">
        <v>1999</v>
      </c>
      <c r="AI23" s="84">
        <f>ROUND(SUM(C197:C208),0)</f>
        <v>16244772</v>
      </c>
      <c r="AJ23" s="47">
        <f t="shared" si="37"/>
        <v>-1.7033365665694689</v>
      </c>
      <c r="AK23" s="50">
        <f>ROUND(SUM(Z197:Z208),0)</f>
        <v>16386015</v>
      </c>
      <c r="AL23" s="568">
        <f t="shared" si="13"/>
        <v>2.8756757449062365E-2</v>
      </c>
      <c r="AM23" s="50">
        <f>ROUND(AVERAGE(D197:D208),0)</f>
        <v>1213470</v>
      </c>
      <c r="AN23" s="47">
        <f t="shared" si="38"/>
        <v>2.5942139998275326</v>
      </c>
      <c r="AO23" s="50">
        <f t="shared" si="0"/>
        <v>13387.040470716211</v>
      </c>
      <c r="AP23" s="47">
        <f t="shared" si="38"/>
        <v>-4.1888820030379303</v>
      </c>
      <c r="AQ23" s="50">
        <f t="shared" si="1"/>
        <v>13503</v>
      </c>
      <c r="AR23" s="47">
        <f t="shared" si="39"/>
        <v>0.27476607752858762</v>
      </c>
      <c r="AS23" s="108">
        <f>AQ23</f>
        <v>13503</v>
      </c>
      <c r="AT23" s="86">
        <f t="shared" si="27"/>
        <v>2.7476607752858762E-3</v>
      </c>
      <c r="AU23" s="4"/>
      <c r="AV23" s="4"/>
      <c r="AW23" s="230">
        <f>'[8]RES 62 &amp; 67'!$S108</f>
        <v>435.7</v>
      </c>
      <c r="AX23" s="200">
        <f>[8]Res20Yr!$Y12</f>
        <v>484.1</v>
      </c>
      <c r="AY23" s="201">
        <f t="shared" si="28"/>
        <v>48.400000000000034</v>
      </c>
      <c r="AZ23" s="230">
        <f>'[8]RES 62 &amp; 67'!$J108</f>
        <v>0</v>
      </c>
      <c r="BA23" s="183">
        <f>[8]Res20Yr!$X12</f>
        <v>0</v>
      </c>
      <c r="BB23" s="429">
        <f t="shared" si="29"/>
        <v>0</v>
      </c>
      <c r="BC23" s="206">
        <f t="shared" si="30"/>
        <v>104.54400000000008</v>
      </c>
      <c r="BD23" s="206">
        <f t="shared" si="31"/>
        <v>0</v>
      </c>
      <c r="BE23" s="206">
        <f t="shared" si="32"/>
        <v>104.54400000000008</v>
      </c>
      <c r="BF23" s="207">
        <f t="shared" si="33"/>
        <v>0</v>
      </c>
      <c r="BG23" s="219">
        <f t="shared" si="34"/>
        <v>104.5</v>
      </c>
      <c r="BH23" s="4">
        <f t="shared" si="14"/>
        <v>0</v>
      </c>
      <c r="BI23" s="4">
        <f t="shared" si="15"/>
        <v>0</v>
      </c>
      <c r="BJ23" s="4"/>
      <c r="BK23" s="4"/>
      <c r="BL23" s="4"/>
      <c r="BM23" s="4"/>
      <c r="BN23" s="6"/>
      <c r="BO23" s="6"/>
      <c r="BP23" s="4"/>
      <c r="BQ23" s="4"/>
      <c r="BR23" s="4"/>
      <c r="BS23" s="4"/>
      <c r="BT23" s="6"/>
      <c r="BU23" s="4"/>
      <c r="BV23" s="4"/>
      <c r="BW23" s="4"/>
      <c r="BX23" s="4"/>
      <c r="BY23" s="22">
        <v>1999</v>
      </c>
      <c r="BZ23" s="84">
        <f>ROUND(SUM(BJ197:BJ208),0)</f>
        <v>16316706</v>
      </c>
      <c r="CA23" s="47">
        <f t="shared" si="40"/>
        <v>-1.0732565825332663</v>
      </c>
      <c r="CB23" s="50">
        <f t="shared" si="41"/>
        <v>1213470</v>
      </c>
      <c r="CC23" s="50">
        <f t="shared" ref="CC23:CC31" si="44">CB23-CB22</f>
        <v>30684</v>
      </c>
      <c r="CD23" s="50">
        <f t="shared" si="35"/>
        <v>13446.320057356177</v>
      </c>
      <c r="CE23" s="47">
        <f t="shared" si="42"/>
        <v>-3.5747343240691398</v>
      </c>
      <c r="CF23" s="84">
        <f>ROUND(SUM(BT197:BT208),0)</f>
        <v>16305798</v>
      </c>
      <c r="CG23" s="47">
        <f t="shared" si="42"/>
        <v>2.7719849905410987</v>
      </c>
      <c r="CH23" s="108">
        <f t="shared" si="36"/>
        <v>13437.330959974288</v>
      </c>
      <c r="CI23" s="120">
        <f t="shared" si="43"/>
        <v>1.7327584449728928E-3</v>
      </c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</row>
    <row r="24" spans="1:103" s="23" customFormat="1" ht="12.75">
      <c r="A24" s="13">
        <v>1984</v>
      </c>
      <c r="B24" s="13">
        <v>8</v>
      </c>
      <c r="C24" s="5">
        <v>854320</v>
      </c>
      <c r="D24" s="73">
        <v>796120</v>
      </c>
      <c r="E24" s="4">
        <f t="shared" si="16"/>
        <v>854320</v>
      </c>
      <c r="F24" s="4">
        <f t="shared" si="17"/>
        <v>796120</v>
      </c>
      <c r="G24" s="79">
        <f t="shared" si="18"/>
        <v>1073.0999999999999</v>
      </c>
      <c r="H24" s="13"/>
      <c r="I24" s="13"/>
      <c r="J24" s="230">
        <f>'[7]RES 62 &amp; 67'!$S109</f>
        <v>461.4</v>
      </c>
      <c r="K24" s="183">
        <f>[7]Res20Yr!$T13</f>
        <v>481.4</v>
      </c>
      <c r="L24" s="233">
        <f t="shared" si="6"/>
        <v>20</v>
      </c>
      <c r="M24" s="230">
        <f>'[7]RES 62 &amp; 67'!$J109</f>
        <v>0</v>
      </c>
      <c r="N24" s="183">
        <f>[7]Res20Yr!$S13</f>
        <v>0</v>
      </c>
      <c r="O24" s="236">
        <f t="shared" si="7"/>
        <v>0</v>
      </c>
      <c r="P24" s="206">
        <f t="shared" si="19"/>
        <v>43.2</v>
      </c>
      <c r="Q24" s="208">
        <f t="shared" si="20"/>
        <v>0</v>
      </c>
      <c r="R24" s="467">
        <f t="shared" si="21"/>
        <v>43.2</v>
      </c>
      <c r="S24" s="470">
        <f t="shared" si="22"/>
        <v>0</v>
      </c>
      <c r="T24" s="425">
        <f t="shared" si="23"/>
        <v>43.2</v>
      </c>
      <c r="U24" s="515">
        <f t="shared" si="24"/>
        <v>796120</v>
      </c>
      <c r="V24" s="447">
        <v>30895</v>
      </c>
      <c r="W24" s="191">
        <f t="shared" si="8"/>
        <v>1116.3</v>
      </c>
      <c r="X24" s="73">
        <f t="shared" si="9"/>
        <v>888709</v>
      </c>
      <c r="Y24" s="186">
        <v>0</v>
      </c>
      <c r="Z24" s="175">
        <f t="shared" si="25"/>
        <v>888709</v>
      </c>
      <c r="AA24" s="40">
        <f t="shared" si="10"/>
        <v>34389</v>
      </c>
      <c r="AB24" s="379">
        <f t="shared" si="26"/>
        <v>888709</v>
      </c>
      <c r="AC24" s="81">
        <f>'[7]Gov 65 &amp; 70'!$B109</f>
        <v>31.2</v>
      </c>
      <c r="AD24" s="4">
        <f t="shared" si="11"/>
        <v>866491</v>
      </c>
      <c r="AE24" s="4"/>
      <c r="AF24" s="23">
        <f t="shared" si="12"/>
        <v>1088.4000000000001</v>
      </c>
      <c r="AG24" s="4"/>
      <c r="AH24" s="227">
        <v>2000</v>
      </c>
      <c r="AI24" s="84">
        <f>ROUND(SUM(C209:C220),0)</f>
        <v>17115690</v>
      </c>
      <c r="AJ24" s="47">
        <f t="shared" si="37"/>
        <v>5.361220212878326</v>
      </c>
      <c r="AK24" s="549">
        <f>ROUND(SUM(AB209:AB220),0)</f>
        <v>17074644</v>
      </c>
      <c r="AL24" s="568">
        <f t="shared" si="13"/>
        <v>4.2025410082927372E-2</v>
      </c>
      <c r="AM24" s="50">
        <f>ROUND(AVERAGE(D209:D220),0)</f>
        <v>1234286</v>
      </c>
      <c r="AN24" s="47">
        <f t="shared" si="38"/>
        <v>1.715411176213677</v>
      </c>
      <c r="AO24" s="181">
        <f t="shared" si="0"/>
        <v>13866.875262297393</v>
      </c>
      <c r="AP24" s="47">
        <f t="shared" si="38"/>
        <v>3.584323156643987</v>
      </c>
      <c r="AQ24" s="50">
        <f t="shared" si="1"/>
        <v>13834</v>
      </c>
      <c r="AR24" s="47">
        <f t="shared" si="39"/>
        <v>2.4513071169369738</v>
      </c>
      <c r="AS24" s="547">
        <f>[13]RUPC!$AA7</f>
        <v>13770.940799648242</v>
      </c>
      <c r="AT24" s="86">
        <f t="shared" si="27"/>
        <v>1.9843057072372217E-2</v>
      </c>
      <c r="AU24" s="4"/>
      <c r="AV24" s="4"/>
      <c r="AW24" s="230">
        <f>'[8]RES 62 &amp; 67'!$S109</f>
        <v>479.4</v>
      </c>
      <c r="AX24" s="200">
        <f>[8]Res20Yr!$Y13</f>
        <v>487.3</v>
      </c>
      <c r="AY24" s="201">
        <f t="shared" si="28"/>
        <v>7.9000000000000341</v>
      </c>
      <c r="AZ24" s="230">
        <f>'[8]RES 62 &amp; 67'!$J109</f>
        <v>0</v>
      </c>
      <c r="BA24" s="183">
        <f>[8]Res20Yr!$X13</f>
        <v>0</v>
      </c>
      <c r="BB24" s="429">
        <f t="shared" si="29"/>
        <v>0</v>
      </c>
      <c r="BC24" s="206">
        <f t="shared" si="30"/>
        <v>17.064000000000075</v>
      </c>
      <c r="BD24" s="206">
        <f t="shared" si="31"/>
        <v>0</v>
      </c>
      <c r="BE24" s="206">
        <f t="shared" si="32"/>
        <v>17.064000000000075</v>
      </c>
      <c r="BF24" s="207">
        <f t="shared" si="33"/>
        <v>0</v>
      </c>
      <c r="BG24" s="219">
        <f t="shared" si="34"/>
        <v>17.100000000000001</v>
      </c>
      <c r="BH24" s="4">
        <f t="shared" si="14"/>
        <v>0</v>
      </c>
      <c r="BI24" s="4">
        <f t="shared" si="15"/>
        <v>0</v>
      </c>
      <c r="BJ24" s="4"/>
      <c r="BK24" s="4"/>
      <c r="BL24" s="4"/>
      <c r="BM24" s="4"/>
      <c r="BN24" s="6"/>
      <c r="BO24" s="6"/>
      <c r="BP24" s="4"/>
      <c r="BQ24" s="4"/>
      <c r="BR24" s="4"/>
      <c r="BS24" s="4"/>
      <c r="BT24" s="6"/>
      <c r="BU24" s="4"/>
      <c r="BV24" s="4"/>
      <c r="BW24" s="4"/>
      <c r="BX24" s="4"/>
      <c r="BY24" s="51">
        <v>2000</v>
      </c>
      <c r="BZ24" s="84">
        <f>ROUND(SUM(BJ209:BJ220),0)</f>
        <v>17293667</v>
      </c>
      <c r="CA24" s="47">
        <f t="shared" si="40"/>
        <v>5.987489141497071</v>
      </c>
      <c r="CB24" s="50">
        <f t="shared" si="41"/>
        <v>1234286</v>
      </c>
      <c r="CC24" s="50">
        <f t="shared" si="44"/>
        <v>20816</v>
      </c>
      <c r="CD24" s="50">
        <f t="shared" si="35"/>
        <v>14011.069557622788</v>
      </c>
      <c r="CE24" s="47">
        <f t="shared" si="42"/>
        <v>4.2000301782021632</v>
      </c>
      <c r="CF24" s="84">
        <f>ROUND(SUM(BT209:BT220),0)</f>
        <v>16923476</v>
      </c>
      <c r="CG24" s="47">
        <f t="shared" si="42"/>
        <v>3.7880881389552368</v>
      </c>
      <c r="CH24" s="108">
        <f t="shared" si="36"/>
        <v>13711.146363160564</v>
      </c>
      <c r="CI24" s="120">
        <f t="shared" si="43"/>
        <v>2.0377216576854984E-2</v>
      </c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</row>
    <row r="25" spans="1:103" s="23" customFormat="1" ht="12.75">
      <c r="A25" s="13">
        <v>1984</v>
      </c>
      <c r="B25" s="13">
        <v>9</v>
      </c>
      <c r="C25" s="5">
        <v>890766</v>
      </c>
      <c r="D25" s="73">
        <v>800204</v>
      </c>
      <c r="E25" s="4">
        <f t="shared" si="16"/>
        <v>890766</v>
      </c>
      <c r="F25" s="4">
        <f t="shared" si="17"/>
        <v>800204</v>
      </c>
      <c r="G25" s="79">
        <f t="shared" si="18"/>
        <v>1113.2</v>
      </c>
      <c r="H25" s="13"/>
      <c r="I25" s="13"/>
      <c r="J25" s="230">
        <f>'[7]RES 62 &amp; 67'!$S110</f>
        <v>461.5</v>
      </c>
      <c r="K25" s="183">
        <f>[7]Res20Yr!$T14</f>
        <v>473.7</v>
      </c>
      <c r="L25" s="233">
        <f t="shared" si="6"/>
        <v>12.199999999999989</v>
      </c>
      <c r="M25" s="230">
        <f>'[7]RES 62 &amp; 67'!$J110</f>
        <v>0</v>
      </c>
      <c r="N25" s="183">
        <f>[7]Res20Yr!$S14</f>
        <v>0</v>
      </c>
      <c r="O25" s="236">
        <f t="shared" si="7"/>
        <v>0</v>
      </c>
      <c r="P25" s="206">
        <f t="shared" si="19"/>
        <v>26.351999999999975</v>
      </c>
      <c r="Q25" s="208">
        <f t="shared" si="20"/>
        <v>0</v>
      </c>
      <c r="R25" s="467">
        <f t="shared" si="21"/>
        <v>26.351999999999975</v>
      </c>
      <c r="S25" s="470">
        <f t="shared" si="22"/>
        <v>0</v>
      </c>
      <c r="T25" s="425">
        <f t="shared" si="23"/>
        <v>26.4</v>
      </c>
      <c r="U25" s="515">
        <f t="shared" si="24"/>
        <v>800204</v>
      </c>
      <c r="V25" s="447">
        <v>30926</v>
      </c>
      <c r="W25" s="191">
        <f t="shared" si="8"/>
        <v>1139.6000000000001</v>
      </c>
      <c r="X25" s="73">
        <f t="shared" si="9"/>
        <v>911912</v>
      </c>
      <c r="Y25" s="186">
        <v>0</v>
      </c>
      <c r="Z25" s="175">
        <f t="shared" si="25"/>
        <v>911912</v>
      </c>
      <c r="AA25" s="40">
        <f t="shared" si="10"/>
        <v>21146</v>
      </c>
      <c r="AB25" s="379">
        <f t="shared" si="26"/>
        <v>911912</v>
      </c>
      <c r="AC25" s="81">
        <f>'[7]Gov 65 &amp; 70'!$B110</f>
        <v>31.9</v>
      </c>
      <c r="AD25" s="4">
        <f t="shared" si="11"/>
        <v>869604</v>
      </c>
      <c r="AE25" s="4"/>
      <c r="AF25" s="23">
        <f t="shared" si="12"/>
        <v>1086.7</v>
      </c>
      <c r="AG25" s="4"/>
      <c r="AH25" s="227">
        <v>2001</v>
      </c>
      <c r="AI25" s="84">
        <f>ROUND(SUM(C221:C232),0)</f>
        <v>17603735</v>
      </c>
      <c r="AJ25" s="47">
        <f t="shared" si="37"/>
        <v>2.8514479988829056</v>
      </c>
      <c r="AK25" s="549">
        <f>ROUND(SUM(AB221:AB232),0)</f>
        <v>17637016</v>
      </c>
      <c r="AL25" s="568">
        <f t="shared" si="13"/>
        <v>3.2936089326371931E-2</v>
      </c>
      <c r="AM25" s="50">
        <f>ROUND(AVERAGE(D221:D232),0)</f>
        <v>1274672</v>
      </c>
      <c r="AN25" s="47">
        <f t="shared" si="38"/>
        <v>3.2720131314784462</v>
      </c>
      <c r="AO25" s="181">
        <f t="shared" si="0"/>
        <v>13810.403774461194</v>
      </c>
      <c r="AP25" s="47">
        <f t="shared" si="38"/>
        <v>-0.4072401804156911</v>
      </c>
      <c r="AQ25" s="50">
        <f t="shared" si="1"/>
        <v>13837</v>
      </c>
      <c r="AR25" s="47">
        <f t="shared" si="39"/>
        <v>2.1685701893892073E-2</v>
      </c>
      <c r="AS25" s="547">
        <f>[13]RUPC!$AA8</f>
        <v>13858.566861339908</v>
      </c>
      <c r="AT25" s="86">
        <f t="shared" si="27"/>
        <v>6.3631136729529469E-3</v>
      </c>
      <c r="AU25" s="4"/>
      <c r="AV25" s="4"/>
      <c r="AW25" s="230">
        <f>'[8]RES 62 &amp; 67'!$S110</f>
        <v>382.8</v>
      </c>
      <c r="AX25" s="200">
        <f>[8]Res20Yr!$Y14</f>
        <v>428.3</v>
      </c>
      <c r="AY25" s="201">
        <f t="shared" si="28"/>
        <v>45.5</v>
      </c>
      <c r="AZ25" s="230">
        <f>'[8]RES 62 &amp; 67'!$J110</f>
        <v>0</v>
      </c>
      <c r="BA25" s="183">
        <f>[8]Res20Yr!$X14</f>
        <v>0</v>
      </c>
      <c r="BB25" s="429">
        <f t="shared" si="29"/>
        <v>0</v>
      </c>
      <c r="BC25" s="206">
        <f t="shared" si="30"/>
        <v>98.28</v>
      </c>
      <c r="BD25" s="206">
        <f t="shared" si="31"/>
        <v>0</v>
      </c>
      <c r="BE25" s="206">
        <f t="shared" si="32"/>
        <v>98.28</v>
      </c>
      <c r="BF25" s="207">
        <f t="shared" si="33"/>
        <v>0</v>
      </c>
      <c r="BG25" s="219">
        <f t="shared" si="34"/>
        <v>98.3</v>
      </c>
      <c r="BH25" s="4">
        <f t="shared" si="14"/>
        <v>0</v>
      </c>
      <c r="BI25" s="4">
        <f t="shared" si="15"/>
        <v>0</v>
      </c>
      <c r="BJ25" s="4"/>
      <c r="BK25" s="4"/>
      <c r="BL25" s="4"/>
      <c r="BM25" s="4"/>
      <c r="BN25" s="6"/>
      <c r="BO25" s="6"/>
      <c r="BP25" s="4"/>
      <c r="BQ25" s="4"/>
      <c r="BR25" s="4"/>
      <c r="BS25" s="4"/>
      <c r="BT25" s="6"/>
      <c r="BU25" s="4"/>
      <c r="BV25" s="4"/>
      <c r="BW25" s="4"/>
      <c r="BX25" s="4"/>
      <c r="BY25" s="22">
        <v>2001</v>
      </c>
      <c r="BZ25" s="84">
        <f>ROUND(SUM(BJ221:BJ232),0)</f>
        <v>17370324</v>
      </c>
      <c r="CA25" s="47">
        <f t="shared" si="40"/>
        <v>0.44326631245992232</v>
      </c>
      <c r="CB25" s="50">
        <f t="shared" si="41"/>
        <v>1274672</v>
      </c>
      <c r="CC25" s="50">
        <f t="shared" si="44"/>
        <v>40386</v>
      </c>
      <c r="CD25" s="50">
        <f t="shared" si="35"/>
        <v>13627.289216363111</v>
      </c>
      <c r="CE25" s="47">
        <f t="shared" si="42"/>
        <v>-2.7391223752142424</v>
      </c>
      <c r="CF25" s="84">
        <f>ROUND(SUM(BT221:BT232),0)</f>
        <v>17521343</v>
      </c>
      <c r="CG25" s="47">
        <f t="shared" si="42"/>
        <v>3.5327671454729481</v>
      </c>
      <c r="CH25" s="108">
        <f t="shared" si="36"/>
        <v>13745.765969598453</v>
      </c>
      <c r="CI25" s="120">
        <f t="shared" si="43"/>
        <v>2.5249242857552368E-3</v>
      </c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</row>
    <row r="26" spans="1:103" s="23" customFormat="1" ht="12.75">
      <c r="A26" s="13">
        <v>1984</v>
      </c>
      <c r="B26" s="13">
        <v>10</v>
      </c>
      <c r="C26" s="5">
        <v>661484</v>
      </c>
      <c r="D26" s="73">
        <v>805573</v>
      </c>
      <c r="E26" s="4">
        <f t="shared" si="16"/>
        <v>661484</v>
      </c>
      <c r="F26" s="4">
        <f t="shared" si="17"/>
        <v>805573</v>
      </c>
      <c r="G26" s="79">
        <f t="shared" si="18"/>
        <v>821.1</v>
      </c>
      <c r="H26" s="13"/>
      <c r="I26" s="13"/>
      <c r="J26" s="230">
        <f>'[7]RES 62 &amp; 67'!$S111</f>
        <v>316.60000000000002</v>
      </c>
      <c r="K26" s="183">
        <f>[7]Res20Yr!$T15</f>
        <v>373.2</v>
      </c>
      <c r="L26" s="233">
        <f t="shared" si="6"/>
        <v>56.599999999999966</v>
      </c>
      <c r="M26" s="230">
        <f>'[7]RES 62 &amp; 67'!$J111</f>
        <v>2.4</v>
      </c>
      <c r="N26" s="183">
        <f>[7]Res20Yr!$S15</f>
        <v>1.3</v>
      </c>
      <c r="O26" s="236">
        <f t="shared" si="7"/>
        <v>-1.0999999999999999</v>
      </c>
      <c r="P26" s="206">
        <f t="shared" si="19"/>
        <v>122.25599999999993</v>
      </c>
      <c r="Q26" s="208">
        <f t="shared" si="20"/>
        <v>0</v>
      </c>
      <c r="R26" s="467">
        <f t="shared" si="21"/>
        <v>122.25599999999993</v>
      </c>
      <c r="S26" s="470">
        <f t="shared" si="22"/>
        <v>-2.9809999999999994</v>
      </c>
      <c r="T26" s="425">
        <f t="shared" si="23"/>
        <v>119.3</v>
      </c>
      <c r="U26" s="515">
        <f t="shared" si="24"/>
        <v>805573</v>
      </c>
      <c r="V26" s="447">
        <v>30956</v>
      </c>
      <c r="W26" s="191">
        <f t="shared" si="8"/>
        <v>940.4</v>
      </c>
      <c r="X26" s="73">
        <f t="shared" si="9"/>
        <v>757561</v>
      </c>
      <c r="Y26" s="186">
        <v>0</v>
      </c>
      <c r="Z26" s="175">
        <f t="shared" si="25"/>
        <v>757561</v>
      </c>
      <c r="AA26" s="40">
        <f t="shared" si="10"/>
        <v>96077</v>
      </c>
      <c r="AB26" s="379">
        <f t="shared" si="26"/>
        <v>757561</v>
      </c>
      <c r="AC26" s="81">
        <f>'[7]Gov 65 &amp; 70'!$B111</f>
        <v>29.7</v>
      </c>
      <c r="AD26" s="4">
        <f t="shared" si="11"/>
        <v>775926</v>
      </c>
      <c r="AE26" s="4"/>
      <c r="AF26" s="23">
        <f t="shared" si="12"/>
        <v>963.2</v>
      </c>
      <c r="AG26" s="4"/>
      <c r="AH26" s="227">
        <v>2002</v>
      </c>
      <c r="AI26" s="84">
        <f>ROUND(SUM(C233:C244),0)</f>
        <v>18753818</v>
      </c>
      <c r="AJ26" s="47">
        <f t="shared" si="37"/>
        <v>6.5331760561039953</v>
      </c>
      <c r="AK26" s="549">
        <f>ROUND(SUM(AB233:AB244),0)</f>
        <v>18196533</v>
      </c>
      <c r="AL26" s="568">
        <f t="shared" si="13"/>
        <v>3.1724017260062576E-2</v>
      </c>
      <c r="AM26" s="50">
        <f>ROUND(AVERAGE(D233:D244),0)</f>
        <v>1301515</v>
      </c>
      <c r="AN26" s="47">
        <f t="shared" si="38"/>
        <v>2.1058750800205805</v>
      </c>
      <c r="AO26" s="181">
        <f t="shared" si="0"/>
        <v>14409.221561026958</v>
      </c>
      <c r="AP26" s="47">
        <f t="shared" si="38"/>
        <v>4.3359904340604771</v>
      </c>
      <c r="AQ26" s="50">
        <f t="shared" si="1"/>
        <v>13981</v>
      </c>
      <c r="AR26" s="47">
        <f t="shared" si="39"/>
        <v>1.0406880104068872</v>
      </c>
      <c r="AS26" s="547">
        <f>[13]RUPC!$AA9</f>
        <v>13985.71409143908</v>
      </c>
      <c r="AT26" s="86">
        <f t="shared" si="27"/>
        <v>9.1746304918340904E-3</v>
      </c>
      <c r="AU26" s="4"/>
      <c r="AV26" s="4"/>
      <c r="AW26" s="230">
        <f>'[8]RES 62 &amp; 67'!$S111</f>
        <v>291.5</v>
      </c>
      <c r="AX26" s="200">
        <f>[8]Res20Yr!$Y15</f>
        <v>277.60000000000002</v>
      </c>
      <c r="AY26" s="201">
        <f t="shared" si="28"/>
        <v>-13.899999999999977</v>
      </c>
      <c r="AZ26" s="230">
        <f>'[8]RES 62 &amp; 67'!$J111</f>
        <v>3</v>
      </c>
      <c r="BA26" s="183">
        <f>[8]Res20Yr!$X15</f>
        <v>8.5</v>
      </c>
      <c r="BB26" s="429">
        <f t="shared" si="29"/>
        <v>5.5</v>
      </c>
      <c r="BC26" s="206">
        <f t="shared" si="30"/>
        <v>-30.023999999999951</v>
      </c>
      <c r="BD26" s="206">
        <f t="shared" si="31"/>
        <v>0</v>
      </c>
      <c r="BE26" s="206">
        <f t="shared" si="32"/>
        <v>-30.023999999999951</v>
      </c>
      <c r="BF26" s="207">
        <f t="shared" si="33"/>
        <v>14.904999999999999</v>
      </c>
      <c r="BG26" s="219">
        <f t="shared" si="34"/>
        <v>-15.1</v>
      </c>
      <c r="BH26" s="4">
        <f t="shared" si="14"/>
        <v>0</v>
      </c>
      <c r="BI26" s="4">
        <f t="shared" si="15"/>
        <v>0</v>
      </c>
      <c r="BJ26" s="4"/>
      <c r="BK26" s="4"/>
      <c r="BL26" s="4"/>
      <c r="BM26" s="4"/>
      <c r="BN26" s="6"/>
      <c r="BO26" s="6"/>
      <c r="BP26" s="4"/>
      <c r="BQ26" s="4"/>
      <c r="BR26" s="4"/>
      <c r="BS26" s="4"/>
      <c r="BT26" s="6"/>
      <c r="BU26" s="4"/>
      <c r="BV26" s="4"/>
      <c r="BW26" s="4"/>
      <c r="BX26" s="4"/>
      <c r="BY26" s="22">
        <v>2002</v>
      </c>
      <c r="BZ26" s="84">
        <f>ROUND(SUM(BJ233:BJ244),0)</f>
        <v>18807627</v>
      </c>
      <c r="CA26" s="47">
        <f t="shared" si="40"/>
        <v>8.2744743275945822</v>
      </c>
      <c r="CB26" s="50">
        <f t="shared" si="41"/>
        <v>1301515</v>
      </c>
      <c r="CC26" s="50">
        <f t="shared" si="44"/>
        <v>26843</v>
      </c>
      <c r="CD26" s="50">
        <f t="shared" si="35"/>
        <v>14450.564918575659</v>
      </c>
      <c r="CE26" s="47">
        <f t="shared" si="42"/>
        <v>6.0413754279463827</v>
      </c>
      <c r="CF26" s="84">
        <f>ROUND(SUM(BT233:BT244),0)</f>
        <v>18152090</v>
      </c>
      <c r="CG26" s="47">
        <f t="shared" si="42"/>
        <v>3.5998781600246055</v>
      </c>
      <c r="CH26" s="50">
        <f t="shared" si="36"/>
        <v>13946.892659708108</v>
      </c>
      <c r="CI26" s="140">
        <f t="shared" si="43"/>
        <v>1.4631901238133072E-2</v>
      </c>
    </row>
    <row r="27" spans="1:103" s="23" customFormat="1" ht="12.75">
      <c r="A27" s="13">
        <v>1984</v>
      </c>
      <c r="B27" s="13">
        <v>11</v>
      </c>
      <c r="C27" s="5">
        <v>615731</v>
      </c>
      <c r="D27" s="73">
        <v>818330</v>
      </c>
      <c r="E27" s="4">
        <f t="shared" si="16"/>
        <v>615731</v>
      </c>
      <c r="F27" s="4">
        <f t="shared" si="17"/>
        <v>818330</v>
      </c>
      <c r="G27" s="79">
        <f t="shared" si="18"/>
        <v>752.4</v>
      </c>
      <c r="H27" s="13"/>
      <c r="I27" s="13"/>
      <c r="J27" s="230">
        <f>'[7]RES 62 &amp; 67'!$S112</f>
        <v>251.3</v>
      </c>
      <c r="K27" s="183">
        <f>[7]Res20Yr!$T16</f>
        <v>204.3</v>
      </c>
      <c r="L27" s="233">
        <f t="shared" si="6"/>
        <v>-47</v>
      </c>
      <c r="M27" s="230">
        <f>'[7]RES 62 &amp; 67'!$J112</f>
        <v>22</v>
      </c>
      <c r="N27" s="183">
        <f>[7]Res20Yr!$S16</f>
        <v>24.1</v>
      </c>
      <c r="O27" s="236">
        <f t="shared" si="7"/>
        <v>2.1000000000000014</v>
      </c>
      <c r="P27" s="206">
        <f t="shared" si="19"/>
        <v>-101.52000000000001</v>
      </c>
      <c r="Q27" s="208">
        <f t="shared" si="20"/>
        <v>0</v>
      </c>
      <c r="R27" s="467">
        <f t="shared" si="21"/>
        <v>-101.52000000000001</v>
      </c>
      <c r="S27" s="470">
        <f t="shared" si="22"/>
        <v>5.6910000000000034</v>
      </c>
      <c r="T27" s="425">
        <f t="shared" si="23"/>
        <v>-95.8</v>
      </c>
      <c r="U27" s="515">
        <f t="shared" si="24"/>
        <v>818330</v>
      </c>
      <c r="V27" s="447">
        <v>30987</v>
      </c>
      <c r="W27" s="191">
        <f t="shared" si="8"/>
        <v>656.6</v>
      </c>
      <c r="X27" s="73">
        <f t="shared" si="9"/>
        <v>537315</v>
      </c>
      <c r="Y27" s="186">
        <v>0</v>
      </c>
      <c r="Z27" s="175">
        <f t="shared" si="25"/>
        <v>537315</v>
      </c>
      <c r="AA27" s="40">
        <f t="shared" si="10"/>
        <v>-78416</v>
      </c>
      <c r="AB27" s="379">
        <f t="shared" si="26"/>
        <v>537315</v>
      </c>
      <c r="AC27" s="81">
        <f>'[7]Gov 65 &amp; 70'!$B112</f>
        <v>30.15</v>
      </c>
      <c r="AD27" s="4">
        <f t="shared" si="11"/>
        <v>542127</v>
      </c>
      <c r="AE27" s="4"/>
      <c r="AF27" s="23">
        <f t="shared" si="12"/>
        <v>662.5</v>
      </c>
      <c r="AG27" s="4"/>
      <c r="AH27" s="227">
        <v>2003</v>
      </c>
      <c r="AI27" s="84">
        <f>ROUND(SUM(C245:C256),0)</f>
        <v>19428942</v>
      </c>
      <c r="AJ27" s="47">
        <f t="shared" si="37"/>
        <v>3.5999282919350062</v>
      </c>
      <c r="AK27" s="549">
        <f>ROUND(SUM(AB245:AB256),0)</f>
        <v>18951107</v>
      </c>
      <c r="AL27" s="568">
        <f t="shared" si="13"/>
        <v>4.1468009318038845E-2</v>
      </c>
      <c r="AM27" s="50">
        <f>ROUND(AVERAGE(D245:D256),0)</f>
        <v>1331914</v>
      </c>
      <c r="AN27" s="47">
        <f t="shared" si="38"/>
        <v>2.3356626700422156</v>
      </c>
      <c r="AO27" s="181">
        <f t="shared" si="0"/>
        <v>14587.23461124367</v>
      </c>
      <c r="AP27" s="47">
        <f t="shared" si="38"/>
        <v>1.235410597739639</v>
      </c>
      <c r="AQ27" s="50">
        <f t="shared" si="1"/>
        <v>14228</v>
      </c>
      <c r="AR27" s="47">
        <f t="shared" si="39"/>
        <v>1.7666833559831119</v>
      </c>
      <c r="AS27" s="547">
        <f>[13]RUPC!$AA10</f>
        <v>14222.242570142203</v>
      </c>
      <c r="AT27" s="86">
        <f t="shared" si="27"/>
        <v>1.6912148865384502E-2</v>
      </c>
      <c r="AU27" s="4"/>
      <c r="AV27" s="4"/>
      <c r="AW27" s="230">
        <f>'[8]RES 62 &amp; 67'!$S112</f>
        <v>97.8</v>
      </c>
      <c r="AX27" s="200">
        <f>[8]Res20Yr!$Y16</f>
        <v>110.2</v>
      </c>
      <c r="AY27" s="201">
        <f t="shared" si="28"/>
        <v>12.400000000000006</v>
      </c>
      <c r="AZ27" s="230">
        <f>'[8]RES 62 &amp; 67'!$J112</f>
        <v>78.400000000000006</v>
      </c>
      <c r="BA27" s="183">
        <f>[8]Res20Yr!$X16</f>
        <v>45.3</v>
      </c>
      <c r="BB27" s="429">
        <f t="shared" si="29"/>
        <v>-33.100000000000009</v>
      </c>
      <c r="BC27" s="206">
        <f t="shared" si="30"/>
        <v>26.784000000000013</v>
      </c>
      <c r="BD27" s="206">
        <f t="shared" si="31"/>
        <v>-3.7820000000000018</v>
      </c>
      <c r="BE27" s="206">
        <f t="shared" si="32"/>
        <v>23.00200000000001</v>
      </c>
      <c r="BF27" s="207">
        <f t="shared" si="33"/>
        <v>-89.701000000000022</v>
      </c>
      <c r="BG27" s="219">
        <f t="shared" si="34"/>
        <v>-66.7</v>
      </c>
      <c r="BH27" s="4">
        <f t="shared" si="14"/>
        <v>0</v>
      </c>
      <c r="BI27" s="4">
        <f t="shared" si="15"/>
        <v>0</v>
      </c>
      <c r="BJ27" s="4"/>
      <c r="BK27" s="4"/>
      <c r="BL27" s="4"/>
      <c r="BM27" s="4"/>
      <c r="BN27" s="6"/>
      <c r="BO27" s="6"/>
      <c r="BP27" s="4"/>
      <c r="BQ27" s="4"/>
      <c r="BR27" s="4"/>
      <c r="BS27" s="4"/>
      <c r="BT27" s="6"/>
      <c r="BU27" s="4"/>
      <c r="BV27" s="4"/>
      <c r="BW27" s="4"/>
      <c r="BX27" s="4"/>
      <c r="BY27" s="22">
        <v>2003</v>
      </c>
      <c r="BZ27" s="84">
        <f>ROUND(SUM(BJ245:BJ256),0)</f>
        <v>19509372</v>
      </c>
      <c r="CA27" s="47">
        <f t="shared" si="40"/>
        <v>3.7311724652982603</v>
      </c>
      <c r="CB27" s="50">
        <f t="shared" si="41"/>
        <v>1331914</v>
      </c>
      <c r="CC27" s="50">
        <f t="shared" si="44"/>
        <v>30399</v>
      </c>
      <c r="CD27" s="50">
        <f t="shared" si="35"/>
        <v>14647.62139297282</v>
      </c>
      <c r="CE27" s="47">
        <f t="shared" si="42"/>
        <v>1.3636593137189568</v>
      </c>
      <c r="CF27" s="84">
        <f>ROUND(SUM(BT245:BT256),0)</f>
        <v>18956277</v>
      </c>
      <c r="CG27" s="47">
        <f t="shared" si="42"/>
        <v>4.4302722165877384</v>
      </c>
      <c r="CH27" s="50">
        <f t="shared" si="36"/>
        <v>14232.358095192332</v>
      </c>
      <c r="CI27" s="140">
        <f t="shared" si="43"/>
        <v>2.0468031299109457E-2</v>
      </c>
    </row>
    <row r="28" spans="1:103" s="23" customFormat="1" ht="12.75">
      <c r="A28" s="90">
        <v>1984</v>
      </c>
      <c r="B28" s="90">
        <v>12</v>
      </c>
      <c r="C28" s="103">
        <v>633235</v>
      </c>
      <c r="D28" s="104">
        <v>829461</v>
      </c>
      <c r="E28" s="89">
        <f t="shared" si="16"/>
        <v>633235</v>
      </c>
      <c r="F28" s="89">
        <f t="shared" si="17"/>
        <v>829461</v>
      </c>
      <c r="G28" s="301">
        <f t="shared" si="18"/>
        <v>763.4</v>
      </c>
      <c r="H28" s="90"/>
      <c r="I28" s="90"/>
      <c r="J28" s="300">
        <f>'[7]RES 62 &amp; 67'!$S113</f>
        <v>83.7</v>
      </c>
      <c r="K28" s="210">
        <f>[7]Res20Yr!$T17</f>
        <v>88</v>
      </c>
      <c r="L28" s="234">
        <f t="shared" si="6"/>
        <v>4.2999999999999972</v>
      </c>
      <c r="M28" s="300">
        <f>'[7]RES 62 &amp; 67'!$J113</f>
        <v>88.3</v>
      </c>
      <c r="N28" s="210">
        <f>[7]Res20Yr!$S17</f>
        <v>83.9</v>
      </c>
      <c r="O28" s="237">
        <f t="shared" si="7"/>
        <v>-4.3999999999999915</v>
      </c>
      <c r="P28" s="211">
        <f t="shared" si="19"/>
        <v>9.2879999999999949</v>
      </c>
      <c r="Q28" s="211">
        <f t="shared" si="20"/>
        <v>-2.622999999999998</v>
      </c>
      <c r="R28" s="468">
        <f t="shared" si="21"/>
        <v>6.6649999999999974</v>
      </c>
      <c r="S28" s="471">
        <f t="shared" si="22"/>
        <v>-11.923999999999976</v>
      </c>
      <c r="T28" s="426">
        <f t="shared" si="23"/>
        <v>-5.3</v>
      </c>
      <c r="U28" s="515">
        <f t="shared" si="24"/>
        <v>829461</v>
      </c>
      <c r="V28" s="447">
        <v>31017</v>
      </c>
      <c r="W28" s="95">
        <f t="shared" si="8"/>
        <v>758.1</v>
      </c>
      <c r="X28" s="104">
        <f t="shared" si="9"/>
        <v>628814</v>
      </c>
      <c r="Y28" s="302">
        <v>0</v>
      </c>
      <c r="Z28" s="176">
        <f t="shared" si="25"/>
        <v>628814</v>
      </c>
      <c r="AA28" s="116">
        <f t="shared" si="10"/>
        <v>-4421</v>
      </c>
      <c r="AB28" s="517">
        <f t="shared" si="26"/>
        <v>628814</v>
      </c>
      <c r="AC28" s="88">
        <f>'[7]Gov 65 &amp; 70'!$B113</f>
        <v>30.15</v>
      </c>
      <c r="AD28" s="89">
        <f t="shared" si="11"/>
        <v>634445</v>
      </c>
      <c r="AE28" s="89"/>
      <c r="AF28" s="89">
        <f t="shared" si="12"/>
        <v>764.9</v>
      </c>
      <c r="AG28" s="89"/>
      <c r="AH28" s="489">
        <v>2004</v>
      </c>
      <c r="AI28" s="116">
        <f>ROUND(SUM(C257:C268),0)</f>
        <v>19347268</v>
      </c>
      <c r="AJ28" s="309">
        <f t="shared" ref="AJ28:AJ33" si="45">(AI28/AI27-1)*100</f>
        <v>-0.42037286435875343</v>
      </c>
      <c r="AK28" s="548">
        <f>ROUND(SUM(AB257:AB268),0)</f>
        <v>19575813</v>
      </c>
      <c r="AL28" s="568">
        <f t="shared" si="13"/>
        <v>3.2964090171619054E-2</v>
      </c>
      <c r="AM28" s="117">
        <f>ROUND(AVERAGE(D257:D268),0)</f>
        <v>1364677</v>
      </c>
      <c r="AN28" s="309">
        <f t="shared" ref="AN28:AN33" si="46">(AM28/AM27-1)*100</f>
        <v>2.4598435034093757</v>
      </c>
      <c r="AO28" s="359">
        <f t="shared" si="0"/>
        <v>14177.177456643587</v>
      </c>
      <c r="AP28" s="309">
        <f t="shared" ref="AP28:AP33" si="47">(AO28/AO27-1)*100</f>
        <v>-2.8110684823291709</v>
      </c>
      <c r="AQ28" s="117">
        <f t="shared" si="1"/>
        <v>14345</v>
      </c>
      <c r="AR28" s="309">
        <f t="shared" ref="AR28:AR33" si="48">(AQ28/AQ27-1)*100</f>
        <v>0.82232218161371051</v>
      </c>
      <c r="AS28" s="547">
        <f>[13]RUPC!$AA11</f>
        <v>14238.422795413562</v>
      </c>
      <c r="AT28" s="86">
        <f t="shared" si="27"/>
        <v>1.1376704617123146E-3</v>
      </c>
      <c r="AU28" s="89"/>
      <c r="AV28" s="89"/>
      <c r="AW28" s="300">
        <f>'[8]RES 62 &amp; 67'!$S113</f>
        <v>106.9</v>
      </c>
      <c r="AX28" s="210">
        <f>[8]Res20Yr!$Y17</f>
        <v>53.2</v>
      </c>
      <c r="AY28" s="310">
        <f t="shared" si="28"/>
        <v>-53.7</v>
      </c>
      <c r="AZ28" s="300">
        <f>'[8]RES 62 &amp; 67'!$J113</f>
        <v>63.8</v>
      </c>
      <c r="BA28" s="210">
        <f>[8]Res20Yr!$X17</f>
        <v>114.1</v>
      </c>
      <c r="BB28" s="430">
        <f t="shared" si="29"/>
        <v>50.3</v>
      </c>
      <c r="BC28" s="211">
        <f t="shared" si="30"/>
        <v>-115.99200000000002</v>
      </c>
      <c r="BD28" s="211">
        <f t="shared" si="31"/>
        <v>32.756999999999998</v>
      </c>
      <c r="BE28" s="211">
        <f t="shared" si="32"/>
        <v>-83.235000000000014</v>
      </c>
      <c r="BF28" s="212">
        <f t="shared" si="33"/>
        <v>136.31299999999999</v>
      </c>
      <c r="BG28" s="220">
        <f t="shared" si="34"/>
        <v>53.1</v>
      </c>
      <c r="BH28" s="89">
        <f t="shared" si="14"/>
        <v>0</v>
      </c>
      <c r="BI28" s="89">
        <f t="shared" si="15"/>
        <v>0</v>
      </c>
      <c r="BJ28" s="89"/>
      <c r="BK28" s="89"/>
      <c r="BL28" s="89"/>
      <c r="BM28" s="89"/>
      <c r="BN28" s="96"/>
      <c r="BO28" s="96"/>
      <c r="BP28" s="89"/>
      <c r="BQ28" s="89"/>
      <c r="BR28" s="89"/>
      <c r="BS28" s="89"/>
      <c r="BT28" s="96"/>
      <c r="BU28" s="89"/>
      <c r="BV28" s="89"/>
      <c r="BW28" s="89"/>
      <c r="BX28" s="89"/>
      <c r="BY28" s="51">
        <v>2004</v>
      </c>
      <c r="BZ28" s="84">
        <f>ROUND(SUM(BJ257:BJ268),0)</f>
        <v>19430678</v>
      </c>
      <c r="CA28" s="47">
        <f t="shared" si="40"/>
        <v>-0.40336511088107097</v>
      </c>
      <c r="CB28" s="50">
        <f t="shared" si="41"/>
        <v>1364677</v>
      </c>
      <c r="CC28" s="50">
        <f t="shared" si="44"/>
        <v>32763</v>
      </c>
      <c r="CD28" s="50">
        <f t="shared" si="35"/>
        <v>14238.29814674095</v>
      </c>
      <c r="CE28" s="47">
        <f t="shared" ref="CE28:CE33" si="49">(CD28/CD27-1)*100</f>
        <v>-2.7944690489354329</v>
      </c>
      <c r="CF28" s="182">
        <f>ROUND(SUM(BT257:BT268),0)</f>
        <v>19346550</v>
      </c>
      <c r="CG28" s="47">
        <f t="shared" ref="CG28:CG33" si="50">(CF28/CF27-1)*100</f>
        <v>2.0588061674768676</v>
      </c>
      <c r="CH28" s="50">
        <f t="shared" si="36"/>
        <v>14176.651324818986</v>
      </c>
      <c r="CI28" s="140">
        <f t="shared" si="43"/>
        <v>-3.9140928018220889E-3</v>
      </c>
    </row>
    <row r="29" spans="1:103" s="23" customFormat="1" ht="12.75">
      <c r="A29" s="13">
        <v>1985</v>
      </c>
      <c r="B29" s="13">
        <v>1</v>
      </c>
      <c r="C29" s="5">
        <v>722014</v>
      </c>
      <c r="D29" s="73">
        <v>836425</v>
      </c>
      <c r="E29" s="4">
        <f t="shared" si="16"/>
        <v>722014</v>
      </c>
      <c r="F29" s="4">
        <f t="shared" si="17"/>
        <v>836425</v>
      </c>
      <c r="G29" s="79">
        <f t="shared" si="18"/>
        <v>863.2</v>
      </c>
      <c r="H29" s="13"/>
      <c r="I29" s="13"/>
      <c r="J29" s="230">
        <f>'[7]RES 62 &amp; 67'!$S114</f>
        <v>94.6</v>
      </c>
      <c r="K29" s="183">
        <f>K17</f>
        <v>49.5</v>
      </c>
      <c r="L29" s="233">
        <f t="shared" si="6"/>
        <v>-45.099999999999994</v>
      </c>
      <c r="M29" s="230">
        <f>'[7]RES 62 &amp; 67'!$J114</f>
        <v>112.9</v>
      </c>
      <c r="N29" s="183">
        <f>N17</f>
        <v>131.6</v>
      </c>
      <c r="O29" s="236">
        <f t="shared" si="7"/>
        <v>18.699999999999989</v>
      </c>
      <c r="P29" s="206">
        <f t="shared" si="19"/>
        <v>-97.415999999999997</v>
      </c>
      <c r="Q29" s="208">
        <f t="shared" si="20"/>
        <v>27.510999999999996</v>
      </c>
      <c r="R29" s="467">
        <f t="shared" si="21"/>
        <v>-69.905000000000001</v>
      </c>
      <c r="S29" s="470">
        <f t="shared" si="22"/>
        <v>50.676999999999971</v>
      </c>
      <c r="T29" s="425">
        <f t="shared" si="23"/>
        <v>-19.2</v>
      </c>
      <c r="U29" s="515">
        <f t="shared" si="24"/>
        <v>836425</v>
      </c>
      <c r="V29" s="447">
        <v>31048</v>
      </c>
      <c r="W29" s="191">
        <f t="shared" si="8"/>
        <v>844</v>
      </c>
      <c r="X29" s="73">
        <f t="shared" si="9"/>
        <v>705943</v>
      </c>
      <c r="Y29" s="186">
        <v>0</v>
      </c>
      <c r="Z29" s="175">
        <f t="shared" si="25"/>
        <v>705943</v>
      </c>
      <c r="AA29" s="40">
        <f t="shared" si="10"/>
        <v>-16071</v>
      </c>
      <c r="AB29" s="379">
        <f t="shared" si="26"/>
        <v>705943</v>
      </c>
      <c r="AC29" s="81">
        <f>'[7]Gov 65 &amp; 70'!$B114</f>
        <v>31.85</v>
      </c>
      <c r="AD29" s="4">
        <f t="shared" si="11"/>
        <v>674248</v>
      </c>
      <c r="AE29" s="4">
        <f>AD29-AD17</f>
        <v>10784</v>
      </c>
      <c r="AF29" s="23">
        <f t="shared" si="12"/>
        <v>806.1</v>
      </c>
      <c r="AG29" s="75">
        <f>AF29-AF17</f>
        <v>-14.299999999999955</v>
      </c>
      <c r="AH29" s="227">
        <v>2005</v>
      </c>
      <c r="AI29" s="84">
        <f>ROUND(SUM(C269:C280),0)</f>
        <v>19893534</v>
      </c>
      <c r="AJ29" s="47">
        <f t="shared" si="45"/>
        <v>2.8234787464566091</v>
      </c>
      <c r="AK29" s="549">
        <f>ROUND(SUM(AB269:AB280),0)</f>
        <v>19636167</v>
      </c>
      <c r="AL29" s="568">
        <f t="shared" si="13"/>
        <v>3.0830903421481537E-3</v>
      </c>
      <c r="AM29" s="50">
        <f>ROUND(AVERAGE(D269:D280),0)</f>
        <v>1397012</v>
      </c>
      <c r="AN29" s="47">
        <f t="shared" si="46"/>
        <v>2.3694251460235627</v>
      </c>
      <c r="AO29" s="181">
        <f t="shared" si="0"/>
        <v>14240.059498415189</v>
      </c>
      <c r="AP29" s="47">
        <f t="shared" si="47"/>
        <v>0.44354415372105382</v>
      </c>
      <c r="AQ29" s="50">
        <f t="shared" si="1"/>
        <v>14056</v>
      </c>
      <c r="AR29" s="47">
        <f t="shared" si="48"/>
        <v>-2.014639247124439</v>
      </c>
      <c r="AS29" s="547">
        <f>[13]RUPC!$AA12</f>
        <v>14111.609342405032</v>
      </c>
      <c r="AT29" s="86">
        <f t="shared" si="27"/>
        <v>-8.906425580323285E-3</v>
      </c>
      <c r="AU29" s="4"/>
      <c r="AV29" s="4"/>
      <c r="AW29" s="230">
        <f>'[8]RES 62 &amp; 67'!$S114</f>
        <v>31.4</v>
      </c>
      <c r="AX29" s="200">
        <f>AX17</f>
        <v>50.5</v>
      </c>
      <c r="AY29" s="203">
        <f t="shared" ref="AY29:AY81" si="51">AX29-AW29</f>
        <v>19.100000000000001</v>
      </c>
      <c r="AZ29" s="230">
        <f>'[8]RES 62 &amp; 67'!$J114</f>
        <v>277.3</v>
      </c>
      <c r="BA29" s="183">
        <f>BA17</f>
        <v>127.9</v>
      </c>
      <c r="BB29" s="429">
        <f t="shared" si="29"/>
        <v>-149.4</v>
      </c>
      <c r="BC29" s="206">
        <f t="shared" si="30"/>
        <v>41.256000000000007</v>
      </c>
      <c r="BD29" s="206">
        <f t="shared" si="31"/>
        <v>-11.651</v>
      </c>
      <c r="BE29" s="206">
        <f t="shared" si="32"/>
        <v>29.605000000000008</v>
      </c>
      <c r="BF29" s="207">
        <f t="shared" si="33"/>
        <v>-404.87400000000002</v>
      </c>
      <c r="BG29" s="219">
        <f t="shared" si="34"/>
        <v>-375.3</v>
      </c>
      <c r="BH29" s="4">
        <f t="shared" si="14"/>
        <v>0</v>
      </c>
      <c r="BI29" s="4">
        <f t="shared" si="15"/>
        <v>0</v>
      </c>
      <c r="BJ29" s="4"/>
      <c r="BK29" s="4"/>
      <c r="BL29" s="4"/>
      <c r="BM29" s="4"/>
      <c r="BN29" s="6"/>
      <c r="BO29" s="6"/>
      <c r="BP29" s="4"/>
      <c r="BQ29" s="4"/>
      <c r="BR29" s="4"/>
      <c r="BS29" s="4"/>
      <c r="BT29" s="6"/>
      <c r="BU29" s="4"/>
      <c r="BV29" s="4"/>
      <c r="BW29" s="4"/>
      <c r="BX29" s="4"/>
      <c r="BY29" s="51">
        <v>2005</v>
      </c>
      <c r="BZ29" s="84">
        <f>ROUND(SUM(BJ269:BJ280),0)</f>
        <v>19804865</v>
      </c>
      <c r="CA29" s="47">
        <f t="shared" si="40"/>
        <v>1.9257536973233735</v>
      </c>
      <c r="CB29" s="50">
        <f t="shared" si="41"/>
        <v>1397012</v>
      </c>
      <c r="CC29" s="50">
        <f t="shared" si="44"/>
        <v>32335</v>
      </c>
      <c r="CD29" s="50">
        <f t="shared" si="35"/>
        <v>14176.589034310371</v>
      </c>
      <c r="CE29" s="47">
        <f t="shared" si="49"/>
        <v>-0.433402305490449</v>
      </c>
      <c r="CF29" s="84">
        <f>ROUND(SUM(BT269:BT280),0)</f>
        <v>19564294</v>
      </c>
      <c r="CG29" s="47">
        <f t="shared" si="50"/>
        <v>1.1254926588978309</v>
      </c>
      <c r="CH29" s="50">
        <f t="shared" si="36"/>
        <v>14004.385073284982</v>
      </c>
      <c r="CI29" s="140">
        <f t="shared" si="43"/>
        <v>-1.2151406392595487E-2</v>
      </c>
    </row>
    <row r="30" spans="1:103" s="23" customFormat="1" ht="12.75">
      <c r="A30" s="13">
        <v>1985</v>
      </c>
      <c r="B30" s="13">
        <v>2</v>
      </c>
      <c r="C30" s="5">
        <v>914129</v>
      </c>
      <c r="D30" s="73">
        <v>841389</v>
      </c>
      <c r="E30" s="4">
        <f t="shared" si="16"/>
        <v>914129</v>
      </c>
      <c r="F30" s="4">
        <f t="shared" si="17"/>
        <v>841389</v>
      </c>
      <c r="G30" s="79">
        <f t="shared" si="18"/>
        <v>1086.5</v>
      </c>
      <c r="H30" s="13"/>
      <c r="I30" s="13"/>
      <c r="J30" s="230">
        <f>'[7]RES 62 &amp; 67'!$S115</f>
        <v>35.200000000000003</v>
      </c>
      <c r="K30" s="183">
        <f t="shared" ref="K30:K93" si="52">K18</f>
        <v>43.3</v>
      </c>
      <c r="L30" s="233">
        <f t="shared" si="6"/>
        <v>8.0999999999999943</v>
      </c>
      <c r="M30" s="230">
        <f>'[7]RES 62 &amp; 67'!$J115</f>
        <v>244.4</v>
      </c>
      <c r="N30" s="183">
        <f t="shared" ref="N30:N93" si="53">N18</f>
        <v>127.9</v>
      </c>
      <c r="O30" s="236">
        <f t="shared" si="7"/>
        <v>-116.5</v>
      </c>
      <c r="P30" s="206">
        <f t="shared" si="19"/>
        <v>17.495999999999988</v>
      </c>
      <c r="Q30" s="208">
        <f t="shared" si="20"/>
        <v>-4.9409999999999963</v>
      </c>
      <c r="R30" s="467">
        <f t="shared" si="21"/>
        <v>12.554999999999993</v>
      </c>
      <c r="S30" s="470">
        <f t="shared" si="22"/>
        <v>-315.71499999999997</v>
      </c>
      <c r="T30" s="425">
        <f t="shared" si="23"/>
        <v>-303.2</v>
      </c>
      <c r="U30" s="515">
        <f t="shared" si="24"/>
        <v>841389</v>
      </c>
      <c r="V30" s="447">
        <v>31079</v>
      </c>
      <c r="W30" s="191">
        <f t="shared" si="8"/>
        <v>783.3</v>
      </c>
      <c r="X30" s="73">
        <f t="shared" si="9"/>
        <v>659060</v>
      </c>
      <c r="Y30" s="186">
        <v>0</v>
      </c>
      <c r="Z30" s="175">
        <f t="shared" si="25"/>
        <v>659060</v>
      </c>
      <c r="AA30" s="40">
        <f t="shared" si="10"/>
        <v>-255069</v>
      </c>
      <c r="AB30" s="379">
        <f t="shared" si="26"/>
        <v>659060</v>
      </c>
      <c r="AC30" s="81">
        <f>'[7]Gov 65 &amp; 70'!$B115</f>
        <v>29.65</v>
      </c>
      <c r="AD30" s="4">
        <f t="shared" si="11"/>
        <v>676176</v>
      </c>
      <c r="AE30" s="4">
        <f t="shared" ref="AE30:AE93" si="54">AD30-AD18</f>
        <v>-24441</v>
      </c>
      <c r="AF30" s="23">
        <f t="shared" si="12"/>
        <v>803.6</v>
      </c>
      <c r="AG30" s="75">
        <f t="shared" ref="AG30:AG45" si="55">AF30-AF18</f>
        <v>-73.699999999999932</v>
      </c>
      <c r="AH30" s="227">
        <v>2006</v>
      </c>
      <c r="AI30" s="84">
        <f>ROUND(SUM(C281:C292),0)</f>
        <v>20020717</v>
      </c>
      <c r="AJ30" s="47">
        <f t="shared" si="45"/>
        <v>0.63931828301597715</v>
      </c>
      <c r="AK30" s="549">
        <f>ROUND(SUM(AB281:AB292),0)</f>
        <v>20017443</v>
      </c>
      <c r="AL30" s="568">
        <f t="shared" si="13"/>
        <v>1.9417027773291906E-2</v>
      </c>
      <c r="AM30" s="50">
        <f>ROUND(AVERAGE(D281:D292),0)</f>
        <v>1431743</v>
      </c>
      <c r="AN30" s="47">
        <f t="shared" si="46"/>
        <v>2.4860917443801478</v>
      </c>
      <c r="AO30" s="181">
        <f t="shared" ref="AO30:AO35" si="56">AI30/AM30*1000</f>
        <v>13983.457226611201</v>
      </c>
      <c r="AP30" s="47">
        <f t="shared" si="47"/>
        <v>-1.8019747166965527</v>
      </c>
      <c r="AQ30" s="50">
        <f t="shared" ref="AQ30:AQ35" si="57">ROUND((AK30/AM30*1000),0)</f>
        <v>13981</v>
      </c>
      <c r="AR30" s="47">
        <f t="shared" si="48"/>
        <v>-0.5335799658508833</v>
      </c>
      <c r="AS30" s="547">
        <f>[13]RUPC!$AA13</f>
        <v>14043.734535937456</v>
      </c>
      <c r="AT30" s="86">
        <f t="shared" si="27"/>
        <v>-4.8098558300940786E-3</v>
      </c>
      <c r="AU30" s="4"/>
      <c r="AV30" s="4"/>
      <c r="AW30" s="230">
        <f>'[8]RES 62 &amp; 67'!$S115</f>
        <v>67.099999999999994</v>
      </c>
      <c r="AX30" s="200">
        <f t="shared" ref="AX30:AX93" si="58">AX18</f>
        <v>59.2</v>
      </c>
      <c r="AY30" s="203">
        <f t="shared" si="51"/>
        <v>-7.8999999999999915</v>
      </c>
      <c r="AZ30" s="230">
        <f>'[8]RES 62 &amp; 67'!$J115</f>
        <v>124.7</v>
      </c>
      <c r="BA30" s="183">
        <f t="shared" ref="BA30:BA93" si="59">BA18</f>
        <v>97.8</v>
      </c>
      <c r="BB30" s="429">
        <f t="shared" si="29"/>
        <v>-26.900000000000006</v>
      </c>
      <c r="BC30" s="206">
        <f t="shared" si="30"/>
        <v>-17.063999999999982</v>
      </c>
      <c r="BD30" s="206">
        <f t="shared" si="31"/>
        <v>4.8189999999999946</v>
      </c>
      <c r="BE30" s="206">
        <f t="shared" si="32"/>
        <v>-12.244999999999987</v>
      </c>
      <c r="BF30" s="207">
        <f t="shared" si="33"/>
        <v>-72.899000000000015</v>
      </c>
      <c r="BG30" s="219">
        <f t="shared" si="34"/>
        <v>-85.1</v>
      </c>
      <c r="BH30" s="4">
        <f t="shared" si="14"/>
        <v>0</v>
      </c>
      <c r="BI30" s="4">
        <f t="shared" si="15"/>
        <v>0</v>
      </c>
      <c r="BJ30" s="4"/>
      <c r="BK30" s="4"/>
      <c r="BL30" s="4"/>
      <c r="BM30" s="4"/>
      <c r="BN30" s="6"/>
      <c r="BO30" s="6"/>
      <c r="BP30" s="4"/>
      <c r="BQ30" s="4"/>
      <c r="BR30" s="4"/>
      <c r="BS30" s="4"/>
      <c r="BT30" s="6"/>
      <c r="BU30" s="4"/>
      <c r="BV30" s="4"/>
      <c r="BW30" s="4"/>
      <c r="BX30" s="4"/>
      <c r="BY30" s="51">
        <v>2006</v>
      </c>
      <c r="BZ30" s="84">
        <f>ROUND(SUM(BJ281:BJ292),0)</f>
        <v>19955616</v>
      </c>
      <c r="CA30" s="47">
        <f t="shared" ref="CA30:CA35" si="60">(BZ30/BZ29-1)*100</f>
        <v>0.7611816591529319</v>
      </c>
      <c r="CB30" s="50">
        <f t="shared" si="41"/>
        <v>1431743</v>
      </c>
      <c r="CC30" s="50">
        <f t="shared" si="44"/>
        <v>34731</v>
      </c>
      <c r="CD30" s="50">
        <f t="shared" si="35"/>
        <v>13937.987474008953</v>
      </c>
      <c r="CE30" s="47">
        <f t="shared" si="49"/>
        <v>-1.683067483468359</v>
      </c>
      <c r="CF30" s="84">
        <f>ROUND(SUM(BT281:BT292),0)</f>
        <v>20056508</v>
      </c>
      <c r="CG30" s="47">
        <f t="shared" si="50"/>
        <v>2.5158791827601945</v>
      </c>
      <c r="CH30" s="50">
        <f t="shared" si="36"/>
        <v>14008.455428104066</v>
      </c>
      <c r="CI30" s="140">
        <f t="shared" ref="CI30:CI35" si="61">CH30/CH29-1</f>
        <v>2.9064859312155633E-4</v>
      </c>
    </row>
    <row r="31" spans="1:103">
      <c r="A31" s="13">
        <v>1985</v>
      </c>
      <c r="B31" s="13">
        <v>3</v>
      </c>
      <c r="C31" s="5">
        <v>657287</v>
      </c>
      <c r="D31" s="73">
        <v>844730</v>
      </c>
      <c r="E31" s="4">
        <f t="shared" si="16"/>
        <v>657287</v>
      </c>
      <c r="F31" s="4">
        <f t="shared" si="17"/>
        <v>844730</v>
      </c>
      <c r="G31" s="79">
        <f t="shared" si="18"/>
        <v>778.1</v>
      </c>
      <c r="H31" s="13"/>
      <c r="I31" s="13"/>
      <c r="J31" s="230">
        <f>'[7]RES 62 &amp; 67'!$S116</f>
        <v>100.4</v>
      </c>
      <c r="K31" s="183">
        <f t="shared" si="52"/>
        <v>77.2</v>
      </c>
      <c r="L31" s="233">
        <f t="shared" si="6"/>
        <v>-23.200000000000003</v>
      </c>
      <c r="M31" s="230">
        <f>'[7]RES 62 &amp; 67'!$J116</f>
        <v>86.2</v>
      </c>
      <c r="N31" s="183">
        <f t="shared" si="53"/>
        <v>82.3</v>
      </c>
      <c r="O31" s="236">
        <f t="shared" si="7"/>
        <v>-3.9000000000000057</v>
      </c>
      <c r="P31" s="206">
        <f t="shared" si="19"/>
        <v>-50.112000000000009</v>
      </c>
      <c r="Q31" s="208">
        <f t="shared" si="20"/>
        <v>14.152000000000001</v>
      </c>
      <c r="R31" s="467">
        <f t="shared" si="21"/>
        <v>-35.960000000000008</v>
      </c>
      <c r="S31" s="470">
        <f t="shared" si="22"/>
        <v>-10.569000000000015</v>
      </c>
      <c r="T31" s="425">
        <f t="shared" si="23"/>
        <v>-46.5</v>
      </c>
      <c r="U31" s="515">
        <f t="shared" si="24"/>
        <v>844730</v>
      </c>
      <c r="V31" s="447">
        <v>31107</v>
      </c>
      <c r="W31" s="191">
        <f t="shared" si="8"/>
        <v>731.6</v>
      </c>
      <c r="X31" s="73">
        <f t="shared" si="9"/>
        <v>618004</v>
      </c>
      <c r="Y31" s="186">
        <v>0</v>
      </c>
      <c r="Z31" s="175">
        <f t="shared" si="25"/>
        <v>618004</v>
      </c>
      <c r="AA31" s="40">
        <f t="shared" si="10"/>
        <v>-39283</v>
      </c>
      <c r="AB31" s="379">
        <f t="shared" si="26"/>
        <v>618004</v>
      </c>
      <c r="AC31" s="81">
        <f>'[7]Gov 65 &amp; 70'!$B116</f>
        <v>29.4</v>
      </c>
      <c r="AD31" s="4">
        <f t="shared" si="11"/>
        <v>639445</v>
      </c>
      <c r="AE31" s="4">
        <f t="shared" si="54"/>
        <v>29262</v>
      </c>
      <c r="AF31" s="23">
        <f t="shared" si="12"/>
        <v>757</v>
      </c>
      <c r="AG31" s="75">
        <f t="shared" si="55"/>
        <v>1.7999999999999545</v>
      </c>
      <c r="AH31" s="227">
        <v>2007</v>
      </c>
      <c r="AI31" s="84">
        <f>ROUND(SUM(C293:C304),0)</f>
        <v>19911884</v>
      </c>
      <c r="AJ31" s="47">
        <f t="shared" si="45"/>
        <v>-0.54360190996156632</v>
      </c>
      <c r="AK31" s="549">
        <f>ROUND(SUM(AB293:AB304),0)</f>
        <v>20175755</v>
      </c>
      <c r="AL31" s="568">
        <f t="shared" si="13"/>
        <v>7.9087024251798255E-3</v>
      </c>
      <c r="AM31" s="50">
        <f>ROUND(AVERAGE(D293:D304),0)</f>
        <v>1442853</v>
      </c>
      <c r="AN31" s="47">
        <f t="shared" si="46"/>
        <v>0.77597725290083908</v>
      </c>
      <c r="AO31" s="181">
        <f t="shared" si="56"/>
        <v>13800.35526834681</v>
      </c>
      <c r="AP31" s="47">
        <f t="shared" si="47"/>
        <v>-1.3094183741338195</v>
      </c>
      <c r="AQ31" s="50">
        <f t="shared" si="57"/>
        <v>13983</v>
      </c>
      <c r="AR31" s="47">
        <f t="shared" si="48"/>
        <v>1.4305128388536481E-2</v>
      </c>
      <c r="AS31" s="547">
        <f>[13]RUPC!$AA14</f>
        <v>13941.214823849066</v>
      </c>
      <c r="AT31" s="86">
        <f t="shared" si="27"/>
        <v>-7.3000320410532282E-3</v>
      </c>
      <c r="AW31" s="230">
        <f>'[8]RES 62 &amp; 67'!$S116</f>
        <v>132</v>
      </c>
      <c r="AX31" s="200">
        <f t="shared" si="58"/>
        <v>105.8</v>
      </c>
      <c r="AY31" s="203">
        <f t="shared" si="51"/>
        <v>-26.200000000000003</v>
      </c>
      <c r="AZ31" s="230">
        <f>'[8]RES 62 &amp; 67'!$J116</f>
        <v>33.5</v>
      </c>
      <c r="BA31" s="183">
        <f t="shared" si="59"/>
        <v>49.9</v>
      </c>
      <c r="BB31" s="429">
        <f t="shared" si="29"/>
        <v>16.399999999999999</v>
      </c>
      <c r="BC31" s="206">
        <f t="shared" si="30"/>
        <v>-56.592000000000013</v>
      </c>
      <c r="BD31" s="206">
        <f t="shared" si="31"/>
        <v>15.982000000000001</v>
      </c>
      <c r="BE31" s="206">
        <f t="shared" si="32"/>
        <v>-40.610000000000014</v>
      </c>
      <c r="BF31" s="207">
        <f t="shared" si="33"/>
        <v>44.443999999999996</v>
      </c>
      <c r="BG31" s="219">
        <f t="shared" si="34"/>
        <v>3.8</v>
      </c>
      <c r="BH31" s="4">
        <f t="shared" si="14"/>
        <v>0</v>
      </c>
      <c r="BI31" s="4">
        <f t="shared" si="15"/>
        <v>0</v>
      </c>
      <c r="BY31" s="51">
        <v>2007</v>
      </c>
      <c r="BZ31" s="84">
        <f>ROUND(SUM(BJ293:BJ304),0)</f>
        <v>19872057</v>
      </c>
      <c r="CA31" s="47">
        <f t="shared" si="60"/>
        <v>-0.41872423281746896</v>
      </c>
      <c r="CB31" s="50">
        <f t="shared" si="41"/>
        <v>1442853</v>
      </c>
      <c r="CC31" s="50">
        <f t="shared" si="44"/>
        <v>11110</v>
      </c>
      <c r="CD31" s="50">
        <f t="shared" si="35"/>
        <v>13772.752317803684</v>
      </c>
      <c r="CE31" s="47">
        <f t="shared" si="49"/>
        <v>-1.1855022578646457</v>
      </c>
      <c r="CF31" s="84">
        <f>ROUND(SUM(BT293:BT304),0)</f>
        <v>19959850</v>
      </c>
      <c r="CG31" s="47">
        <f t="shared" si="50"/>
        <v>-0.48192835961274882</v>
      </c>
      <c r="CH31" s="50">
        <f t="shared" si="36"/>
        <v>13833.59912617571</v>
      </c>
      <c r="CI31" s="140">
        <f t="shared" si="61"/>
        <v>-1.2482197114862204E-2</v>
      </c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</row>
    <row r="32" spans="1:103">
      <c r="A32" s="13">
        <v>1985</v>
      </c>
      <c r="B32" s="13">
        <v>4</v>
      </c>
      <c r="C32" s="5">
        <v>549546</v>
      </c>
      <c r="D32" s="73">
        <v>841522</v>
      </c>
      <c r="E32" s="4">
        <f t="shared" si="16"/>
        <v>549546</v>
      </c>
      <c r="F32" s="4">
        <f t="shared" si="17"/>
        <v>841522</v>
      </c>
      <c r="G32" s="79">
        <f t="shared" si="18"/>
        <v>653</v>
      </c>
      <c r="H32" s="13"/>
      <c r="I32" s="13"/>
      <c r="J32" s="230">
        <f>'[7]RES 62 &amp; 67'!$S117</f>
        <v>120.2</v>
      </c>
      <c r="K32" s="183">
        <f t="shared" si="52"/>
        <v>138.1</v>
      </c>
      <c r="L32" s="233">
        <f t="shared" si="6"/>
        <v>17.899999999999991</v>
      </c>
      <c r="M32" s="230">
        <f>'[7]RES 62 &amp; 67'!$J117</f>
        <v>36.299999999999997</v>
      </c>
      <c r="N32" s="183">
        <f t="shared" si="53"/>
        <v>37.299999999999997</v>
      </c>
      <c r="O32" s="236">
        <f t="shared" si="7"/>
        <v>1</v>
      </c>
      <c r="P32" s="206">
        <f t="shared" si="19"/>
        <v>38.663999999999987</v>
      </c>
      <c r="Q32" s="208">
        <f t="shared" si="20"/>
        <v>-10.918999999999995</v>
      </c>
      <c r="R32" s="467">
        <f t="shared" si="21"/>
        <v>27.74499999999999</v>
      </c>
      <c r="S32" s="470">
        <f t="shared" si="22"/>
        <v>2.71</v>
      </c>
      <c r="T32" s="425">
        <f t="shared" si="23"/>
        <v>30.5</v>
      </c>
      <c r="U32" s="515">
        <f t="shared" si="24"/>
        <v>841522</v>
      </c>
      <c r="V32" s="447">
        <v>31138</v>
      </c>
      <c r="W32" s="191">
        <f t="shared" si="8"/>
        <v>683.5</v>
      </c>
      <c r="X32" s="73">
        <f t="shared" si="9"/>
        <v>575180</v>
      </c>
      <c r="Y32" s="186">
        <v>0</v>
      </c>
      <c r="Z32" s="175">
        <f t="shared" si="25"/>
        <v>575180</v>
      </c>
      <c r="AA32" s="40">
        <f t="shared" si="10"/>
        <v>25634</v>
      </c>
      <c r="AB32" s="379">
        <f t="shared" si="26"/>
        <v>575180</v>
      </c>
      <c r="AC32" s="81">
        <f>'[7]Gov 65 &amp; 70'!$B117</f>
        <v>30.35</v>
      </c>
      <c r="AD32" s="4">
        <f t="shared" si="11"/>
        <v>576507</v>
      </c>
      <c r="AE32" s="4">
        <f t="shared" si="54"/>
        <v>2102</v>
      </c>
      <c r="AF32" s="23">
        <f t="shared" si="12"/>
        <v>685.1</v>
      </c>
      <c r="AG32" s="75">
        <f t="shared" si="55"/>
        <v>-28.100000000000023</v>
      </c>
      <c r="AH32" s="227">
        <v>2008</v>
      </c>
      <c r="AI32" s="84">
        <f>ROUND(SUM(C305:C316),0)</f>
        <v>19328407</v>
      </c>
      <c r="AJ32" s="47">
        <f t="shared" si="45"/>
        <v>-2.9302952950107541</v>
      </c>
      <c r="AK32" s="549">
        <f>ROUND(SUM(AB305:AB316),0)</f>
        <v>19512263</v>
      </c>
      <c r="AL32" s="568">
        <f t="shared" si="13"/>
        <v>-3.2885609485245992E-2</v>
      </c>
      <c r="AM32" s="50">
        <f>ROUND(AVERAGE(D305:D316),0)</f>
        <v>1449041</v>
      </c>
      <c r="AN32" s="47">
        <f t="shared" si="46"/>
        <v>0.42887251854486497</v>
      </c>
      <c r="AO32" s="181">
        <f t="shared" si="56"/>
        <v>13338.757840530394</v>
      </c>
      <c r="AP32" s="47">
        <f t="shared" si="47"/>
        <v>-3.3448227878245973</v>
      </c>
      <c r="AQ32" s="50">
        <f t="shared" si="57"/>
        <v>13466</v>
      </c>
      <c r="AR32" s="47">
        <f t="shared" si="48"/>
        <v>-3.6973467782307035</v>
      </c>
      <c r="AS32" s="547">
        <f>[13]RUPC!$AA15</f>
        <v>13483.028178346038</v>
      </c>
      <c r="AT32" s="86">
        <f t="shared" si="27"/>
        <v>-3.2865618333290048E-2</v>
      </c>
      <c r="AW32" s="230">
        <f>'[8]RES 62 &amp; 67'!$S117</f>
        <v>177.2</v>
      </c>
      <c r="AX32" s="200">
        <f t="shared" si="58"/>
        <v>181.7</v>
      </c>
      <c r="AY32" s="203">
        <f t="shared" si="51"/>
        <v>4.5</v>
      </c>
      <c r="AZ32" s="230">
        <f>'[8]RES 62 &amp; 67'!$J117</f>
        <v>18.600000000000001</v>
      </c>
      <c r="BA32" s="183">
        <f t="shared" si="59"/>
        <v>21.5</v>
      </c>
      <c r="BB32" s="429">
        <f t="shared" si="29"/>
        <v>2.8999999999999986</v>
      </c>
      <c r="BC32" s="206">
        <f t="shared" si="30"/>
        <v>9.7200000000000006</v>
      </c>
      <c r="BD32" s="206">
        <f t="shared" si="31"/>
        <v>-1.3725000000000001</v>
      </c>
      <c r="BE32" s="206">
        <f t="shared" si="32"/>
        <v>8.3475000000000001</v>
      </c>
      <c r="BF32" s="207">
        <f t="shared" si="33"/>
        <v>7.8589999999999964</v>
      </c>
      <c r="BG32" s="219">
        <f t="shared" si="34"/>
        <v>16.2</v>
      </c>
      <c r="BH32" s="4">
        <f t="shared" si="14"/>
        <v>0</v>
      </c>
      <c r="BI32" s="4">
        <f t="shared" si="15"/>
        <v>0</v>
      </c>
      <c r="BY32" s="51">
        <v>2008</v>
      </c>
      <c r="BZ32" s="84">
        <f>ROUND(SUM(BJ305:BJ316),0)</f>
        <v>19374090</v>
      </c>
      <c r="CA32" s="47">
        <f t="shared" si="60"/>
        <v>-2.5058653968232925</v>
      </c>
      <c r="CB32" s="50">
        <f t="shared" ref="CB32" si="62">AM32</f>
        <v>1449041</v>
      </c>
      <c r="CC32" s="50">
        <f t="shared" ref="CC32" si="63">CB32-CB31</f>
        <v>6188</v>
      </c>
      <c r="CD32" s="50">
        <f t="shared" ref="CD32" si="64">BZ32/CB32*1000</f>
        <v>13370.284208659383</v>
      </c>
      <c r="CE32" s="47">
        <f t="shared" si="49"/>
        <v>-2.9222053795597613</v>
      </c>
      <c r="CF32" s="84">
        <f>ROUND(SUM(BT305:BT316),0)</f>
        <v>19485770</v>
      </c>
      <c r="CG32" s="47">
        <f t="shared" si="50"/>
        <v>-2.3751681500612465</v>
      </c>
      <c r="CH32" s="50">
        <f t="shared" ref="CH32" si="65">CF32/AM32*1000</f>
        <v>13447.355871918047</v>
      </c>
      <c r="CI32" s="140">
        <f t="shared" si="61"/>
        <v>-2.7920662637015314E-2</v>
      </c>
    </row>
    <row r="33" spans="1:103">
      <c r="A33" s="13">
        <v>1985</v>
      </c>
      <c r="B33" s="13">
        <v>5</v>
      </c>
      <c r="C33" s="5">
        <v>578299</v>
      </c>
      <c r="D33" s="73">
        <v>829934</v>
      </c>
      <c r="E33" s="4">
        <f t="shared" si="16"/>
        <v>578299</v>
      </c>
      <c r="F33" s="4">
        <f t="shared" si="17"/>
        <v>829934</v>
      </c>
      <c r="G33" s="79">
        <f t="shared" si="18"/>
        <v>696.8</v>
      </c>
      <c r="H33" s="13"/>
      <c r="I33" s="13"/>
      <c r="J33" s="230">
        <f>'[7]RES 62 &amp; 67'!$S118</f>
        <v>242.4</v>
      </c>
      <c r="K33" s="183">
        <f t="shared" si="52"/>
        <v>224.4</v>
      </c>
      <c r="L33" s="233">
        <f t="shared" ref="L33:L48" si="66">(K33-J33)</f>
        <v>-18</v>
      </c>
      <c r="M33" s="230">
        <f>'[7]RES 62 &amp; 67'!$J118</f>
        <v>7</v>
      </c>
      <c r="N33" s="183">
        <f t="shared" si="53"/>
        <v>11.2</v>
      </c>
      <c r="O33" s="236">
        <f t="shared" ref="O33:O48" si="67">(N33-M33)</f>
        <v>4.1999999999999993</v>
      </c>
      <c r="P33" s="206">
        <f t="shared" si="19"/>
        <v>-38.880000000000003</v>
      </c>
      <c r="Q33" s="208">
        <f t="shared" si="20"/>
        <v>0</v>
      </c>
      <c r="R33" s="467">
        <f t="shared" si="21"/>
        <v>-38.880000000000003</v>
      </c>
      <c r="S33" s="470">
        <f t="shared" si="22"/>
        <v>11.381999999999998</v>
      </c>
      <c r="T33" s="425">
        <f t="shared" si="23"/>
        <v>-27.5</v>
      </c>
      <c r="U33" s="515">
        <f t="shared" si="24"/>
        <v>829934</v>
      </c>
      <c r="V33" s="447">
        <v>31168</v>
      </c>
      <c r="W33" s="191">
        <f t="shared" si="8"/>
        <v>669.3</v>
      </c>
      <c r="X33" s="73">
        <f t="shared" si="9"/>
        <v>555475</v>
      </c>
      <c r="Y33" s="186">
        <v>0</v>
      </c>
      <c r="Z33" s="175">
        <f t="shared" si="25"/>
        <v>555475</v>
      </c>
      <c r="AA33" s="40">
        <f t="shared" si="10"/>
        <v>-22824</v>
      </c>
      <c r="AB33" s="379">
        <f t="shared" si="26"/>
        <v>555475</v>
      </c>
      <c r="AC33" s="81">
        <f>'[7]Gov 65 &amp; 70'!$B118</f>
        <v>29.85</v>
      </c>
      <c r="AD33" s="4">
        <f t="shared" si="11"/>
        <v>566082</v>
      </c>
      <c r="AE33" s="4">
        <f t="shared" si="54"/>
        <v>-188</v>
      </c>
      <c r="AF33" s="23">
        <f t="shared" si="12"/>
        <v>682.1</v>
      </c>
      <c r="AG33" s="75">
        <f t="shared" si="55"/>
        <v>-30.399999999999977</v>
      </c>
      <c r="AH33" s="227">
        <v>2009</v>
      </c>
      <c r="AI33" s="84">
        <f>ROUND(SUM(C317:C328),0)</f>
        <v>19399196</v>
      </c>
      <c r="AJ33" s="47">
        <f t="shared" si="45"/>
        <v>0.36624332258732295</v>
      </c>
      <c r="AK33" s="549">
        <f>ROUND(SUM(AB317:AB328),0)</f>
        <v>18936711</v>
      </c>
      <c r="AL33" s="568">
        <f t="shared" si="13"/>
        <v>-2.949693738752901E-2</v>
      </c>
      <c r="AM33" s="50">
        <f>ROUND(AVERAGE(D317:D328),0)</f>
        <v>1441325</v>
      </c>
      <c r="AN33" s="47">
        <f t="shared" si="46"/>
        <v>-0.53249010897552518</v>
      </c>
      <c r="AO33" s="181">
        <f t="shared" si="56"/>
        <v>13459.279482420689</v>
      </c>
      <c r="AP33" s="47">
        <f t="shared" si="47"/>
        <v>0.90354471781535217</v>
      </c>
      <c r="AQ33" s="50">
        <f t="shared" si="57"/>
        <v>13138</v>
      </c>
      <c r="AR33" s="47">
        <f t="shared" si="48"/>
        <v>-2.4357641467399382</v>
      </c>
      <c r="AS33" s="547">
        <f>[13]RUPC!$AA16</f>
        <v>13144.313067163343</v>
      </c>
      <c r="AT33" s="86">
        <f t="shared" si="27"/>
        <v>-2.5121590395151494E-2</v>
      </c>
      <c r="AW33" s="230">
        <f>'[8]RES 62 &amp; 67'!$S118</f>
        <v>350.5</v>
      </c>
      <c r="AX33" s="200">
        <f t="shared" si="58"/>
        <v>336.7</v>
      </c>
      <c r="AY33" s="203">
        <f t="shared" si="51"/>
        <v>-13.800000000000011</v>
      </c>
      <c r="AZ33" s="230">
        <f>'[8]RES 62 &amp; 67'!$J118</f>
        <v>0.5</v>
      </c>
      <c r="BA33" s="183">
        <f t="shared" si="59"/>
        <v>2.1</v>
      </c>
      <c r="BB33" s="429">
        <f t="shared" si="29"/>
        <v>1.6</v>
      </c>
      <c r="BC33" s="206">
        <f t="shared" si="30"/>
        <v>-29.808000000000028</v>
      </c>
      <c r="BD33" s="206">
        <f t="shared" si="31"/>
        <v>0</v>
      </c>
      <c r="BE33" s="206">
        <f t="shared" si="32"/>
        <v>-29.808000000000028</v>
      </c>
      <c r="BF33" s="207">
        <f t="shared" si="33"/>
        <v>4.3360000000000003</v>
      </c>
      <c r="BG33" s="219">
        <f t="shared" si="34"/>
        <v>-25.5</v>
      </c>
      <c r="BH33" s="4">
        <f t="shared" si="14"/>
        <v>0</v>
      </c>
      <c r="BI33" s="4">
        <f t="shared" si="15"/>
        <v>0</v>
      </c>
      <c r="BY33" s="51">
        <v>2009</v>
      </c>
      <c r="BZ33" s="84">
        <f>ROUND(SUM(BJ317:BJ328),0)</f>
        <v>19396306</v>
      </c>
      <c r="CA33" s="47">
        <f t="shared" si="60"/>
        <v>0.11466861153219821</v>
      </c>
      <c r="CB33" s="50">
        <f t="shared" ref="CB33:CB34" si="68">AM33</f>
        <v>1441325</v>
      </c>
      <c r="CC33" s="50">
        <f t="shared" ref="CC33" si="69">CB33-CB32</f>
        <v>-7716</v>
      </c>
      <c r="CD33" s="50">
        <f t="shared" ref="CD33" si="70">BZ33/CB33*1000</f>
        <v>13457.274382946247</v>
      </c>
      <c r="CE33" s="47">
        <f t="shared" si="49"/>
        <v>0.65062322482662971</v>
      </c>
      <c r="CF33" s="84">
        <f>ROUND(SUM(BT317:BT328),0)</f>
        <v>18669364</v>
      </c>
      <c r="CG33" s="47">
        <f t="shared" si="50"/>
        <v>-4.1897548826656532</v>
      </c>
      <c r="CH33" s="50">
        <f t="shared" ref="CH33" si="71">CF33/AM33*1000</f>
        <v>12952.917627877127</v>
      </c>
      <c r="CI33" s="140">
        <f t="shared" si="61"/>
        <v>-3.676843602194324E-2</v>
      </c>
    </row>
    <row r="34" spans="1:103">
      <c r="A34" s="13">
        <v>1985</v>
      </c>
      <c r="B34" s="13">
        <v>6</v>
      </c>
      <c r="C34" s="5">
        <v>814301</v>
      </c>
      <c r="D34" s="73">
        <v>826737</v>
      </c>
      <c r="E34" s="4">
        <f t="shared" si="16"/>
        <v>814301</v>
      </c>
      <c r="F34" s="4">
        <f t="shared" si="17"/>
        <v>826737</v>
      </c>
      <c r="G34" s="79">
        <f t="shared" si="18"/>
        <v>985</v>
      </c>
      <c r="H34" s="13"/>
      <c r="I34" s="13"/>
      <c r="J34" s="230">
        <f>'[7]RES 62 &amp; 67'!$S119</f>
        <v>413.5</v>
      </c>
      <c r="K34" s="183">
        <f t="shared" si="52"/>
        <v>382.8</v>
      </c>
      <c r="L34" s="233">
        <f t="shared" si="66"/>
        <v>-30.699999999999989</v>
      </c>
      <c r="M34" s="230">
        <f>'[7]RES 62 &amp; 67'!$J119</f>
        <v>0.2</v>
      </c>
      <c r="N34" s="183">
        <f t="shared" si="53"/>
        <v>0.9</v>
      </c>
      <c r="O34" s="236">
        <f t="shared" si="67"/>
        <v>0.7</v>
      </c>
      <c r="P34" s="206">
        <f t="shared" si="19"/>
        <v>-66.311999999999983</v>
      </c>
      <c r="Q34" s="208">
        <f t="shared" si="20"/>
        <v>0</v>
      </c>
      <c r="R34" s="467">
        <f t="shared" si="21"/>
        <v>-66.311999999999983</v>
      </c>
      <c r="S34" s="470">
        <f t="shared" si="22"/>
        <v>1.8969999999999998</v>
      </c>
      <c r="T34" s="425">
        <f t="shared" si="23"/>
        <v>-64.400000000000006</v>
      </c>
      <c r="U34" s="515">
        <f t="shared" si="24"/>
        <v>826737</v>
      </c>
      <c r="V34" s="447">
        <v>31199</v>
      </c>
      <c r="W34" s="191">
        <f t="shared" si="8"/>
        <v>920.6</v>
      </c>
      <c r="X34" s="73">
        <f t="shared" si="9"/>
        <v>761094</v>
      </c>
      <c r="Y34" s="186">
        <v>0</v>
      </c>
      <c r="Z34" s="175">
        <f t="shared" si="25"/>
        <v>761094</v>
      </c>
      <c r="AA34" s="40">
        <f t="shared" si="10"/>
        <v>-53207</v>
      </c>
      <c r="AB34" s="379">
        <f t="shared" si="26"/>
        <v>761094</v>
      </c>
      <c r="AC34" s="81">
        <f>'[7]Gov 65 &amp; 70'!$B119</f>
        <v>30.8</v>
      </c>
      <c r="AD34" s="4">
        <f t="shared" si="11"/>
        <v>751704</v>
      </c>
      <c r="AE34" s="4">
        <f t="shared" si="54"/>
        <v>-7171</v>
      </c>
      <c r="AF34" s="23">
        <f t="shared" si="12"/>
        <v>909.2</v>
      </c>
      <c r="AG34" s="75">
        <f t="shared" si="55"/>
        <v>-49.599999999999909</v>
      </c>
      <c r="AH34" s="227">
        <v>2010</v>
      </c>
      <c r="AI34" s="84">
        <f>ROUND(SUM(C329:C340),0)</f>
        <v>20524061</v>
      </c>
      <c r="AJ34" s="47">
        <f t="shared" ref="AJ34" si="72">(AI34/AI33-1)*100</f>
        <v>5.7985135054050785</v>
      </c>
      <c r="AK34" s="549">
        <f>ROUND(SUM(AB329:AB340),0)</f>
        <v>18257354</v>
      </c>
      <c r="AL34" s="568">
        <f t="shared" si="13"/>
        <v>-3.5875131642448377E-2</v>
      </c>
      <c r="AM34" s="50">
        <f>ROUND(AVERAGE(D329:D340),0)</f>
        <v>1451466</v>
      </c>
      <c r="AN34" s="47">
        <f t="shared" ref="AN34" si="73">(AM34/AM33-1)*100</f>
        <v>0.70358871177562676</v>
      </c>
      <c r="AO34" s="181">
        <f t="shared" si="56"/>
        <v>14140.228568908951</v>
      </c>
      <c r="AP34" s="47">
        <f t="shared" ref="AP34" si="74">(AO34/AO33-1)*100</f>
        <v>5.059327933398361</v>
      </c>
      <c r="AQ34" s="50">
        <f t="shared" si="57"/>
        <v>12579</v>
      </c>
      <c r="AR34" s="47">
        <f t="shared" ref="AR34" si="75">(AQ34/AQ33-1)*100</f>
        <v>-4.2548333079616363</v>
      </c>
      <c r="AS34" s="547">
        <f>[13]RUPC!$AA17</f>
        <v>12633.124758248136</v>
      </c>
      <c r="AT34" s="86">
        <f t="shared" si="27"/>
        <v>-3.8890454472835012E-2</v>
      </c>
      <c r="AW34" s="230">
        <f>'[8]RES 62 &amp; 67'!$S119</f>
        <v>472.3</v>
      </c>
      <c r="AX34" s="200">
        <f t="shared" si="58"/>
        <v>425.2</v>
      </c>
      <c r="AY34" s="203">
        <f t="shared" si="51"/>
        <v>-47.100000000000023</v>
      </c>
      <c r="AZ34" s="230">
        <f>'[8]RES 62 &amp; 67'!$J119</f>
        <v>0</v>
      </c>
      <c r="BA34" s="183">
        <f t="shared" si="59"/>
        <v>0</v>
      </c>
      <c r="BB34" s="429">
        <f t="shared" si="29"/>
        <v>0</v>
      </c>
      <c r="BC34" s="206">
        <f t="shared" si="30"/>
        <v>-101.73600000000006</v>
      </c>
      <c r="BD34" s="206">
        <f t="shared" si="31"/>
        <v>0</v>
      </c>
      <c r="BE34" s="206">
        <f t="shared" si="32"/>
        <v>-101.73600000000006</v>
      </c>
      <c r="BF34" s="207">
        <f t="shared" si="33"/>
        <v>0</v>
      </c>
      <c r="BG34" s="219">
        <f t="shared" si="34"/>
        <v>-101.7</v>
      </c>
      <c r="BH34" s="4">
        <f t="shared" si="14"/>
        <v>0</v>
      </c>
      <c r="BI34" s="4">
        <f t="shared" si="15"/>
        <v>0</v>
      </c>
      <c r="BY34" s="51">
        <v>2010</v>
      </c>
      <c r="BZ34" s="84">
        <f>ROUND(SUM(BJ329:BJ340),0)</f>
        <v>20845806</v>
      </c>
      <c r="CA34" s="47">
        <f t="shared" si="60"/>
        <v>7.4730724499809442</v>
      </c>
      <c r="CB34" s="50">
        <f t="shared" si="68"/>
        <v>1451466</v>
      </c>
      <c r="CC34" s="50">
        <f t="shared" ref="CC34" si="76">CB34-CB33</f>
        <v>10141</v>
      </c>
      <c r="CD34" s="50">
        <f t="shared" ref="CD34" si="77">BZ34/CB34*1000</f>
        <v>14361.897557366137</v>
      </c>
      <c r="CE34" s="47">
        <f t="shared" ref="CE34" si="78">(CD34/CD33-1)*100</f>
        <v>6.7221871879663553</v>
      </c>
      <c r="CF34" s="84">
        <f>ROUND(SUM(BT329:BT340),0)</f>
        <v>18091442</v>
      </c>
      <c r="CG34" s="47">
        <f t="shared" ref="CG34" si="79">(CF34/CF33-1)*100</f>
        <v>-3.0955634053736358</v>
      </c>
      <c r="CH34" s="50">
        <f t="shared" ref="CH34" si="80">CF34/AM34*1000</f>
        <v>12464.254760359527</v>
      </c>
      <c r="CI34" s="140">
        <f t="shared" si="61"/>
        <v>-3.7726084698161411E-2</v>
      </c>
    </row>
    <row r="35" spans="1:103">
      <c r="A35" s="13">
        <v>1985</v>
      </c>
      <c r="B35" s="13">
        <v>7</v>
      </c>
      <c r="C35" s="5">
        <v>923812</v>
      </c>
      <c r="D35" s="73">
        <v>828223</v>
      </c>
      <c r="E35" s="4">
        <f t="shared" si="16"/>
        <v>923812</v>
      </c>
      <c r="F35" s="4">
        <f t="shared" si="17"/>
        <v>828223</v>
      </c>
      <c r="G35" s="79">
        <f t="shared" si="18"/>
        <v>1115.4000000000001</v>
      </c>
      <c r="H35" s="13"/>
      <c r="I35" s="13"/>
      <c r="J35" s="230">
        <f>'[7]RES 62 &amp; 67'!$S120</f>
        <v>462.2</v>
      </c>
      <c r="K35" s="183">
        <f t="shared" si="52"/>
        <v>454.9</v>
      </c>
      <c r="L35" s="233">
        <f t="shared" si="66"/>
        <v>-7.3000000000000114</v>
      </c>
      <c r="M35" s="230">
        <f>'[7]RES 62 &amp; 67'!$J120</f>
        <v>0</v>
      </c>
      <c r="N35" s="183">
        <f t="shared" si="53"/>
        <v>0</v>
      </c>
      <c r="O35" s="236">
        <f t="shared" si="67"/>
        <v>0</v>
      </c>
      <c r="P35" s="206">
        <f t="shared" si="19"/>
        <v>-15.768000000000026</v>
      </c>
      <c r="Q35" s="208">
        <f t="shared" si="20"/>
        <v>0</v>
      </c>
      <c r="R35" s="467">
        <f t="shared" si="21"/>
        <v>-15.768000000000026</v>
      </c>
      <c r="S35" s="470">
        <f t="shared" si="22"/>
        <v>0</v>
      </c>
      <c r="T35" s="425">
        <f t="shared" si="23"/>
        <v>-15.8</v>
      </c>
      <c r="U35" s="515">
        <f t="shared" si="24"/>
        <v>828223</v>
      </c>
      <c r="V35" s="447">
        <v>31229</v>
      </c>
      <c r="W35" s="191">
        <f t="shared" si="8"/>
        <v>1099.6000000000001</v>
      </c>
      <c r="X35" s="73">
        <f t="shared" si="9"/>
        <v>910714</v>
      </c>
      <c r="Y35" s="186">
        <v>0</v>
      </c>
      <c r="Z35" s="175">
        <f t="shared" si="25"/>
        <v>910714</v>
      </c>
      <c r="AA35" s="40">
        <f t="shared" si="10"/>
        <v>-13098</v>
      </c>
      <c r="AB35" s="379">
        <f t="shared" si="26"/>
        <v>910714</v>
      </c>
      <c r="AC35" s="81">
        <f>'[7]Gov 65 &amp; 70'!$B120</f>
        <v>30.4</v>
      </c>
      <c r="AD35" s="4">
        <f t="shared" si="11"/>
        <v>911313</v>
      </c>
      <c r="AE35" s="4">
        <f t="shared" si="54"/>
        <v>46911</v>
      </c>
      <c r="AF35" s="23">
        <f t="shared" si="12"/>
        <v>1100.3</v>
      </c>
      <c r="AG35" s="75">
        <f t="shared" si="55"/>
        <v>10.700000000000045</v>
      </c>
      <c r="AH35" s="227">
        <v>2011</v>
      </c>
      <c r="AI35" s="84">
        <f>ROUND(SUM(C341:C352),0)</f>
        <v>19237835</v>
      </c>
      <c r="AJ35" s="47">
        <f t="shared" ref="AJ35" si="81">(AI35/AI34-1)*100</f>
        <v>-6.2669176436378704</v>
      </c>
      <c r="AK35" s="549">
        <f>ROUND(SUM(AB341:AB352),0)</f>
        <v>18555916</v>
      </c>
      <c r="AL35" s="568">
        <f t="shared" si="13"/>
        <v>1.6352972068132132E-2</v>
      </c>
      <c r="AM35" s="50">
        <f>ROUND(AVERAGE(D341:D352),0)</f>
        <v>1452454</v>
      </c>
      <c r="AN35" s="47">
        <f t="shared" ref="AN35" si="82">(AM35/AM34-1)*100</f>
        <v>6.8069110816226797E-2</v>
      </c>
      <c r="AO35" s="181">
        <f t="shared" si="56"/>
        <v>13245.056297824234</v>
      </c>
      <c r="AP35" s="47">
        <f t="shared" ref="AP35" si="83">(AO35/AO34-1)*100</f>
        <v>-6.3306775185585806</v>
      </c>
      <c r="AQ35" s="50">
        <f t="shared" si="57"/>
        <v>12776</v>
      </c>
      <c r="AR35" s="47">
        <f t="shared" ref="AR35" si="84">(AQ35/AQ34-1)*100</f>
        <v>1.566102233881872</v>
      </c>
      <c r="AS35" s="547">
        <f>[13]RUPC!$AA18</f>
        <v>12775.721637534351</v>
      </c>
      <c r="AT35" s="86">
        <f t="shared" si="27"/>
        <v>1.1287538278533571E-2</v>
      </c>
      <c r="AW35" s="230">
        <f>'[8]RES 62 &amp; 67'!$S120</f>
        <v>467.8</v>
      </c>
      <c r="AX35" s="200">
        <f t="shared" si="58"/>
        <v>484.1</v>
      </c>
      <c r="AY35" s="203">
        <f t="shared" si="51"/>
        <v>16.300000000000011</v>
      </c>
      <c r="AZ35" s="230">
        <f>'[8]RES 62 &amp; 67'!$J120</f>
        <v>0</v>
      </c>
      <c r="BA35" s="183">
        <f t="shared" si="59"/>
        <v>0</v>
      </c>
      <c r="BB35" s="429">
        <f t="shared" si="29"/>
        <v>0</v>
      </c>
      <c r="BC35" s="206">
        <f t="shared" si="30"/>
        <v>35.208000000000027</v>
      </c>
      <c r="BD35" s="206">
        <f t="shared" si="31"/>
        <v>0</v>
      </c>
      <c r="BE35" s="206">
        <f t="shared" si="32"/>
        <v>35.208000000000027</v>
      </c>
      <c r="BF35" s="207">
        <f t="shared" si="33"/>
        <v>0</v>
      </c>
      <c r="BG35" s="219">
        <f t="shared" si="34"/>
        <v>35.200000000000003</v>
      </c>
      <c r="BH35" s="4">
        <f t="shared" si="14"/>
        <v>0</v>
      </c>
      <c r="BI35" s="4">
        <f t="shared" si="15"/>
        <v>0</v>
      </c>
      <c r="BY35" s="51">
        <v>2011</v>
      </c>
      <c r="BZ35" s="84">
        <f>ROUND(SUM(BJ341:BJ352),0)</f>
        <v>18822254</v>
      </c>
      <c r="CA35" s="47">
        <f t="shared" si="60"/>
        <v>-9.7072379931003816</v>
      </c>
      <c r="CB35" s="50">
        <f t="shared" ref="CB35" si="85">AM35</f>
        <v>1452454</v>
      </c>
      <c r="CC35" s="50">
        <f t="shared" ref="CC35" si="86">CB35-CB34</f>
        <v>988</v>
      </c>
      <c r="CD35" s="50">
        <f t="shared" ref="CD35" si="87">BZ35/CB35*1000</f>
        <v>12958.932950716511</v>
      </c>
      <c r="CE35" s="47">
        <f t="shared" ref="CE35" si="88">(CD35/CD34-1)*100</f>
        <v>-9.768657665505021</v>
      </c>
      <c r="CF35" s="84">
        <f>ROUND(SUM(BT341:BT352),0)</f>
        <v>18587589</v>
      </c>
      <c r="CG35" s="47">
        <f t="shared" ref="CG35" si="89">(CF35/CF34-1)*100</f>
        <v>2.742440320677586</v>
      </c>
      <c r="CH35" s="50">
        <f t="shared" ref="CH35" si="90">CF35/AM35*1000</f>
        <v>12797.368453665315</v>
      </c>
      <c r="CI35" s="140">
        <f t="shared" si="61"/>
        <v>2.6725520274601511E-2</v>
      </c>
    </row>
    <row r="36" spans="1:103">
      <c r="A36" s="13">
        <v>1985</v>
      </c>
      <c r="B36" s="13">
        <v>8</v>
      </c>
      <c r="C36" s="5">
        <v>931120</v>
      </c>
      <c r="D36" s="73">
        <v>830036</v>
      </c>
      <c r="E36" s="4">
        <f t="shared" si="16"/>
        <v>931120</v>
      </c>
      <c r="F36" s="4">
        <f t="shared" si="17"/>
        <v>830036</v>
      </c>
      <c r="G36" s="79">
        <f t="shared" si="18"/>
        <v>1121.8</v>
      </c>
      <c r="H36" s="13"/>
      <c r="I36" s="13"/>
      <c r="J36" s="230">
        <f>'[7]RES 62 &amp; 67'!$S121</f>
        <v>468.5</v>
      </c>
      <c r="K36" s="183">
        <f t="shared" si="52"/>
        <v>481.4</v>
      </c>
      <c r="L36" s="233">
        <f t="shared" si="66"/>
        <v>12.899999999999977</v>
      </c>
      <c r="M36" s="230">
        <f>'[7]RES 62 &amp; 67'!$J121</f>
        <v>0</v>
      </c>
      <c r="N36" s="183">
        <f t="shared" si="53"/>
        <v>0</v>
      </c>
      <c r="O36" s="236">
        <f t="shared" si="67"/>
        <v>0</v>
      </c>
      <c r="P36" s="206">
        <f t="shared" si="19"/>
        <v>27.863999999999951</v>
      </c>
      <c r="Q36" s="208">
        <f t="shared" si="20"/>
        <v>0</v>
      </c>
      <c r="R36" s="467">
        <f t="shared" si="21"/>
        <v>27.863999999999951</v>
      </c>
      <c r="S36" s="470">
        <f t="shared" si="22"/>
        <v>0</v>
      </c>
      <c r="T36" s="425">
        <f t="shared" si="23"/>
        <v>27.9</v>
      </c>
      <c r="U36" s="515">
        <f t="shared" si="24"/>
        <v>830036</v>
      </c>
      <c r="V36" s="447">
        <v>31260</v>
      </c>
      <c r="W36" s="191">
        <f t="shared" si="8"/>
        <v>1149.7</v>
      </c>
      <c r="X36" s="73">
        <f t="shared" si="9"/>
        <v>954292</v>
      </c>
      <c r="Y36" s="186">
        <v>0</v>
      </c>
      <c r="Z36" s="175">
        <f t="shared" si="25"/>
        <v>954292</v>
      </c>
      <c r="AA36" s="40">
        <f t="shared" si="10"/>
        <v>23172</v>
      </c>
      <c r="AB36" s="379">
        <f t="shared" si="26"/>
        <v>954292</v>
      </c>
      <c r="AC36" s="81">
        <f>'[7]Gov 65 &amp; 70'!$B121</f>
        <v>31.2</v>
      </c>
      <c r="AD36" s="4">
        <f t="shared" si="11"/>
        <v>930435</v>
      </c>
      <c r="AE36" s="4">
        <f t="shared" si="54"/>
        <v>63944</v>
      </c>
      <c r="AF36" s="23">
        <f t="shared" si="12"/>
        <v>1121</v>
      </c>
      <c r="AG36" s="75">
        <f t="shared" si="55"/>
        <v>32.599999999999909</v>
      </c>
      <c r="AH36" s="227">
        <v>2012</v>
      </c>
      <c r="AI36" s="84">
        <f>ROUND(SUM(C353:C364),0)</f>
        <v>18251335</v>
      </c>
      <c r="AJ36" s="47">
        <f t="shared" ref="AJ36" si="91">(AI36/AI35-1)*100</f>
        <v>-5.1279159011396018</v>
      </c>
      <c r="AK36" s="549">
        <f>ROUND(SUM(AB353:AB364),0)</f>
        <v>18642507</v>
      </c>
      <c r="AL36" s="568">
        <f t="shared" si="13"/>
        <v>4.6664901910529188E-3</v>
      </c>
      <c r="AM36" s="50">
        <f>ROUND(AVERAGE(D353:D364),0)</f>
        <v>1458690</v>
      </c>
      <c r="AN36" s="47">
        <f t="shared" ref="AN36" si="92">(AM36/AM35-1)*100</f>
        <v>0.4293423406180219</v>
      </c>
      <c r="AO36" s="181">
        <f t="shared" ref="AO36" si="93">AI36/AM36*1000</f>
        <v>12512.14103065079</v>
      </c>
      <c r="AP36" s="47">
        <f t="shared" ref="AP36" si="94">(AO36/AO35-1)*100</f>
        <v>-5.5335005808457076</v>
      </c>
      <c r="AQ36" s="50">
        <f t="shared" ref="AQ36" si="95">ROUND((AK36/AM36*1000),0)</f>
        <v>12780</v>
      </c>
      <c r="AR36" s="47">
        <f t="shared" ref="AR36" si="96">(AQ36/AQ35-1)*100</f>
        <v>3.1308703819665773E-2</v>
      </c>
      <c r="AS36" s="547">
        <f>[13]RUPC!$AA19</f>
        <v>12732.361238754545</v>
      </c>
      <c r="AT36" s="86">
        <f t="shared" si="27"/>
        <v>-3.3939686547658221E-3</v>
      </c>
      <c r="AW36" s="230">
        <f>'[8]RES 62 &amp; 67'!$S121</f>
        <v>473.2</v>
      </c>
      <c r="AX36" s="200">
        <f t="shared" si="58"/>
        <v>487.3</v>
      </c>
      <c r="AY36" s="203">
        <f t="shared" si="51"/>
        <v>14.100000000000023</v>
      </c>
      <c r="AZ36" s="230">
        <f>'[8]RES 62 &amp; 67'!$J121</f>
        <v>0</v>
      </c>
      <c r="BA36" s="183">
        <f t="shared" si="59"/>
        <v>0</v>
      </c>
      <c r="BB36" s="429">
        <f t="shared" si="29"/>
        <v>0</v>
      </c>
      <c r="BC36" s="206">
        <f t="shared" si="30"/>
        <v>30.456000000000053</v>
      </c>
      <c r="BD36" s="206">
        <f t="shared" si="31"/>
        <v>0</v>
      </c>
      <c r="BE36" s="206">
        <f t="shared" si="32"/>
        <v>30.456000000000053</v>
      </c>
      <c r="BF36" s="207">
        <f t="shared" si="33"/>
        <v>0</v>
      </c>
      <c r="BG36" s="219">
        <f t="shared" si="34"/>
        <v>30.5</v>
      </c>
      <c r="BH36" s="4">
        <f t="shared" si="14"/>
        <v>0</v>
      </c>
      <c r="BI36" s="4">
        <f t="shared" si="15"/>
        <v>0</v>
      </c>
      <c r="BY36" s="51">
        <v>2012</v>
      </c>
      <c r="BZ36" s="84">
        <f>ROUND(SUM(BJ353:BJ364),0)</f>
        <v>18382062</v>
      </c>
      <c r="CA36" s="47">
        <f t="shared" ref="CA36" si="97">(BZ36/BZ35-1)*100</f>
        <v>-2.3386784600824106</v>
      </c>
      <c r="CB36" s="50">
        <f t="shared" ref="CB36" si="98">AM36</f>
        <v>1458690</v>
      </c>
      <c r="CC36" s="50">
        <f t="shared" ref="CC36" si="99">CB36-CB35</f>
        <v>6236</v>
      </c>
      <c r="CD36" s="50">
        <f t="shared" ref="CD36" si="100">BZ36/CB36*1000</f>
        <v>12601.760483721697</v>
      </c>
      <c r="CE36" s="47">
        <f t="shared" ref="CE36" si="101">(CD36/CD35-1)*100</f>
        <v>-2.7561873215422916</v>
      </c>
      <c r="CF36" s="84">
        <f>ROUND(SUM(BT353:BT364),0)</f>
        <v>18505616</v>
      </c>
      <c r="CG36" s="47">
        <f t="shared" ref="CG36" si="102">(CF36/CF35-1)*100</f>
        <v>-0.44100932078926514</v>
      </c>
      <c r="CH36" s="50">
        <f t="shared" ref="CH36" si="103">CF36/AM36*1000</f>
        <v>12686.462510883051</v>
      </c>
      <c r="CI36" s="140">
        <f t="shared" ref="CI36" si="104">CH36/CH35-1</f>
        <v>-8.6663084823894732E-3</v>
      </c>
    </row>
    <row r="37" spans="1:103">
      <c r="A37" s="13">
        <v>1985</v>
      </c>
      <c r="B37" s="13">
        <v>9</v>
      </c>
      <c r="C37" s="5">
        <v>918125</v>
      </c>
      <c r="D37" s="73">
        <v>833418</v>
      </c>
      <c r="E37" s="4">
        <f t="shared" si="16"/>
        <v>918125</v>
      </c>
      <c r="F37" s="4">
        <f t="shared" si="17"/>
        <v>833418</v>
      </c>
      <c r="G37" s="79">
        <f t="shared" si="18"/>
        <v>1101.5999999999999</v>
      </c>
      <c r="H37" s="13"/>
      <c r="I37" s="13"/>
      <c r="J37" s="230">
        <f>'[7]RES 62 &amp; 67'!$S122</f>
        <v>451.3</v>
      </c>
      <c r="K37" s="183">
        <f t="shared" si="52"/>
        <v>473.7</v>
      </c>
      <c r="L37" s="233">
        <f t="shared" si="66"/>
        <v>22.399999999999977</v>
      </c>
      <c r="M37" s="230">
        <f>'[7]RES 62 &amp; 67'!$J122</f>
        <v>0</v>
      </c>
      <c r="N37" s="183">
        <f t="shared" si="53"/>
        <v>0</v>
      </c>
      <c r="O37" s="236">
        <f t="shared" si="67"/>
        <v>0</v>
      </c>
      <c r="P37" s="206">
        <f t="shared" si="19"/>
        <v>48.383999999999951</v>
      </c>
      <c r="Q37" s="208">
        <f t="shared" si="20"/>
        <v>0</v>
      </c>
      <c r="R37" s="467">
        <f t="shared" si="21"/>
        <v>48.383999999999951</v>
      </c>
      <c r="S37" s="470">
        <f t="shared" si="22"/>
        <v>0</v>
      </c>
      <c r="T37" s="425">
        <f t="shared" si="23"/>
        <v>48.4</v>
      </c>
      <c r="U37" s="515">
        <f t="shared" si="24"/>
        <v>833418</v>
      </c>
      <c r="V37" s="447">
        <v>31291</v>
      </c>
      <c r="W37" s="191">
        <f t="shared" si="8"/>
        <v>1150</v>
      </c>
      <c r="X37" s="73">
        <f t="shared" si="9"/>
        <v>958431</v>
      </c>
      <c r="Y37" s="186">
        <v>0</v>
      </c>
      <c r="Z37" s="175">
        <f t="shared" si="25"/>
        <v>958431</v>
      </c>
      <c r="AA37" s="40">
        <f t="shared" si="10"/>
        <v>40306</v>
      </c>
      <c r="AB37" s="379">
        <f t="shared" si="26"/>
        <v>958431</v>
      </c>
      <c r="AC37" s="81">
        <f>'[7]Gov 65 &amp; 70'!$B122</f>
        <v>30.5</v>
      </c>
      <c r="AD37" s="4">
        <f t="shared" si="11"/>
        <v>955917</v>
      </c>
      <c r="AE37" s="4">
        <f t="shared" si="54"/>
        <v>86313</v>
      </c>
      <c r="AF37" s="23">
        <f t="shared" si="12"/>
        <v>1147</v>
      </c>
      <c r="AG37" s="75">
        <f t="shared" si="55"/>
        <v>60.299999999999955</v>
      </c>
      <c r="AH37" s="227">
        <v>2013</v>
      </c>
      <c r="AI37" s="84">
        <f>ROUND(SUM(C365:C376),0)</f>
        <v>18507963</v>
      </c>
      <c r="AJ37" s="47">
        <f t="shared" ref="AJ37" si="105">(AI37/AI36-1)*100</f>
        <v>1.4060779663515044</v>
      </c>
      <c r="AK37" s="549">
        <f>ROUND(SUM(AB365:AB376),0)</f>
        <v>18452123</v>
      </c>
      <c r="AL37" s="568">
        <f t="shared" ref="AL37" si="106">(AK37/AK36-1)</f>
        <v>-1.021236038693718E-2</v>
      </c>
      <c r="AM37" s="50">
        <f>ROUND(AVERAGE(D365:D376),0)</f>
        <v>1488159</v>
      </c>
      <c r="AN37" s="47">
        <f t="shared" ref="AN37" si="107">(AM37/AM36-1)*100</f>
        <v>2.0202373362400605</v>
      </c>
      <c r="AO37" s="181">
        <f t="shared" ref="AO37" si="108">AI37/AM37*1000</f>
        <v>12436.818243211916</v>
      </c>
      <c r="AP37" s="47">
        <f t="shared" ref="AP37" si="109">(AO37/AO36-1)*100</f>
        <v>-0.60199758981581697</v>
      </c>
      <c r="AQ37" s="50">
        <f t="shared" ref="AQ37" si="110">ROUND((AK37/AM37*1000),0)</f>
        <v>12399</v>
      </c>
      <c r="AR37" s="47">
        <f t="shared" ref="AR37" si="111">(AQ37/AQ36-1)*100</f>
        <v>-2.981220657276995</v>
      </c>
      <c r="AS37" s="547">
        <f>AK37/AM37*1000</f>
        <v>12399.295370991944</v>
      </c>
      <c r="AT37" s="86">
        <f t="shared" ref="AT37" si="112">AS37/AS36-1</f>
        <v>-2.6159002365470196E-2</v>
      </c>
      <c r="AU37" s="86">
        <f>AS37/AS36-1</f>
        <v>-2.6159002365470196E-2</v>
      </c>
      <c r="AW37" s="230">
        <f>'[8]RES 62 &amp; 67'!$S122</f>
        <v>397.7</v>
      </c>
      <c r="AX37" s="200">
        <f t="shared" si="58"/>
        <v>428.3</v>
      </c>
      <c r="AY37" s="203">
        <f t="shared" si="51"/>
        <v>30.600000000000023</v>
      </c>
      <c r="AZ37" s="230">
        <f>'[8]RES 62 &amp; 67'!$J122</f>
        <v>0.2</v>
      </c>
      <c r="BA37" s="183">
        <f t="shared" si="59"/>
        <v>0</v>
      </c>
      <c r="BB37" s="429">
        <f t="shared" si="29"/>
        <v>-0.2</v>
      </c>
      <c r="BC37" s="206">
        <f t="shared" si="30"/>
        <v>66.09600000000006</v>
      </c>
      <c r="BD37" s="206">
        <f t="shared" si="31"/>
        <v>0</v>
      </c>
      <c r="BE37" s="206">
        <f t="shared" si="32"/>
        <v>66.09600000000006</v>
      </c>
      <c r="BF37" s="207">
        <f t="shared" si="33"/>
        <v>-0.54200000000000004</v>
      </c>
      <c r="BG37" s="219">
        <f t="shared" si="34"/>
        <v>65.599999999999994</v>
      </c>
      <c r="BH37" s="4">
        <f t="shared" si="14"/>
        <v>-2.6159002365470196E-2</v>
      </c>
      <c r="BI37" s="4">
        <f t="shared" si="15"/>
        <v>0</v>
      </c>
      <c r="CF37" s="23">
        <f>CF35-BZ35</f>
        <v>-234665</v>
      </c>
    </row>
    <row r="38" spans="1:103">
      <c r="A38" s="13">
        <v>1985</v>
      </c>
      <c r="B38" s="13">
        <v>10</v>
      </c>
      <c r="C38" s="5">
        <v>779446</v>
      </c>
      <c r="D38" s="73">
        <v>838323</v>
      </c>
      <c r="E38" s="4">
        <f t="shared" si="16"/>
        <v>779446</v>
      </c>
      <c r="F38" s="4">
        <f t="shared" si="17"/>
        <v>838323</v>
      </c>
      <c r="G38" s="79">
        <f t="shared" si="18"/>
        <v>929.8</v>
      </c>
      <c r="H38" s="13"/>
      <c r="I38" s="13"/>
      <c r="J38" s="230">
        <f>'[7]RES 62 &amp; 67'!$S123</f>
        <v>378.6</v>
      </c>
      <c r="K38" s="183">
        <f t="shared" si="52"/>
        <v>373.2</v>
      </c>
      <c r="L38" s="233">
        <f t="shared" si="66"/>
        <v>-5.4000000000000341</v>
      </c>
      <c r="M38" s="230">
        <f>'[7]RES 62 &amp; 67'!$J123</f>
        <v>0.7</v>
      </c>
      <c r="N38" s="183">
        <f t="shared" si="53"/>
        <v>1.3</v>
      </c>
      <c r="O38" s="236">
        <f t="shared" si="67"/>
        <v>0.60000000000000009</v>
      </c>
      <c r="P38" s="206">
        <f t="shared" si="19"/>
        <v>-11.664000000000074</v>
      </c>
      <c r="Q38" s="208">
        <f t="shared" si="20"/>
        <v>0</v>
      </c>
      <c r="R38" s="467">
        <f t="shared" si="21"/>
        <v>-11.664000000000074</v>
      </c>
      <c r="S38" s="470">
        <f t="shared" si="22"/>
        <v>1.6260000000000001</v>
      </c>
      <c r="T38" s="425">
        <f t="shared" si="23"/>
        <v>-10</v>
      </c>
      <c r="U38" s="515">
        <f t="shared" si="24"/>
        <v>838323</v>
      </c>
      <c r="V38" s="447">
        <v>31321</v>
      </c>
      <c r="W38" s="191">
        <f t="shared" si="8"/>
        <v>919.8</v>
      </c>
      <c r="X38" s="73">
        <f t="shared" si="9"/>
        <v>771089</v>
      </c>
      <c r="Y38" s="186">
        <v>0</v>
      </c>
      <c r="Z38" s="175">
        <f t="shared" si="25"/>
        <v>771089</v>
      </c>
      <c r="AA38" s="40">
        <f t="shared" si="10"/>
        <v>-8357</v>
      </c>
      <c r="AB38" s="379">
        <f t="shared" si="26"/>
        <v>771089</v>
      </c>
      <c r="AC38" s="81">
        <f>'[7]Gov 65 &amp; 70'!$B123</f>
        <v>29.7</v>
      </c>
      <c r="AD38" s="4">
        <f t="shared" si="11"/>
        <v>789782</v>
      </c>
      <c r="AE38" s="4">
        <f t="shared" si="54"/>
        <v>13856</v>
      </c>
      <c r="AF38" s="23">
        <f t="shared" si="12"/>
        <v>942.1</v>
      </c>
      <c r="AG38" s="75">
        <f t="shared" si="55"/>
        <v>-21.100000000000023</v>
      </c>
      <c r="AH38" s="227">
        <v>2014</v>
      </c>
      <c r="AI38" s="132"/>
      <c r="AK38" s="567"/>
      <c r="AL38" s="23"/>
      <c r="AM38" s="567"/>
      <c r="AN38" s="23"/>
      <c r="AO38" s="132"/>
      <c r="AP38" s="23"/>
      <c r="AQ38" s="132"/>
      <c r="AS38" s="108"/>
      <c r="AU38" s="86"/>
      <c r="AW38" s="230">
        <f>'[8]RES 62 &amp; 67'!$S123</f>
        <v>379.4</v>
      </c>
      <c r="AX38" s="200">
        <f t="shared" si="58"/>
        <v>277.60000000000002</v>
      </c>
      <c r="AY38" s="203">
        <f t="shared" si="51"/>
        <v>-101.79999999999995</v>
      </c>
      <c r="AZ38" s="230">
        <f>'[8]RES 62 &amp; 67'!$J123</f>
        <v>0.9</v>
      </c>
      <c r="BA38" s="183">
        <f t="shared" si="59"/>
        <v>8.5</v>
      </c>
      <c r="BB38" s="429">
        <f t="shared" si="29"/>
        <v>7.6</v>
      </c>
      <c r="BC38" s="206">
        <f t="shared" si="30"/>
        <v>-219.88799999999992</v>
      </c>
      <c r="BD38" s="206">
        <f t="shared" si="31"/>
        <v>0</v>
      </c>
      <c r="BE38" s="206">
        <f t="shared" si="32"/>
        <v>-219.88799999999992</v>
      </c>
      <c r="BF38" s="207">
        <f t="shared" si="33"/>
        <v>20.596</v>
      </c>
      <c r="BG38" s="219">
        <f t="shared" si="34"/>
        <v>-199.3</v>
      </c>
      <c r="BH38" s="4">
        <f t="shared" si="14"/>
        <v>0</v>
      </c>
      <c r="BI38" s="4">
        <f t="shared" si="15"/>
        <v>0</v>
      </c>
      <c r="CE38" s="23"/>
      <c r="CF38" s="23">
        <f>CF36-BZ36</f>
        <v>123554</v>
      </c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</row>
    <row r="39" spans="1:103">
      <c r="A39" s="13">
        <v>1985</v>
      </c>
      <c r="B39" s="13">
        <v>11</v>
      </c>
      <c r="C39" s="5">
        <v>721207</v>
      </c>
      <c r="D39" s="73">
        <v>850470</v>
      </c>
      <c r="E39" s="4">
        <f t="shared" si="16"/>
        <v>721207</v>
      </c>
      <c r="F39" s="4">
        <f t="shared" si="17"/>
        <v>850470</v>
      </c>
      <c r="G39" s="79">
        <f t="shared" si="18"/>
        <v>848</v>
      </c>
      <c r="H39" s="13"/>
      <c r="I39" s="13"/>
      <c r="J39" s="230">
        <f>'[7]RES 62 &amp; 67'!$S124</f>
        <v>311.5</v>
      </c>
      <c r="K39" s="183">
        <f t="shared" si="52"/>
        <v>204.3</v>
      </c>
      <c r="L39" s="233">
        <f t="shared" si="66"/>
        <v>-107.19999999999999</v>
      </c>
      <c r="M39" s="230">
        <f>'[7]RES 62 &amp; 67'!$J124</f>
        <v>8.6999999999999993</v>
      </c>
      <c r="N39" s="183">
        <f t="shared" si="53"/>
        <v>24.1</v>
      </c>
      <c r="O39" s="236">
        <f t="shared" si="67"/>
        <v>15.400000000000002</v>
      </c>
      <c r="P39" s="206">
        <f t="shared" si="19"/>
        <v>-231.55199999999999</v>
      </c>
      <c r="Q39" s="208">
        <f t="shared" si="20"/>
        <v>0</v>
      </c>
      <c r="R39" s="467">
        <f t="shared" si="21"/>
        <v>-231.55199999999999</v>
      </c>
      <c r="S39" s="470">
        <f t="shared" si="22"/>
        <v>41.734000000000002</v>
      </c>
      <c r="T39" s="425">
        <f t="shared" si="23"/>
        <v>-189.8</v>
      </c>
      <c r="U39" s="515">
        <f t="shared" si="24"/>
        <v>850470</v>
      </c>
      <c r="V39" s="447">
        <v>31352</v>
      </c>
      <c r="W39" s="191">
        <f t="shared" si="8"/>
        <v>658.2</v>
      </c>
      <c r="X39" s="73">
        <f t="shared" si="9"/>
        <v>559779</v>
      </c>
      <c r="Y39" s="186">
        <v>0</v>
      </c>
      <c r="Z39" s="175">
        <f t="shared" si="25"/>
        <v>559779</v>
      </c>
      <c r="AA39" s="40">
        <f t="shared" si="10"/>
        <v>-161428</v>
      </c>
      <c r="AB39" s="379">
        <f t="shared" si="26"/>
        <v>559779</v>
      </c>
      <c r="AC39" s="81">
        <f>'[7]Gov 65 &amp; 70'!$B124</f>
        <v>29.95</v>
      </c>
      <c r="AD39" s="4">
        <f t="shared" si="11"/>
        <v>568564</v>
      </c>
      <c r="AE39" s="4">
        <f t="shared" si="54"/>
        <v>26437</v>
      </c>
      <c r="AF39" s="23">
        <f t="shared" si="12"/>
        <v>668.5</v>
      </c>
      <c r="AG39" s="75">
        <f t="shared" si="55"/>
        <v>6</v>
      </c>
      <c r="AH39" s="227">
        <v>2015</v>
      </c>
      <c r="AK39" s="567"/>
      <c r="AL39" s="23"/>
      <c r="AM39" s="567"/>
      <c r="AS39" s="108"/>
      <c r="AU39" s="86"/>
      <c r="AW39" s="230">
        <f>'[8]RES 62 &amp; 67'!$S124</f>
        <v>225.4</v>
      </c>
      <c r="AX39" s="200">
        <f t="shared" si="58"/>
        <v>110.2</v>
      </c>
      <c r="AY39" s="203">
        <f t="shared" si="51"/>
        <v>-115.2</v>
      </c>
      <c r="AZ39" s="230">
        <f>'[8]RES 62 &amp; 67'!$J124</f>
        <v>14.5</v>
      </c>
      <c r="BA39" s="183">
        <f t="shared" si="59"/>
        <v>45.3</v>
      </c>
      <c r="BB39" s="429">
        <f t="shared" si="29"/>
        <v>30.799999999999997</v>
      </c>
      <c r="BC39" s="206">
        <f t="shared" si="30"/>
        <v>-248.83200000000002</v>
      </c>
      <c r="BD39" s="206">
        <f t="shared" si="31"/>
        <v>35.136000000000003</v>
      </c>
      <c r="BE39" s="206">
        <f t="shared" si="32"/>
        <v>-213.69600000000003</v>
      </c>
      <c r="BF39" s="207">
        <f t="shared" si="33"/>
        <v>83.467999999999989</v>
      </c>
      <c r="BG39" s="219">
        <f t="shared" si="34"/>
        <v>-130.19999999999999</v>
      </c>
      <c r="BH39" s="4">
        <f t="shared" si="14"/>
        <v>0</v>
      </c>
      <c r="BI39" s="4">
        <f t="shared" si="15"/>
        <v>0</v>
      </c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</row>
    <row r="40" spans="1:103" s="23" customFormat="1" ht="12.75">
      <c r="A40" s="90">
        <v>1985</v>
      </c>
      <c r="B40" s="90">
        <v>12</v>
      </c>
      <c r="C40" s="103">
        <v>665734</v>
      </c>
      <c r="D40" s="104">
        <v>862852</v>
      </c>
      <c r="E40" s="89">
        <f t="shared" si="16"/>
        <v>665734</v>
      </c>
      <c r="F40" s="89">
        <f t="shared" si="17"/>
        <v>862852</v>
      </c>
      <c r="G40" s="301">
        <f t="shared" si="18"/>
        <v>771.6</v>
      </c>
      <c r="H40" s="90"/>
      <c r="I40" s="90"/>
      <c r="J40" s="300">
        <f>'[7]RES 62 &amp; 67'!$S125</f>
        <v>203</v>
      </c>
      <c r="K40" s="210">
        <f t="shared" si="52"/>
        <v>88</v>
      </c>
      <c r="L40" s="234">
        <f t="shared" si="66"/>
        <v>-115</v>
      </c>
      <c r="M40" s="300">
        <f>'[7]RES 62 &amp; 67'!$J125</f>
        <v>43.8</v>
      </c>
      <c r="N40" s="210">
        <f t="shared" si="53"/>
        <v>83.9</v>
      </c>
      <c r="O40" s="237">
        <f t="shared" si="67"/>
        <v>40.100000000000009</v>
      </c>
      <c r="P40" s="211">
        <f t="shared" si="19"/>
        <v>-248.4</v>
      </c>
      <c r="Q40" s="211">
        <f t="shared" si="20"/>
        <v>70.149999999999991</v>
      </c>
      <c r="R40" s="468">
        <f t="shared" si="21"/>
        <v>-178.25</v>
      </c>
      <c r="S40" s="471">
        <f t="shared" si="22"/>
        <v>108.67100000000002</v>
      </c>
      <c r="T40" s="426">
        <f t="shared" si="23"/>
        <v>-69.599999999999994</v>
      </c>
      <c r="U40" s="515">
        <f t="shared" si="24"/>
        <v>862852</v>
      </c>
      <c r="V40" s="447">
        <v>31382</v>
      </c>
      <c r="W40" s="95">
        <f t="shared" si="8"/>
        <v>702</v>
      </c>
      <c r="X40" s="104">
        <f t="shared" si="9"/>
        <v>605722</v>
      </c>
      <c r="Y40" s="302">
        <v>0</v>
      </c>
      <c r="Z40" s="176">
        <f t="shared" si="25"/>
        <v>605722</v>
      </c>
      <c r="AA40" s="116">
        <f t="shared" si="10"/>
        <v>-60012</v>
      </c>
      <c r="AB40" s="517">
        <f t="shared" si="26"/>
        <v>605722</v>
      </c>
      <c r="AC40" s="88">
        <f>'[7]Gov 65 &amp; 70'!$B125</f>
        <v>31.65</v>
      </c>
      <c r="AD40" s="89">
        <f t="shared" si="11"/>
        <v>582182</v>
      </c>
      <c r="AE40" s="89">
        <f t="shared" si="54"/>
        <v>-52263</v>
      </c>
      <c r="AF40" s="89">
        <f t="shared" si="12"/>
        <v>674.7</v>
      </c>
      <c r="AG40" s="91">
        <f t="shared" si="55"/>
        <v>-90.199999999999932</v>
      </c>
      <c r="AH40" s="227">
        <v>2016</v>
      </c>
      <c r="AI40" s="89"/>
      <c r="AJ40" s="4"/>
      <c r="AK40" s="567"/>
      <c r="AM40" s="567"/>
      <c r="AN40" s="323"/>
      <c r="AO40" s="89"/>
      <c r="AP40" s="89"/>
      <c r="AQ40" s="89"/>
      <c r="AR40" s="89"/>
      <c r="AS40" s="108"/>
      <c r="AT40" s="4"/>
      <c r="AU40" s="86"/>
      <c r="AV40" s="89"/>
      <c r="AW40" s="300">
        <f>'[8]RES 62 &amp; 67'!$S125</f>
        <v>54.2</v>
      </c>
      <c r="AX40" s="210">
        <f t="shared" si="58"/>
        <v>53.2</v>
      </c>
      <c r="AY40" s="204">
        <f t="shared" si="51"/>
        <v>-1</v>
      </c>
      <c r="AZ40" s="300">
        <f>'[8]RES 62 &amp; 67'!$J125</f>
        <v>197.1</v>
      </c>
      <c r="BA40" s="210">
        <f t="shared" si="59"/>
        <v>114.1</v>
      </c>
      <c r="BB40" s="430">
        <f t="shared" si="29"/>
        <v>-83</v>
      </c>
      <c r="BC40" s="211">
        <f t="shared" si="30"/>
        <v>-2.16</v>
      </c>
      <c r="BD40" s="211">
        <f t="shared" si="31"/>
        <v>0.61</v>
      </c>
      <c r="BE40" s="211">
        <f t="shared" si="32"/>
        <v>-1.5500000000000003</v>
      </c>
      <c r="BF40" s="212">
        <f t="shared" si="33"/>
        <v>-224.93</v>
      </c>
      <c r="BG40" s="220">
        <f t="shared" si="34"/>
        <v>-226.5</v>
      </c>
      <c r="BH40" s="89">
        <f t="shared" si="14"/>
        <v>0</v>
      </c>
      <c r="BI40" s="89">
        <f t="shared" si="15"/>
        <v>0</v>
      </c>
      <c r="BJ40" s="89"/>
      <c r="BK40" s="89"/>
      <c r="BL40" s="89"/>
      <c r="BM40" s="89"/>
      <c r="BN40" s="96"/>
      <c r="BO40" s="96"/>
      <c r="BP40" s="89"/>
      <c r="BQ40" s="89"/>
      <c r="BR40" s="89"/>
      <c r="BS40" s="89"/>
      <c r="BT40" s="96"/>
      <c r="BU40" s="89"/>
      <c r="BV40" s="89"/>
      <c r="BW40" s="89"/>
      <c r="BX40" s="89"/>
    </row>
    <row r="41" spans="1:103">
      <c r="A41" s="13">
        <v>1986</v>
      </c>
      <c r="B41" s="13">
        <v>1</v>
      </c>
      <c r="C41" s="5">
        <v>953553</v>
      </c>
      <c r="D41" s="73">
        <v>871218</v>
      </c>
      <c r="E41" s="4">
        <f t="shared" si="16"/>
        <v>953553</v>
      </c>
      <c r="F41" s="4">
        <f t="shared" si="17"/>
        <v>871218</v>
      </c>
      <c r="G41" s="79">
        <f t="shared" si="18"/>
        <v>1094.5</v>
      </c>
      <c r="H41" s="13"/>
      <c r="I41" s="13"/>
      <c r="J41" s="230">
        <f>'[7]RES 62 &amp; 67'!$S126</f>
        <v>42.3</v>
      </c>
      <c r="K41" s="183">
        <f t="shared" si="52"/>
        <v>49.5</v>
      </c>
      <c r="L41" s="233">
        <f t="shared" si="66"/>
        <v>7.2000000000000028</v>
      </c>
      <c r="M41" s="230">
        <f>'[7]RES 62 &amp; 67'!$J126</f>
        <v>198.9</v>
      </c>
      <c r="N41" s="183">
        <f t="shared" si="53"/>
        <v>131.6</v>
      </c>
      <c r="O41" s="236">
        <f t="shared" si="67"/>
        <v>-67.300000000000011</v>
      </c>
      <c r="P41" s="206">
        <f t="shared" si="19"/>
        <v>15.552000000000007</v>
      </c>
      <c r="Q41" s="208">
        <f t="shared" si="20"/>
        <v>-4.3920000000000012</v>
      </c>
      <c r="R41" s="467">
        <f t="shared" si="21"/>
        <v>11.160000000000005</v>
      </c>
      <c r="S41" s="470">
        <f t="shared" si="22"/>
        <v>-182.38300000000004</v>
      </c>
      <c r="T41" s="425">
        <f t="shared" si="23"/>
        <v>-171.2</v>
      </c>
      <c r="U41" s="515">
        <f t="shared" si="24"/>
        <v>871218</v>
      </c>
      <c r="V41" s="447">
        <v>31413</v>
      </c>
      <c r="W41" s="191">
        <f t="shared" si="8"/>
        <v>923.3</v>
      </c>
      <c r="X41" s="73">
        <f t="shared" si="9"/>
        <v>804396</v>
      </c>
      <c r="Y41" s="186">
        <v>0</v>
      </c>
      <c r="Z41" s="175">
        <f t="shared" si="25"/>
        <v>804396</v>
      </c>
      <c r="AA41" s="40">
        <f t="shared" si="10"/>
        <v>-149157</v>
      </c>
      <c r="AB41" s="379">
        <f t="shared" si="26"/>
        <v>804396</v>
      </c>
      <c r="AC41" s="81">
        <f>'[7]Gov 65 &amp; 70'!$B126</f>
        <v>31.95</v>
      </c>
      <c r="AD41" s="4">
        <f t="shared" si="11"/>
        <v>765876</v>
      </c>
      <c r="AE41" s="4">
        <f t="shared" si="54"/>
        <v>91628</v>
      </c>
      <c r="AF41" s="23">
        <f t="shared" si="12"/>
        <v>879.1</v>
      </c>
      <c r="AG41" s="75">
        <f t="shared" si="55"/>
        <v>73</v>
      </c>
      <c r="AH41" s="227">
        <v>2017</v>
      </c>
      <c r="AK41" s="567"/>
      <c r="AL41" s="23"/>
      <c r="AM41" s="567"/>
      <c r="AR41" s="69"/>
      <c r="AS41" s="108"/>
      <c r="AU41" s="86"/>
      <c r="AW41" s="230">
        <f>'[8]RES 62 &amp; 67'!$S126</f>
        <v>34</v>
      </c>
      <c r="AX41" s="200">
        <f t="shared" si="58"/>
        <v>50.5</v>
      </c>
      <c r="AY41" s="203">
        <f t="shared" si="51"/>
        <v>16.5</v>
      </c>
      <c r="AZ41" s="230">
        <f>'[8]RES 62 &amp; 67'!$J126</f>
        <v>161.5</v>
      </c>
      <c r="BA41" s="183">
        <f t="shared" si="59"/>
        <v>127.9</v>
      </c>
      <c r="BB41" s="429">
        <f t="shared" si="29"/>
        <v>-33.599999999999994</v>
      </c>
      <c r="BC41" s="206">
        <f t="shared" si="30"/>
        <v>35.64</v>
      </c>
      <c r="BD41" s="206">
        <f t="shared" si="31"/>
        <v>-10.065</v>
      </c>
      <c r="BE41" s="206">
        <f t="shared" si="32"/>
        <v>25.575000000000003</v>
      </c>
      <c r="BF41" s="207">
        <f t="shared" si="33"/>
        <v>-91.055999999999983</v>
      </c>
      <c r="BG41" s="219">
        <f t="shared" si="34"/>
        <v>-65.5</v>
      </c>
      <c r="BH41" s="4">
        <f t="shared" si="14"/>
        <v>0</v>
      </c>
      <c r="BI41" s="4">
        <f t="shared" si="15"/>
        <v>0</v>
      </c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</row>
    <row r="42" spans="1:103">
      <c r="A42" s="13">
        <v>1986</v>
      </c>
      <c r="B42" s="13">
        <v>2</v>
      </c>
      <c r="C42" s="5">
        <v>806793</v>
      </c>
      <c r="D42" s="73">
        <v>876985</v>
      </c>
      <c r="E42" s="4">
        <f t="shared" si="16"/>
        <v>806793</v>
      </c>
      <c r="F42" s="4">
        <f t="shared" si="17"/>
        <v>876985</v>
      </c>
      <c r="G42" s="79">
        <f t="shared" si="18"/>
        <v>920</v>
      </c>
      <c r="H42" s="13"/>
      <c r="I42" s="13"/>
      <c r="J42" s="230">
        <f>'[7]RES 62 &amp; 67'!$S127</f>
        <v>45</v>
      </c>
      <c r="K42" s="183">
        <f t="shared" si="52"/>
        <v>43.3</v>
      </c>
      <c r="L42" s="233">
        <f t="shared" si="66"/>
        <v>-1.7000000000000028</v>
      </c>
      <c r="M42" s="230">
        <f>'[7]RES 62 &amp; 67'!$J127</f>
        <v>145.19999999999999</v>
      </c>
      <c r="N42" s="183">
        <f t="shared" si="53"/>
        <v>127.9</v>
      </c>
      <c r="O42" s="236">
        <f t="shared" si="67"/>
        <v>-17.299999999999983</v>
      </c>
      <c r="P42" s="206">
        <f t="shared" si="19"/>
        <v>-3.6720000000000064</v>
      </c>
      <c r="Q42" s="208">
        <f t="shared" si="20"/>
        <v>1.0370000000000017</v>
      </c>
      <c r="R42" s="467">
        <f t="shared" si="21"/>
        <v>-2.6350000000000047</v>
      </c>
      <c r="S42" s="470">
        <f t="shared" si="22"/>
        <v>-46.882999999999953</v>
      </c>
      <c r="T42" s="425">
        <f t="shared" si="23"/>
        <v>-49.5</v>
      </c>
      <c r="U42" s="515">
        <f t="shared" si="24"/>
        <v>876985</v>
      </c>
      <c r="V42" s="447">
        <v>31444</v>
      </c>
      <c r="W42" s="191">
        <f t="shared" si="8"/>
        <v>870.5</v>
      </c>
      <c r="X42" s="73">
        <f t="shared" si="9"/>
        <v>763415</v>
      </c>
      <c r="Y42" s="186">
        <v>0</v>
      </c>
      <c r="Z42" s="175">
        <f t="shared" si="25"/>
        <v>763415</v>
      </c>
      <c r="AA42" s="40">
        <f t="shared" si="10"/>
        <v>-43378</v>
      </c>
      <c r="AB42" s="379">
        <f t="shared" si="26"/>
        <v>763415</v>
      </c>
      <c r="AC42" s="81">
        <f>'[7]Gov 65 &amp; 70'!$B127</f>
        <v>29.65</v>
      </c>
      <c r="AD42" s="4">
        <f t="shared" si="11"/>
        <v>783241</v>
      </c>
      <c r="AE42" s="4">
        <f t="shared" si="54"/>
        <v>107065</v>
      </c>
      <c r="AF42" s="23">
        <f t="shared" si="12"/>
        <v>893.1</v>
      </c>
      <c r="AG42" s="75">
        <f t="shared" si="55"/>
        <v>89.5</v>
      </c>
      <c r="AH42" s="227">
        <v>2018</v>
      </c>
      <c r="AK42" s="567"/>
      <c r="AM42" s="567"/>
      <c r="AQ42" s="86"/>
      <c r="AS42" s="108"/>
      <c r="AU42" s="86"/>
      <c r="AW42" s="230">
        <f>'[8]RES 62 &amp; 67'!$S127</f>
        <v>70.3</v>
      </c>
      <c r="AX42" s="200">
        <f t="shared" si="58"/>
        <v>59.2</v>
      </c>
      <c r="AY42" s="203">
        <f t="shared" si="51"/>
        <v>-11.099999999999994</v>
      </c>
      <c r="AZ42" s="230">
        <f>'[8]RES 62 &amp; 67'!$J127</f>
        <v>79.400000000000006</v>
      </c>
      <c r="BA42" s="183">
        <f t="shared" si="59"/>
        <v>97.8</v>
      </c>
      <c r="BB42" s="429">
        <f t="shared" si="29"/>
        <v>18.399999999999991</v>
      </c>
      <c r="BC42" s="206">
        <f t="shared" si="30"/>
        <v>-23.975999999999988</v>
      </c>
      <c r="BD42" s="206">
        <f t="shared" si="31"/>
        <v>6.7709999999999964</v>
      </c>
      <c r="BE42" s="206">
        <f t="shared" si="32"/>
        <v>-17.204999999999991</v>
      </c>
      <c r="BF42" s="207">
        <f t="shared" si="33"/>
        <v>49.863999999999976</v>
      </c>
      <c r="BG42" s="219">
        <f t="shared" si="34"/>
        <v>32.700000000000003</v>
      </c>
      <c r="BH42" s="4">
        <f t="shared" si="14"/>
        <v>0</v>
      </c>
      <c r="BI42" s="4">
        <f t="shared" si="15"/>
        <v>0</v>
      </c>
    </row>
    <row r="43" spans="1:103">
      <c r="A43" s="13">
        <v>1986</v>
      </c>
      <c r="B43" s="13">
        <v>3</v>
      </c>
      <c r="C43" s="5">
        <v>706325</v>
      </c>
      <c r="D43" s="73">
        <v>879528</v>
      </c>
      <c r="E43" s="4">
        <f t="shared" si="16"/>
        <v>706325</v>
      </c>
      <c r="F43" s="4">
        <f t="shared" si="17"/>
        <v>879528</v>
      </c>
      <c r="G43" s="79">
        <f t="shared" si="18"/>
        <v>803.1</v>
      </c>
      <c r="H43" s="13"/>
      <c r="I43" s="13"/>
      <c r="J43" s="230">
        <f>'[7]RES 62 &amp; 67'!$S128</f>
        <v>73.599999999999994</v>
      </c>
      <c r="K43" s="183">
        <f t="shared" si="52"/>
        <v>77.2</v>
      </c>
      <c r="L43" s="233">
        <f t="shared" si="66"/>
        <v>3.6000000000000085</v>
      </c>
      <c r="M43" s="230">
        <f>'[7]RES 62 &amp; 67'!$J128</f>
        <v>106.3</v>
      </c>
      <c r="N43" s="183">
        <f t="shared" si="53"/>
        <v>82.3</v>
      </c>
      <c r="O43" s="236">
        <f t="shared" si="67"/>
        <v>-24</v>
      </c>
      <c r="P43" s="206">
        <f t="shared" si="19"/>
        <v>7.7760000000000193</v>
      </c>
      <c r="Q43" s="208">
        <f t="shared" si="20"/>
        <v>-2.1960000000000051</v>
      </c>
      <c r="R43" s="467">
        <f t="shared" si="21"/>
        <v>5.5800000000000143</v>
      </c>
      <c r="S43" s="470">
        <f t="shared" si="22"/>
        <v>-65.039999999999992</v>
      </c>
      <c r="T43" s="425">
        <f t="shared" si="23"/>
        <v>-59.5</v>
      </c>
      <c r="U43" s="515">
        <f t="shared" si="24"/>
        <v>879528</v>
      </c>
      <c r="V43" s="447">
        <v>31472</v>
      </c>
      <c r="W43" s="191">
        <f t="shared" si="8"/>
        <v>743.6</v>
      </c>
      <c r="X43" s="73">
        <f t="shared" si="9"/>
        <v>654017</v>
      </c>
      <c r="Y43" s="186">
        <v>0</v>
      </c>
      <c r="Z43" s="175">
        <f t="shared" si="25"/>
        <v>654017</v>
      </c>
      <c r="AA43" s="40">
        <f t="shared" si="10"/>
        <v>-52308</v>
      </c>
      <c r="AB43" s="379">
        <f t="shared" si="26"/>
        <v>654017</v>
      </c>
      <c r="AC43" s="81">
        <f>'[7]Gov 65 &amp; 70'!$B128</f>
        <v>29.4</v>
      </c>
      <c r="AD43" s="4">
        <f t="shared" si="11"/>
        <v>676707</v>
      </c>
      <c r="AE43" s="4">
        <f t="shared" si="54"/>
        <v>37262</v>
      </c>
      <c r="AF43" s="23">
        <f t="shared" si="12"/>
        <v>769.4</v>
      </c>
      <c r="AG43" s="75">
        <f t="shared" si="55"/>
        <v>12.399999999999977</v>
      </c>
      <c r="AM43" s="15"/>
      <c r="AQ43" s="86"/>
      <c r="AU43" s="86"/>
      <c r="AW43" s="230">
        <f>'[8]RES 62 &amp; 67'!$S128</f>
        <v>106</v>
      </c>
      <c r="AX43" s="200">
        <f t="shared" si="58"/>
        <v>105.8</v>
      </c>
      <c r="AY43" s="203">
        <f t="shared" si="51"/>
        <v>-0.20000000000000284</v>
      </c>
      <c r="AZ43" s="230">
        <f>'[8]RES 62 &amp; 67'!$J128</f>
        <v>94.6</v>
      </c>
      <c r="BA43" s="183">
        <f t="shared" si="59"/>
        <v>49.9</v>
      </c>
      <c r="BB43" s="429">
        <f t="shared" si="29"/>
        <v>-44.699999999999996</v>
      </c>
      <c r="BC43" s="206">
        <f t="shared" si="30"/>
        <v>-0.43200000000000616</v>
      </c>
      <c r="BD43" s="206">
        <f t="shared" si="31"/>
        <v>0.12200000000000173</v>
      </c>
      <c r="BE43" s="206">
        <f t="shared" si="32"/>
        <v>-0.31000000000000444</v>
      </c>
      <c r="BF43" s="207">
        <f t="shared" si="33"/>
        <v>-121.13699999999999</v>
      </c>
      <c r="BG43" s="219">
        <f t="shared" si="34"/>
        <v>-121.4</v>
      </c>
      <c r="BH43" s="4">
        <f t="shared" si="14"/>
        <v>0</v>
      </c>
      <c r="BI43" s="4">
        <f t="shared" si="15"/>
        <v>0</v>
      </c>
    </row>
    <row r="44" spans="1:103">
      <c r="A44" s="13">
        <v>1986</v>
      </c>
      <c r="B44" s="13">
        <v>4</v>
      </c>
      <c r="C44" s="5">
        <v>639066</v>
      </c>
      <c r="D44" s="73">
        <v>874896</v>
      </c>
      <c r="E44" s="4">
        <f t="shared" si="16"/>
        <v>639066</v>
      </c>
      <c r="F44" s="4">
        <f t="shared" si="17"/>
        <v>874896</v>
      </c>
      <c r="G44" s="79">
        <f t="shared" si="18"/>
        <v>730.4</v>
      </c>
      <c r="H44" s="13"/>
      <c r="I44" s="13"/>
      <c r="J44" s="230">
        <f>'[7]RES 62 &amp; 67'!$S129</f>
        <v>128.4</v>
      </c>
      <c r="K44" s="183">
        <f t="shared" si="52"/>
        <v>138.1</v>
      </c>
      <c r="L44" s="233">
        <f t="shared" si="66"/>
        <v>9.6999999999999886</v>
      </c>
      <c r="M44" s="230">
        <f>'[7]RES 62 &amp; 67'!$J129</f>
        <v>54.4</v>
      </c>
      <c r="N44" s="183">
        <f t="shared" si="53"/>
        <v>37.299999999999997</v>
      </c>
      <c r="O44" s="236">
        <f t="shared" si="67"/>
        <v>-17.100000000000001</v>
      </c>
      <c r="P44" s="206">
        <f t="shared" si="19"/>
        <v>20.951999999999977</v>
      </c>
      <c r="Q44" s="208">
        <f t="shared" si="20"/>
        <v>-5.9169999999999927</v>
      </c>
      <c r="R44" s="467">
        <f t="shared" si="21"/>
        <v>15.034999999999984</v>
      </c>
      <c r="S44" s="470">
        <f t="shared" si="22"/>
        <v>-46.341000000000001</v>
      </c>
      <c r="T44" s="425">
        <f t="shared" si="23"/>
        <v>-31.3</v>
      </c>
      <c r="U44" s="515">
        <f t="shared" si="24"/>
        <v>874896</v>
      </c>
      <c r="V44" s="447">
        <v>31503</v>
      </c>
      <c r="W44" s="191">
        <f t="shared" si="8"/>
        <v>699.1</v>
      </c>
      <c r="X44" s="73">
        <f t="shared" si="9"/>
        <v>611640</v>
      </c>
      <c r="Y44" s="186">
        <v>0</v>
      </c>
      <c r="Z44" s="175">
        <f t="shared" si="25"/>
        <v>611640</v>
      </c>
      <c r="AA44" s="40">
        <f t="shared" si="10"/>
        <v>-27426</v>
      </c>
      <c r="AB44" s="379">
        <f t="shared" si="26"/>
        <v>611640</v>
      </c>
      <c r="AC44" s="81">
        <f>'[7]Gov 65 &amp; 70'!$B129</f>
        <v>30.75</v>
      </c>
      <c r="AD44" s="4">
        <f t="shared" si="11"/>
        <v>605076</v>
      </c>
      <c r="AE44" s="4">
        <f t="shared" si="54"/>
        <v>28569</v>
      </c>
      <c r="AF44" s="23">
        <f t="shared" si="12"/>
        <v>691.6</v>
      </c>
      <c r="AG44" s="75">
        <f t="shared" si="55"/>
        <v>6.5</v>
      </c>
      <c r="AM44" s="15"/>
      <c r="AQ44" s="86"/>
      <c r="AR44" s="361" t="s">
        <v>324</v>
      </c>
      <c r="AS44" s="86">
        <f>(AS31/AS16)^(1/15)-1</f>
        <v>7.0492602162428586E-3</v>
      </c>
      <c r="AW44" s="230">
        <f>'[8]RES 62 &amp; 67'!$S129</f>
        <v>147.9</v>
      </c>
      <c r="AX44" s="200">
        <f t="shared" si="58"/>
        <v>181.7</v>
      </c>
      <c r="AY44" s="203">
        <f t="shared" si="51"/>
        <v>33.799999999999983</v>
      </c>
      <c r="AZ44" s="230">
        <f>'[8]RES 62 &amp; 67'!$J129</f>
        <v>31.5</v>
      </c>
      <c r="BA44" s="183">
        <f t="shared" si="59"/>
        <v>21.5</v>
      </c>
      <c r="BB44" s="429">
        <f t="shared" si="29"/>
        <v>-10</v>
      </c>
      <c r="BC44" s="206">
        <f t="shared" si="30"/>
        <v>73.007999999999967</v>
      </c>
      <c r="BD44" s="206">
        <f t="shared" si="31"/>
        <v>-10.308999999999994</v>
      </c>
      <c r="BE44" s="206">
        <f t="shared" si="32"/>
        <v>62.69899999999997</v>
      </c>
      <c r="BF44" s="207">
        <f t="shared" si="33"/>
        <v>-27.1</v>
      </c>
      <c r="BG44" s="219">
        <f t="shared" si="34"/>
        <v>35.6</v>
      </c>
      <c r="BH44" s="4">
        <f t="shared" si="14"/>
        <v>0</v>
      </c>
      <c r="BI44" s="4">
        <f t="shared" si="15"/>
        <v>0</v>
      </c>
    </row>
    <row r="45" spans="1:103">
      <c r="A45" s="13">
        <v>1986</v>
      </c>
      <c r="B45" s="13">
        <v>5</v>
      </c>
      <c r="C45" s="5">
        <v>568375</v>
      </c>
      <c r="D45" s="73">
        <v>862285</v>
      </c>
      <c r="E45" s="4">
        <f t="shared" si="16"/>
        <v>568375</v>
      </c>
      <c r="F45" s="4">
        <f t="shared" si="17"/>
        <v>862285</v>
      </c>
      <c r="G45" s="79">
        <f t="shared" si="18"/>
        <v>659.1</v>
      </c>
      <c r="H45" s="13"/>
      <c r="I45" s="13"/>
      <c r="J45" s="230">
        <f>'[7]RES 62 &amp; 67'!$S130</f>
        <v>194.6</v>
      </c>
      <c r="K45" s="183">
        <f t="shared" si="52"/>
        <v>224.4</v>
      </c>
      <c r="L45" s="233">
        <f t="shared" si="66"/>
        <v>29.800000000000011</v>
      </c>
      <c r="M45" s="230">
        <f>'[7]RES 62 &amp; 67'!$J130</f>
        <v>22.6</v>
      </c>
      <c r="N45" s="183">
        <f t="shared" si="53"/>
        <v>11.2</v>
      </c>
      <c r="O45" s="236">
        <f t="shared" si="67"/>
        <v>-11.400000000000002</v>
      </c>
      <c r="P45" s="206">
        <f t="shared" si="19"/>
        <v>64.368000000000023</v>
      </c>
      <c r="Q45" s="208">
        <f t="shared" si="20"/>
        <v>0</v>
      </c>
      <c r="R45" s="467">
        <f t="shared" si="21"/>
        <v>64.368000000000023</v>
      </c>
      <c r="S45" s="470">
        <f t="shared" si="22"/>
        <v>-30.894000000000005</v>
      </c>
      <c r="T45" s="425">
        <f t="shared" si="23"/>
        <v>33.5</v>
      </c>
      <c r="U45" s="515">
        <f t="shared" si="24"/>
        <v>862285</v>
      </c>
      <c r="V45" s="447">
        <v>31533</v>
      </c>
      <c r="W45" s="191">
        <f t="shared" si="8"/>
        <v>692.6</v>
      </c>
      <c r="X45" s="73">
        <f t="shared" si="9"/>
        <v>597219</v>
      </c>
      <c r="Y45" s="186">
        <v>0</v>
      </c>
      <c r="Z45" s="175">
        <f t="shared" si="25"/>
        <v>597219</v>
      </c>
      <c r="AA45" s="40">
        <f t="shared" si="10"/>
        <v>28844</v>
      </c>
      <c r="AB45" s="379">
        <f t="shared" si="26"/>
        <v>597219</v>
      </c>
      <c r="AC45" s="81">
        <f>'[7]Gov 65 &amp; 70'!$B130</f>
        <v>29.45</v>
      </c>
      <c r="AD45" s="4">
        <f t="shared" si="11"/>
        <v>616890</v>
      </c>
      <c r="AE45" s="4">
        <f t="shared" si="54"/>
        <v>50808</v>
      </c>
      <c r="AF45" s="23">
        <f t="shared" si="12"/>
        <v>715.4</v>
      </c>
      <c r="AG45" s="75">
        <f t="shared" si="55"/>
        <v>33.299999999999955</v>
      </c>
      <c r="AI45" s="495"/>
      <c r="AJ45" s="143"/>
      <c r="AK45" s="21" t="s">
        <v>146</v>
      </c>
      <c r="AM45" s="15"/>
      <c r="AQ45" s="86"/>
      <c r="AR45" s="361" t="s">
        <v>325</v>
      </c>
      <c r="AS45" s="86">
        <f>(AS36/AS32)^(1/4)-1</f>
        <v>-1.4219149520937835E-2</v>
      </c>
      <c r="AW45" s="230">
        <f>'[8]RES 62 &amp; 67'!$S130</f>
        <v>328.8</v>
      </c>
      <c r="AX45" s="200">
        <f t="shared" si="58"/>
        <v>336.7</v>
      </c>
      <c r="AY45" s="203">
        <f t="shared" si="51"/>
        <v>7.8999999999999773</v>
      </c>
      <c r="AZ45" s="230">
        <f>'[8]RES 62 &amp; 67'!$J130</f>
        <v>1.9</v>
      </c>
      <c r="BA45" s="183">
        <f t="shared" si="59"/>
        <v>2.1</v>
      </c>
      <c r="BB45" s="429">
        <f t="shared" si="29"/>
        <v>0.20000000000000018</v>
      </c>
      <c r="BC45" s="206">
        <f t="shared" si="30"/>
        <v>17.06399999999995</v>
      </c>
      <c r="BD45" s="206">
        <f t="shared" si="31"/>
        <v>0</v>
      </c>
      <c r="BE45" s="206">
        <f t="shared" si="32"/>
        <v>17.06399999999995</v>
      </c>
      <c r="BF45" s="207">
        <f t="shared" si="33"/>
        <v>0.54200000000000048</v>
      </c>
      <c r="BG45" s="219">
        <f t="shared" si="34"/>
        <v>17.600000000000001</v>
      </c>
      <c r="BH45" s="4">
        <f t="shared" si="14"/>
        <v>0</v>
      </c>
      <c r="BI45" s="4">
        <f t="shared" si="15"/>
        <v>0</v>
      </c>
    </row>
    <row r="46" spans="1:103">
      <c r="A46" s="13">
        <v>1986</v>
      </c>
      <c r="B46" s="13">
        <v>6</v>
      </c>
      <c r="C46" s="5">
        <v>797332</v>
      </c>
      <c r="D46" s="73">
        <v>858639</v>
      </c>
      <c r="E46" s="4">
        <f t="shared" si="16"/>
        <v>797332</v>
      </c>
      <c r="F46" s="4">
        <f t="shared" si="17"/>
        <v>858639</v>
      </c>
      <c r="G46" s="79">
        <f t="shared" si="18"/>
        <v>928.6</v>
      </c>
      <c r="H46" s="13"/>
      <c r="I46" s="13"/>
      <c r="J46" s="230">
        <f>'[7]RES 62 &amp; 67'!$S131</f>
        <v>387.4</v>
      </c>
      <c r="K46" s="183">
        <f t="shared" si="52"/>
        <v>382.8</v>
      </c>
      <c r="L46" s="233">
        <f t="shared" si="66"/>
        <v>-4.5999999999999659</v>
      </c>
      <c r="M46" s="230">
        <f>'[7]RES 62 &amp; 67'!$J131</f>
        <v>1.1000000000000001</v>
      </c>
      <c r="N46" s="183">
        <f t="shared" si="53"/>
        <v>0.9</v>
      </c>
      <c r="O46" s="236">
        <f t="shared" si="67"/>
        <v>-0.20000000000000007</v>
      </c>
      <c r="P46" s="206">
        <f t="shared" si="19"/>
        <v>-9.9359999999999271</v>
      </c>
      <c r="Q46" s="208">
        <f t="shared" si="20"/>
        <v>0</v>
      </c>
      <c r="R46" s="467">
        <f t="shared" si="21"/>
        <v>-9.9359999999999271</v>
      </c>
      <c r="S46" s="470">
        <f t="shared" si="22"/>
        <v>-0.54200000000000015</v>
      </c>
      <c r="T46" s="425">
        <f t="shared" si="23"/>
        <v>-10.5</v>
      </c>
      <c r="U46" s="515">
        <f t="shared" si="24"/>
        <v>858639</v>
      </c>
      <c r="V46" s="447">
        <v>31564</v>
      </c>
      <c r="W46" s="191">
        <f t="shared" si="8"/>
        <v>918.1</v>
      </c>
      <c r="X46" s="73">
        <f t="shared" si="9"/>
        <v>788316</v>
      </c>
      <c r="Y46" s="186">
        <v>0</v>
      </c>
      <c r="Z46" s="175">
        <f t="shared" si="25"/>
        <v>788316</v>
      </c>
      <c r="AA46" s="40">
        <f t="shared" si="10"/>
        <v>-9016</v>
      </c>
      <c r="AB46" s="379">
        <f t="shared" si="26"/>
        <v>788316</v>
      </c>
      <c r="AC46" s="81">
        <f>'[7]Gov 65 &amp; 70'!$B131</f>
        <v>30.8</v>
      </c>
      <c r="AD46" s="4">
        <f t="shared" si="11"/>
        <v>778590</v>
      </c>
      <c r="AE46" s="4">
        <f t="shared" si="54"/>
        <v>26886</v>
      </c>
      <c r="AF46" s="23">
        <f t="shared" si="12"/>
        <v>906.8</v>
      </c>
      <c r="AG46" s="75">
        <f t="shared" ref="AG46:AG61" si="113">AF46-AF34</f>
        <v>-2.4000000000000909</v>
      </c>
      <c r="AH46" s="462"/>
      <c r="AI46" s="246" t="s">
        <v>147</v>
      </c>
      <c r="AJ46" s="23"/>
      <c r="AK46" s="496" t="s">
        <v>280</v>
      </c>
      <c r="AL46" s="23"/>
      <c r="AM46" s="125"/>
      <c r="AN46" s="23"/>
      <c r="AO46" s="23"/>
      <c r="AP46" s="23"/>
      <c r="AQ46" s="322"/>
      <c r="AR46" s="354" t="s">
        <v>326</v>
      </c>
      <c r="AS46" s="86">
        <f>(AS42/AS37)^(1/5)-1</f>
        <v>-1</v>
      </c>
      <c r="AW46" s="230">
        <f>'[8]RES 62 &amp; 67'!$S131</f>
        <v>438.9</v>
      </c>
      <c r="AX46" s="200">
        <f t="shared" si="58"/>
        <v>425.2</v>
      </c>
      <c r="AY46" s="203">
        <f t="shared" si="51"/>
        <v>-13.699999999999989</v>
      </c>
      <c r="AZ46" s="230">
        <f>'[8]RES 62 &amp; 67'!$J131</f>
        <v>0</v>
      </c>
      <c r="BA46" s="183">
        <f t="shared" si="59"/>
        <v>0</v>
      </c>
      <c r="BB46" s="429">
        <f t="shared" si="29"/>
        <v>0</v>
      </c>
      <c r="BC46" s="206">
        <f t="shared" si="30"/>
        <v>-29.591999999999977</v>
      </c>
      <c r="BD46" s="206">
        <f t="shared" si="31"/>
        <v>0</v>
      </c>
      <c r="BE46" s="206">
        <f t="shared" si="32"/>
        <v>-29.591999999999977</v>
      </c>
      <c r="BF46" s="207">
        <f t="shared" si="33"/>
        <v>0</v>
      </c>
      <c r="BG46" s="219">
        <f t="shared" si="34"/>
        <v>-29.6</v>
      </c>
      <c r="BH46" s="4">
        <f t="shared" si="14"/>
        <v>0</v>
      </c>
      <c r="BI46" s="4">
        <f t="shared" si="15"/>
        <v>0</v>
      </c>
    </row>
    <row r="47" spans="1:103">
      <c r="A47" s="13">
        <v>1986</v>
      </c>
      <c r="B47" s="13">
        <v>7</v>
      </c>
      <c r="C47" s="5">
        <v>953859</v>
      </c>
      <c r="D47" s="73">
        <v>859827</v>
      </c>
      <c r="E47" s="4">
        <f t="shared" si="16"/>
        <v>953859</v>
      </c>
      <c r="F47" s="4">
        <f t="shared" si="17"/>
        <v>859827</v>
      </c>
      <c r="G47" s="79">
        <f t="shared" si="18"/>
        <v>1109.4000000000001</v>
      </c>
      <c r="H47" s="13"/>
      <c r="I47" s="13"/>
      <c r="J47" s="230">
        <f>'[7]RES 62 &amp; 67'!$S132</f>
        <v>445.3</v>
      </c>
      <c r="K47" s="183">
        <f t="shared" si="52"/>
        <v>454.9</v>
      </c>
      <c r="L47" s="233">
        <f t="shared" si="66"/>
        <v>9.5999999999999659</v>
      </c>
      <c r="M47" s="230">
        <f>'[7]RES 62 &amp; 67'!$J132</f>
        <v>0</v>
      </c>
      <c r="N47" s="183">
        <f t="shared" si="53"/>
        <v>0</v>
      </c>
      <c r="O47" s="236">
        <f t="shared" si="67"/>
        <v>0</v>
      </c>
      <c r="P47" s="206">
        <f t="shared" si="19"/>
        <v>20.735999999999926</v>
      </c>
      <c r="Q47" s="208">
        <f t="shared" si="20"/>
        <v>0</v>
      </c>
      <c r="R47" s="467">
        <f t="shared" si="21"/>
        <v>20.735999999999926</v>
      </c>
      <c r="S47" s="470">
        <f t="shared" si="22"/>
        <v>0</v>
      </c>
      <c r="T47" s="425">
        <f t="shared" si="23"/>
        <v>20.7</v>
      </c>
      <c r="U47" s="515">
        <f t="shared" si="24"/>
        <v>859827</v>
      </c>
      <c r="V47" s="447">
        <v>31594</v>
      </c>
      <c r="W47" s="191">
        <f t="shared" si="8"/>
        <v>1130.1000000000001</v>
      </c>
      <c r="X47" s="73">
        <f t="shared" si="9"/>
        <v>971690</v>
      </c>
      <c r="Y47" s="186">
        <v>0</v>
      </c>
      <c r="Z47" s="175">
        <f t="shared" si="25"/>
        <v>971690</v>
      </c>
      <c r="AA47" s="40">
        <f t="shared" si="10"/>
        <v>17831</v>
      </c>
      <c r="AB47" s="379">
        <f t="shared" si="26"/>
        <v>971690</v>
      </c>
      <c r="AC47" s="81">
        <f>'[7]Gov 65 &amp; 70'!$B132</f>
        <v>30.4</v>
      </c>
      <c r="AD47" s="4">
        <f t="shared" si="11"/>
        <v>972329</v>
      </c>
      <c r="AE47" s="4">
        <f t="shared" si="54"/>
        <v>61016</v>
      </c>
      <c r="AF47" s="23">
        <f t="shared" si="12"/>
        <v>1130.8</v>
      </c>
      <c r="AG47" s="75">
        <f t="shared" si="113"/>
        <v>30.5</v>
      </c>
      <c r="AI47" s="247"/>
      <c r="AJ47" s="23"/>
      <c r="AK47" s="497"/>
      <c r="AM47" s="15"/>
      <c r="AN47" s="69"/>
      <c r="AO47" s="69"/>
      <c r="AP47" s="69"/>
      <c r="AQ47" s="87"/>
      <c r="AR47" s="354" t="s">
        <v>327</v>
      </c>
      <c r="AS47" s="86" t="e">
        <f>(AS42/AS39)^(1/3)-1</f>
        <v>#DIV/0!</v>
      </c>
      <c r="AW47" s="230">
        <f>'[8]RES 62 &amp; 67'!$S132</f>
        <v>484</v>
      </c>
      <c r="AX47" s="200">
        <f t="shared" si="58"/>
        <v>484.1</v>
      </c>
      <c r="AY47" s="203">
        <f t="shared" si="51"/>
        <v>0.10000000000002274</v>
      </c>
      <c r="AZ47" s="230">
        <f>'[8]RES 62 &amp; 67'!$J132</f>
        <v>0</v>
      </c>
      <c r="BA47" s="183">
        <f t="shared" si="59"/>
        <v>0</v>
      </c>
      <c r="BB47" s="429">
        <f t="shared" si="29"/>
        <v>0</v>
      </c>
      <c r="BC47" s="206">
        <f t="shared" si="30"/>
        <v>0.21600000000004912</v>
      </c>
      <c r="BD47" s="206">
        <f t="shared" si="31"/>
        <v>0</v>
      </c>
      <c r="BE47" s="206">
        <f t="shared" si="32"/>
        <v>0.21600000000004912</v>
      </c>
      <c r="BF47" s="207">
        <f t="shared" si="33"/>
        <v>0</v>
      </c>
      <c r="BG47" s="219">
        <f t="shared" si="34"/>
        <v>0.2</v>
      </c>
      <c r="BH47" s="4">
        <f t="shared" si="14"/>
        <v>0</v>
      </c>
      <c r="BI47" s="4">
        <f t="shared" si="15"/>
        <v>0</v>
      </c>
    </row>
    <row r="48" spans="1:103">
      <c r="A48" s="13">
        <v>1986</v>
      </c>
      <c r="B48" s="13">
        <v>8</v>
      </c>
      <c r="C48" s="5">
        <v>1043768</v>
      </c>
      <c r="D48" s="73">
        <v>862022</v>
      </c>
      <c r="E48" s="4">
        <f t="shared" si="16"/>
        <v>1043768</v>
      </c>
      <c r="F48" s="4">
        <f t="shared" si="17"/>
        <v>862022</v>
      </c>
      <c r="G48" s="79">
        <f t="shared" si="18"/>
        <v>1210.8</v>
      </c>
      <c r="H48" s="13"/>
      <c r="I48" s="13"/>
      <c r="J48" s="230">
        <f>'[7]RES 62 &amp; 67'!$S133</f>
        <v>492.8</v>
      </c>
      <c r="K48" s="183">
        <f t="shared" si="52"/>
        <v>481.4</v>
      </c>
      <c r="L48" s="233">
        <f t="shared" si="66"/>
        <v>-11.400000000000034</v>
      </c>
      <c r="M48" s="230">
        <f>'[7]RES 62 &amp; 67'!$J133</f>
        <v>0</v>
      </c>
      <c r="N48" s="183">
        <f t="shared" si="53"/>
        <v>0</v>
      </c>
      <c r="O48" s="236">
        <f t="shared" si="67"/>
        <v>0</v>
      </c>
      <c r="P48" s="206">
        <f t="shared" si="19"/>
        <v>-24.624000000000077</v>
      </c>
      <c r="Q48" s="208">
        <f t="shared" si="20"/>
        <v>0</v>
      </c>
      <c r="R48" s="467">
        <f t="shared" si="21"/>
        <v>-24.624000000000077</v>
      </c>
      <c r="S48" s="470">
        <f t="shared" si="22"/>
        <v>0</v>
      </c>
      <c r="T48" s="425">
        <f t="shared" si="23"/>
        <v>-24.6</v>
      </c>
      <c r="U48" s="515">
        <f t="shared" si="24"/>
        <v>862022</v>
      </c>
      <c r="V48" s="447">
        <v>31625</v>
      </c>
      <c r="W48" s="191">
        <f t="shared" si="8"/>
        <v>1186.2</v>
      </c>
      <c r="X48" s="73">
        <f t="shared" si="9"/>
        <v>1022530</v>
      </c>
      <c r="Y48" s="186">
        <v>0</v>
      </c>
      <c r="Z48" s="175">
        <f t="shared" si="25"/>
        <v>1022530</v>
      </c>
      <c r="AA48" s="40">
        <f t="shared" si="10"/>
        <v>-21238</v>
      </c>
      <c r="AB48" s="379">
        <f t="shared" si="26"/>
        <v>1022530</v>
      </c>
      <c r="AC48" s="81">
        <f>'[7]Gov 65 &amp; 70'!$B133</f>
        <v>31.2</v>
      </c>
      <c r="AD48" s="4">
        <f t="shared" si="11"/>
        <v>996967</v>
      </c>
      <c r="AE48" s="4">
        <f t="shared" si="54"/>
        <v>66532</v>
      </c>
      <c r="AF48" s="23">
        <f t="shared" si="12"/>
        <v>1156.5</v>
      </c>
      <c r="AG48" s="75">
        <f t="shared" si="113"/>
        <v>35.5</v>
      </c>
      <c r="AI48" s="248" t="s">
        <v>148</v>
      </c>
      <c r="AJ48" s="23"/>
      <c r="AK48" s="497">
        <v>189127.99573051219</v>
      </c>
      <c r="AM48" s="15"/>
      <c r="AQ48" s="86"/>
      <c r="AW48" s="230">
        <f>'[8]RES 62 &amp; 67'!$S133</f>
        <v>490</v>
      </c>
      <c r="AX48" s="200">
        <f t="shared" si="58"/>
        <v>487.3</v>
      </c>
      <c r="AY48" s="203">
        <f t="shared" si="51"/>
        <v>-2.6999999999999886</v>
      </c>
      <c r="AZ48" s="230">
        <f>'[8]RES 62 &amp; 67'!$J133</f>
        <v>0</v>
      </c>
      <c r="BA48" s="183">
        <f t="shared" si="59"/>
        <v>0</v>
      </c>
      <c r="BB48" s="429">
        <f t="shared" si="29"/>
        <v>0</v>
      </c>
      <c r="BC48" s="206">
        <f t="shared" si="30"/>
        <v>-5.8319999999999759</v>
      </c>
      <c r="BD48" s="206">
        <f t="shared" si="31"/>
        <v>0</v>
      </c>
      <c r="BE48" s="206">
        <f t="shared" si="32"/>
        <v>-5.8319999999999759</v>
      </c>
      <c r="BF48" s="207">
        <f t="shared" si="33"/>
        <v>0</v>
      </c>
      <c r="BG48" s="219">
        <f t="shared" si="34"/>
        <v>-5.8</v>
      </c>
      <c r="BH48" s="4">
        <f t="shared" si="14"/>
        <v>0</v>
      </c>
      <c r="BI48" s="4">
        <f t="shared" si="15"/>
        <v>0</v>
      </c>
    </row>
    <row r="49" spans="1:82">
      <c r="A49" s="13">
        <v>1986</v>
      </c>
      <c r="B49" s="13">
        <v>9</v>
      </c>
      <c r="C49" s="5">
        <v>1003900</v>
      </c>
      <c r="D49" s="73">
        <v>866581</v>
      </c>
      <c r="E49" s="4">
        <f t="shared" si="16"/>
        <v>1003900</v>
      </c>
      <c r="F49" s="4">
        <f t="shared" si="17"/>
        <v>866581</v>
      </c>
      <c r="G49" s="79">
        <f t="shared" si="18"/>
        <v>1158.5</v>
      </c>
      <c r="H49" s="13"/>
      <c r="I49" s="13"/>
      <c r="J49" s="230">
        <f>'[7]RES 62 &amp; 67'!$S134</f>
        <v>473.1</v>
      </c>
      <c r="K49" s="183">
        <f t="shared" si="52"/>
        <v>473.7</v>
      </c>
      <c r="L49" s="233">
        <f t="shared" ref="L49:L64" si="114">(K49-J49)</f>
        <v>0.59999999999996589</v>
      </c>
      <c r="M49" s="230">
        <f>'[7]RES 62 &amp; 67'!$J134</f>
        <v>0</v>
      </c>
      <c r="N49" s="183">
        <f t="shared" si="53"/>
        <v>0</v>
      </c>
      <c r="O49" s="236">
        <f t="shared" ref="O49:O64" si="115">(N49-M49)</f>
        <v>0</v>
      </c>
      <c r="P49" s="206">
        <f t="shared" si="19"/>
        <v>1.2959999999999263</v>
      </c>
      <c r="Q49" s="208">
        <f t="shared" si="20"/>
        <v>0</v>
      </c>
      <c r="R49" s="467">
        <f t="shared" si="21"/>
        <v>1.2959999999999263</v>
      </c>
      <c r="S49" s="470">
        <f t="shared" si="22"/>
        <v>0</v>
      </c>
      <c r="T49" s="425">
        <f t="shared" si="23"/>
        <v>1.3</v>
      </c>
      <c r="U49" s="515">
        <f t="shared" si="24"/>
        <v>866581</v>
      </c>
      <c r="V49" s="447">
        <v>31656</v>
      </c>
      <c r="W49" s="191">
        <f t="shared" si="8"/>
        <v>1159.8</v>
      </c>
      <c r="X49" s="73">
        <f t="shared" si="9"/>
        <v>1005061</v>
      </c>
      <c r="Y49" s="186">
        <v>0</v>
      </c>
      <c r="Z49" s="175">
        <f t="shared" si="25"/>
        <v>1005061</v>
      </c>
      <c r="AA49" s="40">
        <f t="shared" si="10"/>
        <v>1161</v>
      </c>
      <c r="AB49" s="379">
        <f t="shared" si="26"/>
        <v>1005061</v>
      </c>
      <c r="AC49" s="81">
        <f>'[7]Gov 65 &amp; 70'!$B134</f>
        <v>30.55</v>
      </c>
      <c r="AD49" s="4">
        <f t="shared" si="11"/>
        <v>1000784</v>
      </c>
      <c r="AE49" s="4">
        <f t="shared" si="54"/>
        <v>44867</v>
      </c>
      <c r="AF49" s="23">
        <f t="shared" si="12"/>
        <v>1154.9000000000001</v>
      </c>
      <c r="AG49" s="75">
        <f t="shared" si="113"/>
        <v>7.9000000000000909</v>
      </c>
      <c r="AI49" s="248" t="s">
        <v>149</v>
      </c>
      <c r="AJ49" s="23"/>
      <c r="AK49" s="497">
        <v>108005.7960590561</v>
      </c>
      <c r="AU49" s="4">
        <v>1986</v>
      </c>
      <c r="AV49" s="4">
        <v>9</v>
      </c>
      <c r="AW49" s="230">
        <f>'[8]RES 62 &amp; 67'!$S134</f>
        <v>445.1</v>
      </c>
      <c r="AX49" s="200">
        <f t="shared" si="58"/>
        <v>428.3</v>
      </c>
      <c r="AY49" s="203">
        <f t="shared" si="51"/>
        <v>-16.800000000000011</v>
      </c>
      <c r="AZ49" s="230">
        <f>'[8]RES 62 &amp; 67'!$J134</f>
        <v>0</v>
      </c>
      <c r="BA49" s="183">
        <f t="shared" si="59"/>
        <v>0</v>
      </c>
      <c r="BB49" s="429">
        <f t="shared" si="29"/>
        <v>0</v>
      </c>
      <c r="BC49" s="206">
        <f t="shared" si="30"/>
        <v>-36.288000000000025</v>
      </c>
      <c r="BD49" s="206">
        <f t="shared" si="31"/>
        <v>0</v>
      </c>
      <c r="BE49" s="206">
        <f t="shared" si="32"/>
        <v>-36.288000000000025</v>
      </c>
      <c r="BF49" s="207">
        <f t="shared" si="33"/>
        <v>0</v>
      </c>
      <c r="BG49" s="219">
        <f t="shared" si="34"/>
        <v>-36.299999999999997</v>
      </c>
      <c r="BH49" s="4">
        <f t="shared" ref="BH49:BH80" si="116">AU49</f>
        <v>1986</v>
      </c>
      <c r="BI49" s="4">
        <f t="shared" ref="BI49:BI80" si="117">AV49</f>
        <v>9</v>
      </c>
    </row>
    <row r="50" spans="1:82">
      <c r="A50" s="13">
        <v>1986</v>
      </c>
      <c r="B50" s="13">
        <v>10</v>
      </c>
      <c r="C50" s="5">
        <v>948534</v>
      </c>
      <c r="D50" s="73">
        <v>872584</v>
      </c>
      <c r="E50" s="4">
        <f t="shared" si="16"/>
        <v>948534</v>
      </c>
      <c r="F50" s="4">
        <f t="shared" si="17"/>
        <v>872584</v>
      </c>
      <c r="G50" s="79">
        <f t="shared" si="18"/>
        <v>1087</v>
      </c>
      <c r="H50" s="13"/>
      <c r="I50" s="13"/>
      <c r="J50" s="230">
        <f>'[7]RES 62 &amp; 67'!$S135</f>
        <v>421.7</v>
      </c>
      <c r="K50" s="183">
        <f t="shared" si="52"/>
        <v>373.2</v>
      </c>
      <c r="L50" s="233">
        <f t="shared" si="114"/>
        <v>-48.5</v>
      </c>
      <c r="M50" s="230">
        <f>'[7]RES 62 &amp; 67'!$J135</f>
        <v>0.9</v>
      </c>
      <c r="N50" s="183">
        <f t="shared" si="53"/>
        <v>1.3</v>
      </c>
      <c r="O50" s="236">
        <f t="shared" si="115"/>
        <v>0.4</v>
      </c>
      <c r="P50" s="206">
        <f t="shared" si="19"/>
        <v>-104.76</v>
      </c>
      <c r="Q50" s="208">
        <f t="shared" si="20"/>
        <v>0</v>
      </c>
      <c r="R50" s="467">
        <f t="shared" si="21"/>
        <v>-104.76</v>
      </c>
      <c r="S50" s="470">
        <f t="shared" si="22"/>
        <v>1.0840000000000001</v>
      </c>
      <c r="T50" s="425">
        <f t="shared" si="23"/>
        <v>-103.7</v>
      </c>
      <c r="U50" s="515">
        <f t="shared" si="24"/>
        <v>872584</v>
      </c>
      <c r="V50" s="447">
        <v>31686</v>
      </c>
      <c r="W50" s="191">
        <f t="shared" si="8"/>
        <v>983.3</v>
      </c>
      <c r="X50" s="73">
        <f t="shared" si="9"/>
        <v>858012</v>
      </c>
      <c r="Y50" s="186">
        <v>0</v>
      </c>
      <c r="Z50" s="175">
        <f t="shared" si="25"/>
        <v>858012</v>
      </c>
      <c r="AA50" s="40">
        <f t="shared" si="10"/>
        <v>-90522</v>
      </c>
      <c r="AB50" s="379">
        <f t="shared" si="26"/>
        <v>858012</v>
      </c>
      <c r="AC50" s="81">
        <f>'[7]Gov 65 &amp; 70'!$B135</f>
        <v>29.65</v>
      </c>
      <c r="AD50" s="4">
        <f t="shared" si="11"/>
        <v>880294</v>
      </c>
      <c r="AE50" s="4">
        <f t="shared" si="54"/>
        <v>90512</v>
      </c>
      <c r="AF50" s="23">
        <f t="shared" si="12"/>
        <v>1008.8</v>
      </c>
      <c r="AG50" s="75">
        <f t="shared" si="113"/>
        <v>66.699999999999932</v>
      </c>
      <c r="AI50" s="248" t="s">
        <v>150</v>
      </c>
      <c r="AJ50" s="23"/>
      <c r="AK50" s="497">
        <v>32717.485383564821</v>
      </c>
      <c r="AU50" s="4">
        <v>1986</v>
      </c>
      <c r="AV50" s="4">
        <v>10</v>
      </c>
      <c r="AW50" s="230">
        <f>'[8]RES 62 &amp; 67'!$S135</f>
        <v>313.89999999999998</v>
      </c>
      <c r="AX50" s="200">
        <f t="shared" si="58"/>
        <v>277.60000000000002</v>
      </c>
      <c r="AY50" s="203">
        <f t="shared" si="51"/>
        <v>-36.299999999999955</v>
      </c>
      <c r="AZ50" s="230">
        <f>'[8]RES 62 &amp; 67'!$J135</f>
        <v>5.3</v>
      </c>
      <c r="BA50" s="183">
        <f t="shared" si="59"/>
        <v>8.5</v>
      </c>
      <c r="BB50" s="429">
        <f t="shared" si="29"/>
        <v>3.2</v>
      </c>
      <c r="BC50" s="206">
        <f t="shared" si="30"/>
        <v>-78.407999999999902</v>
      </c>
      <c r="BD50" s="206">
        <f t="shared" si="31"/>
        <v>0</v>
      </c>
      <c r="BE50" s="206">
        <f t="shared" si="32"/>
        <v>-78.407999999999902</v>
      </c>
      <c r="BF50" s="207">
        <f t="shared" si="33"/>
        <v>8.6720000000000006</v>
      </c>
      <c r="BG50" s="219">
        <f t="shared" si="34"/>
        <v>-69.7</v>
      </c>
      <c r="BH50" s="4">
        <f t="shared" si="116"/>
        <v>1986</v>
      </c>
      <c r="BI50" s="4">
        <f t="shared" si="117"/>
        <v>10</v>
      </c>
    </row>
    <row r="51" spans="1:82">
      <c r="A51" s="13">
        <v>1986</v>
      </c>
      <c r="B51" s="13">
        <v>11</v>
      </c>
      <c r="C51" s="5">
        <v>700339</v>
      </c>
      <c r="D51" s="73">
        <v>886344</v>
      </c>
      <c r="E51" s="4">
        <f t="shared" si="16"/>
        <v>700339</v>
      </c>
      <c r="F51" s="4">
        <f t="shared" si="17"/>
        <v>886344</v>
      </c>
      <c r="G51" s="79">
        <f t="shared" si="18"/>
        <v>790.1</v>
      </c>
      <c r="H51" s="13"/>
      <c r="I51" s="13"/>
      <c r="J51" s="230">
        <f>'[7]RES 62 &amp; 67'!$S136</f>
        <v>264.3</v>
      </c>
      <c r="K51" s="183">
        <f t="shared" si="52"/>
        <v>204.3</v>
      </c>
      <c r="L51" s="233">
        <f t="shared" si="114"/>
        <v>-60</v>
      </c>
      <c r="M51" s="230">
        <f>'[7]RES 62 &amp; 67'!$J136</f>
        <v>5.8</v>
      </c>
      <c r="N51" s="183">
        <f t="shared" si="53"/>
        <v>24.1</v>
      </c>
      <c r="O51" s="236">
        <f t="shared" si="115"/>
        <v>18.3</v>
      </c>
      <c r="P51" s="206">
        <f t="shared" si="19"/>
        <v>-129.60000000000002</v>
      </c>
      <c r="Q51" s="208">
        <f t="shared" si="20"/>
        <v>0</v>
      </c>
      <c r="R51" s="467">
        <f t="shared" si="21"/>
        <v>-129.60000000000002</v>
      </c>
      <c r="S51" s="470">
        <f t="shared" si="22"/>
        <v>49.593000000000004</v>
      </c>
      <c r="T51" s="425">
        <f t="shared" si="23"/>
        <v>-80</v>
      </c>
      <c r="U51" s="515">
        <f t="shared" si="24"/>
        <v>886344</v>
      </c>
      <c r="V51" s="447">
        <v>31717</v>
      </c>
      <c r="W51" s="191">
        <f t="shared" si="8"/>
        <v>710.1</v>
      </c>
      <c r="X51" s="73">
        <f t="shared" si="9"/>
        <v>629393</v>
      </c>
      <c r="Y51" s="186">
        <v>0</v>
      </c>
      <c r="Z51" s="175">
        <f t="shared" si="25"/>
        <v>629393</v>
      </c>
      <c r="AA51" s="40">
        <f t="shared" si="10"/>
        <v>-70946</v>
      </c>
      <c r="AB51" s="379">
        <f t="shared" si="26"/>
        <v>629393</v>
      </c>
      <c r="AC51" s="81">
        <f>'[7]Gov 65 &amp; 70'!$B136</f>
        <v>30.05</v>
      </c>
      <c r="AD51" s="4">
        <f t="shared" si="11"/>
        <v>637143</v>
      </c>
      <c r="AE51" s="4">
        <f t="shared" si="54"/>
        <v>68579</v>
      </c>
      <c r="AF51" s="23">
        <f t="shared" si="12"/>
        <v>718.8</v>
      </c>
      <c r="AG51" s="75">
        <f t="shared" si="113"/>
        <v>50.299999999999955</v>
      </c>
      <c r="AI51" s="248" t="s">
        <v>151</v>
      </c>
      <c r="AJ51" s="23"/>
      <c r="AK51" s="497">
        <v>222.68281525054221</v>
      </c>
      <c r="AU51" s="4">
        <v>1986</v>
      </c>
      <c r="AV51" s="4">
        <v>11</v>
      </c>
      <c r="AW51" s="230">
        <f>'[8]RES 62 &amp; 67'!$S136</f>
        <v>261.3</v>
      </c>
      <c r="AX51" s="200">
        <f t="shared" si="58"/>
        <v>110.2</v>
      </c>
      <c r="AY51" s="203">
        <f t="shared" si="51"/>
        <v>-151.10000000000002</v>
      </c>
      <c r="AZ51" s="230">
        <f>'[8]RES 62 &amp; 67'!$J136</f>
        <v>6.8</v>
      </c>
      <c r="BA51" s="183">
        <f t="shared" si="59"/>
        <v>45.3</v>
      </c>
      <c r="BB51" s="429">
        <f t="shared" si="29"/>
        <v>38.5</v>
      </c>
      <c r="BC51" s="206">
        <f t="shared" si="30"/>
        <v>-326.37600000000009</v>
      </c>
      <c r="BD51" s="206">
        <f t="shared" si="31"/>
        <v>46.085500000000003</v>
      </c>
      <c r="BE51" s="206">
        <f t="shared" si="32"/>
        <v>-280.29050000000007</v>
      </c>
      <c r="BF51" s="207">
        <f t="shared" si="33"/>
        <v>104.33499999999999</v>
      </c>
      <c r="BG51" s="219">
        <f t="shared" si="34"/>
        <v>-176</v>
      </c>
      <c r="BH51" s="4">
        <f t="shared" si="116"/>
        <v>1986</v>
      </c>
      <c r="BI51" s="4">
        <f t="shared" si="117"/>
        <v>11</v>
      </c>
    </row>
    <row r="52" spans="1:82" s="89" customFormat="1" ht="15">
      <c r="A52" s="90">
        <v>1986</v>
      </c>
      <c r="B52" s="90">
        <v>12</v>
      </c>
      <c r="C52" s="103">
        <v>697331</v>
      </c>
      <c r="D52" s="104">
        <v>898379</v>
      </c>
      <c r="E52" s="89">
        <f t="shared" si="16"/>
        <v>697331</v>
      </c>
      <c r="F52" s="89">
        <f t="shared" si="17"/>
        <v>898379</v>
      </c>
      <c r="G52" s="301">
        <f t="shared" si="18"/>
        <v>776.2</v>
      </c>
      <c r="H52" s="90"/>
      <c r="I52" s="90"/>
      <c r="J52" s="300">
        <f>'[7]RES 62 &amp; 67'!$S137</f>
        <v>216</v>
      </c>
      <c r="K52" s="210">
        <f t="shared" si="52"/>
        <v>88</v>
      </c>
      <c r="L52" s="234">
        <f t="shared" si="114"/>
        <v>-128</v>
      </c>
      <c r="M52" s="300">
        <f>'[7]RES 62 &amp; 67'!$J137</f>
        <v>22</v>
      </c>
      <c r="N52" s="210">
        <f t="shared" si="53"/>
        <v>83.9</v>
      </c>
      <c r="O52" s="237">
        <f t="shared" si="115"/>
        <v>61.900000000000006</v>
      </c>
      <c r="P52" s="211">
        <f t="shared" si="19"/>
        <v>-276.48</v>
      </c>
      <c r="Q52" s="211">
        <f t="shared" si="20"/>
        <v>78.08</v>
      </c>
      <c r="R52" s="468">
        <f t="shared" si="21"/>
        <v>-198.40000000000003</v>
      </c>
      <c r="S52" s="471">
        <f t="shared" si="22"/>
        <v>167.74900000000002</v>
      </c>
      <c r="T52" s="426">
        <f t="shared" si="23"/>
        <v>-30.7</v>
      </c>
      <c r="U52" s="515">
        <f t="shared" si="24"/>
        <v>898379</v>
      </c>
      <c r="V52" s="447">
        <v>31747</v>
      </c>
      <c r="W52" s="95">
        <f t="shared" si="8"/>
        <v>745.5</v>
      </c>
      <c r="X52" s="104">
        <f t="shared" si="9"/>
        <v>669742</v>
      </c>
      <c r="Y52" s="302">
        <v>0</v>
      </c>
      <c r="Z52" s="176">
        <f t="shared" si="25"/>
        <v>669742</v>
      </c>
      <c r="AA52" s="116">
        <f t="shared" si="10"/>
        <v>-27589</v>
      </c>
      <c r="AB52" s="517">
        <f t="shared" si="26"/>
        <v>669742</v>
      </c>
      <c r="AC52" s="88">
        <f>'[7]Gov 65 &amp; 70'!$B137</f>
        <v>31.6</v>
      </c>
      <c r="AD52" s="89">
        <f t="shared" si="11"/>
        <v>644733</v>
      </c>
      <c r="AE52" s="89">
        <f t="shared" si="54"/>
        <v>62551</v>
      </c>
      <c r="AF52" s="89">
        <f t="shared" si="12"/>
        <v>717.7</v>
      </c>
      <c r="AG52" s="91">
        <f t="shared" si="113"/>
        <v>43</v>
      </c>
      <c r="AH52" s="245"/>
      <c r="AI52" s="249" t="s">
        <v>152</v>
      </c>
      <c r="AJ52" s="23"/>
      <c r="AK52" s="498">
        <v>28162.612024743299</v>
      </c>
      <c r="AL52" s="4"/>
      <c r="AM52" s="4"/>
      <c r="AN52" s="4"/>
      <c r="AO52" s="4"/>
      <c r="AP52" s="4"/>
      <c r="AQ52" s="4"/>
      <c r="AU52" s="89">
        <v>1986</v>
      </c>
      <c r="AV52" s="89">
        <v>12</v>
      </c>
      <c r="AW52" s="300">
        <f>'[8]RES 62 &amp; 67'!$S137</f>
        <v>86.3</v>
      </c>
      <c r="AX52" s="210">
        <f t="shared" si="58"/>
        <v>53.2</v>
      </c>
      <c r="AY52" s="204">
        <f t="shared" si="51"/>
        <v>-33.099999999999994</v>
      </c>
      <c r="AZ52" s="300">
        <f>'[8]RES 62 &amp; 67'!$J137</f>
        <v>57</v>
      </c>
      <c r="BA52" s="210">
        <f t="shared" si="59"/>
        <v>114.1</v>
      </c>
      <c r="BB52" s="430">
        <f t="shared" si="29"/>
        <v>57.099999999999994</v>
      </c>
      <c r="BC52" s="211">
        <f t="shared" si="30"/>
        <v>-71.495999999999995</v>
      </c>
      <c r="BD52" s="211">
        <f t="shared" si="31"/>
        <v>20.190999999999995</v>
      </c>
      <c r="BE52" s="211">
        <f t="shared" si="32"/>
        <v>-51.305</v>
      </c>
      <c r="BF52" s="212">
        <f t="shared" si="33"/>
        <v>154.74099999999999</v>
      </c>
      <c r="BG52" s="220">
        <f t="shared" si="34"/>
        <v>103.4</v>
      </c>
      <c r="BH52" s="89">
        <f t="shared" si="116"/>
        <v>1986</v>
      </c>
      <c r="BI52" s="89">
        <f t="shared" si="117"/>
        <v>12</v>
      </c>
      <c r="BN52" s="96"/>
      <c r="BO52" s="96"/>
      <c r="BT52" s="96"/>
    </row>
    <row r="53" spans="1:82">
      <c r="A53" s="13">
        <v>1987</v>
      </c>
      <c r="B53" s="13">
        <v>1</v>
      </c>
      <c r="C53" s="5">
        <v>814103</v>
      </c>
      <c r="D53" s="73">
        <v>907206</v>
      </c>
      <c r="E53" s="4">
        <f t="shared" si="16"/>
        <v>814103</v>
      </c>
      <c r="F53" s="4">
        <f t="shared" si="17"/>
        <v>907206</v>
      </c>
      <c r="G53" s="79">
        <f t="shared" si="18"/>
        <v>897.4</v>
      </c>
      <c r="H53" s="13"/>
      <c r="I53" s="13"/>
      <c r="J53" s="230">
        <f>'[7]RES 62 &amp; 67'!$S138</f>
        <v>59.6</v>
      </c>
      <c r="K53" s="183">
        <f t="shared" si="52"/>
        <v>49.5</v>
      </c>
      <c r="L53" s="233">
        <f t="shared" si="114"/>
        <v>-10.100000000000001</v>
      </c>
      <c r="M53" s="230">
        <f>'[7]RES 62 &amp; 67'!$J138</f>
        <v>107.3</v>
      </c>
      <c r="N53" s="183">
        <f t="shared" si="53"/>
        <v>131.6</v>
      </c>
      <c r="O53" s="236">
        <f t="shared" si="115"/>
        <v>24.299999999999997</v>
      </c>
      <c r="P53" s="206">
        <f t="shared" si="19"/>
        <v>-21.816000000000006</v>
      </c>
      <c r="Q53" s="208">
        <f t="shared" si="20"/>
        <v>6.1610000000000005</v>
      </c>
      <c r="R53" s="467">
        <f t="shared" si="21"/>
        <v>-15.655000000000005</v>
      </c>
      <c r="S53" s="470">
        <f t="shared" si="22"/>
        <v>65.852999999999994</v>
      </c>
      <c r="T53" s="425">
        <f t="shared" si="23"/>
        <v>50.2</v>
      </c>
      <c r="U53" s="515">
        <f t="shared" si="24"/>
        <v>907206</v>
      </c>
      <c r="V53" s="447">
        <v>31778</v>
      </c>
      <c r="W53" s="191">
        <f t="shared" si="8"/>
        <v>947.6</v>
      </c>
      <c r="X53" s="73">
        <f t="shared" si="9"/>
        <v>859668</v>
      </c>
      <c r="Y53" s="186">
        <v>0</v>
      </c>
      <c r="Z53" s="175">
        <f t="shared" si="25"/>
        <v>859668</v>
      </c>
      <c r="AA53" s="40">
        <f t="shared" si="10"/>
        <v>45565</v>
      </c>
      <c r="AB53" s="379">
        <f t="shared" si="26"/>
        <v>859668</v>
      </c>
      <c r="AC53" s="81">
        <f>'[7]Gov 65 &amp; 70'!$B138</f>
        <v>32</v>
      </c>
      <c r="AD53" s="4">
        <f t="shared" si="11"/>
        <v>817222</v>
      </c>
      <c r="AE53" s="4">
        <f t="shared" si="54"/>
        <v>51346</v>
      </c>
      <c r="AF53" s="23">
        <f t="shared" si="12"/>
        <v>900.8</v>
      </c>
      <c r="AG53" s="75">
        <f t="shared" si="113"/>
        <v>21.699999999999932</v>
      </c>
      <c r="AI53" s="250"/>
      <c r="AJ53" s="23"/>
      <c r="AK53" s="497"/>
      <c r="AU53" s="4">
        <v>1987</v>
      </c>
      <c r="AV53" s="4">
        <v>1</v>
      </c>
      <c r="AW53" s="230">
        <f>'[8]RES 62 &amp; 67'!$S138</f>
        <v>33</v>
      </c>
      <c r="AX53" s="200">
        <f t="shared" si="58"/>
        <v>50.5</v>
      </c>
      <c r="AY53" s="203">
        <f t="shared" si="51"/>
        <v>17.5</v>
      </c>
      <c r="AZ53" s="230">
        <f>'[8]RES 62 &amp; 67'!$J138</f>
        <v>184.1</v>
      </c>
      <c r="BA53" s="183">
        <f t="shared" si="59"/>
        <v>127.9</v>
      </c>
      <c r="BB53" s="429">
        <f t="shared" si="29"/>
        <v>-56.199999999999989</v>
      </c>
      <c r="BC53" s="206">
        <f t="shared" si="30"/>
        <v>37.800000000000004</v>
      </c>
      <c r="BD53" s="206">
        <f t="shared" si="31"/>
        <v>-10.674999999999999</v>
      </c>
      <c r="BE53" s="206">
        <f t="shared" si="32"/>
        <v>27.125000000000007</v>
      </c>
      <c r="BF53" s="207">
        <f t="shared" si="33"/>
        <v>-152.30199999999996</v>
      </c>
      <c r="BG53" s="219">
        <f t="shared" si="34"/>
        <v>-125.2</v>
      </c>
      <c r="BH53" s="4">
        <f t="shared" si="116"/>
        <v>1987</v>
      </c>
      <c r="BI53" s="4">
        <f t="shared" si="117"/>
        <v>1</v>
      </c>
      <c r="CC53" s="356" t="s">
        <v>222</v>
      </c>
    </row>
    <row r="54" spans="1:82">
      <c r="A54" s="13">
        <v>1987</v>
      </c>
      <c r="B54" s="13">
        <v>2</v>
      </c>
      <c r="C54" s="5">
        <v>857962</v>
      </c>
      <c r="D54" s="73">
        <v>912649</v>
      </c>
      <c r="E54" s="4">
        <f t="shared" si="16"/>
        <v>857962</v>
      </c>
      <c r="F54" s="4">
        <f t="shared" si="17"/>
        <v>912649</v>
      </c>
      <c r="G54" s="79">
        <f t="shared" si="18"/>
        <v>940.1</v>
      </c>
      <c r="H54" s="13"/>
      <c r="I54" s="13"/>
      <c r="J54" s="230">
        <f>'[7]RES 62 &amp; 67'!$S139</f>
        <v>32.200000000000003</v>
      </c>
      <c r="K54" s="183">
        <f t="shared" si="52"/>
        <v>43.3</v>
      </c>
      <c r="L54" s="233">
        <f t="shared" si="114"/>
        <v>11.099999999999994</v>
      </c>
      <c r="M54" s="230">
        <f>'[7]RES 62 &amp; 67'!$J139</f>
        <v>159</v>
      </c>
      <c r="N54" s="183">
        <f t="shared" si="53"/>
        <v>127.9</v>
      </c>
      <c r="O54" s="236">
        <f t="shared" si="115"/>
        <v>-31.099999999999994</v>
      </c>
      <c r="P54" s="206">
        <f t="shared" si="19"/>
        <v>23.975999999999988</v>
      </c>
      <c r="Q54" s="208">
        <f t="shared" si="20"/>
        <v>-6.7709999999999964</v>
      </c>
      <c r="R54" s="467">
        <f t="shared" si="21"/>
        <v>17.204999999999991</v>
      </c>
      <c r="S54" s="470">
        <f t="shared" si="22"/>
        <v>-84.280999999999977</v>
      </c>
      <c r="T54" s="425">
        <f t="shared" si="23"/>
        <v>-67.099999999999994</v>
      </c>
      <c r="U54" s="515">
        <f t="shared" si="24"/>
        <v>912649</v>
      </c>
      <c r="V54" s="447">
        <v>31809</v>
      </c>
      <c r="W54" s="191">
        <f t="shared" si="8"/>
        <v>873</v>
      </c>
      <c r="X54" s="73">
        <f t="shared" si="9"/>
        <v>796743</v>
      </c>
      <c r="Y54" s="186">
        <v>0</v>
      </c>
      <c r="Z54" s="175">
        <f t="shared" si="25"/>
        <v>796743</v>
      </c>
      <c r="AA54" s="40">
        <f t="shared" si="10"/>
        <v>-61219</v>
      </c>
      <c r="AB54" s="379">
        <f t="shared" si="26"/>
        <v>796743</v>
      </c>
      <c r="AC54" s="81">
        <f>'[7]Gov 65 &amp; 70'!$B139</f>
        <v>29.55</v>
      </c>
      <c r="AD54" s="4">
        <f t="shared" si="11"/>
        <v>820200</v>
      </c>
      <c r="AE54" s="4">
        <f t="shared" si="54"/>
        <v>36959</v>
      </c>
      <c r="AF54" s="23">
        <f t="shared" si="12"/>
        <v>898.7</v>
      </c>
      <c r="AG54" s="75">
        <f t="shared" si="113"/>
        <v>5.6000000000000227</v>
      </c>
      <c r="AI54" s="248" t="s">
        <v>153</v>
      </c>
      <c r="AJ54" s="23"/>
      <c r="AK54" s="497">
        <v>358236.57201312692</v>
      </c>
      <c r="AU54" s="4">
        <v>1987</v>
      </c>
      <c r="AV54" s="4">
        <v>2</v>
      </c>
      <c r="AW54" s="230">
        <f>'[8]RES 62 &amp; 67'!$S139</f>
        <v>44.6</v>
      </c>
      <c r="AX54" s="200">
        <f t="shared" si="58"/>
        <v>59.2</v>
      </c>
      <c r="AY54" s="203">
        <f t="shared" si="51"/>
        <v>14.600000000000001</v>
      </c>
      <c r="AZ54" s="230">
        <f>'[8]RES 62 &amp; 67'!$J139</f>
        <v>93.9</v>
      </c>
      <c r="BA54" s="183">
        <f t="shared" si="59"/>
        <v>97.8</v>
      </c>
      <c r="BB54" s="429">
        <f t="shared" si="29"/>
        <v>3.8999999999999915</v>
      </c>
      <c r="BC54" s="206">
        <f t="shared" si="30"/>
        <v>31.536000000000005</v>
      </c>
      <c r="BD54" s="206">
        <f t="shared" si="31"/>
        <v>-8.9060000000000006</v>
      </c>
      <c r="BE54" s="206">
        <f t="shared" si="32"/>
        <v>22.630000000000003</v>
      </c>
      <c r="BF54" s="207">
        <f t="shared" si="33"/>
        <v>10.568999999999976</v>
      </c>
      <c r="BG54" s="219">
        <f t="shared" si="34"/>
        <v>33.200000000000003</v>
      </c>
      <c r="BH54" s="4">
        <f t="shared" si="116"/>
        <v>1987</v>
      </c>
      <c r="BI54" s="4">
        <f t="shared" si="117"/>
        <v>2</v>
      </c>
      <c r="BY54" s="22">
        <v>2000</v>
      </c>
      <c r="BZ54" s="108">
        <v>11525</v>
      </c>
      <c r="CC54" s="108">
        <f t="shared" ref="CC54:CC61" si="118">CB24-BZ54</f>
        <v>1222761</v>
      </c>
    </row>
    <row r="55" spans="1:82" ht="17.25">
      <c r="A55" s="13">
        <v>1987</v>
      </c>
      <c r="B55" s="13">
        <v>3</v>
      </c>
      <c r="C55" s="5">
        <v>708341</v>
      </c>
      <c r="D55" s="73">
        <v>915593</v>
      </c>
      <c r="E55" s="4">
        <f t="shared" si="16"/>
        <v>708341</v>
      </c>
      <c r="F55" s="4">
        <f t="shared" si="17"/>
        <v>915593</v>
      </c>
      <c r="G55" s="79">
        <f t="shared" si="18"/>
        <v>773.6</v>
      </c>
      <c r="H55" s="13"/>
      <c r="I55" s="13"/>
      <c r="J55" s="230">
        <f>'[7]RES 62 &amp; 67'!$S140</f>
        <v>54.4</v>
      </c>
      <c r="K55" s="183">
        <f t="shared" si="52"/>
        <v>77.2</v>
      </c>
      <c r="L55" s="233">
        <f t="shared" si="114"/>
        <v>22.800000000000004</v>
      </c>
      <c r="M55" s="230">
        <f>'[7]RES 62 &amp; 67'!$J140</f>
        <v>78.2</v>
      </c>
      <c r="N55" s="183">
        <f t="shared" si="53"/>
        <v>82.3</v>
      </c>
      <c r="O55" s="236">
        <f t="shared" si="115"/>
        <v>4.0999999999999943</v>
      </c>
      <c r="P55" s="206">
        <f t="shared" si="19"/>
        <v>49.248000000000012</v>
      </c>
      <c r="Q55" s="208">
        <f t="shared" si="20"/>
        <v>-13.908000000000003</v>
      </c>
      <c r="R55" s="467">
        <f t="shared" si="21"/>
        <v>35.340000000000011</v>
      </c>
      <c r="S55" s="470">
        <f t="shared" si="22"/>
        <v>11.110999999999985</v>
      </c>
      <c r="T55" s="425">
        <f t="shared" si="23"/>
        <v>46.5</v>
      </c>
      <c r="U55" s="515">
        <f t="shared" si="24"/>
        <v>915593</v>
      </c>
      <c r="V55" s="447">
        <v>31837</v>
      </c>
      <c r="W55" s="191">
        <f t="shared" si="8"/>
        <v>820.1</v>
      </c>
      <c r="X55" s="73">
        <f t="shared" si="9"/>
        <v>750878</v>
      </c>
      <c r="Y55" s="186">
        <v>0</v>
      </c>
      <c r="Z55" s="175">
        <f t="shared" si="25"/>
        <v>750878</v>
      </c>
      <c r="AA55" s="40">
        <f t="shared" si="10"/>
        <v>42537</v>
      </c>
      <c r="AB55" s="379">
        <f t="shared" si="26"/>
        <v>750878</v>
      </c>
      <c r="AC55" s="81">
        <f>'[7]Gov 65 &amp; 70'!$B140</f>
        <v>29.4</v>
      </c>
      <c r="AD55" s="4">
        <f t="shared" si="11"/>
        <v>776929</v>
      </c>
      <c r="AE55" s="4">
        <f t="shared" si="54"/>
        <v>100222</v>
      </c>
      <c r="AF55" s="23">
        <f t="shared" si="12"/>
        <v>848.6</v>
      </c>
      <c r="AG55" s="75">
        <f t="shared" si="113"/>
        <v>79.200000000000045</v>
      </c>
      <c r="AI55" s="251" t="s">
        <v>154</v>
      </c>
      <c r="AJ55" s="23"/>
      <c r="AK55" s="498">
        <v>41253.427986873081</v>
      </c>
      <c r="AU55" s="4">
        <v>1987</v>
      </c>
      <c r="AV55" s="4">
        <v>3</v>
      </c>
      <c r="AW55" s="230">
        <f>'[8]RES 62 &amp; 67'!$S140</f>
        <v>81.900000000000006</v>
      </c>
      <c r="AX55" s="200">
        <f t="shared" si="58"/>
        <v>105.8</v>
      </c>
      <c r="AY55" s="203">
        <f t="shared" si="51"/>
        <v>23.899999999999991</v>
      </c>
      <c r="AZ55" s="230">
        <f>'[8]RES 62 &amp; 67'!$J140</f>
        <v>55.9</v>
      </c>
      <c r="BA55" s="183">
        <f t="shared" si="59"/>
        <v>49.9</v>
      </c>
      <c r="BB55" s="429">
        <f t="shared" si="29"/>
        <v>-6</v>
      </c>
      <c r="BC55" s="206">
        <f t="shared" si="30"/>
        <v>51.623999999999988</v>
      </c>
      <c r="BD55" s="206">
        <f t="shared" si="31"/>
        <v>-14.578999999999995</v>
      </c>
      <c r="BE55" s="206">
        <f t="shared" si="32"/>
        <v>37.044999999999995</v>
      </c>
      <c r="BF55" s="207">
        <f t="shared" si="33"/>
        <v>-16.259999999999998</v>
      </c>
      <c r="BG55" s="219">
        <f t="shared" si="34"/>
        <v>20.8</v>
      </c>
      <c r="BH55" s="4">
        <f t="shared" si="116"/>
        <v>1987</v>
      </c>
      <c r="BI55" s="4">
        <f t="shared" si="117"/>
        <v>3</v>
      </c>
      <c r="BY55" s="22">
        <v>2001</v>
      </c>
      <c r="BZ55" s="108">
        <v>11950</v>
      </c>
      <c r="CC55" s="108">
        <f t="shared" si="118"/>
        <v>1262722</v>
      </c>
    </row>
    <row r="56" spans="1:82">
      <c r="A56" s="13">
        <v>1987</v>
      </c>
      <c r="B56" s="13">
        <v>4</v>
      </c>
      <c r="C56" s="5">
        <v>693943</v>
      </c>
      <c r="D56" s="73">
        <v>911637</v>
      </c>
      <c r="E56" s="4">
        <f t="shared" si="16"/>
        <v>693943</v>
      </c>
      <c r="F56" s="4">
        <f t="shared" si="17"/>
        <v>911637</v>
      </c>
      <c r="G56" s="79">
        <f t="shared" si="18"/>
        <v>761.2</v>
      </c>
      <c r="H56" s="13"/>
      <c r="I56" s="13"/>
      <c r="J56" s="230">
        <f>'[7]RES 62 &amp; 67'!$S141</f>
        <v>83.9</v>
      </c>
      <c r="K56" s="183">
        <f t="shared" si="52"/>
        <v>138.1</v>
      </c>
      <c r="L56" s="233">
        <f t="shared" si="114"/>
        <v>54.199999999999989</v>
      </c>
      <c r="M56" s="230">
        <f>'[7]RES 62 &amp; 67'!$J141</f>
        <v>72.599999999999994</v>
      </c>
      <c r="N56" s="183">
        <f t="shared" si="53"/>
        <v>37.299999999999997</v>
      </c>
      <c r="O56" s="236">
        <f t="shared" si="115"/>
        <v>-35.299999999999997</v>
      </c>
      <c r="P56" s="206">
        <f t="shared" si="19"/>
        <v>117.07199999999999</v>
      </c>
      <c r="Q56" s="208">
        <f t="shared" si="20"/>
        <v>-33.061999999999991</v>
      </c>
      <c r="R56" s="467">
        <f t="shared" si="21"/>
        <v>84.009999999999991</v>
      </c>
      <c r="S56" s="470">
        <f t="shared" si="22"/>
        <v>-95.662999999999997</v>
      </c>
      <c r="T56" s="425">
        <f t="shared" si="23"/>
        <v>-11.7</v>
      </c>
      <c r="U56" s="515">
        <f t="shared" si="24"/>
        <v>911637</v>
      </c>
      <c r="V56" s="447">
        <v>31868</v>
      </c>
      <c r="W56" s="191">
        <f t="shared" si="8"/>
        <v>749.5</v>
      </c>
      <c r="X56" s="73">
        <f t="shared" si="9"/>
        <v>683272</v>
      </c>
      <c r="Y56" s="186">
        <v>0</v>
      </c>
      <c r="Z56" s="175">
        <f t="shared" si="25"/>
        <v>683272</v>
      </c>
      <c r="AA56" s="40">
        <f t="shared" si="10"/>
        <v>-10671</v>
      </c>
      <c r="AB56" s="379">
        <f t="shared" si="26"/>
        <v>683272</v>
      </c>
      <c r="AC56" s="81">
        <f>'[7]Gov 65 &amp; 70'!$B141</f>
        <v>29.75</v>
      </c>
      <c r="AD56" s="4">
        <f t="shared" si="11"/>
        <v>698660</v>
      </c>
      <c r="AE56" s="4">
        <f t="shared" si="54"/>
        <v>93584</v>
      </c>
      <c r="AF56" s="23">
        <f t="shared" si="12"/>
        <v>766.4</v>
      </c>
      <c r="AG56" s="75">
        <f t="shared" si="113"/>
        <v>74.799999999999955</v>
      </c>
      <c r="AI56" s="252"/>
      <c r="AJ56" s="89"/>
      <c r="AK56" s="499">
        <f>SUM(AK54:AK55)</f>
        <v>399490</v>
      </c>
      <c r="AU56" s="4">
        <v>1987</v>
      </c>
      <c r="AV56" s="4">
        <v>4</v>
      </c>
      <c r="AW56" s="230">
        <f>'[8]RES 62 &amp; 67'!$S141</f>
        <v>116.1</v>
      </c>
      <c r="AX56" s="200">
        <f t="shared" si="58"/>
        <v>181.7</v>
      </c>
      <c r="AY56" s="203">
        <f t="shared" si="51"/>
        <v>65.599999999999994</v>
      </c>
      <c r="AZ56" s="230">
        <f>'[8]RES 62 &amp; 67'!$J141</f>
        <v>67.900000000000006</v>
      </c>
      <c r="BA56" s="183">
        <f t="shared" si="59"/>
        <v>21.5</v>
      </c>
      <c r="BB56" s="429">
        <f t="shared" si="29"/>
        <v>-46.400000000000006</v>
      </c>
      <c r="BC56" s="206">
        <f t="shared" si="30"/>
        <v>141.696</v>
      </c>
      <c r="BD56" s="206">
        <f t="shared" si="31"/>
        <v>-20.007999999999999</v>
      </c>
      <c r="BE56" s="206">
        <f t="shared" si="32"/>
        <v>121.688</v>
      </c>
      <c r="BF56" s="207">
        <f t="shared" si="33"/>
        <v>-125.74400000000001</v>
      </c>
      <c r="BG56" s="219">
        <f t="shared" si="34"/>
        <v>-4.0999999999999996</v>
      </c>
      <c r="BH56" s="4">
        <f t="shared" si="116"/>
        <v>1987</v>
      </c>
      <c r="BI56" s="4">
        <f t="shared" si="117"/>
        <v>4</v>
      </c>
      <c r="BY56" s="22">
        <v>2002</v>
      </c>
      <c r="BZ56" s="108">
        <v>12204</v>
      </c>
      <c r="CC56" s="108">
        <f t="shared" si="118"/>
        <v>1289311</v>
      </c>
    </row>
    <row r="57" spans="1:82">
      <c r="A57" s="13">
        <v>1987</v>
      </c>
      <c r="B57" s="13">
        <v>5</v>
      </c>
      <c r="C57" s="5">
        <v>669332</v>
      </c>
      <c r="D57" s="73">
        <v>897058</v>
      </c>
      <c r="E57" s="4">
        <f t="shared" si="16"/>
        <v>669332</v>
      </c>
      <c r="F57" s="4">
        <f t="shared" si="17"/>
        <v>897058</v>
      </c>
      <c r="G57" s="79">
        <f t="shared" si="18"/>
        <v>746.1</v>
      </c>
      <c r="H57" s="13"/>
      <c r="I57" s="13"/>
      <c r="J57" s="230">
        <f>'[7]RES 62 &amp; 67'!$S142</f>
        <v>196.8</v>
      </c>
      <c r="K57" s="183">
        <f t="shared" si="52"/>
        <v>224.4</v>
      </c>
      <c r="L57" s="233">
        <f t="shared" si="114"/>
        <v>27.599999999999994</v>
      </c>
      <c r="M57" s="230">
        <f>'[7]RES 62 &amp; 67'!$J142</f>
        <v>26.5</v>
      </c>
      <c r="N57" s="183">
        <f t="shared" si="53"/>
        <v>11.2</v>
      </c>
      <c r="O57" s="236">
        <f t="shared" si="115"/>
        <v>-15.3</v>
      </c>
      <c r="P57" s="206">
        <f t="shared" si="19"/>
        <v>59.615999999999993</v>
      </c>
      <c r="Q57" s="208">
        <f t="shared" si="20"/>
        <v>0</v>
      </c>
      <c r="R57" s="467">
        <f t="shared" si="21"/>
        <v>59.615999999999993</v>
      </c>
      <c r="S57" s="470">
        <f t="shared" si="22"/>
        <v>-41.463000000000001</v>
      </c>
      <c r="T57" s="425">
        <f t="shared" si="23"/>
        <v>18.2</v>
      </c>
      <c r="U57" s="515">
        <f t="shared" si="24"/>
        <v>897058</v>
      </c>
      <c r="V57" s="447">
        <v>31898</v>
      </c>
      <c r="W57" s="191">
        <f t="shared" si="8"/>
        <v>764.30000000000007</v>
      </c>
      <c r="X57" s="73">
        <f t="shared" si="9"/>
        <v>685621</v>
      </c>
      <c r="Y57" s="186">
        <v>0</v>
      </c>
      <c r="Z57" s="175">
        <f t="shared" si="25"/>
        <v>685621</v>
      </c>
      <c r="AA57" s="40">
        <f t="shared" si="10"/>
        <v>16289</v>
      </c>
      <c r="AB57" s="379">
        <f t="shared" si="26"/>
        <v>685621</v>
      </c>
      <c r="AC57" s="81">
        <f>'[7]Gov 65 &amp; 70'!$B142</f>
        <v>30.5</v>
      </c>
      <c r="AD57" s="4">
        <f t="shared" si="11"/>
        <v>683823</v>
      </c>
      <c r="AE57" s="4">
        <f t="shared" si="54"/>
        <v>66933</v>
      </c>
      <c r="AF57" s="23">
        <f t="shared" si="12"/>
        <v>762.3</v>
      </c>
      <c r="AG57" s="75">
        <f t="shared" si="113"/>
        <v>46.899999999999977</v>
      </c>
      <c r="AI57" s="24" t="s">
        <v>195</v>
      </c>
      <c r="AU57" s="4">
        <v>1987</v>
      </c>
      <c r="AV57" s="4">
        <v>5</v>
      </c>
      <c r="AW57" s="230">
        <f>'[8]RES 62 &amp; 67'!$S142</f>
        <v>319.8</v>
      </c>
      <c r="AX57" s="200">
        <f t="shared" si="58"/>
        <v>336.7</v>
      </c>
      <c r="AY57" s="203">
        <f t="shared" si="51"/>
        <v>16.899999999999977</v>
      </c>
      <c r="AZ57" s="230">
        <f>'[8]RES 62 &amp; 67'!$J142</f>
        <v>1.9</v>
      </c>
      <c r="BA57" s="183">
        <f t="shared" si="59"/>
        <v>2.1</v>
      </c>
      <c r="BB57" s="429">
        <f t="shared" si="29"/>
        <v>0.20000000000000018</v>
      </c>
      <c r="BC57" s="206">
        <f t="shared" si="30"/>
        <v>36.503999999999955</v>
      </c>
      <c r="BD57" s="206">
        <f t="shared" si="31"/>
        <v>0</v>
      </c>
      <c r="BE57" s="206">
        <f t="shared" si="32"/>
        <v>36.503999999999955</v>
      </c>
      <c r="BF57" s="207">
        <f t="shared" si="33"/>
        <v>0.54200000000000048</v>
      </c>
      <c r="BG57" s="219">
        <f t="shared" si="34"/>
        <v>37</v>
      </c>
      <c r="BH57" s="4">
        <f t="shared" si="116"/>
        <v>1987</v>
      </c>
      <c r="BI57" s="4">
        <f t="shared" si="117"/>
        <v>5</v>
      </c>
      <c r="BY57" s="22">
        <v>2003</v>
      </c>
      <c r="BZ57" s="108">
        <v>12442</v>
      </c>
      <c r="CC57" s="108">
        <f t="shared" si="118"/>
        <v>1319472</v>
      </c>
    </row>
    <row r="58" spans="1:82">
      <c r="A58" s="13">
        <v>1987</v>
      </c>
      <c r="B58" s="13">
        <v>6</v>
      </c>
      <c r="C58" s="5">
        <v>874517</v>
      </c>
      <c r="D58" s="73">
        <v>895849</v>
      </c>
      <c r="E58" s="4">
        <f t="shared" si="16"/>
        <v>874517</v>
      </c>
      <c r="F58" s="4">
        <f t="shared" si="17"/>
        <v>895849</v>
      </c>
      <c r="G58" s="79">
        <f t="shared" si="18"/>
        <v>976.2</v>
      </c>
      <c r="H58" s="13"/>
      <c r="I58" s="13"/>
      <c r="J58" s="230">
        <f>'[7]RES 62 &amp; 67'!$S143</f>
        <v>375</v>
      </c>
      <c r="K58" s="183">
        <f t="shared" si="52"/>
        <v>382.8</v>
      </c>
      <c r="L58" s="233">
        <f t="shared" si="114"/>
        <v>7.8000000000000114</v>
      </c>
      <c r="M58" s="230">
        <f>'[7]RES 62 &amp; 67'!$J143</f>
        <v>0.5</v>
      </c>
      <c r="N58" s="183">
        <f t="shared" si="53"/>
        <v>0.9</v>
      </c>
      <c r="O58" s="236">
        <f t="shared" si="115"/>
        <v>0.4</v>
      </c>
      <c r="P58" s="206">
        <f t="shared" si="19"/>
        <v>16.848000000000027</v>
      </c>
      <c r="Q58" s="208">
        <f t="shared" si="20"/>
        <v>0</v>
      </c>
      <c r="R58" s="467">
        <f t="shared" si="21"/>
        <v>16.848000000000027</v>
      </c>
      <c r="S58" s="470">
        <f t="shared" si="22"/>
        <v>1.0840000000000001</v>
      </c>
      <c r="T58" s="425">
        <f t="shared" si="23"/>
        <v>17.899999999999999</v>
      </c>
      <c r="U58" s="515">
        <f t="shared" si="24"/>
        <v>895849</v>
      </c>
      <c r="V58" s="447">
        <v>31929</v>
      </c>
      <c r="W58" s="191">
        <f t="shared" si="8"/>
        <v>994.1</v>
      </c>
      <c r="X58" s="73">
        <f t="shared" si="9"/>
        <v>890563</v>
      </c>
      <c r="Y58" s="186">
        <v>0</v>
      </c>
      <c r="Z58" s="175">
        <f t="shared" si="25"/>
        <v>890563</v>
      </c>
      <c r="AA58" s="40">
        <f t="shared" si="10"/>
        <v>16046</v>
      </c>
      <c r="AB58" s="379">
        <f t="shared" si="26"/>
        <v>890563</v>
      </c>
      <c r="AC58" s="81">
        <f>'[7]Gov 65 &amp; 70'!$B143</f>
        <v>30.75</v>
      </c>
      <c r="AD58" s="4">
        <f t="shared" si="11"/>
        <v>881006</v>
      </c>
      <c r="AE58" s="4">
        <f t="shared" si="54"/>
        <v>102416</v>
      </c>
      <c r="AF58" s="23">
        <f t="shared" si="12"/>
        <v>983.4</v>
      </c>
      <c r="AG58" s="75">
        <f t="shared" si="113"/>
        <v>76.600000000000023</v>
      </c>
      <c r="AI58" s="305" t="s">
        <v>196</v>
      </c>
      <c r="AJ58" s="23"/>
      <c r="AK58" s="23"/>
      <c r="AL58" s="23"/>
      <c r="AM58" s="23"/>
      <c r="AN58" s="23"/>
      <c r="AO58" s="23"/>
      <c r="AP58" s="23"/>
      <c r="AQ58" s="23"/>
      <c r="AU58" s="4">
        <v>1987</v>
      </c>
      <c r="AV58" s="4">
        <v>6</v>
      </c>
      <c r="AW58" s="230">
        <f>'[8]RES 62 &amp; 67'!$S143</f>
        <v>460.1</v>
      </c>
      <c r="AX58" s="200">
        <f t="shared" si="58"/>
        <v>425.2</v>
      </c>
      <c r="AY58" s="203">
        <f t="shared" si="51"/>
        <v>-34.900000000000034</v>
      </c>
      <c r="AZ58" s="230">
        <f>'[8]RES 62 &amp; 67'!$J143</f>
        <v>0</v>
      </c>
      <c r="BA58" s="183">
        <f t="shared" si="59"/>
        <v>0</v>
      </c>
      <c r="BB58" s="429">
        <f t="shared" si="29"/>
        <v>0</v>
      </c>
      <c r="BC58" s="206">
        <f t="shared" si="30"/>
        <v>-75.384000000000086</v>
      </c>
      <c r="BD58" s="206">
        <f t="shared" si="31"/>
        <v>0</v>
      </c>
      <c r="BE58" s="206">
        <f t="shared" si="32"/>
        <v>-75.384000000000086</v>
      </c>
      <c r="BF58" s="207">
        <f t="shared" si="33"/>
        <v>0</v>
      </c>
      <c r="BG58" s="219">
        <f t="shared" si="34"/>
        <v>-75.400000000000006</v>
      </c>
      <c r="BH58" s="4">
        <f t="shared" si="116"/>
        <v>1987</v>
      </c>
      <c r="BI58" s="4">
        <f t="shared" si="117"/>
        <v>6</v>
      </c>
      <c r="BY58" s="51">
        <v>2004</v>
      </c>
      <c r="BZ58" s="108">
        <v>13171</v>
      </c>
      <c r="CA58" s="23"/>
      <c r="CB58" s="23"/>
      <c r="CC58" s="108">
        <f t="shared" si="118"/>
        <v>1351506</v>
      </c>
      <c r="CD58" s="23"/>
    </row>
    <row r="59" spans="1:82">
      <c r="A59" s="13">
        <v>1987</v>
      </c>
      <c r="B59" s="13">
        <v>7</v>
      </c>
      <c r="C59" s="5">
        <v>1117089</v>
      </c>
      <c r="D59" s="73">
        <v>895833</v>
      </c>
      <c r="E59" s="4">
        <f t="shared" si="16"/>
        <v>1117089</v>
      </c>
      <c r="F59" s="4">
        <f t="shared" si="17"/>
        <v>895833</v>
      </c>
      <c r="G59" s="79">
        <f t="shared" si="18"/>
        <v>1247</v>
      </c>
      <c r="H59" s="13"/>
      <c r="I59" s="13"/>
      <c r="J59" s="230">
        <f>'[7]RES 62 &amp; 67'!$S144</f>
        <v>491.8</v>
      </c>
      <c r="K59" s="183">
        <f t="shared" si="52"/>
        <v>454.9</v>
      </c>
      <c r="L59" s="233">
        <f t="shared" si="114"/>
        <v>-36.900000000000034</v>
      </c>
      <c r="M59" s="230">
        <f>'[7]RES 62 &amp; 67'!$J144</f>
        <v>0</v>
      </c>
      <c r="N59" s="183">
        <f t="shared" si="53"/>
        <v>0</v>
      </c>
      <c r="O59" s="236">
        <f t="shared" si="115"/>
        <v>0</v>
      </c>
      <c r="P59" s="206">
        <f t="shared" si="19"/>
        <v>-79.704000000000079</v>
      </c>
      <c r="Q59" s="208">
        <f t="shared" si="20"/>
        <v>0</v>
      </c>
      <c r="R59" s="467">
        <f t="shared" si="21"/>
        <v>-79.704000000000079</v>
      </c>
      <c r="S59" s="470">
        <f t="shared" si="22"/>
        <v>0</v>
      </c>
      <c r="T59" s="425">
        <f t="shared" si="23"/>
        <v>-79.7</v>
      </c>
      <c r="U59" s="515">
        <f t="shared" si="24"/>
        <v>895833</v>
      </c>
      <c r="V59" s="447">
        <v>31959</v>
      </c>
      <c r="W59" s="191">
        <f t="shared" si="8"/>
        <v>1167.3</v>
      </c>
      <c r="X59" s="73">
        <f t="shared" si="9"/>
        <v>1045706</v>
      </c>
      <c r="Y59" s="186">
        <v>0</v>
      </c>
      <c r="Z59" s="175">
        <f t="shared" si="25"/>
        <v>1045706</v>
      </c>
      <c r="AA59" s="40">
        <f t="shared" si="10"/>
        <v>-71383</v>
      </c>
      <c r="AB59" s="379">
        <f t="shared" si="26"/>
        <v>1045706</v>
      </c>
      <c r="AC59" s="81">
        <f>'[7]Gov 65 &amp; 70'!$B144</f>
        <v>30.8</v>
      </c>
      <c r="AD59" s="4">
        <f t="shared" si="11"/>
        <v>1032804</v>
      </c>
      <c r="AE59" s="4">
        <f t="shared" si="54"/>
        <v>60475</v>
      </c>
      <c r="AF59" s="23">
        <f t="shared" si="12"/>
        <v>1152.9000000000001</v>
      </c>
      <c r="AG59" s="75">
        <f t="shared" si="113"/>
        <v>22.100000000000136</v>
      </c>
      <c r="AI59" s="13" t="s">
        <v>194</v>
      </c>
      <c r="AU59" s="4">
        <v>1987</v>
      </c>
      <c r="AV59" s="4">
        <v>7</v>
      </c>
      <c r="AW59" s="230">
        <f>'[8]RES 62 &amp; 67'!$S144</f>
        <v>506.9</v>
      </c>
      <c r="AX59" s="200">
        <f t="shared" si="58"/>
        <v>484.1</v>
      </c>
      <c r="AY59" s="203">
        <f t="shared" si="51"/>
        <v>-22.799999999999955</v>
      </c>
      <c r="AZ59" s="230">
        <f>'[8]RES 62 &amp; 67'!$J144</f>
        <v>0</v>
      </c>
      <c r="BA59" s="183">
        <f t="shared" si="59"/>
        <v>0</v>
      </c>
      <c r="BB59" s="429">
        <f t="shared" si="29"/>
        <v>0</v>
      </c>
      <c r="BC59" s="206">
        <f t="shared" si="30"/>
        <v>-49.247999999999905</v>
      </c>
      <c r="BD59" s="206">
        <f t="shared" si="31"/>
        <v>0</v>
      </c>
      <c r="BE59" s="206">
        <f t="shared" si="32"/>
        <v>-49.247999999999905</v>
      </c>
      <c r="BF59" s="207">
        <f t="shared" si="33"/>
        <v>0</v>
      </c>
      <c r="BG59" s="219">
        <f t="shared" si="34"/>
        <v>-49.2</v>
      </c>
      <c r="BH59" s="4">
        <f t="shared" si="116"/>
        <v>1987</v>
      </c>
      <c r="BI59" s="4">
        <f t="shared" si="117"/>
        <v>7</v>
      </c>
      <c r="BY59" s="51">
        <v>2005</v>
      </c>
      <c r="BZ59" s="108">
        <v>5144</v>
      </c>
      <c r="CA59" s="23"/>
      <c r="CB59" s="23"/>
      <c r="CC59" s="108">
        <f t="shared" si="118"/>
        <v>1391868</v>
      </c>
      <c r="CD59" s="23"/>
    </row>
    <row r="60" spans="1:82">
      <c r="A60" s="13">
        <v>1987</v>
      </c>
      <c r="B60" s="13">
        <v>8</v>
      </c>
      <c r="C60" s="5">
        <v>1151138</v>
      </c>
      <c r="D60" s="73">
        <v>898878</v>
      </c>
      <c r="E60" s="4">
        <f t="shared" si="16"/>
        <v>1151138</v>
      </c>
      <c r="F60" s="4">
        <f t="shared" si="17"/>
        <v>898878</v>
      </c>
      <c r="G60" s="79">
        <f t="shared" si="18"/>
        <v>1280.5999999999999</v>
      </c>
      <c r="H60" s="13"/>
      <c r="I60" s="13"/>
      <c r="J60" s="230">
        <f>'[7]RES 62 &amp; 67'!$S145</f>
        <v>506.9</v>
      </c>
      <c r="K60" s="183">
        <f t="shared" si="52"/>
        <v>481.4</v>
      </c>
      <c r="L60" s="233">
        <f t="shared" si="114"/>
        <v>-25.5</v>
      </c>
      <c r="M60" s="230">
        <f>'[7]RES 62 &amp; 67'!$J145</f>
        <v>0</v>
      </c>
      <c r="N60" s="183">
        <f t="shared" si="53"/>
        <v>0</v>
      </c>
      <c r="O60" s="236">
        <f t="shared" si="115"/>
        <v>0</v>
      </c>
      <c r="P60" s="206">
        <f t="shared" si="19"/>
        <v>-55.080000000000005</v>
      </c>
      <c r="Q60" s="208">
        <f t="shared" si="20"/>
        <v>0</v>
      </c>
      <c r="R60" s="467">
        <f t="shared" si="21"/>
        <v>-55.080000000000005</v>
      </c>
      <c r="S60" s="470">
        <f t="shared" si="22"/>
        <v>0</v>
      </c>
      <c r="T60" s="425">
        <f t="shared" si="23"/>
        <v>-55.1</v>
      </c>
      <c r="U60" s="515">
        <f t="shared" si="24"/>
        <v>898878</v>
      </c>
      <c r="V60" s="447">
        <v>31990</v>
      </c>
      <c r="W60" s="191">
        <f t="shared" si="8"/>
        <v>1225.5</v>
      </c>
      <c r="X60" s="73">
        <f t="shared" si="9"/>
        <v>1101575</v>
      </c>
      <c r="Y60" s="186">
        <v>0</v>
      </c>
      <c r="Z60" s="175">
        <f t="shared" si="25"/>
        <v>1101575</v>
      </c>
      <c r="AA60" s="40">
        <f t="shared" si="10"/>
        <v>-49563</v>
      </c>
      <c r="AB60" s="379">
        <f t="shared" si="26"/>
        <v>1101575</v>
      </c>
      <c r="AC60" s="81">
        <f>'[7]Gov 65 &amp; 70'!$B145</f>
        <v>30.8</v>
      </c>
      <c r="AD60" s="4">
        <f t="shared" si="11"/>
        <v>1087984</v>
      </c>
      <c r="AE60" s="4">
        <f t="shared" si="54"/>
        <v>91017</v>
      </c>
      <c r="AF60" s="23">
        <f t="shared" si="12"/>
        <v>1210.4000000000001</v>
      </c>
      <c r="AG60" s="75">
        <f t="shared" si="113"/>
        <v>53.900000000000091</v>
      </c>
      <c r="AI60" s="13" t="s">
        <v>194</v>
      </c>
      <c r="AU60" s="4">
        <v>1987</v>
      </c>
      <c r="AV60" s="4">
        <v>8</v>
      </c>
      <c r="AW60" s="230">
        <f>'[8]RES 62 &amp; 67'!$S145</f>
        <v>523.4</v>
      </c>
      <c r="AX60" s="200">
        <f t="shared" si="58"/>
        <v>487.3</v>
      </c>
      <c r="AY60" s="203">
        <f t="shared" si="51"/>
        <v>-36.099999999999966</v>
      </c>
      <c r="AZ60" s="230">
        <f>'[8]RES 62 &amp; 67'!$J145</f>
        <v>0</v>
      </c>
      <c r="BA60" s="183">
        <f t="shared" si="59"/>
        <v>0</v>
      </c>
      <c r="BB60" s="429">
        <f t="shared" si="29"/>
        <v>0</v>
      </c>
      <c r="BC60" s="206">
        <f t="shared" si="30"/>
        <v>-77.975999999999928</v>
      </c>
      <c r="BD60" s="206">
        <f t="shared" si="31"/>
        <v>0</v>
      </c>
      <c r="BE60" s="206">
        <f t="shared" si="32"/>
        <v>-77.975999999999928</v>
      </c>
      <c r="BF60" s="207">
        <f t="shared" si="33"/>
        <v>0</v>
      </c>
      <c r="BG60" s="219">
        <f t="shared" si="34"/>
        <v>-78</v>
      </c>
      <c r="BH60" s="4">
        <f t="shared" si="116"/>
        <v>1987</v>
      </c>
      <c r="BI60" s="4">
        <f t="shared" si="117"/>
        <v>8</v>
      </c>
      <c r="BY60" s="51">
        <v>2006</v>
      </c>
      <c r="BZ60" s="108">
        <v>0</v>
      </c>
      <c r="CA60" s="23"/>
      <c r="CB60" s="23"/>
      <c r="CC60" s="108">
        <f t="shared" si="118"/>
        <v>1431743</v>
      </c>
      <c r="CD60" s="23"/>
    </row>
    <row r="61" spans="1:82">
      <c r="A61" s="13">
        <v>1987</v>
      </c>
      <c r="B61" s="13">
        <v>9</v>
      </c>
      <c r="C61" s="5">
        <v>1157047</v>
      </c>
      <c r="D61" s="73">
        <v>901670</v>
      </c>
      <c r="E61" s="4">
        <f t="shared" si="16"/>
        <v>1157047</v>
      </c>
      <c r="F61" s="4">
        <f t="shared" si="17"/>
        <v>901670</v>
      </c>
      <c r="G61" s="79">
        <f t="shared" si="18"/>
        <v>1283.2</v>
      </c>
      <c r="H61" s="13"/>
      <c r="I61" s="13"/>
      <c r="J61" s="230">
        <f>'[7]RES 62 &amp; 67'!$S146</f>
        <v>490.5</v>
      </c>
      <c r="K61" s="183">
        <f t="shared" si="52"/>
        <v>473.7</v>
      </c>
      <c r="L61" s="233">
        <f t="shared" si="114"/>
        <v>-16.800000000000011</v>
      </c>
      <c r="M61" s="230">
        <f>'[7]RES 62 &amp; 67'!$J146</f>
        <v>0</v>
      </c>
      <c r="N61" s="183">
        <f t="shared" si="53"/>
        <v>0</v>
      </c>
      <c r="O61" s="236">
        <f t="shared" si="115"/>
        <v>0</v>
      </c>
      <c r="P61" s="206">
        <f t="shared" si="19"/>
        <v>-36.288000000000025</v>
      </c>
      <c r="Q61" s="208">
        <f t="shared" si="20"/>
        <v>0</v>
      </c>
      <c r="R61" s="467">
        <f t="shared" si="21"/>
        <v>-36.288000000000025</v>
      </c>
      <c r="S61" s="470">
        <f t="shared" si="22"/>
        <v>0</v>
      </c>
      <c r="T61" s="425">
        <f t="shared" si="23"/>
        <v>-36.299999999999997</v>
      </c>
      <c r="U61" s="515">
        <f t="shared" si="24"/>
        <v>901670</v>
      </c>
      <c r="V61" s="447">
        <v>32021</v>
      </c>
      <c r="W61" s="191">
        <f t="shared" si="8"/>
        <v>1246.9000000000001</v>
      </c>
      <c r="X61" s="73">
        <f t="shared" si="9"/>
        <v>1124292</v>
      </c>
      <c r="Y61" s="186">
        <v>0</v>
      </c>
      <c r="Z61" s="175">
        <f t="shared" si="25"/>
        <v>1124292</v>
      </c>
      <c r="AA61" s="40">
        <f t="shared" si="10"/>
        <v>-32755</v>
      </c>
      <c r="AB61" s="379">
        <f t="shared" si="26"/>
        <v>1124292</v>
      </c>
      <c r="AC61" s="81">
        <f>'[7]Gov 65 &amp; 70'!$B146</f>
        <v>30.25</v>
      </c>
      <c r="AD61" s="4">
        <f t="shared" si="11"/>
        <v>1130610</v>
      </c>
      <c r="AE61" s="4">
        <f t="shared" si="54"/>
        <v>129826</v>
      </c>
      <c r="AF61" s="23">
        <f t="shared" si="12"/>
        <v>1253.9000000000001</v>
      </c>
      <c r="AG61" s="75">
        <f t="shared" si="113"/>
        <v>99</v>
      </c>
      <c r="AI61" s="13" t="s">
        <v>194</v>
      </c>
      <c r="AU61" s="4">
        <v>1987</v>
      </c>
      <c r="AV61" s="4">
        <v>9</v>
      </c>
      <c r="AW61" s="230">
        <f>'[8]RES 62 &amp; 67'!$S146</f>
        <v>433.9</v>
      </c>
      <c r="AX61" s="200">
        <f t="shared" si="58"/>
        <v>428.3</v>
      </c>
      <c r="AY61" s="203">
        <f t="shared" si="51"/>
        <v>-5.5999999999999659</v>
      </c>
      <c r="AZ61" s="230">
        <f>'[8]RES 62 &amp; 67'!$J146</f>
        <v>0.3</v>
      </c>
      <c r="BA61" s="183">
        <f t="shared" si="59"/>
        <v>0</v>
      </c>
      <c r="BB61" s="429">
        <f t="shared" si="29"/>
        <v>-0.3</v>
      </c>
      <c r="BC61" s="206">
        <f t="shared" si="30"/>
        <v>-12.095999999999927</v>
      </c>
      <c r="BD61" s="206">
        <f t="shared" si="31"/>
        <v>0</v>
      </c>
      <c r="BE61" s="206">
        <f t="shared" si="32"/>
        <v>-12.095999999999927</v>
      </c>
      <c r="BF61" s="207">
        <f t="shared" si="33"/>
        <v>-0.81299999999999994</v>
      </c>
      <c r="BG61" s="219">
        <f t="shared" si="34"/>
        <v>-12.9</v>
      </c>
      <c r="BH61" s="4">
        <f t="shared" si="116"/>
        <v>1987</v>
      </c>
      <c r="BI61" s="4">
        <f t="shared" si="117"/>
        <v>9</v>
      </c>
      <c r="BY61" s="51">
        <v>2007</v>
      </c>
      <c r="BZ61" s="23"/>
      <c r="CA61" s="23"/>
      <c r="CB61" s="23"/>
      <c r="CC61" s="108">
        <f t="shared" si="118"/>
        <v>1442853</v>
      </c>
      <c r="CD61" s="23"/>
    </row>
    <row r="62" spans="1:82">
      <c r="A62" s="13">
        <v>1987</v>
      </c>
      <c r="B62" s="13">
        <v>10</v>
      </c>
      <c r="C62" s="5">
        <v>901124</v>
      </c>
      <c r="D62" s="73">
        <v>907632</v>
      </c>
      <c r="E62" s="4">
        <f t="shared" si="16"/>
        <v>901124</v>
      </c>
      <c r="F62" s="4">
        <f t="shared" si="17"/>
        <v>907632</v>
      </c>
      <c r="G62" s="79">
        <f t="shared" si="18"/>
        <v>992.8</v>
      </c>
      <c r="H62" s="13"/>
      <c r="I62" s="13"/>
      <c r="J62" s="230">
        <f>'[7]RES 62 &amp; 67'!$S147</f>
        <v>340</v>
      </c>
      <c r="K62" s="183">
        <f t="shared" si="52"/>
        <v>373.2</v>
      </c>
      <c r="L62" s="233">
        <f t="shared" si="114"/>
        <v>33.199999999999989</v>
      </c>
      <c r="M62" s="230">
        <f>'[7]RES 62 &amp; 67'!$J147</f>
        <v>5.5</v>
      </c>
      <c r="N62" s="183">
        <f t="shared" si="53"/>
        <v>1.3</v>
      </c>
      <c r="O62" s="236">
        <f t="shared" si="115"/>
        <v>-4.2</v>
      </c>
      <c r="P62" s="206">
        <f t="shared" si="19"/>
        <v>71.711999999999975</v>
      </c>
      <c r="Q62" s="208">
        <f t="shared" si="20"/>
        <v>0</v>
      </c>
      <c r="R62" s="467">
        <f t="shared" si="21"/>
        <v>71.711999999999975</v>
      </c>
      <c r="S62" s="470">
        <f t="shared" si="22"/>
        <v>-11.382</v>
      </c>
      <c r="T62" s="425">
        <f t="shared" si="23"/>
        <v>60.3</v>
      </c>
      <c r="U62" s="515">
        <f t="shared" si="24"/>
        <v>907632</v>
      </c>
      <c r="V62" s="447">
        <v>32051</v>
      </c>
      <c r="W62" s="191">
        <f t="shared" si="8"/>
        <v>1053.0999999999999</v>
      </c>
      <c r="X62" s="73">
        <f t="shared" si="9"/>
        <v>955827</v>
      </c>
      <c r="Y62" s="186">
        <v>0</v>
      </c>
      <c r="Z62" s="175">
        <f t="shared" si="25"/>
        <v>955827</v>
      </c>
      <c r="AA62" s="40">
        <f t="shared" si="10"/>
        <v>54703</v>
      </c>
      <c r="AB62" s="379">
        <f t="shared" si="26"/>
        <v>955827</v>
      </c>
      <c r="AC62" s="81">
        <f>'[7]Gov 65 &amp; 70'!$B147</f>
        <v>29.95</v>
      </c>
      <c r="AD62" s="4">
        <f t="shared" si="11"/>
        <v>970827</v>
      </c>
      <c r="AE62" s="4">
        <f t="shared" si="54"/>
        <v>90533</v>
      </c>
      <c r="AF62" s="23">
        <f t="shared" si="12"/>
        <v>1069.5999999999999</v>
      </c>
      <c r="AG62" s="75">
        <f t="shared" ref="AG62:AG77" si="119">AF62-AF50</f>
        <v>60.799999999999955</v>
      </c>
      <c r="AI62" s="13" t="s">
        <v>194</v>
      </c>
      <c r="AU62" s="4">
        <v>1987</v>
      </c>
      <c r="AV62" s="4">
        <v>10</v>
      </c>
      <c r="AW62" s="230">
        <f>'[8]RES 62 &amp; 67'!$S147</f>
        <v>167.1</v>
      </c>
      <c r="AX62" s="200">
        <f t="shared" si="58"/>
        <v>277.60000000000002</v>
      </c>
      <c r="AY62" s="203">
        <f t="shared" si="51"/>
        <v>110.50000000000003</v>
      </c>
      <c r="AZ62" s="230">
        <f>'[8]RES 62 &amp; 67'!$J147</f>
        <v>20.399999999999999</v>
      </c>
      <c r="BA62" s="183">
        <f t="shared" si="59"/>
        <v>8.5</v>
      </c>
      <c r="BB62" s="429">
        <f t="shared" si="29"/>
        <v>-11.899999999999999</v>
      </c>
      <c r="BC62" s="206">
        <f t="shared" si="30"/>
        <v>238.68000000000006</v>
      </c>
      <c r="BD62" s="206">
        <f t="shared" si="31"/>
        <v>0</v>
      </c>
      <c r="BE62" s="206">
        <f t="shared" si="32"/>
        <v>238.68000000000006</v>
      </c>
      <c r="BF62" s="207">
        <f t="shared" si="33"/>
        <v>-32.248999999999995</v>
      </c>
      <c r="BG62" s="219">
        <f t="shared" si="34"/>
        <v>206.4</v>
      </c>
      <c r="BH62" s="4">
        <f t="shared" si="116"/>
        <v>1987</v>
      </c>
      <c r="BI62" s="4">
        <f t="shared" si="117"/>
        <v>10</v>
      </c>
    </row>
    <row r="63" spans="1:82">
      <c r="A63" s="13">
        <v>1987</v>
      </c>
      <c r="B63" s="13">
        <v>11</v>
      </c>
      <c r="C63" s="5">
        <v>626592</v>
      </c>
      <c r="D63" s="73">
        <v>921379</v>
      </c>
      <c r="E63" s="4">
        <f t="shared" si="16"/>
        <v>626592</v>
      </c>
      <c r="F63" s="4">
        <f t="shared" si="17"/>
        <v>921379</v>
      </c>
      <c r="G63" s="79">
        <f t="shared" si="18"/>
        <v>680.1</v>
      </c>
      <c r="H63" s="13"/>
      <c r="I63" s="13"/>
      <c r="J63" s="230">
        <f>'[7]RES 62 &amp; 67'!$S148</f>
        <v>150.19999999999999</v>
      </c>
      <c r="K63" s="183">
        <f t="shared" si="52"/>
        <v>204.3</v>
      </c>
      <c r="L63" s="233">
        <f t="shared" si="114"/>
        <v>54.100000000000023</v>
      </c>
      <c r="M63" s="230">
        <f>'[7]RES 62 &amp; 67'!$J148</f>
        <v>25.5</v>
      </c>
      <c r="N63" s="183">
        <f t="shared" si="53"/>
        <v>24.1</v>
      </c>
      <c r="O63" s="236">
        <f t="shared" si="115"/>
        <v>-1.3999999999999986</v>
      </c>
      <c r="P63" s="206">
        <f t="shared" si="19"/>
        <v>116.85600000000005</v>
      </c>
      <c r="Q63" s="208">
        <f t="shared" si="20"/>
        <v>0</v>
      </c>
      <c r="R63" s="467">
        <f t="shared" si="21"/>
        <v>116.85600000000005</v>
      </c>
      <c r="S63" s="470">
        <f t="shared" si="22"/>
        <v>-3.793999999999996</v>
      </c>
      <c r="T63" s="425">
        <f t="shared" si="23"/>
        <v>113.1</v>
      </c>
      <c r="U63" s="515">
        <f t="shared" si="24"/>
        <v>921379</v>
      </c>
      <c r="V63" s="447">
        <v>32082</v>
      </c>
      <c r="W63" s="191">
        <f t="shared" si="8"/>
        <v>793.2</v>
      </c>
      <c r="X63" s="73">
        <f t="shared" si="9"/>
        <v>730838</v>
      </c>
      <c r="Y63" s="186">
        <v>0</v>
      </c>
      <c r="Z63" s="175">
        <f t="shared" si="25"/>
        <v>730838</v>
      </c>
      <c r="AA63" s="40">
        <f t="shared" si="10"/>
        <v>104246</v>
      </c>
      <c r="AB63" s="379">
        <f t="shared" si="26"/>
        <v>730838</v>
      </c>
      <c r="AC63" s="81">
        <f>'[7]Gov 65 &amp; 70'!$B148</f>
        <v>30.05</v>
      </c>
      <c r="AD63" s="4">
        <f t="shared" si="11"/>
        <v>739837</v>
      </c>
      <c r="AE63" s="4">
        <f t="shared" si="54"/>
        <v>102694</v>
      </c>
      <c r="AF63" s="23">
        <f t="shared" si="12"/>
        <v>803</v>
      </c>
      <c r="AG63" s="75">
        <f t="shared" si="119"/>
        <v>84.200000000000045</v>
      </c>
      <c r="AI63" s="13" t="s">
        <v>194</v>
      </c>
      <c r="AU63" s="4">
        <v>1987</v>
      </c>
      <c r="AV63" s="4">
        <v>11</v>
      </c>
      <c r="AW63" s="230">
        <f>'[8]RES 62 &amp; 67'!$S148</f>
        <v>114.6</v>
      </c>
      <c r="AX63" s="200">
        <f t="shared" si="58"/>
        <v>110.2</v>
      </c>
      <c r="AY63" s="203">
        <f t="shared" si="51"/>
        <v>-4.3999999999999915</v>
      </c>
      <c r="AZ63" s="230">
        <f>'[8]RES 62 &amp; 67'!$J148</f>
        <v>47</v>
      </c>
      <c r="BA63" s="183">
        <f t="shared" si="59"/>
        <v>45.3</v>
      </c>
      <c r="BB63" s="429">
        <f t="shared" si="29"/>
        <v>-1.7000000000000028</v>
      </c>
      <c r="BC63" s="206">
        <f t="shared" si="30"/>
        <v>-9.5039999999999818</v>
      </c>
      <c r="BD63" s="206">
        <f t="shared" si="31"/>
        <v>1.3419999999999974</v>
      </c>
      <c r="BE63" s="206">
        <f t="shared" si="32"/>
        <v>-8.1619999999999848</v>
      </c>
      <c r="BF63" s="207">
        <f t="shared" si="33"/>
        <v>-4.6070000000000073</v>
      </c>
      <c r="BG63" s="219">
        <f t="shared" si="34"/>
        <v>-12.8</v>
      </c>
      <c r="BH63" s="4">
        <f t="shared" si="116"/>
        <v>1987</v>
      </c>
      <c r="BI63" s="4">
        <f t="shared" si="117"/>
        <v>11</v>
      </c>
      <c r="CA63" s="356" t="s">
        <v>208</v>
      </c>
      <c r="CC63" s="361" t="s">
        <v>223</v>
      </c>
    </row>
    <row r="64" spans="1:82" s="89" customFormat="1" ht="12.75">
      <c r="A64" s="90">
        <v>1987</v>
      </c>
      <c r="B64" s="90">
        <v>12</v>
      </c>
      <c r="C64" s="103">
        <v>747664</v>
      </c>
      <c r="D64" s="104">
        <v>931574</v>
      </c>
      <c r="E64" s="89">
        <f t="shared" si="16"/>
        <v>747664</v>
      </c>
      <c r="F64" s="89">
        <f t="shared" si="17"/>
        <v>931574</v>
      </c>
      <c r="G64" s="301">
        <f t="shared" si="18"/>
        <v>802.6</v>
      </c>
      <c r="H64" s="90"/>
      <c r="I64" s="90"/>
      <c r="J64" s="300">
        <f>'[7]RES 62 &amp; 67'!$S149</f>
        <v>85.7</v>
      </c>
      <c r="K64" s="210">
        <f t="shared" si="52"/>
        <v>88</v>
      </c>
      <c r="L64" s="234">
        <f t="shared" si="114"/>
        <v>2.2999999999999972</v>
      </c>
      <c r="M64" s="300">
        <f>'[7]RES 62 &amp; 67'!$J149</f>
        <v>79.8</v>
      </c>
      <c r="N64" s="210">
        <f t="shared" si="53"/>
        <v>83.9</v>
      </c>
      <c r="O64" s="237">
        <f t="shared" si="115"/>
        <v>4.1000000000000085</v>
      </c>
      <c r="P64" s="211">
        <f t="shared" si="19"/>
        <v>4.9679999999999938</v>
      </c>
      <c r="Q64" s="211">
        <f t="shared" si="20"/>
        <v>-1.4029999999999982</v>
      </c>
      <c r="R64" s="468">
        <f t="shared" si="21"/>
        <v>3.5649999999999955</v>
      </c>
      <c r="S64" s="471">
        <f t="shared" si="22"/>
        <v>11.111000000000024</v>
      </c>
      <c r="T64" s="426">
        <f t="shared" si="23"/>
        <v>14.7</v>
      </c>
      <c r="U64" s="515">
        <f t="shared" si="24"/>
        <v>931574</v>
      </c>
      <c r="V64" s="447">
        <v>32112</v>
      </c>
      <c r="W64" s="95">
        <f t="shared" si="8"/>
        <v>817.30000000000007</v>
      </c>
      <c r="X64" s="104">
        <f t="shared" si="9"/>
        <v>761375</v>
      </c>
      <c r="Y64" s="302">
        <v>0</v>
      </c>
      <c r="Z64" s="176">
        <f t="shared" si="25"/>
        <v>761375</v>
      </c>
      <c r="AA64" s="116">
        <f t="shared" si="10"/>
        <v>13711</v>
      </c>
      <c r="AB64" s="517">
        <f t="shared" si="26"/>
        <v>761375</v>
      </c>
      <c r="AC64" s="88">
        <f>'[7]Gov 65 &amp; 70'!$B149</f>
        <v>31.75</v>
      </c>
      <c r="AD64" s="89">
        <f t="shared" si="11"/>
        <v>729481</v>
      </c>
      <c r="AE64" s="89">
        <f t="shared" si="54"/>
        <v>84748</v>
      </c>
      <c r="AF64" s="89">
        <f t="shared" si="12"/>
        <v>783.1</v>
      </c>
      <c r="AG64" s="91">
        <f t="shared" si="119"/>
        <v>65.399999999999977</v>
      </c>
      <c r="AH64" s="252"/>
      <c r="AI64" s="90" t="s">
        <v>194</v>
      </c>
      <c r="AU64" s="89">
        <v>1987</v>
      </c>
      <c r="AV64" s="89">
        <v>12</v>
      </c>
      <c r="AW64" s="300">
        <f>'[8]RES 62 &amp; 67'!$S149</f>
        <v>64.3</v>
      </c>
      <c r="AX64" s="210">
        <f t="shared" si="58"/>
        <v>53.2</v>
      </c>
      <c r="AY64" s="204">
        <f t="shared" si="51"/>
        <v>-11.099999999999994</v>
      </c>
      <c r="AZ64" s="300">
        <f>'[8]RES 62 &amp; 67'!$J149</f>
        <v>103</v>
      </c>
      <c r="BA64" s="210">
        <f t="shared" si="59"/>
        <v>114.1</v>
      </c>
      <c r="BB64" s="430">
        <f t="shared" si="29"/>
        <v>11.099999999999994</v>
      </c>
      <c r="BC64" s="211">
        <f t="shared" si="30"/>
        <v>-23.975999999999988</v>
      </c>
      <c r="BD64" s="211">
        <f t="shared" si="31"/>
        <v>6.7709999999999964</v>
      </c>
      <c r="BE64" s="211">
        <f t="shared" si="32"/>
        <v>-17.204999999999991</v>
      </c>
      <c r="BF64" s="212">
        <f t="shared" si="33"/>
        <v>30.080999999999985</v>
      </c>
      <c r="BG64" s="220">
        <f t="shared" si="34"/>
        <v>12.9</v>
      </c>
      <c r="BH64" s="89">
        <f t="shared" si="116"/>
        <v>1987</v>
      </c>
      <c r="BI64" s="89">
        <f t="shared" si="117"/>
        <v>12</v>
      </c>
      <c r="BN64" s="96"/>
      <c r="BO64" s="96"/>
      <c r="BT64" s="96"/>
      <c r="BY64" s="22">
        <v>2000</v>
      </c>
      <c r="BZ64" s="4"/>
      <c r="CA64" s="108">
        <f>System!AR24</f>
        <v>1400299</v>
      </c>
      <c r="CB64" s="4"/>
      <c r="CC64" s="108">
        <f>CA64-BZ54</f>
        <v>1388774</v>
      </c>
      <c r="CD64" s="4"/>
    </row>
    <row r="65" spans="1:82">
      <c r="A65" s="13">
        <v>1988</v>
      </c>
      <c r="B65" s="13">
        <v>1</v>
      </c>
      <c r="C65" s="5">
        <v>901019</v>
      </c>
      <c r="D65" s="73">
        <v>941768</v>
      </c>
      <c r="E65" s="4">
        <f t="shared" si="16"/>
        <v>901019</v>
      </c>
      <c r="F65" s="4">
        <f t="shared" si="17"/>
        <v>941768</v>
      </c>
      <c r="G65" s="79">
        <f t="shared" si="18"/>
        <v>956.7</v>
      </c>
      <c r="H65" s="13"/>
      <c r="I65" s="13"/>
      <c r="J65" s="230">
        <f>'[7]RES 62 &amp; 67'!$S150</f>
        <v>57.5</v>
      </c>
      <c r="K65" s="183">
        <f t="shared" si="52"/>
        <v>49.5</v>
      </c>
      <c r="L65" s="233">
        <f t="shared" ref="L65:L80" si="120">(K65-J65)</f>
        <v>-8</v>
      </c>
      <c r="M65" s="230">
        <f>'[7]RES 62 &amp; 67'!$J150</f>
        <v>132.6</v>
      </c>
      <c r="N65" s="183">
        <f t="shared" si="53"/>
        <v>131.6</v>
      </c>
      <c r="O65" s="236">
        <f t="shared" ref="O65:O80" si="121">(N65-M65)</f>
        <v>-1</v>
      </c>
      <c r="P65" s="206">
        <f t="shared" si="19"/>
        <v>-17.28</v>
      </c>
      <c r="Q65" s="208">
        <f t="shared" si="20"/>
        <v>4.88</v>
      </c>
      <c r="R65" s="467">
        <f t="shared" si="21"/>
        <v>-12.400000000000002</v>
      </c>
      <c r="S65" s="470">
        <f t="shared" si="22"/>
        <v>-2.71</v>
      </c>
      <c r="T65" s="425">
        <f t="shared" si="23"/>
        <v>-15.1</v>
      </c>
      <c r="U65" s="515">
        <f t="shared" si="24"/>
        <v>941768</v>
      </c>
      <c r="V65" s="447">
        <v>32143</v>
      </c>
      <c r="W65" s="191">
        <f t="shared" si="8"/>
        <v>941.6</v>
      </c>
      <c r="X65" s="73">
        <f t="shared" si="9"/>
        <v>886769</v>
      </c>
      <c r="Y65" s="186">
        <v>0</v>
      </c>
      <c r="Z65" s="175">
        <f t="shared" si="25"/>
        <v>886769</v>
      </c>
      <c r="AA65" s="40">
        <f t="shared" si="10"/>
        <v>-14250</v>
      </c>
      <c r="AB65" s="379">
        <f t="shared" si="26"/>
        <v>886769</v>
      </c>
      <c r="AC65" s="81">
        <f>'[7]Gov 65 &amp; 70'!$B150</f>
        <v>31.85</v>
      </c>
      <c r="AD65" s="4">
        <f t="shared" si="11"/>
        <v>846955</v>
      </c>
      <c r="AE65" s="4">
        <f t="shared" si="54"/>
        <v>29733</v>
      </c>
      <c r="AF65" s="23">
        <f t="shared" si="12"/>
        <v>899.3</v>
      </c>
      <c r="AG65" s="75">
        <f t="shared" si="119"/>
        <v>-1.5</v>
      </c>
      <c r="AI65" s="13" t="s">
        <v>194</v>
      </c>
      <c r="AU65" s="4">
        <v>1988</v>
      </c>
      <c r="AV65" s="4">
        <v>1</v>
      </c>
      <c r="AW65" s="230">
        <f>'[8]RES 62 &amp; 67'!$S150</f>
        <v>25.6</v>
      </c>
      <c r="AX65" s="200">
        <f t="shared" si="58"/>
        <v>50.5</v>
      </c>
      <c r="AY65" s="203">
        <f t="shared" si="51"/>
        <v>24.9</v>
      </c>
      <c r="AZ65" s="230">
        <f>'[8]RES 62 &amp; 67'!$J150</f>
        <v>217.9</v>
      </c>
      <c r="BA65" s="183">
        <f t="shared" si="59"/>
        <v>127.9</v>
      </c>
      <c r="BB65" s="429">
        <f t="shared" si="29"/>
        <v>-90</v>
      </c>
      <c r="BC65" s="206">
        <f t="shared" si="30"/>
        <v>53.783999999999999</v>
      </c>
      <c r="BD65" s="206">
        <f t="shared" si="31"/>
        <v>-15.188999999999998</v>
      </c>
      <c r="BE65" s="206">
        <f t="shared" si="32"/>
        <v>38.594999999999999</v>
      </c>
      <c r="BF65" s="207">
        <f t="shared" si="33"/>
        <v>-243.9</v>
      </c>
      <c r="BG65" s="219">
        <f t="shared" si="34"/>
        <v>-205.3</v>
      </c>
      <c r="BH65" s="4">
        <f t="shared" si="116"/>
        <v>1988</v>
      </c>
      <c r="BI65" s="4">
        <f t="shared" si="117"/>
        <v>1</v>
      </c>
      <c r="BY65" s="22">
        <v>2001</v>
      </c>
      <c r="CA65" s="108">
        <f>System!AR25</f>
        <v>1444958</v>
      </c>
      <c r="CB65" s="4">
        <f>CA65-CA64</f>
        <v>44659</v>
      </c>
      <c r="CC65" s="108">
        <f t="shared" ref="CC65:CC71" si="122">CA65-BZ55</f>
        <v>1433008</v>
      </c>
      <c r="CD65" s="4">
        <f>CC65-CC64</f>
        <v>44234</v>
      </c>
    </row>
    <row r="66" spans="1:82">
      <c r="A66" s="13">
        <v>1988</v>
      </c>
      <c r="B66" s="13">
        <v>2</v>
      </c>
      <c r="C66" s="5">
        <v>1050774</v>
      </c>
      <c r="D66" s="73">
        <v>946922</v>
      </c>
      <c r="E66" s="4">
        <f t="shared" si="16"/>
        <v>1050774</v>
      </c>
      <c r="F66" s="4">
        <f t="shared" si="17"/>
        <v>946922</v>
      </c>
      <c r="G66" s="79">
        <f t="shared" si="18"/>
        <v>1109.7</v>
      </c>
      <c r="H66" s="13"/>
      <c r="I66" s="13"/>
      <c r="J66" s="230">
        <f>'[7]RES 62 &amp; 67'!$S151</f>
        <v>32.4</v>
      </c>
      <c r="K66" s="183">
        <f t="shared" si="52"/>
        <v>43.3</v>
      </c>
      <c r="L66" s="233">
        <f t="shared" si="120"/>
        <v>10.899999999999999</v>
      </c>
      <c r="M66" s="230">
        <f>'[7]RES 62 &amp; 67'!$J151</f>
        <v>205</v>
      </c>
      <c r="N66" s="183">
        <f t="shared" si="53"/>
        <v>127.9</v>
      </c>
      <c r="O66" s="236">
        <f t="shared" si="121"/>
        <v>-77.099999999999994</v>
      </c>
      <c r="P66" s="206">
        <f t="shared" si="19"/>
        <v>23.543999999999997</v>
      </c>
      <c r="Q66" s="208">
        <f t="shared" si="20"/>
        <v>-6.6489999999999991</v>
      </c>
      <c r="R66" s="467">
        <f t="shared" si="21"/>
        <v>16.894999999999996</v>
      </c>
      <c r="S66" s="470">
        <f t="shared" si="22"/>
        <v>-208.94099999999997</v>
      </c>
      <c r="T66" s="425">
        <f t="shared" si="23"/>
        <v>-192</v>
      </c>
      <c r="U66" s="515">
        <f t="shared" si="24"/>
        <v>946922</v>
      </c>
      <c r="V66" s="447">
        <v>32174</v>
      </c>
      <c r="W66" s="191">
        <f t="shared" si="8"/>
        <v>917.7</v>
      </c>
      <c r="X66" s="73">
        <f t="shared" si="9"/>
        <v>868990</v>
      </c>
      <c r="Y66" s="186">
        <v>0</v>
      </c>
      <c r="Z66" s="175">
        <f t="shared" si="25"/>
        <v>868990</v>
      </c>
      <c r="AA66" s="40">
        <f t="shared" si="10"/>
        <v>-181784</v>
      </c>
      <c r="AB66" s="379">
        <f t="shared" si="26"/>
        <v>868990</v>
      </c>
      <c r="AC66" s="81">
        <f>'[7]Gov 65 &amp; 70'!$B151</f>
        <v>29.55</v>
      </c>
      <c r="AD66" s="4">
        <f t="shared" si="11"/>
        <v>894574</v>
      </c>
      <c r="AE66" s="4">
        <f t="shared" si="54"/>
        <v>74374</v>
      </c>
      <c r="AF66" s="23">
        <f t="shared" si="12"/>
        <v>944.7</v>
      </c>
      <c r="AG66" s="75">
        <f t="shared" si="119"/>
        <v>46</v>
      </c>
      <c r="AI66" s="13" t="s">
        <v>194</v>
      </c>
      <c r="AU66" s="4">
        <v>1988</v>
      </c>
      <c r="AV66" s="4">
        <v>2</v>
      </c>
      <c r="AW66" s="230">
        <f>'[8]RES 62 &amp; 67'!$S151</f>
        <v>37.6</v>
      </c>
      <c r="AX66" s="200">
        <f t="shared" si="58"/>
        <v>59.2</v>
      </c>
      <c r="AY66" s="203">
        <f t="shared" si="51"/>
        <v>21.6</v>
      </c>
      <c r="AZ66" s="230">
        <f>'[8]RES 62 &amp; 67'!$J151</f>
        <v>172.3</v>
      </c>
      <c r="BA66" s="183">
        <f t="shared" si="59"/>
        <v>97.8</v>
      </c>
      <c r="BB66" s="429">
        <f t="shared" si="29"/>
        <v>-74.500000000000014</v>
      </c>
      <c r="BC66" s="206">
        <f t="shared" si="30"/>
        <v>46.656000000000006</v>
      </c>
      <c r="BD66" s="206">
        <f t="shared" si="31"/>
        <v>-13.176</v>
      </c>
      <c r="BE66" s="206">
        <f t="shared" si="32"/>
        <v>33.480000000000004</v>
      </c>
      <c r="BF66" s="207">
        <f t="shared" si="33"/>
        <v>-201.89500000000004</v>
      </c>
      <c r="BG66" s="219">
        <f t="shared" si="34"/>
        <v>-168.4</v>
      </c>
      <c r="BH66" s="4">
        <f t="shared" si="116"/>
        <v>1988</v>
      </c>
      <c r="BI66" s="4">
        <f t="shared" si="117"/>
        <v>2</v>
      </c>
      <c r="BY66" s="22">
        <v>2002</v>
      </c>
      <c r="CA66" s="108">
        <f>System!AR26</f>
        <v>1475783</v>
      </c>
      <c r="CB66" s="4">
        <f t="shared" ref="CB66:CD71" si="123">CA66-CA65</f>
        <v>30825</v>
      </c>
      <c r="CC66" s="108">
        <f t="shared" si="122"/>
        <v>1463579</v>
      </c>
      <c r="CD66" s="4">
        <f t="shared" si="123"/>
        <v>30571</v>
      </c>
    </row>
    <row r="67" spans="1:82">
      <c r="A67" s="13">
        <v>1988</v>
      </c>
      <c r="B67" s="13">
        <v>3</v>
      </c>
      <c r="C67" s="5">
        <v>878289</v>
      </c>
      <c r="D67" s="73">
        <v>949289</v>
      </c>
      <c r="E67" s="4">
        <f t="shared" si="16"/>
        <v>878289</v>
      </c>
      <c r="F67" s="4">
        <f t="shared" si="17"/>
        <v>949289</v>
      </c>
      <c r="G67" s="79">
        <f t="shared" si="18"/>
        <v>925.2</v>
      </c>
      <c r="H67" s="13"/>
      <c r="I67" s="13"/>
      <c r="J67" s="230">
        <f>'[7]RES 62 &amp; 67'!$S152</f>
        <v>41.5</v>
      </c>
      <c r="K67" s="183">
        <f t="shared" si="52"/>
        <v>77.2</v>
      </c>
      <c r="L67" s="233">
        <f t="shared" si="120"/>
        <v>35.700000000000003</v>
      </c>
      <c r="M67" s="230">
        <f>'[7]RES 62 &amp; 67'!$J152</f>
        <v>143</v>
      </c>
      <c r="N67" s="183">
        <f t="shared" si="53"/>
        <v>82.3</v>
      </c>
      <c r="O67" s="236">
        <f t="shared" si="121"/>
        <v>-60.7</v>
      </c>
      <c r="P67" s="206">
        <f t="shared" si="19"/>
        <v>77.112000000000009</v>
      </c>
      <c r="Q67" s="208">
        <f t="shared" si="20"/>
        <v>-21.777000000000001</v>
      </c>
      <c r="R67" s="467">
        <f t="shared" si="21"/>
        <v>55.335000000000008</v>
      </c>
      <c r="S67" s="470">
        <f t="shared" si="22"/>
        <v>-164.49700000000001</v>
      </c>
      <c r="T67" s="425">
        <f t="shared" si="23"/>
        <v>-109.2</v>
      </c>
      <c r="U67" s="515">
        <f t="shared" si="24"/>
        <v>949289</v>
      </c>
      <c r="V67" s="447">
        <v>32203</v>
      </c>
      <c r="W67" s="191">
        <f t="shared" si="8"/>
        <v>816</v>
      </c>
      <c r="X67" s="73">
        <f t="shared" si="9"/>
        <v>774620</v>
      </c>
      <c r="Y67" s="186">
        <v>0</v>
      </c>
      <c r="Z67" s="175">
        <f t="shared" si="25"/>
        <v>774620</v>
      </c>
      <c r="AA67" s="40">
        <f t="shared" si="10"/>
        <v>-103669</v>
      </c>
      <c r="AB67" s="379">
        <f t="shared" si="26"/>
        <v>774620</v>
      </c>
      <c r="AC67" s="81">
        <f>'[7]Gov 65 &amp; 70'!$B152</f>
        <v>29.4</v>
      </c>
      <c r="AD67" s="4">
        <f t="shared" si="11"/>
        <v>801495</v>
      </c>
      <c r="AE67" s="4">
        <f t="shared" si="54"/>
        <v>24566</v>
      </c>
      <c r="AF67" s="23">
        <f t="shared" si="12"/>
        <v>844.3</v>
      </c>
      <c r="AG67" s="75">
        <f t="shared" si="119"/>
        <v>-4.3000000000000682</v>
      </c>
      <c r="AI67" s="13" t="s">
        <v>194</v>
      </c>
      <c r="AU67" s="4">
        <v>1988</v>
      </c>
      <c r="AV67" s="4">
        <v>3</v>
      </c>
      <c r="AW67" s="230">
        <f>'[8]RES 62 &amp; 67'!$S152</f>
        <v>84.1</v>
      </c>
      <c r="AX67" s="200">
        <f t="shared" si="58"/>
        <v>105.8</v>
      </c>
      <c r="AY67" s="203">
        <f t="shared" si="51"/>
        <v>21.700000000000003</v>
      </c>
      <c r="AZ67" s="230">
        <f>'[8]RES 62 &amp; 67'!$J152</f>
        <v>83.5</v>
      </c>
      <c r="BA67" s="183">
        <f t="shared" si="59"/>
        <v>49.9</v>
      </c>
      <c r="BB67" s="429">
        <f t="shared" si="29"/>
        <v>-33.6</v>
      </c>
      <c r="BC67" s="206">
        <f t="shared" si="30"/>
        <v>46.872000000000007</v>
      </c>
      <c r="BD67" s="206">
        <f t="shared" si="31"/>
        <v>-13.237000000000002</v>
      </c>
      <c r="BE67" s="206">
        <f t="shared" si="32"/>
        <v>33.635000000000005</v>
      </c>
      <c r="BF67" s="207">
        <f t="shared" si="33"/>
        <v>-91.055999999999997</v>
      </c>
      <c r="BG67" s="219">
        <f t="shared" si="34"/>
        <v>-57.4</v>
      </c>
      <c r="BH67" s="4">
        <f t="shared" si="116"/>
        <v>1988</v>
      </c>
      <c r="BI67" s="4">
        <f t="shared" si="117"/>
        <v>3</v>
      </c>
      <c r="BY67" s="22">
        <v>2003</v>
      </c>
      <c r="CA67" s="108">
        <f>System!AR27</f>
        <v>1510516</v>
      </c>
      <c r="CB67" s="4">
        <f t="shared" si="123"/>
        <v>34733</v>
      </c>
      <c r="CC67" s="108">
        <f t="shared" si="122"/>
        <v>1498074</v>
      </c>
      <c r="CD67" s="4">
        <f t="shared" si="123"/>
        <v>34495</v>
      </c>
    </row>
    <row r="68" spans="1:82">
      <c r="A68" s="13">
        <v>1988</v>
      </c>
      <c r="B68" s="13">
        <v>4</v>
      </c>
      <c r="C68" s="5">
        <v>771723</v>
      </c>
      <c r="D68" s="73">
        <v>943760</v>
      </c>
      <c r="E68" s="4">
        <f t="shared" si="16"/>
        <v>771723</v>
      </c>
      <c r="F68" s="4">
        <f t="shared" si="17"/>
        <v>943760</v>
      </c>
      <c r="G68" s="79">
        <f t="shared" si="18"/>
        <v>817.7</v>
      </c>
      <c r="H68" s="13"/>
      <c r="I68" s="13"/>
      <c r="J68" s="230">
        <f>'[7]RES 62 &amp; 67'!$S153</f>
        <v>123.8</v>
      </c>
      <c r="K68" s="183">
        <f t="shared" si="52"/>
        <v>138.1</v>
      </c>
      <c r="L68" s="233">
        <f t="shared" si="120"/>
        <v>14.299999999999997</v>
      </c>
      <c r="M68" s="230">
        <f>'[7]RES 62 &amp; 67'!$J153</f>
        <v>63.9</v>
      </c>
      <c r="N68" s="183">
        <f t="shared" si="53"/>
        <v>37.299999999999997</v>
      </c>
      <c r="O68" s="236">
        <f t="shared" si="121"/>
        <v>-26.6</v>
      </c>
      <c r="P68" s="206">
        <f t="shared" si="19"/>
        <v>30.887999999999995</v>
      </c>
      <c r="Q68" s="208">
        <f t="shared" si="20"/>
        <v>-8.7229999999999972</v>
      </c>
      <c r="R68" s="467">
        <f t="shared" si="21"/>
        <v>22.164999999999999</v>
      </c>
      <c r="S68" s="470">
        <f t="shared" si="22"/>
        <v>-72.085999999999999</v>
      </c>
      <c r="T68" s="425">
        <f t="shared" si="23"/>
        <v>-49.9</v>
      </c>
      <c r="U68" s="515">
        <f t="shared" si="24"/>
        <v>943760</v>
      </c>
      <c r="V68" s="447">
        <v>32234</v>
      </c>
      <c r="W68" s="191">
        <f t="shared" si="8"/>
        <v>767.80000000000007</v>
      </c>
      <c r="X68" s="73">
        <f t="shared" si="9"/>
        <v>724619</v>
      </c>
      <c r="Y68" s="186">
        <v>0</v>
      </c>
      <c r="Z68" s="175">
        <f t="shared" si="25"/>
        <v>724619</v>
      </c>
      <c r="AA68" s="40">
        <f t="shared" si="10"/>
        <v>-47104</v>
      </c>
      <c r="AB68" s="379">
        <f t="shared" si="26"/>
        <v>724619</v>
      </c>
      <c r="AC68" s="81">
        <f>'[7]Gov 65 &amp; 70'!$B153</f>
        <v>32.049999999999997</v>
      </c>
      <c r="AD68" s="4">
        <f t="shared" si="11"/>
        <v>687766</v>
      </c>
      <c r="AE68" s="4">
        <f t="shared" si="54"/>
        <v>-10894</v>
      </c>
      <c r="AF68" s="23">
        <f t="shared" si="12"/>
        <v>728.8</v>
      </c>
      <c r="AG68" s="75">
        <f t="shared" si="119"/>
        <v>-37.600000000000023</v>
      </c>
      <c r="AI68" s="13" t="s">
        <v>194</v>
      </c>
      <c r="AU68" s="4">
        <v>1988</v>
      </c>
      <c r="AV68" s="4">
        <v>4</v>
      </c>
      <c r="AW68" s="230">
        <f>'[8]RES 62 &amp; 67'!$S153</f>
        <v>172.7</v>
      </c>
      <c r="AX68" s="200">
        <f t="shared" si="58"/>
        <v>181.7</v>
      </c>
      <c r="AY68" s="203">
        <f t="shared" si="51"/>
        <v>9</v>
      </c>
      <c r="AZ68" s="230">
        <f>'[8]RES 62 &amp; 67'!$J153</f>
        <v>23.8</v>
      </c>
      <c r="BA68" s="183">
        <f t="shared" si="59"/>
        <v>21.5</v>
      </c>
      <c r="BB68" s="429">
        <f t="shared" si="29"/>
        <v>-2.3000000000000007</v>
      </c>
      <c r="BC68" s="206">
        <f t="shared" si="30"/>
        <v>19.440000000000001</v>
      </c>
      <c r="BD68" s="206">
        <f t="shared" si="31"/>
        <v>-2.7450000000000001</v>
      </c>
      <c r="BE68" s="206">
        <f t="shared" si="32"/>
        <v>16.695</v>
      </c>
      <c r="BF68" s="207">
        <f t="shared" si="33"/>
        <v>-6.2330000000000014</v>
      </c>
      <c r="BG68" s="219">
        <f t="shared" si="34"/>
        <v>10.5</v>
      </c>
      <c r="BH68" s="4">
        <f t="shared" si="116"/>
        <v>1988</v>
      </c>
      <c r="BI68" s="4">
        <f t="shared" si="117"/>
        <v>4</v>
      </c>
      <c r="BY68" s="51">
        <v>2004</v>
      </c>
      <c r="CA68" s="108">
        <f>System!AR28</f>
        <v>1548627</v>
      </c>
      <c r="CB68" s="4">
        <f t="shared" si="123"/>
        <v>38111</v>
      </c>
      <c r="CC68" s="108">
        <f t="shared" si="122"/>
        <v>1535456</v>
      </c>
      <c r="CD68" s="4">
        <f t="shared" si="123"/>
        <v>37382</v>
      </c>
    </row>
    <row r="69" spans="1:82">
      <c r="A69" s="13">
        <v>1988</v>
      </c>
      <c r="B69" s="13">
        <v>5</v>
      </c>
      <c r="C69" s="5">
        <v>677699</v>
      </c>
      <c r="D69" s="73">
        <v>930610</v>
      </c>
      <c r="E69" s="4">
        <f t="shared" si="16"/>
        <v>677699</v>
      </c>
      <c r="F69" s="4">
        <f t="shared" si="17"/>
        <v>930610</v>
      </c>
      <c r="G69" s="79">
        <f t="shared" si="18"/>
        <v>728.2</v>
      </c>
      <c r="H69" s="13"/>
      <c r="I69" s="13"/>
      <c r="J69" s="230">
        <f>'[7]RES 62 &amp; 67'!$S154</f>
        <v>192.9</v>
      </c>
      <c r="K69" s="183">
        <f t="shared" si="52"/>
        <v>224.4</v>
      </c>
      <c r="L69" s="233">
        <f t="shared" si="120"/>
        <v>31.5</v>
      </c>
      <c r="M69" s="230">
        <f>'[7]RES 62 &amp; 67'!$J154</f>
        <v>15.9</v>
      </c>
      <c r="N69" s="183">
        <f t="shared" si="53"/>
        <v>11.2</v>
      </c>
      <c r="O69" s="236">
        <f t="shared" si="121"/>
        <v>-4.7000000000000011</v>
      </c>
      <c r="P69" s="206">
        <f t="shared" si="19"/>
        <v>68.040000000000006</v>
      </c>
      <c r="Q69" s="208">
        <f t="shared" si="20"/>
        <v>0</v>
      </c>
      <c r="R69" s="467">
        <f t="shared" si="21"/>
        <v>68.040000000000006</v>
      </c>
      <c r="S69" s="470">
        <f t="shared" si="22"/>
        <v>-12.737000000000002</v>
      </c>
      <c r="T69" s="425">
        <f t="shared" si="23"/>
        <v>55.3</v>
      </c>
      <c r="U69" s="515">
        <f t="shared" si="24"/>
        <v>930610</v>
      </c>
      <c r="V69" s="447">
        <v>32264</v>
      </c>
      <c r="W69" s="191">
        <f t="shared" si="8"/>
        <v>783.5</v>
      </c>
      <c r="X69" s="73">
        <f t="shared" si="9"/>
        <v>729133</v>
      </c>
      <c r="Y69" s="186">
        <v>0</v>
      </c>
      <c r="Z69" s="175">
        <f t="shared" si="25"/>
        <v>729133</v>
      </c>
      <c r="AA69" s="40">
        <f t="shared" si="10"/>
        <v>51434</v>
      </c>
      <c r="AB69" s="379">
        <f t="shared" si="26"/>
        <v>729133</v>
      </c>
      <c r="AC69" s="81">
        <f>'[7]Gov 65 &amp; 70'!$B154</f>
        <v>29.55</v>
      </c>
      <c r="AD69" s="4">
        <f t="shared" si="11"/>
        <v>750600</v>
      </c>
      <c r="AE69" s="4">
        <f t="shared" si="54"/>
        <v>66777</v>
      </c>
      <c r="AF69" s="23">
        <f t="shared" si="12"/>
        <v>806.6</v>
      </c>
      <c r="AG69" s="75">
        <f t="shared" si="119"/>
        <v>44.300000000000068</v>
      </c>
      <c r="AI69" s="13" t="s">
        <v>194</v>
      </c>
      <c r="AU69" s="4">
        <v>1988</v>
      </c>
      <c r="AV69" s="4">
        <v>5</v>
      </c>
      <c r="AW69" s="230">
        <f>'[8]RES 62 &amp; 67'!$S154</f>
        <v>264.3</v>
      </c>
      <c r="AX69" s="200">
        <f t="shared" si="58"/>
        <v>336.7</v>
      </c>
      <c r="AY69" s="203">
        <f t="shared" si="51"/>
        <v>72.399999999999977</v>
      </c>
      <c r="AZ69" s="230">
        <f>'[8]RES 62 &amp; 67'!$J154</f>
        <v>5.5</v>
      </c>
      <c r="BA69" s="183">
        <f t="shared" si="59"/>
        <v>2.1</v>
      </c>
      <c r="BB69" s="429">
        <f t="shared" si="29"/>
        <v>-3.4</v>
      </c>
      <c r="BC69" s="206">
        <f t="shared" si="30"/>
        <v>156.38399999999996</v>
      </c>
      <c r="BD69" s="206">
        <f t="shared" si="31"/>
        <v>0</v>
      </c>
      <c r="BE69" s="206">
        <f t="shared" si="32"/>
        <v>156.38399999999996</v>
      </c>
      <c r="BF69" s="207">
        <f t="shared" si="33"/>
        <v>-9.2140000000000004</v>
      </c>
      <c r="BG69" s="219">
        <f t="shared" si="34"/>
        <v>147.19999999999999</v>
      </c>
      <c r="BH69" s="4">
        <f t="shared" si="116"/>
        <v>1988</v>
      </c>
      <c r="BI69" s="4">
        <f t="shared" si="117"/>
        <v>5</v>
      </c>
      <c r="BY69" s="51">
        <v>2005</v>
      </c>
      <c r="CA69" s="108">
        <f>System!AR29</f>
        <v>1583417</v>
      </c>
      <c r="CB69" s="4">
        <f t="shared" si="123"/>
        <v>34790</v>
      </c>
      <c r="CC69" s="108">
        <f t="shared" si="122"/>
        <v>1578273</v>
      </c>
      <c r="CD69" s="4">
        <f t="shared" si="123"/>
        <v>42817</v>
      </c>
    </row>
    <row r="70" spans="1:82">
      <c r="A70" s="13">
        <v>1988</v>
      </c>
      <c r="B70" s="13">
        <v>6</v>
      </c>
      <c r="C70" s="5">
        <v>862219</v>
      </c>
      <c r="D70" s="73">
        <v>927520</v>
      </c>
      <c r="E70" s="4">
        <f t="shared" si="16"/>
        <v>862219</v>
      </c>
      <c r="F70" s="4">
        <f t="shared" si="17"/>
        <v>927520</v>
      </c>
      <c r="G70" s="79">
        <f t="shared" si="18"/>
        <v>929.6</v>
      </c>
      <c r="H70" s="13"/>
      <c r="I70" s="13"/>
      <c r="J70" s="230">
        <f>'[7]RES 62 &amp; 67'!$S155</f>
        <v>322.39999999999998</v>
      </c>
      <c r="K70" s="183">
        <f t="shared" si="52"/>
        <v>382.8</v>
      </c>
      <c r="L70" s="233">
        <f t="shared" si="120"/>
        <v>60.400000000000034</v>
      </c>
      <c r="M70" s="230">
        <f>'[7]RES 62 &amp; 67'!$J155</f>
        <v>2.5</v>
      </c>
      <c r="N70" s="183">
        <f t="shared" si="53"/>
        <v>0.9</v>
      </c>
      <c r="O70" s="236">
        <f t="shared" si="121"/>
        <v>-1.6</v>
      </c>
      <c r="P70" s="206">
        <f t="shared" si="19"/>
        <v>130.46400000000008</v>
      </c>
      <c r="Q70" s="208">
        <f t="shared" si="20"/>
        <v>0</v>
      </c>
      <c r="R70" s="467">
        <f t="shared" si="21"/>
        <v>130.46400000000008</v>
      </c>
      <c r="S70" s="470">
        <f t="shared" si="22"/>
        <v>-4.3360000000000003</v>
      </c>
      <c r="T70" s="425">
        <f t="shared" si="23"/>
        <v>126.1</v>
      </c>
      <c r="U70" s="515">
        <f t="shared" si="24"/>
        <v>927520</v>
      </c>
      <c r="V70" s="447">
        <v>32295</v>
      </c>
      <c r="W70" s="191">
        <f t="shared" si="8"/>
        <v>1055.7</v>
      </c>
      <c r="X70" s="73">
        <f t="shared" si="9"/>
        <v>979183</v>
      </c>
      <c r="Y70" s="186">
        <v>0</v>
      </c>
      <c r="Z70" s="175">
        <f t="shared" si="25"/>
        <v>979183</v>
      </c>
      <c r="AA70" s="40">
        <f t="shared" si="10"/>
        <v>116964</v>
      </c>
      <c r="AB70" s="379">
        <f t="shared" si="26"/>
        <v>979183</v>
      </c>
      <c r="AC70" s="81">
        <f>'[7]Gov 65 &amp; 70'!$B155</f>
        <v>30.65</v>
      </c>
      <c r="AD70" s="4">
        <f t="shared" si="11"/>
        <v>971835</v>
      </c>
      <c r="AE70" s="4">
        <f t="shared" si="54"/>
        <v>90829</v>
      </c>
      <c r="AF70" s="23">
        <f t="shared" si="12"/>
        <v>1047.8</v>
      </c>
      <c r="AG70" s="75">
        <f t="shared" si="119"/>
        <v>64.399999999999977</v>
      </c>
      <c r="AI70" s="13" t="s">
        <v>194</v>
      </c>
      <c r="AU70" s="4">
        <v>1988</v>
      </c>
      <c r="AV70" s="4">
        <v>6</v>
      </c>
      <c r="AW70" s="230">
        <f>'[8]RES 62 &amp; 67'!$S155</f>
        <v>404.8</v>
      </c>
      <c r="AX70" s="200">
        <f t="shared" si="58"/>
        <v>425.2</v>
      </c>
      <c r="AY70" s="203">
        <f t="shared" si="51"/>
        <v>20.399999999999977</v>
      </c>
      <c r="AZ70" s="230">
        <f>'[8]RES 62 &amp; 67'!$J155</f>
        <v>0.2</v>
      </c>
      <c r="BA70" s="183">
        <f t="shared" si="59"/>
        <v>0</v>
      </c>
      <c r="BB70" s="429">
        <f t="shared" si="29"/>
        <v>-0.2</v>
      </c>
      <c r="BC70" s="206">
        <f t="shared" si="30"/>
        <v>44.06399999999995</v>
      </c>
      <c r="BD70" s="206">
        <f t="shared" si="31"/>
        <v>0</v>
      </c>
      <c r="BE70" s="206">
        <f t="shared" si="32"/>
        <v>44.06399999999995</v>
      </c>
      <c r="BF70" s="207">
        <f t="shared" si="33"/>
        <v>-0.54200000000000004</v>
      </c>
      <c r="BG70" s="219">
        <f t="shared" si="34"/>
        <v>43.5</v>
      </c>
      <c r="BH70" s="4">
        <f t="shared" si="116"/>
        <v>1988</v>
      </c>
      <c r="BI70" s="4">
        <f t="shared" si="117"/>
        <v>6</v>
      </c>
      <c r="BY70" s="51">
        <v>2006</v>
      </c>
      <c r="CA70" s="108">
        <f>System!AR30</f>
        <v>1620396</v>
      </c>
      <c r="CB70" s="4">
        <f t="shared" si="123"/>
        <v>36979</v>
      </c>
      <c r="CC70" s="108">
        <f t="shared" si="122"/>
        <v>1620396</v>
      </c>
      <c r="CD70" s="4">
        <f t="shared" si="123"/>
        <v>42123</v>
      </c>
    </row>
    <row r="71" spans="1:82">
      <c r="A71" s="13">
        <v>1988</v>
      </c>
      <c r="B71" s="13">
        <v>7</v>
      </c>
      <c r="C71" s="5">
        <v>1079809</v>
      </c>
      <c r="D71" s="73">
        <v>928621</v>
      </c>
      <c r="E71" s="4">
        <f t="shared" si="16"/>
        <v>1079809</v>
      </c>
      <c r="F71" s="4">
        <f t="shared" si="17"/>
        <v>928621</v>
      </c>
      <c r="G71" s="79">
        <f t="shared" si="18"/>
        <v>1162.8</v>
      </c>
      <c r="H71" s="13"/>
      <c r="I71" s="13"/>
      <c r="J71" s="230">
        <f>'[7]RES 62 &amp; 67'!$S156</f>
        <v>438</v>
      </c>
      <c r="K71" s="183">
        <f t="shared" si="52"/>
        <v>454.9</v>
      </c>
      <c r="L71" s="233">
        <f t="shared" si="120"/>
        <v>16.899999999999977</v>
      </c>
      <c r="M71" s="230">
        <f>'[7]RES 62 &amp; 67'!$J156</f>
        <v>0.1</v>
      </c>
      <c r="N71" s="183">
        <f t="shared" si="53"/>
        <v>0</v>
      </c>
      <c r="O71" s="236">
        <f t="shared" si="121"/>
        <v>-0.1</v>
      </c>
      <c r="P71" s="206">
        <f t="shared" si="19"/>
        <v>36.503999999999955</v>
      </c>
      <c r="Q71" s="208">
        <f t="shared" si="20"/>
        <v>0</v>
      </c>
      <c r="R71" s="467">
        <f t="shared" si="21"/>
        <v>36.503999999999955</v>
      </c>
      <c r="S71" s="470">
        <f t="shared" si="22"/>
        <v>-0.27100000000000002</v>
      </c>
      <c r="T71" s="425">
        <f t="shared" si="23"/>
        <v>36.200000000000003</v>
      </c>
      <c r="U71" s="515">
        <f t="shared" si="24"/>
        <v>928621</v>
      </c>
      <c r="V71" s="447">
        <v>32325</v>
      </c>
      <c r="W71" s="191">
        <f t="shared" si="8"/>
        <v>1199</v>
      </c>
      <c r="X71" s="73">
        <f t="shared" si="9"/>
        <v>1113417</v>
      </c>
      <c r="Y71" s="186">
        <v>0</v>
      </c>
      <c r="Z71" s="175">
        <f t="shared" si="25"/>
        <v>1113417</v>
      </c>
      <c r="AA71" s="40">
        <f t="shared" si="10"/>
        <v>33608</v>
      </c>
      <c r="AB71" s="379">
        <f t="shared" si="26"/>
        <v>1113417</v>
      </c>
      <c r="AC71" s="81">
        <f>'[7]Gov 65 &amp; 70'!$B156</f>
        <v>30.65</v>
      </c>
      <c r="AD71" s="4">
        <f t="shared" si="11"/>
        <v>1105062</v>
      </c>
      <c r="AE71" s="4">
        <f t="shared" si="54"/>
        <v>72258</v>
      </c>
      <c r="AF71" s="23">
        <f t="shared" si="12"/>
        <v>1190</v>
      </c>
      <c r="AG71" s="75">
        <f t="shared" si="119"/>
        <v>37.099999999999909</v>
      </c>
      <c r="AI71" s="13" t="s">
        <v>194</v>
      </c>
      <c r="AU71" s="4">
        <v>1988</v>
      </c>
      <c r="AV71" s="4">
        <v>7</v>
      </c>
      <c r="AW71" s="230">
        <f>'[8]RES 62 &amp; 67'!$S156</f>
        <v>456.6</v>
      </c>
      <c r="AX71" s="200">
        <f t="shared" si="58"/>
        <v>484.1</v>
      </c>
      <c r="AY71" s="203">
        <f t="shared" si="51"/>
        <v>27.5</v>
      </c>
      <c r="AZ71" s="230">
        <f>'[8]RES 62 &amp; 67'!$J156</f>
        <v>0</v>
      </c>
      <c r="BA71" s="183">
        <f t="shared" si="59"/>
        <v>0</v>
      </c>
      <c r="BB71" s="429">
        <f t="shared" si="29"/>
        <v>0</v>
      </c>
      <c r="BC71" s="206">
        <f t="shared" si="30"/>
        <v>59.400000000000006</v>
      </c>
      <c r="BD71" s="206">
        <f t="shared" si="31"/>
        <v>0</v>
      </c>
      <c r="BE71" s="206">
        <f t="shared" si="32"/>
        <v>59.400000000000006</v>
      </c>
      <c r="BF71" s="207">
        <f t="shared" si="33"/>
        <v>0</v>
      </c>
      <c r="BG71" s="219">
        <f t="shared" si="34"/>
        <v>59.4</v>
      </c>
      <c r="BH71" s="4">
        <f t="shared" si="116"/>
        <v>1988</v>
      </c>
      <c r="BI71" s="4">
        <f t="shared" si="117"/>
        <v>7</v>
      </c>
      <c r="BY71" s="51">
        <v>2007</v>
      </c>
      <c r="CA71" s="108">
        <f>System!AR31</f>
        <v>1632368</v>
      </c>
      <c r="CB71" s="4">
        <f t="shared" si="123"/>
        <v>11972</v>
      </c>
      <c r="CC71" s="108">
        <f t="shared" si="122"/>
        <v>1632368</v>
      </c>
      <c r="CD71" s="4">
        <f t="shared" si="123"/>
        <v>11972</v>
      </c>
    </row>
    <row r="72" spans="1:82">
      <c r="A72" s="13">
        <v>1988</v>
      </c>
      <c r="B72" s="13">
        <v>8</v>
      </c>
      <c r="C72" s="5">
        <v>1119837</v>
      </c>
      <c r="D72" s="73">
        <v>931203</v>
      </c>
      <c r="E72" s="4">
        <f t="shared" si="16"/>
        <v>1119837</v>
      </c>
      <c r="F72" s="4">
        <f t="shared" si="17"/>
        <v>931203</v>
      </c>
      <c r="G72" s="79">
        <f t="shared" si="18"/>
        <v>1202.5999999999999</v>
      </c>
      <c r="H72" s="13"/>
      <c r="I72" s="13"/>
      <c r="J72" s="230">
        <f>'[7]RES 62 &amp; 67'!$S157</f>
        <v>450.8</v>
      </c>
      <c r="K72" s="183">
        <f t="shared" si="52"/>
        <v>481.4</v>
      </c>
      <c r="L72" s="233">
        <f t="shared" si="120"/>
        <v>30.599999999999966</v>
      </c>
      <c r="M72" s="230">
        <f>'[7]RES 62 &amp; 67'!$J157</f>
        <v>0</v>
      </c>
      <c r="N72" s="183">
        <f t="shared" si="53"/>
        <v>0</v>
      </c>
      <c r="O72" s="236">
        <f t="shared" si="121"/>
        <v>0</v>
      </c>
      <c r="P72" s="206">
        <f t="shared" si="19"/>
        <v>66.095999999999933</v>
      </c>
      <c r="Q72" s="208">
        <f t="shared" si="20"/>
        <v>0</v>
      </c>
      <c r="R72" s="467">
        <f t="shared" si="21"/>
        <v>66.095999999999933</v>
      </c>
      <c r="S72" s="470">
        <f t="shared" si="22"/>
        <v>0</v>
      </c>
      <c r="T72" s="425">
        <f t="shared" si="23"/>
        <v>66.099999999999994</v>
      </c>
      <c r="U72" s="515">
        <f t="shared" si="24"/>
        <v>931203</v>
      </c>
      <c r="V72" s="447">
        <v>32356</v>
      </c>
      <c r="W72" s="191">
        <f t="shared" si="8"/>
        <v>1268.6999999999998</v>
      </c>
      <c r="X72" s="73">
        <f t="shared" si="9"/>
        <v>1181417</v>
      </c>
      <c r="Y72" s="186">
        <v>0</v>
      </c>
      <c r="Z72" s="175">
        <f t="shared" si="25"/>
        <v>1181417</v>
      </c>
      <c r="AA72" s="40">
        <f t="shared" si="10"/>
        <v>61580</v>
      </c>
      <c r="AB72" s="379">
        <f t="shared" si="26"/>
        <v>1181417</v>
      </c>
      <c r="AC72" s="81">
        <f>'[7]Gov 65 &amp; 70'!$B157</f>
        <v>29.7</v>
      </c>
      <c r="AD72" s="4">
        <f t="shared" si="11"/>
        <v>1210057</v>
      </c>
      <c r="AE72" s="4">
        <f t="shared" si="54"/>
        <v>122073</v>
      </c>
      <c r="AF72" s="23">
        <f t="shared" si="12"/>
        <v>1299.5</v>
      </c>
      <c r="AG72" s="75">
        <f t="shared" si="119"/>
        <v>89.099999999999909</v>
      </c>
      <c r="AI72" s="13" t="s">
        <v>194</v>
      </c>
      <c r="AU72" s="4">
        <v>1988</v>
      </c>
      <c r="AV72" s="4">
        <v>8</v>
      </c>
      <c r="AW72" s="230">
        <f>'[8]RES 62 &amp; 67'!$S157</f>
        <v>492</v>
      </c>
      <c r="AX72" s="200">
        <f t="shared" si="58"/>
        <v>487.3</v>
      </c>
      <c r="AY72" s="203">
        <f t="shared" si="51"/>
        <v>-4.6999999999999886</v>
      </c>
      <c r="AZ72" s="230">
        <f>'[8]RES 62 &amp; 67'!$J157</f>
        <v>0</v>
      </c>
      <c r="BA72" s="183">
        <f t="shared" si="59"/>
        <v>0</v>
      </c>
      <c r="BB72" s="429">
        <f t="shared" si="29"/>
        <v>0</v>
      </c>
      <c r="BC72" s="206">
        <f t="shared" si="30"/>
        <v>-10.151999999999976</v>
      </c>
      <c r="BD72" s="206">
        <f t="shared" si="31"/>
        <v>0</v>
      </c>
      <c r="BE72" s="206">
        <f t="shared" si="32"/>
        <v>-10.151999999999976</v>
      </c>
      <c r="BF72" s="207">
        <f t="shared" si="33"/>
        <v>0</v>
      </c>
      <c r="BG72" s="219">
        <f t="shared" si="34"/>
        <v>-10.199999999999999</v>
      </c>
      <c r="BH72" s="4">
        <f t="shared" si="116"/>
        <v>1988</v>
      </c>
      <c r="BI72" s="4">
        <f t="shared" si="117"/>
        <v>8</v>
      </c>
      <c r="BY72" s="51">
        <v>2008</v>
      </c>
      <c r="CA72" s="108">
        <f>System!AR32</f>
        <v>1638935</v>
      </c>
      <c r="CB72" s="4">
        <f t="shared" ref="CB72:CB74" si="124">CA72-CA71</f>
        <v>6567</v>
      </c>
      <c r="CC72" s="108">
        <f t="shared" ref="CC72:CC74" si="125">CA72-BZ62</f>
        <v>1638935</v>
      </c>
      <c r="CD72" s="4">
        <f t="shared" ref="CD72:CD74" si="126">CC72-CC71</f>
        <v>6567</v>
      </c>
    </row>
    <row r="73" spans="1:82">
      <c r="A73" s="13">
        <v>1988</v>
      </c>
      <c r="B73" s="13">
        <v>9</v>
      </c>
      <c r="C73" s="5">
        <v>1211713</v>
      </c>
      <c r="D73" s="73">
        <v>934277</v>
      </c>
      <c r="E73" s="4">
        <f t="shared" si="16"/>
        <v>1211713</v>
      </c>
      <c r="F73" s="4">
        <f t="shared" si="17"/>
        <v>934277</v>
      </c>
      <c r="G73" s="79">
        <f t="shared" si="18"/>
        <v>1297</v>
      </c>
      <c r="H73" s="13"/>
      <c r="I73" s="13"/>
      <c r="J73" s="230">
        <f>'[7]RES 62 &amp; 67'!$S158</f>
        <v>498.6</v>
      </c>
      <c r="K73" s="183">
        <f t="shared" si="52"/>
        <v>473.7</v>
      </c>
      <c r="L73" s="233">
        <f t="shared" si="120"/>
        <v>-24.900000000000034</v>
      </c>
      <c r="M73" s="230">
        <f>'[7]RES 62 &amp; 67'!$J158</f>
        <v>0</v>
      </c>
      <c r="N73" s="183">
        <f t="shared" si="53"/>
        <v>0</v>
      </c>
      <c r="O73" s="236">
        <f t="shared" si="121"/>
        <v>0</v>
      </c>
      <c r="P73" s="206">
        <f t="shared" si="19"/>
        <v>-53.784000000000077</v>
      </c>
      <c r="Q73" s="208">
        <f t="shared" si="20"/>
        <v>0</v>
      </c>
      <c r="R73" s="467">
        <f t="shared" si="21"/>
        <v>-53.784000000000077</v>
      </c>
      <c r="S73" s="470">
        <f t="shared" si="22"/>
        <v>0</v>
      </c>
      <c r="T73" s="425">
        <f t="shared" si="23"/>
        <v>-53.8</v>
      </c>
      <c r="U73" s="515">
        <f t="shared" si="24"/>
        <v>934277</v>
      </c>
      <c r="V73" s="447">
        <v>32387</v>
      </c>
      <c r="W73" s="191">
        <f t="shared" si="8"/>
        <v>1243.2</v>
      </c>
      <c r="X73" s="73">
        <f t="shared" si="9"/>
        <v>1161493</v>
      </c>
      <c r="Y73" s="186">
        <v>0</v>
      </c>
      <c r="Z73" s="175">
        <f t="shared" si="25"/>
        <v>1161493</v>
      </c>
      <c r="AA73" s="40">
        <f t="shared" si="10"/>
        <v>-50220</v>
      </c>
      <c r="AB73" s="379">
        <f t="shared" si="26"/>
        <v>1161493</v>
      </c>
      <c r="AC73" s="81">
        <f>'[7]Gov 65 &amp; 70'!$B158</f>
        <v>31.85</v>
      </c>
      <c r="AD73" s="4">
        <f t="shared" si="11"/>
        <v>1109344</v>
      </c>
      <c r="AE73" s="4">
        <f t="shared" si="54"/>
        <v>-21266</v>
      </c>
      <c r="AF73" s="23">
        <f t="shared" si="12"/>
        <v>1187.4000000000001</v>
      </c>
      <c r="AG73" s="75">
        <f t="shared" si="119"/>
        <v>-66.5</v>
      </c>
      <c r="AI73" s="13" t="s">
        <v>194</v>
      </c>
      <c r="AU73" s="4">
        <v>1988</v>
      </c>
      <c r="AV73" s="4">
        <v>9</v>
      </c>
      <c r="AW73" s="230">
        <f>'[8]RES 62 &amp; 67'!$S158</f>
        <v>449</v>
      </c>
      <c r="AX73" s="200">
        <f t="shared" si="58"/>
        <v>428.3</v>
      </c>
      <c r="AY73" s="203">
        <f t="shared" si="51"/>
        <v>-20.699999999999989</v>
      </c>
      <c r="AZ73" s="230">
        <f>'[8]RES 62 &amp; 67'!$J158</f>
        <v>0</v>
      </c>
      <c r="BA73" s="183">
        <f t="shared" si="59"/>
        <v>0</v>
      </c>
      <c r="BB73" s="429">
        <f t="shared" si="29"/>
        <v>0</v>
      </c>
      <c r="BC73" s="206">
        <f t="shared" si="30"/>
        <v>-44.711999999999975</v>
      </c>
      <c r="BD73" s="206">
        <f t="shared" si="31"/>
        <v>0</v>
      </c>
      <c r="BE73" s="206">
        <f t="shared" si="32"/>
        <v>-44.711999999999975</v>
      </c>
      <c r="BF73" s="207">
        <f t="shared" si="33"/>
        <v>0</v>
      </c>
      <c r="BG73" s="219">
        <f t="shared" si="34"/>
        <v>-44.7</v>
      </c>
      <c r="BH73" s="4">
        <f t="shared" si="116"/>
        <v>1988</v>
      </c>
      <c r="BI73" s="4">
        <f t="shared" si="117"/>
        <v>9</v>
      </c>
      <c r="BY73" s="51">
        <v>2009</v>
      </c>
      <c r="CA73" s="108">
        <f>System!AR33</f>
        <v>1630195</v>
      </c>
      <c r="CB73" s="4">
        <f t="shared" si="124"/>
        <v>-8740</v>
      </c>
      <c r="CC73" s="108">
        <f t="shared" si="125"/>
        <v>1630195</v>
      </c>
      <c r="CD73" s="4">
        <f t="shared" si="126"/>
        <v>-8740</v>
      </c>
    </row>
    <row r="74" spans="1:82">
      <c r="A74" s="13">
        <v>1988</v>
      </c>
      <c r="B74" s="13">
        <v>10</v>
      </c>
      <c r="C74" s="5">
        <v>1013642</v>
      </c>
      <c r="D74" s="73">
        <v>941796</v>
      </c>
      <c r="E74" s="4">
        <f t="shared" si="16"/>
        <v>1013642</v>
      </c>
      <c r="F74" s="4">
        <f t="shared" si="17"/>
        <v>941796</v>
      </c>
      <c r="G74" s="79">
        <f t="shared" si="18"/>
        <v>1076.3</v>
      </c>
      <c r="H74" s="13"/>
      <c r="I74" s="13"/>
      <c r="J74" s="230">
        <f>'[7]RES 62 &amp; 67'!$S159</f>
        <v>363.6</v>
      </c>
      <c r="K74" s="183">
        <f t="shared" si="52"/>
        <v>373.2</v>
      </c>
      <c r="L74" s="233">
        <f t="shared" si="120"/>
        <v>9.5999999999999659</v>
      </c>
      <c r="M74" s="230">
        <f>'[7]RES 62 &amp; 67'!$J159</f>
        <v>3.9</v>
      </c>
      <c r="N74" s="183">
        <f t="shared" si="53"/>
        <v>1.3</v>
      </c>
      <c r="O74" s="236">
        <f t="shared" si="121"/>
        <v>-2.5999999999999996</v>
      </c>
      <c r="P74" s="206">
        <f t="shared" si="19"/>
        <v>20.735999999999926</v>
      </c>
      <c r="Q74" s="208">
        <f t="shared" si="20"/>
        <v>0</v>
      </c>
      <c r="R74" s="467">
        <f t="shared" si="21"/>
        <v>20.735999999999926</v>
      </c>
      <c r="S74" s="470">
        <f t="shared" si="22"/>
        <v>-7.0459999999999994</v>
      </c>
      <c r="T74" s="425">
        <f t="shared" si="23"/>
        <v>13.7</v>
      </c>
      <c r="U74" s="515">
        <f t="shared" si="24"/>
        <v>941796</v>
      </c>
      <c r="V74" s="447">
        <v>32417</v>
      </c>
      <c r="W74" s="191">
        <f t="shared" si="8"/>
        <v>1090</v>
      </c>
      <c r="X74" s="73">
        <f t="shared" si="9"/>
        <v>1026558</v>
      </c>
      <c r="Y74" s="186">
        <v>0</v>
      </c>
      <c r="Z74" s="175">
        <f t="shared" si="25"/>
        <v>1026558</v>
      </c>
      <c r="AA74" s="40">
        <f t="shared" si="10"/>
        <v>12916</v>
      </c>
      <c r="AB74" s="379">
        <f t="shared" si="26"/>
        <v>1026558</v>
      </c>
      <c r="AC74" s="81">
        <f>'[7]Gov 65 &amp; 70'!$B159</f>
        <v>29.75</v>
      </c>
      <c r="AD74" s="4">
        <f t="shared" si="11"/>
        <v>1049677</v>
      </c>
      <c r="AE74" s="4">
        <f t="shared" si="54"/>
        <v>78850</v>
      </c>
      <c r="AF74" s="23">
        <f t="shared" si="12"/>
        <v>1114.5</v>
      </c>
      <c r="AG74" s="75">
        <f t="shared" si="119"/>
        <v>44.900000000000091</v>
      </c>
      <c r="AI74" s="13" t="s">
        <v>194</v>
      </c>
      <c r="AU74" s="4">
        <v>1988</v>
      </c>
      <c r="AV74" s="4">
        <v>10</v>
      </c>
      <c r="AW74" s="230">
        <f>'[8]RES 62 &amp; 67'!$S159</f>
        <v>215.3</v>
      </c>
      <c r="AX74" s="200">
        <f t="shared" si="58"/>
        <v>277.60000000000002</v>
      </c>
      <c r="AY74" s="203">
        <f t="shared" si="51"/>
        <v>62.300000000000011</v>
      </c>
      <c r="AZ74" s="230">
        <f>'[8]RES 62 &amp; 67'!$J159</f>
        <v>12.9</v>
      </c>
      <c r="BA74" s="183">
        <f t="shared" si="59"/>
        <v>8.5</v>
      </c>
      <c r="BB74" s="429">
        <f t="shared" si="29"/>
        <v>-4.4000000000000004</v>
      </c>
      <c r="BC74" s="206">
        <f t="shared" si="30"/>
        <v>134.56800000000004</v>
      </c>
      <c r="BD74" s="206">
        <f t="shared" si="31"/>
        <v>0</v>
      </c>
      <c r="BE74" s="206">
        <f t="shared" si="32"/>
        <v>134.56800000000004</v>
      </c>
      <c r="BF74" s="207">
        <f t="shared" si="33"/>
        <v>-11.924000000000001</v>
      </c>
      <c r="BG74" s="219">
        <f t="shared" si="34"/>
        <v>122.6</v>
      </c>
      <c r="BH74" s="4">
        <f t="shared" si="116"/>
        <v>1988</v>
      </c>
      <c r="BI74" s="4">
        <f t="shared" si="117"/>
        <v>10</v>
      </c>
      <c r="BY74" s="51">
        <v>2010</v>
      </c>
      <c r="CA74" s="108">
        <f>System!AR34</f>
        <v>1640833</v>
      </c>
      <c r="CB74" s="4">
        <f t="shared" si="124"/>
        <v>10638</v>
      </c>
      <c r="CC74" s="108">
        <f t="shared" si="125"/>
        <v>1640833</v>
      </c>
      <c r="CD74" s="4">
        <f t="shared" si="126"/>
        <v>10638</v>
      </c>
    </row>
    <row r="75" spans="1:82">
      <c r="A75" s="13">
        <v>1988</v>
      </c>
      <c r="B75" s="13">
        <v>11</v>
      </c>
      <c r="C75" s="5">
        <v>679966</v>
      </c>
      <c r="D75" s="73">
        <v>954897</v>
      </c>
      <c r="E75" s="4">
        <f t="shared" si="16"/>
        <v>679966</v>
      </c>
      <c r="F75" s="4">
        <f t="shared" si="17"/>
        <v>954897</v>
      </c>
      <c r="G75" s="79">
        <f t="shared" si="18"/>
        <v>712.1</v>
      </c>
      <c r="H75" s="13"/>
      <c r="I75" s="13"/>
      <c r="J75" s="230">
        <f>'[7]RES 62 &amp; 67'!$S160</f>
        <v>178.1</v>
      </c>
      <c r="K75" s="183">
        <f t="shared" si="52"/>
        <v>204.3</v>
      </c>
      <c r="L75" s="233">
        <f t="shared" si="120"/>
        <v>26.200000000000017</v>
      </c>
      <c r="M75" s="230">
        <f>'[7]RES 62 &amp; 67'!$J160</f>
        <v>18.100000000000001</v>
      </c>
      <c r="N75" s="183">
        <f t="shared" si="53"/>
        <v>24.1</v>
      </c>
      <c r="O75" s="236">
        <f t="shared" si="121"/>
        <v>6</v>
      </c>
      <c r="P75" s="206">
        <f t="shared" si="19"/>
        <v>56.592000000000041</v>
      </c>
      <c r="Q75" s="208">
        <f t="shared" si="20"/>
        <v>0</v>
      </c>
      <c r="R75" s="467">
        <f t="shared" si="21"/>
        <v>56.592000000000041</v>
      </c>
      <c r="S75" s="470">
        <f t="shared" si="22"/>
        <v>16.259999999999998</v>
      </c>
      <c r="T75" s="425">
        <f t="shared" si="23"/>
        <v>72.900000000000006</v>
      </c>
      <c r="U75" s="515">
        <f t="shared" si="24"/>
        <v>954897</v>
      </c>
      <c r="V75" s="447">
        <v>32448</v>
      </c>
      <c r="W75" s="191">
        <f t="shared" si="8"/>
        <v>785</v>
      </c>
      <c r="X75" s="73">
        <f t="shared" si="9"/>
        <v>749594</v>
      </c>
      <c r="Y75" s="186">
        <v>0</v>
      </c>
      <c r="Z75" s="175">
        <f t="shared" si="25"/>
        <v>749594</v>
      </c>
      <c r="AA75" s="40">
        <f t="shared" si="10"/>
        <v>69628</v>
      </c>
      <c r="AB75" s="379">
        <f t="shared" si="26"/>
        <v>749594</v>
      </c>
      <c r="AC75" s="81">
        <f>'[7]Gov 65 &amp; 70'!$B160</f>
        <v>30.1</v>
      </c>
      <c r="AD75" s="4">
        <f t="shared" si="11"/>
        <v>757563</v>
      </c>
      <c r="AE75" s="4">
        <f t="shared" si="54"/>
        <v>17726</v>
      </c>
      <c r="AF75" s="23">
        <f t="shared" si="12"/>
        <v>793.3</v>
      </c>
      <c r="AG75" s="75">
        <f t="shared" si="119"/>
        <v>-9.7000000000000455</v>
      </c>
      <c r="AI75" s="13" t="s">
        <v>194</v>
      </c>
      <c r="AU75" s="4">
        <v>1988</v>
      </c>
      <c r="AV75" s="4">
        <v>11</v>
      </c>
      <c r="AW75" s="230">
        <f>'[8]RES 62 &amp; 67'!$S160</f>
        <v>152.80000000000001</v>
      </c>
      <c r="AX75" s="200">
        <f t="shared" si="58"/>
        <v>110.2</v>
      </c>
      <c r="AY75" s="203">
        <f t="shared" si="51"/>
        <v>-42.600000000000009</v>
      </c>
      <c r="AZ75" s="230">
        <f>'[8]RES 62 &amp; 67'!$J160</f>
        <v>26.4</v>
      </c>
      <c r="BA75" s="183">
        <f t="shared" si="59"/>
        <v>45.3</v>
      </c>
      <c r="BB75" s="429">
        <f t="shared" si="29"/>
        <v>18.899999999999999</v>
      </c>
      <c r="BC75" s="206">
        <f t="shared" si="30"/>
        <v>-92.01600000000002</v>
      </c>
      <c r="BD75" s="206">
        <f t="shared" si="31"/>
        <v>12.993000000000002</v>
      </c>
      <c r="BE75" s="206">
        <f t="shared" si="32"/>
        <v>-79.023000000000025</v>
      </c>
      <c r="BF75" s="207">
        <f t="shared" si="33"/>
        <v>51.218999999999994</v>
      </c>
      <c r="BG75" s="219">
        <f t="shared" si="34"/>
        <v>-27.8</v>
      </c>
      <c r="BH75" s="4">
        <f t="shared" si="116"/>
        <v>1988</v>
      </c>
      <c r="BI75" s="4">
        <f t="shared" si="117"/>
        <v>11</v>
      </c>
    </row>
    <row r="76" spans="1:82" s="89" customFormat="1" ht="12.75">
      <c r="A76" s="90">
        <v>1988</v>
      </c>
      <c r="B76" s="90">
        <v>12</v>
      </c>
      <c r="C76" s="103">
        <v>818901</v>
      </c>
      <c r="D76" s="104">
        <v>966602</v>
      </c>
      <c r="E76" s="89">
        <f t="shared" si="16"/>
        <v>818901</v>
      </c>
      <c r="F76" s="89">
        <f t="shared" si="17"/>
        <v>966602</v>
      </c>
      <c r="G76" s="301">
        <f t="shared" si="18"/>
        <v>847.2</v>
      </c>
      <c r="H76" s="90"/>
      <c r="I76" s="90"/>
      <c r="J76" s="300">
        <f>'[7]RES 62 &amp; 67'!$S161</f>
        <v>113.9</v>
      </c>
      <c r="K76" s="210">
        <f t="shared" si="52"/>
        <v>88</v>
      </c>
      <c r="L76" s="234">
        <f t="shared" si="120"/>
        <v>-25.900000000000006</v>
      </c>
      <c r="M76" s="300">
        <f>'[7]RES 62 &amp; 67'!$J161</f>
        <v>79.400000000000006</v>
      </c>
      <c r="N76" s="210">
        <f t="shared" si="53"/>
        <v>83.9</v>
      </c>
      <c r="O76" s="237">
        <f t="shared" si="121"/>
        <v>4.5</v>
      </c>
      <c r="P76" s="211">
        <f t="shared" si="19"/>
        <v>-55.944000000000017</v>
      </c>
      <c r="Q76" s="211">
        <f t="shared" si="20"/>
        <v>15.799000000000003</v>
      </c>
      <c r="R76" s="468">
        <f t="shared" si="21"/>
        <v>-40.14500000000001</v>
      </c>
      <c r="S76" s="471">
        <f t="shared" si="22"/>
        <v>12.195</v>
      </c>
      <c r="T76" s="426">
        <f t="shared" si="23"/>
        <v>-28</v>
      </c>
      <c r="U76" s="515">
        <f t="shared" si="24"/>
        <v>966602</v>
      </c>
      <c r="V76" s="447">
        <v>32478</v>
      </c>
      <c r="W76" s="95">
        <f t="shared" si="8"/>
        <v>819.2</v>
      </c>
      <c r="X76" s="104">
        <f t="shared" si="9"/>
        <v>791840</v>
      </c>
      <c r="Y76" s="302">
        <v>0</v>
      </c>
      <c r="Z76" s="176">
        <f t="shared" si="25"/>
        <v>791840</v>
      </c>
      <c r="AA76" s="116">
        <f t="shared" si="10"/>
        <v>-27061</v>
      </c>
      <c r="AB76" s="517">
        <f t="shared" si="26"/>
        <v>791840</v>
      </c>
      <c r="AC76" s="88">
        <f>'[7]Gov 65 &amp; 70'!$B161</f>
        <v>31.55</v>
      </c>
      <c r="AD76" s="89">
        <f t="shared" si="11"/>
        <v>763479</v>
      </c>
      <c r="AE76" s="89">
        <f t="shared" si="54"/>
        <v>33998</v>
      </c>
      <c r="AF76" s="89">
        <f t="shared" si="12"/>
        <v>789.9</v>
      </c>
      <c r="AG76" s="91">
        <f t="shared" si="119"/>
        <v>6.7999999999999545</v>
      </c>
      <c r="AH76" s="252"/>
      <c r="AI76" s="90" t="s">
        <v>194</v>
      </c>
      <c r="AU76" s="89">
        <v>1988</v>
      </c>
      <c r="AV76" s="89">
        <v>12</v>
      </c>
      <c r="AW76" s="300">
        <f>'[8]RES 62 &amp; 67'!$S161</f>
        <v>57.7</v>
      </c>
      <c r="AX76" s="210">
        <f t="shared" si="58"/>
        <v>53.2</v>
      </c>
      <c r="AY76" s="204">
        <f t="shared" si="51"/>
        <v>-4.5</v>
      </c>
      <c r="AZ76" s="300">
        <f>'[8]RES 62 &amp; 67'!$J161</f>
        <v>130.4</v>
      </c>
      <c r="BA76" s="210">
        <f t="shared" si="59"/>
        <v>114.1</v>
      </c>
      <c r="BB76" s="430">
        <f t="shared" si="29"/>
        <v>-16.300000000000011</v>
      </c>
      <c r="BC76" s="211">
        <f t="shared" si="30"/>
        <v>-9.7200000000000006</v>
      </c>
      <c r="BD76" s="211">
        <f t="shared" si="31"/>
        <v>2.7450000000000001</v>
      </c>
      <c r="BE76" s="211">
        <f t="shared" si="32"/>
        <v>-6.9750000000000005</v>
      </c>
      <c r="BF76" s="212">
        <f t="shared" si="33"/>
        <v>-44.17300000000003</v>
      </c>
      <c r="BG76" s="220">
        <f t="shared" si="34"/>
        <v>-51.1</v>
      </c>
      <c r="BH76" s="89">
        <f t="shared" si="116"/>
        <v>1988</v>
      </c>
      <c r="BI76" s="89">
        <f t="shared" si="117"/>
        <v>12</v>
      </c>
      <c r="BN76" s="96"/>
      <c r="BO76" s="96"/>
      <c r="BT76" s="96"/>
    </row>
    <row r="77" spans="1:82">
      <c r="A77" s="13">
        <v>1989</v>
      </c>
      <c r="B77" s="13">
        <v>1</v>
      </c>
      <c r="C77" s="5">
        <v>859123</v>
      </c>
      <c r="D77" s="73">
        <v>975763</v>
      </c>
      <c r="E77" s="4">
        <f t="shared" si="16"/>
        <v>859123</v>
      </c>
      <c r="F77" s="4">
        <f t="shared" si="17"/>
        <v>975763</v>
      </c>
      <c r="G77" s="79">
        <f t="shared" si="18"/>
        <v>880.5</v>
      </c>
      <c r="H77" s="13"/>
      <c r="I77" s="13"/>
      <c r="J77" s="230">
        <f>'[7]RES 62 &amp; 67'!$S162</f>
        <v>88.7</v>
      </c>
      <c r="K77" s="183">
        <f t="shared" si="52"/>
        <v>49.5</v>
      </c>
      <c r="L77" s="233">
        <f t="shared" si="120"/>
        <v>-39.200000000000003</v>
      </c>
      <c r="M77" s="230">
        <f>'[7]RES 62 &amp; 67'!$J162</f>
        <v>84.9</v>
      </c>
      <c r="N77" s="183">
        <f t="shared" si="53"/>
        <v>131.6</v>
      </c>
      <c r="O77" s="236">
        <f t="shared" si="121"/>
        <v>46.699999999999989</v>
      </c>
      <c r="P77" s="206">
        <f t="shared" si="19"/>
        <v>-84.672000000000011</v>
      </c>
      <c r="Q77" s="208">
        <f t="shared" si="20"/>
        <v>23.912000000000003</v>
      </c>
      <c r="R77" s="467">
        <f t="shared" si="21"/>
        <v>-60.760000000000005</v>
      </c>
      <c r="S77" s="470">
        <f t="shared" si="22"/>
        <v>126.55699999999997</v>
      </c>
      <c r="T77" s="425">
        <f t="shared" si="23"/>
        <v>65.8</v>
      </c>
      <c r="U77" s="515">
        <f t="shared" si="24"/>
        <v>975763</v>
      </c>
      <c r="V77" s="447">
        <v>32509</v>
      </c>
      <c r="W77" s="191">
        <f t="shared" si="8"/>
        <v>946.3</v>
      </c>
      <c r="X77" s="73">
        <f t="shared" si="9"/>
        <v>923365</v>
      </c>
      <c r="Y77" s="186">
        <v>0</v>
      </c>
      <c r="Z77" s="175">
        <f t="shared" si="25"/>
        <v>923365</v>
      </c>
      <c r="AA77" s="40">
        <f t="shared" si="10"/>
        <v>64242</v>
      </c>
      <c r="AB77" s="379">
        <f t="shared" si="26"/>
        <v>923365</v>
      </c>
      <c r="AC77" s="81">
        <f>'[7]Gov 65 &amp; 70'!$B162</f>
        <v>30.5</v>
      </c>
      <c r="AD77" s="4">
        <f t="shared" si="11"/>
        <v>920943</v>
      </c>
      <c r="AE77" s="4">
        <f t="shared" si="54"/>
        <v>73988</v>
      </c>
      <c r="AF77" s="23">
        <f t="shared" si="12"/>
        <v>943.8</v>
      </c>
      <c r="AG77" s="75">
        <f t="shared" si="119"/>
        <v>44.5</v>
      </c>
      <c r="AI77" s="13" t="s">
        <v>194</v>
      </c>
      <c r="AU77" s="4">
        <v>1989</v>
      </c>
      <c r="AV77" s="4">
        <v>1</v>
      </c>
      <c r="AW77" s="230">
        <f>'[8]RES 62 &amp; 67'!$S162</f>
        <v>102</v>
      </c>
      <c r="AX77" s="200">
        <f t="shared" si="58"/>
        <v>50.5</v>
      </c>
      <c r="AY77" s="203">
        <f t="shared" si="51"/>
        <v>-51.5</v>
      </c>
      <c r="AZ77" s="230">
        <f>'[8]RES 62 &amp; 67'!$J162</f>
        <v>48.6</v>
      </c>
      <c r="BA77" s="183">
        <f t="shared" si="59"/>
        <v>127.9</v>
      </c>
      <c r="BB77" s="429">
        <f t="shared" si="29"/>
        <v>79.300000000000011</v>
      </c>
      <c r="BC77" s="206">
        <f t="shared" si="30"/>
        <v>-111.24000000000001</v>
      </c>
      <c r="BD77" s="206">
        <f t="shared" si="31"/>
        <v>31.414999999999999</v>
      </c>
      <c r="BE77" s="206">
        <f t="shared" si="32"/>
        <v>-79.825000000000017</v>
      </c>
      <c r="BF77" s="207">
        <f t="shared" si="33"/>
        <v>214.90300000000002</v>
      </c>
      <c r="BG77" s="219">
        <f t="shared" si="34"/>
        <v>135.1</v>
      </c>
      <c r="BH77" s="4">
        <f t="shared" si="116"/>
        <v>1989</v>
      </c>
      <c r="BI77" s="4">
        <f t="shared" si="117"/>
        <v>1</v>
      </c>
    </row>
    <row r="78" spans="1:82">
      <c r="A78" s="13">
        <v>1989</v>
      </c>
      <c r="B78" s="13">
        <v>2</v>
      </c>
      <c r="C78" s="5">
        <v>743716</v>
      </c>
      <c r="D78" s="73">
        <v>980025</v>
      </c>
      <c r="E78" s="4">
        <f t="shared" si="16"/>
        <v>743716</v>
      </c>
      <c r="F78" s="4">
        <f t="shared" si="17"/>
        <v>980025</v>
      </c>
      <c r="G78" s="79">
        <f t="shared" si="18"/>
        <v>758.9</v>
      </c>
      <c r="H78" s="13"/>
      <c r="I78" s="13"/>
      <c r="J78" s="230">
        <f>'[7]RES 62 &amp; 67'!$S163</f>
        <v>100.6</v>
      </c>
      <c r="K78" s="183">
        <f t="shared" si="52"/>
        <v>43.3</v>
      </c>
      <c r="L78" s="233">
        <f t="shared" si="120"/>
        <v>-57.3</v>
      </c>
      <c r="M78" s="230">
        <f>'[7]RES 62 &amp; 67'!$J163</f>
        <v>52.8</v>
      </c>
      <c r="N78" s="183">
        <f t="shared" si="53"/>
        <v>127.9</v>
      </c>
      <c r="O78" s="236">
        <f t="shared" si="121"/>
        <v>75.100000000000009</v>
      </c>
      <c r="P78" s="206">
        <f t="shared" si="19"/>
        <v>-123.768</v>
      </c>
      <c r="Q78" s="208">
        <f t="shared" si="20"/>
        <v>34.952999999999996</v>
      </c>
      <c r="R78" s="467">
        <f t="shared" si="21"/>
        <v>-88.814999999999998</v>
      </c>
      <c r="S78" s="470">
        <f t="shared" si="22"/>
        <v>203.52100000000002</v>
      </c>
      <c r="T78" s="425">
        <f t="shared" si="23"/>
        <v>114.7</v>
      </c>
      <c r="U78" s="515">
        <f t="shared" si="24"/>
        <v>980025</v>
      </c>
      <c r="V78" s="447">
        <v>32540</v>
      </c>
      <c r="W78" s="191">
        <f t="shared" si="8"/>
        <v>873.6</v>
      </c>
      <c r="X78" s="73">
        <f t="shared" si="9"/>
        <v>856150</v>
      </c>
      <c r="Y78" s="186">
        <v>0</v>
      </c>
      <c r="Z78" s="175">
        <f t="shared" si="25"/>
        <v>856150</v>
      </c>
      <c r="AA78" s="40">
        <f t="shared" si="10"/>
        <v>112434</v>
      </c>
      <c r="AB78" s="379">
        <f t="shared" si="26"/>
        <v>856150</v>
      </c>
      <c r="AC78" s="81">
        <f>'[7]Gov 65 &amp; 70'!$B163</f>
        <v>29.65</v>
      </c>
      <c r="AD78" s="4">
        <f t="shared" si="11"/>
        <v>878384</v>
      </c>
      <c r="AE78" s="4">
        <f t="shared" si="54"/>
        <v>-16190</v>
      </c>
      <c r="AF78" s="23">
        <f t="shared" si="12"/>
        <v>896.3</v>
      </c>
      <c r="AG78" s="75">
        <f t="shared" ref="AG78:AG93" si="127">AF78-AF66</f>
        <v>-48.400000000000091</v>
      </c>
      <c r="AI78" s="13" t="s">
        <v>194</v>
      </c>
      <c r="AU78" s="4">
        <v>1989</v>
      </c>
      <c r="AV78" s="4">
        <v>2</v>
      </c>
      <c r="AW78" s="230">
        <f>'[8]RES 62 &amp; 67'!$S163</f>
        <v>91.7</v>
      </c>
      <c r="AX78" s="200">
        <f t="shared" si="58"/>
        <v>59.2</v>
      </c>
      <c r="AY78" s="203">
        <f t="shared" si="51"/>
        <v>-32.5</v>
      </c>
      <c r="AZ78" s="230">
        <f>'[8]RES 62 &amp; 67'!$J163</f>
        <v>115.1</v>
      </c>
      <c r="BA78" s="183">
        <f t="shared" si="59"/>
        <v>97.8</v>
      </c>
      <c r="BB78" s="429">
        <f t="shared" si="29"/>
        <v>-17.299999999999997</v>
      </c>
      <c r="BC78" s="206">
        <f t="shared" si="30"/>
        <v>-70.2</v>
      </c>
      <c r="BD78" s="206">
        <f t="shared" si="31"/>
        <v>19.824999999999999</v>
      </c>
      <c r="BE78" s="206">
        <f t="shared" si="32"/>
        <v>-50.375</v>
      </c>
      <c r="BF78" s="207">
        <f t="shared" si="33"/>
        <v>-46.882999999999988</v>
      </c>
      <c r="BG78" s="219">
        <f t="shared" si="34"/>
        <v>-97.3</v>
      </c>
      <c r="BH78" s="4">
        <f t="shared" si="116"/>
        <v>1989</v>
      </c>
      <c r="BI78" s="4">
        <f t="shared" si="117"/>
        <v>2</v>
      </c>
    </row>
    <row r="79" spans="1:82">
      <c r="A79" s="13">
        <v>1989</v>
      </c>
      <c r="B79" s="13">
        <v>3</v>
      </c>
      <c r="C79" s="5">
        <v>902173</v>
      </c>
      <c r="D79" s="73">
        <v>983161</v>
      </c>
      <c r="E79" s="4">
        <f t="shared" si="16"/>
        <v>902173</v>
      </c>
      <c r="F79" s="4">
        <f t="shared" si="17"/>
        <v>983161</v>
      </c>
      <c r="G79" s="79">
        <f t="shared" si="18"/>
        <v>917.6</v>
      </c>
      <c r="H79" s="13"/>
      <c r="I79" s="13"/>
      <c r="J79" s="230">
        <f>'[7]RES 62 &amp; 67'!$S164</f>
        <v>98</v>
      </c>
      <c r="K79" s="183">
        <f t="shared" si="52"/>
        <v>77.2</v>
      </c>
      <c r="L79" s="233">
        <f t="shared" si="120"/>
        <v>-20.799999999999997</v>
      </c>
      <c r="M79" s="230">
        <f>'[7]RES 62 &amp; 67'!$J164</f>
        <v>124.4</v>
      </c>
      <c r="N79" s="183">
        <f t="shared" si="53"/>
        <v>82.3</v>
      </c>
      <c r="O79" s="236">
        <f t="shared" si="121"/>
        <v>-42.100000000000009</v>
      </c>
      <c r="P79" s="206">
        <f t="shared" si="19"/>
        <v>-44.927999999999997</v>
      </c>
      <c r="Q79" s="208">
        <f t="shared" si="20"/>
        <v>12.687999999999999</v>
      </c>
      <c r="R79" s="467">
        <f t="shared" si="21"/>
        <v>-32.239999999999995</v>
      </c>
      <c r="S79" s="470">
        <f t="shared" si="22"/>
        <v>-114.09100000000002</v>
      </c>
      <c r="T79" s="425">
        <f t="shared" si="23"/>
        <v>-146.30000000000001</v>
      </c>
      <c r="U79" s="515">
        <f t="shared" si="24"/>
        <v>983161</v>
      </c>
      <c r="V79" s="447">
        <v>32568</v>
      </c>
      <c r="W79" s="191">
        <f t="shared" si="8"/>
        <v>771.3</v>
      </c>
      <c r="X79" s="73">
        <f t="shared" si="9"/>
        <v>758312</v>
      </c>
      <c r="Y79" s="186">
        <v>0</v>
      </c>
      <c r="Z79" s="175">
        <f t="shared" si="25"/>
        <v>758312</v>
      </c>
      <c r="AA79" s="40">
        <f t="shared" si="10"/>
        <v>-143861</v>
      </c>
      <c r="AB79" s="379">
        <f t="shared" si="26"/>
        <v>758312</v>
      </c>
      <c r="AC79" s="81">
        <f>'[7]Gov 65 &amp; 70'!$B164</f>
        <v>29.55</v>
      </c>
      <c r="AD79" s="4">
        <f t="shared" si="11"/>
        <v>780638</v>
      </c>
      <c r="AE79" s="4">
        <f t="shared" si="54"/>
        <v>-20857</v>
      </c>
      <c r="AF79" s="23">
        <f t="shared" si="12"/>
        <v>794</v>
      </c>
      <c r="AG79" s="75">
        <f t="shared" si="127"/>
        <v>-50.299999999999955</v>
      </c>
      <c r="AI79" s="13" t="s">
        <v>194</v>
      </c>
      <c r="AU79" s="4">
        <v>1989</v>
      </c>
      <c r="AV79" s="4">
        <v>3</v>
      </c>
      <c r="AW79" s="230">
        <f>'[8]RES 62 &amp; 67'!$S164</f>
        <v>163.30000000000001</v>
      </c>
      <c r="AX79" s="200">
        <f t="shared" si="58"/>
        <v>105.8</v>
      </c>
      <c r="AY79" s="203">
        <f t="shared" si="51"/>
        <v>-57.500000000000014</v>
      </c>
      <c r="AZ79" s="230">
        <f>'[8]RES 62 &amp; 67'!$J164</f>
        <v>52.6</v>
      </c>
      <c r="BA79" s="183">
        <f t="shared" si="59"/>
        <v>49.9</v>
      </c>
      <c r="BB79" s="429">
        <f t="shared" si="29"/>
        <v>-2.7000000000000028</v>
      </c>
      <c r="BC79" s="206">
        <f t="shared" si="30"/>
        <v>-124.20000000000005</v>
      </c>
      <c r="BD79" s="206">
        <f t="shared" si="31"/>
        <v>35.07500000000001</v>
      </c>
      <c r="BE79" s="206">
        <f t="shared" si="32"/>
        <v>-89.125000000000028</v>
      </c>
      <c r="BF79" s="207">
        <f t="shared" si="33"/>
        <v>-7.3170000000000073</v>
      </c>
      <c r="BG79" s="219">
        <f t="shared" si="34"/>
        <v>-96.4</v>
      </c>
      <c r="BH79" s="4">
        <f t="shared" si="116"/>
        <v>1989</v>
      </c>
      <c r="BI79" s="4">
        <f t="shared" si="117"/>
        <v>3</v>
      </c>
    </row>
    <row r="80" spans="1:82">
      <c r="A80" s="13">
        <v>1989</v>
      </c>
      <c r="B80" s="13">
        <v>4</v>
      </c>
      <c r="C80" s="5">
        <v>822835</v>
      </c>
      <c r="D80" s="73">
        <v>980861</v>
      </c>
      <c r="E80" s="4">
        <f t="shared" si="16"/>
        <v>822835</v>
      </c>
      <c r="F80" s="4">
        <f t="shared" si="17"/>
        <v>980861</v>
      </c>
      <c r="G80" s="79">
        <f t="shared" si="18"/>
        <v>838.9</v>
      </c>
      <c r="H80" s="13"/>
      <c r="I80" s="13"/>
      <c r="J80" s="230">
        <f>'[7]RES 62 &amp; 67'!$S165</f>
        <v>180.9</v>
      </c>
      <c r="K80" s="183">
        <f t="shared" si="52"/>
        <v>138.1</v>
      </c>
      <c r="L80" s="233">
        <f t="shared" si="120"/>
        <v>-42.800000000000011</v>
      </c>
      <c r="M80" s="230">
        <f>'[7]RES 62 &amp; 67'!$J165</f>
        <v>35.700000000000003</v>
      </c>
      <c r="N80" s="183">
        <f t="shared" si="53"/>
        <v>37.299999999999997</v>
      </c>
      <c r="O80" s="236">
        <f t="shared" si="121"/>
        <v>1.5999999999999943</v>
      </c>
      <c r="P80" s="206">
        <f t="shared" si="19"/>
        <v>-92.448000000000036</v>
      </c>
      <c r="Q80" s="208">
        <f t="shared" si="20"/>
        <v>26.108000000000008</v>
      </c>
      <c r="R80" s="467">
        <f t="shared" si="21"/>
        <v>-66.340000000000032</v>
      </c>
      <c r="S80" s="470">
        <f t="shared" si="22"/>
        <v>4.3359999999999843</v>
      </c>
      <c r="T80" s="425">
        <f t="shared" si="23"/>
        <v>-62</v>
      </c>
      <c r="U80" s="515">
        <f t="shared" si="24"/>
        <v>980861</v>
      </c>
      <c r="V80" s="447">
        <v>32599</v>
      </c>
      <c r="W80" s="191">
        <f t="shared" si="8"/>
        <v>776.9</v>
      </c>
      <c r="X80" s="73">
        <f t="shared" si="9"/>
        <v>762031</v>
      </c>
      <c r="Y80" s="186">
        <v>0</v>
      </c>
      <c r="Z80" s="175">
        <f t="shared" si="25"/>
        <v>762031</v>
      </c>
      <c r="AA80" s="40">
        <f t="shared" si="10"/>
        <v>-60804</v>
      </c>
      <c r="AB80" s="379">
        <f t="shared" si="26"/>
        <v>762031</v>
      </c>
      <c r="AC80" s="81">
        <f>'[7]Gov 65 &amp; 70'!$B165</f>
        <v>32.049999999999997</v>
      </c>
      <c r="AD80" s="4">
        <f t="shared" si="11"/>
        <v>723276</v>
      </c>
      <c r="AE80" s="4">
        <f t="shared" si="54"/>
        <v>35510</v>
      </c>
      <c r="AF80" s="23">
        <f t="shared" si="12"/>
        <v>737.4</v>
      </c>
      <c r="AG80" s="75">
        <f t="shared" si="127"/>
        <v>8.6000000000000227</v>
      </c>
      <c r="AI80" s="13" t="s">
        <v>194</v>
      </c>
      <c r="AU80" s="4">
        <v>1989</v>
      </c>
      <c r="AV80" s="4">
        <v>4</v>
      </c>
      <c r="AW80" s="230">
        <f>'[8]RES 62 &amp; 67'!$S165</f>
        <v>195.1</v>
      </c>
      <c r="AX80" s="200">
        <f t="shared" si="58"/>
        <v>181.7</v>
      </c>
      <c r="AY80" s="203">
        <f t="shared" si="51"/>
        <v>-13.400000000000006</v>
      </c>
      <c r="AZ80" s="230">
        <f>'[8]RES 62 &amp; 67'!$J165</f>
        <v>19.399999999999999</v>
      </c>
      <c r="BA80" s="183">
        <f t="shared" si="59"/>
        <v>21.5</v>
      </c>
      <c r="BB80" s="429">
        <f t="shared" si="29"/>
        <v>2.1000000000000014</v>
      </c>
      <c r="BC80" s="206">
        <f t="shared" si="30"/>
        <v>-28.944000000000013</v>
      </c>
      <c r="BD80" s="206">
        <f t="shared" si="31"/>
        <v>4.0870000000000015</v>
      </c>
      <c r="BE80" s="206">
        <f t="shared" si="32"/>
        <v>-24.857000000000014</v>
      </c>
      <c r="BF80" s="207">
        <f t="shared" si="33"/>
        <v>5.6910000000000034</v>
      </c>
      <c r="BG80" s="219">
        <f t="shared" si="34"/>
        <v>-19.2</v>
      </c>
      <c r="BH80" s="4">
        <f t="shared" si="116"/>
        <v>1989</v>
      </c>
      <c r="BI80" s="4">
        <f t="shared" si="117"/>
        <v>4</v>
      </c>
    </row>
    <row r="81" spans="1:72">
      <c r="A81" s="13">
        <v>1989</v>
      </c>
      <c r="B81" s="13">
        <v>5</v>
      </c>
      <c r="C81" s="5">
        <v>767581</v>
      </c>
      <c r="D81" s="73">
        <v>967873</v>
      </c>
      <c r="E81" s="4">
        <f t="shared" si="16"/>
        <v>767581</v>
      </c>
      <c r="F81" s="4">
        <f t="shared" si="17"/>
        <v>967873</v>
      </c>
      <c r="G81" s="79">
        <f t="shared" si="18"/>
        <v>793.1</v>
      </c>
      <c r="H81" s="13"/>
      <c r="I81" s="13"/>
      <c r="J81" s="230">
        <f>'[7]RES 62 &amp; 67'!$S166</f>
        <v>239.4</v>
      </c>
      <c r="K81" s="183">
        <f t="shared" si="52"/>
        <v>224.4</v>
      </c>
      <c r="L81" s="233">
        <f t="shared" ref="L81:L96" si="128">(K81-J81)</f>
        <v>-15</v>
      </c>
      <c r="M81" s="230">
        <f>'[7]RES 62 &amp; 67'!$J166</f>
        <v>9</v>
      </c>
      <c r="N81" s="183">
        <f t="shared" si="53"/>
        <v>11.2</v>
      </c>
      <c r="O81" s="236">
        <f t="shared" ref="O81:O96" si="129">(N81-M81)</f>
        <v>2.1999999999999993</v>
      </c>
      <c r="P81" s="206">
        <f t="shared" si="19"/>
        <v>-32.400000000000006</v>
      </c>
      <c r="Q81" s="208">
        <f t="shared" si="20"/>
        <v>0</v>
      </c>
      <c r="R81" s="467">
        <f t="shared" si="21"/>
        <v>-32.400000000000006</v>
      </c>
      <c r="S81" s="470">
        <f t="shared" si="22"/>
        <v>5.961999999999998</v>
      </c>
      <c r="T81" s="425">
        <f t="shared" si="23"/>
        <v>-26.4</v>
      </c>
      <c r="U81" s="515">
        <f t="shared" si="24"/>
        <v>967873</v>
      </c>
      <c r="V81" s="447">
        <v>32629</v>
      </c>
      <c r="W81" s="191">
        <f t="shared" ref="W81:W144" si="130">(G81+T81)</f>
        <v>766.7</v>
      </c>
      <c r="X81" s="73">
        <f t="shared" ref="X81:X144" si="131">ROUND(W81*F81/1000,0)</f>
        <v>742068</v>
      </c>
      <c r="Y81" s="186">
        <v>0</v>
      </c>
      <c r="Z81" s="175">
        <f t="shared" si="25"/>
        <v>742068</v>
      </c>
      <c r="AA81" s="40">
        <f t="shared" ref="AA81:AA144" si="132">Z81-C81</f>
        <v>-25513</v>
      </c>
      <c r="AB81" s="379">
        <f t="shared" si="26"/>
        <v>742068</v>
      </c>
      <c r="AC81" s="81">
        <f>'[7]Gov 65 &amp; 70'!$B166</f>
        <v>29.4</v>
      </c>
      <c r="AD81" s="4">
        <f t="shared" ref="AD81:AD144" si="133">ROUND(AB81/(AC81/30.42),0)</f>
        <v>767813</v>
      </c>
      <c r="AE81" s="4">
        <f t="shared" si="54"/>
        <v>17213</v>
      </c>
      <c r="AF81" s="23">
        <f t="shared" ref="AF81:AF144" si="134">ROUND((AD81/(D81)*1000),1)</f>
        <v>793.3</v>
      </c>
      <c r="AG81" s="75">
        <f t="shared" si="127"/>
        <v>-13.300000000000068</v>
      </c>
      <c r="AI81" s="13" t="s">
        <v>194</v>
      </c>
      <c r="AU81" s="4">
        <v>1989</v>
      </c>
      <c r="AV81" s="4">
        <v>5</v>
      </c>
      <c r="AW81" s="230">
        <f>'[8]RES 62 &amp; 67'!$S166</f>
        <v>346.7</v>
      </c>
      <c r="AX81" s="200">
        <f t="shared" si="58"/>
        <v>336.7</v>
      </c>
      <c r="AY81" s="203">
        <f t="shared" si="51"/>
        <v>-10</v>
      </c>
      <c r="AZ81" s="230">
        <f>'[8]RES 62 &amp; 67'!$J166</f>
        <v>4.3</v>
      </c>
      <c r="BA81" s="183">
        <f t="shared" si="59"/>
        <v>2.1</v>
      </c>
      <c r="BB81" s="429">
        <f t="shared" si="29"/>
        <v>-2.1999999999999997</v>
      </c>
      <c r="BC81" s="206">
        <f t="shared" si="30"/>
        <v>-21.6</v>
      </c>
      <c r="BD81" s="206">
        <f t="shared" si="31"/>
        <v>0</v>
      </c>
      <c r="BE81" s="206">
        <f t="shared" si="32"/>
        <v>-21.6</v>
      </c>
      <c r="BF81" s="207">
        <f t="shared" si="33"/>
        <v>-5.9619999999999989</v>
      </c>
      <c r="BG81" s="219">
        <f t="shared" si="34"/>
        <v>-27.6</v>
      </c>
      <c r="BH81" s="4">
        <f t="shared" ref="BH81:BH112" si="135">AU81</f>
        <v>1989</v>
      </c>
      <c r="BI81" s="4">
        <f t="shared" ref="BI81:BI112" si="136">AV81</f>
        <v>5</v>
      </c>
    </row>
    <row r="82" spans="1:72">
      <c r="A82" s="13">
        <v>1989</v>
      </c>
      <c r="B82" s="13">
        <v>6</v>
      </c>
      <c r="C82" s="5">
        <v>1092649</v>
      </c>
      <c r="D82" s="73">
        <v>964424</v>
      </c>
      <c r="E82" s="4">
        <f t="shared" ref="E82:E145" si="137">C82</f>
        <v>1092649</v>
      </c>
      <c r="F82" s="4">
        <f t="shared" ref="F82:F145" si="138">D82</f>
        <v>964424</v>
      </c>
      <c r="G82" s="79">
        <f t="shared" ref="G82:G145" si="139">ROUND((E82)/F82*1000,1)</f>
        <v>1133</v>
      </c>
      <c r="H82" s="13"/>
      <c r="I82" s="13"/>
      <c r="J82" s="230">
        <f>'[7]RES 62 &amp; 67'!$S167</f>
        <v>416.4</v>
      </c>
      <c r="K82" s="183">
        <f t="shared" si="52"/>
        <v>382.8</v>
      </c>
      <c r="L82" s="233">
        <f t="shared" si="128"/>
        <v>-33.599999999999966</v>
      </c>
      <c r="M82" s="230">
        <f>'[7]RES 62 &amp; 67'!$J167</f>
        <v>1.7</v>
      </c>
      <c r="N82" s="183">
        <f t="shared" si="53"/>
        <v>0.9</v>
      </c>
      <c r="O82" s="236">
        <f t="shared" si="129"/>
        <v>-0.79999999999999993</v>
      </c>
      <c r="P82" s="206">
        <f t="shared" ref="P82:P145" si="140">L82*$C$10</f>
        <v>-72.575999999999937</v>
      </c>
      <c r="Q82" s="208">
        <f t="shared" ref="Q82:Q145" si="141">IF($B82=12,L82*$C$11,IF($B82&lt;5,L82*$C$11,0))</f>
        <v>0</v>
      </c>
      <c r="R82" s="467">
        <f t="shared" ref="R82:R145" si="142">P82+Q82</f>
        <v>-72.575999999999937</v>
      </c>
      <c r="S82" s="470">
        <f t="shared" ref="S82:S145" si="143">O82*$C$9</f>
        <v>-2.1679999999999997</v>
      </c>
      <c r="T82" s="425">
        <f t="shared" ref="T82:T145" si="144">ROUND((R82+S82),1)</f>
        <v>-74.7</v>
      </c>
      <c r="U82" s="515">
        <f t="shared" ref="U82:U145" si="145">D82</f>
        <v>964424</v>
      </c>
      <c r="V82" s="447">
        <v>32660</v>
      </c>
      <c r="W82" s="191">
        <f t="shared" si="130"/>
        <v>1058.3</v>
      </c>
      <c r="X82" s="73">
        <f t="shared" si="131"/>
        <v>1020650</v>
      </c>
      <c r="Y82" s="186">
        <v>0</v>
      </c>
      <c r="Z82" s="175">
        <f t="shared" ref="Z82:Z145" si="146">Y82+X82</f>
        <v>1020650</v>
      </c>
      <c r="AA82" s="40">
        <f t="shared" si="132"/>
        <v>-71999</v>
      </c>
      <c r="AB82" s="379">
        <f t="shared" ref="AB82:AB145" si="147">Z82</f>
        <v>1020650</v>
      </c>
      <c r="AC82" s="81">
        <f>'[7]Gov 65 &amp; 70'!$B167</f>
        <v>30.8</v>
      </c>
      <c r="AD82" s="4">
        <f t="shared" si="133"/>
        <v>1008058</v>
      </c>
      <c r="AE82" s="4">
        <f t="shared" si="54"/>
        <v>36223</v>
      </c>
      <c r="AF82" s="23">
        <f t="shared" si="134"/>
        <v>1045.2</v>
      </c>
      <c r="AG82" s="75">
        <f t="shared" si="127"/>
        <v>-2.5999999999999091</v>
      </c>
      <c r="AI82" s="13" t="s">
        <v>194</v>
      </c>
      <c r="AU82" s="4">
        <v>1989</v>
      </c>
      <c r="AV82" s="4">
        <v>6</v>
      </c>
      <c r="AW82" s="230">
        <f>'[8]RES 62 &amp; 67'!$S167</f>
        <v>443.7</v>
      </c>
      <c r="AX82" s="200">
        <f t="shared" si="58"/>
        <v>425.2</v>
      </c>
      <c r="AY82" s="203">
        <f t="shared" ref="AY82:AY145" si="148">AX82-AW82</f>
        <v>-18.5</v>
      </c>
      <c r="AZ82" s="230">
        <f>'[8]RES 62 &amp; 67'!$J167</f>
        <v>0</v>
      </c>
      <c r="BA82" s="183">
        <f t="shared" si="59"/>
        <v>0</v>
      </c>
      <c r="BB82" s="429">
        <f t="shared" ref="BB82:BB145" si="149">BA82-AZ82</f>
        <v>0</v>
      </c>
      <c r="BC82" s="206">
        <f t="shared" ref="BC82:BC145" si="150">AY82*$C$10</f>
        <v>-39.96</v>
      </c>
      <c r="BD82" s="206">
        <f t="shared" ref="BD82:BD145" si="151">IF($B82=4,(C$11*0.5*AY82),IF($B82=11,(C$11*0.5*AY82),IF($B82=12,AY82*$C$11,IF($B82&lt;5,AY82*$C$11,0))))</f>
        <v>0</v>
      </c>
      <c r="BE82" s="206">
        <f t="shared" ref="BE82:BE145" si="152">BC82+BD82</f>
        <v>-39.96</v>
      </c>
      <c r="BF82" s="207">
        <f t="shared" ref="BF82:BF145" si="153">BB82*$C$9</f>
        <v>0</v>
      </c>
      <c r="BG82" s="219">
        <f t="shared" ref="BG82:BG145" si="154">ROUND(BF82+BE82,1)</f>
        <v>-40</v>
      </c>
      <c r="BH82" s="4">
        <f t="shared" si="135"/>
        <v>1989</v>
      </c>
      <c r="BI82" s="4">
        <f t="shared" si="136"/>
        <v>6</v>
      </c>
    </row>
    <row r="83" spans="1:72">
      <c r="A83" s="13">
        <v>1989</v>
      </c>
      <c r="B83" s="13">
        <v>7</v>
      </c>
      <c r="C83" s="5">
        <v>1223772</v>
      </c>
      <c r="D83" s="73">
        <v>965107</v>
      </c>
      <c r="E83" s="4">
        <f t="shared" si="137"/>
        <v>1223772</v>
      </c>
      <c r="F83" s="4">
        <f t="shared" si="138"/>
        <v>965107</v>
      </c>
      <c r="G83" s="79">
        <f t="shared" si="139"/>
        <v>1268</v>
      </c>
      <c r="H83" s="13"/>
      <c r="I83" s="13"/>
      <c r="J83" s="230">
        <f>'[7]RES 62 &amp; 67'!$S168</f>
        <v>467.4</v>
      </c>
      <c r="K83" s="183">
        <f t="shared" si="52"/>
        <v>454.9</v>
      </c>
      <c r="L83" s="233">
        <f t="shared" si="128"/>
        <v>-12.5</v>
      </c>
      <c r="M83" s="230">
        <f>'[7]RES 62 &amp; 67'!$J168</f>
        <v>0</v>
      </c>
      <c r="N83" s="183">
        <f t="shared" si="53"/>
        <v>0</v>
      </c>
      <c r="O83" s="236">
        <f t="shared" si="129"/>
        <v>0</v>
      </c>
      <c r="P83" s="206">
        <f t="shared" si="140"/>
        <v>-27</v>
      </c>
      <c r="Q83" s="208">
        <f t="shared" si="141"/>
        <v>0</v>
      </c>
      <c r="R83" s="467">
        <f t="shared" si="142"/>
        <v>-27</v>
      </c>
      <c r="S83" s="470">
        <f t="shared" si="143"/>
        <v>0</v>
      </c>
      <c r="T83" s="425">
        <f t="shared" si="144"/>
        <v>-27</v>
      </c>
      <c r="U83" s="515">
        <f t="shared" si="145"/>
        <v>965107</v>
      </c>
      <c r="V83" s="447">
        <v>32690</v>
      </c>
      <c r="W83" s="191">
        <f t="shared" si="130"/>
        <v>1241</v>
      </c>
      <c r="X83" s="73">
        <f t="shared" si="131"/>
        <v>1197698</v>
      </c>
      <c r="Y83" s="186">
        <v>0</v>
      </c>
      <c r="Z83" s="175">
        <f t="shared" si="146"/>
        <v>1197698</v>
      </c>
      <c r="AA83" s="40">
        <f t="shared" si="132"/>
        <v>-26074</v>
      </c>
      <c r="AB83" s="379">
        <f t="shared" si="147"/>
        <v>1197698</v>
      </c>
      <c r="AC83" s="81">
        <f>'[7]Gov 65 &amp; 70'!$B168</f>
        <v>30.5</v>
      </c>
      <c r="AD83" s="4">
        <f t="shared" si="133"/>
        <v>1194556</v>
      </c>
      <c r="AE83" s="4">
        <f t="shared" si="54"/>
        <v>89494</v>
      </c>
      <c r="AF83" s="23">
        <f t="shared" si="134"/>
        <v>1237.7</v>
      </c>
      <c r="AG83" s="75">
        <f t="shared" si="127"/>
        <v>47.700000000000045</v>
      </c>
      <c r="AI83" s="13" t="s">
        <v>194</v>
      </c>
      <c r="AU83" s="4">
        <v>1989</v>
      </c>
      <c r="AV83" s="4">
        <v>7</v>
      </c>
      <c r="AW83" s="230">
        <f>'[8]RES 62 &amp; 67'!$S168</f>
        <v>505.7</v>
      </c>
      <c r="AX83" s="200">
        <f t="shared" si="58"/>
        <v>484.1</v>
      </c>
      <c r="AY83" s="203">
        <f t="shared" si="148"/>
        <v>-21.599999999999966</v>
      </c>
      <c r="AZ83" s="230">
        <f>'[8]RES 62 &amp; 67'!$J168</f>
        <v>0</v>
      </c>
      <c r="BA83" s="183">
        <f t="shared" si="59"/>
        <v>0</v>
      </c>
      <c r="BB83" s="429">
        <f t="shared" si="149"/>
        <v>0</v>
      </c>
      <c r="BC83" s="206">
        <f t="shared" si="150"/>
        <v>-46.655999999999928</v>
      </c>
      <c r="BD83" s="206">
        <f t="shared" si="151"/>
        <v>0</v>
      </c>
      <c r="BE83" s="206">
        <f t="shared" si="152"/>
        <v>-46.655999999999928</v>
      </c>
      <c r="BF83" s="207">
        <f t="shared" si="153"/>
        <v>0</v>
      </c>
      <c r="BG83" s="219">
        <f t="shared" si="154"/>
        <v>-46.7</v>
      </c>
      <c r="BH83" s="4">
        <f t="shared" si="135"/>
        <v>1989</v>
      </c>
      <c r="BI83" s="4">
        <f t="shared" si="136"/>
        <v>7</v>
      </c>
    </row>
    <row r="84" spans="1:72">
      <c r="A84" s="13">
        <v>1989</v>
      </c>
      <c r="B84" s="13">
        <v>8</v>
      </c>
      <c r="C84" s="5">
        <v>1254487</v>
      </c>
      <c r="D84" s="73">
        <v>967667</v>
      </c>
      <c r="E84" s="4">
        <f t="shared" si="137"/>
        <v>1254487</v>
      </c>
      <c r="F84" s="4">
        <f t="shared" si="138"/>
        <v>967667</v>
      </c>
      <c r="G84" s="79">
        <f t="shared" si="139"/>
        <v>1296.4000000000001</v>
      </c>
      <c r="H84" s="13"/>
      <c r="I84" s="13"/>
      <c r="J84" s="230">
        <f>'[7]RES 62 &amp; 67'!$S169</f>
        <v>481.3</v>
      </c>
      <c r="K84" s="183">
        <f t="shared" si="52"/>
        <v>481.4</v>
      </c>
      <c r="L84" s="233">
        <f t="shared" si="128"/>
        <v>9.9999999999965894E-2</v>
      </c>
      <c r="M84" s="230">
        <f>'[7]RES 62 &amp; 67'!$J169</f>
        <v>0</v>
      </c>
      <c r="N84" s="183">
        <f t="shared" si="53"/>
        <v>0</v>
      </c>
      <c r="O84" s="236">
        <f t="shared" si="129"/>
        <v>0</v>
      </c>
      <c r="P84" s="206">
        <f t="shared" si="140"/>
        <v>0.21599999999992633</v>
      </c>
      <c r="Q84" s="208">
        <f t="shared" si="141"/>
        <v>0</v>
      </c>
      <c r="R84" s="467">
        <f t="shared" si="142"/>
        <v>0.21599999999992633</v>
      </c>
      <c r="S84" s="470">
        <f t="shared" si="143"/>
        <v>0</v>
      </c>
      <c r="T84" s="425">
        <f t="shared" si="144"/>
        <v>0.2</v>
      </c>
      <c r="U84" s="515">
        <f t="shared" si="145"/>
        <v>967667</v>
      </c>
      <c r="V84" s="447">
        <v>32721</v>
      </c>
      <c r="W84" s="191">
        <f t="shared" si="130"/>
        <v>1296.6000000000001</v>
      </c>
      <c r="X84" s="73">
        <f t="shared" si="131"/>
        <v>1254677</v>
      </c>
      <c r="Y84" s="186">
        <v>0</v>
      </c>
      <c r="Z84" s="175">
        <f t="shared" si="146"/>
        <v>1254677</v>
      </c>
      <c r="AA84" s="40">
        <f t="shared" si="132"/>
        <v>190</v>
      </c>
      <c r="AB84" s="379">
        <f t="shared" si="147"/>
        <v>1254677</v>
      </c>
      <c r="AC84" s="81">
        <f>'[7]Gov 65 &amp; 70'!$B169</f>
        <v>29.7</v>
      </c>
      <c r="AD84" s="4">
        <f t="shared" si="133"/>
        <v>1285093</v>
      </c>
      <c r="AE84" s="4">
        <f t="shared" si="54"/>
        <v>75036</v>
      </c>
      <c r="AF84" s="23">
        <f t="shared" si="134"/>
        <v>1328</v>
      </c>
      <c r="AG84" s="75">
        <f t="shared" si="127"/>
        <v>28.5</v>
      </c>
      <c r="AI84" s="13" t="s">
        <v>194</v>
      </c>
      <c r="AU84" s="4">
        <v>1989</v>
      </c>
      <c r="AV84" s="4">
        <v>8</v>
      </c>
      <c r="AW84" s="230">
        <f>'[8]RES 62 &amp; 67'!$S169</f>
        <v>504.7</v>
      </c>
      <c r="AX84" s="200">
        <f t="shared" si="58"/>
        <v>487.3</v>
      </c>
      <c r="AY84" s="203">
        <f t="shared" si="148"/>
        <v>-17.399999999999977</v>
      </c>
      <c r="AZ84" s="230">
        <f>'[8]RES 62 &amp; 67'!$J169</f>
        <v>0</v>
      </c>
      <c r="BA84" s="183">
        <f t="shared" si="59"/>
        <v>0</v>
      </c>
      <c r="BB84" s="429">
        <f t="shared" si="149"/>
        <v>0</v>
      </c>
      <c r="BC84" s="206">
        <f t="shared" si="150"/>
        <v>-37.583999999999953</v>
      </c>
      <c r="BD84" s="206">
        <f t="shared" si="151"/>
        <v>0</v>
      </c>
      <c r="BE84" s="206">
        <f t="shared" si="152"/>
        <v>-37.583999999999953</v>
      </c>
      <c r="BF84" s="207">
        <f t="shared" si="153"/>
        <v>0</v>
      </c>
      <c r="BG84" s="219">
        <f t="shared" si="154"/>
        <v>-37.6</v>
      </c>
      <c r="BH84" s="4">
        <f t="shared" si="135"/>
        <v>1989</v>
      </c>
      <c r="BI84" s="4">
        <f t="shared" si="136"/>
        <v>8</v>
      </c>
    </row>
    <row r="85" spans="1:72">
      <c r="A85" s="13">
        <v>1989</v>
      </c>
      <c r="B85" s="13">
        <v>9</v>
      </c>
      <c r="C85" s="5">
        <v>1330448</v>
      </c>
      <c r="D85" s="73">
        <v>971444</v>
      </c>
      <c r="E85" s="4">
        <f t="shared" si="137"/>
        <v>1330448</v>
      </c>
      <c r="F85" s="4">
        <f t="shared" si="138"/>
        <v>971444</v>
      </c>
      <c r="G85" s="79">
        <f t="shared" si="139"/>
        <v>1369.6</v>
      </c>
      <c r="H85" s="13"/>
      <c r="I85" s="13"/>
      <c r="J85" s="230">
        <f>'[7]RES 62 &amp; 67'!$S170</f>
        <v>511.7</v>
      </c>
      <c r="K85" s="183">
        <f t="shared" si="52"/>
        <v>473.7</v>
      </c>
      <c r="L85" s="233">
        <f t="shared" si="128"/>
        <v>-38</v>
      </c>
      <c r="M85" s="230">
        <f>'[7]RES 62 &amp; 67'!$J170</f>
        <v>0</v>
      </c>
      <c r="N85" s="183">
        <f t="shared" si="53"/>
        <v>0</v>
      </c>
      <c r="O85" s="236">
        <f t="shared" si="129"/>
        <v>0</v>
      </c>
      <c r="P85" s="206">
        <f t="shared" si="140"/>
        <v>-82.080000000000013</v>
      </c>
      <c r="Q85" s="208">
        <f t="shared" si="141"/>
        <v>0</v>
      </c>
      <c r="R85" s="467">
        <f t="shared" si="142"/>
        <v>-82.080000000000013</v>
      </c>
      <c r="S85" s="470">
        <f t="shared" si="143"/>
        <v>0</v>
      </c>
      <c r="T85" s="425">
        <f t="shared" si="144"/>
        <v>-82.1</v>
      </c>
      <c r="U85" s="515">
        <f t="shared" si="145"/>
        <v>971444</v>
      </c>
      <c r="V85" s="447">
        <v>32752</v>
      </c>
      <c r="W85" s="191">
        <f t="shared" si="130"/>
        <v>1287.5</v>
      </c>
      <c r="X85" s="73">
        <f t="shared" si="131"/>
        <v>1250734</v>
      </c>
      <c r="Y85" s="186">
        <v>0</v>
      </c>
      <c r="Z85" s="175">
        <f t="shared" si="146"/>
        <v>1250734</v>
      </c>
      <c r="AA85" s="40">
        <f t="shared" si="132"/>
        <v>-79714</v>
      </c>
      <c r="AB85" s="379">
        <f t="shared" si="147"/>
        <v>1250734</v>
      </c>
      <c r="AC85" s="81">
        <f>'[7]Gov 65 &amp; 70'!$B170</f>
        <v>31.9</v>
      </c>
      <c r="AD85" s="4">
        <f t="shared" si="133"/>
        <v>1192706</v>
      </c>
      <c r="AE85" s="4">
        <f t="shared" si="54"/>
        <v>83362</v>
      </c>
      <c r="AF85" s="23">
        <f t="shared" si="134"/>
        <v>1227.8</v>
      </c>
      <c r="AG85" s="75">
        <f t="shared" si="127"/>
        <v>40.399999999999864</v>
      </c>
      <c r="AI85" s="13" t="s">
        <v>194</v>
      </c>
      <c r="AU85" s="4">
        <v>1989</v>
      </c>
      <c r="AV85" s="4">
        <v>9</v>
      </c>
      <c r="AW85" s="230">
        <f>'[8]RES 62 &amp; 67'!$S170</f>
        <v>447</v>
      </c>
      <c r="AX85" s="200">
        <f t="shared" si="58"/>
        <v>428.3</v>
      </c>
      <c r="AY85" s="203">
        <f t="shared" si="148"/>
        <v>-18.699999999999989</v>
      </c>
      <c r="AZ85" s="230">
        <f>'[8]RES 62 &amp; 67'!$J170</f>
        <v>0</v>
      </c>
      <c r="BA85" s="183">
        <f t="shared" si="59"/>
        <v>0</v>
      </c>
      <c r="BB85" s="429">
        <f t="shared" si="149"/>
        <v>0</v>
      </c>
      <c r="BC85" s="206">
        <f t="shared" si="150"/>
        <v>-40.391999999999975</v>
      </c>
      <c r="BD85" s="206">
        <f t="shared" si="151"/>
        <v>0</v>
      </c>
      <c r="BE85" s="206">
        <f t="shared" si="152"/>
        <v>-40.391999999999975</v>
      </c>
      <c r="BF85" s="207">
        <f t="shared" si="153"/>
        <v>0</v>
      </c>
      <c r="BG85" s="219">
        <f t="shared" si="154"/>
        <v>-40.4</v>
      </c>
      <c r="BH85" s="4">
        <f t="shared" si="135"/>
        <v>1989</v>
      </c>
      <c r="BI85" s="4">
        <f t="shared" si="136"/>
        <v>9</v>
      </c>
    </row>
    <row r="86" spans="1:72">
      <c r="A86" s="13">
        <v>1989</v>
      </c>
      <c r="B86" s="13">
        <v>10</v>
      </c>
      <c r="C86" s="5">
        <v>1103314</v>
      </c>
      <c r="D86" s="73">
        <v>978074</v>
      </c>
      <c r="E86" s="4">
        <f t="shared" si="137"/>
        <v>1103314</v>
      </c>
      <c r="F86" s="4">
        <f t="shared" si="138"/>
        <v>978074</v>
      </c>
      <c r="G86" s="79">
        <f t="shared" si="139"/>
        <v>1128</v>
      </c>
      <c r="H86" s="13"/>
      <c r="I86" s="13"/>
      <c r="J86" s="230">
        <f>'[7]RES 62 &amp; 67'!$S171</f>
        <v>396.4</v>
      </c>
      <c r="K86" s="183">
        <f t="shared" si="52"/>
        <v>373.2</v>
      </c>
      <c r="L86" s="233">
        <f t="shared" si="128"/>
        <v>-23.199999999999989</v>
      </c>
      <c r="M86" s="230">
        <f>'[7]RES 62 &amp; 67'!$J171</f>
        <v>3.9</v>
      </c>
      <c r="N86" s="183">
        <f t="shared" si="53"/>
        <v>1.3</v>
      </c>
      <c r="O86" s="236">
        <f t="shared" si="129"/>
        <v>-2.5999999999999996</v>
      </c>
      <c r="P86" s="206">
        <f t="shared" si="140"/>
        <v>-50.111999999999981</v>
      </c>
      <c r="Q86" s="208">
        <f t="shared" si="141"/>
        <v>0</v>
      </c>
      <c r="R86" s="467">
        <f t="shared" si="142"/>
        <v>-50.111999999999981</v>
      </c>
      <c r="S86" s="470">
        <f t="shared" si="143"/>
        <v>-7.0459999999999994</v>
      </c>
      <c r="T86" s="425">
        <f t="shared" si="144"/>
        <v>-57.2</v>
      </c>
      <c r="U86" s="515">
        <f t="shared" si="145"/>
        <v>978074</v>
      </c>
      <c r="V86" s="447">
        <v>32782</v>
      </c>
      <c r="W86" s="191">
        <f t="shared" si="130"/>
        <v>1070.8</v>
      </c>
      <c r="X86" s="73">
        <f t="shared" si="131"/>
        <v>1047322</v>
      </c>
      <c r="Y86" s="186">
        <v>0</v>
      </c>
      <c r="Z86" s="175">
        <f t="shared" si="146"/>
        <v>1047322</v>
      </c>
      <c r="AA86" s="40">
        <f t="shared" si="132"/>
        <v>-55992</v>
      </c>
      <c r="AB86" s="379">
        <f t="shared" si="147"/>
        <v>1047322</v>
      </c>
      <c r="AC86" s="81">
        <f>'[7]Gov 65 &amp; 70'!$B171</f>
        <v>29.7</v>
      </c>
      <c r="AD86" s="4">
        <f t="shared" si="133"/>
        <v>1072712</v>
      </c>
      <c r="AE86" s="4">
        <f t="shared" si="54"/>
        <v>23035</v>
      </c>
      <c r="AF86" s="23">
        <f t="shared" si="134"/>
        <v>1096.8</v>
      </c>
      <c r="AG86" s="75">
        <f t="shared" si="127"/>
        <v>-17.700000000000045</v>
      </c>
      <c r="AI86" s="13" t="s">
        <v>194</v>
      </c>
      <c r="AU86" s="4">
        <v>1989</v>
      </c>
      <c r="AV86" s="4">
        <v>10</v>
      </c>
      <c r="AW86" s="230">
        <f>'[8]RES 62 &amp; 67'!$S171</f>
        <v>276.5</v>
      </c>
      <c r="AX86" s="200">
        <f t="shared" si="58"/>
        <v>277.60000000000002</v>
      </c>
      <c r="AY86" s="203">
        <f t="shared" si="148"/>
        <v>1.1000000000000227</v>
      </c>
      <c r="AZ86" s="230">
        <f>'[8]RES 62 &amp; 67'!$J171</f>
        <v>23.2</v>
      </c>
      <c r="BA86" s="183">
        <f t="shared" si="59"/>
        <v>8.5</v>
      </c>
      <c r="BB86" s="429">
        <f t="shared" si="149"/>
        <v>-14.7</v>
      </c>
      <c r="BC86" s="206">
        <f t="shared" si="150"/>
        <v>2.3760000000000492</v>
      </c>
      <c r="BD86" s="206">
        <f t="shared" si="151"/>
        <v>0</v>
      </c>
      <c r="BE86" s="206">
        <f t="shared" si="152"/>
        <v>2.3760000000000492</v>
      </c>
      <c r="BF86" s="207">
        <f t="shared" si="153"/>
        <v>-39.836999999999996</v>
      </c>
      <c r="BG86" s="219">
        <f t="shared" si="154"/>
        <v>-37.5</v>
      </c>
      <c r="BH86" s="4">
        <f t="shared" si="135"/>
        <v>1989</v>
      </c>
      <c r="BI86" s="4">
        <f t="shared" si="136"/>
        <v>10</v>
      </c>
    </row>
    <row r="87" spans="1:72">
      <c r="A87" s="13">
        <v>1989</v>
      </c>
      <c r="B87" s="13">
        <v>11</v>
      </c>
      <c r="C87" s="5">
        <v>804003</v>
      </c>
      <c r="D87" s="73">
        <v>992296</v>
      </c>
      <c r="E87" s="4">
        <f t="shared" si="137"/>
        <v>804003</v>
      </c>
      <c r="F87" s="4">
        <f t="shared" si="138"/>
        <v>992296</v>
      </c>
      <c r="G87" s="79">
        <f t="shared" si="139"/>
        <v>810.2</v>
      </c>
      <c r="H87" s="13"/>
      <c r="I87" s="13"/>
      <c r="J87" s="230">
        <f>'[7]RES 62 &amp; 67'!$S172</f>
        <v>196.1</v>
      </c>
      <c r="K87" s="183">
        <f t="shared" si="52"/>
        <v>204.3</v>
      </c>
      <c r="L87" s="233">
        <f t="shared" si="128"/>
        <v>8.2000000000000171</v>
      </c>
      <c r="M87" s="230">
        <f>'[7]RES 62 &amp; 67'!$J172</f>
        <v>29</v>
      </c>
      <c r="N87" s="183">
        <f t="shared" si="53"/>
        <v>24.1</v>
      </c>
      <c r="O87" s="236">
        <f t="shared" si="129"/>
        <v>-4.8999999999999986</v>
      </c>
      <c r="P87" s="206">
        <f t="shared" si="140"/>
        <v>17.712000000000039</v>
      </c>
      <c r="Q87" s="208">
        <f t="shared" si="141"/>
        <v>0</v>
      </c>
      <c r="R87" s="467">
        <f t="shared" si="142"/>
        <v>17.712000000000039</v>
      </c>
      <c r="S87" s="470">
        <f t="shared" si="143"/>
        <v>-13.278999999999996</v>
      </c>
      <c r="T87" s="425">
        <f t="shared" si="144"/>
        <v>4.4000000000000004</v>
      </c>
      <c r="U87" s="515">
        <f t="shared" si="145"/>
        <v>992296</v>
      </c>
      <c r="V87" s="447">
        <v>32813</v>
      </c>
      <c r="W87" s="191">
        <f t="shared" si="130"/>
        <v>814.6</v>
      </c>
      <c r="X87" s="73">
        <f t="shared" si="131"/>
        <v>808324</v>
      </c>
      <c r="Y87" s="186">
        <v>0</v>
      </c>
      <c r="Z87" s="175">
        <f t="shared" si="146"/>
        <v>808324</v>
      </c>
      <c r="AA87" s="40">
        <f t="shared" si="132"/>
        <v>4321</v>
      </c>
      <c r="AB87" s="379">
        <f t="shared" si="147"/>
        <v>808324</v>
      </c>
      <c r="AC87" s="81">
        <f>'[7]Gov 65 &amp; 70'!$B172</f>
        <v>29.45</v>
      </c>
      <c r="AD87" s="4">
        <f t="shared" si="133"/>
        <v>834948</v>
      </c>
      <c r="AE87" s="4">
        <f t="shared" si="54"/>
        <v>77385</v>
      </c>
      <c r="AF87" s="23">
        <f t="shared" si="134"/>
        <v>841.4</v>
      </c>
      <c r="AG87" s="75">
        <f t="shared" si="127"/>
        <v>48.100000000000023</v>
      </c>
      <c r="AI87" s="13" t="s">
        <v>194</v>
      </c>
      <c r="AU87" s="4">
        <v>1989</v>
      </c>
      <c r="AV87" s="4">
        <v>11</v>
      </c>
      <c r="AW87" s="230">
        <f>'[8]RES 62 &amp; 67'!$S172</f>
        <v>125.3</v>
      </c>
      <c r="AX87" s="200">
        <f t="shared" si="58"/>
        <v>110.2</v>
      </c>
      <c r="AY87" s="203">
        <f t="shared" si="148"/>
        <v>-15.099999999999994</v>
      </c>
      <c r="AZ87" s="230">
        <f>'[8]RES 62 &amp; 67'!$J172</f>
        <v>46.3</v>
      </c>
      <c r="BA87" s="183">
        <f t="shared" si="59"/>
        <v>45.3</v>
      </c>
      <c r="BB87" s="429">
        <f t="shared" si="149"/>
        <v>-1</v>
      </c>
      <c r="BC87" s="206">
        <f t="shared" si="150"/>
        <v>-32.615999999999993</v>
      </c>
      <c r="BD87" s="206">
        <f t="shared" si="151"/>
        <v>4.6054999999999984</v>
      </c>
      <c r="BE87" s="206">
        <f t="shared" si="152"/>
        <v>-28.010499999999993</v>
      </c>
      <c r="BF87" s="207">
        <f t="shared" si="153"/>
        <v>-2.71</v>
      </c>
      <c r="BG87" s="219">
        <f t="shared" si="154"/>
        <v>-30.7</v>
      </c>
      <c r="BH87" s="4">
        <f t="shared" si="135"/>
        <v>1989</v>
      </c>
      <c r="BI87" s="4">
        <f t="shared" si="136"/>
        <v>11</v>
      </c>
    </row>
    <row r="88" spans="1:72" s="89" customFormat="1" ht="12.75">
      <c r="A88" s="90">
        <v>1989</v>
      </c>
      <c r="B88" s="90">
        <v>12</v>
      </c>
      <c r="C88" s="103">
        <v>882757</v>
      </c>
      <c r="D88" s="104">
        <v>1002694</v>
      </c>
      <c r="E88" s="89">
        <f t="shared" si="137"/>
        <v>882757</v>
      </c>
      <c r="F88" s="89">
        <f t="shared" si="138"/>
        <v>1002694</v>
      </c>
      <c r="G88" s="301">
        <f t="shared" si="139"/>
        <v>880.4</v>
      </c>
      <c r="H88" s="90"/>
      <c r="I88" s="90"/>
      <c r="J88" s="300">
        <f>'[7]RES 62 &amp; 67'!$S173</f>
        <v>78.8</v>
      </c>
      <c r="K88" s="210">
        <f t="shared" si="52"/>
        <v>88</v>
      </c>
      <c r="L88" s="234">
        <f t="shared" si="128"/>
        <v>9.2000000000000028</v>
      </c>
      <c r="M88" s="300">
        <f>'[7]RES 62 &amp; 67'!$J173</f>
        <v>114</v>
      </c>
      <c r="N88" s="210">
        <f t="shared" si="53"/>
        <v>83.9</v>
      </c>
      <c r="O88" s="237">
        <f t="shared" si="129"/>
        <v>-30.099999999999994</v>
      </c>
      <c r="P88" s="211">
        <f t="shared" si="140"/>
        <v>19.872000000000007</v>
      </c>
      <c r="Q88" s="211">
        <f t="shared" si="141"/>
        <v>-5.6120000000000019</v>
      </c>
      <c r="R88" s="468">
        <f t="shared" si="142"/>
        <v>14.260000000000005</v>
      </c>
      <c r="S88" s="471">
        <f t="shared" si="143"/>
        <v>-81.570999999999984</v>
      </c>
      <c r="T88" s="426">
        <f t="shared" si="144"/>
        <v>-67.3</v>
      </c>
      <c r="U88" s="515">
        <f t="shared" si="145"/>
        <v>1002694</v>
      </c>
      <c r="V88" s="447">
        <v>32843</v>
      </c>
      <c r="W88" s="95">
        <f t="shared" si="130"/>
        <v>813.1</v>
      </c>
      <c r="X88" s="104">
        <f t="shared" si="131"/>
        <v>815290</v>
      </c>
      <c r="Y88" s="302">
        <v>0</v>
      </c>
      <c r="Z88" s="176">
        <f t="shared" si="146"/>
        <v>815290</v>
      </c>
      <c r="AA88" s="116">
        <f t="shared" si="132"/>
        <v>-67467</v>
      </c>
      <c r="AB88" s="517">
        <f t="shared" si="147"/>
        <v>815290</v>
      </c>
      <c r="AC88" s="88">
        <f>'[7]Gov 65 &amp; 70'!$B173</f>
        <v>30.8</v>
      </c>
      <c r="AD88" s="89">
        <f t="shared" si="133"/>
        <v>805231</v>
      </c>
      <c r="AE88" s="89">
        <f t="shared" si="54"/>
        <v>41752</v>
      </c>
      <c r="AF88" s="89">
        <f t="shared" si="134"/>
        <v>803.1</v>
      </c>
      <c r="AG88" s="91">
        <f t="shared" si="127"/>
        <v>13.200000000000045</v>
      </c>
      <c r="AH88" s="252"/>
      <c r="AI88" s="90" t="s">
        <v>194</v>
      </c>
      <c r="AU88" s="89">
        <v>1989</v>
      </c>
      <c r="AV88" s="89">
        <v>12</v>
      </c>
      <c r="AW88" s="300">
        <f>'[8]RES 62 &amp; 67'!$S173</f>
        <v>21.3</v>
      </c>
      <c r="AX88" s="210">
        <f t="shared" si="58"/>
        <v>53.2</v>
      </c>
      <c r="AY88" s="204">
        <f t="shared" si="148"/>
        <v>31.900000000000002</v>
      </c>
      <c r="AZ88" s="300">
        <f>'[8]RES 62 &amp; 67'!$J173</f>
        <v>276.60000000000002</v>
      </c>
      <c r="BA88" s="210">
        <f t="shared" si="59"/>
        <v>114.1</v>
      </c>
      <c r="BB88" s="430">
        <f t="shared" si="149"/>
        <v>-162.50000000000003</v>
      </c>
      <c r="BC88" s="211">
        <f t="shared" si="150"/>
        <v>68.904000000000011</v>
      </c>
      <c r="BD88" s="211">
        <f t="shared" si="151"/>
        <v>-19.459</v>
      </c>
      <c r="BE88" s="211">
        <f t="shared" si="152"/>
        <v>49.445000000000007</v>
      </c>
      <c r="BF88" s="212">
        <f t="shared" si="153"/>
        <v>-440.37500000000006</v>
      </c>
      <c r="BG88" s="220">
        <f t="shared" si="154"/>
        <v>-390.9</v>
      </c>
      <c r="BH88" s="89">
        <f t="shared" si="135"/>
        <v>1989</v>
      </c>
      <c r="BI88" s="89">
        <f t="shared" si="136"/>
        <v>12</v>
      </c>
      <c r="BN88" s="96"/>
      <c r="BO88" s="96"/>
      <c r="BT88" s="96"/>
    </row>
    <row r="89" spans="1:72">
      <c r="A89" s="13">
        <v>1990</v>
      </c>
      <c r="B89" s="13">
        <v>1</v>
      </c>
      <c r="C89" s="5">
        <v>1231917</v>
      </c>
      <c r="D89" s="73">
        <v>1010128</v>
      </c>
      <c r="E89" s="4">
        <f t="shared" si="137"/>
        <v>1231917</v>
      </c>
      <c r="F89" s="4">
        <f t="shared" si="138"/>
        <v>1010128</v>
      </c>
      <c r="G89" s="79">
        <f t="shared" si="139"/>
        <v>1219.5999999999999</v>
      </c>
      <c r="H89" s="13"/>
      <c r="I89" s="13"/>
      <c r="J89" s="230">
        <f>'[7]RES 62 &amp; 67'!$S174</f>
        <v>34.9</v>
      </c>
      <c r="K89" s="183">
        <f t="shared" si="52"/>
        <v>49.5</v>
      </c>
      <c r="L89" s="233">
        <f t="shared" si="128"/>
        <v>14.600000000000001</v>
      </c>
      <c r="M89" s="230">
        <f>'[7]RES 62 &amp; 67'!$J174</f>
        <v>230.4</v>
      </c>
      <c r="N89" s="183">
        <f t="shared" si="53"/>
        <v>131.6</v>
      </c>
      <c r="O89" s="236">
        <f t="shared" si="129"/>
        <v>-98.800000000000011</v>
      </c>
      <c r="P89" s="206">
        <f t="shared" si="140"/>
        <v>31.536000000000005</v>
      </c>
      <c r="Q89" s="208">
        <f t="shared" si="141"/>
        <v>-8.9060000000000006</v>
      </c>
      <c r="R89" s="467">
        <f t="shared" si="142"/>
        <v>22.630000000000003</v>
      </c>
      <c r="S89" s="470">
        <f t="shared" si="143"/>
        <v>-267.74800000000005</v>
      </c>
      <c r="T89" s="425">
        <f t="shared" si="144"/>
        <v>-245.1</v>
      </c>
      <c r="U89" s="515">
        <f t="shared" si="145"/>
        <v>1010128</v>
      </c>
      <c r="V89" s="447">
        <v>32874</v>
      </c>
      <c r="W89" s="191">
        <f t="shared" si="130"/>
        <v>974.49999999999989</v>
      </c>
      <c r="X89" s="73">
        <f t="shared" si="131"/>
        <v>984370</v>
      </c>
      <c r="Y89" s="186">
        <v>0</v>
      </c>
      <c r="Z89" s="175">
        <f t="shared" si="146"/>
        <v>984370</v>
      </c>
      <c r="AA89" s="40">
        <f t="shared" si="132"/>
        <v>-247547</v>
      </c>
      <c r="AB89" s="379">
        <f t="shared" si="147"/>
        <v>984370</v>
      </c>
      <c r="AC89" s="81">
        <f>'[7]Gov 65 &amp; 70'!$B174</f>
        <v>30.5</v>
      </c>
      <c r="AD89" s="4">
        <f t="shared" si="133"/>
        <v>981788</v>
      </c>
      <c r="AE89" s="4">
        <f t="shared" si="54"/>
        <v>60845</v>
      </c>
      <c r="AF89" s="23">
        <f t="shared" si="134"/>
        <v>971.9</v>
      </c>
      <c r="AG89" s="75">
        <f t="shared" si="127"/>
        <v>28.100000000000023</v>
      </c>
      <c r="AI89" s="13" t="s">
        <v>194</v>
      </c>
      <c r="AU89" s="4">
        <v>1990</v>
      </c>
      <c r="AV89" s="4">
        <v>1</v>
      </c>
      <c r="AW89" s="230">
        <f>'[8]RES 62 &amp; 67'!$S174</f>
        <v>82.3</v>
      </c>
      <c r="AX89" s="200">
        <f t="shared" si="58"/>
        <v>50.5</v>
      </c>
      <c r="AY89" s="203">
        <f t="shared" si="148"/>
        <v>-31.799999999999997</v>
      </c>
      <c r="AZ89" s="230">
        <f>'[8]RES 62 &amp; 67'!$J174</f>
        <v>84</v>
      </c>
      <c r="BA89" s="183">
        <f t="shared" si="59"/>
        <v>127.9</v>
      </c>
      <c r="BB89" s="429">
        <f t="shared" si="149"/>
        <v>43.900000000000006</v>
      </c>
      <c r="BC89" s="206">
        <f t="shared" si="150"/>
        <v>-68.688000000000002</v>
      </c>
      <c r="BD89" s="206">
        <f t="shared" si="151"/>
        <v>19.397999999999996</v>
      </c>
      <c r="BE89" s="206">
        <f t="shared" si="152"/>
        <v>-49.290000000000006</v>
      </c>
      <c r="BF89" s="207">
        <f t="shared" si="153"/>
        <v>118.96900000000001</v>
      </c>
      <c r="BG89" s="219">
        <f t="shared" si="154"/>
        <v>69.7</v>
      </c>
      <c r="BH89" s="4">
        <f t="shared" si="135"/>
        <v>1990</v>
      </c>
      <c r="BI89" s="4">
        <f t="shared" si="136"/>
        <v>1</v>
      </c>
    </row>
    <row r="90" spans="1:72">
      <c r="A90" s="13">
        <v>1990</v>
      </c>
      <c r="B90" s="13">
        <v>2</v>
      </c>
      <c r="C90" s="5">
        <v>836257</v>
      </c>
      <c r="D90" s="73">
        <v>1014817</v>
      </c>
      <c r="E90" s="4">
        <f t="shared" si="137"/>
        <v>836257</v>
      </c>
      <c r="F90" s="4">
        <f t="shared" si="138"/>
        <v>1014817</v>
      </c>
      <c r="G90" s="79">
        <f t="shared" si="139"/>
        <v>824</v>
      </c>
      <c r="H90" s="13"/>
      <c r="I90" s="13"/>
      <c r="J90" s="230">
        <f>'[7]RES 62 &amp; 67'!$S175</f>
        <v>111.2</v>
      </c>
      <c r="K90" s="183">
        <f t="shared" si="52"/>
        <v>43.3</v>
      </c>
      <c r="L90" s="233">
        <f t="shared" si="128"/>
        <v>-67.900000000000006</v>
      </c>
      <c r="M90" s="230">
        <f>'[7]RES 62 &amp; 67'!$J175</f>
        <v>62.5</v>
      </c>
      <c r="N90" s="183">
        <f t="shared" si="53"/>
        <v>127.9</v>
      </c>
      <c r="O90" s="236">
        <f t="shared" si="129"/>
        <v>65.400000000000006</v>
      </c>
      <c r="P90" s="206">
        <f t="shared" si="140"/>
        <v>-146.66400000000002</v>
      </c>
      <c r="Q90" s="208">
        <f t="shared" si="141"/>
        <v>41.419000000000004</v>
      </c>
      <c r="R90" s="467">
        <f t="shared" si="142"/>
        <v>-105.245</v>
      </c>
      <c r="S90" s="470">
        <f t="shared" si="143"/>
        <v>177.23400000000001</v>
      </c>
      <c r="T90" s="425">
        <f t="shared" si="144"/>
        <v>72</v>
      </c>
      <c r="U90" s="515">
        <f t="shared" si="145"/>
        <v>1014817</v>
      </c>
      <c r="V90" s="447">
        <v>32905</v>
      </c>
      <c r="W90" s="191">
        <f t="shared" si="130"/>
        <v>896</v>
      </c>
      <c r="X90" s="73">
        <f t="shared" si="131"/>
        <v>909276</v>
      </c>
      <c r="Y90" s="186">
        <v>0</v>
      </c>
      <c r="Z90" s="175">
        <f t="shared" si="146"/>
        <v>909276</v>
      </c>
      <c r="AA90" s="40">
        <f t="shared" si="132"/>
        <v>73019</v>
      </c>
      <c r="AB90" s="379">
        <f t="shared" si="147"/>
        <v>909276</v>
      </c>
      <c r="AC90" s="81">
        <f>'[7]Gov 65 &amp; 70'!$B175</f>
        <v>31.05</v>
      </c>
      <c r="AD90" s="4">
        <f t="shared" si="133"/>
        <v>890827</v>
      </c>
      <c r="AE90" s="4">
        <f t="shared" si="54"/>
        <v>12443</v>
      </c>
      <c r="AF90" s="23">
        <f t="shared" si="134"/>
        <v>877.8</v>
      </c>
      <c r="AG90" s="75">
        <f t="shared" si="127"/>
        <v>-18.5</v>
      </c>
      <c r="AI90" s="13" t="s">
        <v>194</v>
      </c>
      <c r="AU90" s="4">
        <v>1990</v>
      </c>
      <c r="AV90" s="4">
        <v>2</v>
      </c>
      <c r="AW90" s="230">
        <f>'[8]RES 62 &amp; 67'!$S175</f>
        <v>114.5</v>
      </c>
      <c r="AX90" s="200">
        <f t="shared" si="58"/>
        <v>59.2</v>
      </c>
      <c r="AY90" s="203">
        <f t="shared" si="148"/>
        <v>-55.3</v>
      </c>
      <c r="AZ90" s="230">
        <f>'[8]RES 62 &amp; 67'!$J175</f>
        <v>37.1</v>
      </c>
      <c r="BA90" s="183">
        <f t="shared" si="59"/>
        <v>97.8</v>
      </c>
      <c r="BB90" s="429">
        <f t="shared" si="149"/>
        <v>60.699999999999996</v>
      </c>
      <c r="BC90" s="206">
        <f t="shared" si="150"/>
        <v>-119.44800000000001</v>
      </c>
      <c r="BD90" s="206">
        <f t="shared" si="151"/>
        <v>33.732999999999997</v>
      </c>
      <c r="BE90" s="206">
        <f t="shared" si="152"/>
        <v>-85.715000000000003</v>
      </c>
      <c r="BF90" s="207">
        <f t="shared" si="153"/>
        <v>164.49699999999999</v>
      </c>
      <c r="BG90" s="219">
        <f t="shared" si="154"/>
        <v>78.8</v>
      </c>
      <c r="BH90" s="4">
        <f t="shared" si="135"/>
        <v>1990</v>
      </c>
      <c r="BI90" s="4">
        <f t="shared" si="136"/>
        <v>2</v>
      </c>
    </row>
    <row r="91" spans="1:72">
      <c r="A91" s="13">
        <v>1990</v>
      </c>
      <c r="B91" s="13">
        <v>3</v>
      </c>
      <c r="C91" s="5">
        <v>758984</v>
      </c>
      <c r="D91" s="73">
        <v>1017728</v>
      </c>
      <c r="E91" s="4">
        <f t="shared" si="137"/>
        <v>758984</v>
      </c>
      <c r="F91" s="4">
        <f t="shared" si="138"/>
        <v>1017728</v>
      </c>
      <c r="G91" s="79">
        <f t="shared" si="139"/>
        <v>745.8</v>
      </c>
      <c r="H91" s="13"/>
      <c r="I91" s="13"/>
      <c r="J91" s="230">
        <f>'[7]RES 62 &amp; 67'!$S176</f>
        <v>106.4</v>
      </c>
      <c r="K91" s="183">
        <f t="shared" si="52"/>
        <v>77.2</v>
      </c>
      <c r="L91" s="233">
        <f t="shared" si="128"/>
        <v>-29.200000000000003</v>
      </c>
      <c r="M91" s="230">
        <f>'[7]RES 62 &amp; 67'!$J176</f>
        <v>39.1</v>
      </c>
      <c r="N91" s="183">
        <f t="shared" si="53"/>
        <v>82.3</v>
      </c>
      <c r="O91" s="236">
        <f t="shared" si="129"/>
        <v>43.199999999999996</v>
      </c>
      <c r="P91" s="206">
        <f t="shared" si="140"/>
        <v>-63.07200000000001</v>
      </c>
      <c r="Q91" s="208">
        <f t="shared" si="141"/>
        <v>17.812000000000001</v>
      </c>
      <c r="R91" s="467">
        <f t="shared" si="142"/>
        <v>-45.260000000000005</v>
      </c>
      <c r="S91" s="470">
        <f t="shared" si="143"/>
        <v>117.07199999999999</v>
      </c>
      <c r="T91" s="425">
        <f t="shared" si="144"/>
        <v>71.8</v>
      </c>
      <c r="U91" s="515">
        <f t="shared" si="145"/>
        <v>1017728</v>
      </c>
      <c r="V91" s="447">
        <v>32933</v>
      </c>
      <c r="W91" s="191">
        <f t="shared" si="130"/>
        <v>817.59999999999991</v>
      </c>
      <c r="X91" s="73">
        <f t="shared" si="131"/>
        <v>832094</v>
      </c>
      <c r="Y91" s="186">
        <v>0</v>
      </c>
      <c r="Z91" s="175">
        <f t="shared" si="146"/>
        <v>832094</v>
      </c>
      <c r="AA91" s="40">
        <f t="shared" si="132"/>
        <v>73110</v>
      </c>
      <c r="AB91" s="379">
        <f t="shared" si="147"/>
        <v>832094</v>
      </c>
      <c r="AC91" s="81">
        <f>'[7]Gov 65 &amp; 70'!$B176</f>
        <v>29.4</v>
      </c>
      <c r="AD91" s="4">
        <f t="shared" si="133"/>
        <v>860963</v>
      </c>
      <c r="AE91" s="4">
        <f t="shared" si="54"/>
        <v>80325</v>
      </c>
      <c r="AF91" s="23">
        <f t="shared" si="134"/>
        <v>846</v>
      </c>
      <c r="AG91" s="75">
        <f t="shared" si="127"/>
        <v>52</v>
      </c>
      <c r="AI91" s="13" t="s">
        <v>194</v>
      </c>
      <c r="AU91" s="4">
        <v>1990</v>
      </c>
      <c r="AV91" s="4">
        <v>3</v>
      </c>
      <c r="AW91" s="230">
        <f>'[8]RES 62 &amp; 67'!$S176</f>
        <v>132.80000000000001</v>
      </c>
      <c r="AX91" s="200">
        <f t="shared" si="58"/>
        <v>105.8</v>
      </c>
      <c r="AY91" s="203">
        <f t="shared" si="148"/>
        <v>-27.000000000000014</v>
      </c>
      <c r="AZ91" s="230">
        <f>'[8]RES 62 &amp; 67'!$J176</f>
        <v>30.5</v>
      </c>
      <c r="BA91" s="183">
        <f t="shared" si="59"/>
        <v>49.9</v>
      </c>
      <c r="BB91" s="429">
        <f t="shared" si="149"/>
        <v>19.399999999999999</v>
      </c>
      <c r="BC91" s="206">
        <f t="shared" si="150"/>
        <v>-58.320000000000036</v>
      </c>
      <c r="BD91" s="206">
        <f t="shared" si="151"/>
        <v>16.47000000000001</v>
      </c>
      <c r="BE91" s="206">
        <f t="shared" si="152"/>
        <v>-41.850000000000023</v>
      </c>
      <c r="BF91" s="207">
        <f t="shared" si="153"/>
        <v>52.573999999999998</v>
      </c>
      <c r="BG91" s="219">
        <f t="shared" si="154"/>
        <v>10.7</v>
      </c>
      <c r="BH91" s="4">
        <f t="shared" si="135"/>
        <v>1990</v>
      </c>
      <c r="BI91" s="4">
        <f t="shared" si="136"/>
        <v>3</v>
      </c>
    </row>
    <row r="92" spans="1:72">
      <c r="A92" s="13">
        <v>1990</v>
      </c>
      <c r="B92" s="13">
        <v>4</v>
      </c>
      <c r="C92" s="5">
        <v>736925</v>
      </c>
      <c r="D92" s="73">
        <v>1012501</v>
      </c>
      <c r="E92" s="4">
        <f t="shared" si="137"/>
        <v>736925</v>
      </c>
      <c r="F92" s="4">
        <f t="shared" si="138"/>
        <v>1012501</v>
      </c>
      <c r="G92" s="79">
        <f t="shared" si="139"/>
        <v>727.8</v>
      </c>
      <c r="H92" s="13"/>
      <c r="I92" s="13"/>
      <c r="J92" s="230">
        <f>'[7]RES 62 &amp; 67'!$S177</f>
        <v>139.30000000000001</v>
      </c>
      <c r="K92" s="183">
        <f t="shared" si="52"/>
        <v>138.1</v>
      </c>
      <c r="L92" s="233">
        <f t="shared" si="128"/>
        <v>-1.2000000000000171</v>
      </c>
      <c r="M92" s="230">
        <f>'[7]RES 62 &amp; 67'!$J177</f>
        <v>28.2</v>
      </c>
      <c r="N92" s="183">
        <f t="shared" si="53"/>
        <v>37.299999999999997</v>
      </c>
      <c r="O92" s="236">
        <f t="shared" si="129"/>
        <v>9.0999999999999979</v>
      </c>
      <c r="P92" s="206">
        <f t="shared" si="140"/>
        <v>-2.5920000000000369</v>
      </c>
      <c r="Q92" s="208">
        <f t="shared" si="141"/>
        <v>0.73200000000001042</v>
      </c>
      <c r="R92" s="467">
        <f t="shared" si="142"/>
        <v>-1.8600000000000265</v>
      </c>
      <c r="S92" s="470">
        <f t="shared" si="143"/>
        <v>24.660999999999994</v>
      </c>
      <c r="T92" s="425">
        <f t="shared" si="144"/>
        <v>22.8</v>
      </c>
      <c r="U92" s="515">
        <f t="shared" si="145"/>
        <v>1012501</v>
      </c>
      <c r="V92" s="447">
        <v>32964</v>
      </c>
      <c r="W92" s="191">
        <f t="shared" si="130"/>
        <v>750.59999999999991</v>
      </c>
      <c r="X92" s="73">
        <f t="shared" si="131"/>
        <v>759983</v>
      </c>
      <c r="Y92" s="186">
        <v>0</v>
      </c>
      <c r="Z92" s="175">
        <f t="shared" si="146"/>
        <v>759983</v>
      </c>
      <c r="AA92" s="40">
        <f t="shared" si="132"/>
        <v>23058</v>
      </c>
      <c r="AB92" s="379">
        <f t="shared" si="147"/>
        <v>759983</v>
      </c>
      <c r="AC92" s="81">
        <f>'[7]Gov 65 &amp; 70'!$B177</f>
        <v>30</v>
      </c>
      <c r="AD92" s="4">
        <f t="shared" si="133"/>
        <v>770623</v>
      </c>
      <c r="AE92" s="4">
        <f t="shared" si="54"/>
        <v>47347</v>
      </c>
      <c r="AF92" s="23">
        <f t="shared" si="134"/>
        <v>761.1</v>
      </c>
      <c r="AG92" s="75">
        <f t="shared" si="127"/>
        <v>23.700000000000045</v>
      </c>
      <c r="AI92" s="13" t="s">
        <v>194</v>
      </c>
      <c r="AU92" s="4">
        <v>1990</v>
      </c>
      <c r="AV92" s="4">
        <v>4</v>
      </c>
      <c r="AW92" s="230">
        <f>'[8]RES 62 &amp; 67'!$S177</f>
        <v>174.2</v>
      </c>
      <c r="AX92" s="200">
        <f t="shared" si="58"/>
        <v>181.7</v>
      </c>
      <c r="AY92" s="203">
        <f t="shared" si="148"/>
        <v>7.5</v>
      </c>
      <c r="AZ92" s="230">
        <f>'[8]RES 62 &amp; 67'!$J177</f>
        <v>16.7</v>
      </c>
      <c r="BA92" s="183">
        <f t="shared" si="59"/>
        <v>21.5</v>
      </c>
      <c r="BB92" s="429">
        <f t="shared" si="149"/>
        <v>4.8000000000000007</v>
      </c>
      <c r="BC92" s="206">
        <f t="shared" si="150"/>
        <v>16.200000000000003</v>
      </c>
      <c r="BD92" s="206">
        <f t="shared" si="151"/>
        <v>-2.2875000000000001</v>
      </c>
      <c r="BE92" s="206">
        <f t="shared" si="152"/>
        <v>13.912500000000003</v>
      </c>
      <c r="BF92" s="207">
        <f t="shared" si="153"/>
        <v>13.008000000000001</v>
      </c>
      <c r="BG92" s="219">
        <f t="shared" si="154"/>
        <v>26.9</v>
      </c>
      <c r="BH92" s="4">
        <f t="shared" si="135"/>
        <v>1990</v>
      </c>
      <c r="BI92" s="4">
        <f t="shared" si="136"/>
        <v>4</v>
      </c>
    </row>
    <row r="93" spans="1:72">
      <c r="A93" s="13">
        <v>1990</v>
      </c>
      <c r="B93" s="13">
        <v>5</v>
      </c>
      <c r="C93" s="5">
        <v>853133</v>
      </c>
      <c r="D93" s="73">
        <v>998105</v>
      </c>
      <c r="E93" s="4">
        <f t="shared" si="137"/>
        <v>853133</v>
      </c>
      <c r="F93" s="4">
        <f t="shared" si="138"/>
        <v>998105</v>
      </c>
      <c r="G93" s="79">
        <f t="shared" si="139"/>
        <v>854.8</v>
      </c>
      <c r="H93" s="13"/>
      <c r="I93" s="13"/>
      <c r="J93" s="230">
        <f>'[7]RES 62 &amp; 67'!$S178</f>
        <v>254.2</v>
      </c>
      <c r="K93" s="183">
        <f t="shared" si="52"/>
        <v>224.4</v>
      </c>
      <c r="L93" s="233">
        <f t="shared" si="128"/>
        <v>-29.799999999999983</v>
      </c>
      <c r="M93" s="230">
        <f>'[7]RES 62 &amp; 67'!$J178</f>
        <v>7.8</v>
      </c>
      <c r="N93" s="183">
        <f t="shared" si="53"/>
        <v>11.2</v>
      </c>
      <c r="O93" s="236">
        <f t="shared" si="129"/>
        <v>3.3999999999999995</v>
      </c>
      <c r="P93" s="206">
        <f t="shared" si="140"/>
        <v>-64.367999999999967</v>
      </c>
      <c r="Q93" s="208">
        <f t="shared" si="141"/>
        <v>0</v>
      </c>
      <c r="R93" s="467">
        <f t="shared" si="142"/>
        <v>-64.367999999999967</v>
      </c>
      <c r="S93" s="470">
        <f t="shared" si="143"/>
        <v>9.2139999999999986</v>
      </c>
      <c r="T93" s="425">
        <f t="shared" si="144"/>
        <v>-55.2</v>
      </c>
      <c r="U93" s="515">
        <f t="shared" si="145"/>
        <v>998105</v>
      </c>
      <c r="V93" s="447">
        <v>32994</v>
      </c>
      <c r="W93" s="191">
        <f t="shared" si="130"/>
        <v>799.59999999999991</v>
      </c>
      <c r="X93" s="73">
        <f t="shared" si="131"/>
        <v>798085</v>
      </c>
      <c r="Y93" s="186">
        <v>0</v>
      </c>
      <c r="Z93" s="175">
        <f t="shared" si="146"/>
        <v>798085</v>
      </c>
      <c r="AA93" s="40">
        <f t="shared" si="132"/>
        <v>-55048</v>
      </c>
      <c r="AB93" s="379">
        <f t="shared" si="147"/>
        <v>798085</v>
      </c>
      <c r="AC93" s="81">
        <f>'[7]Gov 65 &amp; 70'!$B178</f>
        <v>30.2</v>
      </c>
      <c r="AD93" s="4">
        <f t="shared" si="133"/>
        <v>803899</v>
      </c>
      <c r="AE93" s="4">
        <f t="shared" si="54"/>
        <v>36086</v>
      </c>
      <c r="AF93" s="23">
        <f t="shared" si="134"/>
        <v>805.4</v>
      </c>
      <c r="AG93" s="75">
        <f t="shared" si="127"/>
        <v>12.100000000000023</v>
      </c>
      <c r="AI93" s="13" t="s">
        <v>194</v>
      </c>
      <c r="AU93" s="4">
        <v>1990</v>
      </c>
      <c r="AV93" s="4">
        <v>5</v>
      </c>
      <c r="AW93" s="230">
        <f>'[8]RES 62 &amp; 67'!$S178</f>
        <v>378.1</v>
      </c>
      <c r="AX93" s="200">
        <f t="shared" si="58"/>
        <v>336.7</v>
      </c>
      <c r="AY93" s="203">
        <f t="shared" si="148"/>
        <v>-41.400000000000034</v>
      </c>
      <c r="AZ93" s="230">
        <f>'[8]RES 62 &amp; 67'!$J178</f>
        <v>1</v>
      </c>
      <c r="BA93" s="183">
        <f t="shared" si="59"/>
        <v>2.1</v>
      </c>
      <c r="BB93" s="429">
        <f t="shared" si="149"/>
        <v>1.1000000000000001</v>
      </c>
      <c r="BC93" s="206">
        <f t="shared" si="150"/>
        <v>-89.424000000000078</v>
      </c>
      <c r="BD93" s="206">
        <f t="shared" si="151"/>
        <v>0</v>
      </c>
      <c r="BE93" s="206">
        <f t="shared" si="152"/>
        <v>-89.424000000000078</v>
      </c>
      <c r="BF93" s="207">
        <f t="shared" si="153"/>
        <v>2.9810000000000003</v>
      </c>
      <c r="BG93" s="219">
        <f t="shared" si="154"/>
        <v>-86.4</v>
      </c>
      <c r="BH93" s="4">
        <f t="shared" si="135"/>
        <v>1990</v>
      </c>
      <c r="BI93" s="4">
        <f t="shared" si="136"/>
        <v>5</v>
      </c>
    </row>
    <row r="94" spans="1:72">
      <c r="A94" s="13">
        <v>1990</v>
      </c>
      <c r="B94" s="13">
        <v>6</v>
      </c>
      <c r="C94" s="5">
        <v>1149457</v>
      </c>
      <c r="D94" s="73">
        <v>994632</v>
      </c>
      <c r="E94" s="4">
        <f t="shared" si="137"/>
        <v>1149457</v>
      </c>
      <c r="F94" s="4">
        <f t="shared" si="138"/>
        <v>994632</v>
      </c>
      <c r="G94" s="79">
        <f t="shared" si="139"/>
        <v>1155.7</v>
      </c>
      <c r="H94" s="13"/>
      <c r="I94" s="13"/>
      <c r="J94" s="230">
        <f>'[7]RES 62 &amp; 67'!$S179</f>
        <v>410.3</v>
      </c>
      <c r="K94" s="183">
        <f t="shared" ref="K94:K157" si="155">K82</f>
        <v>382.8</v>
      </c>
      <c r="L94" s="233">
        <f t="shared" si="128"/>
        <v>-27.5</v>
      </c>
      <c r="M94" s="230">
        <f>'[7]RES 62 &amp; 67'!$J179</f>
        <v>0.5</v>
      </c>
      <c r="N94" s="183">
        <f t="shared" ref="N94:N157" si="156">N82</f>
        <v>0.9</v>
      </c>
      <c r="O94" s="236">
        <f t="shared" si="129"/>
        <v>0.4</v>
      </c>
      <c r="P94" s="206">
        <f t="shared" si="140"/>
        <v>-59.400000000000006</v>
      </c>
      <c r="Q94" s="208">
        <f t="shared" si="141"/>
        <v>0</v>
      </c>
      <c r="R94" s="467">
        <f t="shared" si="142"/>
        <v>-59.400000000000006</v>
      </c>
      <c r="S94" s="470">
        <f t="shared" si="143"/>
        <v>1.0840000000000001</v>
      </c>
      <c r="T94" s="425">
        <f t="shared" si="144"/>
        <v>-58.3</v>
      </c>
      <c r="U94" s="515">
        <f t="shared" si="145"/>
        <v>994632</v>
      </c>
      <c r="V94" s="447">
        <v>33025</v>
      </c>
      <c r="W94" s="191">
        <f t="shared" si="130"/>
        <v>1097.4000000000001</v>
      </c>
      <c r="X94" s="73">
        <f t="shared" si="131"/>
        <v>1091509</v>
      </c>
      <c r="Y94" s="186">
        <v>0</v>
      </c>
      <c r="Z94" s="175">
        <f t="shared" si="146"/>
        <v>1091509</v>
      </c>
      <c r="AA94" s="40">
        <f t="shared" si="132"/>
        <v>-57948</v>
      </c>
      <c r="AB94" s="379">
        <f t="shared" si="147"/>
        <v>1091509</v>
      </c>
      <c r="AC94" s="81">
        <f>'[7]Gov 65 &amp; 70'!$B179</f>
        <v>30.8</v>
      </c>
      <c r="AD94" s="4">
        <f t="shared" si="133"/>
        <v>1078042</v>
      </c>
      <c r="AE94" s="4">
        <f t="shared" ref="AE94:AE157" si="157">AD94-AD82</f>
        <v>69984</v>
      </c>
      <c r="AF94" s="23">
        <f t="shared" si="134"/>
        <v>1083.9000000000001</v>
      </c>
      <c r="AG94" s="75">
        <f t="shared" ref="AG94:AG109" si="158">AF94-AF82</f>
        <v>38.700000000000045</v>
      </c>
      <c r="AI94" s="13" t="s">
        <v>194</v>
      </c>
      <c r="AU94" s="4">
        <v>1990</v>
      </c>
      <c r="AV94" s="4">
        <v>6</v>
      </c>
      <c r="AW94" s="230">
        <f>'[8]RES 62 &amp; 67'!$S179</f>
        <v>442</v>
      </c>
      <c r="AX94" s="200">
        <f t="shared" ref="AX94:AX157" si="159">AX82</f>
        <v>425.2</v>
      </c>
      <c r="AY94" s="203">
        <f t="shared" si="148"/>
        <v>-16.800000000000011</v>
      </c>
      <c r="AZ94" s="230">
        <f>'[8]RES 62 &amp; 67'!$J179</f>
        <v>0</v>
      </c>
      <c r="BA94" s="183">
        <f t="shared" ref="BA94:BA157" si="160">BA82</f>
        <v>0</v>
      </c>
      <c r="BB94" s="429">
        <f t="shared" si="149"/>
        <v>0</v>
      </c>
      <c r="BC94" s="206">
        <f t="shared" si="150"/>
        <v>-36.288000000000025</v>
      </c>
      <c r="BD94" s="206">
        <f t="shared" si="151"/>
        <v>0</v>
      </c>
      <c r="BE94" s="206">
        <f t="shared" si="152"/>
        <v>-36.288000000000025</v>
      </c>
      <c r="BF94" s="207">
        <f t="shared" si="153"/>
        <v>0</v>
      </c>
      <c r="BG94" s="219">
        <f t="shared" si="154"/>
        <v>-36.299999999999997</v>
      </c>
      <c r="BH94" s="4">
        <f t="shared" si="135"/>
        <v>1990</v>
      </c>
      <c r="BI94" s="4">
        <f t="shared" si="136"/>
        <v>6</v>
      </c>
    </row>
    <row r="95" spans="1:72">
      <c r="A95" s="13">
        <v>1990</v>
      </c>
      <c r="B95" s="13">
        <v>7</v>
      </c>
      <c r="C95" s="5">
        <v>1270764</v>
      </c>
      <c r="D95" s="73">
        <v>995438</v>
      </c>
      <c r="E95" s="4">
        <f t="shared" si="137"/>
        <v>1270764</v>
      </c>
      <c r="F95" s="4">
        <f t="shared" si="138"/>
        <v>995438</v>
      </c>
      <c r="G95" s="79">
        <f t="shared" si="139"/>
        <v>1276.5999999999999</v>
      </c>
      <c r="H95" s="13"/>
      <c r="I95" s="13"/>
      <c r="J95" s="230">
        <f>'[7]RES 62 &amp; 67'!$S180</f>
        <v>451.8</v>
      </c>
      <c r="K95" s="183">
        <f t="shared" si="155"/>
        <v>454.9</v>
      </c>
      <c r="L95" s="233">
        <f t="shared" si="128"/>
        <v>3.0999999999999659</v>
      </c>
      <c r="M95" s="230">
        <f>'[7]RES 62 &amp; 67'!$J180</f>
        <v>0</v>
      </c>
      <c r="N95" s="183">
        <f t="shared" si="156"/>
        <v>0</v>
      </c>
      <c r="O95" s="236">
        <f t="shared" si="129"/>
        <v>0</v>
      </c>
      <c r="P95" s="206">
        <f t="shared" si="140"/>
        <v>6.6959999999999269</v>
      </c>
      <c r="Q95" s="208">
        <f t="shared" si="141"/>
        <v>0</v>
      </c>
      <c r="R95" s="467">
        <f t="shared" si="142"/>
        <v>6.6959999999999269</v>
      </c>
      <c r="S95" s="470">
        <f t="shared" si="143"/>
        <v>0</v>
      </c>
      <c r="T95" s="425">
        <f t="shared" si="144"/>
        <v>6.7</v>
      </c>
      <c r="U95" s="515">
        <f t="shared" si="145"/>
        <v>995438</v>
      </c>
      <c r="V95" s="447">
        <v>33055</v>
      </c>
      <c r="W95" s="191">
        <f t="shared" si="130"/>
        <v>1283.3</v>
      </c>
      <c r="X95" s="73">
        <f t="shared" si="131"/>
        <v>1277446</v>
      </c>
      <c r="Y95" s="186">
        <v>0</v>
      </c>
      <c r="Z95" s="175">
        <f t="shared" si="146"/>
        <v>1277446</v>
      </c>
      <c r="AA95" s="40">
        <f t="shared" si="132"/>
        <v>6682</v>
      </c>
      <c r="AB95" s="379">
        <f t="shared" si="147"/>
        <v>1277446</v>
      </c>
      <c r="AC95" s="81">
        <f>'[7]Gov 65 &amp; 70'!$B180</f>
        <v>30.45</v>
      </c>
      <c r="AD95" s="4">
        <f t="shared" si="133"/>
        <v>1276187</v>
      </c>
      <c r="AE95" s="4">
        <f t="shared" si="157"/>
        <v>81631</v>
      </c>
      <c r="AF95" s="23">
        <f t="shared" si="134"/>
        <v>1282</v>
      </c>
      <c r="AG95" s="75">
        <f t="shared" si="158"/>
        <v>44.299999999999955</v>
      </c>
      <c r="AI95" s="13" t="s">
        <v>194</v>
      </c>
      <c r="AU95" s="4">
        <v>1990</v>
      </c>
      <c r="AV95" s="4">
        <v>7</v>
      </c>
      <c r="AW95" s="230">
        <f>'[8]RES 62 &amp; 67'!$S180</f>
        <v>477.7</v>
      </c>
      <c r="AX95" s="200">
        <f t="shared" si="159"/>
        <v>484.1</v>
      </c>
      <c r="AY95" s="203">
        <f t="shared" si="148"/>
        <v>6.4000000000000341</v>
      </c>
      <c r="AZ95" s="230">
        <f>'[8]RES 62 &amp; 67'!$J180</f>
        <v>0</v>
      </c>
      <c r="BA95" s="183">
        <f t="shared" si="160"/>
        <v>0</v>
      </c>
      <c r="BB95" s="429">
        <f t="shared" si="149"/>
        <v>0</v>
      </c>
      <c r="BC95" s="206">
        <f t="shared" si="150"/>
        <v>13.824000000000074</v>
      </c>
      <c r="BD95" s="206">
        <f t="shared" si="151"/>
        <v>0</v>
      </c>
      <c r="BE95" s="206">
        <f t="shared" si="152"/>
        <v>13.824000000000074</v>
      </c>
      <c r="BF95" s="207">
        <f t="shared" si="153"/>
        <v>0</v>
      </c>
      <c r="BG95" s="219">
        <f t="shared" si="154"/>
        <v>13.8</v>
      </c>
      <c r="BH95" s="4">
        <f t="shared" si="135"/>
        <v>1990</v>
      </c>
      <c r="BI95" s="4">
        <f t="shared" si="136"/>
        <v>7</v>
      </c>
    </row>
    <row r="96" spans="1:72">
      <c r="A96" s="13">
        <v>1990</v>
      </c>
      <c r="B96" s="13">
        <v>8</v>
      </c>
      <c r="C96" s="5">
        <v>1342840</v>
      </c>
      <c r="D96" s="73">
        <v>997263</v>
      </c>
      <c r="E96" s="4">
        <f t="shared" si="137"/>
        <v>1342840</v>
      </c>
      <c r="F96" s="4">
        <f t="shared" si="138"/>
        <v>997263</v>
      </c>
      <c r="G96" s="79">
        <f t="shared" si="139"/>
        <v>1346.5</v>
      </c>
      <c r="H96" s="13"/>
      <c r="I96" s="13"/>
      <c r="J96" s="230">
        <f>'[7]RES 62 &amp; 67'!$S181</f>
        <v>493.3</v>
      </c>
      <c r="K96" s="183">
        <f t="shared" si="155"/>
        <v>481.4</v>
      </c>
      <c r="L96" s="233">
        <f t="shared" si="128"/>
        <v>-11.900000000000034</v>
      </c>
      <c r="M96" s="230">
        <f>'[7]RES 62 &amp; 67'!$J181</f>
        <v>0</v>
      </c>
      <c r="N96" s="183">
        <f t="shared" si="156"/>
        <v>0</v>
      </c>
      <c r="O96" s="236">
        <f t="shared" si="129"/>
        <v>0</v>
      </c>
      <c r="P96" s="206">
        <f t="shared" si="140"/>
        <v>-25.704000000000075</v>
      </c>
      <c r="Q96" s="208">
        <f t="shared" si="141"/>
        <v>0</v>
      </c>
      <c r="R96" s="467">
        <f t="shared" si="142"/>
        <v>-25.704000000000075</v>
      </c>
      <c r="S96" s="470">
        <f t="shared" si="143"/>
        <v>0</v>
      </c>
      <c r="T96" s="425">
        <f t="shared" si="144"/>
        <v>-25.7</v>
      </c>
      <c r="U96" s="515">
        <f t="shared" si="145"/>
        <v>997263</v>
      </c>
      <c r="V96" s="447">
        <v>33086</v>
      </c>
      <c r="W96" s="191">
        <f t="shared" si="130"/>
        <v>1320.8</v>
      </c>
      <c r="X96" s="73">
        <f t="shared" si="131"/>
        <v>1317185</v>
      </c>
      <c r="Y96" s="186">
        <v>0</v>
      </c>
      <c r="Z96" s="175">
        <f t="shared" si="146"/>
        <v>1317185</v>
      </c>
      <c r="AA96" s="40">
        <f t="shared" si="132"/>
        <v>-25655</v>
      </c>
      <c r="AB96" s="379">
        <f t="shared" si="147"/>
        <v>1317185</v>
      </c>
      <c r="AC96" s="81">
        <f>'[7]Gov 65 &amp; 70'!$B181</f>
        <v>31.15</v>
      </c>
      <c r="AD96" s="4">
        <f t="shared" si="133"/>
        <v>1286317</v>
      </c>
      <c r="AE96" s="4">
        <f t="shared" si="157"/>
        <v>1224</v>
      </c>
      <c r="AF96" s="23">
        <f t="shared" si="134"/>
        <v>1289.8</v>
      </c>
      <c r="AG96" s="75">
        <f t="shared" si="158"/>
        <v>-38.200000000000045</v>
      </c>
      <c r="AI96" s="13" t="s">
        <v>194</v>
      </c>
      <c r="AU96" s="4">
        <v>1990</v>
      </c>
      <c r="AV96" s="4">
        <v>8</v>
      </c>
      <c r="AW96" s="230">
        <f>'[8]RES 62 &amp; 67'!$S181</f>
        <v>490.5</v>
      </c>
      <c r="AX96" s="200">
        <f t="shared" si="159"/>
        <v>487.3</v>
      </c>
      <c r="AY96" s="203">
        <f t="shared" si="148"/>
        <v>-3.1999999999999886</v>
      </c>
      <c r="AZ96" s="230">
        <f>'[8]RES 62 &amp; 67'!$J181</f>
        <v>0</v>
      </c>
      <c r="BA96" s="183">
        <f t="shared" si="160"/>
        <v>0</v>
      </c>
      <c r="BB96" s="429">
        <f t="shared" si="149"/>
        <v>0</v>
      </c>
      <c r="BC96" s="206">
        <f t="shared" si="150"/>
        <v>-6.9119999999999759</v>
      </c>
      <c r="BD96" s="206">
        <f t="shared" si="151"/>
        <v>0</v>
      </c>
      <c r="BE96" s="206">
        <f t="shared" si="152"/>
        <v>-6.9119999999999759</v>
      </c>
      <c r="BF96" s="207">
        <f t="shared" si="153"/>
        <v>0</v>
      </c>
      <c r="BG96" s="219">
        <f t="shared" si="154"/>
        <v>-6.9</v>
      </c>
      <c r="BH96" s="4">
        <f t="shared" si="135"/>
        <v>1990</v>
      </c>
      <c r="BI96" s="4">
        <f t="shared" si="136"/>
        <v>8</v>
      </c>
    </row>
    <row r="97" spans="1:72">
      <c r="A97" s="13">
        <v>1990</v>
      </c>
      <c r="B97" s="13">
        <v>9</v>
      </c>
      <c r="C97" s="5">
        <v>1331295</v>
      </c>
      <c r="D97" s="73">
        <v>999597</v>
      </c>
      <c r="E97" s="4">
        <f t="shared" si="137"/>
        <v>1331295</v>
      </c>
      <c r="F97" s="4">
        <f t="shared" si="138"/>
        <v>999597</v>
      </c>
      <c r="G97" s="79">
        <f t="shared" si="139"/>
        <v>1331.8</v>
      </c>
      <c r="H97" s="13"/>
      <c r="I97" s="13"/>
      <c r="J97" s="230">
        <f>'[7]RES 62 &amp; 67'!$S182</f>
        <v>475.9</v>
      </c>
      <c r="K97" s="183">
        <f t="shared" si="155"/>
        <v>473.7</v>
      </c>
      <c r="L97" s="233">
        <f t="shared" ref="L97:L112" si="161">(K97-J97)</f>
        <v>-2.1999999999999886</v>
      </c>
      <c r="M97" s="230">
        <f>'[7]RES 62 &amp; 67'!$J182</f>
        <v>0</v>
      </c>
      <c r="N97" s="183">
        <f t="shared" si="156"/>
        <v>0</v>
      </c>
      <c r="O97" s="236">
        <f t="shared" ref="O97:O112" si="162">(N97-M97)</f>
        <v>0</v>
      </c>
      <c r="P97" s="206">
        <f t="shared" si="140"/>
        <v>-4.7519999999999758</v>
      </c>
      <c r="Q97" s="208">
        <f t="shared" si="141"/>
        <v>0</v>
      </c>
      <c r="R97" s="467">
        <f t="shared" si="142"/>
        <v>-4.7519999999999758</v>
      </c>
      <c r="S97" s="470">
        <f t="shared" si="143"/>
        <v>0</v>
      </c>
      <c r="T97" s="425">
        <f t="shared" si="144"/>
        <v>-4.8</v>
      </c>
      <c r="U97" s="515">
        <f t="shared" si="145"/>
        <v>999597</v>
      </c>
      <c r="V97" s="447">
        <v>33117</v>
      </c>
      <c r="W97" s="191">
        <f t="shared" si="130"/>
        <v>1327</v>
      </c>
      <c r="X97" s="73">
        <f t="shared" si="131"/>
        <v>1326465</v>
      </c>
      <c r="Y97" s="186">
        <v>0</v>
      </c>
      <c r="Z97" s="175">
        <f t="shared" si="146"/>
        <v>1326465</v>
      </c>
      <c r="AA97" s="40">
        <f t="shared" si="132"/>
        <v>-4830</v>
      </c>
      <c r="AB97" s="379">
        <f t="shared" si="147"/>
        <v>1326465</v>
      </c>
      <c r="AC97" s="81">
        <f>'[7]Gov 65 &amp; 70'!$B182</f>
        <v>30.5</v>
      </c>
      <c r="AD97" s="4">
        <f t="shared" si="133"/>
        <v>1322986</v>
      </c>
      <c r="AE97" s="4">
        <f t="shared" si="157"/>
        <v>130280</v>
      </c>
      <c r="AF97" s="23">
        <f t="shared" si="134"/>
        <v>1323.5</v>
      </c>
      <c r="AG97" s="75">
        <f t="shared" si="158"/>
        <v>95.700000000000045</v>
      </c>
      <c r="AI97" s="13" t="s">
        <v>194</v>
      </c>
      <c r="AU97" s="4">
        <v>1990</v>
      </c>
      <c r="AV97" s="4">
        <v>9</v>
      </c>
      <c r="AW97" s="230">
        <f>'[8]RES 62 &amp; 67'!$S182</f>
        <v>435</v>
      </c>
      <c r="AX97" s="200">
        <f t="shared" si="159"/>
        <v>428.3</v>
      </c>
      <c r="AY97" s="203">
        <f t="shared" si="148"/>
        <v>-6.6999999999999886</v>
      </c>
      <c r="AZ97" s="230">
        <f>'[8]RES 62 &amp; 67'!$J182</f>
        <v>0.5</v>
      </c>
      <c r="BA97" s="183">
        <f t="shared" si="160"/>
        <v>0</v>
      </c>
      <c r="BB97" s="429">
        <f t="shared" si="149"/>
        <v>-0.5</v>
      </c>
      <c r="BC97" s="206">
        <f t="shared" si="150"/>
        <v>-14.471999999999976</v>
      </c>
      <c r="BD97" s="206">
        <f t="shared" si="151"/>
        <v>0</v>
      </c>
      <c r="BE97" s="206">
        <f t="shared" si="152"/>
        <v>-14.471999999999976</v>
      </c>
      <c r="BF97" s="207">
        <f t="shared" si="153"/>
        <v>-1.355</v>
      </c>
      <c r="BG97" s="219">
        <f t="shared" si="154"/>
        <v>-15.8</v>
      </c>
      <c r="BH97" s="4">
        <f t="shared" si="135"/>
        <v>1990</v>
      </c>
      <c r="BI97" s="4">
        <f t="shared" si="136"/>
        <v>9</v>
      </c>
    </row>
    <row r="98" spans="1:72">
      <c r="A98" s="13">
        <v>1990</v>
      </c>
      <c r="B98" s="13">
        <v>10</v>
      </c>
      <c r="C98" s="5">
        <v>1173332</v>
      </c>
      <c r="D98" s="73">
        <v>1005342</v>
      </c>
      <c r="E98" s="4">
        <f t="shared" si="137"/>
        <v>1173332</v>
      </c>
      <c r="F98" s="4">
        <f t="shared" si="138"/>
        <v>1005342</v>
      </c>
      <c r="G98" s="79">
        <f t="shared" si="139"/>
        <v>1167.0999999999999</v>
      </c>
      <c r="H98" s="13"/>
      <c r="I98" s="13"/>
      <c r="J98" s="230">
        <f>'[7]RES 62 &amp; 67'!$S183</f>
        <v>403</v>
      </c>
      <c r="K98" s="183">
        <f t="shared" si="155"/>
        <v>373.2</v>
      </c>
      <c r="L98" s="233">
        <f t="shared" si="161"/>
        <v>-29.800000000000011</v>
      </c>
      <c r="M98" s="230">
        <f>'[7]RES 62 &amp; 67'!$J183</f>
        <v>0.6</v>
      </c>
      <c r="N98" s="183">
        <f t="shared" si="156"/>
        <v>1.3</v>
      </c>
      <c r="O98" s="236">
        <f t="shared" si="162"/>
        <v>0.70000000000000007</v>
      </c>
      <c r="P98" s="206">
        <f t="shared" si="140"/>
        <v>-64.368000000000023</v>
      </c>
      <c r="Q98" s="208">
        <f t="shared" si="141"/>
        <v>0</v>
      </c>
      <c r="R98" s="467">
        <f t="shared" si="142"/>
        <v>-64.368000000000023</v>
      </c>
      <c r="S98" s="470">
        <f t="shared" si="143"/>
        <v>1.8970000000000002</v>
      </c>
      <c r="T98" s="425">
        <f t="shared" si="144"/>
        <v>-62.5</v>
      </c>
      <c r="U98" s="515">
        <f t="shared" si="145"/>
        <v>1005342</v>
      </c>
      <c r="V98" s="447">
        <v>33147</v>
      </c>
      <c r="W98" s="191">
        <f t="shared" si="130"/>
        <v>1104.5999999999999</v>
      </c>
      <c r="X98" s="73">
        <f t="shared" si="131"/>
        <v>1110501</v>
      </c>
      <c r="Y98" s="186">
        <v>0</v>
      </c>
      <c r="Z98" s="175">
        <f t="shared" si="146"/>
        <v>1110501</v>
      </c>
      <c r="AA98" s="40">
        <f t="shared" si="132"/>
        <v>-62831</v>
      </c>
      <c r="AB98" s="379">
        <f t="shared" si="147"/>
        <v>1110501</v>
      </c>
      <c r="AC98" s="81">
        <f>'[7]Gov 65 &amp; 70'!$B183</f>
        <v>29.7</v>
      </c>
      <c r="AD98" s="4">
        <f t="shared" si="133"/>
        <v>1137422</v>
      </c>
      <c r="AE98" s="4">
        <f t="shared" si="157"/>
        <v>64710</v>
      </c>
      <c r="AF98" s="23">
        <f t="shared" si="134"/>
        <v>1131.4000000000001</v>
      </c>
      <c r="AG98" s="75">
        <f t="shared" si="158"/>
        <v>34.600000000000136</v>
      </c>
      <c r="AI98" s="13" t="s">
        <v>194</v>
      </c>
      <c r="AU98" s="4">
        <v>1990</v>
      </c>
      <c r="AV98" s="4">
        <v>10</v>
      </c>
      <c r="AW98" s="230">
        <f>'[8]RES 62 &amp; 67'!$S183</f>
        <v>316.3</v>
      </c>
      <c r="AX98" s="200">
        <f t="shared" si="159"/>
        <v>277.60000000000002</v>
      </c>
      <c r="AY98" s="203">
        <f t="shared" si="148"/>
        <v>-38.699999999999989</v>
      </c>
      <c r="AZ98" s="230">
        <f>'[8]RES 62 &amp; 67'!$J183</f>
        <v>12.7</v>
      </c>
      <c r="BA98" s="183">
        <f t="shared" si="160"/>
        <v>8.5</v>
      </c>
      <c r="BB98" s="429">
        <f t="shared" si="149"/>
        <v>-4.1999999999999993</v>
      </c>
      <c r="BC98" s="206">
        <f t="shared" si="150"/>
        <v>-83.591999999999985</v>
      </c>
      <c r="BD98" s="206">
        <f t="shared" si="151"/>
        <v>0</v>
      </c>
      <c r="BE98" s="206">
        <f t="shared" si="152"/>
        <v>-83.591999999999985</v>
      </c>
      <c r="BF98" s="207">
        <f t="shared" si="153"/>
        <v>-11.381999999999998</v>
      </c>
      <c r="BG98" s="219">
        <f t="shared" si="154"/>
        <v>-95</v>
      </c>
      <c r="BH98" s="4">
        <f t="shared" si="135"/>
        <v>1990</v>
      </c>
      <c r="BI98" s="4">
        <f t="shared" si="136"/>
        <v>10</v>
      </c>
    </row>
    <row r="99" spans="1:72">
      <c r="A99" s="13">
        <v>1990</v>
      </c>
      <c r="B99" s="13">
        <v>11</v>
      </c>
      <c r="C99" s="5">
        <v>894217</v>
      </c>
      <c r="D99" s="73">
        <v>1018909</v>
      </c>
      <c r="E99" s="4">
        <f t="shared" si="137"/>
        <v>894217</v>
      </c>
      <c r="F99" s="4">
        <f t="shared" si="138"/>
        <v>1018909</v>
      </c>
      <c r="G99" s="79">
        <f t="shared" si="139"/>
        <v>877.6</v>
      </c>
      <c r="H99" s="13"/>
      <c r="I99" s="13"/>
      <c r="J99" s="230">
        <f>'[7]RES 62 &amp; 67'!$S184</f>
        <v>220.3</v>
      </c>
      <c r="K99" s="183">
        <f t="shared" si="155"/>
        <v>204.3</v>
      </c>
      <c r="L99" s="233">
        <f t="shared" si="161"/>
        <v>-16</v>
      </c>
      <c r="M99" s="230">
        <f>'[7]RES 62 &amp; 67'!$J184</f>
        <v>21.5</v>
      </c>
      <c r="N99" s="183">
        <f t="shared" si="156"/>
        <v>24.1</v>
      </c>
      <c r="O99" s="236">
        <f t="shared" si="162"/>
        <v>2.6000000000000014</v>
      </c>
      <c r="P99" s="206">
        <f t="shared" si="140"/>
        <v>-34.56</v>
      </c>
      <c r="Q99" s="208">
        <f t="shared" si="141"/>
        <v>0</v>
      </c>
      <c r="R99" s="467">
        <f t="shared" si="142"/>
        <v>-34.56</v>
      </c>
      <c r="S99" s="470">
        <f t="shared" si="143"/>
        <v>7.0460000000000038</v>
      </c>
      <c r="T99" s="425">
        <f t="shared" si="144"/>
        <v>-27.5</v>
      </c>
      <c r="U99" s="515">
        <f t="shared" si="145"/>
        <v>1018909</v>
      </c>
      <c r="V99" s="447">
        <v>33178</v>
      </c>
      <c r="W99" s="191">
        <f t="shared" si="130"/>
        <v>850.1</v>
      </c>
      <c r="X99" s="73">
        <f t="shared" si="131"/>
        <v>866175</v>
      </c>
      <c r="Y99" s="186">
        <v>0</v>
      </c>
      <c r="Z99" s="175">
        <f t="shared" si="146"/>
        <v>866175</v>
      </c>
      <c r="AA99" s="40">
        <f t="shared" si="132"/>
        <v>-28042</v>
      </c>
      <c r="AB99" s="379">
        <f t="shared" si="147"/>
        <v>866175</v>
      </c>
      <c r="AC99" s="81">
        <f>'[7]Gov 65 &amp; 70'!$B184</f>
        <v>30.15</v>
      </c>
      <c r="AD99" s="4">
        <f t="shared" si="133"/>
        <v>873932</v>
      </c>
      <c r="AE99" s="4">
        <f t="shared" si="157"/>
        <v>38984</v>
      </c>
      <c r="AF99" s="23">
        <f t="shared" si="134"/>
        <v>857.7</v>
      </c>
      <c r="AG99" s="75">
        <f t="shared" si="158"/>
        <v>16.300000000000068</v>
      </c>
      <c r="AI99" s="13" t="s">
        <v>194</v>
      </c>
      <c r="AU99" s="4">
        <v>1990</v>
      </c>
      <c r="AV99" s="4">
        <v>11</v>
      </c>
      <c r="AW99" s="230">
        <f>'[8]RES 62 &amp; 67'!$S184</f>
        <v>119.4</v>
      </c>
      <c r="AX99" s="200">
        <f t="shared" si="159"/>
        <v>110.2</v>
      </c>
      <c r="AY99" s="203">
        <f t="shared" si="148"/>
        <v>-9.2000000000000028</v>
      </c>
      <c r="AZ99" s="230">
        <f>'[8]RES 62 &amp; 67'!$J184</f>
        <v>34</v>
      </c>
      <c r="BA99" s="183">
        <f t="shared" si="160"/>
        <v>45.3</v>
      </c>
      <c r="BB99" s="429">
        <f t="shared" si="149"/>
        <v>11.299999999999997</v>
      </c>
      <c r="BC99" s="206">
        <f t="shared" si="150"/>
        <v>-19.872000000000007</v>
      </c>
      <c r="BD99" s="206">
        <f t="shared" si="151"/>
        <v>2.8060000000000009</v>
      </c>
      <c r="BE99" s="206">
        <f t="shared" si="152"/>
        <v>-17.066000000000006</v>
      </c>
      <c r="BF99" s="207">
        <f t="shared" si="153"/>
        <v>30.62299999999999</v>
      </c>
      <c r="BG99" s="219">
        <f t="shared" si="154"/>
        <v>13.6</v>
      </c>
      <c r="BH99" s="4">
        <f t="shared" si="135"/>
        <v>1990</v>
      </c>
      <c r="BI99" s="4">
        <f t="shared" si="136"/>
        <v>11</v>
      </c>
    </row>
    <row r="100" spans="1:72" s="89" customFormat="1" ht="12.75">
      <c r="A100" s="90">
        <v>1990</v>
      </c>
      <c r="B100" s="90">
        <v>12</v>
      </c>
      <c r="C100" s="103">
        <v>836392</v>
      </c>
      <c r="D100" s="104">
        <v>1029206</v>
      </c>
      <c r="E100" s="89">
        <f t="shared" si="137"/>
        <v>836392</v>
      </c>
      <c r="F100" s="89">
        <f t="shared" si="138"/>
        <v>1029206</v>
      </c>
      <c r="G100" s="301">
        <f t="shared" si="139"/>
        <v>812.7</v>
      </c>
      <c r="H100" s="90"/>
      <c r="I100" s="90"/>
      <c r="J100" s="300">
        <f>'[7]RES 62 &amp; 67'!$S185</f>
        <v>99.1</v>
      </c>
      <c r="K100" s="210">
        <f t="shared" si="155"/>
        <v>88</v>
      </c>
      <c r="L100" s="234">
        <f t="shared" si="161"/>
        <v>-11.099999999999994</v>
      </c>
      <c r="M100" s="300">
        <f>'[7]RES 62 &amp; 67'!$J185</f>
        <v>63.9</v>
      </c>
      <c r="N100" s="210">
        <f t="shared" si="156"/>
        <v>83.9</v>
      </c>
      <c r="O100" s="237">
        <f t="shared" si="162"/>
        <v>20.000000000000007</v>
      </c>
      <c r="P100" s="211">
        <f t="shared" si="140"/>
        <v>-23.975999999999988</v>
      </c>
      <c r="Q100" s="211">
        <f t="shared" si="141"/>
        <v>6.7709999999999964</v>
      </c>
      <c r="R100" s="468">
        <f t="shared" si="142"/>
        <v>-17.204999999999991</v>
      </c>
      <c r="S100" s="471">
        <f t="shared" si="143"/>
        <v>54.200000000000017</v>
      </c>
      <c r="T100" s="426">
        <f t="shared" si="144"/>
        <v>37</v>
      </c>
      <c r="U100" s="515">
        <f t="shared" si="145"/>
        <v>1029206</v>
      </c>
      <c r="V100" s="447">
        <v>33208</v>
      </c>
      <c r="W100" s="95">
        <f t="shared" si="130"/>
        <v>849.7</v>
      </c>
      <c r="X100" s="104">
        <f t="shared" si="131"/>
        <v>874516</v>
      </c>
      <c r="Y100" s="302">
        <v>0</v>
      </c>
      <c r="Z100" s="176">
        <f t="shared" si="146"/>
        <v>874516</v>
      </c>
      <c r="AA100" s="116">
        <f t="shared" si="132"/>
        <v>38124</v>
      </c>
      <c r="AB100" s="517">
        <f t="shared" si="147"/>
        <v>874516</v>
      </c>
      <c r="AC100" s="88">
        <f>'[7]Gov 65 &amp; 70'!$B185</f>
        <v>31.65</v>
      </c>
      <c r="AD100" s="89">
        <f t="shared" si="133"/>
        <v>840530</v>
      </c>
      <c r="AE100" s="89">
        <f t="shared" si="157"/>
        <v>35299</v>
      </c>
      <c r="AF100" s="89">
        <f t="shared" si="134"/>
        <v>816.7</v>
      </c>
      <c r="AG100" s="91">
        <f t="shared" si="158"/>
        <v>13.600000000000023</v>
      </c>
      <c r="AH100" s="252"/>
      <c r="AI100" s="90" t="s">
        <v>194</v>
      </c>
      <c r="AU100" s="89">
        <v>1990</v>
      </c>
      <c r="AV100" s="89">
        <v>12</v>
      </c>
      <c r="AW100" s="300">
        <f>'[8]RES 62 &amp; 67'!$S185</f>
        <v>99.2</v>
      </c>
      <c r="AX100" s="210">
        <f t="shared" si="159"/>
        <v>53.2</v>
      </c>
      <c r="AY100" s="204">
        <f t="shared" si="148"/>
        <v>-46</v>
      </c>
      <c r="AZ100" s="300">
        <f>'[8]RES 62 &amp; 67'!$J185</f>
        <v>77.3</v>
      </c>
      <c r="BA100" s="210">
        <f t="shared" si="160"/>
        <v>114.1</v>
      </c>
      <c r="BB100" s="430">
        <f t="shared" si="149"/>
        <v>36.799999999999997</v>
      </c>
      <c r="BC100" s="211">
        <f t="shared" si="150"/>
        <v>-99.360000000000014</v>
      </c>
      <c r="BD100" s="211">
        <f t="shared" si="151"/>
        <v>28.06</v>
      </c>
      <c r="BE100" s="211">
        <f t="shared" si="152"/>
        <v>-71.300000000000011</v>
      </c>
      <c r="BF100" s="212">
        <f t="shared" si="153"/>
        <v>99.727999999999994</v>
      </c>
      <c r="BG100" s="220">
        <f t="shared" si="154"/>
        <v>28.4</v>
      </c>
      <c r="BH100" s="89">
        <f t="shared" si="135"/>
        <v>1990</v>
      </c>
      <c r="BI100" s="89">
        <f t="shared" si="136"/>
        <v>12</v>
      </c>
      <c r="BN100" s="96"/>
      <c r="BO100" s="96"/>
      <c r="BT100" s="96"/>
    </row>
    <row r="101" spans="1:72">
      <c r="A101" s="13">
        <v>1991</v>
      </c>
      <c r="B101" s="13">
        <v>1</v>
      </c>
      <c r="C101" s="5">
        <v>909914</v>
      </c>
      <c r="D101" s="73">
        <v>1036625</v>
      </c>
      <c r="E101" s="4">
        <f t="shared" si="137"/>
        <v>909914</v>
      </c>
      <c r="F101" s="4">
        <f t="shared" si="138"/>
        <v>1036625</v>
      </c>
      <c r="G101" s="79">
        <f t="shared" si="139"/>
        <v>877.8</v>
      </c>
      <c r="H101" s="13"/>
      <c r="I101" s="13"/>
      <c r="J101" s="230">
        <f>'[7]RES 62 &amp; 67'!$S186</f>
        <v>118</v>
      </c>
      <c r="K101" s="183">
        <f t="shared" si="155"/>
        <v>49.5</v>
      </c>
      <c r="L101" s="233">
        <f t="shared" si="161"/>
        <v>-68.5</v>
      </c>
      <c r="M101" s="230">
        <f>'[7]RES 62 &amp; 67'!$J186</f>
        <v>61.1</v>
      </c>
      <c r="N101" s="183">
        <f t="shared" si="156"/>
        <v>131.6</v>
      </c>
      <c r="O101" s="236">
        <f t="shared" si="162"/>
        <v>70.5</v>
      </c>
      <c r="P101" s="206">
        <f t="shared" si="140"/>
        <v>-147.96</v>
      </c>
      <c r="Q101" s="208">
        <f t="shared" si="141"/>
        <v>41.784999999999997</v>
      </c>
      <c r="R101" s="467">
        <f t="shared" si="142"/>
        <v>-106.17500000000001</v>
      </c>
      <c r="S101" s="470">
        <f t="shared" si="143"/>
        <v>191.05500000000001</v>
      </c>
      <c r="T101" s="425">
        <f t="shared" si="144"/>
        <v>84.9</v>
      </c>
      <c r="U101" s="515">
        <f t="shared" si="145"/>
        <v>1036625</v>
      </c>
      <c r="V101" s="447">
        <v>33239</v>
      </c>
      <c r="W101" s="191">
        <f t="shared" si="130"/>
        <v>962.69999999999993</v>
      </c>
      <c r="X101" s="73">
        <f t="shared" si="131"/>
        <v>997959</v>
      </c>
      <c r="Y101" s="186">
        <v>0</v>
      </c>
      <c r="Z101" s="175">
        <f t="shared" si="146"/>
        <v>997959</v>
      </c>
      <c r="AA101" s="40">
        <f t="shared" si="132"/>
        <v>88045</v>
      </c>
      <c r="AB101" s="379">
        <f t="shared" si="147"/>
        <v>997959</v>
      </c>
      <c r="AC101" s="81">
        <f>'[7]Gov 65 &amp; 70'!$B186</f>
        <v>31.8</v>
      </c>
      <c r="AD101" s="4">
        <f t="shared" si="133"/>
        <v>954651</v>
      </c>
      <c r="AE101" s="4">
        <f t="shared" si="157"/>
        <v>-27137</v>
      </c>
      <c r="AF101" s="23">
        <f t="shared" si="134"/>
        <v>920.9</v>
      </c>
      <c r="AG101" s="75">
        <f t="shared" si="158"/>
        <v>-51</v>
      </c>
      <c r="AI101" s="13" t="s">
        <v>194</v>
      </c>
      <c r="AU101" s="4">
        <v>1991</v>
      </c>
      <c r="AV101" s="4">
        <v>1</v>
      </c>
      <c r="AW101" s="230">
        <f>'[8]RES 62 &amp; 67'!$S186</f>
        <v>89.5</v>
      </c>
      <c r="AX101" s="200">
        <f t="shared" si="159"/>
        <v>50.5</v>
      </c>
      <c r="AY101" s="203">
        <f t="shared" si="148"/>
        <v>-39</v>
      </c>
      <c r="AZ101" s="230">
        <f>'[8]RES 62 &amp; 67'!$J186</f>
        <v>77.5</v>
      </c>
      <c r="BA101" s="183">
        <f t="shared" si="160"/>
        <v>127.9</v>
      </c>
      <c r="BB101" s="429">
        <f t="shared" si="149"/>
        <v>50.400000000000006</v>
      </c>
      <c r="BC101" s="206">
        <f t="shared" si="150"/>
        <v>-84.240000000000009</v>
      </c>
      <c r="BD101" s="206">
        <f t="shared" si="151"/>
        <v>23.79</v>
      </c>
      <c r="BE101" s="206">
        <f t="shared" si="152"/>
        <v>-60.45000000000001</v>
      </c>
      <c r="BF101" s="207">
        <f t="shared" si="153"/>
        <v>136.584</v>
      </c>
      <c r="BG101" s="219">
        <f t="shared" si="154"/>
        <v>76.099999999999994</v>
      </c>
      <c r="BH101" s="4">
        <f t="shared" si="135"/>
        <v>1991</v>
      </c>
      <c r="BI101" s="4">
        <f t="shared" si="136"/>
        <v>1</v>
      </c>
    </row>
    <row r="102" spans="1:72">
      <c r="A102" s="13">
        <v>1991</v>
      </c>
      <c r="B102" s="13">
        <v>2</v>
      </c>
      <c r="C102" s="5">
        <v>874259</v>
      </c>
      <c r="D102" s="73">
        <v>1040827</v>
      </c>
      <c r="E102" s="4">
        <f t="shared" si="137"/>
        <v>874259</v>
      </c>
      <c r="F102" s="4">
        <f t="shared" si="138"/>
        <v>1040827</v>
      </c>
      <c r="G102" s="79">
        <f t="shared" si="139"/>
        <v>840</v>
      </c>
      <c r="H102" s="13"/>
      <c r="I102" s="13"/>
      <c r="J102" s="230">
        <f>'[7]RES 62 &amp; 67'!$S187</f>
        <v>67.5</v>
      </c>
      <c r="K102" s="183">
        <f t="shared" si="155"/>
        <v>43.3</v>
      </c>
      <c r="L102" s="233">
        <f t="shared" si="161"/>
        <v>-24.200000000000003</v>
      </c>
      <c r="M102" s="230">
        <f>'[7]RES 62 &amp; 67'!$J187</f>
        <v>84.3</v>
      </c>
      <c r="N102" s="183">
        <f t="shared" si="156"/>
        <v>127.9</v>
      </c>
      <c r="O102" s="236">
        <f t="shared" si="162"/>
        <v>43.600000000000009</v>
      </c>
      <c r="P102" s="206">
        <f t="shared" si="140"/>
        <v>-52.272000000000013</v>
      </c>
      <c r="Q102" s="208">
        <f t="shared" si="141"/>
        <v>14.762000000000002</v>
      </c>
      <c r="R102" s="467">
        <f t="shared" si="142"/>
        <v>-37.510000000000012</v>
      </c>
      <c r="S102" s="470">
        <f t="shared" si="143"/>
        <v>118.15600000000002</v>
      </c>
      <c r="T102" s="425">
        <f t="shared" si="144"/>
        <v>80.599999999999994</v>
      </c>
      <c r="U102" s="515">
        <f t="shared" si="145"/>
        <v>1040827</v>
      </c>
      <c r="V102" s="447">
        <v>33270</v>
      </c>
      <c r="W102" s="191">
        <f t="shared" si="130"/>
        <v>920.6</v>
      </c>
      <c r="X102" s="73">
        <f t="shared" si="131"/>
        <v>958185</v>
      </c>
      <c r="Y102" s="186">
        <v>0</v>
      </c>
      <c r="Z102" s="175">
        <f t="shared" si="146"/>
        <v>958185</v>
      </c>
      <c r="AA102" s="40">
        <f t="shared" si="132"/>
        <v>83926</v>
      </c>
      <c r="AB102" s="379">
        <f t="shared" si="147"/>
        <v>958185</v>
      </c>
      <c r="AC102" s="81">
        <f>'[7]Gov 65 &amp; 70'!$B187</f>
        <v>29.6</v>
      </c>
      <c r="AD102" s="4">
        <f t="shared" si="133"/>
        <v>984729</v>
      </c>
      <c r="AE102" s="4">
        <f t="shared" si="157"/>
        <v>93902</v>
      </c>
      <c r="AF102" s="23">
        <f t="shared" si="134"/>
        <v>946.1</v>
      </c>
      <c r="AG102" s="75">
        <f t="shared" si="158"/>
        <v>68.300000000000068</v>
      </c>
      <c r="AI102" s="13" t="s">
        <v>194</v>
      </c>
      <c r="AU102" s="4">
        <v>1991</v>
      </c>
      <c r="AV102" s="4">
        <v>2</v>
      </c>
      <c r="AW102" s="230">
        <f>'[8]RES 62 &amp; 67'!$S187</f>
        <v>60</v>
      </c>
      <c r="AX102" s="200">
        <f t="shared" si="159"/>
        <v>59.2</v>
      </c>
      <c r="AY102" s="203">
        <f t="shared" si="148"/>
        <v>-0.79999999999999716</v>
      </c>
      <c r="AZ102" s="230">
        <f>'[8]RES 62 &amp; 67'!$J187</f>
        <v>82.2</v>
      </c>
      <c r="BA102" s="183">
        <f t="shared" si="160"/>
        <v>97.8</v>
      </c>
      <c r="BB102" s="429">
        <f t="shared" si="149"/>
        <v>15.599999999999994</v>
      </c>
      <c r="BC102" s="206">
        <f t="shared" si="150"/>
        <v>-1.727999999999994</v>
      </c>
      <c r="BD102" s="206">
        <f t="shared" si="151"/>
        <v>0.48799999999999827</v>
      </c>
      <c r="BE102" s="206">
        <f t="shared" si="152"/>
        <v>-1.2399999999999958</v>
      </c>
      <c r="BF102" s="207">
        <f t="shared" si="153"/>
        <v>42.275999999999982</v>
      </c>
      <c r="BG102" s="219">
        <f t="shared" si="154"/>
        <v>41</v>
      </c>
      <c r="BH102" s="4">
        <f t="shared" si="135"/>
        <v>1991</v>
      </c>
      <c r="BI102" s="4">
        <f t="shared" si="136"/>
        <v>2</v>
      </c>
    </row>
    <row r="103" spans="1:72">
      <c r="A103" s="13">
        <v>1991</v>
      </c>
      <c r="B103" s="13">
        <v>3</v>
      </c>
      <c r="C103" s="5">
        <v>869493</v>
      </c>
      <c r="D103" s="73">
        <v>1043366</v>
      </c>
      <c r="E103" s="4">
        <f t="shared" si="137"/>
        <v>869493</v>
      </c>
      <c r="F103" s="4">
        <f t="shared" si="138"/>
        <v>1043366</v>
      </c>
      <c r="G103" s="79">
        <f t="shared" si="139"/>
        <v>833.4</v>
      </c>
      <c r="H103" s="13"/>
      <c r="I103" s="13"/>
      <c r="J103" s="230">
        <f>'[7]RES 62 &amp; 67'!$S188</f>
        <v>74.3</v>
      </c>
      <c r="K103" s="183">
        <f t="shared" si="155"/>
        <v>77.2</v>
      </c>
      <c r="L103" s="233">
        <f t="shared" si="161"/>
        <v>2.9000000000000057</v>
      </c>
      <c r="M103" s="230">
        <f>'[7]RES 62 &amp; 67'!$J188</f>
        <v>79.2</v>
      </c>
      <c r="N103" s="183">
        <f t="shared" si="156"/>
        <v>82.3</v>
      </c>
      <c r="O103" s="236">
        <f t="shared" si="162"/>
        <v>3.0999999999999943</v>
      </c>
      <c r="P103" s="206">
        <f t="shared" si="140"/>
        <v>6.2640000000000127</v>
      </c>
      <c r="Q103" s="208">
        <f t="shared" si="141"/>
        <v>-1.7690000000000035</v>
      </c>
      <c r="R103" s="467">
        <f t="shared" si="142"/>
        <v>4.495000000000009</v>
      </c>
      <c r="S103" s="470">
        <f t="shared" si="143"/>
        <v>8.4009999999999838</v>
      </c>
      <c r="T103" s="425">
        <f t="shared" si="144"/>
        <v>12.9</v>
      </c>
      <c r="U103" s="515">
        <f t="shared" si="145"/>
        <v>1043366</v>
      </c>
      <c r="V103" s="447">
        <v>33298</v>
      </c>
      <c r="W103" s="191">
        <f t="shared" si="130"/>
        <v>846.3</v>
      </c>
      <c r="X103" s="73">
        <f t="shared" si="131"/>
        <v>883001</v>
      </c>
      <c r="Y103" s="186">
        <v>0</v>
      </c>
      <c r="Z103" s="175">
        <f t="shared" si="146"/>
        <v>883001</v>
      </c>
      <c r="AA103" s="40">
        <f t="shared" si="132"/>
        <v>13508</v>
      </c>
      <c r="AB103" s="379">
        <f t="shared" si="147"/>
        <v>883001</v>
      </c>
      <c r="AC103" s="81">
        <f>'[7]Gov 65 &amp; 70'!$B188</f>
        <v>29.4</v>
      </c>
      <c r="AD103" s="4">
        <f t="shared" si="133"/>
        <v>913636</v>
      </c>
      <c r="AE103" s="4">
        <f t="shared" si="157"/>
        <v>52673</v>
      </c>
      <c r="AF103" s="23">
        <f t="shared" si="134"/>
        <v>875.7</v>
      </c>
      <c r="AG103" s="75">
        <f t="shared" si="158"/>
        <v>29.700000000000045</v>
      </c>
      <c r="AI103" s="13" t="s">
        <v>194</v>
      </c>
      <c r="AU103" s="4">
        <v>1991</v>
      </c>
      <c r="AV103" s="4">
        <v>3</v>
      </c>
      <c r="AW103" s="230">
        <f>'[8]RES 62 &amp; 67'!$S188</f>
        <v>119.7</v>
      </c>
      <c r="AX103" s="200">
        <f t="shared" si="159"/>
        <v>105.8</v>
      </c>
      <c r="AY103" s="203">
        <f t="shared" si="148"/>
        <v>-13.900000000000006</v>
      </c>
      <c r="AZ103" s="230">
        <f>'[8]RES 62 &amp; 67'!$J188</f>
        <v>46.9</v>
      </c>
      <c r="BA103" s="183">
        <f t="shared" si="160"/>
        <v>49.9</v>
      </c>
      <c r="BB103" s="429">
        <f t="shared" si="149"/>
        <v>3</v>
      </c>
      <c r="BC103" s="206">
        <f t="shared" si="150"/>
        <v>-30.024000000000015</v>
      </c>
      <c r="BD103" s="206">
        <f t="shared" si="151"/>
        <v>8.4790000000000028</v>
      </c>
      <c r="BE103" s="206">
        <f t="shared" si="152"/>
        <v>-21.545000000000012</v>
      </c>
      <c r="BF103" s="207">
        <f t="shared" si="153"/>
        <v>8.129999999999999</v>
      </c>
      <c r="BG103" s="219">
        <f t="shared" si="154"/>
        <v>-13.4</v>
      </c>
      <c r="BH103" s="4">
        <f t="shared" si="135"/>
        <v>1991</v>
      </c>
      <c r="BI103" s="4">
        <f t="shared" si="136"/>
        <v>3</v>
      </c>
    </row>
    <row r="104" spans="1:72">
      <c r="A104" s="13">
        <v>1991</v>
      </c>
      <c r="B104" s="13">
        <v>4</v>
      </c>
      <c r="C104" s="5">
        <v>859705</v>
      </c>
      <c r="D104" s="73">
        <v>1036148</v>
      </c>
      <c r="E104" s="4">
        <f t="shared" si="137"/>
        <v>859705</v>
      </c>
      <c r="F104" s="4">
        <f t="shared" si="138"/>
        <v>1036148</v>
      </c>
      <c r="G104" s="79">
        <f t="shared" si="139"/>
        <v>829.7</v>
      </c>
      <c r="H104" s="13"/>
      <c r="I104" s="13"/>
      <c r="J104" s="230">
        <f>'[7]RES 62 &amp; 67'!$S189</f>
        <v>174.1</v>
      </c>
      <c r="K104" s="183">
        <f t="shared" si="155"/>
        <v>138.1</v>
      </c>
      <c r="L104" s="233">
        <f t="shared" si="161"/>
        <v>-36</v>
      </c>
      <c r="M104" s="230">
        <f>'[7]RES 62 &amp; 67'!$J189</f>
        <v>24.8</v>
      </c>
      <c r="N104" s="183">
        <f t="shared" si="156"/>
        <v>37.299999999999997</v>
      </c>
      <c r="O104" s="236">
        <f t="shared" si="162"/>
        <v>12.499999999999996</v>
      </c>
      <c r="P104" s="206">
        <f t="shared" si="140"/>
        <v>-77.760000000000005</v>
      </c>
      <c r="Q104" s="208">
        <f t="shared" si="141"/>
        <v>21.96</v>
      </c>
      <c r="R104" s="467">
        <f t="shared" si="142"/>
        <v>-55.800000000000004</v>
      </c>
      <c r="S104" s="470">
        <f t="shared" si="143"/>
        <v>33.874999999999993</v>
      </c>
      <c r="T104" s="425">
        <f t="shared" si="144"/>
        <v>-21.9</v>
      </c>
      <c r="U104" s="515">
        <f t="shared" si="145"/>
        <v>1036148</v>
      </c>
      <c r="V104" s="447">
        <v>33329</v>
      </c>
      <c r="W104" s="191">
        <f t="shared" si="130"/>
        <v>807.80000000000007</v>
      </c>
      <c r="X104" s="73">
        <f t="shared" si="131"/>
        <v>837000</v>
      </c>
      <c r="Y104" s="186">
        <v>0</v>
      </c>
      <c r="Z104" s="175">
        <f t="shared" si="146"/>
        <v>837000</v>
      </c>
      <c r="AA104" s="40">
        <f t="shared" si="132"/>
        <v>-22705</v>
      </c>
      <c r="AB104" s="379">
        <f t="shared" si="147"/>
        <v>837000</v>
      </c>
      <c r="AC104" s="81">
        <f>'[7]Gov 65 &amp; 70'!$B189</f>
        <v>30.75</v>
      </c>
      <c r="AD104" s="4">
        <f t="shared" si="133"/>
        <v>828018</v>
      </c>
      <c r="AE104" s="4">
        <f t="shared" si="157"/>
        <v>57395</v>
      </c>
      <c r="AF104" s="23">
        <f t="shared" si="134"/>
        <v>799.1</v>
      </c>
      <c r="AG104" s="75">
        <f t="shared" si="158"/>
        <v>38</v>
      </c>
      <c r="AI104" s="13" t="s">
        <v>194</v>
      </c>
      <c r="AU104" s="4">
        <v>1991</v>
      </c>
      <c r="AV104" s="4">
        <v>4</v>
      </c>
      <c r="AW104" s="230">
        <f>'[8]RES 62 &amp; 67'!$S189</f>
        <v>270.2</v>
      </c>
      <c r="AX104" s="200">
        <f t="shared" si="159"/>
        <v>181.7</v>
      </c>
      <c r="AY104" s="203">
        <f t="shared" si="148"/>
        <v>-88.5</v>
      </c>
      <c r="AZ104" s="230">
        <f>'[8]RES 62 &amp; 67'!$J189</f>
        <v>5.6</v>
      </c>
      <c r="BA104" s="183">
        <f t="shared" si="160"/>
        <v>21.5</v>
      </c>
      <c r="BB104" s="429">
        <f t="shared" si="149"/>
        <v>15.9</v>
      </c>
      <c r="BC104" s="206">
        <f t="shared" si="150"/>
        <v>-191.16000000000003</v>
      </c>
      <c r="BD104" s="206">
        <f t="shared" si="151"/>
        <v>26.9925</v>
      </c>
      <c r="BE104" s="206">
        <f t="shared" si="152"/>
        <v>-164.16750000000002</v>
      </c>
      <c r="BF104" s="207">
        <f t="shared" si="153"/>
        <v>43.088999999999999</v>
      </c>
      <c r="BG104" s="219">
        <f t="shared" si="154"/>
        <v>-121.1</v>
      </c>
      <c r="BH104" s="4">
        <f t="shared" si="135"/>
        <v>1991</v>
      </c>
      <c r="BI104" s="4">
        <f t="shared" si="136"/>
        <v>4</v>
      </c>
    </row>
    <row r="105" spans="1:72">
      <c r="A105" s="13">
        <v>1991</v>
      </c>
      <c r="B105" s="13">
        <v>5</v>
      </c>
      <c r="C105" s="5">
        <v>1001148</v>
      </c>
      <c r="D105" s="73">
        <v>1021014</v>
      </c>
      <c r="E105" s="4">
        <f t="shared" si="137"/>
        <v>1001148</v>
      </c>
      <c r="F105" s="4">
        <f t="shared" si="138"/>
        <v>1021014</v>
      </c>
      <c r="G105" s="79">
        <f t="shared" si="139"/>
        <v>980.5</v>
      </c>
      <c r="H105" s="13"/>
      <c r="I105" s="13"/>
      <c r="J105" s="230">
        <f>'[7]RES 62 &amp; 67'!$S190</f>
        <v>325.89999999999998</v>
      </c>
      <c r="K105" s="183">
        <f t="shared" si="155"/>
        <v>224.4</v>
      </c>
      <c r="L105" s="233">
        <f t="shared" si="161"/>
        <v>-101.49999999999997</v>
      </c>
      <c r="M105" s="230">
        <f>'[7]RES 62 &amp; 67'!$J190</f>
        <v>1.2</v>
      </c>
      <c r="N105" s="183">
        <f t="shared" si="156"/>
        <v>11.2</v>
      </c>
      <c r="O105" s="236">
        <f t="shared" si="162"/>
        <v>10</v>
      </c>
      <c r="P105" s="206">
        <f t="shared" si="140"/>
        <v>-219.23999999999995</v>
      </c>
      <c r="Q105" s="208">
        <f t="shared" si="141"/>
        <v>0</v>
      </c>
      <c r="R105" s="467">
        <f t="shared" si="142"/>
        <v>-219.23999999999995</v>
      </c>
      <c r="S105" s="470">
        <f t="shared" si="143"/>
        <v>27.1</v>
      </c>
      <c r="T105" s="425">
        <f t="shared" si="144"/>
        <v>-192.1</v>
      </c>
      <c r="U105" s="515">
        <f t="shared" si="145"/>
        <v>1021014</v>
      </c>
      <c r="V105" s="447">
        <v>33359</v>
      </c>
      <c r="W105" s="191">
        <f t="shared" si="130"/>
        <v>788.4</v>
      </c>
      <c r="X105" s="73">
        <f t="shared" si="131"/>
        <v>804967</v>
      </c>
      <c r="Y105" s="186">
        <v>0</v>
      </c>
      <c r="Z105" s="175">
        <f t="shared" si="146"/>
        <v>804967</v>
      </c>
      <c r="AA105" s="40">
        <f t="shared" si="132"/>
        <v>-196181</v>
      </c>
      <c r="AB105" s="379">
        <f t="shared" si="147"/>
        <v>804967</v>
      </c>
      <c r="AC105" s="81">
        <f>'[7]Gov 65 &amp; 70'!$B190</f>
        <v>29.45</v>
      </c>
      <c r="AD105" s="4">
        <f t="shared" si="133"/>
        <v>831480</v>
      </c>
      <c r="AE105" s="4">
        <f t="shared" si="157"/>
        <v>27581</v>
      </c>
      <c r="AF105" s="23">
        <f t="shared" si="134"/>
        <v>814.4</v>
      </c>
      <c r="AG105" s="75">
        <f t="shared" si="158"/>
        <v>9</v>
      </c>
      <c r="AI105" s="13" t="s">
        <v>194</v>
      </c>
      <c r="AU105" s="4">
        <v>1991</v>
      </c>
      <c r="AV105" s="4">
        <v>5</v>
      </c>
      <c r="AW105" s="230">
        <f>'[8]RES 62 &amp; 67'!$S190</f>
        <v>399.1</v>
      </c>
      <c r="AX105" s="200">
        <f t="shared" si="159"/>
        <v>336.7</v>
      </c>
      <c r="AY105" s="203">
        <f t="shared" si="148"/>
        <v>-62.400000000000034</v>
      </c>
      <c r="AZ105" s="230">
        <f>'[8]RES 62 &amp; 67'!$J190</f>
        <v>0</v>
      </c>
      <c r="BA105" s="183">
        <f t="shared" si="160"/>
        <v>2.1</v>
      </c>
      <c r="BB105" s="429">
        <f t="shared" si="149"/>
        <v>2.1</v>
      </c>
      <c r="BC105" s="206">
        <f t="shared" si="150"/>
        <v>-134.78400000000008</v>
      </c>
      <c r="BD105" s="206">
        <f t="shared" si="151"/>
        <v>0</v>
      </c>
      <c r="BE105" s="206">
        <f t="shared" si="152"/>
        <v>-134.78400000000008</v>
      </c>
      <c r="BF105" s="207">
        <f t="shared" si="153"/>
        <v>5.6909999999999998</v>
      </c>
      <c r="BG105" s="219">
        <f t="shared" si="154"/>
        <v>-129.1</v>
      </c>
      <c r="BH105" s="4">
        <f t="shared" si="135"/>
        <v>1991</v>
      </c>
      <c r="BI105" s="4">
        <f t="shared" si="136"/>
        <v>5</v>
      </c>
    </row>
    <row r="106" spans="1:72">
      <c r="A106" s="13">
        <v>1991</v>
      </c>
      <c r="B106" s="13">
        <v>6</v>
      </c>
      <c r="C106" s="5">
        <v>1162102</v>
      </c>
      <c r="D106" s="73">
        <v>1016304</v>
      </c>
      <c r="E106" s="4">
        <f t="shared" si="137"/>
        <v>1162102</v>
      </c>
      <c r="F106" s="4">
        <f t="shared" si="138"/>
        <v>1016304</v>
      </c>
      <c r="G106" s="79">
        <f t="shared" si="139"/>
        <v>1143.5</v>
      </c>
      <c r="H106" s="13"/>
      <c r="I106" s="13"/>
      <c r="J106" s="230">
        <f>'[7]RES 62 &amp; 67'!$S191</f>
        <v>401.3</v>
      </c>
      <c r="K106" s="183">
        <f t="shared" si="155"/>
        <v>382.8</v>
      </c>
      <c r="L106" s="233">
        <f t="shared" si="161"/>
        <v>-18.5</v>
      </c>
      <c r="M106" s="230">
        <f>'[7]RES 62 &amp; 67'!$J191</f>
        <v>0</v>
      </c>
      <c r="N106" s="183">
        <f t="shared" si="156"/>
        <v>0.9</v>
      </c>
      <c r="O106" s="236">
        <f t="shared" si="162"/>
        <v>0.9</v>
      </c>
      <c r="P106" s="206">
        <f t="shared" si="140"/>
        <v>-39.96</v>
      </c>
      <c r="Q106" s="208">
        <f t="shared" si="141"/>
        <v>0</v>
      </c>
      <c r="R106" s="467">
        <f t="shared" si="142"/>
        <v>-39.96</v>
      </c>
      <c r="S106" s="470">
        <f t="shared" si="143"/>
        <v>2.4390000000000001</v>
      </c>
      <c r="T106" s="425">
        <f t="shared" si="144"/>
        <v>-37.5</v>
      </c>
      <c r="U106" s="515">
        <f t="shared" si="145"/>
        <v>1016304</v>
      </c>
      <c r="V106" s="447">
        <v>33390</v>
      </c>
      <c r="W106" s="191">
        <f t="shared" si="130"/>
        <v>1106</v>
      </c>
      <c r="X106" s="73">
        <f t="shared" si="131"/>
        <v>1124032</v>
      </c>
      <c r="Y106" s="186">
        <v>0</v>
      </c>
      <c r="Z106" s="175">
        <f t="shared" si="146"/>
        <v>1124032</v>
      </c>
      <c r="AA106" s="40">
        <f t="shared" si="132"/>
        <v>-38070</v>
      </c>
      <c r="AB106" s="379">
        <f t="shared" si="147"/>
        <v>1124032</v>
      </c>
      <c r="AC106" s="81">
        <f>'[7]Gov 65 &amp; 70'!$B191</f>
        <v>30.8</v>
      </c>
      <c r="AD106" s="4">
        <f t="shared" si="133"/>
        <v>1110164</v>
      </c>
      <c r="AE106" s="4">
        <f t="shared" si="157"/>
        <v>32122</v>
      </c>
      <c r="AF106" s="23">
        <f t="shared" si="134"/>
        <v>1092.4000000000001</v>
      </c>
      <c r="AG106" s="75">
        <f t="shared" si="158"/>
        <v>8.5</v>
      </c>
      <c r="AI106" s="13" t="s">
        <v>194</v>
      </c>
      <c r="AU106" s="4">
        <v>1991</v>
      </c>
      <c r="AV106" s="4">
        <v>6</v>
      </c>
      <c r="AW106" s="230">
        <f>'[8]RES 62 &amp; 67'!$S191</f>
        <v>429.6</v>
      </c>
      <c r="AX106" s="200">
        <f t="shared" si="159"/>
        <v>425.2</v>
      </c>
      <c r="AY106" s="203">
        <f t="shared" si="148"/>
        <v>-4.4000000000000341</v>
      </c>
      <c r="AZ106" s="230">
        <f>'[8]RES 62 &amp; 67'!$J191</f>
        <v>0</v>
      </c>
      <c r="BA106" s="183">
        <f t="shared" si="160"/>
        <v>0</v>
      </c>
      <c r="BB106" s="429">
        <f t="shared" si="149"/>
        <v>0</v>
      </c>
      <c r="BC106" s="206">
        <f t="shared" si="150"/>
        <v>-9.5040000000000742</v>
      </c>
      <c r="BD106" s="206">
        <f t="shared" si="151"/>
        <v>0</v>
      </c>
      <c r="BE106" s="206">
        <f t="shared" si="152"/>
        <v>-9.5040000000000742</v>
      </c>
      <c r="BF106" s="207">
        <f t="shared" si="153"/>
        <v>0</v>
      </c>
      <c r="BG106" s="219">
        <f t="shared" si="154"/>
        <v>-9.5</v>
      </c>
      <c r="BH106" s="4">
        <f t="shared" si="135"/>
        <v>1991</v>
      </c>
      <c r="BI106" s="4">
        <f t="shared" si="136"/>
        <v>6</v>
      </c>
    </row>
    <row r="107" spans="1:72">
      <c r="A107" s="13">
        <v>1991</v>
      </c>
      <c r="B107" s="13">
        <v>7</v>
      </c>
      <c r="C107" s="5">
        <v>1289704</v>
      </c>
      <c r="D107" s="73">
        <v>1016233</v>
      </c>
      <c r="E107" s="4">
        <f t="shared" si="137"/>
        <v>1289704</v>
      </c>
      <c r="F107" s="4">
        <f t="shared" si="138"/>
        <v>1016233</v>
      </c>
      <c r="G107" s="79">
        <f t="shared" si="139"/>
        <v>1269.0999999999999</v>
      </c>
      <c r="H107" s="13"/>
      <c r="I107" s="13"/>
      <c r="J107" s="230">
        <f>'[7]RES 62 &amp; 67'!$S192</f>
        <v>468.6</v>
      </c>
      <c r="K107" s="183">
        <f t="shared" si="155"/>
        <v>454.9</v>
      </c>
      <c r="L107" s="233">
        <f t="shared" si="161"/>
        <v>-13.700000000000045</v>
      </c>
      <c r="M107" s="230">
        <f>'[7]RES 62 &amp; 67'!$J192</f>
        <v>0</v>
      </c>
      <c r="N107" s="183">
        <f t="shared" si="156"/>
        <v>0</v>
      </c>
      <c r="O107" s="236">
        <f t="shared" si="162"/>
        <v>0</v>
      </c>
      <c r="P107" s="206">
        <f t="shared" si="140"/>
        <v>-29.592000000000102</v>
      </c>
      <c r="Q107" s="208">
        <f t="shared" si="141"/>
        <v>0</v>
      </c>
      <c r="R107" s="467">
        <f t="shared" si="142"/>
        <v>-29.592000000000102</v>
      </c>
      <c r="S107" s="470">
        <f t="shared" si="143"/>
        <v>0</v>
      </c>
      <c r="T107" s="425">
        <f t="shared" si="144"/>
        <v>-29.6</v>
      </c>
      <c r="U107" s="515">
        <f t="shared" si="145"/>
        <v>1016233</v>
      </c>
      <c r="V107" s="447">
        <v>33420</v>
      </c>
      <c r="W107" s="191">
        <f t="shared" si="130"/>
        <v>1239.5</v>
      </c>
      <c r="X107" s="73">
        <f t="shared" si="131"/>
        <v>1259621</v>
      </c>
      <c r="Y107" s="186">
        <v>0</v>
      </c>
      <c r="Z107" s="175">
        <f t="shared" si="146"/>
        <v>1259621</v>
      </c>
      <c r="AA107" s="40">
        <f t="shared" si="132"/>
        <v>-30083</v>
      </c>
      <c r="AB107" s="379">
        <f t="shared" si="147"/>
        <v>1259621</v>
      </c>
      <c r="AC107" s="81">
        <f>'[7]Gov 65 &amp; 70'!$B192</f>
        <v>30.45</v>
      </c>
      <c r="AD107" s="4">
        <f t="shared" si="133"/>
        <v>1258380</v>
      </c>
      <c r="AE107" s="4">
        <f t="shared" si="157"/>
        <v>-17807</v>
      </c>
      <c r="AF107" s="23">
        <f t="shared" si="134"/>
        <v>1238.3</v>
      </c>
      <c r="AG107" s="75">
        <f t="shared" si="158"/>
        <v>-43.700000000000045</v>
      </c>
      <c r="AI107" s="13" t="s">
        <v>194</v>
      </c>
      <c r="AU107" s="4">
        <v>1991</v>
      </c>
      <c r="AV107" s="4">
        <v>7</v>
      </c>
      <c r="AW107" s="230">
        <f>'[8]RES 62 &amp; 67'!$S192</f>
        <v>486.5</v>
      </c>
      <c r="AX107" s="200">
        <f t="shared" si="159"/>
        <v>484.1</v>
      </c>
      <c r="AY107" s="203">
        <f t="shared" si="148"/>
        <v>-2.3999999999999773</v>
      </c>
      <c r="AZ107" s="230">
        <f>'[8]RES 62 &amp; 67'!$J192</f>
        <v>0</v>
      </c>
      <c r="BA107" s="183">
        <f t="shared" si="160"/>
        <v>0</v>
      </c>
      <c r="BB107" s="429">
        <f t="shared" si="149"/>
        <v>0</v>
      </c>
      <c r="BC107" s="206">
        <f t="shared" si="150"/>
        <v>-5.1839999999999513</v>
      </c>
      <c r="BD107" s="206">
        <f t="shared" si="151"/>
        <v>0</v>
      </c>
      <c r="BE107" s="206">
        <f t="shared" si="152"/>
        <v>-5.1839999999999513</v>
      </c>
      <c r="BF107" s="207">
        <f t="shared" si="153"/>
        <v>0</v>
      </c>
      <c r="BG107" s="219">
        <f t="shared" si="154"/>
        <v>-5.2</v>
      </c>
      <c r="BH107" s="4">
        <f t="shared" si="135"/>
        <v>1991</v>
      </c>
      <c r="BI107" s="4">
        <f t="shared" si="136"/>
        <v>7</v>
      </c>
    </row>
    <row r="108" spans="1:72">
      <c r="A108" s="13">
        <v>1991</v>
      </c>
      <c r="B108" s="13">
        <v>8</v>
      </c>
      <c r="C108" s="5">
        <v>1374101</v>
      </c>
      <c r="D108" s="73">
        <v>1016975</v>
      </c>
      <c r="E108" s="4">
        <f t="shared" si="137"/>
        <v>1374101</v>
      </c>
      <c r="F108" s="4">
        <f t="shared" si="138"/>
        <v>1016975</v>
      </c>
      <c r="G108" s="79">
        <f t="shared" si="139"/>
        <v>1351.2</v>
      </c>
      <c r="H108" s="13"/>
      <c r="I108" s="13"/>
      <c r="J108" s="230">
        <f>'[7]RES 62 &amp; 67'!$S193</f>
        <v>498.8</v>
      </c>
      <c r="K108" s="183">
        <f t="shared" si="155"/>
        <v>481.4</v>
      </c>
      <c r="L108" s="233">
        <f t="shared" si="161"/>
        <v>-17.400000000000034</v>
      </c>
      <c r="M108" s="230">
        <f>'[7]RES 62 &amp; 67'!$J193</f>
        <v>0</v>
      </c>
      <c r="N108" s="183">
        <f t="shared" si="156"/>
        <v>0</v>
      </c>
      <c r="O108" s="236">
        <f t="shared" si="162"/>
        <v>0</v>
      </c>
      <c r="P108" s="206">
        <f t="shared" si="140"/>
        <v>-37.584000000000074</v>
      </c>
      <c r="Q108" s="208">
        <f t="shared" si="141"/>
        <v>0</v>
      </c>
      <c r="R108" s="467">
        <f t="shared" si="142"/>
        <v>-37.584000000000074</v>
      </c>
      <c r="S108" s="470">
        <f t="shared" si="143"/>
        <v>0</v>
      </c>
      <c r="T108" s="425">
        <f t="shared" si="144"/>
        <v>-37.6</v>
      </c>
      <c r="U108" s="515">
        <f t="shared" si="145"/>
        <v>1016975</v>
      </c>
      <c r="V108" s="447">
        <v>33451</v>
      </c>
      <c r="W108" s="191">
        <f t="shared" si="130"/>
        <v>1313.6000000000001</v>
      </c>
      <c r="X108" s="73">
        <f t="shared" si="131"/>
        <v>1335898</v>
      </c>
      <c r="Y108" s="186">
        <v>0</v>
      </c>
      <c r="Z108" s="175">
        <f t="shared" si="146"/>
        <v>1335898</v>
      </c>
      <c r="AA108" s="40">
        <f t="shared" si="132"/>
        <v>-38203</v>
      </c>
      <c r="AB108" s="379">
        <f t="shared" si="147"/>
        <v>1335898</v>
      </c>
      <c r="AC108" s="81">
        <f>'[7]Gov 65 &amp; 70'!$B193</f>
        <v>31.15</v>
      </c>
      <c r="AD108" s="4">
        <f t="shared" si="133"/>
        <v>1304591</v>
      </c>
      <c r="AE108" s="4">
        <f t="shared" si="157"/>
        <v>18274</v>
      </c>
      <c r="AF108" s="23">
        <f t="shared" si="134"/>
        <v>1282.8</v>
      </c>
      <c r="AG108" s="75">
        <f t="shared" si="158"/>
        <v>-7</v>
      </c>
      <c r="AI108" s="13" t="s">
        <v>194</v>
      </c>
      <c r="AU108" s="4">
        <v>1991</v>
      </c>
      <c r="AV108" s="4">
        <v>8</v>
      </c>
      <c r="AW108" s="230">
        <f>'[8]RES 62 &amp; 67'!$S193</f>
        <v>500</v>
      </c>
      <c r="AX108" s="200">
        <f t="shared" si="159"/>
        <v>487.3</v>
      </c>
      <c r="AY108" s="203">
        <f t="shared" si="148"/>
        <v>-12.699999999999989</v>
      </c>
      <c r="AZ108" s="230">
        <f>'[8]RES 62 &amp; 67'!$J193</f>
        <v>0</v>
      </c>
      <c r="BA108" s="183">
        <f t="shared" si="160"/>
        <v>0</v>
      </c>
      <c r="BB108" s="429">
        <f t="shared" si="149"/>
        <v>0</v>
      </c>
      <c r="BC108" s="206">
        <f t="shared" si="150"/>
        <v>-27.431999999999977</v>
      </c>
      <c r="BD108" s="206">
        <f t="shared" si="151"/>
        <v>0</v>
      </c>
      <c r="BE108" s="206">
        <f t="shared" si="152"/>
        <v>-27.431999999999977</v>
      </c>
      <c r="BF108" s="207">
        <f t="shared" si="153"/>
        <v>0</v>
      </c>
      <c r="BG108" s="219">
        <f t="shared" si="154"/>
        <v>-27.4</v>
      </c>
      <c r="BH108" s="4">
        <f t="shared" si="135"/>
        <v>1991</v>
      </c>
      <c r="BI108" s="4">
        <f t="shared" si="136"/>
        <v>8</v>
      </c>
    </row>
    <row r="109" spans="1:72">
      <c r="A109" s="13">
        <v>1991</v>
      </c>
      <c r="B109" s="13">
        <v>9</v>
      </c>
      <c r="C109" s="5">
        <v>1367353</v>
      </c>
      <c r="D109" s="73">
        <v>1019352</v>
      </c>
      <c r="E109" s="4">
        <f t="shared" si="137"/>
        <v>1367353</v>
      </c>
      <c r="F109" s="4">
        <f t="shared" si="138"/>
        <v>1019352</v>
      </c>
      <c r="G109" s="79">
        <f t="shared" si="139"/>
        <v>1341.4</v>
      </c>
      <c r="H109" s="13"/>
      <c r="I109" s="13"/>
      <c r="J109" s="230">
        <f>'[7]RES 62 &amp; 67'!$S194</f>
        <v>482.4</v>
      </c>
      <c r="K109" s="183">
        <f t="shared" si="155"/>
        <v>473.7</v>
      </c>
      <c r="L109" s="233">
        <f t="shared" si="161"/>
        <v>-8.6999999999999886</v>
      </c>
      <c r="M109" s="230">
        <f>'[7]RES 62 &amp; 67'!$J194</f>
        <v>0</v>
      </c>
      <c r="N109" s="183">
        <f t="shared" si="156"/>
        <v>0</v>
      </c>
      <c r="O109" s="236">
        <f t="shared" si="162"/>
        <v>0</v>
      </c>
      <c r="P109" s="206">
        <f t="shared" si="140"/>
        <v>-18.791999999999977</v>
      </c>
      <c r="Q109" s="208">
        <f t="shared" si="141"/>
        <v>0</v>
      </c>
      <c r="R109" s="467">
        <f t="shared" si="142"/>
        <v>-18.791999999999977</v>
      </c>
      <c r="S109" s="470">
        <f t="shared" si="143"/>
        <v>0</v>
      </c>
      <c r="T109" s="425">
        <f t="shared" si="144"/>
        <v>-18.8</v>
      </c>
      <c r="U109" s="515">
        <f t="shared" si="145"/>
        <v>1019352</v>
      </c>
      <c r="V109" s="447">
        <v>33482</v>
      </c>
      <c r="W109" s="191">
        <f t="shared" si="130"/>
        <v>1322.6000000000001</v>
      </c>
      <c r="X109" s="73">
        <f t="shared" si="131"/>
        <v>1348195</v>
      </c>
      <c r="Y109" s="186">
        <v>0</v>
      </c>
      <c r="Z109" s="175">
        <f t="shared" si="146"/>
        <v>1348195</v>
      </c>
      <c r="AA109" s="40">
        <f t="shared" si="132"/>
        <v>-19158</v>
      </c>
      <c r="AB109" s="379">
        <f t="shared" si="147"/>
        <v>1348195</v>
      </c>
      <c r="AC109" s="81">
        <f>'[7]Gov 65 &amp; 70'!$B194</f>
        <v>30.55</v>
      </c>
      <c r="AD109" s="4">
        <f t="shared" si="133"/>
        <v>1342458</v>
      </c>
      <c r="AE109" s="4">
        <f t="shared" si="157"/>
        <v>19472</v>
      </c>
      <c r="AF109" s="23">
        <f t="shared" si="134"/>
        <v>1317</v>
      </c>
      <c r="AG109" s="75">
        <f t="shared" si="158"/>
        <v>-6.5</v>
      </c>
      <c r="AI109" s="13" t="s">
        <v>194</v>
      </c>
      <c r="AU109" s="4">
        <v>1991</v>
      </c>
      <c r="AV109" s="4">
        <v>9</v>
      </c>
      <c r="AW109" s="230">
        <f>'[8]RES 62 &amp; 67'!$S194</f>
        <v>442.1</v>
      </c>
      <c r="AX109" s="200">
        <f t="shared" si="159"/>
        <v>428.3</v>
      </c>
      <c r="AY109" s="203">
        <f t="shared" si="148"/>
        <v>-13.800000000000011</v>
      </c>
      <c r="AZ109" s="230">
        <f>'[8]RES 62 &amp; 67'!$J194</f>
        <v>0.3</v>
      </c>
      <c r="BA109" s="183">
        <f t="shared" si="160"/>
        <v>0</v>
      </c>
      <c r="BB109" s="429">
        <f t="shared" si="149"/>
        <v>-0.3</v>
      </c>
      <c r="BC109" s="206">
        <f t="shared" si="150"/>
        <v>-29.808000000000028</v>
      </c>
      <c r="BD109" s="206">
        <f t="shared" si="151"/>
        <v>0</v>
      </c>
      <c r="BE109" s="206">
        <f t="shared" si="152"/>
        <v>-29.808000000000028</v>
      </c>
      <c r="BF109" s="207">
        <f t="shared" si="153"/>
        <v>-0.81299999999999994</v>
      </c>
      <c r="BG109" s="219">
        <f t="shared" si="154"/>
        <v>-30.6</v>
      </c>
      <c r="BH109" s="4">
        <f t="shared" si="135"/>
        <v>1991</v>
      </c>
      <c r="BI109" s="4">
        <f t="shared" si="136"/>
        <v>9</v>
      </c>
    </row>
    <row r="110" spans="1:72">
      <c r="A110" s="13">
        <v>1991</v>
      </c>
      <c r="B110" s="13">
        <v>10</v>
      </c>
      <c r="C110" s="5">
        <v>1106424</v>
      </c>
      <c r="D110" s="73">
        <v>1024933</v>
      </c>
      <c r="E110" s="4">
        <f t="shared" si="137"/>
        <v>1106424</v>
      </c>
      <c r="F110" s="4">
        <f t="shared" si="138"/>
        <v>1024933</v>
      </c>
      <c r="G110" s="79">
        <f t="shared" si="139"/>
        <v>1079.5</v>
      </c>
      <c r="H110" s="13"/>
      <c r="I110" s="13"/>
      <c r="J110" s="230">
        <f>'[7]RES 62 &amp; 67'!$S195</f>
        <v>361.1</v>
      </c>
      <c r="K110" s="183">
        <f t="shared" si="155"/>
        <v>373.2</v>
      </c>
      <c r="L110" s="233">
        <f t="shared" si="161"/>
        <v>12.099999999999966</v>
      </c>
      <c r="M110" s="230">
        <f>'[7]RES 62 &amp; 67'!$J195</f>
        <v>2.4</v>
      </c>
      <c r="N110" s="183">
        <f t="shared" si="156"/>
        <v>1.3</v>
      </c>
      <c r="O110" s="236">
        <f t="shared" si="162"/>
        <v>-1.0999999999999999</v>
      </c>
      <c r="P110" s="206">
        <f t="shared" si="140"/>
        <v>26.135999999999928</v>
      </c>
      <c r="Q110" s="208">
        <f t="shared" si="141"/>
        <v>0</v>
      </c>
      <c r="R110" s="467">
        <f t="shared" si="142"/>
        <v>26.135999999999928</v>
      </c>
      <c r="S110" s="470">
        <f t="shared" si="143"/>
        <v>-2.9809999999999994</v>
      </c>
      <c r="T110" s="425">
        <f t="shared" si="144"/>
        <v>23.2</v>
      </c>
      <c r="U110" s="515">
        <f t="shared" si="145"/>
        <v>1024933</v>
      </c>
      <c r="V110" s="447">
        <v>33512</v>
      </c>
      <c r="W110" s="191">
        <f t="shared" si="130"/>
        <v>1102.7</v>
      </c>
      <c r="X110" s="73">
        <f t="shared" si="131"/>
        <v>1130194</v>
      </c>
      <c r="Y110" s="186">
        <v>0</v>
      </c>
      <c r="Z110" s="175">
        <f t="shared" si="146"/>
        <v>1130194</v>
      </c>
      <c r="AA110" s="40">
        <f t="shared" si="132"/>
        <v>23770</v>
      </c>
      <c r="AB110" s="379">
        <f t="shared" si="147"/>
        <v>1130194</v>
      </c>
      <c r="AC110" s="81">
        <f>'[7]Gov 65 &amp; 70'!$B195</f>
        <v>29.65</v>
      </c>
      <c r="AD110" s="4">
        <f t="shared" si="133"/>
        <v>1159545</v>
      </c>
      <c r="AE110" s="4">
        <f t="shared" si="157"/>
        <v>22123</v>
      </c>
      <c r="AF110" s="23">
        <f t="shared" si="134"/>
        <v>1131.3</v>
      </c>
      <c r="AG110" s="75">
        <f t="shared" ref="AG110:AG125" si="163">AF110-AF98</f>
        <v>-0.10000000000013642</v>
      </c>
      <c r="AI110" s="13" t="s">
        <v>194</v>
      </c>
      <c r="AU110" s="4">
        <v>1991</v>
      </c>
      <c r="AV110" s="4">
        <v>10</v>
      </c>
      <c r="AW110" s="230">
        <f>'[8]RES 62 &amp; 67'!$S195</f>
        <v>264</v>
      </c>
      <c r="AX110" s="200">
        <f t="shared" si="159"/>
        <v>277.60000000000002</v>
      </c>
      <c r="AY110" s="203">
        <f t="shared" si="148"/>
        <v>13.600000000000023</v>
      </c>
      <c r="AZ110" s="230">
        <f>'[8]RES 62 &amp; 67'!$J195</f>
        <v>7.3</v>
      </c>
      <c r="BA110" s="183">
        <f t="shared" si="160"/>
        <v>8.5</v>
      </c>
      <c r="BB110" s="429">
        <f t="shared" si="149"/>
        <v>1.2000000000000002</v>
      </c>
      <c r="BC110" s="206">
        <f t="shared" si="150"/>
        <v>29.376000000000051</v>
      </c>
      <c r="BD110" s="206">
        <f t="shared" si="151"/>
        <v>0</v>
      </c>
      <c r="BE110" s="206">
        <f t="shared" si="152"/>
        <v>29.376000000000051</v>
      </c>
      <c r="BF110" s="207">
        <f t="shared" si="153"/>
        <v>3.2520000000000002</v>
      </c>
      <c r="BG110" s="219">
        <f t="shared" si="154"/>
        <v>32.6</v>
      </c>
      <c r="BH110" s="4">
        <f t="shared" si="135"/>
        <v>1991</v>
      </c>
      <c r="BI110" s="4">
        <f t="shared" si="136"/>
        <v>10</v>
      </c>
    </row>
    <row r="111" spans="1:72">
      <c r="A111" s="13">
        <v>1991</v>
      </c>
      <c r="B111" s="13">
        <v>11</v>
      </c>
      <c r="C111" s="5">
        <v>863863</v>
      </c>
      <c r="D111" s="73">
        <v>1038014</v>
      </c>
      <c r="E111" s="4">
        <f t="shared" si="137"/>
        <v>863863</v>
      </c>
      <c r="F111" s="4">
        <f t="shared" si="138"/>
        <v>1038014</v>
      </c>
      <c r="G111" s="79">
        <f t="shared" si="139"/>
        <v>832.2</v>
      </c>
      <c r="H111" s="13"/>
      <c r="I111" s="13"/>
      <c r="J111" s="230">
        <f>'[7]RES 62 &amp; 67'!$S196</f>
        <v>188.3</v>
      </c>
      <c r="K111" s="183">
        <f t="shared" si="155"/>
        <v>204.3</v>
      </c>
      <c r="L111" s="233">
        <f t="shared" si="161"/>
        <v>16</v>
      </c>
      <c r="M111" s="230">
        <f>'[7]RES 62 &amp; 67'!$J196</f>
        <v>36.700000000000003</v>
      </c>
      <c r="N111" s="183">
        <f t="shared" si="156"/>
        <v>24.1</v>
      </c>
      <c r="O111" s="236">
        <f t="shared" si="162"/>
        <v>-12.600000000000001</v>
      </c>
      <c r="P111" s="206">
        <f t="shared" si="140"/>
        <v>34.56</v>
      </c>
      <c r="Q111" s="208">
        <f t="shared" si="141"/>
        <v>0</v>
      </c>
      <c r="R111" s="467">
        <f t="shared" si="142"/>
        <v>34.56</v>
      </c>
      <c r="S111" s="470">
        <f t="shared" si="143"/>
        <v>-34.146000000000001</v>
      </c>
      <c r="T111" s="425">
        <f t="shared" si="144"/>
        <v>0.4</v>
      </c>
      <c r="U111" s="515">
        <f t="shared" si="145"/>
        <v>1038014</v>
      </c>
      <c r="V111" s="447">
        <v>33543</v>
      </c>
      <c r="W111" s="191">
        <f t="shared" si="130"/>
        <v>832.6</v>
      </c>
      <c r="X111" s="73">
        <f t="shared" si="131"/>
        <v>864250</v>
      </c>
      <c r="Y111" s="186">
        <v>0</v>
      </c>
      <c r="Z111" s="175">
        <f t="shared" si="146"/>
        <v>864250</v>
      </c>
      <c r="AA111" s="40">
        <f t="shared" si="132"/>
        <v>387</v>
      </c>
      <c r="AB111" s="379">
        <f t="shared" si="147"/>
        <v>864250</v>
      </c>
      <c r="AC111" s="81">
        <f>'[7]Gov 65 &amp; 70'!$B196</f>
        <v>30.1</v>
      </c>
      <c r="AD111" s="4">
        <f t="shared" si="133"/>
        <v>873438</v>
      </c>
      <c r="AE111" s="4">
        <f t="shared" si="157"/>
        <v>-494</v>
      </c>
      <c r="AF111" s="23">
        <f t="shared" si="134"/>
        <v>841.5</v>
      </c>
      <c r="AG111" s="75">
        <f t="shared" si="163"/>
        <v>-16.200000000000045</v>
      </c>
      <c r="AI111" s="13" t="s">
        <v>194</v>
      </c>
      <c r="AU111" s="4">
        <v>1991</v>
      </c>
      <c r="AV111" s="4">
        <v>11</v>
      </c>
      <c r="AW111" s="230">
        <f>'[8]RES 62 &amp; 67'!$S196</f>
        <v>92.3</v>
      </c>
      <c r="AX111" s="200">
        <f t="shared" si="159"/>
        <v>110.2</v>
      </c>
      <c r="AY111" s="203">
        <f t="shared" si="148"/>
        <v>17.900000000000006</v>
      </c>
      <c r="AZ111" s="230">
        <f>'[8]RES 62 &amp; 67'!$J196</f>
        <v>86</v>
      </c>
      <c r="BA111" s="183">
        <f t="shared" si="160"/>
        <v>45.3</v>
      </c>
      <c r="BB111" s="429">
        <f t="shared" si="149"/>
        <v>-40.700000000000003</v>
      </c>
      <c r="BC111" s="206">
        <f t="shared" si="150"/>
        <v>38.664000000000016</v>
      </c>
      <c r="BD111" s="206">
        <f t="shared" si="151"/>
        <v>-5.459500000000002</v>
      </c>
      <c r="BE111" s="206">
        <f t="shared" si="152"/>
        <v>33.20450000000001</v>
      </c>
      <c r="BF111" s="207">
        <f t="shared" si="153"/>
        <v>-110.29700000000001</v>
      </c>
      <c r="BG111" s="219">
        <f t="shared" si="154"/>
        <v>-77.099999999999994</v>
      </c>
      <c r="BH111" s="4">
        <f t="shared" si="135"/>
        <v>1991</v>
      </c>
      <c r="BI111" s="4">
        <f t="shared" si="136"/>
        <v>11</v>
      </c>
    </row>
    <row r="112" spans="1:72" s="89" customFormat="1" ht="12.75">
      <c r="A112" s="90">
        <v>1991</v>
      </c>
      <c r="B112" s="90">
        <v>12</v>
      </c>
      <c r="C112" s="103">
        <v>945882</v>
      </c>
      <c r="D112" s="104">
        <v>1049020</v>
      </c>
      <c r="E112" s="89">
        <f t="shared" si="137"/>
        <v>945882</v>
      </c>
      <c r="F112" s="89">
        <f t="shared" si="138"/>
        <v>1049020</v>
      </c>
      <c r="G112" s="301">
        <f t="shared" si="139"/>
        <v>901.7</v>
      </c>
      <c r="H112" s="90"/>
      <c r="I112" s="90"/>
      <c r="J112" s="300">
        <f>'[7]RES 62 &amp; 67'!$S197</f>
        <v>112.7</v>
      </c>
      <c r="K112" s="210">
        <f t="shared" si="155"/>
        <v>88</v>
      </c>
      <c r="L112" s="234">
        <f t="shared" si="161"/>
        <v>-24.700000000000003</v>
      </c>
      <c r="M112" s="300">
        <f>'[7]RES 62 &amp; 67'!$J197</f>
        <v>83.8</v>
      </c>
      <c r="N112" s="210">
        <f t="shared" si="156"/>
        <v>83.9</v>
      </c>
      <c r="O112" s="237">
        <f t="shared" si="162"/>
        <v>0.10000000000000853</v>
      </c>
      <c r="P112" s="211">
        <f t="shared" si="140"/>
        <v>-53.352000000000011</v>
      </c>
      <c r="Q112" s="211">
        <f t="shared" si="141"/>
        <v>15.067000000000002</v>
      </c>
      <c r="R112" s="468">
        <f t="shared" si="142"/>
        <v>-38.285000000000011</v>
      </c>
      <c r="S112" s="471">
        <f t="shared" si="143"/>
        <v>0.27100000000002311</v>
      </c>
      <c r="T112" s="426">
        <f t="shared" si="144"/>
        <v>-38</v>
      </c>
      <c r="U112" s="515">
        <f t="shared" si="145"/>
        <v>1049020</v>
      </c>
      <c r="V112" s="447">
        <v>33573</v>
      </c>
      <c r="W112" s="95">
        <f t="shared" si="130"/>
        <v>863.7</v>
      </c>
      <c r="X112" s="104">
        <f t="shared" si="131"/>
        <v>906039</v>
      </c>
      <c r="Y112" s="302">
        <v>0</v>
      </c>
      <c r="Z112" s="176">
        <f t="shared" si="146"/>
        <v>906039</v>
      </c>
      <c r="AA112" s="116">
        <f t="shared" si="132"/>
        <v>-39843</v>
      </c>
      <c r="AB112" s="517">
        <f t="shared" si="147"/>
        <v>906039</v>
      </c>
      <c r="AC112" s="88">
        <f>'[7]Gov 65 &amp; 70'!$B197</f>
        <v>31.65</v>
      </c>
      <c r="AD112" s="89">
        <f t="shared" si="133"/>
        <v>870828</v>
      </c>
      <c r="AE112" s="89">
        <f t="shared" si="157"/>
        <v>30298</v>
      </c>
      <c r="AF112" s="89">
        <f t="shared" si="134"/>
        <v>830.1</v>
      </c>
      <c r="AG112" s="91">
        <f t="shared" si="163"/>
        <v>13.399999999999977</v>
      </c>
      <c r="AH112" s="252"/>
      <c r="AI112" s="90" t="s">
        <v>194</v>
      </c>
      <c r="AU112" s="89">
        <v>1991</v>
      </c>
      <c r="AV112" s="89">
        <v>12</v>
      </c>
      <c r="AW112" s="300">
        <f>'[8]RES 62 &amp; 67'!$S197</f>
        <v>82.6</v>
      </c>
      <c r="AX112" s="210">
        <f t="shared" si="159"/>
        <v>53.2</v>
      </c>
      <c r="AY112" s="204">
        <f t="shared" si="148"/>
        <v>-29.399999999999991</v>
      </c>
      <c r="AZ112" s="300">
        <f>'[8]RES 62 &amp; 67'!$J197</f>
        <v>83.7</v>
      </c>
      <c r="BA112" s="210">
        <f t="shared" si="160"/>
        <v>114.1</v>
      </c>
      <c r="BB112" s="430">
        <f t="shared" si="149"/>
        <v>30.399999999999991</v>
      </c>
      <c r="BC112" s="211">
        <f t="shared" si="150"/>
        <v>-63.503999999999984</v>
      </c>
      <c r="BD112" s="211">
        <f t="shared" si="151"/>
        <v>17.933999999999994</v>
      </c>
      <c r="BE112" s="211">
        <f t="shared" si="152"/>
        <v>-45.569999999999993</v>
      </c>
      <c r="BF112" s="212">
        <f t="shared" si="153"/>
        <v>82.383999999999972</v>
      </c>
      <c r="BG112" s="220">
        <f t="shared" si="154"/>
        <v>36.799999999999997</v>
      </c>
      <c r="BH112" s="89">
        <f t="shared" si="135"/>
        <v>1991</v>
      </c>
      <c r="BI112" s="89">
        <f t="shared" si="136"/>
        <v>12</v>
      </c>
      <c r="BN112" s="96"/>
      <c r="BO112" s="96"/>
      <c r="BT112" s="96"/>
    </row>
    <row r="113" spans="1:72">
      <c r="A113" s="13">
        <v>1992</v>
      </c>
      <c r="B113" s="13">
        <v>1</v>
      </c>
      <c r="C113" s="5">
        <v>1053842</v>
      </c>
      <c r="D113" s="73">
        <v>1056524</v>
      </c>
      <c r="E113" s="4">
        <f t="shared" si="137"/>
        <v>1053842</v>
      </c>
      <c r="F113" s="4">
        <f t="shared" si="138"/>
        <v>1056524</v>
      </c>
      <c r="G113" s="79">
        <f t="shared" si="139"/>
        <v>997.5</v>
      </c>
      <c r="H113" s="13"/>
      <c r="I113" s="13"/>
      <c r="J113" s="230">
        <f>'[7]RES 62 &amp; 67'!$S198</f>
        <v>47.6</v>
      </c>
      <c r="K113" s="183">
        <f t="shared" si="155"/>
        <v>49.5</v>
      </c>
      <c r="L113" s="233">
        <f t="shared" ref="L113:L128" si="164">(K113-J113)</f>
        <v>1.8999999999999986</v>
      </c>
      <c r="M113" s="230">
        <f>'[7]RES 62 &amp; 67'!$J198</f>
        <v>119.2</v>
      </c>
      <c r="N113" s="183">
        <f t="shared" si="156"/>
        <v>131.6</v>
      </c>
      <c r="O113" s="236">
        <f t="shared" ref="O113:O128" si="165">(N113-M113)</f>
        <v>12.399999999999991</v>
      </c>
      <c r="P113" s="206">
        <f t="shared" si="140"/>
        <v>4.1039999999999974</v>
      </c>
      <c r="Q113" s="208">
        <f t="shared" si="141"/>
        <v>-1.1589999999999991</v>
      </c>
      <c r="R113" s="467">
        <f t="shared" si="142"/>
        <v>2.9449999999999985</v>
      </c>
      <c r="S113" s="470">
        <f t="shared" si="143"/>
        <v>33.603999999999978</v>
      </c>
      <c r="T113" s="425">
        <f t="shared" si="144"/>
        <v>36.5</v>
      </c>
      <c r="U113" s="515">
        <f t="shared" si="145"/>
        <v>1056524</v>
      </c>
      <c r="V113" s="447">
        <v>33604</v>
      </c>
      <c r="W113" s="191">
        <f t="shared" si="130"/>
        <v>1034</v>
      </c>
      <c r="X113" s="73">
        <f t="shared" si="131"/>
        <v>1092446</v>
      </c>
      <c r="Y113" s="186">
        <v>0</v>
      </c>
      <c r="Z113" s="175">
        <f t="shared" si="146"/>
        <v>1092446</v>
      </c>
      <c r="AA113" s="40">
        <f t="shared" si="132"/>
        <v>38604</v>
      </c>
      <c r="AB113" s="379">
        <f t="shared" si="147"/>
        <v>1092446</v>
      </c>
      <c r="AC113" s="81">
        <f>'[7]Gov 65 &amp; 70'!$B198</f>
        <v>31.95</v>
      </c>
      <c r="AD113" s="4">
        <f t="shared" si="133"/>
        <v>1040132</v>
      </c>
      <c r="AE113" s="4">
        <f t="shared" si="157"/>
        <v>85481</v>
      </c>
      <c r="AF113" s="23">
        <f t="shared" si="134"/>
        <v>984.5</v>
      </c>
      <c r="AG113" s="75">
        <f t="shared" si="163"/>
        <v>63.600000000000023</v>
      </c>
      <c r="AI113" s="13" t="s">
        <v>194</v>
      </c>
      <c r="AU113" s="4">
        <v>1992</v>
      </c>
      <c r="AV113" s="4">
        <v>1</v>
      </c>
      <c r="AW113" s="230">
        <f>'[8]RES 62 &amp; 67'!$S198</f>
        <v>23.6</v>
      </c>
      <c r="AX113" s="200">
        <f t="shared" si="159"/>
        <v>50.5</v>
      </c>
      <c r="AY113" s="203">
        <f t="shared" si="148"/>
        <v>26.9</v>
      </c>
      <c r="AZ113" s="230">
        <f>'[8]RES 62 &amp; 67'!$J198</f>
        <v>166.1</v>
      </c>
      <c r="BA113" s="183">
        <f t="shared" si="160"/>
        <v>127.9</v>
      </c>
      <c r="BB113" s="429">
        <f t="shared" si="149"/>
        <v>-38.199999999999989</v>
      </c>
      <c r="BC113" s="206">
        <f t="shared" si="150"/>
        <v>58.103999999999999</v>
      </c>
      <c r="BD113" s="206">
        <f t="shared" si="151"/>
        <v>-16.408999999999999</v>
      </c>
      <c r="BE113" s="206">
        <f t="shared" si="152"/>
        <v>41.695</v>
      </c>
      <c r="BF113" s="207">
        <f t="shared" si="153"/>
        <v>-103.52199999999996</v>
      </c>
      <c r="BG113" s="219">
        <f t="shared" si="154"/>
        <v>-61.8</v>
      </c>
      <c r="BH113" s="4">
        <f t="shared" ref="BH113:BH144" si="166">AU113</f>
        <v>1992</v>
      </c>
      <c r="BI113" s="4">
        <f t="shared" ref="BI113:BI144" si="167">AV113</f>
        <v>1</v>
      </c>
      <c r="BT113" s="175"/>
    </row>
    <row r="114" spans="1:72">
      <c r="A114" s="13">
        <v>1992</v>
      </c>
      <c r="B114" s="13">
        <v>2</v>
      </c>
      <c r="C114" s="5">
        <v>1074810</v>
      </c>
      <c r="D114" s="73">
        <v>1060809</v>
      </c>
      <c r="E114" s="4">
        <f t="shared" si="137"/>
        <v>1074810</v>
      </c>
      <c r="F114" s="4">
        <f t="shared" si="138"/>
        <v>1060809</v>
      </c>
      <c r="G114" s="79">
        <f t="shared" si="139"/>
        <v>1013.2</v>
      </c>
      <c r="H114" s="13"/>
      <c r="I114" s="13"/>
      <c r="J114" s="230">
        <f>'[7]RES 62 &amp; 67'!$S199</f>
        <v>27.6</v>
      </c>
      <c r="K114" s="183">
        <f t="shared" si="155"/>
        <v>43.3</v>
      </c>
      <c r="L114" s="233">
        <f t="shared" si="164"/>
        <v>15.699999999999996</v>
      </c>
      <c r="M114" s="230">
        <f>'[7]RES 62 &amp; 67'!$J199</f>
        <v>147.69999999999999</v>
      </c>
      <c r="N114" s="183">
        <f t="shared" si="156"/>
        <v>127.9</v>
      </c>
      <c r="O114" s="236">
        <f t="shared" si="165"/>
        <v>-19.799999999999983</v>
      </c>
      <c r="P114" s="206">
        <f t="shared" si="140"/>
        <v>33.911999999999992</v>
      </c>
      <c r="Q114" s="208">
        <f t="shared" si="141"/>
        <v>-9.5769999999999964</v>
      </c>
      <c r="R114" s="467">
        <f t="shared" si="142"/>
        <v>24.334999999999994</v>
      </c>
      <c r="S114" s="470">
        <f t="shared" si="143"/>
        <v>-53.657999999999952</v>
      </c>
      <c r="T114" s="425">
        <f t="shared" si="144"/>
        <v>-29.3</v>
      </c>
      <c r="U114" s="515">
        <f t="shared" si="145"/>
        <v>1060809</v>
      </c>
      <c r="V114" s="447">
        <v>33635</v>
      </c>
      <c r="W114" s="191">
        <f t="shared" si="130"/>
        <v>983.90000000000009</v>
      </c>
      <c r="X114" s="73">
        <f t="shared" si="131"/>
        <v>1043730</v>
      </c>
      <c r="Y114" s="186">
        <v>0</v>
      </c>
      <c r="Z114" s="175">
        <f t="shared" si="146"/>
        <v>1043730</v>
      </c>
      <c r="AA114" s="40">
        <f t="shared" si="132"/>
        <v>-31080</v>
      </c>
      <c r="AB114" s="379">
        <f t="shared" si="147"/>
        <v>1043730</v>
      </c>
      <c r="AC114" s="81">
        <f>'[7]Gov 65 &amp; 70'!$B199</f>
        <v>29.5</v>
      </c>
      <c r="AD114" s="4">
        <f t="shared" si="133"/>
        <v>1076280</v>
      </c>
      <c r="AE114" s="4">
        <f t="shared" si="157"/>
        <v>91551</v>
      </c>
      <c r="AF114" s="23">
        <f t="shared" si="134"/>
        <v>1014.6</v>
      </c>
      <c r="AG114" s="75">
        <f t="shared" si="163"/>
        <v>68.5</v>
      </c>
      <c r="AI114" s="13" t="s">
        <v>194</v>
      </c>
      <c r="AU114" s="4">
        <v>1992</v>
      </c>
      <c r="AV114" s="4">
        <v>2</v>
      </c>
      <c r="AW114" s="230">
        <f>'[8]RES 62 &amp; 67'!$S199</f>
        <v>55.2</v>
      </c>
      <c r="AX114" s="200">
        <f t="shared" si="159"/>
        <v>59.2</v>
      </c>
      <c r="AY114" s="203">
        <f t="shared" si="148"/>
        <v>4</v>
      </c>
      <c r="AZ114" s="230">
        <f>'[8]RES 62 &amp; 67'!$J199</f>
        <v>83.7</v>
      </c>
      <c r="BA114" s="183">
        <f t="shared" si="160"/>
        <v>97.8</v>
      </c>
      <c r="BB114" s="429">
        <f t="shared" si="149"/>
        <v>14.099999999999994</v>
      </c>
      <c r="BC114" s="206">
        <f t="shared" si="150"/>
        <v>8.64</v>
      </c>
      <c r="BD114" s="206">
        <f t="shared" si="151"/>
        <v>-2.44</v>
      </c>
      <c r="BE114" s="206">
        <f t="shared" si="152"/>
        <v>6.2000000000000011</v>
      </c>
      <c r="BF114" s="207">
        <f t="shared" si="153"/>
        <v>38.210999999999984</v>
      </c>
      <c r="BG114" s="219">
        <f t="shared" si="154"/>
        <v>44.4</v>
      </c>
      <c r="BH114" s="4">
        <f t="shared" si="166"/>
        <v>1992</v>
      </c>
      <c r="BI114" s="4">
        <f t="shared" si="167"/>
        <v>2</v>
      </c>
      <c r="BT114" s="175"/>
    </row>
    <row r="115" spans="1:72">
      <c r="A115" s="13">
        <v>1992</v>
      </c>
      <c r="B115" s="13">
        <v>3</v>
      </c>
      <c r="C115" s="5">
        <v>838152</v>
      </c>
      <c r="D115" s="73">
        <v>1062288</v>
      </c>
      <c r="E115" s="4">
        <f t="shared" si="137"/>
        <v>838152</v>
      </c>
      <c r="F115" s="4">
        <f t="shared" si="138"/>
        <v>1062288</v>
      </c>
      <c r="G115" s="79">
        <f t="shared" si="139"/>
        <v>789</v>
      </c>
      <c r="H115" s="13"/>
      <c r="I115" s="13"/>
      <c r="J115" s="230">
        <f>'[7]RES 62 &amp; 67'!$S200</f>
        <v>80.099999999999994</v>
      </c>
      <c r="K115" s="183">
        <f t="shared" si="155"/>
        <v>77.2</v>
      </c>
      <c r="L115" s="233">
        <f t="shared" si="164"/>
        <v>-2.8999999999999915</v>
      </c>
      <c r="M115" s="230">
        <f>'[7]RES 62 &amp; 67'!$J200</f>
        <v>62.2</v>
      </c>
      <c r="N115" s="183">
        <f t="shared" si="156"/>
        <v>82.3</v>
      </c>
      <c r="O115" s="236">
        <f t="shared" si="165"/>
        <v>20.099999999999994</v>
      </c>
      <c r="P115" s="206">
        <f t="shared" si="140"/>
        <v>-6.2639999999999816</v>
      </c>
      <c r="Q115" s="208">
        <f t="shared" si="141"/>
        <v>1.7689999999999948</v>
      </c>
      <c r="R115" s="467">
        <f t="shared" si="142"/>
        <v>-4.4949999999999868</v>
      </c>
      <c r="S115" s="470">
        <f t="shared" si="143"/>
        <v>54.470999999999982</v>
      </c>
      <c r="T115" s="425">
        <f t="shared" si="144"/>
        <v>50</v>
      </c>
      <c r="U115" s="515">
        <f t="shared" si="145"/>
        <v>1062288</v>
      </c>
      <c r="V115" s="447">
        <v>33664</v>
      </c>
      <c r="W115" s="191">
        <f t="shared" si="130"/>
        <v>839</v>
      </c>
      <c r="X115" s="73">
        <f t="shared" si="131"/>
        <v>891260</v>
      </c>
      <c r="Y115" s="186">
        <v>0</v>
      </c>
      <c r="Z115" s="175">
        <f t="shared" si="146"/>
        <v>891260</v>
      </c>
      <c r="AA115" s="40">
        <f t="shared" si="132"/>
        <v>53108</v>
      </c>
      <c r="AB115" s="379">
        <f t="shared" si="147"/>
        <v>891260</v>
      </c>
      <c r="AC115" s="81">
        <f>'[7]Gov 65 &amp; 70'!$B200</f>
        <v>29.4</v>
      </c>
      <c r="AD115" s="4">
        <f t="shared" si="133"/>
        <v>922181</v>
      </c>
      <c r="AE115" s="4">
        <f t="shared" si="157"/>
        <v>8545</v>
      </c>
      <c r="AF115" s="23">
        <f t="shared" si="134"/>
        <v>868.1</v>
      </c>
      <c r="AG115" s="75">
        <f t="shared" si="163"/>
        <v>-7.6000000000000227</v>
      </c>
      <c r="AI115" s="13" t="s">
        <v>194</v>
      </c>
      <c r="AU115" s="4">
        <v>1992</v>
      </c>
      <c r="AV115" s="4">
        <v>3</v>
      </c>
      <c r="AW115" s="230">
        <f>'[8]RES 62 &amp; 67'!$S200</f>
        <v>83.5</v>
      </c>
      <c r="AX115" s="200">
        <f t="shared" si="159"/>
        <v>105.8</v>
      </c>
      <c r="AY115" s="203">
        <f t="shared" si="148"/>
        <v>22.299999999999997</v>
      </c>
      <c r="AZ115" s="230">
        <f>'[8]RES 62 &amp; 67'!$J200</f>
        <v>67.3</v>
      </c>
      <c r="BA115" s="183">
        <f t="shared" si="160"/>
        <v>49.9</v>
      </c>
      <c r="BB115" s="429">
        <f t="shared" si="149"/>
        <v>-17.399999999999999</v>
      </c>
      <c r="BC115" s="206">
        <f t="shared" si="150"/>
        <v>48.167999999999999</v>
      </c>
      <c r="BD115" s="206">
        <f t="shared" si="151"/>
        <v>-13.602999999999998</v>
      </c>
      <c r="BE115" s="206">
        <f t="shared" si="152"/>
        <v>34.564999999999998</v>
      </c>
      <c r="BF115" s="207">
        <f t="shared" si="153"/>
        <v>-47.153999999999996</v>
      </c>
      <c r="BG115" s="219">
        <f t="shared" si="154"/>
        <v>-12.6</v>
      </c>
      <c r="BH115" s="4">
        <f t="shared" si="166"/>
        <v>1992</v>
      </c>
      <c r="BI115" s="4">
        <f t="shared" si="167"/>
        <v>3</v>
      </c>
      <c r="BT115" s="175"/>
    </row>
    <row r="116" spans="1:72">
      <c r="A116" s="13">
        <v>1992</v>
      </c>
      <c r="B116" s="13">
        <v>4</v>
      </c>
      <c r="C116" s="5">
        <v>805577</v>
      </c>
      <c r="D116" s="73">
        <v>1054466</v>
      </c>
      <c r="E116" s="4">
        <f t="shared" si="137"/>
        <v>805577</v>
      </c>
      <c r="F116" s="4">
        <f t="shared" si="138"/>
        <v>1054466</v>
      </c>
      <c r="G116" s="79">
        <f t="shared" si="139"/>
        <v>764</v>
      </c>
      <c r="H116" s="13"/>
      <c r="I116" s="13"/>
      <c r="J116" s="230">
        <f>'[7]RES 62 &amp; 67'!$S201</f>
        <v>85</v>
      </c>
      <c r="K116" s="183">
        <f t="shared" si="155"/>
        <v>138.1</v>
      </c>
      <c r="L116" s="233">
        <f t="shared" si="164"/>
        <v>53.099999999999994</v>
      </c>
      <c r="M116" s="230">
        <f>'[7]RES 62 &amp; 67'!$J201</f>
        <v>55.3</v>
      </c>
      <c r="N116" s="183">
        <f t="shared" si="156"/>
        <v>37.299999999999997</v>
      </c>
      <c r="O116" s="236">
        <f t="shared" si="165"/>
        <v>-18</v>
      </c>
      <c r="P116" s="206">
        <f t="shared" si="140"/>
        <v>114.696</v>
      </c>
      <c r="Q116" s="208">
        <f t="shared" si="141"/>
        <v>-32.390999999999998</v>
      </c>
      <c r="R116" s="467">
        <f t="shared" si="142"/>
        <v>82.305000000000007</v>
      </c>
      <c r="S116" s="470">
        <f t="shared" si="143"/>
        <v>-48.78</v>
      </c>
      <c r="T116" s="425">
        <f t="shared" si="144"/>
        <v>33.5</v>
      </c>
      <c r="U116" s="515">
        <f t="shared" si="145"/>
        <v>1054466</v>
      </c>
      <c r="V116" s="447">
        <v>33695</v>
      </c>
      <c r="W116" s="191">
        <f t="shared" si="130"/>
        <v>797.5</v>
      </c>
      <c r="X116" s="73">
        <f t="shared" si="131"/>
        <v>840937</v>
      </c>
      <c r="Y116" s="186">
        <v>0</v>
      </c>
      <c r="Z116" s="175">
        <f t="shared" si="146"/>
        <v>840937</v>
      </c>
      <c r="AA116" s="40">
        <f t="shared" si="132"/>
        <v>35360</v>
      </c>
      <c r="AB116" s="379">
        <f t="shared" si="147"/>
        <v>840937</v>
      </c>
      <c r="AC116" s="81">
        <f>'[7]Gov 65 &amp; 70'!$B201</f>
        <v>29.75</v>
      </c>
      <c r="AD116" s="4">
        <f t="shared" si="133"/>
        <v>859876</v>
      </c>
      <c r="AE116" s="4">
        <f t="shared" si="157"/>
        <v>31858</v>
      </c>
      <c r="AF116" s="23">
        <f t="shared" si="134"/>
        <v>815.5</v>
      </c>
      <c r="AG116" s="75">
        <f t="shared" si="163"/>
        <v>16.399999999999977</v>
      </c>
      <c r="AI116" s="13" t="s">
        <v>194</v>
      </c>
      <c r="AU116" s="4">
        <v>1992</v>
      </c>
      <c r="AV116" s="4">
        <v>4</v>
      </c>
      <c r="AW116" s="230">
        <f>'[8]RES 62 &amp; 67'!$S201</f>
        <v>137.30000000000001</v>
      </c>
      <c r="AX116" s="200">
        <f t="shared" si="159"/>
        <v>181.7</v>
      </c>
      <c r="AY116" s="203">
        <f t="shared" si="148"/>
        <v>44.399999999999977</v>
      </c>
      <c r="AZ116" s="230">
        <f>'[8]RES 62 &amp; 67'!$J201</f>
        <v>30</v>
      </c>
      <c r="BA116" s="183">
        <f t="shared" si="160"/>
        <v>21.5</v>
      </c>
      <c r="BB116" s="429">
        <f t="shared" si="149"/>
        <v>-8.5</v>
      </c>
      <c r="BC116" s="206">
        <f t="shared" si="150"/>
        <v>95.903999999999954</v>
      </c>
      <c r="BD116" s="206">
        <f t="shared" si="151"/>
        <v>-13.541999999999993</v>
      </c>
      <c r="BE116" s="206">
        <f t="shared" si="152"/>
        <v>82.361999999999966</v>
      </c>
      <c r="BF116" s="207">
        <f t="shared" si="153"/>
        <v>-23.035</v>
      </c>
      <c r="BG116" s="219">
        <f t="shared" si="154"/>
        <v>59.3</v>
      </c>
      <c r="BH116" s="4">
        <f t="shared" si="166"/>
        <v>1992</v>
      </c>
      <c r="BI116" s="4">
        <f t="shared" si="167"/>
        <v>4</v>
      </c>
      <c r="BT116" s="175"/>
    </row>
    <row r="117" spans="1:72">
      <c r="A117" s="13">
        <v>1992</v>
      </c>
      <c r="B117" s="13">
        <v>5</v>
      </c>
      <c r="C117" s="5">
        <v>829123</v>
      </c>
      <c r="D117" s="73">
        <v>1039464</v>
      </c>
      <c r="E117" s="4">
        <f t="shared" si="137"/>
        <v>829123</v>
      </c>
      <c r="F117" s="4">
        <f t="shared" si="138"/>
        <v>1039464</v>
      </c>
      <c r="G117" s="79">
        <f t="shared" si="139"/>
        <v>797.6</v>
      </c>
      <c r="H117" s="13"/>
      <c r="I117" s="13"/>
      <c r="J117" s="230">
        <f>'[7]RES 62 &amp; 67'!$S202</f>
        <v>168.6</v>
      </c>
      <c r="K117" s="183">
        <f t="shared" si="155"/>
        <v>224.4</v>
      </c>
      <c r="L117" s="233">
        <f t="shared" si="164"/>
        <v>55.800000000000011</v>
      </c>
      <c r="M117" s="230">
        <f>'[7]RES 62 &amp; 67'!$J202</f>
        <v>22.9</v>
      </c>
      <c r="N117" s="183">
        <f t="shared" si="156"/>
        <v>11.2</v>
      </c>
      <c r="O117" s="236">
        <f t="shared" si="165"/>
        <v>-11.7</v>
      </c>
      <c r="P117" s="206">
        <f t="shared" si="140"/>
        <v>120.52800000000003</v>
      </c>
      <c r="Q117" s="208">
        <f t="shared" si="141"/>
        <v>0</v>
      </c>
      <c r="R117" s="467">
        <f t="shared" si="142"/>
        <v>120.52800000000003</v>
      </c>
      <c r="S117" s="470">
        <f t="shared" si="143"/>
        <v>-31.706999999999997</v>
      </c>
      <c r="T117" s="425">
        <f t="shared" si="144"/>
        <v>88.8</v>
      </c>
      <c r="U117" s="515">
        <f t="shared" si="145"/>
        <v>1039464</v>
      </c>
      <c r="V117" s="447">
        <v>33725</v>
      </c>
      <c r="W117" s="191">
        <f t="shared" si="130"/>
        <v>886.4</v>
      </c>
      <c r="X117" s="73">
        <f t="shared" si="131"/>
        <v>921381</v>
      </c>
      <c r="Y117" s="186">
        <v>0</v>
      </c>
      <c r="Z117" s="175">
        <f t="shared" si="146"/>
        <v>921381</v>
      </c>
      <c r="AA117" s="40">
        <f t="shared" si="132"/>
        <v>92258</v>
      </c>
      <c r="AB117" s="379">
        <f t="shared" si="147"/>
        <v>921381</v>
      </c>
      <c r="AC117" s="81">
        <f>'[7]Gov 65 &amp; 70'!$B202</f>
        <v>30.5</v>
      </c>
      <c r="AD117" s="4">
        <f t="shared" si="133"/>
        <v>918964</v>
      </c>
      <c r="AE117" s="4">
        <f t="shared" si="157"/>
        <v>87484</v>
      </c>
      <c r="AF117" s="23">
        <f t="shared" si="134"/>
        <v>884.1</v>
      </c>
      <c r="AG117" s="75">
        <f t="shared" si="163"/>
        <v>69.700000000000045</v>
      </c>
      <c r="AI117" s="13" t="s">
        <v>194</v>
      </c>
      <c r="AU117" s="4">
        <v>1992</v>
      </c>
      <c r="AV117" s="4">
        <v>5</v>
      </c>
      <c r="AW117" s="230">
        <f>'[8]RES 62 &amp; 67'!$S202</f>
        <v>256.10000000000002</v>
      </c>
      <c r="AX117" s="200">
        <f t="shared" si="159"/>
        <v>336.7</v>
      </c>
      <c r="AY117" s="203">
        <f t="shared" si="148"/>
        <v>80.599999999999966</v>
      </c>
      <c r="AZ117" s="230">
        <f>'[8]RES 62 &amp; 67'!$J202</f>
        <v>10.1</v>
      </c>
      <c r="BA117" s="183">
        <f t="shared" si="160"/>
        <v>2.1</v>
      </c>
      <c r="BB117" s="429">
        <f t="shared" si="149"/>
        <v>-8</v>
      </c>
      <c r="BC117" s="206">
        <f t="shared" si="150"/>
        <v>174.09599999999995</v>
      </c>
      <c r="BD117" s="206">
        <f t="shared" si="151"/>
        <v>0</v>
      </c>
      <c r="BE117" s="206">
        <f t="shared" si="152"/>
        <v>174.09599999999995</v>
      </c>
      <c r="BF117" s="207">
        <f t="shared" si="153"/>
        <v>-21.68</v>
      </c>
      <c r="BG117" s="219">
        <f t="shared" si="154"/>
        <v>152.4</v>
      </c>
      <c r="BH117" s="4">
        <f t="shared" si="166"/>
        <v>1992</v>
      </c>
      <c r="BI117" s="4">
        <f t="shared" si="167"/>
        <v>5</v>
      </c>
      <c r="BT117" s="175"/>
    </row>
    <row r="118" spans="1:72">
      <c r="A118" s="13">
        <v>1992</v>
      </c>
      <c r="B118" s="13">
        <v>6</v>
      </c>
      <c r="C118" s="5">
        <v>1071215</v>
      </c>
      <c r="D118" s="73">
        <v>1035661</v>
      </c>
      <c r="E118" s="4">
        <f t="shared" si="137"/>
        <v>1071215</v>
      </c>
      <c r="F118" s="4">
        <f t="shared" si="138"/>
        <v>1035661</v>
      </c>
      <c r="G118" s="79">
        <f t="shared" si="139"/>
        <v>1034.3</v>
      </c>
      <c r="H118" s="13"/>
      <c r="I118" s="13"/>
      <c r="J118" s="230">
        <f>'[7]RES 62 &amp; 67'!$S203</f>
        <v>336.2</v>
      </c>
      <c r="K118" s="183">
        <f t="shared" si="155"/>
        <v>382.8</v>
      </c>
      <c r="L118" s="233">
        <f t="shared" si="164"/>
        <v>46.600000000000023</v>
      </c>
      <c r="M118" s="230">
        <f>'[7]RES 62 &amp; 67'!$J203</f>
        <v>4.2</v>
      </c>
      <c r="N118" s="183">
        <f t="shared" si="156"/>
        <v>0.9</v>
      </c>
      <c r="O118" s="236">
        <f t="shared" si="165"/>
        <v>-3.3000000000000003</v>
      </c>
      <c r="P118" s="206">
        <f t="shared" si="140"/>
        <v>100.65600000000006</v>
      </c>
      <c r="Q118" s="208">
        <f t="shared" si="141"/>
        <v>0</v>
      </c>
      <c r="R118" s="467">
        <f t="shared" si="142"/>
        <v>100.65600000000006</v>
      </c>
      <c r="S118" s="470">
        <f t="shared" si="143"/>
        <v>-8.9430000000000014</v>
      </c>
      <c r="T118" s="425">
        <f t="shared" si="144"/>
        <v>91.7</v>
      </c>
      <c r="U118" s="515">
        <f t="shared" si="145"/>
        <v>1035661</v>
      </c>
      <c r="V118" s="447">
        <v>33756</v>
      </c>
      <c r="W118" s="191">
        <f t="shared" si="130"/>
        <v>1126</v>
      </c>
      <c r="X118" s="73">
        <f t="shared" si="131"/>
        <v>1166154</v>
      </c>
      <c r="Y118" s="186">
        <v>0</v>
      </c>
      <c r="Z118" s="175">
        <f t="shared" si="146"/>
        <v>1166154</v>
      </c>
      <c r="AA118" s="40">
        <f t="shared" si="132"/>
        <v>94939</v>
      </c>
      <c r="AB118" s="379">
        <f t="shared" si="147"/>
        <v>1166154</v>
      </c>
      <c r="AC118" s="81">
        <f>'[7]Gov 65 &amp; 70'!$B203</f>
        <v>30.75</v>
      </c>
      <c r="AD118" s="4">
        <f t="shared" si="133"/>
        <v>1153639</v>
      </c>
      <c r="AE118" s="4">
        <f t="shared" si="157"/>
        <v>43475</v>
      </c>
      <c r="AF118" s="23">
        <f t="shared" si="134"/>
        <v>1113.9000000000001</v>
      </c>
      <c r="AG118" s="75">
        <f t="shared" si="163"/>
        <v>21.5</v>
      </c>
      <c r="AI118" s="13" t="s">
        <v>194</v>
      </c>
      <c r="AU118" s="4">
        <v>1992</v>
      </c>
      <c r="AV118" s="4">
        <v>6</v>
      </c>
      <c r="AW118" s="230">
        <f>'[8]RES 62 &amp; 67'!$S203</f>
        <v>419.5</v>
      </c>
      <c r="AX118" s="200">
        <f t="shared" si="159"/>
        <v>425.2</v>
      </c>
      <c r="AY118" s="203">
        <f t="shared" si="148"/>
        <v>5.6999999999999886</v>
      </c>
      <c r="AZ118" s="230">
        <f>'[8]RES 62 &amp; 67'!$J203</f>
        <v>0</v>
      </c>
      <c r="BA118" s="183">
        <f t="shared" si="160"/>
        <v>0</v>
      </c>
      <c r="BB118" s="429">
        <f t="shared" si="149"/>
        <v>0</v>
      </c>
      <c r="BC118" s="206">
        <f t="shared" si="150"/>
        <v>12.311999999999976</v>
      </c>
      <c r="BD118" s="206">
        <f t="shared" si="151"/>
        <v>0</v>
      </c>
      <c r="BE118" s="206">
        <f t="shared" si="152"/>
        <v>12.311999999999976</v>
      </c>
      <c r="BF118" s="207">
        <f t="shared" si="153"/>
        <v>0</v>
      </c>
      <c r="BG118" s="219">
        <f t="shared" si="154"/>
        <v>12.3</v>
      </c>
      <c r="BH118" s="4">
        <f t="shared" si="166"/>
        <v>1992</v>
      </c>
      <c r="BI118" s="4">
        <f t="shared" si="167"/>
        <v>6</v>
      </c>
      <c r="BT118" s="175"/>
    </row>
    <row r="119" spans="1:72">
      <c r="A119" s="13">
        <v>1992</v>
      </c>
      <c r="B119" s="13">
        <v>7</v>
      </c>
      <c r="C119" s="5">
        <v>1399651</v>
      </c>
      <c r="D119" s="73">
        <v>1036384</v>
      </c>
      <c r="E119" s="4">
        <f t="shared" si="137"/>
        <v>1399651</v>
      </c>
      <c r="F119" s="4">
        <f t="shared" si="138"/>
        <v>1036384</v>
      </c>
      <c r="G119" s="79">
        <f t="shared" si="139"/>
        <v>1350.5</v>
      </c>
      <c r="H119" s="13"/>
      <c r="I119" s="13"/>
      <c r="J119" s="230">
        <f>'[7]RES 62 &amp; 67'!$S204</f>
        <v>469.1</v>
      </c>
      <c r="K119" s="183">
        <f t="shared" si="155"/>
        <v>454.9</v>
      </c>
      <c r="L119" s="233">
        <f t="shared" si="164"/>
        <v>-14.200000000000045</v>
      </c>
      <c r="M119" s="230">
        <f>'[7]RES 62 &amp; 67'!$J204</f>
        <v>0</v>
      </c>
      <c r="N119" s="183">
        <f t="shared" si="156"/>
        <v>0</v>
      </c>
      <c r="O119" s="236">
        <f t="shared" si="165"/>
        <v>0</v>
      </c>
      <c r="P119" s="206">
        <f t="shared" si="140"/>
        <v>-30.6720000000001</v>
      </c>
      <c r="Q119" s="208">
        <f t="shared" si="141"/>
        <v>0</v>
      </c>
      <c r="R119" s="467">
        <f t="shared" si="142"/>
        <v>-30.6720000000001</v>
      </c>
      <c r="S119" s="470">
        <f t="shared" si="143"/>
        <v>0</v>
      </c>
      <c r="T119" s="425">
        <f t="shared" si="144"/>
        <v>-30.7</v>
      </c>
      <c r="U119" s="515">
        <f t="shared" si="145"/>
        <v>1036384</v>
      </c>
      <c r="V119" s="447">
        <v>33786</v>
      </c>
      <c r="W119" s="191">
        <f t="shared" si="130"/>
        <v>1319.8</v>
      </c>
      <c r="X119" s="73">
        <f t="shared" si="131"/>
        <v>1367820</v>
      </c>
      <c r="Y119" s="186">
        <v>0</v>
      </c>
      <c r="Z119" s="175">
        <f t="shared" si="146"/>
        <v>1367820</v>
      </c>
      <c r="AA119" s="40">
        <f t="shared" si="132"/>
        <v>-31831</v>
      </c>
      <c r="AB119" s="379">
        <f t="shared" si="147"/>
        <v>1367820</v>
      </c>
      <c r="AC119" s="81">
        <f>'[7]Gov 65 &amp; 70'!$B204</f>
        <v>30.8</v>
      </c>
      <c r="AD119" s="4">
        <f t="shared" si="133"/>
        <v>1350944</v>
      </c>
      <c r="AE119" s="4">
        <f t="shared" si="157"/>
        <v>92564</v>
      </c>
      <c r="AF119" s="23">
        <f t="shared" si="134"/>
        <v>1303.5</v>
      </c>
      <c r="AG119" s="75">
        <f t="shared" si="163"/>
        <v>65.200000000000045</v>
      </c>
      <c r="AI119" s="13" t="s">
        <v>194</v>
      </c>
      <c r="AU119" s="4">
        <v>1992</v>
      </c>
      <c r="AV119" s="4">
        <v>7</v>
      </c>
      <c r="AW119" s="230">
        <f>'[8]RES 62 &amp; 67'!$S204</f>
        <v>526.5</v>
      </c>
      <c r="AX119" s="200">
        <f t="shared" si="159"/>
        <v>484.1</v>
      </c>
      <c r="AY119" s="203">
        <f t="shared" si="148"/>
        <v>-42.399999999999977</v>
      </c>
      <c r="AZ119" s="230">
        <f>'[8]RES 62 &amp; 67'!$J204</f>
        <v>0</v>
      </c>
      <c r="BA119" s="183">
        <f t="shared" si="160"/>
        <v>0</v>
      </c>
      <c r="BB119" s="429">
        <f t="shared" si="149"/>
        <v>0</v>
      </c>
      <c r="BC119" s="206">
        <f t="shared" si="150"/>
        <v>-91.583999999999961</v>
      </c>
      <c r="BD119" s="206">
        <f t="shared" si="151"/>
        <v>0</v>
      </c>
      <c r="BE119" s="206">
        <f t="shared" si="152"/>
        <v>-91.583999999999961</v>
      </c>
      <c r="BF119" s="207">
        <f t="shared" si="153"/>
        <v>0</v>
      </c>
      <c r="BG119" s="219">
        <f t="shared" si="154"/>
        <v>-91.6</v>
      </c>
      <c r="BH119" s="4">
        <f t="shared" si="166"/>
        <v>1992</v>
      </c>
      <c r="BI119" s="4">
        <f t="shared" si="167"/>
        <v>7</v>
      </c>
      <c r="BT119" s="175"/>
    </row>
    <row r="120" spans="1:72">
      <c r="A120" s="13">
        <v>1992</v>
      </c>
      <c r="B120" s="13">
        <v>8</v>
      </c>
      <c r="C120" s="5">
        <v>1441561</v>
      </c>
      <c r="D120" s="73">
        <v>1038197</v>
      </c>
      <c r="E120" s="4">
        <f t="shared" si="137"/>
        <v>1441561</v>
      </c>
      <c r="F120" s="4">
        <f t="shared" si="138"/>
        <v>1038197</v>
      </c>
      <c r="G120" s="79">
        <f t="shared" si="139"/>
        <v>1388.5</v>
      </c>
      <c r="H120" s="13"/>
      <c r="I120" s="13"/>
      <c r="J120" s="230">
        <f>'[7]RES 62 &amp; 67'!$S205</f>
        <v>495.3</v>
      </c>
      <c r="K120" s="183">
        <f t="shared" si="155"/>
        <v>481.4</v>
      </c>
      <c r="L120" s="233">
        <f t="shared" si="164"/>
        <v>-13.900000000000034</v>
      </c>
      <c r="M120" s="230">
        <f>'[7]RES 62 &amp; 67'!$J205</f>
        <v>0</v>
      </c>
      <c r="N120" s="183">
        <f t="shared" si="156"/>
        <v>0</v>
      </c>
      <c r="O120" s="236">
        <f t="shared" si="165"/>
        <v>0</v>
      </c>
      <c r="P120" s="206">
        <f t="shared" si="140"/>
        <v>-30.024000000000076</v>
      </c>
      <c r="Q120" s="208">
        <f t="shared" si="141"/>
        <v>0</v>
      </c>
      <c r="R120" s="467">
        <f t="shared" si="142"/>
        <v>-30.024000000000076</v>
      </c>
      <c r="S120" s="470">
        <f t="shared" si="143"/>
        <v>0</v>
      </c>
      <c r="T120" s="425">
        <f t="shared" si="144"/>
        <v>-30</v>
      </c>
      <c r="U120" s="515">
        <f t="shared" si="145"/>
        <v>1038197</v>
      </c>
      <c r="V120" s="447">
        <v>33817</v>
      </c>
      <c r="W120" s="191">
        <f t="shared" si="130"/>
        <v>1358.5</v>
      </c>
      <c r="X120" s="73">
        <f t="shared" si="131"/>
        <v>1410391</v>
      </c>
      <c r="Y120" s="186">
        <v>0</v>
      </c>
      <c r="Z120" s="175">
        <f t="shared" si="146"/>
        <v>1410391</v>
      </c>
      <c r="AA120" s="40">
        <f t="shared" si="132"/>
        <v>-31170</v>
      </c>
      <c r="AB120" s="379">
        <f t="shared" si="147"/>
        <v>1410391</v>
      </c>
      <c r="AC120" s="81">
        <f>'[7]Gov 65 &amp; 70'!$B205</f>
        <v>30.8</v>
      </c>
      <c r="AD120" s="4">
        <f t="shared" si="133"/>
        <v>1392990</v>
      </c>
      <c r="AE120" s="4">
        <f t="shared" si="157"/>
        <v>88399</v>
      </c>
      <c r="AF120" s="23">
        <f t="shared" si="134"/>
        <v>1341.7</v>
      </c>
      <c r="AG120" s="75">
        <f t="shared" si="163"/>
        <v>58.900000000000091</v>
      </c>
      <c r="AI120" s="13" t="s">
        <v>194</v>
      </c>
      <c r="AU120" s="4">
        <v>1992</v>
      </c>
      <c r="AV120" s="4">
        <v>8</v>
      </c>
      <c r="AW120" s="230">
        <f>'[8]RES 62 &amp; 67'!$S205</f>
        <v>463.4</v>
      </c>
      <c r="AX120" s="200">
        <f t="shared" si="159"/>
        <v>487.3</v>
      </c>
      <c r="AY120" s="203">
        <f t="shared" si="148"/>
        <v>23.900000000000034</v>
      </c>
      <c r="AZ120" s="230">
        <f>'[8]RES 62 &amp; 67'!$J205</f>
        <v>0</v>
      </c>
      <c r="BA120" s="183">
        <f t="shared" si="160"/>
        <v>0</v>
      </c>
      <c r="BB120" s="429">
        <f t="shared" si="149"/>
        <v>0</v>
      </c>
      <c r="BC120" s="206">
        <f t="shared" si="150"/>
        <v>51.62400000000008</v>
      </c>
      <c r="BD120" s="206">
        <f t="shared" si="151"/>
        <v>0</v>
      </c>
      <c r="BE120" s="206">
        <f t="shared" si="152"/>
        <v>51.62400000000008</v>
      </c>
      <c r="BF120" s="207">
        <f t="shared" si="153"/>
        <v>0</v>
      </c>
      <c r="BG120" s="219">
        <f t="shared" si="154"/>
        <v>51.6</v>
      </c>
      <c r="BH120" s="4">
        <f t="shared" si="166"/>
        <v>1992</v>
      </c>
      <c r="BI120" s="4">
        <f t="shared" si="167"/>
        <v>8</v>
      </c>
      <c r="BT120" s="175"/>
    </row>
    <row r="121" spans="1:72">
      <c r="A121" s="13">
        <v>1992</v>
      </c>
      <c r="B121" s="13">
        <v>9</v>
      </c>
      <c r="C121" s="5">
        <v>1314403</v>
      </c>
      <c r="D121" s="73">
        <v>1040641</v>
      </c>
      <c r="E121" s="4">
        <f t="shared" si="137"/>
        <v>1314403</v>
      </c>
      <c r="F121" s="4">
        <f t="shared" si="138"/>
        <v>1040641</v>
      </c>
      <c r="G121" s="79">
        <f t="shared" si="139"/>
        <v>1263.0999999999999</v>
      </c>
      <c r="H121" s="13"/>
      <c r="I121" s="13"/>
      <c r="J121" s="230">
        <f>'[7]RES 62 &amp; 67'!$S206</f>
        <v>448.8</v>
      </c>
      <c r="K121" s="183">
        <f t="shared" si="155"/>
        <v>473.7</v>
      </c>
      <c r="L121" s="233">
        <f t="shared" si="164"/>
        <v>24.899999999999977</v>
      </c>
      <c r="M121" s="230">
        <f>'[7]RES 62 &amp; 67'!$J206</f>
        <v>0</v>
      </c>
      <c r="N121" s="183">
        <f t="shared" si="156"/>
        <v>0</v>
      </c>
      <c r="O121" s="236">
        <f t="shared" si="165"/>
        <v>0</v>
      </c>
      <c r="P121" s="206">
        <f t="shared" si="140"/>
        <v>53.783999999999956</v>
      </c>
      <c r="Q121" s="208">
        <f t="shared" si="141"/>
        <v>0</v>
      </c>
      <c r="R121" s="467">
        <f t="shared" si="142"/>
        <v>53.783999999999956</v>
      </c>
      <c r="S121" s="470">
        <f t="shared" si="143"/>
        <v>0</v>
      </c>
      <c r="T121" s="425">
        <f t="shared" si="144"/>
        <v>53.8</v>
      </c>
      <c r="U121" s="515">
        <f t="shared" si="145"/>
        <v>1040641</v>
      </c>
      <c r="V121" s="447">
        <v>33848</v>
      </c>
      <c r="W121" s="191">
        <f t="shared" si="130"/>
        <v>1316.8999999999999</v>
      </c>
      <c r="X121" s="73">
        <f t="shared" si="131"/>
        <v>1370420</v>
      </c>
      <c r="Y121" s="186">
        <v>0</v>
      </c>
      <c r="Z121" s="175">
        <f t="shared" si="146"/>
        <v>1370420</v>
      </c>
      <c r="AA121" s="40">
        <f t="shared" si="132"/>
        <v>56017</v>
      </c>
      <c r="AB121" s="379">
        <f t="shared" si="147"/>
        <v>1370420</v>
      </c>
      <c r="AC121" s="81">
        <f>'[7]Gov 65 &amp; 70'!$B206</f>
        <v>30.25</v>
      </c>
      <c r="AD121" s="4">
        <f t="shared" si="133"/>
        <v>1378122</v>
      </c>
      <c r="AE121" s="4">
        <f t="shared" si="157"/>
        <v>35664</v>
      </c>
      <c r="AF121" s="23">
        <f t="shared" si="134"/>
        <v>1324.3</v>
      </c>
      <c r="AG121" s="75">
        <f t="shared" si="163"/>
        <v>7.2999999999999545</v>
      </c>
      <c r="AI121" s="13" t="s">
        <v>194</v>
      </c>
      <c r="AU121" s="4">
        <v>1992</v>
      </c>
      <c r="AV121" s="4">
        <v>9</v>
      </c>
      <c r="AW121" s="230">
        <f>'[8]RES 62 &amp; 67'!$S206</f>
        <v>429.7</v>
      </c>
      <c r="AX121" s="200">
        <f t="shared" si="159"/>
        <v>428.3</v>
      </c>
      <c r="AY121" s="203">
        <f t="shared" si="148"/>
        <v>-1.3999999999999773</v>
      </c>
      <c r="AZ121" s="230">
        <f>'[8]RES 62 &amp; 67'!$J206</f>
        <v>0</v>
      </c>
      <c r="BA121" s="183">
        <f t="shared" si="160"/>
        <v>0</v>
      </c>
      <c r="BB121" s="429">
        <f t="shared" si="149"/>
        <v>0</v>
      </c>
      <c r="BC121" s="206">
        <f t="shared" si="150"/>
        <v>-3.0239999999999512</v>
      </c>
      <c r="BD121" s="206">
        <f t="shared" si="151"/>
        <v>0</v>
      </c>
      <c r="BE121" s="206">
        <f t="shared" si="152"/>
        <v>-3.0239999999999512</v>
      </c>
      <c r="BF121" s="207">
        <f t="shared" si="153"/>
        <v>0</v>
      </c>
      <c r="BG121" s="219">
        <f t="shared" si="154"/>
        <v>-3</v>
      </c>
      <c r="BH121" s="4">
        <f t="shared" si="166"/>
        <v>1992</v>
      </c>
      <c r="BI121" s="4">
        <f t="shared" si="167"/>
        <v>9</v>
      </c>
      <c r="BT121" s="175"/>
    </row>
    <row r="122" spans="1:72">
      <c r="A122" s="13">
        <v>1992</v>
      </c>
      <c r="B122" s="13">
        <v>10</v>
      </c>
      <c r="C122" s="5">
        <v>1139143</v>
      </c>
      <c r="D122" s="73">
        <v>1046088</v>
      </c>
      <c r="E122" s="4">
        <f t="shared" si="137"/>
        <v>1139143</v>
      </c>
      <c r="F122" s="4">
        <f t="shared" si="138"/>
        <v>1046088</v>
      </c>
      <c r="G122" s="79">
        <f t="shared" si="139"/>
        <v>1089</v>
      </c>
      <c r="H122" s="13"/>
      <c r="I122" s="13"/>
      <c r="J122" s="230">
        <f>'[7]RES 62 &amp; 67'!$S207</f>
        <v>346</v>
      </c>
      <c r="K122" s="183">
        <f t="shared" si="155"/>
        <v>373.2</v>
      </c>
      <c r="L122" s="233">
        <f t="shared" si="164"/>
        <v>27.199999999999989</v>
      </c>
      <c r="M122" s="230">
        <f>'[7]RES 62 &amp; 67'!$J207</f>
        <v>1.9</v>
      </c>
      <c r="N122" s="183">
        <f t="shared" si="156"/>
        <v>1.3</v>
      </c>
      <c r="O122" s="236">
        <f t="shared" si="165"/>
        <v>-0.59999999999999987</v>
      </c>
      <c r="P122" s="206">
        <f t="shared" si="140"/>
        <v>58.751999999999981</v>
      </c>
      <c r="Q122" s="208">
        <f t="shared" si="141"/>
        <v>0</v>
      </c>
      <c r="R122" s="467">
        <f t="shared" si="142"/>
        <v>58.751999999999981</v>
      </c>
      <c r="S122" s="470">
        <f t="shared" si="143"/>
        <v>-1.6259999999999997</v>
      </c>
      <c r="T122" s="425">
        <f t="shared" si="144"/>
        <v>57.1</v>
      </c>
      <c r="U122" s="515">
        <f t="shared" si="145"/>
        <v>1046088</v>
      </c>
      <c r="V122" s="447">
        <v>33878</v>
      </c>
      <c r="W122" s="191">
        <f t="shared" si="130"/>
        <v>1146.0999999999999</v>
      </c>
      <c r="X122" s="73">
        <f t="shared" si="131"/>
        <v>1198921</v>
      </c>
      <c r="Y122" s="186">
        <v>0</v>
      </c>
      <c r="Z122" s="175">
        <f t="shared" si="146"/>
        <v>1198921</v>
      </c>
      <c r="AA122" s="40">
        <f t="shared" si="132"/>
        <v>59778</v>
      </c>
      <c r="AB122" s="379">
        <f t="shared" si="147"/>
        <v>1198921</v>
      </c>
      <c r="AC122" s="81">
        <f>'[7]Gov 65 &amp; 70'!$B207</f>
        <v>29.95</v>
      </c>
      <c r="AD122" s="4">
        <f t="shared" si="133"/>
        <v>1217735</v>
      </c>
      <c r="AE122" s="4">
        <f t="shared" si="157"/>
        <v>58190</v>
      </c>
      <c r="AF122" s="23">
        <f t="shared" si="134"/>
        <v>1164.0999999999999</v>
      </c>
      <c r="AG122" s="75">
        <f t="shared" si="163"/>
        <v>32.799999999999955</v>
      </c>
      <c r="AI122" s="13" t="s">
        <v>194</v>
      </c>
      <c r="AU122" s="4">
        <v>1992</v>
      </c>
      <c r="AV122" s="4">
        <v>10</v>
      </c>
      <c r="AW122" s="230">
        <f>'[8]RES 62 &amp; 67'!$S207</f>
        <v>197.7</v>
      </c>
      <c r="AX122" s="200">
        <f t="shared" si="159"/>
        <v>277.60000000000002</v>
      </c>
      <c r="AY122" s="203">
        <f t="shared" si="148"/>
        <v>79.900000000000034</v>
      </c>
      <c r="AZ122" s="230">
        <f>'[8]RES 62 &amp; 67'!$J207</f>
        <v>7.6</v>
      </c>
      <c r="BA122" s="183">
        <f t="shared" si="160"/>
        <v>8.5</v>
      </c>
      <c r="BB122" s="429">
        <f t="shared" si="149"/>
        <v>0.90000000000000036</v>
      </c>
      <c r="BC122" s="206">
        <f t="shared" si="150"/>
        <v>172.58400000000009</v>
      </c>
      <c r="BD122" s="206">
        <f t="shared" si="151"/>
        <v>0</v>
      </c>
      <c r="BE122" s="206">
        <f t="shared" si="152"/>
        <v>172.58400000000009</v>
      </c>
      <c r="BF122" s="207">
        <f t="shared" si="153"/>
        <v>2.4390000000000009</v>
      </c>
      <c r="BG122" s="219">
        <f t="shared" si="154"/>
        <v>175</v>
      </c>
      <c r="BH122" s="4">
        <f t="shared" si="166"/>
        <v>1992</v>
      </c>
      <c r="BI122" s="4">
        <f t="shared" si="167"/>
        <v>10</v>
      </c>
      <c r="BT122" s="175"/>
    </row>
    <row r="123" spans="1:72">
      <c r="A123" s="13">
        <v>1992</v>
      </c>
      <c r="B123" s="13">
        <v>11</v>
      </c>
      <c r="C123" s="5">
        <v>840685</v>
      </c>
      <c r="D123" s="73">
        <v>1060256</v>
      </c>
      <c r="E123" s="4">
        <f t="shared" si="137"/>
        <v>840685</v>
      </c>
      <c r="F123" s="4">
        <f t="shared" si="138"/>
        <v>1060256</v>
      </c>
      <c r="G123" s="79">
        <f t="shared" si="139"/>
        <v>792.9</v>
      </c>
      <c r="H123" s="13"/>
      <c r="I123" s="13"/>
      <c r="J123" s="230">
        <f>'[7]RES 62 &amp; 67'!$S208</f>
        <v>181.4</v>
      </c>
      <c r="K123" s="183">
        <f t="shared" si="155"/>
        <v>204.3</v>
      </c>
      <c r="L123" s="233">
        <f t="shared" si="164"/>
        <v>22.900000000000006</v>
      </c>
      <c r="M123" s="230">
        <f>'[7]RES 62 &amp; 67'!$J208</f>
        <v>14.8</v>
      </c>
      <c r="N123" s="183">
        <f t="shared" si="156"/>
        <v>24.1</v>
      </c>
      <c r="O123" s="236">
        <f t="shared" si="165"/>
        <v>9.3000000000000007</v>
      </c>
      <c r="P123" s="206">
        <f t="shared" si="140"/>
        <v>49.464000000000013</v>
      </c>
      <c r="Q123" s="208">
        <f t="shared" si="141"/>
        <v>0</v>
      </c>
      <c r="R123" s="467">
        <f t="shared" si="142"/>
        <v>49.464000000000013</v>
      </c>
      <c r="S123" s="470">
        <f t="shared" si="143"/>
        <v>25.203000000000003</v>
      </c>
      <c r="T123" s="425">
        <f t="shared" si="144"/>
        <v>74.7</v>
      </c>
      <c r="U123" s="515">
        <f t="shared" si="145"/>
        <v>1060256</v>
      </c>
      <c r="V123" s="447">
        <v>33909</v>
      </c>
      <c r="W123" s="191">
        <f t="shared" si="130"/>
        <v>867.6</v>
      </c>
      <c r="X123" s="73">
        <f t="shared" si="131"/>
        <v>919878</v>
      </c>
      <c r="Y123" s="186">
        <v>0</v>
      </c>
      <c r="Z123" s="175">
        <f t="shared" si="146"/>
        <v>919878</v>
      </c>
      <c r="AA123" s="40">
        <f t="shared" si="132"/>
        <v>79193</v>
      </c>
      <c r="AB123" s="379">
        <f t="shared" si="147"/>
        <v>919878</v>
      </c>
      <c r="AC123" s="81">
        <f>'[7]Gov 65 &amp; 70'!$B208</f>
        <v>30</v>
      </c>
      <c r="AD123" s="4">
        <f t="shared" si="133"/>
        <v>932756</v>
      </c>
      <c r="AE123" s="4">
        <f t="shared" si="157"/>
        <v>59318</v>
      </c>
      <c r="AF123" s="23">
        <f t="shared" si="134"/>
        <v>879.7</v>
      </c>
      <c r="AG123" s="75">
        <f t="shared" si="163"/>
        <v>38.200000000000045</v>
      </c>
      <c r="AI123" s="13" t="s">
        <v>194</v>
      </c>
      <c r="AU123" s="4">
        <v>1992</v>
      </c>
      <c r="AV123" s="4">
        <v>11</v>
      </c>
      <c r="AW123" s="230">
        <f>'[8]RES 62 &amp; 67'!$S208</f>
        <v>161</v>
      </c>
      <c r="AX123" s="200">
        <f t="shared" si="159"/>
        <v>110.2</v>
      </c>
      <c r="AY123" s="203">
        <f t="shared" si="148"/>
        <v>-50.8</v>
      </c>
      <c r="AZ123" s="230">
        <f>'[8]RES 62 &amp; 67'!$J208</f>
        <v>49.8</v>
      </c>
      <c r="BA123" s="183">
        <f t="shared" si="160"/>
        <v>45.3</v>
      </c>
      <c r="BB123" s="429">
        <f t="shared" si="149"/>
        <v>-4.5</v>
      </c>
      <c r="BC123" s="206">
        <f t="shared" si="150"/>
        <v>-109.72799999999999</v>
      </c>
      <c r="BD123" s="206">
        <f t="shared" si="151"/>
        <v>15.493999999999998</v>
      </c>
      <c r="BE123" s="206">
        <f t="shared" si="152"/>
        <v>-94.233999999999995</v>
      </c>
      <c r="BF123" s="207">
        <f t="shared" si="153"/>
        <v>-12.195</v>
      </c>
      <c r="BG123" s="219">
        <f t="shared" si="154"/>
        <v>-106.4</v>
      </c>
      <c r="BH123" s="4">
        <f t="shared" si="166"/>
        <v>1992</v>
      </c>
      <c r="BI123" s="4">
        <f t="shared" si="167"/>
        <v>11</v>
      </c>
      <c r="BT123" s="175"/>
    </row>
    <row r="124" spans="1:72" s="89" customFormat="1" ht="12.75">
      <c r="A124" s="90">
        <v>1992</v>
      </c>
      <c r="B124" s="90">
        <v>12</v>
      </c>
      <c r="C124" s="103">
        <v>1017651</v>
      </c>
      <c r="D124" s="104">
        <v>1070143</v>
      </c>
      <c r="E124" s="89">
        <f t="shared" si="137"/>
        <v>1017651</v>
      </c>
      <c r="F124" s="89">
        <f t="shared" si="138"/>
        <v>1070143</v>
      </c>
      <c r="G124" s="301">
        <f t="shared" si="139"/>
        <v>950.9</v>
      </c>
      <c r="H124" s="90"/>
      <c r="I124" s="90"/>
      <c r="J124" s="300">
        <f>'[7]RES 62 &amp; 67'!$S209</f>
        <v>119</v>
      </c>
      <c r="K124" s="210">
        <f t="shared" si="155"/>
        <v>88</v>
      </c>
      <c r="L124" s="234">
        <f t="shared" si="164"/>
        <v>-31</v>
      </c>
      <c r="M124" s="300">
        <f>'[7]RES 62 &amp; 67'!$J209</f>
        <v>88.7</v>
      </c>
      <c r="N124" s="210">
        <f t="shared" si="156"/>
        <v>83.9</v>
      </c>
      <c r="O124" s="237">
        <f t="shared" si="165"/>
        <v>-4.7999999999999972</v>
      </c>
      <c r="P124" s="211">
        <f t="shared" si="140"/>
        <v>-66.960000000000008</v>
      </c>
      <c r="Q124" s="211">
        <f t="shared" si="141"/>
        <v>18.91</v>
      </c>
      <c r="R124" s="468">
        <f t="shared" si="142"/>
        <v>-48.050000000000011</v>
      </c>
      <c r="S124" s="471">
        <f t="shared" si="143"/>
        <v>-13.007999999999992</v>
      </c>
      <c r="T124" s="426">
        <f t="shared" si="144"/>
        <v>-61.1</v>
      </c>
      <c r="U124" s="515">
        <f t="shared" si="145"/>
        <v>1070143</v>
      </c>
      <c r="V124" s="447">
        <v>33939</v>
      </c>
      <c r="W124" s="95">
        <f t="shared" si="130"/>
        <v>889.8</v>
      </c>
      <c r="X124" s="104">
        <f t="shared" si="131"/>
        <v>952213</v>
      </c>
      <c r="Y124" s="302">
        <v>0</v>
      </c>
      <c r="Z124" s="176">
        <f t="shared" si="146"/>
        <v>952213</v>
      </c>
      <c r="AA124" s="116">
        <f t="shared" si="132"/>
        <v>-65438</v>
      </c>
      <c r="AB124" s="517">
        <f t="shared" si="147"/>
        <v>952213</v>
      </c>
      <c r="AC124" s="88">
        <f>'[7]Gov 65 &amp; 70'!$B209</f>
        <v>31.8</v>
      </c>
      <c r="AD124" s="89">
        <f t="shared" si="133"/>
        <v>910891</v>
      </c>
      <c r="AE124" s="89">
        <f t="shared" si="157"/>
        <v>40063</v>
      </c>
      <c r="AF124" s="89">
        <f t="shared" si="134"/>
        <v>851.2</v>
      </c>
      <c r="AG124" s="91">
        <f t="shared" si="163"/>
        <v>21.100000000000023</v>
      </c>
      <c r="AH124" s="252"/>
      <c r="AI124" s="90" t="s">
        <v>194</v>
      </c>
      <c r="AU124" s="89">
        <v>1992</v>
      </c>
      <c r="AV124" s="89">
        <v>12</v>
      </c>
      <c r="AW124" s="300">
        <f>'[8]RES 62 &amp; 67'!$S209</f>
        <v>56.3</v>
      </c>
      <c r="AX124" s="210">
        <f t="shared" si="159"/>
        <v>53.2</v>
      </c>
      <c r="AY124" s="204">
        <f t="shared" si="148"/>
        <v>-3.0999999999999943</v>
      </c>
      <c r="AZ124" s="300">
        <f>'[8]RES 62 &amp; 67'!$J209</f>
        <v>93.4</v>
      </c>
      <c r="BA124" s="210">
        <f t="shared" si="160"/>
        <v>114.1</v>
      </c>
      <c r="BB124" s="430">
        <f t="shared" si="149"/>
        <v>20.699999999999989</v>
      </c>
      <c r="BC124" s="211">
        <f t="shared" si="150"/>
        <v>-6.6959999999999882</v>
      </c>
      <c r="BD124" s="211">
        <f t="shared" si="151"/>
        <v>1.8909999999999965</v>
      </c>
      <c r="BE124" s="211">
        <f t="shared" si="152"/>
        <v>-4.8049999999999917</v>
      </c>
      <c r="BF124" s="212">
        <f t="shared" si="153"/>
        <v>56.096999999999966</v>
      </c>
      <c r="BG124" s="220">
        <f t="shared" si="154"/>
        <v>51.3</v>
      </c>
      <c r="BH124" s="89">
        <f t="shared" si="166"/>
        <v>1992</v>
      </c>
      <c r="BI124" s="89">
        <f t="shared" si="167"/>
        <v>12</v>
      </c>
      <c r="BN124" s="96"/>
      <c r="BO124" s="96"/>
      <c r="BT124" s="176"/>
    </row>
    <row r="125" spans="1:72">
      <c r="A125" s="13">
        <v>1993</v>
      </c>
      <c r="B125" s="13">
        <v>1</v>
      </c>
      <c r="C125" s="5">
        <v>946660</v>
      </c>
      <c r="D125" s="73">
        <v>1077413</v>
      </c>
      <c r="E125" s="4">
        <f t="shared" si="137"/>
        <v>946660</v>
      </c>
      <c r="F125" s="4">
        <f t="shared" si="138"/>
        <v>1077413</v>
      </c>
      <c r="G125" s="79">
        <f t="shared" si="139"/>
        <v>878.6</v>
      </c>
      <c r="H125" s="13"/>
      <c r="I125" s="13"/>
      <c r="J125" s="230">
        <f>'[7]RES 62 &amp; 67'!$S210</f>
        <v>90.4</v>
      </c>
      <c r="K125" s="183">
        <f t="shared" si="155"/>
        <v>49.5</v>
      </c>
      <c r="L125" s="233">
        <f t="shared" si="164"/>
        <v>-40.900000000000006</v>
      </c>
      <c r="M125" s="230">
        <f>'[7]RES 62 &amp; 67'!$J210</f>
        <v>55.4</v>
      </c>
      <c r="N125" s="183">
        <f t="shared" si="156"/>
        <v>131.6</v>
      </c>
      <c r="O125" s="236">
        <f t="shared" si="165"/>
        <v>76.199999999999989</v>
      </c>
      <c r="P125" s="206">
        <f t="shared" si="140"/>
        <v>-88.344000000000023</v>
      </c>
      <c r="Q125" s="208">
        <f t="shared" si="141"/>
        <v>24.949000000000002</v>
      </c>
      <c r="R125" s="467">
        <f t="shared" si="142"/>
        <v>-63.395000000000024</v>
      </c>
      <c r="S125" s="470">
        <f t="shared" si="143"/>
        <v>206.50199999999995</v>
      </c>
      <c r="T125" s="425">
        <f t="shared" si="144"/>
        <v>143.1</v>
      </c>
      <c r="U125" s="515">
        <f t="shared" si="145"/>
        <v>1077413</v>
      </c>
      <c r="V125" s="447">
        <v>33970</v>
      </c>
      <c r="W125" s="191">
        <f t="shared" si="130"/>
        <v>1021.7</v>
      </c>
      <c r="X125" s="73">
        <f t="shared" si="131"/>
        <v>1100793</v>
      </c>
      <c r="Y125" s="186">
        <v>0</v>
      </c>
      <c r="Z125" s="175">
        <f t="shared" si="146"/>
        <v>1100793</v>
      </c>
      <c r="AA125" s="40">
        <f t="shared" si="132"/>
        <v>154133</v>
      </c>
      <c r="AB125" s="379">
        <f t="shared" si="147"/>
        <v>1100793</v>
      </c>
      <c r="AC125" s="81">
        <f>'[7]Gov 65 &amp; 70'!$B210</f>
        <v>31.85</v>
      </c>
      <c r="AD125" s="4">
        <f t="shared" si="133"/>
        <v>1051370</v>
      </c>
      <c r="AE125" s="4">
        <f t="shared" si="157"/>
        <v>11238</v>
      </c>
      <c r="AF125" s="23">
        <f t="shared" si="134"/>
        <v>975.8</v>
      </c>
      <c r="AG125" s="75">
        <f t="shared" si="163"/>
        <v>-8.7000000000000455</v>
      </c>
      <c r="AI125" s="13" t="s">
        <v>194</v>
      </c>
      <c r="AU125" s="4">
        <v>1993</v>
      </c>
      <c r="AV125" s="4">
        <v>1</v>
      </c>
      <c r="AW125" s="230">
        <f>'[8]RES 62 &amp; 67'!$S210</f>
        <v>86.9</v>
      </c>
      <c r="AX125" s="200">
        <f t="shared" si="159"/>
        <v>50.5</v>
      </c>
      <c r="AY125" s="203">
        <f t="shared" si="148"/>
        <v>-36.400000000000006</v>
      </c>
      <c r="AZ125" s="230">
        <f>'[8]RES 62 &amp; 67'!$J210</f>
        <v>62.6</v>
      </c>
      <c r="BA125" s="183">
        <f t="shared" si="160"/>
        <v>127.9</v>
      </c>
      <c r="BB125" s="429">
        <f t="shared" si="149"/>
        <v>65.300000000000011</v>
      </c>
      <c r="BC125" s="206">
        <f t="shared" si="150"/>
        <v>-78.624000000000024</v>
      </c>
      <c r="BD125" s="206">
        <f t="shared" si="151"/>
        <v>22.204000000000004</v>
      </c>
      <c r="BE125" s="206">
        <f t="shared" si="152"/>
        <v>-56.420000000000016</v>
      </c>
      <c r="BF125" s="207">
        <f t="shared" si="153"/>
        <v>176.96300000000002</v>
      </c>
      <c r="BG125" s="219">
        <f t="shared" si="154"/>
        <v>120.5</v>
      </c>
      <c r="BH125" s="4">
        <f t="shared" si="166"/>
        <v>1993</v>
      </c>
      <c r="BI125" s="4">
        <f t="shared" si="167"/>
        <v>1</v>
      </c>
      <c r="BT125" s="175"/>
    </row>
    <row r="126" spans="1:72">
      <c r="A126" s="13">
        <v>1993</v>
      </c>
      <c r="B126" s="13">
        <v>2</v>
      </c>
      <c r="C126" s="5">
        <v>953606</v>
      </c>
      <c r="D126" s="73">
        <v>1081474</v>
      </c>
      <c r="E126" s="4">
        <f t="shared" si="137"/>
        <v>953606</v>
      </c>
      <c r="F126" s="4">
        <f t="shared" si="138"/>
        <v>1081474</v>
      </c>
      <c r="G126" s="79">
        <f t="shared" si="139"/>
        <v>881.8</v>
      </c>
      <c r="H126" s="13"/>
      <c r="I126" s="13"/>
      <c r="J126" s="230">
        <f>'[7]RES 62 &amp; 67'!$S211</f>
        <v>46</v>
      </c>
      <c r="K126" s="183">
        <f t="shared" si="155"/>
        <v>43.3</v>
      </c>
      <c r="L126" s="233">
        <f t="shared" si="164"/>
        <v>-2.7000000000000028</v>
      </c>
      <c r="M126" s="230">
        <f>'[7]RES 62 &amp; 67'!$J211</f>
        <v>93.9</v>
      </c>
      <c r="N126" s="183">
        <f t="shared" si="156"/>
        <v>127.9</v>
      </c>
      <c r="O126" s="236">
        <f t="shared" si="165"/>
        <v>34</v>
      </c>
      <c r="P126" s="206">
        <f t="shared" si="140"/>
        <v>-5.832000000000007</v>
      </c>
      <c r="Q126" s="208">
        <f t="shared" si="141"/>
        <v>1.6470000000000018</v>
      </c>
      <c r="R126" s="467">
        <f t="shared" si="142"/>
        <v>-4.1850000000000049</v>
      </c>
      <c r="S126" s="470">
        <f t="shared" si="143"/>
        <v>92.14</v>
      </c>
      <c r="T126" s="425">
        <f t="shared" si="144"/>
        <v>88</v>
      </c>
      <c r="U126" s="515">
        <f t="shared" si="145"/>
        <v>1081474</v>
      </c>
      <c r="V126" s="447">
        <v>34001</v>
      </c>
      <c r="W126" s="191">
        <f t="shared" si="130"/>
        <v>969.8</v>
      </c>
      <c r="X126" s="73">
        <f t="shared" si="131"/>
        <v>1048813</v>
      </c>
      <c r="Y126" s="186">
        <v>0</v>
      </c>
      <c r="Z126" s="175">
        <f t="shared" si="146"/>
        <v>1048813</v>
      </c>
      <c r="AA126" s="40">
        <f t="shared" si="132"/>
        <v>95207</v>
      </c>
      <c r="AB126" s="379">
        <f t="shared" si="147"/>
        <v>1048813</v>
      </c>
      <c r="AC126" s="81">
        <f>'[7]Gov 65 &amp; 70'!$B211</f>
        <v>29.55</v>
      </c>
      <c r="AD126" s="4">
        <f t="shared" si="133"/>
        <v>1079692</v>
      </c>
      <c r="AE126" s="4">
        <f t="shared" si="157"/>
        <v>3412</v>
      </c>
      <c r="AF126" s="23">
        <f t="shared" si="134"/>
        <v>998.4</v>
      </c>
      <c r="AG126" s="75">
        <f t="shared" ref="AG126:AG141" si="168">AF126-AF114</f>
        <v>-16.200000000000045</v>
      </c>
      <c r="AI126" s="13" t="s">
        <v>194</v>
      </c>
      <c r="AU126" s="4">
        <v>1993</v>
      </c>
      <c r="AV126" s="4">
        <v>2</v>
      </c>
      <c r="AW126" s="230">
        <f>'[8]RES 62 &amp; 67'!$S211</f>
        <v>17.2</v>
      </c>
      <c r="AX126" s="200">
        <f t="shared" si="159"/>
        <v>59.2</v>
      </c>
      <c r="AY126" s="203">
        <f t="shared" si="148"/>
        <v>42</v>
      </c>
      <c r="AZ126" s="230">
        <f>'[8]RES 62 &amp; 67'!$J211</f>
        <v>120.5</v>
      </c>
      <c r="BA126" s="183">
        <f t="shared" si="160"/>
        <v>97.8</v>
      </c>
      <c r="BB126" s="429">
        <f t="shared" si="149"/>
        <v>-22.700000000000003</v>
      </c>
      <c r="BC126" s="206">
        <f t="shared" si="150"/>
        <v>90.72</v>
      </c>
      <c r="BD126" s="206">
        <f t="shared" si="151"/>
        <v>-25.62</v>
      </c>
      <c r="BE126" s="206">
        <f t="shared" si="152"/>
        <v>65.099999999999994</v>
      </c>
      <c r="BF126" s="207">
        <f t="shared" si="153"/>
        <v>-61.51700000000001</v>
      </c>
      <c r="BG126" s="219">
        <f t="shared" si="154"/>
        <v>3.6</v>
      </c>
      <c r="BH126" s="4">
        <f t="shared" si="166"/>
        <v>1993</v>
      </c>
      <c r="BI126" s="4">
        <f t="shared" si="167"/>
        <v>2</v>
      </c>
      <c r="BT126" s="175"/>
    </row>
    <row r="127" spans="1:72">
      <c r="A127" s="13">
        <v>1993</v>
      </c>
      <c r="B127" s="13">
        <v>3</v>
      </c>
      <c r="C127" s="5">
        <v>1006507</v>
      </c>
      <c r="D127" s="73">
        <v>1083308</v>
      </c>
      <c r="E127" s="4">
        <f t="shared" si="137"/>
        <v>1006507</v>
      </c>
      <c r="F127" s="4">
        <f t="shared" si="138"/>
        <v>1083308</v>
      </c>
      <c r="G127" s="79">
        <f t="shared" si="139"/>
        <v>929.1</v>
      </c>
      <c r="H127" s="13"/>
      <c r="I127" s="13"/>
      <c r="J127" s="230">
        <f>'[7]RES 62 &amp; 67'!$S212</f>
        <v>27.8</v>
      </c>
      <c r="K127" s="183">
        <f t="shared" si="155"/>
        <v>77.2</v>
      </c>
      <c r="L127" s="233">
        <f t="shared" si="164"/>
        <v>49.400000000000006</v>
      </c>
      <c r="M127" s="230">
        <f>'[7]RES 62 &amp; 67'!$J212</f>
        <v>123</v>
      </c>
      <c r="N127" s="183">
        <f t="shared" si="156"/>
        <v>82.3</v>
      </c>
      <c r="O127" s="236">
        <f t="shared" si="165"/>
        <v>-40.700000000000003</v>
      </c>
      <c r="P127" s="206">
        <f t="shared" si="140"/>
        <v>106.70400000000002</v>
      </c>
      <c r="Q127" s="208">
        <f t="shared" si="141"/>
        <v>-30.134000000000004</v>
      </c>
      <c r="R127" s="467">
        <f t="shared" si="142"/>
        <v>76.570000000000022</v>
      </c>
      <c r="S127" s="470">
        <f t="shared" si="143"/>
        <v>-110.29700000000001</v>
      </c>
      <c r="T127" s="425">
        <f t="shared" si="144"/>
        <v>-33.700000000000003</v>
      </c>
      <c r="U127" s="515">
        <f t="shared" si="145"/>
        <v>1083308</v>
      </c>
      <c r="V127" s="447">
        <v>34029</v>
      </c>
      <c r="W127" s="191">
        <f t="shared" si="130"/>
        <v>895.4</v>
      </c>
      <c r="X127" s="73">
        <f t="shared" si="131"/>
        <v>969994</v>
      </c>
      <c r="Y127" s="186">
        <v>0</v>
      </c>
      <c r="Z127" s="175">
        <f t="shared" si="146"/>
        <v>969994</v>
      </c>
      <c r="AA127" s="40">
        <f t="shared" si="132"/>
        <v>-36513</v>
      </c>
      <c r="AB127" s="379">
        <f t="shared" si="147"/>
        <v>969994</v>
      </c>
      <c r="AC127" s="81">
        <f>'[7]Gov 65 &amp; 70'!$B212</f>
        <v>29.4</v>
      </c>
      <c r="AD127" s="4">
        <f t="shared" si="133"/>
        <v>1003647</v>
      </c>
      <c r="AE127" s="4">
        <f t="shared" si="157"/>
        <v>81466</v>
      </c>
      <c r="AF127" s="23">
        <f t="shared" si="134"/>
        <v>926.5</v>
      </c>
      <c r="AG127" s="75">
        <f t="shared" si="168"/>
        <v>58.399999999999977</v>
      </c>
      <c r="AI127" s="13" t="s">
        <v>194</v>
      </c>
      <c r="AU127" s="4">
        <v>1993</v>
      </c>
      <c r="AV127" s="4">
        <v>3</v>
      </c>
      <c r="AW127" s="230">
        <f>'[8]RES 62 &amp; 67'!$S212</f>
        <v>66.2</v>
      </c>
      <c r="AX127" s="200">
        <f t="shared" si="159"/>
        <v>105.8</v>
      </c>
      <c r="AY127" s="203">
        <f t="shared" si="148"/>
        <v>39.599999999999994</v>
      </c>
      <c r="AZ127" s="230">
        <f>'[8]RES 62 &amp; 67'!$J212</f>
        <v>86.7</v>
      </c>
      <c r="BA127" s="183">
        <f t="shared" si="160"/>
        <v>49.9</v>
      </c>
      <c r="BB127" s="429">
        <f t="shared" si="149"/>
        <v>-36.800000000000004</v>
      </c>
      <c r="BC127" s="206">
        <f t="shared" si="150"/>
        <v>85.535999999999987</v>
      </c>
      <c r="BD127" s="206">
        <f t="shared" si="151"/>
        <v>-24.155999999999995</v>
      </c>
      <c r="BE127" s="206">
        <f t="shared" si="152"/>
        <v>61.379999999999995</v>
      </c>
      <c r="BF127" s="207">
        <f t="shared" si="153"/>
        <v>-99.728000000000009</v>
      </c>
      <c r="BG127" s="219">
        <f t="shared" si="154"/>
        <v>-38.299999999999997</v>
      </c>
      <c r="BH127" s="4">
        <f t="shared" si="166"/>
        <v>1993</v>
      </c>
      <c r="BI127" s="4">
        <f t="shared" si="167"/>
        <v>3</v>
      </c>
      <c r="BT127" s="175"/>
    </row>
    <row r="128" spans="1:72">
      <c r="A128" s="13">
        <v>1993</v>
      </c>
      <c r="B128" s="13">
        <v>4</v>
      </c>
      <c r="C128" s="5">
        <v>882436</v>
      </c>
      <c r="D128" s="73">
        <v>1084089</v>
      </c>
      <c r="E128" s="4">
        <f t="shared" si="137"/>
        <v>882436</v>
      </c>
      <c r="F128" s="4">
        <f t="shared" si="138"/>
        <v>1084089</v>
      </c>
      <c r="G128" s="79">
        <f t="shared" si="139"/>
        <v>814</v>
      </c>
      <c r="H128" s="13"/>
      <c r="I128" s="13"/>
      <c r="J128" s="230">
        <f>'[7]RES 62 &amp; 67'!$S213</f>
        <v>85.7</v>
      </c>
      <c r="K128" s="183">
        <f t="shared" si="155"/>
        <v>138.1</v>
      </c>
      <c r="L128" s="233">
        <f t="shared" si="164"/>
        <v>52.399999999999991</v>
      </c>
      <c r="M128" s="230">
        <f>'[7]RES 62 &amp; 67'!$J213</f>
        <v>55.9</v>
      </c>
      <c r="N128" s="183">
        <f t="shared" si="156"/>
        <v>37.299999999999997</v>
      </c>
      <c r="O128" s="236">
        <f t="shared" si="165"/>
        <v>-18.600000000000001</v>
      </c>
      <c r="P128" s="206">
        <f t="shared" si="140"/>
        <v>113.18399999999998</v>
      </c>
      <c r="Q128" s="208">
        <f t="shared" si="141"/>
        <v>-31.963999999999995</v>
      </c>
      <c r="R128" s="467">
        <f t="shared" si="142"/>
        <v>81.219999999999985</v>
      </c>
      <c r="S128" s="470">
        <f t="shared" si="143"/>
        <v>-50.406000000000006</v>
      </c>
      <c r="T128" s="425">
        <f t="shared" si="144"/>
        <v>30.8</v>
      </c>
      <c r="U128" s="515">
        <f t="shared" si="145"/>
        <v>1084089</v>
      </c>
      <c r="V128" s="447">
        <v>34060</v>
      </c>
      <c r="W128" s="191">
        <f t="shared" si="130"/>
        <v>844.8</v>
      </c>
      <c r="X128" s="73">
        <f t="shared" si="131"/>
        <v>915838</v>
      </c>
      <c r="Y128" s="186">
        <v>0</v>
      </c>
      <c r="Z128" s="175">
        <f t="shared" si="146"/>
        <v>915838</v>
      </c>
      <c r="AA128" s="40">
        <f t="shared" si="132"/>
        <v>33402</v>
      </c>
      <c r="AB128" s="379">
        <f t="shared" si="147"/>
        <v>915838</v>
      </c>
      <c r="AC128" s="81">
        <f>'[7]Gov 65 &amp; 70'!$B213</f>
        <v>30.25</v>
      </c>
      <c r="AD128" s="4">
        <f t="shared" si="133"/>
        <v>920985</v>
      </c>
      <c r="AE128" s="4">
        <f t="shared" si="157"/>
        <v>61109</v>
      </c>
      <c r="AF128" s="23">
        <f t="shared" si="134"/>
        <v>849.5</v>
      </c>
      <c r="AG128" s="75">
        <f t="shared" si="168"/>
        <v>34</v>
      </c>
      <c r="AI128" s="13" t="s">
        <v>194</v>
      </c>
      <c r="AU128" s="4">
        <v>1993</v>
      </c>
      <c r="AV128" s="4">
        <v>4</v>
      </c>
      <c r="AW128" s="230">
        <f>'[8]RES 62 &amp; 67'!$S213</f>
        <v>102.9</v>
      </c>
      <c r="AX128" s="200">
        <f t="shared" si="159"/>
        <v>181.7</v>
      </c>
      <c r="AY128" s="203">
        <f t="shared" si="148"/>
        <v>78.799999999999983</v>
      </c>
      <c r="AZ128" s="230">
        <f>'[8]RES 62 &amp; 67'!$J213</f>
        <v>34.200000000000003</v>
      </c>
      <c r="BA128" s="183">
        <f t="shared" si="160"/>
        <v>21.5</v>
      </c>
      <c r="BB128" s="429">
        <f t="shared" si="149"/>
        <v>-12.700000000000003</v>
      </c>
      <c r="BC128" s="206">
        <f t="shared" si="150"/>
        <v>170.20799999999997</v>
      </c>
      <c r="BD128" s="206">
        <f t="shared" si="151"/>
        <v>-24.033999999999995</v>
      </c>
      <c r="BE128" s="206">
        <f t="shared" si="152"/>
        <v>146.17399999999998</v>
      </c>
      <c r="BF128" s="207">
        <f t="shared" si="153"/>
        <v>-34.417000000000009</v>
      </c>
      <c r="BG128" s="219">
        <f t="shared" si="154"/>
        <v>111.8</v>
      </c>
      <c r="BH128" s="4">
        <f t="shared" si="166"/>
        <v>1993</v>
      </c>
      <c r="BI128" s="4">
        <f t="shared" si="167"/>
        <v>4</v>
      </c>
      <c r="BT128" s="175"/>
    </row>
    <row r="129" spans="1:72">
      <c r="A129" s="13">
        <v>1993</v>
      </c>
      <c r="B129" s="13">
        <v>5</v>
      </c>
      <c r="C129" s="5">
        <v>835373</v>
      </c>
      <c r="D129" s="73">
        <v>1069568</v>
      </c>
      <c r="E129" s="4">
        <f t="shared" si="137"/>
        <v>835373</v>
      </c>
      <c r="F129" s="4">
        <f t="shared" si="138"/>
        <v>1069568</v>
      </c>
      <c r="G129" s="79">
        <f t="shared" si="139"/>
        <v>781</v>
      </c>
      <c r="H129" s="13"/>
      <c r="I129" s="13"/>
      <c r="J129" s="230">
        <f>'[7]RES 62 &amp; 67'!$S214</f>
        <v>160.1</v>
      </c>
      <c r="K129" s="183">
        <f t="shared" si="155"/>
        <v>224.4</v>
      </c>
      <c r="L129" s="233">
        <f t="shared" ref="L129:L144" si="169">(K129-J129)</f>
        <v>64.300000000000011</v>
      </c>
      <c r="M129" s="230">
        <f>'[7]RES 62 &amp; 67'!$J214</f>
        <v>21.8</v>
      </c>
      <c r="N129" s="183">
        <f t="shared" si="156"/>
        <v>11.2</v>
      </c>
      <c r="O129" s="236">
        <f t="shared" ref="O129:O144" si="170">(N129-M129)</f>
        <v>-10.600000000000001</v>
      </c>
      <c r="P129" s="206">
        <f t="shared" si="140"/>
        <v>138.88800000000003</v>
      </c>
      <c r="Q129" s="208">
        <f t="shared" si="141"/>
        <v>0</v>
      </c>
      <c r="R129" s="467">
        <f t="shared" si="142"/>
        <v>138.88800000000003</v>
      </c>
      <c r="S129" s="470">
        <f t="shared" si="143"/>
        <v>-28.726000000000003</v>
      </c>
      <c r="T129" s="425">
        <f t="shared" si="144"/>
        <v>110.2</v>
      </c>
      <c r="U129" s="515">
        <f t="shared" si="145"/>
        <v>1069568</v>
      </c>
      <c r="V129" s="447">
        <v>34090</v>
      </c>
      <c r="W129" s="191">
        <f t="shared" si="130"/>
        <v>891.2</v>
      </c>
      <c r="X129" s="73">
        <f t="shared" si="131"/>
        <v>953199</v>
      </c>
      <c r="Y129" s="186">
        <v>0</v>
      </c>
      <c r="Z129" s="175">
        <f t="shared" si="146"/>
        <v>953199</v>
      </c>
      <c r="AA129" s="40">
        <f t="shared" si="132"/>
        <v>117826</v>
      </c>
      <c r="AB129" s="379">
        <f t="shared" si="147"/>
        <v>953199</v>
      </c>
      <c r="AC129" s="81">
        <f>'[7]Gov 65 &amp; 70'!$B214</f>
        <v>29.95</v>
      </c>
      <c r="AD129" s="4">
        <f t="shared" si="133"/>
        <v>968157</v>
      </c>
      <c r="AE129" s="4">
        <f t="shared" si="157"/>
        <v>49193</v>
      </c>
      <c r="AF129" s="23">
        <f t="shared" si="134"/>
        <v>905.2</v>
      </c>
      <c r="AG129" s="75">
        <f t="shared" si="168"/>
        <v>21.100000000000023</v>
      </c>
      <c r="AI129" s="13" t="s">
        <v>194</v>
      </c>
      <c r="AU129" s="4">
        <v>1993</v>
      </c>
      <c r="AV129" s="4">
        <v>5</v>
      </c>
      <c r="AW129" s="230">
        <f>'[8]RES 62 &amp; 67'!$S214</f>
        <v>268.3</v>
      </c>
      <c r="AX129" s="200">
        <f t="shared" si="159"/>
        <v>336.7</v>
      </c>
      <c r="AY129" s="203">
        <f t="shared" si="148"/>
        <v>68.399999999999977</v>
      </c>
      <c r="AZ129" s="230">
        <f>'[8]RES 62 &amp; 67'!$J214</f>
        <v>2.1</v>
      </c>
      <c r="BA129" s="183">
        <f t="shared" si="160"/>
        <v>2.1</v>
      </c>
      <c r="BB129" s="429">
        <f t="shared" si="149"/>
        <v>0</v>
      </c>
      <c r="BC129" s="206">
        <f t="shared" si="150"/>
        <v>147.74399999999997</v>
      </c>
      <c r="BD129" s="206">
        <f t="shared" si="151"/>
        <v>0</v>
      </c>
      <c r="BE129" s="206">
        <f t="shared" si="152"/>
        <v>147.74399999999997</v>
      </c>
      <c r="BF129" s="207">
        <f t="shared" si="153"/>
        <v>0</v>
      </c>
      <c r="BG129" s="219">
        <f t="shared" si="154"/>
        <v>147.69999999999999</v>
      </c>
      <c r="BH129" s="4">
        <f t="shared" si="166"/>
        <v>1993</v>
      </c>
      <c r="BI129" s="4">
        <f t="shared" si="167"/>
        <v>5</v>
      </c>
      <c r="BT129" s="175"/>
    </row>
    <row r="130" spans="1:72">
      <c r="A130" s="13">
        <v>1993</v>
      </c>
      <c r="B130" s="13">
        <v>6</v>
      </c>
      <c r="C130" s="5">
        <v>1137298</v>
      </c>
      <c r="D130" s="73">
        <v>1065137</v>
      </c>
      <c r="E130" s="4">
        <f t="shared" si="137"/>
        <v>1137298</v>
      </c>
      <c r="F130" s="4">
        <f t="shared" si="138"/>
        <v>1065137</v>
      </c>
      <c r="G130" s="79">
        <f t="shared" si="139"/>
        <v>1067.7</v>
      </c>
      <c r="H130" s="13"/>
      <c r="I130" s="13"/>
      <c r="J130" s="230">
        <f>'[7]RES 62 &amp; 67'!$S215</f>
        <v>337.5</v>
      </c>
      <c r="K130" s="183">
        <f t="shared" si="155"/>
        <v>382.8</v>
      </c>
      <c r="L130" s="233">
        <f t="shared" si="169"/>
        <v>45.300000000000011</v>
      </c>
      <c r="M130" s="230">
        <f>'[7]RES 62 &amp; 67'!$J215</f>
        <v>1.5</v>
      </c>
      <c r="N130" s="183">
        <f t="shared" si="156"/>
        <v>0.9</v>
      </c>
      <c r="O130" s="236">
        <f t="shared" si="170"/>
        <v>-0.6</v>
      </c>
      <c r="P130" s="206">
        <f t="shared" si="140"/>
        <v>97.848000000000027</v>
      </c>
      <c r="Q130" s="208">
        <f t="shared" si="141"/>
        <v>0</v>
      </c>
      <c r="R130" s="467">
        <f t="shared" si="142"/>
        <v>97.848000000000027</v>
      </c>
      <c r="S130" s="470">
        <f t="shared" si="143"/>
        <v>-1.6259999999999999</v>
      </c>
      <c r="T130" s="425">
        <f t="shared" si="144"/>
        <v>96.2</v>
      </c>
      <c r="U130" s="515">
        <f t="shared" si="145"/>
        <v>1065137</v>
      </c>
      <c r="V130" s="447">
        <v>34121</v>
      </c>
      <c r="W130" s="191">
        <f t="shared" si="130"/>
        <v>1163.9000000000001</v>
      </c>
      <c r="X130" s="73">
        <f t="shared" si="131"/>
        <v>1239713</v>
      </c>
      <c r="Y130" s="186">
        <v>0</v>
      </c>
      <c r="Z130" s="175">
        <f t="shared" si="146"/>
        <v>1239713</v>
      </c>
      <c r="AA130" s="40">
        <f t="shared" si="132"/>
        <v>102415</v>
      </c>
      <c r="AB130" s="379">
        <f t="shared" si="147"/>
        <v>1239713</v>
      </c>
      <c r="AC130" s="81">
        <f>'[7]Gov 65 &amp; 70'!$B215</f>
        <v>30.6</v>
      </c>
      <c r="AD130" s="4">
        <f t="shared" si="133"/>
        <v>1232421</v>
      </c>
      <c r="AE130" s="4">
        <f t="shared" si="157"/>
        <v>78782</v>
      </c>
      <c r="AF130" s="23">
        <f t="shared" si="134"/>
        <v>1157.0999999999999</v>
      </c>
      <c r="AG130" s="75">
        <f t="shared" si="168"/>
        <v>43.199999999999818</v>
      </c>
      <c r="AI130" s="13" t="s">
        <v>194</v>
      </c>
      <c r="AU130" s="4">
        <v>1993</v>
      </c>
      <c r="AV130" s="4">
        <v>6</v>
      </c>
      <c r="AW130" s="230">
        <f>'[8]RES 62 &amp; 67'!$S215</f>
        <v>438.1</v>
      </c>
      <c r="AX130" s="200">
        <f t="shared" si="159"/>
        <v>425.2</v>
      </c>
      <c r="AY130" s="203">
        <f t="shared" si="148"/>
        <v>-12.900000000000034</v>
      </c>
      <c r="AZ130" s="230">
        <f>'[8]RES 62 &amp; 67'!$J215</f>
        <v>0</v>
      </c>
      <c r="BA130" s="183">
        <f t="shared" si="160"/>
        <v>0</v>
      </c>
      <c r="BB130" s="429">
        <f t="shared" si="149"/>
        <v>0</v>
      </c>
      <c r="BC130" s="206">
        <f t="shared" si="150"/>
        <v>-27.864000000000075</v>
      </c>
      <c r="BD130" s="206">
        <f t="shared" si="151"/>
        <v>0</v>
      </c>
      <c r="BE130" s="206">
        <f t="shared" si="152"/>
        <v>-27.864000000000075</v>
      </c>
      <c r="BF130" s="207">
        <f t="shared" si="153"/>
        <v>0</v>
      </c>
      <c r="BG130" s="219">
        <f t="shared" si="154"/>
        <v>-27.9</v>
      </c>
      <c r="BH130" s="4">
        <f t="shared" si="166"/>
        <v>1993</v>
      </c>
      <c r="BI130" s="4">
        <f t="shared" si="167"/>
        <v>6</v>
      </c>
      <c r="BT130" s="175"/>
    </row>
    <row r="131" spans="1:72">
      <c r="A131" s="13">
        <v>1993</v>
      </c>
      <c r="B131" s="13">
        <v>7</v>
      </c>
      <c r="C131" s="5">
        <v>1378676</v>
      </c>
      <c r="D131" s="73">
        <v>1064997</v>
      </c>
      <c r="E131" s="4">
        <f t="shared" si="137"/>
        <v>1378676</v>
      </c>
      <c r="F131" s="4">
        <f t="shared" si="138"/>
        <v>1064997</v>
      </c>
      <c r="G131" s="79">
        <f t="shared" si="139"/>
        <v>1294.5</v>
      </c>
      <c r="H131" s="13"/>
      <c r="I131" s="13"/>
      <c r="J131" s="230">
        <f>'[7]RES 62 &amp; 67'!$S216</f>
        <v>458.4</v>
      </c>
      <c r="K131" s="183">
        <f t="shared" si="155"/>
        <v>454.9</v>
      </c>
      <c r="L131" s="233">
        <f t="shared" si="169"/>
        <v>-3.5</v>
      </c>
      <c r="M131" s="230">
        <f>'[7]RES 62 &amp; 67'!$J216</f>
        <v>0</v>
      </c>
      <c r="N131" s="183">
        <f t="shared" si="156"/>
        <v>0</v>
      </c>
      <c r="O131" s="236">
        <f t="shared" si="170"/>
        <v>0</v>
      </c>
      <c r="P131" s="206">
        <f t="shared" si="140"/>
        <v>-7.5600000000000005</v>
      </c>
      <c r="Q131" s="208">
        <f t="shared" si="141"/>
        <v>0</v>
      </c>
      <c r="R131" s="467">
        <f t="shared" si="142"/>
        <v>-7.5600000000000005</v>
      </c>
      <c r="S131" s="470">
        <f t="shared" si="143"/>
        <v>0</v>
      </c>
      <c r="T131" s="425">
        <f t="shared" si="144"/>
        <v>-7.6</v>
      </c>
      <c r="U131" s="515">
        <f t="shared" si="145"/>
        <v>1064997</v>
      </c>
      <c r="V131" s="447">
        <v>34151</v>
      </c>
      <c r="W131" s="191">
        <f t="shared" si="130"/>
        <v>1286.9000000000001</v>
      </c>
      <c r="X131" s="73">
        <f t="shared" si="131"/>
        <v>1370545</v>
      </c>
      <c r="Y131" s="186">
        <v>0</v>
      </c>
      <c r="Z131" s="175">
        <f t="shared" si="146"/>
        <v>1370545</v>
      </c>
      <c r="AA131" s="40">
        <f t="shared" si="132"/>
        <v>-8131</v>
      </c>
      <c r="AB131" s="379">
        <f t="shared" si="147"/>
        <v>1370545</v>
      </c>
      <c r="AC131" s="81">
        <f>'[7]Gov 65 &amp; 70'!$B216</f>
        <v>30.65</v>
      </c>
      <c r="AD131" s="4">
        <f t="shared" si="133"/>
        <v>1360260</v>
      </c>
      <c r="AE131" s="4">
        <f t="shared" si="157"/>
        <v>9316</v>
      </c>
      <c r="AF131" s="23">
        <f t="shared" si="134"/>
        <v>1277.2</v>
      </c>
      <c r="AG131" s="75">
        <f t="shared" si="168"/>
        <v>-26.299999999999955</v>
      </c>
      <c r="AI131" s="13" t="s">
        <v>194</v>
      </c>
      <c r="AU131" s="4">
        <v>1993</v>
      </c>
      <c r="AV131" s="4">
        <v>7</v>
      </c>
      <c r="AW131" s="230">
        <f>'[8]RES 62 &amp; 67'!$S216</f>
        <v>513.70000000000005</v>
      </c>
      <c r="AX131" s="200">
        <f t="shared" si="159"/>
        <v>484.1</v>
      </c>
      <c r="AY131" s="203">
        <f t="shared" si="148"/>
        <v>-29.600000000000023</v>
      </c>
      <c r="AZ131" s="230">
        <f>'[8]RES 62 &amp; 67'!$J216</f>
        <v>0</v>
      </c>
      <c r="BA131" s="183">
        <f t="shared" si="160"/>
        <v>0</v>
      </c>
      <c r="BB131" s="429">
        <f t="shared" si="149"/>
        <v>0</v>
      </c>
      <c r="BC131" s="206">
        <f t="shared" si="150"/>
        <v>-63.936000000000057</v>
      </c>
      <c r="BD131" s="206">
        <f t="shared" si="151"/>
        <v>0</v>
      </c>
      <c r="BE131" s="206">
        <f t="shared" si="152"/>
        <v>-63.936000000000057</v>
      </c>
      <c r="BF131" s="207">
        <f t="shared" si="153"/>
        <v>0</v>
      </c>
      <c r="BG131" s="219">
        <f t="shared" si="154"/>
        <v>-63.9</v>
      </c>
      <c r="BH131" s="4">
        <f t="shared" si="166"/>
        <v>1993</v>
      </c>
      <c r="BI131" s="4">
        <f t="shared" si="167"/>
        <v>7</v>
      </c>
      <c r="BT131" s="175"/>
    </row>
    <row r="132" spans="1:72">
      <c r="A132" s="13">
        <v>1993</v>
      </c>
      <c r="B132" s="13">
        <v>8</v>
      </c>
      <c r="C132" s="5">
        <v>1593286</v>
      </c>
      <c r="D132" s="73">
        <v>1066628</v>
      </c>
      <c r="E132" s="4">
        <f t="shared" si="137"/>
        <v>1593286</v>
      </c>
      <c r="F132" s="4">
        <f t="shared" si="138"/>
        <v>1066628</v>
      </c>
      <c r="G132" s="79">
        <f t="shared" si="139"/>
        <v>1493.8</v>
      </c>
      <c r="H132" s="13"/>
      <c r="I132" s="13"/>
      <c r="J132" s="230">
        <f>'[7]RES 62 &amp; 67'!$S217</f>
        <v>530.4</v>
      </c>
      <c r="K132" s="183">
        <f t="shared" si="155"/>
        <v>481.4</v>
      </c>
      <c r="L132" s="233">
        <f t="shared" si="169"/>
        <v>-49</v>
      </c>
      <c r="M132" s="230">
        <f>'[7]RES 62 &amp; 67'!$J217</f>
        <v>0</v>
      </c>
      <c r="N132" s="183">
        <f t="shared" si="156"/>
        <v>0</v>
      </c>
      <c r="O132" s="236">
        <f t="shared" si="170"/>
        <v>0</v>
      </c>
      <c r="P132" s="206">
        <f t="shared" si="140"/>
        <v>-105.84</v>
      </c>
      <c r="Q132" s="208">
        <f t="shared" si="141"/>
        <v>0</v>
      </c>
      <c r="R132" s="467">
        <f t="shared" si="142"/>
        <v>-105.84</v>
      </c>
      <c r="S132" s="470">
        <f t="shared" si="143"/>
        <v>0</v>
      </c>
      <c r="T132" s="425">
        <f t="shared" si="144"/>
        <v>-105.8</v>
      </c>
      <c r="U132" s="515">
        <f t="shared" si="145"/>
        <v>1066628</v>
      </c>
      <c r="V132" s="447">
        <v>34182</v>
      </c>
      <c r="W132" s="191">
        <f t="shared" si="130"/>
        <v>1388</v>
      </c>
      <c r="X132" s="73">
        <f t="shared" si="131"/>
        <v>1480480</v>
      </c>
      <c r="Y132" s="186">
        <v>0</v>
      </c>
      <c r="Z132" s="175">
        <f t="shared" si="146"/>
        <v>1480480</v>
      </c>
      <c r="AA132" s="40">
        <f t="shared" si="132"/>
        <v>-112806</v>
      </c>
      <c r="AB132" s="379">
        <f t="shared" si="147"/>
        <v>1480480</v>
      </c>
      <c r="AC132" s="81">
        <f>'[7]Gov 65 &amp; 70'!$B217</f>
        <v>31.15</v>
      </c>
      <c r="AD132" s="4">
        <f t="shared" si="133"/>
        <v>1445785</v>
      </c>
      <c r="AE132" s="4">
        <f t="shared" si="157"/>
        <v>52795</v>
      </c>
      <c r="AF132" s="23">
        <f t="shared" si="134"/>
        <v>1355.5</v>
      </c>
      <c r="AG132" s="75">
        <f t="shared" si="168"/>
        <v>13.799999999999955</v>
      </c>
      <c r="AI132" s="13" t="s">
        <v>194</v>
      </c>
      <c r="AU132" s="4">
        <v>1993</v>
      </c>
      <c r="AV132" s="4">
        <v>8</v>
      </c>
      <c r="AW132" s="230">
        <f>'[8]RES 62 &amp; 67'!$S217</f>
        <v>502.2</v>
      </c>
      <c r="AX132" s="200">
        <f t="shared" si="159"/>
        <v>487.3</v>
      </c>
      <c r="AY132" s="203">
        <f t="shared" si="148"/>
        <v>-14.899999999999977</v>
      </c>
      <c r="AZ132" s="230">
        <f>'[8]RES 62 &amp; 67'!$J217</f>
        <v>0</v>
      </c>
      <c r="BA132" s="183">
        <f t="shared" si="160"/>
        <v>0</v>
      </c>
      <c r="BB132" s="429">
        <f t="shared" si="149"/>
        <v>0</v>
      </c>
      <c r="BC132" s="206">
        <f t="shared" si="150"/>
        <v>-32.183999999999955</v>
      </c>
      <c r="BD132" s="206">
        <f t="shared" si="151"/>
        <v>0</v>
      </c>
      <c r="BE132" s="206">
        <f t="shared" si="152"/>
        <v>-32.183999999999955</v>
      </c>
      <c r="BF132" s="207">
        <f t="shared" si="153"/>
        <v>0</v>
      </c>
      <c r="BG132" s="219">
        <f t="shared" si="154"/>
        <v>-32.200000000000003</v>
      </c>
      <c r="BH132" s="4">
        <f t="shared" si="166"/>
        <v>1993</v>
      </c>
      <c r="BI132" s="4">
        <f t="shared" si="167"/>
        <v>8</v>
      </c>
      <c r="BT132" s="175"/>
    </row>
    <row r="133" spans="1:72">
      <c r="A133" s="13">
        <v>1993</v>
      </c>
      <c r="B133" s="13">
        <v>9</v>
      </c>
      <c r="C133" s="5">
        <v>1442434</v>
      </c>
      <c r="D133" s="73">
        <v>1069084</v>
      </c>
      <c r="E133" s="4">
        <f t="shared" si="137"/>
        <v>1442434</v>
      </c>
      <c r="F133" s="4">
        <f t="shared" si="138"/>
        <v>1069084</v>
      </c>
      <c r="G133" s="79">
        <f t="shared" si="139"/>
        <v>1349.2</v>
      </c>
      <c r="H133" s="13"/>
      <c r="I133" s="13"/>
      <c r="J133" s="230">
        <f>'[7]RES 62 &amp; 67'!$S218</f>
        <v>466.1</v>
      </c>
      <c r="K133" s="183">
        <f t="shared" si="155"/>
        <v>473.7</v>
      </c>
      <c r="L133" s="233">
        <f t="shared" si="169"/>
        <v>7.5999999999999659</v>
      </c>
      <c r="M133" s="230">
        <f>'[7]RES 62 &amp; 67'!$J218</f>
        <v>0</v>
      </c>
      <c r="N133" s="183">
        <f t="shared" si="156"/>
        <v>0</v>
      </c>
      <c r="O133" s="236">
        <f t="shared" si="170"/>
        <v>0</v>
      </c>
      <c r="P133" s="206">
        <f t="shared" si="140"/>
        <v>16.415999999999926</v>
      </c>
      <c r="Q133" s="208">
        <f t="shared" si="141"/>
        <v>0</v>
      </c>
      <c r="R133" s="467">
        <f t="shared" si="142"/>
        <v>16.415999999999926</v>
      </c>
      <c r="S133" s="470">
        <f t="shared" si="143"/>
        <v>0</v>
      </c>
      <c r="T133" s="425">
        <f t="shared" si="144"/>
        <v>16.399999999999999</v>
      </c>
      <c r="U133" s="515">
        <f t="shared" si="145"/>
        <v>1069084</v>
      </c>
      <c r="V133" s="447">
        <v>34213</v>
      </c>
      <c r="W133" s="191">
        <f t="shared" si="130"/>
        <v>1365.6000000000001</v>
      </c>
      <c r="X133" s="73">
        <f t="shared" si="131"/>
        <v>1459941</v>
      </c>
      <c r="Y133" s="186">
        <v>0</v>
      </c>
      <c r="Z133" s="175">
        <f t="shared" si="146"/>
        <v>1459941</v>
      </c>
      <c r="AA133" s="40">
        <f t="shared" si="132"/>
        <v>17507</v>
      </c>
      <c r="AB133" s="379">
        <f t="shared" si="147"/>
        <v>1459941</v>
      </c>
      <c r="AC133" s="81">
        <f>'[7]Gov 65 &amp; 70'!$B218</f>
        <v>30.3</v>
      </c>
      <c r="AD133" s="4">
        <f t="shared" si="133"/>
        <v>1465723</v>
      </c>
      <c r="AE133" s="4">
        <f t="shared" si="157"/>
        <v>87601</v>
      </c>
      <c r="AF133" s="23">
        <f t="shared" si="134"/>
        <v>1371</v>
      </c>
      <c r="AG133" s="75">
        <f t="shared" si="168"/>
        <v>46.700000000000045</v>
      </c>
      <c r="AI133" s="13" t="s">
        <v>194</v>
      </c>
      <c r="AU133" s="4">
        <v>1993</v>
      </c>
      <c r="AV133" s="4">
        <v>9</v>
      </c>
      <c r="AW133" s="230">
        <f>'[8]RES 62 &amp; 67'!$S218</f>
        <v>430.9</v>
      </c>
      <c r="AX133" s="200">
        <f t="shared" si="159"/>
        <v>428.3</v>
      </c>
      <c r="AY133" s="203">
        <f t="shared" si="148"/>
        <v>-2.5999999999999659</v>
      </c>
      <c r="AZ133" s="230">
        <f>'[8]RES 62 &amp; 67'!$J218</f>
        <v>0.7</v>
      </c>
      <c r="BA133" s="183">
        <f t="shared" si="160"/>
        <v>0</v>
      </c>
      <c r="BB133" s="429">
        <f t="shared" si="149"/>
        <v>-0.7</v>
      </c>
      <c r="BC133" s="206">
        <f t="shared" si="150"/>
        <v>-5.6159999999999268</v>
      </c>
      <c r="BD133" s="206">
        <f t="shared" si="151"/>
        <v>0</v>
      </c>
      <c r="BE133" s="206">
        <f t="shared" si="152"/>
        <v>-5.6159999999999268</v>
      </c>
      <c r="BF133" s="207">
        <f t="shared" si="153"/>
        <v>-1.8969999999999998</v>
      </c>
      <c r="BG133" s="219">
        <f t="shared" si="154"/>
        <v>-7.5</v>
      </c>
      <c r="BH133" s="4">
        <f t="shared" si="166"/>
        <v>1993</v>
      </c>
      <c r="BI133" s="4">
        <f t="shared" si="167"/>
        <v>9</v>
      </c>
      <c r="BT133" s="175"/>
    </row>
    <row r="134" spans="1:72">
      <c r="A134" s="13">
        <v>1993</v>
      </c>
      <c r="B134" s="13">
        <v>10</v>
      </c>
      <c r="C134" s="5">
        <v>1233266</v>
      </c>
      <c r="D134" s="73">
        <v>1074873</v>
      </c>
      <c r="E134" s="4">
        <f t="shared" si="137"/>
        <v>1233266</v>
      </c>
      <c r="F134" s="4">
        <f t="shared" si="138"/>
        <v>1074873</v>
      </c>
      <c r="G134" s="79">
        <f t="shared" si="139"/>
        <v>1147.4000000000001</v>
      </c>
      <c r="H134" s="13"/>
      <c r="I134" s="13"/>
      <c r="J134" s="230">
        <f>'[7]RES 62 &amp; 67'!$S219</f>
        <v>369.2</v>
      </c>
      <c r="K134" s="183">
        <f t="shared" si="155"/>
        <v>373.2</v>
      </c>
      <c r="L134" s="233">
        <f t="shared" si="169"/>
        <v>4</v>
      </c>
      <c r="M134" s="230">
        <f>'[7]RES 62 &amp; 67'!$J219</f>
        <v>1.7</v>
      </c>
      <c r="N134" s="183">
        <f t="shared" si="156"/>
        <v>1.3</v>
      </c>
      <c r="O134" s="236">
        <f t="shared" si="170"/>
        <v>-0.39999999999999991</v>
      </c>
      <c r="P134" s="206">
        <f t="shared" si="140"/>
        <v>8.64</v>
      </c>
      <c r="Q134" s="208">
        <f t="shared" si="141"/>
        <v>0</v>
      </c>
      <c r="R134" s="467">
        <f t="shared" si="142"/>
        <v>8.64</v>
      </c>
      <c r="S134" s="470">
        <f t="shared" si="143"/>
        <v>-1.0839999999999999</v>
      </c>
      <c r="T134" s="425">
        <f t="shared" si="144"/>
        <v>7.6</v>
      </c>
      <c r="U134" s="515">
        <f t="shared" si="145"/>
        <v>1074873</v>
      </c>
      <c r="V134" s="447">
        <v>34243</v>
      </c>
      <c r="W134" s="191">
        <f t="shared" si="130"/>
        <v>1155</v>
      </c>
      <c r="X134" s="73">
        <f t="shared" si="131"/>
        <v>1241478</v>
      </c>
      <c r="Y134" s="186">
        <v>0</v>
      </c>
      <c r="Z134" s="175">
        <f t="shared" si="146"/>
        <v>1241478</v>
      </c>
      <c r="AA134" s="40">
        <f t="shared" si="132"/>
        <v>8212</v>
      </c>
      <c r="AB134" s="379">
        <f t="shared" si="147"/>
        <v>1241478</v>
      </c>
      <c r="AC134" s="81">
        <f>'[7]Gov 65 &amp; 70'!$B219</f>
        <v>29.9</v>
      </c>
      <c r="AD134" s="4">
        <f t="shared" si="133"/>
        <v>1263069</v>
      </c>
      <c r="AE134" s="4">
        <f t="shared" si="157"/>
        <v>45334</v>
      </c>
      <c r="AF134" s="23">
        <f t="shared" si="134"/>
        <v>1175.0999999999999</v>
      </c>
      <c r="AG134" s="75">
        <f t="shared" si="168"/>
        <v>11</v>
      </c>
      <c r="AI134" s="13" t="s">
        <v>194</v>
      </c>
      <c r="AU134" s="4">
        <v>1993</v>
      </c>
      <c r="AV134" s="4">
        <v>10</v>
      </c>
      <c r="AW134" s="230">
        <f>'[8]RES 62 &amp; 67'!$S219</f>
        <v>268.3</v>
      </c>
      <c r="AX134" s="200">
        <f t="shared" si="159"/>
        <v>277.60000000000002</v>
      </c>
      <c r="AY134" s="203">
        <f t="shared" si="148"/>
        <v>9.3000000000000114</v>
      </c>
      <c r="AZ134" s="230">
        <f>'[8]RES 62 &amp; 67'!$J219</f>
        <v>8.6999999999999993</v>
      </c>
      <c r="BA134" s="183">
        <f t="shared" si="160"/>
        <v>8.5</v>
      </c>
      <c r="BB134" s="429">
        <f t="shared" si="149"/>
        <v>-0.19999999999999929</v>
      </c>
      <c r="BC134" s="206">
        <f t="shared" si="150"/>
        <v>20.088000000000026</v>
      </c>
      <c r="BD134" s="206">
        <f t="shared" si="151"/>
        <v>0</v>
      </c>
      <c r="BE134" s="206">
        <f t="shared" si="152"/>
        <v>20.088000000000026</v>
      </c>
      <c r="BF134" s="207">
        <f t="shared" si="153"/>
        <v>-0.54199999999999804</v>
      </c>
      <c r="BG134" s="219">
        <f t="shared" si="154"/>
        <v>19.5</v>
      </c>
      <c r="BH134" s="4">
        <f t="shared" si="166"/>
        <v>1993</v>
      </c>
      <c r="BI134" s="4">
        <f t="shared" si="167"/>
        <v>10</v>
      </c>
      <c r="BT134" s="175"/>
    </row>
    <row r="135" spans="1:72">
      <c r="A135" s="13">
        <v>1993</v>
      </c>
      <c r="B135" s="13">
        <v>11</v>
      </c>
      <c r="C135" s="5">
        <v>962542</v>
      </c>
      <c r="D135" s="73">
        <v>1082235</v>
      </c>
      <c r="E135" s="4">
        <f t="shared" si="137"/>
        <v>962542</v>
      </c>
      <c r="F135" s="4">
        <f t="shared" si="138"/>
        <v>1082235</v>
      </c>
      <c r="G135" s="79">
        <f t="shared" si="139"/>
        <v>889.4</v>
      </c>
      <c r="H135" s="13"/>
      <c r="I135" s="13"/>
      <c r="J135" s="230">
        <f>'[7]RES 62 &amp; 67'!$S220</f>
        <v>206.5</v>
      </c>
      <c r="K135" s="183">
        <f t="shared" si="155"/>
        <v>204.3</v>
      </c>
      <c r="L135" s="233">
        <f t="shared" si="169"/>
        <v>-2.1999999999999886</v>
      </c>
      <c r="M135" s="230">
        <f>'[7]RES 62 &amp; 67'!$J220</f>
        <v>30.1</v>
      </c>
      <c r="N135" s="183">
        <f t="shared" si="156"/>
        <v>24.1</v>
      </c>
      <c r="O135" s="236">
        <f t="shared" si="170"/>
        <v>-6</v>
      </c>
      <c r="P135" s="206">
        <f t="shared" si="140"/>
        <v>-4.7519999999999758</v>
      </c>
      <c r="Q135" s="208">
        <f t="shared" si="141"/>
        <v>0</v>
      </c>
      <c r="R135" s="467">
        <f t="shared" si="142"/>
        <v>-4.7519999999999758</v>
      </c>
      <c r="S135" s="470">
        <f t="shared" si="143"/>
        <v>-16.259999999999998</v>
      </c>
      <c r="T135" s="425">
        <f t="shared" si="144"/>
        <v>-21</v>
      </c>
      <c r="U135" s="515">
        <f t="shared" si="145"/>
        <v>1082235</v>
      </c>
      <c r="V135" s="447">
        <v>34274</v>
      </c>
      <c r="W135" s="191">
        <f t="shared" si="130"/>
        <v>868.4</v>
      </c>
      <c r="X135" s="73">
        <f t="shared" si="131"/>
        <v>939813</v>
      </c>
      <c r="Y135" s="186">
        <v>0</v>
      </c>
      <c r="Z135" s="175">
        <f t="shared" si="146"/>
        <v>939813</v>
      </c>
      <c r="AA135" s="40">
        <f t="shared" si="132"/>
        <v>-22729</v>
      </c>
      <c r="AB135" s="379">
        <f t="shared" si="147"/>
        <v>939813</v>
      </c>
      <c r="AC135" s="81">
        <f>'[7]Gov 65 &amp; 70'!$B220</f>
        <v>30.05</v>
      </c>
      <c r="AD135" s="4">
        <f t="shared" si="133"/>
        <v>951385</v>
      </c>
      <c r="AE135" s="4">
        <f t="shared" si="157"/>
        <v>18629</v>
      </c>
      <c r="AF135" s="23">
        <f t="shared" si="134"/>
        <v>879.1</v>
      </c>
      <c r="AG135" s="75">
        <f t="shared" si="168"/>
        <v>-0.60000000000002274</v>
      </c>
      <c r="AI135" s="13" t="s">
        <v>194</v>
      </c>
      <c r="AU135" s="4">
        <v>1993</v>
      </c>
      <c r="AV135" s="4">
        <v>11</v>
      </c>
      <c r="AW135" s="230">
        <f>'[8]RES 62 &amp; 67'!$S220</f>
        <v>117.9</v>
      </c>
      <c r="AX135" s="200">
        <f t="shared" si="159"/>
        <v>110.2</v>
      </c>
      <c r="AY135" s="203">
        <f t="shared" si="148"/>
        <v>-7.7000000000000028</v>
      </c>
      <c r="AZ135" s="230">
        <f>'[8]RES 62 &amp; 67'!$J220</f>
        <v>50</v>
      </c>
      <c r="BA135" s="183">
        <f t="shared" si="160"/>
        <v>45.3</v>
      </c>
      <c r="BB135" s="429">
        <f t="shared" si="149"/>
        <v>-4.7000000000000028</v>
      </c>
      <c r="BC135" s="206">
        <f t="shared" si="150"/>
        <v>-16.632000000000009</v>
      </c>
      <c r="BD135" s="206">
        <f t="shared" si="151"/>
        <v>2.3485000000000009</v>
      </c>
      <c r="BE135" s="206">
        <f t="shared" si="152"/>
        <v>-14.283500000000007</v>
      </c>
      <c r="BF135" s="207">
        <f t="shared" si="153"/>
        <v>-12.737000000000007</v>
      </c>
      <c r="BG135" s="219">
        <f t="shared" si="154"/>
        <v>-27</v>
      </c>
      <c r="BH135" s="4">
        <f t="shared" si="166"/>
        <v>1993</v>
      </c>
      <c r="BI135" s="4">
        <f t="shared" si="167"/>
        <v>11</v>
      </c>
      <c r="BT135" s="175"/>
    </row>
    <row r="136" spans="1:72" s="89" customFormat="1" ht="12.75">
      <c r="A136" s="90">
        <v>1993</v>
      </c>
      <c r="B136" s="90">
        <v>12</v>
      </c>
      <c r="C136" s="103">
        <v>1000502</v>
      </c>
      <c r="D136" s="104">
        <v>1101076</v>
      </c>
      <c r="E136" s="89">
        <f t="shared" si="137"/>
        <v>1000502</v>
      </c>
      <c r="F136" s="89">
        <f t="shared" si="138"/>
        <v>1101076</v>
      </c>
      <c r="G136" s="301">
        <f t="shared" si="139"/>
        <v>908.7</v>
      </c>
      <c r="H136" s="90"/>
      <c r="I136" s="90"/>
      <c r="J136" s="300">
        <f>'[7]RES 62 &amp; 67'!$S221</f>
        <v>92.8</v>
      </c>
      <c r="K136" s="210">
        <f t="shared" si="155"/>
        <v>88</v>
      </c>
      <c r="L136" s="234">
        <f t="shared" si="169"/>
        <v>-4.7999999999999972</v>
      </c>
      <c r="M136" s="300">
        <f>'[7]RES 62 &amp; 67'!$J221</f>
        <v>72.3</v>
      </c>
      <c r="N136" s="210">
        <f t="shared" si="156"/>
        <v>83.9</v>
      </c>
      <c r="O136" s="237">
        <f t="shared" si="170"/>
        <v>11.600000000000009</v>
      </c>
      <c r="P136" s="211">
        <f t="shared" si="140"/>
        <v>-10.367999999999995</v>
      </c>
      <c r="Q136" s="211">
        <f t="shared" si="141"/>
        <v>2.9279999999999982</v>
      </c>
      <c r="R136" s="468">
        <f t="shared" si="142"/>
        <v>-7.4399999999999968</v>
      </c>
      <c r="S136" s="471">
        <f t="shared" si="143"/>
        <v>31.436000000000021</v>
      </c>
      <c r="T136" s="426">
        <f t="shared" si="144"/>
        <v>24</v>
      </c>
      <c r="U136" s="515">
        <f t="shared" si="145"/>
        <v>1101076</v>
      </c>
      <c r="V136" s="447">
        <v>34304</v>
      </c>
      <c r="W136" s="95">
        <f t="shared" si="130"/>
        <v>932.7</v>
      </c>
      <c r="X136" s="104">
        <f t="shared" si="131"/>
        <v>1026974</v>
      </c>
      <c r="Y136" s="302">
        <v>0</v>
      </c>
      <c r="Z136" s="176">
        <f t="shared" si="146"/>
        <v>1026974</v>
      </c>
      <c r="AA136" s="116">
        <f t="shared" si="132"/>
        <v>26472</v>
      </c>
      <c r="AB136" s="517">
        <f t="shared" si="147"/>
        <v>1026974</v>
      </c>
      <c r="AC136" s="88">
        <f>'[7]Gov 65 &amp; 70'!$B221</f>
        <v>31.7</v>
      </c>
      <c r="AD136" s="89">
        <f t="shared" si="133"/>
        <v>985506</v>
      </c>
      <c r="AE136" s="89">
        <f t="shared" si="157"/>
        <v>74615</v>
      </c>
      <c r="AF136" s="89">
        <f t="shared" si="134"/>
        <v>895</v>
      </c>
      <c r="AG136" s="91">
        <f t="shared" si="168"/>
        <v>43.799999999999955</v>
      </c>
      <c r="AH136" s="252"/>
      <c r="AI136" s="90" t="s">
        <v>194</v>
      </c>
      <c r="AU136" s="89">
        <v>1993</v>
      </c>
      <c r="AV136" s="89">
        <v>12</v>
      </c>
      <c r="AW136" s="300">
        <f>'[8]RES 62 &amp; 67'!$S221</f>
        <v>25.6</v>
      </c>
      <c r="AX136" s="210">
        <f t="shared" si="159"/>
        <v>53.2</v>
      </c>
      <c r="AY136" s="204">
        <f t="shared" si="148"/>
        <v>27.6</v>
      </c>
      <c r="AZ136" s="300">
        <f>'[8]RES 62 &amp; 67'!$J221</f>
        <v>180.8</v>
      </c>
      <c r="BA136" s="210">
        <f t="shared" si="160"/>
        <v>114.1</v>
      </c>
      <c r="BB136" s="430">
        <f t="shared" si="149"/>
        <v>-66.700000000000017</v>
      </c>
      <c r="BC136" s="211">
        <f t="shared" si="150"/>
        <v>59.616000000000007</v>
      </c>
      <c r="BD136" s="211">
        <f t="shared" si="151"/>
        <v>-16.836000000000002</v>
      </c>
      <c r="BE136" s="211">
        <f t="shared" si="152"/>
        <v>42.78</v>
      </c>
      <c r="BF136" s="212">
        <f t="shared" si="153"/>
        <v>-180.75700000000003</v>
      </c>
      <c r="BG136" s="220">
        <f t="shared" si="154"/>
        <v>-138</v>
      </c>
      <c r="BH136" s="89">
        <f t="shared" si="166"/>
        <v>1993</v>
      </c>
      <c r="BI136" s="89">
        <f t="shared" si="167"/>
        <v>12</v>
      </c>
      <c r="BN136" s="96"/>
      <c r="BO136" s="96"/>
      <c r="BT136" s="176"/>
    </row>
    <row r="137" spans="1:72">
      <c r="A137" s="13">
        <v>1994</v>
      </c>
      <c r="B137" s="13">
        <v>1</v>
      </c>
      <c r="C137" s="5">
        <v>1268288</v>
      </c>
      <c r="D137" s="73">
        <v>1108425</v>
      </c>
      <c r="E137" s="4">
        <f t="shared" si="137"/>
        <v>1268288</v>
      </c>
      <c r="F137" s="4">
        <f t="shared" si="138"/>
        <v>1108425</v>
      </c>
      <c r="G137" s="79">
        <f t="shared" si="139"/>
        <v>1144.2</v>
      </c>
      <c r="H137" s="13"/>
      <c r="I137" s="13"/>
      <c r="J137" s="230">
        <f>'[7]RES 62 &amp; 67'!$S222</f>
        <v>17</v>
      </c>
      <c r="K137" s="183">
        <f t="shared" si="155"/>
        <v>49.5</v>
      </c>
      <c r="L137" s="233">
        <f t="shared" si="169"/>
        <v>32.5</v>
      </c>
      <c r="M137" s="230">
        <f>'[7]RES 62 &amp; 67'!$J222</f>
        <v>198.1</v>
      </c>
      <c r="N137" s="183">
        <f t="shared" si="156"/>
        <v>131.6</v>
      </c>
      <c r="O137" s="236">
        <f t="shared" si="170"/>
        <v>-66.5</v>
      </c>
      <c r="P137" s="206">
        <f t="shared" si="140"/>
        <v>70.2</v>
      </c>
      <c r="Q137" s="208">
        <f t="shared" si="141"/>
        <v>-19.824999999999999</v>
      </c>
      <c r="R137" s="467">
        <f t="shared" si="142"/>
        <v>50.375</v>
      </c>
      <c r="S137" s="470">
        <f t="shared" si="143"/>
        <v>-180.215</v>
      </c>
      <c r="T137" s="425">
        <f t="shared" si="144"/>
        <v>-129.80000000000001</v>
      </c>
      <c r="U137" s="515">
        <f t="shared" si="145"/>
        <v>1108425</v>
      </c>
      <c r="V137" s="447">
        <v>34335</v>
      </c>
      <c r="W137" s="191">
        <f t="shared" si="130"/>
        <v>1014.4000000000001</v>
      </c>
      <c r="X137" s="73">
        <f t="shared" si="131"/>
        <v>1124386</v>
      </c>
      <c r="Y137" s="186">
        <v>0</v>
      </c>
      <c r="Z137" s="175">
        <f t="shared" si="146"/>
        <v>1124386</v>
      </c>
      <c r="AA137" s="40">
        <f t="shared" si="132"/>
        <v>-143902</v>
      </c>
      <c r="AB137" s="379">
        <f t="shared" si="147"/>
        <v>1124386</v>
      </c>
      <c r="AC137" s="81">
        <f>'[7]Gov 65 &amp; 70'!$B222</f>
        <v>30.65</v>
      </c>
      <c r="AD137" s="4">
        <f t="shared" si="133"/>
        <v>1115949</v>
      </c>
      <c r="AE137" s="4">
        <f t="shared" si="157"/>
        <v>64579</v>
      </c>
      <c r="AF137" s="23">
        <f t="shared" si="134"/>
        <v>1006.8</v>
      </c>
      <c r="AG137" s="75">
        <f t="shared" si="168"/>
        <v>31</v>
      </c>
      <c r="AI137" s="13" t="s">
        <v>194</v>
      </c>
      <c r="AU137" s="4">
        <v>1994</v>
      </c>
      <c r="AV137" s="4">
        <v>1</v>
      </c>
      <c r="AW137" s="230">
        <f>'[8]RES 62 &amp; 67'!$S222</f>
        <v>30.5</v>
      </c>
      <c r="AX137" s="200">
        <f t="shared" si="159"/>
        <v>50.5</v>
      </c>
      <c r="AY137" s="203">
        <f t="shared" si="148"/>
        <v>20</v>
      </c>
      <c r="AZ137" s="230">
        <f>'[8]RES 62 &amp; 67'!$J222</f>
        <v>157</v>
      </c>
      <c r="BA137" s="183">
        <f t="shared" si="160"/>
        <v>127.9</v>
      </c>
      <c r="BB137" s="429">
        <f t="shared" si="149"/>
        <v>-29.099999999999994</v>
      </c>
      <c r="BC137" s="206">
        <f t="shared" si="150"/>
        <v>43.2</v>
      </c>
      <c r="BD137" s="206">
        <f t="shared" si="151"/>
        <v>-12.2</v>
      </c>
      <c r="BE137" s="206">
        <f t="shared" si="152"/>
        <v>31.000000000000004</v>
      </c>
      <c r="BF137" s="207">
        <f t="shared" si="153"/>
        <v>-78.86099999999999</v>
      </c>
      <c r="BG137" s="219">
        <f t="shared" si="154"/>
        <v>-47.9</v>
      </c>
      <c r="BH137" s="4">
        <f t="shared" si="166"/>
        <v>1994</v>
      </c>
      <c r="BI137" s="4">
        <f t="shared" si="167"/>
        <v>1</v>
      </c>
      <c r="BT137" s="175"/>
    </row>
    <row r="138" spans="1:72">
      <c r="A138" s="13">
        <v>1994</v>
      </c>
      <c r="B138" s="13">
        <v>2</v>
      </c>
      <c r="C138" s="5">
        <v>1086709</v>
      </c>
      <c r="D138" s="73">
        <v>1113012</v>
      </c>
      <c r="E138" s="4">
        <f t="shared" si="137"/>
        <v>1086709</v>
      </c>
      <c r="F138" s="4">
        <f t="shared" si="138"/>
        <v>1113012</v>
      </c>
      <c r="G138" s="79">
        <f t="shared" si="139"/>
        <v>976.4</v>
      </c>
      <c r="H138" s="13"/>
      <c r="I138" s="13"/>
      <c r="J138" s="230">
        <f>'[7]RES 62 &amp; 67'!$S223</f>
        <v>50</v>
      </c>
      <c r="K138" s="183">
        <f t="shared" si="155"/>
        <v>43.3</v>
      </c>
      <c r="L138" s="233">
        <f t="shared" si="169"/>
        <v>-6.7000000000000028</v>
      </c>
      <c r="M138" s="230">
        <f>'[7]RES 62 &amp; 67'!$J223</f>
        <v>133.6</v>
      </c>
      <c r="N138" s="183">
        <f t="shared" si="156"/>
        <v>127.9</v>
      </c>
      <c r="O138" s="236">
        <f t="shared" si="170"/>
        <v>-5.6999999999999886</v>
      </c>
      <c r="P138" s="206">
        <f t="shared" si="140"/>
        <v>-14.472000000000007</v>
      </c>
      <c r="Q138" s="208">
        <f t="shared" si="141"/>
        <v>4.0870000000000015</v>
      </c>
      <c r="R138" s="467">
        <f t="shared" si="142"/>
        <v>-10.385000000000005</v>
      </c>
      <c r="S138" s="470">
        <f t="shared" si="143"/>
        <v>-15.446999999999969</v>
      </c>
      <c r="T138" s="425">
        <f t="shared" si="144"/>
        <v>-25.8</v>
      </c>
      <c r="U138" s="515">
        <f t="shared" si="145"/>
        <v>1113012</v>
      </c>
      <c r="V138" s="447">
        <v>34366</v>
      </c>
      <c r="W138" s="191">
        <f t="shared" si="130"/>
        <v>950.6</v>
      </c>
      <c r="X138" s="73">
        <f t="shared" si="131"/>
        <v>1058029</v>
      </c>
      <c r="Y138" s="186">
        <v>0</v>
      </c>
      <c r="Z138" s="175">
        <f t="shared" si="146"/>
        <v>1058029</v>
      </c>
      <c r="AA138" s="40">
        <f t="shared" si="132"/>
        <v>-28680</v>
      </c>
      <c r="AB138" s="379">
        <f t="shared" si="147"/>
        <v>1058029</v>
      </c>
      <c r="AC138" s="81">
        <f>'[7]Gov 65 &amp; 70'!$B223</f>
        <v>29.4</v>
      </c>
      <c r="AD138" s="4">
        <f t="shared" si="133"/>
        <v>1094736</v>
      </c>
      <c r="AE138" s="4">
        <f t="shared" si="157"/>
        <v>15044</v>
      </c>
      <c r="AF138" s="23">
        <f t="shared" si="134"/>
        <v>983.6</v>
      </c>
      <c r="AG138" s="75">
        <f t="shared" si="168"/>
        <v>-14.799999999999955</v>
      </c>
      <c r="AI138" s="13" t="s">
        <v>194</v>
      </c>
      <c r="AU138" s="4">
        <v>1994</v>
      </c>
      <c r="AV138" s="4">
        <v>2</v>
      </c>
      <c r="AW138" s="230">
        <f>'[8]RES 62 &amp; 67'!$S223</f>
        <v>82.8</v>
      </c>
      <c r="AX138" s="200">
        <f t="shared" si="159"/>
        <v>59.2</v>
      </c>
      <c r="AY138" s="203">
        <f t="shared" si="148"/>
        <v>-23.599999999999994</v>
      </c>
      <c r="AZ138" s="230">
        <f>'[8]RES 62 &amp; 67'!$J223</f>
        <v>68.3</v>
      </c>
      <c r="BA138" s="183">
        <f t="shared" si="160"/>
        <v>97.8</v>
      </c>
      <c r="BB138" s="429">
        <f t="shared" si="149"/>
        <v>29.5</v>
      </c>
      <c r="BC138" s="206">
        <f t="shared" si="150"/>
        <v>-50.975999999999992</v>
      </c>
      <c r="BD138" s="206">
        <f t="shared" si="151"/>
        <v>14.395999999999995</v>
      </c>
      <c r="BE138" s="206">
        <f t="shared" si="152"/>
        <v>-36.58</v>
      </c>
      <c r="BF138" s="207">
        <f t="shared" si="153"/>
        <v>79.944999999999993</v>
      </c>
      <c r="BG138" s="219">
        <f t="shared" si="154"/>
        <v>43.4</v>
      </c>
      <c r="BH138" s="4">
        <f t="shared" si="166"/>
        <v>1994</v>
      </c>
      <c r="BI138" s="4">
        <f t="shared" si="167"/>
        <v>2</v>
      </c>
      <c r="BT138" s="175"/>
    </row>
    <row r="139" spans="1:72">
      <c r="A139" s="13">
        <v>1994</v>
      </c>
      <c r="B139" s="13">
        <v>3</v>
      </c>
      <c r="C139" s="5">
        <v>885468</v>
      </c>
      <c r="D139" s="73">
        <v>1115225</v>
      </c>
      <c r="E139" s="4">
        <f t="shared" si="137"/>
        <v>885468</v>
      </c>
      <c r="F139" s="4">
        <f t="shared" si="138"/>
        <v>1115225</v>
      </c>
      <c r="G139" s="79">
        <f t="shared" si="139"/>
        <v>794</v>
      </c>
      <c r="H139" s="13"/>
      <c r="I139" s="13"/>
      <c r="J139" s="230">
        <f>'[7]RES 62 &amp; 67'!$S224</f>
        <v>83.6</v>
      </c>
      <c r="K139" s="183">
        <f t="shared" si="155"/>
        <v>77.2</v>
      </c>
      <c r="L139" s="233">
        <f t="shared" si="169"/>
        <v>-6.3999999999999915</v>
      </c>
      <c r="M139" s="230">
        <f>'[7]RES 62 &amp; 67'!$J224</f>
        <v>55.5</v>
      </c>
      <c r="N139" s="183">
        <f t="shared" si="156"/>
        <v>82.3</v>
      </c>
      <c r="O139" s="236">
        <f t="shared" si="170"/>
        <v>26.799999999999997</v>
      </c>
      <c r="P139" s="206">
        <f t="shared" si="140"/>
        <v>-13.823999999999982</v>
      </c>
      <c r="Q139" s="208">
        <f t="shared" si="141"/>
        <v>3.9039999999999946</v>
      </c>
      <c r="R139" s="467">
        <f t="shared" si="142"/>
        <v>-9.9199999999999875</v>
      </c>
      <c r="S139" s="470">
        <f t="shared" si="143"/>
        <v>72.627999999999986</v>
      </c>
      <c r="T139" s="425">
        <f t="shared" si="144"/>
        <v>62.7</v>
      </c>
      <c r="U139" s="515">
        <f t="shared" si="145"/>
        <v>1115225</v>
      </c>
      <c r="V139" s="447">
        <v>34394</v>
      </c>
      <c r="W139" s="191">
        <f t="shared" si="130"/>
        <v>856.7</v>
      </c>
      <c r="X139" s="73">
        <f t="shared" si="131"/>
        <v>955413</v>
      </c>
      <c r="Y139" s="186">
        <v>0</v>
      </c>
      <c r="Z139" s="175">
        <f t="shared" si="146"/>
        <v>955413</v>
      </c>
      <c r="AA139" s="40">
        <f t="shared" si="132"/>
        <v>69945</v>
      </c>
      <c r="AB139" s="379">
        <f t="shared" si="147"/>
        <v>955413</v>
      </c>
      <c r="AC139" s="81">
        <f>'[7]Gov 65 &amp; 70'!$B224</f>
        <v>29.4</v>
      </c>
      <c r="AD139" s="4">
        <f t="shared" si="133"/>
        <v>988560</v>
      </c>
      <c r="AE139" s="4">
        <f t="shared" si="157"/>
        <v>-15087</v>
      </c>
      <c r="AF139" s="23">
        <f t="shared" si="134"/>
        <v>886.4</v>
      </c>
      <c r="AG139" s="75">
        <f t="shared" si="168"/>
        <v>-40.100000000000023</v>
      </c>
      <c r="AI139" s="13" t="s">
        <v>194</v>
      </c>
      <c r="AU139" s="4">
        <v>1994</v>
      </c>
      <c r="AV139" s="4">
        <v>3</v>
      </c>
      <c r="AW139" s="230">
        <f>'[8]RES 62 &amp; 67'!$S224</f>
        <v>122.9</v>
      </c>
      <c r="AX139" s="200">
        <f t="shared" si="159"/>
        <v>105.8</v>
      </c>
      <c r="AY139" s="203">
        <f t="shared" si="148"/>
        <v>-17.100000000000009</v>
      </c>
      <c r="AZ139" s="230">
        <f>'[8]RES 62 &amp; 67'!$J224</f>
        <v>54.5</v>
      </c>
      <c r="BA139" s="183">
        <f t="shared" si="160"/>
        <v>49.9</v>
      </c>
      <c r="BB139" s="429">
        <f t="shared" si="149"/>
        <v>-4.6000000000000014</v>
      </c>
      <c r="BC139" s="206">
        <f t="shared" si="150"/>
        <v>-36.936000000000021</v>
      </c>
      <c r="BD139" s="206">
        <f t="shared" si="151"/>
        <v>10.431000000000004</v>
      </c>
      <c r="BE139" s="206">
        <f t="shared" si="152"/>
        <v>-26.505000000000017</v>
      </c>
      <c r="BF139" s="207">
        <f t="shared" si="153"/>
        <v>-12.466000000000003</v>
      </c>
      <c r="BG139" s="219">
        <f t="shared" si="154"/>
        <v>-39</v>
      </c>
      <c r="BH139" s="4">
        <f t="shared" si="166"/>
        <v>1994</v>
      </c>
      <c r="BI139" s="4">
        <f t="shared" si="167"/>
        <v>3</v>
      </c>
      <c r="BT139" s="175"/>
    </row>
    <row r="140" spans="1:72">
      <c r="A140" s="13">
        <v>1994</v>
      </c>
      <c r="B140" s="13">
        <v>4</v>
      </c>
      <c r="C140" s="5">
        <v>1001059</v>
      </c>
      <c r="D140" s="73">
        <v>1105523</v>
      </c>
      <c r="E140" s="4">
        <f t="shared" si="137"/>
        <v>1001059</v>
      </c>
      <c r="F140" s="4">
        <f t="shared" si="138"/>
        <v>1105523</v>
      </c>
      <c r="G140" s="79">
        <f t="shared" si="139"/>
        <v>905.5</v>
      </c>
      <c r="H140" s="13"/>
      <c r="I140" s="13"/>
      <c r="J140" s="230">
        <f>'[7]RES 62 &amp; 67'!$S225</f>
        <v>177</v>
      </c>
      <c r="K140" s="183">
        <f t="shared" si="155"/>
        <v>138.1</v>
      </c>
      <c r="L140" s="233">
        <f t="shared" si="169"/>
        <v>-38.900000000000006</v>
      </c>
      <c r="M140" s="230">
        <f>'[7]RES 62 &amp; 67'!$J225</f>
        <v>36.200000000000003</v>
      </c>
      <c r="N140" s="183">
        <f t="shared" si="156"/>
        <v>37.299999999999997</v>
      </c>
      <c r="O140" s="236">
        <f t="shared" si="170"/>
        <v>1.0999999999999943</v>
      </c>
      <c r="P140" s="206">
        <f t="shared" si="140"/>
        <v>-84.024000000000015</v>
      </c>
      <c r="Q140" s="208">
        <f t="shared" si="141"/>
        <v>23.729000000000003</v>
      </c>
      <c r="R140" s="467">
        <f t="shared" si="142"/>
        <v>-60.295000000000016</v>
      </c>
      <c r="S140" s="470">
        <f t="shared" si="143"/>
        <v>2.9809999999999848</v>
      </c>
      <c r="T140" s="425">
        <f t="shared" si="144"/>
        <v>-57.3</v>
      </c>
      <c r="U140" s="515">
        <f t="shared" si="145"/>
        <v>1105523</v>
      </c>
      <c r="V140" s="447">
        <v>34425</v>
      </c>
      <c r="W140" s="191">
        <f t="shared" si="130"/>
        <v>848.2</v>
      </c>
      <c r="X140" s="73">
        <f t="shared" si="131"/>
        <v>937705</v>
      </c>
      <c r="Y140" s="186">
        <v>0</v>
      </c>
      <c r="Z140" s="175">
        <f t="shared" si="146"/>
        <v>937705</v>
      </c>
      <c r="AA140" s="40">
        <f t="shared" si="132"/>
        <v>-63354</v>
      </c>
      <c r="AB140" s="379">
        <f t="shared" si="147"/>
        <v>937705</v>
      </c>
      <c r="AC140" s="81">
        <f>'[7]Gov 65 &amp; 70'!$B225</f>
        <v>32.049999999999997</v>
      </c>
      <c r="AD140" s="4">
        <f t="shared" si="133"/>
        <v>890015</v>
      </c>
      <c r="AE140" s="4">
        <f t="shared" si="157"/>
        <v>-30970</v>
      </c>
      <c r="AF140" s="23">
        <f t="shared" si="134"/>
        <v>805.1</v>
      </c>
      <c r="AG140" s="75">
        <f t="shared" si="168"/>
        <v>-44.399999999999977</v>
      </c>
      <c r="AI140" s="13" t="s">
        <v>194</v>
      </c>
      <c r="AU140" s="4">
        <v>1994</v>
      </c>
      <c r="AV140" s="4">
        <v>4</v>
      </c>
      <c r="AW140" s="230">
        <f>'[8]RES 62 &amp; 67'!$S225</f>
        <v>238</v>
      </c>
      <c r="AX140" s="200">
        <f t="shared" si="159"/>
        <v>181.7</v>
      </c>
      <c r="AY140" s="203">
        <f t="shared" si="148"/>
        <v>-56.300000000000011</v>
      </c>
      <c r="AZ140" s="230">
        <f>'[8]RES 62 &amp; 67'!$J225</f>
        <v>10</v>
      </c>
      <c r="BA140" s="183">
        <f t="shared" si="160"/>
        <v>21.5</v>
      </c>
      <c r="BB140" s="429">
        <f t="shared" si="149"/>
        <v>11.5</v>
      </c>
      <c r="BC140" s="206">
        <f t="shared" si="150"/>
        <v>-121.60800000000003</v>
      </c>
      <c r="BD140" s="206">
        <f t="shared" si="151"/>
        <v>17.171500000000002</v>
      </c>
      <c r="BE140" s="206">
        <f t="shared" si="152"/>
        <v>-104.43650000000002</v>
      </c>
      <c r="BF140" s="207">
        <f t="shared" si="153"/>
        <v>31.164999999999999</v>
      </c>
      <c r="BG140" s="219">
        <f t="shared" si="154"/>
        <v>-73.3</v>
      </c>
      <c r="BH140" s="4">
        <f t="shared" si="166"/>
        <v>1994</v>
      </c>
      <c r="BI140" s="4">
        <f t="shared" si="167"/>
        <v>4</v>
      </c>
      <c r="BT140" s="175"/>
    </row>
    <row r="141" spans="1:72">
      <c r="A141" s="13">
        <v>1994</v>
      </c>
      <c r="B141" s="13">
        <v>5</v>
      </c>
      <c r="C141" s="5">
        <v>1077678</v>
      </c>
      <c r="D141" s="73">
        <v>1089368</v>
      </c>
      <c r="E141" s="4">
        <f t="shared" si="137"/>
        <v>1077678</v>
      </c>
      <c r="F141" s="4">
        <f t="shared" si="138"/>
        <v>1089368</v>
      </c>
      <c r="G141" s="79">
        <f t="shared" si="139"/>
        <v>989.3</v>
      </c>
      <c r="H141" s="13"/>
      <c r="I141" s="13"/>
      <c r="J141" s="230">
        <f>'[7]RES 62 &amp; 67'!$S226</f>
        <v>284.2</v>
      </c>
      <c r="K141" s="183">
        <f t="shared" si="155"/>
        <v>224.4</v>
      </c>
      <c r="L141" s="233">
        <f t="shared" si="169"/>
        <v>-59.799999999999983</v>
      </c>
      <c r="M141" s="230">
        <f>'[7]RES 62 &amp; 67'!$J226</f>
        <v>3</v>
      </c>
      <c r="N141" s="183">
        <f t="shared" si="156"/>
        <v>11.2</v>
      </c>
      <c r="O141" s="236">
        <f t="shared" si="170"/>
        <v>8.1999999999999993</v>
      </c>
      <c r="P141" s="206">
        <f t="shared" si="140"/>
        <v>-129.16799999999998</v>
      </c>
      <c r="Q141" s="208">
        <f t="shared" si="141"/>
        <v>0</v>
      </c>
      <c r="R141" s="467">
        <f t="shared" si="142"/>
        <v>-129.16799999999998</v>
      </c>
      <c r="S141" s="470">
        <f t="shared" si="143"/>
        <v>22.221999999999998</v>
      </c>
      <c r="T141" s="425">
        <f t="shared" si="144"/>
        <v>-106.9</v>
      </c>
      <c r="U141" s="515">
        <f t="shared" si="145"/>
        <v>1089368</v>
      </c>
      <c r="V141" s="447">
        <v>34455</v>
      </c>
      <c r="W141" s="191">
        <f t="shared" si="130"/>
        <v>882.4</v>
      </c>
      <c r="X141" s="73">
        <f t="shared" si="131"/>
        <v>961258</v>
      </c>
      <c r="Y141" s="186">
        <v>0</v>
      </c>
      <c r="Z141" s="175">
        <f t="shared" si="146"/>
        <v>961258</v>
      </c>
      <c r="AA141" s="40">
        <f t="shared" si="132"/>
        <v>-116420</v>
      </c>
      <c r="AB141" s="379">
        <f t="shared" si="147"/>
        <v>961258</v>
      </c>
      <c r="AC141" s="81">
        <f>'[7]Gov 65 &amp; 70'!$B226</f>
        <v>29.55</v>
      </c>
      <c r="AD141" s="4">
        <f t="shared" si="133"/>
        <v>989559</v>
      </c>
      <c r="AE141" s="4">
        <f t="shared" si="157"/>
        <v>21402</v>
      </c>
      <c r="AF141" s="23">
        <f t="shared" si="134"/>
        <v>908.4</v>
      </c>
      <c r="AG141" s="75">
        <f t="shared" si="168"/>
        <v>3.1999999999999318</v>
      </c>
      <c r="AI141" s="13" t="s">
        <v>194</v>
      </c>
      <c r="AU141" s="4">
        <v>1994</v>
      </c>
      <c r="AV141" s="4">
        <v>5</v>
      </c>
      <c r="AW141" s="230">
        <f>'[8]RES 62 &amp; 67'!$S226</f>
        <v>330.3</v>
      </c>
      <c r="AX141" s="200">
        <f t="shared" si="159"/>
        <v>336.7</v>
      </c>
      <c r="AY141" s="203">
        <f t="shared" si="148"/>
        <v>6.3999999999999773</v>
      </c>
      <c r="AZ141" s="230">
        <f>'[8]RES 62 &amp; 67'!$J226</f>
        <v>2.1</v>
      </c>
      <c r="BA141" s="183">
        <f t="shared" si="160"/>
        <v>2.1</v>
      </c>
      <c r="BB141" s="429">
        <f t="shared" si="149"/>
        <v>0</v>
      </c>
      <c r="BC141" s="206">
        <f t="shared" si="150"/>
        <v>13.823999999999952</v>
      </c>
      <c r="BD141" s="206">
        <f t="shared" si="151"/>
        <v>0</v>
      </c>
      <c r="BE141" s="206">
        <f t="shared" si="152"/>
        <v>13.823999999999952</v>
      </c>
      <c r="BF141" s="207">
        <f t="shared" si="153"/>
        <v>0</v>
      </c>
      <c r="BG141" s="219">
        <f t="shared" si="154"/>
        <v>13.8</v>
      </c>
      <c r="BH141" s="4">
        <f t="shared" si="166"/>
        <v>1994</v>
      </c>
      <c r="BI141" s="4">
        <f t="shared" si="167"/>
        <v>5</v>
      </c>
      <c r="BT141" s="175"/>
    </row>
    <row r="142" spans="1:72">
      <c r="A142" s="13">
        <v>1994</v>
      </c>
      <c r="B142" s="13">
        <v>6</v>
      </c>
      <c r="C142" s="5">
        <v>1248896</v>
      </c>
      <c r="D142" s="73">
        <v>1085692</v>
      </c>
      <c r="E142" s="4">
        <f t="shared" si="137"/>
        <v>1248896</v>
      </c>
      <c r="F142" s="4">
        <f t="shared" si="138"/>
        <v>1085692</v>
      </c>
      <c r="G142" s="79">
        <f t="shared" si="139"/>
        <v>1150.3</v>
      </c>
      <c r="H142" s="13"/>
      <c r="I142" s="13"/>
      <c r="J142" s="230">
        <f>'[7]RES 62 &amp; 67'!$S227</f>
        <v>360.5</v>
      </c>
      <c r="K142" s="183">
        <f t="shared" si="155"/>
        <v>382.8</v>
      </c>
      <c r="L142" s="233">
        <f t="shared" si="169"/>
        <v>22.300000000000011</v>
      </c>
      <c r="M142" s="230">
        <f>'[7]RES 62 &amp; 67'!$J227</f>
        <v>1.6</v>
      </c>
      <c r="N142" s="183">
        <f t="shared" si="156"/>
        <v>0.9</v>
      </c>
      <c r="O142" s="236">
        <f t="shared" si="170"/>
        <v>-0.70000000000000007</v>
      </c>
      <c r="P142" s="206">
        <f t="shared" si="140"/>
        <v>48.168000000000028</v>
      </c>
      <c r="Q142" s="208">
        <f t="shared" si="141"/>
        <v>0</v>
      </c>
      <c r="R142" s="467">
        <f t="shared" si="142"/>
        <v>48.168000000000028</v>
      </c>
      <c r="S142" s="470">
        <f t="shared" si="143"/>
        <v>-1.8970000000000002</v>
      </c>
      <c r="T142" s="425">
        <f t="shared" si="144"/>
        <v>46.3</v>
      </c>
      <c r="U142" s="515">
        <f t="shared" si="145"/>
        <v>1085692</v>
      </c>
      <c r="V142" s="447">
        <v>34486</v>
      </c>
      <c r="W142" s="191">
        <f t="shared" si="130"/>
        <v>1196.5999999999999</v>
      </c>
      <c r="X142" s="73">
        <f t="shared" si="131"/>
        <v>1299139</v>
      </c>
      <c r="Y142" s="186">
        <v>0</v>
      </c>
      <c r="Z142" s="175">
        <f t="shared" si="146"/>
        <v>1299139</v>
      </c>
      <c r="AA142" s="40">
        <f t="shared" si="132"/>
        <v>50243</v>
      </c>
      <c r="AB142" s="379">
        <f t="shared" si="147"/>
        <v>1299139</v>
      </c>
      <c r="AC142" s="81">
        <f>'[7]Gov 65 &amp; 70'!$B227</f>
        <v>30.65</v>
      </c>
      <c r="AD142" s="4">
        <f t="shared" si="133"/>
        <v>1289390</v>
      </c>
      <c r="AE142" s="4">
        <f t="shared" si="157"/>
        <v>56969</v>
      </c>
      <c r="AF142" s="23">
        <f t="shared" si="134"/>
        <v>1187.5999999999999</v>
      </c>
      <c r="AG142" s="75">
        <f t="shared" ref="AG142:AG157" si="171">AF142-AF130</f>
        <v>30.5</v>
      </c>
      <c r="AI142" s="13" t="s">
        <v>194</v>
      </c>
      <c r="AU142" s="4">
        <v>1994</v>
      </c>
      <c r="AV142" s="4">
        <v>6</v>
      </c>
      <c r="AW142" s="230">
        <f>'[8]RES 62 &amp; 67'!$S227</f>
        <v>446.3</v>
      </c>
      <c r="AX142" s="200">
        <f t="shared" si="159"/>
        <v>425.2</v>
      </c>
      <c r="AY142" s="203">
        <f t="shared" si="148"/>
        <v>-21.100000000000023</v>
      </c>
      <c r="AZ142" s="230">
        <f>'[8]RES 62 &amp; 67'!$J227</f>
        <v>0</v>
      </c>
      <c r="BA142" s="183">
        <f t="shared" si="160"/>
        <v>0</v>
      </c>
      <c r="BB142" s="429">
        <f t="shared" si="149"/>
        <v>0</v>
      </c>
      <c r="BC142" s="206">
        <f t="shared" si="150"/>
        <v>-45.57600000000005</v>
      </c>
      <c r="BD142" s="206">
        <f t="shared" si="151"/>
        <v>0</v>
      </c>
      <c r="BE142" s="206">
        <f t="shared" si="152"/>
        <v>-45.57600000000005</v>
      </c>
      <c r="BF142" s="207">
        <f t="shared" si="153"/>
        <v>0</v>
      </c>
      <c r="BG142" s="219">
        <f t="shared" si="154"/>
        <v>-45.6</v>
      </c>
      <c r="BH142" s="4">
        <f t="shared" si="166"/>
        <v>1994</v>
      </c>
      <c r="BI142" s="4">
        <f t="shared" si="167"/>
        <v>6</v>
      </c>
      <c r="BT142" s="175"/>
    </row>
    <row r="143" spans="1:72">
      <c r="A143" s="13">
        <v>1994</v>
      </c>
      <c r="B143" s="13">
        <v>7</v>
      </c>
      <c r="C143" s="5">
        <v>1442417</v>
      </c>
      <c r="D143" s="73">
        <v>1085455</v>
      </c>
      <c r="E143" s="4">
        <f t="shared" si="137"/>
        <v>1442417</v>
      </c>
      <c r="F143" s="4">
        <f t="shared" si="138"/>
        <v>1085455</v>
      </c>
      <c r="G143" s="79">
        <f t="shared" si="139"/>
        <v>1328.9</v>
      </c>
      <c r="H143" s="13"/>
      <c r="I143" s="13"/>
      <c r="J143" s="230">
        <f>'[7]RES 62 &amp; 67'!$S228</f>
        <v>470.2</v>
      </c>
      <c r="K143" s="183">
        <f t="shared" si="155"/>
        <v>454.9</v>
      </c>
      <c r="L143" s="233">
        <f t="shared" si="169"/>
        <v>-15.300000000000011</v>
      </c>
      <c r="M143" s="230">
        <f>'[7]RES 62 &amp; 67'!$J228</f>
        <v>0</v>
      </c>
      <c r="N143" s="183">
        <f t="shared" si="156"/>
        <v>0</v>
      </c>
      <c r="O143" s="236">
        <f t="shared" si="170"/>
        <v>0</v>
      </c>
      <c r="P143" s="206">
        <f t="shared" si="140"/>
        <v>-33.04800000000003</v>
      </c>
      <c r="Q143" s="208">
        <f t="shared" si="141"/>
        <v>0</v>
      </c>
      <c r="R143" s="467">
        <f t="shared" si="142"/>
        <v>-33.04800000000003</v>
      </c>
      <c r="S143" s="470">
        <f t="shared" si="143"/>
        <v>0</v>
      </c>
      <c r="T143" s="425">
        <f t="shared" si="144"/>
        <v>-33</v>
      </c>
      <c r="U143" s="515">
        <f t="shared" si="145"/>
        <v>1085455</v>
      </c>
      <c r="V143" s="447">
        <v>34516</v>
      </c>
      <c r="W143" s="191">
        <f t="shared" si="130"/>
        <v>1295.9000000000001</v>
      </c>
      <c r="X143" s="73">
        <f t="shared" si="131"/>
        <v>1406641</v>
      </c>
      <c r="Y143" s="186">
        <v>0</v>
      </c>
      <c r="Z143" s="175">
        <f t="shared" si="146"/>
        <v>1406641</v>
      </c>
      <c r="AA143" s="40">
        <f t="shared" si="132"/>
        <v>-35776</v>
      </c>
      <c r="AB143" s="379">
        <f t="shared" si="147"/>
        <v>1406641</v>
      </c>
      <c r="AC143" s="81">
        <f>'[7]Gov 65 &amp; 70'!$B228</f>
        <v>30.65</v>
      </c>
      <c r="AD143" s="4">
        <f t="shared" si="133"/>
        <v>1396085</v>
      </c>
      <c r="AE143" s="4">
        <f t="shared" si="157"/>
        <v>35825</v>
      </c>
      <c r="AF143" s="23">
        <f t="shared" si="134"/>
        <v>1286.2</v>
      </c>
      <c r="AG143" s="75">
        <f t="shared" si="171"/>
        <v>9</v>
      </c>
      <c r="AI143" s="13" t="s">
        <v>194</v>
      </c>
      <c r="AU143" s="4">
        <v>1994</v>
      </c>
      <c r="AV143" s="4">
        <v>7</v>
      </c>
      <c r="AW143" s="230">
        <f>'[8]RES 62 &amp; 67'!$S228</f>
        <v>458.5</v>
      </c>
      <c r="AX143" s="200">
        <f t="shared" si="159"/>
        <v>484.1</v>
      </c>
      <c r="AY143" s="203">
        <f t="shared" si="148"/>
        <v>25.600000000000023</v>
      </c>
      <c r="AZ143" s="230">
        <f>'[8]RES 62 &amp; 67'!$J228</f>
        <v>0</v>
      </c>
      <c r="BA143" s="183">
        <f t="shared" si="160"/>
        <v>0</v>
      </c>
      <c r="BB143" s="429">
        <f t="shared" si="149"/>
        <v>0</v>
      </c>
      <c r="BC143" s="206">
        <f t="shared" si="150"/>
        <v>55.296000000000056</v>
      </c>
      <c r="BD143" s="206">
        <f t="shared" si="151"/>
        <v>0</v>
      </c>
      <c r="BE143" s="206">
        <f t="shared" si="152"/>
        <v>55.296000000000056</v>
      </c>
      <c r="BF143" s="207">
        <f t="shared" si="153"/>
        <v>0</v>
      </c>
      <c r="BG143" s="219">
        <f t="shared" si="154"/>
        <v>55.3</v>
      </c>
      <c r="BH143" s="4">
        <f t="shared" si="166"/>
        <v>1994</v>
      </c>
      <c r="BI143" s="4">
        <f t="shared" si="167"/>
        <v>7</v>
      </c>
      <c r="BT143" s="175"/>
    </row>
    <row r="144" spans="1:72">
      <c r="A144" s="13">
        <v>1994</v>
      </c>
      <c r="B144" s="13">
        <v>8</v>
      </c>
      <c r="C144" s="5">
        <v>1363724</v>
      </c>
      <c r="D144" s="73">
        <v>1086504</v>
      </c>
      <c r="E144" s="4">
        <f t="shared" si="137"/>
        <v>1363724</v>
      </c>
      <c r="F144" s="4">
        <f t="shared" si="138"/>
        <v>1086504</v>
      </c>
      <c r="G144" s="79">
        <f t="shared" si="139"/>
        <v>1255.0999999999999</v>
      </c>
      <c r="H144" s="13"/>
      <c r="I144" s="13"/>
      <c r="J144" s="230">
        <f>'[7]RES 62 &amp; 67'!$S229</f>
        <v>430.8</v>
      </c>
      <c r="K144" s="183">
        <f t="shared" si="155"/>
        <v>481.4</v>
      </c>
      <c r="L144" s="233">
        <f t="shared" si="169"/>
        <v>50.599999999999966</v>
      </c>
      <c r="M144" s="230">
        <f>'[7]RES 62 &amp; 67'!$J229</f>
        <v>0</v>
      </c>
      <c r="N144" s="183">
        <f t="shared" si="156"/>
        <v>0</v>
      </c>
      <c r="O144" s="236">
        <f t="shared" si="170"/>
        <v>0</v>
      </c>
      <c r="P144" s="206">
        <f t="shared" si="140"/>
        <v>109.29599999999994</v>
      </c>
      <c r="Q144" s="208">
        <f t="shared" si="141"/>
        <v>0</v>
      </c>
      <c r="R144" s="467">
        <f t="shared" si="142"/>
        <v>109.29599999999994</v>
      </c>
      <c r="S144" s="470">
        <f t="shared" si="143"/>
        <v>0</v>
      </c>
      <c r="T144" s="425">
        <f t="shared" si="144"/>
        <v>109.3</v>
      </c>
      <c r="U144" s="515">
        <f t="shared" si="145"/>
        <v>1086504</v>
      </c>
      <c r="V144" s="447">
        <v>34547</v>
      </c>
      <c r="W144" s="191">
        <f t="shared" si="130"/>
        <v>1364.3999999999999</v>
      </c>
      <c r="X144" s="73">
        <f t="shared" si="131"/>
        <v>1482426</v>
      </c>
      <c r="Y144" s="186">
        <v>0</v>
      </c>
      <c r="Z144" s="175">
        <f t="shared" si="146"/>
        <v>1482426</v>
      </c>
      <c r="AA144" s="40">
        <f t="shared" si="132"/>
        <v>118702</v>
      </c>
      <c r="AB144" s="379">
        <f t="shared" si="147"/>
        <v>1482426</v>
      </c>
      <c r="AC144" s="81">
        <f>'[7]Gov 65 &amp; 70'!$B229</f>
        <v>29.7</v>
      </c>
      <c r="AD144" s="4">
        <f t="shared" si="133"/>
        <v>1518364</v>
      </c>
      <c r="AE144" s="4">
        <f t="shared" si="157"/>
        <v>72579</v>
      </c>
      <c r="AF144" s="23">
        <f t="shared" si="134"/>
        <v>1397.5</v>
      </c>
      <c r="AG144" s="75">
        <f t="shared" si="171"/>
        <v>42</v>
      </c>
      <c r="AI144" s="13" t="s">
        <v>194</v>
      </c>
      <c r="AU144" s="4">
        <v>1994</v>
      </c>
      <c r="AV144" s="4">
        <v>8</v>
      </c>
      <c r="AW144" s="230">
        <f>'[8]RES 62 &amp; 67'!$S229</f>
        <v>434.8</v>
      </c>
      <c r="AX144" s="200">
        <f t="shared" si="159"/>
        <v>487.3</v>
      </c>
      <c r="AY144" s="203">
        <f t="shared" si="148"/>
        <v>52.5</v>
      </c>
      <c r="AZ144" s="230">
        <f>'[8]RES 62 &amp; 67'!$J229</f>
        <v>0</v>
      </c>
      <c r="BA144" s="183">
        <f t="shared" si="160"/>
        <v>0</v>
      </c>
      <c r="BB144" s="429">
        <f t="shared" si="149"/>
        <v>0</v>
      </c>
      <c r="BC144" s="206">
        <f t="shared" si="150"/>
        <v>113.4</v>
      </c>
      <c r="BD144" s="206">
        <f t="shared" si="151"/>
        <v>0</v>
      </c>
      <c r="BE144" s="206">
        <f t="shared" si="152"/>
        <v>113.4</v>
      </c>
      <c r="BF144" s="207">
        <f t="shared" si="153"/>
        <v>0</v>
      </c>
      <c r="BG144" s="219">
        <f t="shared" si="154"/>
        <v>113.4</v>
      </c>
      <c r="BH144" s="4">
        <f t="shared" si="166"/>
        <v>1994</v>
      </c>
      <c r="BI144" s="4">
        <f t="shared" si="167"/>
        <v>8</v>
      </c>
      <c r="BT144" s="175"/>
    </row>
    <row r="145" spans="1:72">
      <c r="A145" s="13">
        <v>1994</v>
      </c>
      <c r="B145" s="13">
        <v>9</v>
      </c>
      <c r="C145" s="5">
        <v>1401099</v>
      </c>
      <c r="D145" s="73">
        <v>1088893</v>
      </c>
      <c r="E145" s="4">
        <f t="shared" si="137"/>
        <v>1401099</v>
      </c>
      <c r="F145" s="4">
        <f t="shared" si="138"/>
        <v>1088893</v>
      </c>
      <c r="G145" s="79">
        <f t="shared" si="139"/>
        <v>1286.7</v>
      </c>
      <c r="H145" s="13"/>
      <c r="I145" s="13"/>
      <c r="J145" s="230">
        <f>'[7]RES 62 &amp; 67'!$S230</f>
        <v>434.4</v>
      </c>
      <c r="K145" s="183">
        <f t="shared" si="155"/>
        <v>473.7</v>
      </c>
      <c r="L145" s="233">
        <f t="shared" ref="L145:L160" si="172">(K145-J145)</f>
        <v>39.300000000000011</v>
      </c>
      <c r="M145" s="230">
        <f>'[7]RES 62 &amp; 67'!$J230</f>
        <v>0</v>
      </c>
      <c r="N145" s="183">
        <f t="shared" si="156"/>
        <v>0</v>
      </c>
      <c r="O145" s="236">
        <f t="shared" ref="O145:O160" si="173">(N145-M145)</f>
        <v>0</v>
      </c>
      <c r="P145" s="206">
        <f t="shared" si="140"/>
        <v>84.888000000000034</v>
      </c>
      <c r="Q145" s="208">
        <f t="shared" si="141"/>
        <v>0</v>
      </c>
      <c r="R145" s="467">
        <f t="shared" si="142"/>
        <v>84.888000000000034</v>
      </c>
      <c r="S145" s="470">
        <f t="shared" si="143"/>
        <v>0</v>
      </c>
      <c r="T145" s="425">
        <f t="shared" si="144"/>
        <v>84.9</v>
      </c>
      <c r="U145" s="515">
        <f t="shared" si="145"/>
        <v>1088893</v>
      </c>
      <c r="V145" s="447">
        <v>34578</v>
      </c>
      <c r="W145" s="191">
        <f t="shared" ref="W145:W208" si="174">(G145+T145)</f>
        <v>1371.6000000000001</v>
      </c>
      <c r="X145" s="73">
        <f t="shared" ref="X145:X208" si="175">ROUND(W145*F145/1000,0)</f>
        <v>1493526</v>
      </c>
      <c r="Y145" s="186">
        <v>0</v>
      </c>
      <c r="Z145" s="175">
        <f t="shared" si="146"/>
        <v>1493526</v>
      </c>
      <c r="AA145" s="40">
        <f t="shared" ref="AA145:AA208" si="176">Z145-C145</f>
        <v>92427</v>
      </c>
      <c r="AB145" s="379">
        <f t="shared" si="147"/>
        <v>1493526</v>
      </c>
      <c r="AC145" s="81">
        <f>'[7]Gov 65 &amp; 70'!$B230</f>
        <v>31.85</v>
      </c>
      <c r="AD145" s="4">
        <f t="shared" ref="AD145:AD208" si="177">ROUND(AB145/(AC145/30.42),0)</f>
        <v>1426470</v>
      </c>
      <c r="AE145" s="4">
        <f t="shared" si="157"/>
        <v>-39253</v>
      </c>
      <c r="AF145" s="23">
        <f t="shared" ref="AF145:AF208" si="178">ROUND((AD145/(D145)*1000),1)</f>
        <v>1310</v>
      </c>
      <c r="AG145" s="75">
        <f t="shared" si="171"/>
        <v>-61</v>
      </c>
      <c r="AI145" s="13" t="s">
        <v>194</v>
      </c>
      <c r="AU145" s="4">
        <v>1994</v>
      </c>
      <c r="AV145" s="4">
        <v>9</v>
      </c>
      <c r="AW145" s="230">
        <f>'[8]RES 62 &amp; 67'!$S230</f>
        <v>365.6</v>
      </c>
      <c r="AX145" s="200">
        <f t="shared" si="159"/>
        <v>428.3</v>
      </c>
      <c r="AY145" s="203">
        <f t="shared" si="148"/>
        <v>62.699999999999989</v>
      </c>
      <c r="AZ145" s="230">
        <f>'[8]RES 62 &amp; 67'!$J230</f>
        <v>0.1</v>
      </c>
      <c r="BA145" s="183">
        <f t="shared" si="160"/>
        <v>0</v>
      </c>
      <c r="BB145" s="429">
        <f t="shared" si="149"/>
        <v>-0.1</v>
      </c>
      <c r="BC145" s="206">
        <f t="shared" si="150"/>
        <v>135.43199999999999</v>
      </c>
      <c r="BD145" s="206">
        <f t="shared" si="151"/>
        <v>0</v>
      </c>
      <c r="BE145" s="206">
        <f t="shared" si="152"/>
        <v>135.43199999999999</v>
      </c>
      <c r="BF145" s="207">
        <f t="shared" si="153"/>
        <v>-0.27100000000000002</v>
      </c>
      <c r="BG145" s="219">
        <f t="shared" si="154"/>
        <v>135.19999999999999</v>
      </c>
      <c r="BH145" s="4">
        <f t="shared" ref="BH145:BH176" si="179">AU145</f>
        <v>1994</v>
      </c>
      <c r="BI145" s="4">
        <f t="shared" ref="BI145:BI176" si="180">AV145</f>
        <v>9</v>
      </c>
      <c r="BT145" s="175"/>
    </row>
    <row r="146" spans="1:72">
      <c r="A146" s="13">
        <v>1994</v>
      </c>
      <c r="B146" s="13">
        <v>10</v>
      </c>
      <c r="C146" s="5">
        <v>1168617</v>
      </c>
      <c r="D146" s="73">
        <v>1095551</v>
      </c>
      <c r="E146" s="4">
        <f t="shared" ref="E146:F186" si="181">C146</f>
        <v>1168617</v>
      </c>
      <c r="F146" s="4">
        <f t="shared" si="181"/>
        <v>1095551</v>
      </c>
      <c r="G146" s="79">
        <f t="shared" ref="G146:G209" si="182">ROUND((E146)/F146*1000,1)</f>
        <v>1066.7</v>
      </c>
      <c r="H146" s="13"/>
      <c r="I146" s="13"/>
      <c r="J146" s="230">
        <f>'[7]RES 62 &amp; 67'!$S231</f>
        <v>324.8</v>
      </c>
      <c r="K146" s="183">
        <f t="shared" si="155"/>
        <v>373.2</v>
      </c>
      <c r="L146" s="233">
        <f t="shared" si="172"/>
        <v>48.399999999999977</v>
      </c>
      <c r="M146" s="230">
        <f>'[7]RES 62 &amp; 67'!$J231</f>
        <v>0.4</v>
      </c>
      <c r="N146" s="183">
        <f t="shared" si="156"/>
        <v>1.3</v>
      </c>
      <c r="O146" s="236">
        <f t="shared" si="173"/>
        <v>0.9</v>
      </c>
      <c r="P146" s="206">
        <f t="shared" ref="P146:P209" si="183">L146*$C$10</f>
        <v>104.54399999999995</v>
      </c>
      <c r="Q146" s="208">
        <f t="shared" ref="Q146:Q209" si="184">IF($B146=12,L146*$C$11,IF($B146&lt;5,L146*$C$11,0))</f>
        <v>0</v>
      </c>
      <c r="R146" s="467">
        <f t="shared" ref="R146:R209" si="185">P146+Q146</f>
        <v>104.54399999999995</v>
      </c>
      <c r="S146" s="470">
        <f t="shared" ref="S146:S209" si="186">O146*$C$9</f>
        <v>2.4390000000000001</v>
      </c>
      <c r="T146" s="425">
        <f t="shared" ref="T146:T209" si="187">ROUND((R146+S146),1)</f>
        <v>107</v>
      </c>
      <c r="U146" s="515">
        <f t="shared" ref="U146:U148" si="188">D146</f>
        <v>1095551</v>
      </c>
      <c r="V146" s="447">
        <v>34608</v>
      </c>
      <c r="W146" s="191">
        <f t="shared" si="174"/>
        <v>1173.7</v>
      </c>
      <c r="X146" s="73">
        <f t="shared" si="175"/>
        <v>1285848</v>
      </c>
      <c r="Y146" s="186">
        <v>0</v>
      </c>
      <c r="Z146" s="175">
        <f t="shared" ref="Z146:Z209" si="189">Y146+X146</f>
        <v>1285848</v>
      </c>
      <c r="AA146" s="40">
        <f t="shared" si="176"/>
        <v>117231</v>
      </c>
      <c r="AB146" s="379">
        <f t="shared" ref="AB146:AB208" si="190">Z146</f>
        <v>1285848</v>
      </c>
      <c r="AC146" s="81">
        <f>'[7]Gov 65 &amp; 70'!$B231</f>
        <v>29.75</v>
      </c>
      <c r="AD146" s="4">
        <f t="shared" si="177"/>
        <v>1314807</v>
      </c>
      <c r="AE146" s="4">
        <f t="shared" si="157"/>
        <v>51738</v>
      </c>
      <c r="AF146" s="23">
        <f t="shared" si="178"/>
        <v>1200.0999999999999</v>
      </c>
      <c r="AG146" s="75">
        <f t="shared" si="171"/>
        <v>25</v>
      </c>
      <c r="AI146" s="13" t="s">
        <v>194</v>
      </c>
      <c r="AU146" s="4">
        <v>1994</v>
      </c>
      <c r="AV146" s="4">
        <v>10</v>
      </c>
      <c r="AW146" s="230">
        <f>'[8]RES 62 &amp; 67'!$S231</f>
        <v>273</v>
      </c>
      <c r="AX146" s="200">
        <f t="shared" si="159"/>
        <v>277.60000000000002</v>
      </c>
      <c r="AY146" s="203">
        <f t="shared" ref="AY146:AY193" si="191">AX146-AW146</f>
        <v>4.6000000000000227</v>
      </c>
      <c r="AZ146" s="230">
        <f>'[8]RES 62 &amp; 67'!$J231</f>
        <v>1.8</v>
      </c>
      <c r="BA146" s="183">
        <f t="shared" si="160"/>
        <v>8.5</v>
      </c>
      <c r="BB146" s="429">
        <f t="shared" ref="BB146:BB193" si="192">BA146-AZ146</f>
        <v>6.7</v>
      </c>
      <c r="BC146" s="206">
        <f t="shared" ref="BC146:BC209" si="193">AY146*$C$10</f>
        <v>9.9360000000000497</v>
      </c>
      <c r="BD146" s="206">
        <f t="shared" ref="BD146:BD209" si="194">IF($B146=4,(C$11*0.5*AY146),IF($B146=11,(C$11*0.5*AY146),IF($B146=12,AY146*$C$11,IF($B146&lt;5,AY146*$C$11,0))))</f>
        <v>0</v>
      </c>
      <c r="BE146" s="206">
        <f t="shared" ref="BE146:BE209" si="195">BC146+BD146</f>
        <v>9.9360000000000497</v>
      </c>
      <c r="BF146" s="207">
        <f t="shared" ref="BF146:BF209" si="196">BB146*$C$9</f>
        <v>18.157</v>
      </c>
      <c r="BG146" s="219">
        <f t="shared" ref="BG146:BG209" si="197">ROUND(BF146+BE146,1)</f>
        <v>28.1</v>
      </c>
      <c r="BH146" s="4">
        <f t="shared" si="179"/>
        <v>1994</v>
      </c>
      <c r="BI146" s="4">
        <f t="shared" si="180"/>
        <v>10</v>
      </c>
      <c r="BT146" s="175"/>
    </row>
    <row r="147" spans="1:72">
      <c r="A147" s="13">
        <v>1994</v>
      </c>
      <c r="B147" s="13">
        <v>11</v>
      </c>
      <c r="C147" s="5">
        <v>979273</v>
      </c>
      <c r="D147" s="73">
        <v>1110583</v>
      </c>
      <c r="E147" s="4">
        <f t="shared" si="181"/>
        <v>979273</v>
      </c>
      <c r="F147" s="4">
        <f t="shared" si="181"/>
        <v>1110583</v>
      </c>
      <c r="G147" s="79">
        <f t="shared" si="182"/>
        <v>881.8</v>
      </c>
      <c r="H147" s="13"/>
      <c r="I147" s="13"/>
      <c r="J147" s="230">
        <f>'[7]RES 62 &amp; 67'!$S232</f>
        <v>226</v>
      </c>
      <c r="K147" s="183">
        <f t="shared" si="155"/>
        <v>204.3</v>
      </c>
      <c r="L147" s="233">
        <f t="shared" si="172"/>
        <v>-21.699999999999989</v>
      </c>
      <c r="M147" s="230">
        <f>'[7]RES 62 &amp; 67'!$J232</f>
        <v>5</v>
      </c>
      <c r="N147" s="183">
        <f t="shared" si="156"/>
        <v>24.1</v>
      </c>
      <c r="O147" s="236">
        <f t="shared" si="173"/>
        <v>19.100000000000001</v>
      </c>
      <c r="P147" s="206">
        <f t="shared" si="183"/>
        <v>-46.871999999999979</v>
      </c>
      <c r="Q147" s="208">
        <f t="shared" si="184"/>
        <v>0</v>
      </c>
      <c r="R147" s="467">
        <f t="shared" si="185"/>
        <v>-46.871999999999979</v>
      </c>
      <c r="S147" s="470">
        <f t="shared" si="186"/>
        <v>51.761000000000003</v>
      </c>
      <c r="T147" s="425">
        <f t="shared" si="187"/>
        <v>4.9000000000000004</v>
      </c>
      <c r="U147" s="515">
        <f t="shared" si="188"/>
        <v>1110583</v>
      </c>
      <c r="V147" s="447">
        <v>34639</v>
      </c>
      <c r="W147" s="191">
        <f t="shared" si="174"/>
        <v>886.69999999999993</v>
      </c>
      <c r="X147" s="73">
        <f t="shared" si="175"/>
        <v>984754</v>
      </c>
      <c r="Y147" s="186">
        <v>0</v>
      </c>
      <c r="Z147" s="175">
        <f t="shared" si="189"/>
        <v>984754</v>
      </c>
      <c r="AA147" s="40">
        <f t="shared" si="176"/>
        <v>5481</v>
      </c>
      <c r="AB147" s="379">
        <f t="shared" si="190"/>
        <v>984754</v>
      </c>
      <c r="AC147" s="81">
        <f>'[7]Gov 65 &amp; 70'!$B232</f>
        <v>30.1</v>
      </c>
      <c r="AD147" s="4">
        <f t="shared" si="177"/>
        <v>995223</v>
      </c>
      <c r="AE147" s="4">
        <f t="shared" si="157"/>
        <v>43838</v>
      </c>
      <c r="AF147" s="23">
        <f t="shared" si="178"/>
        <v>896.1</v>
      </c>
      <c r="AG147" s="75">
        <f t="shared" si="171"/>
        <v>17</v>
      </c>
      <c r="AI147" s="13" t="s">
        <v>194</v>
      </c>
      <c r="AU147" s="4">
        <v>1994</v>
      </c>
      <c r="AV147" s="4">
        <v>11</v>
      </c>
      <c r="AW147" s="230">
        <f>'[8]RES 62 &amp; 67'!$S232</f>
        <v>172.7</v>
      </c>
      <c r="AX147" s="200">
        <f t="shared" si="159"/>
        <v>110.2</v>
      </c>
      <c r="AY147" s="203">
        <f t="shared" si="191"/>
        <v>-62.499999999999986</v>
      </c>
      <c r="AZ147" s="230">
        <f>'[8]RES 62 &amp; 67'!$J232</f>
        <v>14.7</v>
      </c>
      <c r="BA147" s="183">
        <f t="shared" si="160"/>
        <v>45.3</v>
      </c>
      <c r="BB147" s="429">
        <f t="shared" si="192"/>
        <v>30.599999999999998</v>
      </c>
      <c r="BC147" s="206">
        <f t="shared" si="193"/>
        <v>-134.99999999999997</v>
      </c>
      <c r="BD147" s="206">
        <f t="shared" si="194"/>
        <v>19.062499999999996</v>
      </c>
      <c r="BE147" s="206">
        <f t="shared" si="195"/>
        <v>-115.93749999999997</v>
      </c>
      <c r="BF147" s="207">
        <f t="shared" si="196"/>
        <v>82.925999999999988</v>
      </c>
      <c r="BG147" s="219">
        <f t="shared" si="197"/>
        <v>-33</v>
      </c>
      <c r="BH147" s="4">
        <f t="shared" si="179"/>
        <v>1994</v>
      </c>
      <c r="BI147" s="4">
        <f t="shared" si="180"/>
        <v>11</v>
      </c>
      <c r="BT147" s="175"/>
    </row>
    <row r="148" spans="1:72" s="89" customFormat="1" ht="12.75">
      <c r="A148" s="90">
        <v>1994</v>
      </c>
      <c r="B148" s="90">
        <v>12</v>
      </c>
      <c r="C148" s="103">
        <v>942944</v>
      </c>
      <c r="D148" s="104">
        <v>1122217</v>
      </c>
      <c r="E148" s="89">
        <f t="shared" si="181"/>
        <v>942944</v>
      </c>
      <c r="F148" s="89">
        <f t="shared" si="181"/>
        <v>1122217</v>
      </c>
      <c r="G148" s="301">
        <f t="shared" si="182"/>
        <v>840.3</v>
      </c>
      <c r="H148" s="90"/>
      <c r="I148" s="90"/>
      <c r="J148" s="300">
        <f>'[7]RES 62 &amp; 67'!$S233</f>
        <v>146.69999999999999</v>
      </c>
      <c r="K148" s="210">
        <f t="shared" si="155"/>
        <v>88</v>
      </c>
      <c r="L148" s="234">
        <f t="shared" si="172"/>
        <v>-58.699999999999989</v>
      </c>
      <c r="M148" s="300">
        <f>'[7]RES 62 &amp; 67'!$J233</f>
        <v>29.6</v>
      </c>
      <c r="N148" s="210">
        <f t="shared" si="156"/>
        <v>83.9</v>
      </c>
      <c r="O148" s="237">
        <f t="shared" si="173"/>
        <v>54.300000000000004</v>
      </c>
      <c r="P148" s="211">
        <f t="shared" si="183"/>
        <v>-126.79199999999999</v>
      </c>
      <c r="Q148" s="211">
        <f t="shared" si="184"/>
        <v>35.806999999999995</v>
      </c>
      <c r="R148" s="468">
        <f t="shared" si="185"/>
        <v>-90.984999999999985</v>
      </c>
      <c r="S148" s="471">
        <f t="shared" si="186"/>
        <v>147.15300000000002</v>
      </c>
      <c r="T148" s="426">
        <f t="shared" si="187"/>
        <v>56.2</v>
      </c>
      <c r="U148" s="515">
        <f t="shared" si="188"/>
        <v>1122217</v>
      </c>
      <c r="V148" s="447">
        <v>34669</v>
      </c>
      <c r="W148" s="95">
        <f t="shared" si="174"/>
        <v>896.5</v>
      </c>
      <c r="X148" s="104">
        <f t="shared" si="175"/>
        <v>1006068</v>
      </c>
      <c r="Y148" s="302">
        <v>0</v>
      </c>
      <c r="Z148" s="176">
        <f t="shared" si="189"/>
        <v>1006068</v>
      </c>
      <c r="AA148" s="116">
        <f t="shared" si="176"/>
        <v>63124</v>
      </c>
      <c r="AB148" s="517">
        <f t="shared" si="190"/>
        <v>1006068</v>
      </c>
      <c r="AC148" s="88">
        <f>'[7]Gov 65 &amp; 70'!$B233</f>
        <v>31.55</v>
      </c>
      <c r="AD148" s="89">
        <f t="shared" si="177"/>
        <v>970035</v>
      </c>
      <c r="AE148" s="89">
        <f t="shared" si="157"/>
        <v>-15471</v>
      </c>
      <c r="AF148" s="89">
        <f t="shared" si="178"/>
        <v>864.4</v>
      </c>
      <c r="AG148" s="91">
        <f t="shared" si="171"/>
        <v>-30.600000000000023</v>
      </c>
      <c r="AH148" s="252"/>
      <c r="AI148" s="90" t="s">
        <v>194</v>
      </c>
      <c r="AU148" s="89">
        <v>1994</v>
      </c>
      <c r="AV148" s="89">
        <v>12</v>
      </c>
      <c r="AW148" s="300">
        <f>'[8]RES 62 &amp; 67'!$S233</f>
        <v>65.900000000000006</v>
      </c>
      <c r="AX148" s="210">
        <f t="shared" si="159"/>
        <v>53.2</v>
      </c>
      <c r="AY148" s="204">
        <f t="shared" si="191"/>
        <v>-12.700000000000003</v>
      </c>
      <c r="AZ148" s="300">
        <f>'[8]RES 62 &amp; 67'!$J233</f>
        <v>78.099999999999994</v>
      </c>
      <c r="BA148" s="210">
        <f t="shared" si="160"/>
        <v>114.1</v>
      </c>
      <c r="BB148" s="430">
        <f t="shared" si="192"/>
        <v>36</v>
      </c>
      <c r="BC148" s="211">
        <f t="shared" si="193"/>
        <v>-27.432000000000009</v>
      </c>
      <c r="BD148" s="211">
        <f t="shared" si="194"/>
        <v>7.7470000000000017</v>
      </c>
      <c r="BE148" s="211">
        <f t="shared" si="195"/>
        <v>-19.685000000000009</v>
      </c>
      <c r="BF148" s="212">
        <f t="shared" si="196"/>
        <v>97.56</v>
      </c>
      <c r="BG148" s="220">
        <f t="shared" si="197"/>
        <v>77.900000000000006</v>
      </c>
      <c r="BH148" s="89">
        <f t="shared" si="179"/>
        <v>1994</v>
      </c>
      <c r="BI148" s="89">
        <f t="shared" si="180"/>
        <v>12</v>
      </c>
      <c r="BN148" s="96"/>
      <c r="BO148" s="96"/>
      <c r="BT148" s="176"/>
    </row>
    <row r="149" spans="1:72" s="23" customFormat="1" ht="12.75">
      <c r="A149" s="29">
        <v>1995</v>
      </c>
      <c r="B149" s="29">
        <v>1</v>
      </c>
      <c r="C149" s="141">
        <v>1107504</v>
      </c>
      <c r="D149" s="311">
        <v>1130616</v>
      </c>
      <c r="E149" s="23">
        <f t="shared" si="181"/>
        <v>1107504</v>
      </c>
      <c r="F149" s="23">
        <f t="shared" si="181"/>
        <v>1130616</v>
      </c>
      <c r="G149" s="312">
        <f t="shared" si="182"/>
        <v>979.6</v>
      </c>
      <c r="H149" s="29"/>
      <c r="I149" s="29"/>
      <c r="J149" s="183">
        <f>'[7]RES 62 &amp; 67'!$S234</f>
        <v>33.6</v>
      </c>
      <c r="K149" s="183">
        <f t="shared" si="155"/>
        <v>49.5</v>
      </c>
      <c r="L149" s="313">
        <f t="shared" si="172"/>
        <v>15.899999999999999</v>
      </c>
      <c r="M149" s="183">
        <f>'[7]RES 62 &amp; 67'!$J234</f>
        <v>115.6</v>
      </c>
      <c r="N149" s="183">
        <f t="shared" si="156"/>
        <v>131.6</v>
      </c>
      <c r="O149" s="314">
        <f t="shared" si="173"/>
        <v>16</v>
      </c>
      <c r="P149" s="208">
        <f t="shared" si="183"/>
        <v>34.344000000000001</v>
      </c>
      <c r="Q149" s="208">
        <f t="shared" si="184"/>
        <v>-9.6989999999999981</v>
      </c>
      <c r="R149" s="467">
        <f t="shared" si="185"/>
        <v>24.645000000000003</v>
      </c>
      <c r="S149" s="470">
        <f t="shared" si="186"/>
        <v>43.36</v>
      </c>
      <c r="T149" s="427">
        <f t="shared" si="187"/>
        <v>68</v>
      </c>
      <c r="U149" s="579">
        <f>[5]RC!$E29</f>
        <v>1130616</v>
      </c>
      <c r="V149" s="447">
        <v>34700</v>
      </c>
      <c r="W149" s="191">
        <f t="shared" si="174"/>
        <v>1047.5999999999999</v>
      </c>
      <c r="X149" s="311">
        <f t="shared" si="175"/>
        <v>1184433</v>
      </c>
      <c r="Y149" s="315">
        <v>0</v>
      </c>
      <c r="Z149" s="178">
        <f t="shared" si="189"/>
        <v>1184433</v>
      </c>
      <c r="AA149" s="84">
        <f t="shared" si="176"/>
        <v>76929</v>
      </c>
      <c r="AB149" s="379">
        <f t="shared" si="190"/>
        <v>1184433</v>
      </c>
      <c r="AC149" s="291">
        <f>'[7]Gov 65 &amp; 70'!$B234</f>
        <v>30.5</v>
      </c>
      <c r="AD149" s="23">
        <f t="shared" si="177"/>
        <v>1181326</v>
      </c>
      <c r="AE149" s="23">
        <f t="shared" si="157"/>
        <v>65377</v>
      </c>
      <c r="AF149" s="23">
        <f t="shared" si="178"/>
        <v>1044.9000000000001</v>
      </c>
      <c r="AG149" s="316">
        <f t="shared" si="171"/>
        <v>38.100000000000136</v>
      </c>
      <c r="AI149" s="29" t="s">
        <v>194</v>
      </c>
      <c r="AU149" s="23">
        <v>1995</v>
      </c>
      <c r="AV149" s="23">
        <v>1</v>
      </c>
      <c r="AW149" s="230">
        <f>'[8]RES 62 &amp; 67'!$S234</f>
        <v>18.3</v>
      </c>
      <c r="AX149" s="183">
        <f t="shared" si="159"/>
        <v>50.5</v>
      </c>
      <c r="AY149" s="317">
        <f t="shared" si="191"/>
        <v>32.200000000000003</v>
      </c>
      <c r="AZ149" s="230">
        <f>'[8]RES 62 &amp; 67'!$J234</f>
        <v>175</v>
      </c>
      <c r="BA149" s="183">
        <f t="shared" si="160"/>
        <v>127.9</v>
      </c>
      <c r="BB149" s="429">
        <f t="shared" si="192"/>
        <v>-47.099999999999994</v>
      </c>
      <c r="BC149" s="208">
        <f t="shared" si="193"/>
        <v>69.552000000000007</v>
      </c>
      <c r="BD149" s="208">
        <f t="shared" si="194"/>
        <v>-19.642000000000003</v>
      </c>
      <c r="BE149" s="208">
        <f t="shared" si="195"/>
        <v>49.910000000000004</v>
      </c>
      <c r="BF149" s="209">
        <f t="shared" si="196"/>
        <v>-127.64099999999998</v>
      </c>
      <c r="BG149" s="318">
        <f t="shared" si="197"/>
        <v>-77.7</v>
      </c>
      <c r="BH149" s="23">
        <f t="shared" si="179"/>
        <v>1995</v>
      </c>
      <c r="BI149" s="23">
        <f t="shared" si="180"/>
        <v>1</v>
      </c>
      <c r="BN149" s="46"/>
      <c r="BO149" s="46"/>
      <c r="BT149" s="178"/>
    </row>
    <row r="150" spans="1:72">
      <c r="A150" s="13">
        <v>1995</v>
      </c>
      <c r="B150" s="13">
        <v>2</v>
      </c>
      <c r="C150" s="5">
        <v>1245946</v>
      </c>
      <c r="D150" s="73">
        <v>1135042</v>
      </c>
      <c r="E150" s="4">
        <f t="shared" si="181"/>
        <v>1245946</v>
      </c>
      <c r="F150" s="4">
        <f t="shared" si="181"/>
        <v>1135042</v>
      </c>
      <c r="G150" s="79">
        <f t="shared" si="182"/>
        <v>1097.7</v>
      </c>
      <c r="H150" s="13"/>
      <c r="I150" s="13"/>
      <c r="J150" s="230">
        <f>'[7]RES 62 &amp; 67'!$S235</f>
        <v>21.3</v>
      </c>
      <c r="K150" s="183">
        <f t="shared" si="155"/>
        <v>43.3</v>
      </c>
      <c r="L150" s="233">
        <f t="shared" si="172"/>
        <v>21.999999999999996</v>
      </c>
      <c r="M150" s="230">
        <f>'[7]RES 62 &amp; 67'!$J235</f>
        <v>191.1</v>
      </c>
      <c r="N150" s="183">
        <f t="shared" si="156"/>
        <v>127.9</v>
      </c>
      <c r="O150" s="236">
        <f t="shared" si="173"/>
        <v>-63.199999999999989</v>
      </c>
      <c r="P150" s="206">
        <f t="shared" si="183"/>
        <v>47.519999999999996</v>
      </c>
      <c r="Q150" s="208">
        <f t="shared" si="184"/>
        <v>-13.419999999999998</v>
      </c>
      <c r="R150" s="467">
        <f t="shared" si="185"/>
        <v>34.099999999999994</v>
      </c>
      <c r="S150" s="470">
        <f t="shared" si="186"/>
        <v>-171.27199999999996</v>
      </c>
      <c r="T150" s="425">
        <f t="shared" si="187"/>
        <v>-137.19999999999999</v>
      </c>
      <c r="U150" s="579">
        <f>[5]RC!$E30</f>
        <v>1135042</v>
      </c>
      <c r="V150" s="447">
        <v>34731</v>
      </c>
      <c r="W150" s="191">
        <f t="shared" si="174"/>
        <v>960.5</v>
      </c>
      <c r="X150" s="73">
        <f t="shared" si="175"/>
        <v>1090208</v>
      </c>
      <c r="Y150" s="186">
        <v>0</v>
      </c>
      <c r="Z150" s="175">
        <f t="shared" si="189"/>
        <v>1090208</v>
      </c>
      <c r="AA150" s="40">
        <f t="shared" si="176"/>
        <v>-155738</v>
      </c>
      <c r="AB150" s="379">
        <f t="shared" si="190"/>
        <v>1090208</v>
      </c>
      <c r="AC150" s="81">
        <f>'[7]Gov 65 &amp; 70'!$B235</f>
        <v>29.65</v>
      </c>
      <c r="AD150" s="4">
        <f t="shared" si="177"/>
        <v>1118520</v>
      </c>
      <c r="AE150" s="4">
        <f t="shared" si="157"/>
        <v>23784</v>
      </c>
      <c r="AF150" s="23">
        <f t="shared" si="178"/>
        <v>985.4</v>
      </c>
      <c r="AG150" s="75">
        <f t="shared" si="171"/>
        <v>1.7999999999999545</v>
      </c>
      <c r="AI150" s="13" t="s">
        <v>194</v>
      </c>
      <c r="AU150" s="4">
        <v>1995</v>
      </c>
      <c r="AV150" s="4">
        <v>2</v>
      </c>
      <c r="AW150" s="230">
        <f>'[8]RES 62 &amp; 67'!$S235</f>
        <v>46.1</v>
      </c>
      <c r="AX150" s="200">
        <f t="shared" si="159"/>
        <v>59.2</v>
      </c>
      <c r="AY150" s="203">
        <f t="shared" si="191"/>
        <v>13.100000000000001</v>
      </c>
      <c r="AZ150" s="230">
        <f>'[8]RES 62 &amp; 67'!$J235</f>
        <v>136.6</v>
      </c>
      <c r="BA150" s="183">
        <f t="shared" si="160"/>
        <v>97.8</v>
      </c>
      <c r="BB150" s="429">
        <f t="shared" si="192"/>
        <v>-38.799999999999997</v>
      </c>
      <c r="BC150" s="206">
        <f t="shared" si="193"/>
        <v>28.296000000000006</v>
      </c>
      <c r="BD150" s="206">
        <f t="shared" si="194"/>
        <v>-7.9910000000000005</v>
      </c>
      <c r="BE150" s="206">
        <f t="shared" si="195"/>
        <v>20.305000000000007</v>
      </c>
      <c r="BF150" s="207">
        <f t="shared" si="196"/>
        <v>-105.148</v>
      </c>
      <c r="BG150" s="219">
        <f t="shared" si="197"/>
        <v>-84.8</v>
      </c>
      <c r="BH150" s="4">
        <f t="shared" si="179"/>
        <v>1995</v>
      </c>
      <c r="BI150" s="4">
        <f t="shared" si="180"/>
        <v>2</v>
      </c>
      <c r="BT150" s="175"/>
    </row>
    <row r="151" spans="1:72">
      <c r="A151" s="13">
        <v>1995</v>
      </c>
      <c r="B151" s="13">
        <v>3</v>
      </c>
      <c r="C151" s="5">
        <v>966912</v>
      </c>
      <c r="D151" s="73">
        <v>1116534</v>
      </c>
      <c r="E151" s="4">
        <f t="shared" si="181"/>
        <v>966912</v>
      </c>
      <c r="F151" s="4">
        <f t="shared" si="181"/>
        <v>1116534</v>
      </c>
      <c r="G151" s="79">
        <f t="shared" si="182"/>
        <v>866</v>
      </c>
      <c r="H151" s="13"/>
      <c r="I151" s="13"/>
      <c r="J151" s="230">
        <f>'[7]RES 62 &amp; 67'!$S236</f>
        <v>66.7</v>
      </c>
      <c r="K151" s="183">
        <f t="shared" si="155"/>
        <v>77.2</v>
      </c>
      <c r="L151" s="233">
        <f t="shared" si="172"/>
        <v>10.5</v>
      </c>
      <c r="M151" s="230">
        <f>'[7]RES 62 &amp; 67'!$J236</f>
        <v>81.8</v>
      </c>
      <c r="N151" s="183">
        <f t="shared" si="156"/>
        <v>82.3</v>
      </c>
      <c r="O151" s="236">
        <f t="shared" si="173"/>
        <v>0.5</v>
      </c>
      <c r="P151" s="206">
        <f t="shared" si="183"/>
        <v>22.68</v>
      </c>
      <c r="Q151" s="208">
        <f t="shared" si="184"/>
        <v>-6.4050000000000002</v>
      </c>
      <c r="R151" s="467">
        <f t="shared" si="185"/>
        <v>16.274999999999999</v>
      </c>
      <c r="S151" s="470">
        <f t="shared" si="186"/>
        <v>1.355</v>
      </c>
      <c r="T151" s="425">
        <f t="shared" si="187"/>
        <v>17.600000000000001</v>
      </c>
      <c r="U151" s="579">
        <f>[5]RC!$E31</f>
        <v>1130585</v>
      </c>
      <c r="V151" s="447">
        <v>34759</v>
      </c>
      <c r="W151" s="191">
        <f t="shared" si="174"/>
        <v>883.6</v>
      </c>
      <c r="X151" s="73">
        <f t="shared" si="175"/>
        <v>986569</v>
      </c>
      <c r="Y151" s="186">
        <v>0</v>
      </c>
      <c r="Z151" s="175">
        <f t="shared" si="189"/>
        <v>986569</v>
      </c>
      <c r="AA151" s="40">
        <f t="shared" si="176"/>
        <v>19657</v>
      </c>
      <c r="AB151" s="379">
        <f t="shared" si="190"/>
        <v>986569</v>
      </c>
      <c r="AC151" s="81">
        <f>'[7]Gov 65 &amp; 70'!$B236</f>
        <v>29.4</v>
      </c>
      <c r="AD151" s="4">
        <f t="shared" si="177"/>
        <v>1020797</v>
      </c>
      <c r="AE151" s="4">
        <f t="shared" si="157"/>
        <v>32237</v>
      </c>
      <c r="AF151" s="23">
        <f t="shared" si="178"/>
        <v>914.3</v>
      </c>
      <c r="AG151" s="75">
        <f t="shared" si="171"/>
        <v>27.899999999999977</v>
      </c>
      <c r="AI151" s="13" t="s">
        <v>194</v>
      </c>
      <c r="AU151" s="4">
        <v>1995</v>
      </c>
      <c r="AV151" s="4">
        <v>3</v>
      </c>
      <c r="AW151" s="230">
        <f>'[8]RES 62 &amp; 67'!$S236</f>
        <v>109.1</v>
      </c>
      <c r="AX151" s="200">
        <f t="shared" si="159"/>
        <v>105.8</v>
      </c>
      <c r="AY151" s="203">
        <f t="shared" si="191"/>
        <v>-3.2999999999999972</v>
      </c>
      <c r="AZ151" s="230">
        <f>'[8]RES 62 &amp; 67'!$J236</f>
        <v>32.4</v>
      </c>
      <c r="BA151" s="183">
        <f t="shared" si="160"/>
        <v>49.9</v>
      </c>
      <c r="BB151" s="429">
        <f t="shared" si="192"/>
        <v>17.5</v>
      </c>
      <c r="BC151" s="206">
        <f t="shared" si="193"/>
        <v>-7.1279999999999939</v>
      </c>
      <c r="BD151" s="206">
        <f t="shared" si="194"/>
        <v>2.0129999999999981</v>
      </c>
      <c r="BE151" s="206">
        <f t="shared" si="195"/>
        <v>-5.1149999999999958</v>
      </c>
      <c r="BF151" s="207">
        <f t="shared" si="196"/>
        <v>47.424999999999997</v>
      </c>
      <c r="BG151" s="219">
        <f t="shared" si="197"/>
        <v>42.3</v>
      </c>
      <c r="BH151" s="4">
        <f t="shared" si="179"/>
        <v>1995</v>
      </c>
      <c r="BI151" s="4">
        <f t="shared" si="180"/>
        <v>3</v>
      </c>
      <c r="BT151" s="175"/>
    </row>
    <row r="152" spans="1:72">
      <c r="A152" s="13">
        <v>1995</v>
      </c>
      <c r="B152" s="13">
        <v>4</v>
      </c>
      <c r="C152" s="5">
        <v>973074</v>
      </c>
      <c r="D152" s="73">
        <v>1178220</v>
      </c>
      <c r="E152" s="4">
        <f t="shared" si="181"/>
        <v>973074</v>
      </c>
      <c r="F152" s="4">
        <f t="shared" si="181"/>
        <v>1178220</v>
      </c>
      <c r="G152" s="79">
        <f t="shared" si="182"/>
        <v>825.9</v>
      </c>
      <c r="H152" s="13"/>
      <c r="I152" s="13"/>
      <c r="J152" s="230">
        <f>'[7]RES 62 &amp; 67'!$S237</f>
        <v>139.6</v>
      </c>
      <c r="K152" s="183">
        <f t="shared" si="155"/>
        <v>138.1</v>
      </c>
      <c r="L152" s="233">
        <f t="shared" si="172"/>
        <v>-1.5</v>
      </c>
      <c r="M152" s="230">
        <f>'[7]RES 62 &amp; 67'!$J237</f>
        <v>22</v>
      </c>
      <c r="N152" s="183">
        <f t="shared" si="156"/>
        <v>37.299999999999997</v>
      </c>
      <c r="O152" s="236">
        <f t="shared" si="173"/>
        <v>15.299999999999997</v>
      </c>
      <c r="P152" s="206">
        <f t="shared" si="183"/>
        <v>-3.24</v>
      </c>
      <c r="Q152" s="208">
        <f t="shared" si="184"/>
        <v>0.91500000000000004</v>
      </c>
      <c r="R152" s="467">
        <f t="shared" si="185"/>
        <v>-2.3250000000000002</v>
      </c>
      <c r="S152" s="470">
        <f t="shared" si="186"/>
        <v>41.462999999999994</v>
      </c>
      <c r="T152" s="425">
        <f t="shared" si="187"/>
        <v>39.1</v>
      </c>
      <c r="U152" s="579">
        <f>[5]RC!$E32</f>
        <v>1128559</v>
      </c>
      <c r="V152" s="447">
        <v>34790</v>
      </c>
      <c r="W152" s="191">
        <f t="shared" si="174"/>
        <v>865</v>
      </c>
      <c r="X152" s="73">
        <f t="shared" si="175"/>
        <v>1019160</v>
      </c>
      <c r="Y152" s="186">
        <v>0</v>
      </c>
      <c r="Z152" s="175">
        <f t="shared" si="189"/>
        <v>1019160</v>
      </c>
      <c r="AA152" s="40">
        <f t="shared" si="176"/>
        <v>46086</v>
      </c>
      <c r="AB152" s="379">
        <f t="shared" si="190"/>
        <v>1019160</v>
      </c>
      <c r="AC152" s="81">
        <f>'[7]Gov 65 &amp; 70'!$B237</f>
        <v>31.4</v>
      </c>
      <c r="AD152" s="4">
        <f t="shared" si="177"/>
        <v>987352</v>
      </c>
      <c r="AE152" s="4">
        <f t="shared" si="157"/>
        <v>97337</v>
      </c>
      <c r="AF152" s="23">
        <f t="shared" si="178"/>
        <v>838</v>
      </c>
      <c r="AG152" s="75">
        <f t="shared" si="171"/>
        <v>32.899999999999977</v>
      </c>
      <c r="AI152" s="13" t="s">
        <v>194</v>
      </c>
      <c r="AU152" s="4">
        <v>1995</v>
      </c>
      <c r="AV152" s="4">
        <v>4</v>
      </c>
      <c r="AW152" s="230">
        <f>'[8]RES 62 &amp; 67'!$S237</f>
        <v>193.3</v>
      </c>
      <c r="AX152" s="200">
        <f t="shared" si="159"/>
        <v>181.7</v>
      </c>
      <c r="AY152" s="203">
        <f t="shared" si="191"/>
        <v>-11.600000000000023</v>
      </c>
      <c r="AZ152" s="230">
        <f>'[8]RES 62 &amp; 67'!$J237</f>
        <v>11.2</v>
      </c>
      <c r="BA152" s="183">
        <f t="shared" si="160"/>
        <v>21.5</v>
      </c>
      <c r="BB152" s="429">
        <f t="shared" si="192"/>
        <v>10.3</v>
      </c>
      <c r="BC152" s="206">
        <f t="shared" si="193"/>
        <v>-25.056000000000051</v>
      </c>
      <c r="BD152" s="206">
        <f t="shared" si="194"/>
        <v>3.5380000000000069</v>
      </c>
      <c r="BE152" s="206">
        <f t="shared" si="195"/>
        <v>-21.518000000000043</v>
      </c>
      <c r="BF152" s="207">
        <f t="shared" si="196"/>
        <v>27.913</v>
      </c>
      <c r="BG152" s="219">
        <f t="shared" si="197"/>
        <v>6.4</v>
      </c>
      <c r="BH152" s="4">
        <f t="shared" si="179"/>
        <v>1995</v>
      </c>
      <c r="BI152" s="4">
        <f t="shared" si="180"/>
        <v>4</v>
      </c>
      <c r="BT152" s="175"/>
    </row>
    <row r="153" spans="1:72">
      <c r="A153" s="13">
        <v>1995</v>
      </c>
      <c r="B153" s="13">
        <v>5</v>
      </c>
      <c r="C153" s="5">
        <v>1144542</v>
      </c>
      <c r="D153" s="73">
        <v>1094837</v>
      </c>
      <c r="E153" s="4">
        <f t="shared" si="181"/>
        <v>1144542</v>
      </c>
      <c r="F153" s="4">
        <f t="shared" si="181"/>
        <v>1094837</v>
      </c>
      <c r="G153" s="79">
        <f t="shared" si="182"/>
        <v>1045.4000000000001</v>
      </c>
      <c r="H153" s="13"/>
      <c r="I153" s="13"/>
      <c r="J153" s="230">
        <f>'[7]RES 62 &amp; 67'!$S238</f>
        <v>288.2</v>
      </c>
      <c r="K153" s="183">
        <f t="shared" si="155"/>
        <v>224.4</v>
      </c>
      <c r="L153" s="233">
        <f t="shared" si="172"/>
        <v>-63.799999999999983</v>
      </c>
      <c r="M153" s="230">
        <f>'[7]RES 62 &amp; 67'!$J238</f>
        <v>4.7</v>
      </c>
      <c r="N153" s="183">
        <f t="shared" si="156"/>
        <v>11.2</v>
      </c>
      <c r="O153" s="236">
        <f t="shared" si="173"/>
        <v>6.4999999999999991</v>
      </c>
      <c r="P153" s="206">
        <f t="shared" si="183"/>
        <v>-137.80799999999996</v>
      </c>
      <c r="Q153" s="208">
        <f t="shared" si="184"/>
        <v>0</v>
      </c>
      <c r="R153" s="467">
        <f t="shared" si="185"/>
        <v>-137.80799999999996</v>
      </c>
      <c r="S153" s="470">
        <f t="shared" si="186"/>
        <v>17.614999999999998</v>
      </c>
      <c r="T153" s="425">
        <f t="shared" si="187"/>
        <v>-120.2</v>
      </c>
      <c r="U153" s="579">
        <f>[5]RC!$E33</f>
        <v>1101209</v>
      </c>
      <c r="V153" s="447">
        <v>34820</v>
      </c>
      <c r="W153" s="191">
        <f t="shared" si="174"/>
        <v>925.2</v>
      </c>
      <c r="X153" s="73">
        <f t="shared" si="175"/>
        <v>1012943</v>
      </c>
      <c r="Y153" s="186">
        <v>0</v>
      </c>
      <c r="Z153" s="175">
        <f t="shared" si="189"/>
        <v>1012943</v>
      </c>
      <c r="AA153" s="40">
        <f t="shared" si="176"/>
        <v>-131599</v>
      </c>
      <c r="AB153" s="379">
        <f t="shared" si="190"/>
        <v>1012943</v>
      </c>
      <c r="AC153" s="81">
        <f>'[7]Gov 65 &amp; 70'!$B238</f>
        <v>30.2</v>
      </c>
      <c r="AD153" s="4">
        <f t="shared" si="177"/>
        <v>1020322</v>
      </c>
      <c r="AE153" s="4">
        <f t="shared" si="157"/>
        <v>30763</v>
      </c>
      <c r="AF153" s="23">
        <f t="shared" si="178"/>
        <v>931.9</v>
      </c>
      <c r="AG153" s="75">
        <f t="shared" si="171"/>
        <v>23.5</v>
      </c>
      <c r="AI153" s="13" t="s">
        <v>194</v>
      </c>
      <c r="AU153" s="4">
        <v>1995</v>
      </c>
      <c r="AV153" s="4">
        <v>5</v>
      </c>
      <c r="AW153" s="230">
        <f>'[8]RES 62 &amp; 67'!$S238</f>
        <v>415.5</v>
      </c>
      <c r="AX153" s="200">
        <f t="shared" si="159"/>
        <v>336.7</v>
      </c>
      <c r="AY153" s="203">
        <f t="shared" si="191"/>
        <v>-78.800000000000011</v>
      </c>
      <c r="AZ153" s="230">
        <f>'[8]RES 62 &amp; 67'!$J238</f>
        <v>0.5</v>
      </c>
      <c r="BA153" s="183">
        <f t="shared" si="160"/>
        <v>2.1</v>
      </c>
      <c r="BB153" s="429">
        <f t="shared" si="192"/>
        <v>1.6</v>
      </c>
      <c r="BC153" s="206">
        <f t="shared" si="193"/>
        <v>-170.20800000000003</v>
      </c>
      <c r="BD153" s="206">
        <f t="shared" si="194"/>
        <v>0</v>
      </c>
      <c r="BE153" s="206">
        <f t="shared" si="195"/>
        <v>-170.20800000000003</v>
      </c>
      <c r="BF153" s="207">
        <f t="shared" si="196"/>
        <v>4.3360000000000003</v>
      </c>
      <c r="BG153" s="219">
        <f t="shared" si="197"/>
        <v>-165.9</v>
      </c>
      <c r="BH153" s="4">
        <f t="shared" si="179"/>
        <v>1995</v>
      </c>
      <c r="BI153" s="4">
        <f t="shared" si="180"/>
        <v>5</v>
      </c>
      <c r="BT153" s="175"/>
    </row>
    <row r="154" spans="1:72">
      <c r="A154" s="13">
        <v>1995</v>
      </c>
      <c r="B154" s="13">
        <v>6</v>
      </c>
      <c r="C154" s="5">
        <v>1471599</v>
      </c>
      <c r="D154" s="73">
        <v>1115182</v>
      </c>
      <c r="E154" s="4">
        <f t="shared" si="181"/>
        <v>1471599</v>
      </c>
      <c r="F154" s="4">
        <f t="shared" si="181"/>
        <v>1115182</v>
      </c>
      <c r="G154" s="79">
        <f t="shared" si="182"/>
        <v>1319.6</v>
      </c>
      <c r="H154" s="13"/>
      <c r="I154" s="13"/>
      <c r="J154" s="230">
        <f>'[7]RES 62 &amp; 67'!$S239</f>
        <v>417.4</v>
      </c>
      <c r="K154" s="183">
        <f t="shared" si="155"/>
        <v>382.8</v>
      </c>
      <c r="L154" s="233">
        <f t="shared" si="172"/>
        <v>-34.599999999999966</v>
      </c>
      <c r="M154" s="230">
        <f>'[7]RES 62 &amp; 67'!$J239</f>
        <v>0.2</v>
      </c>
      <c r="N154" s="183">
        <f t="shared" si="156"/>
        <v>0.9</v>
      </c>
      <c r="O154" s="236">
        <f t="shared" si="173"/>
        <v>0.7</v>
      </c>
      <c r="P154" s="206">
        <f t="shared" si="183"/>
        <v>-74.735999999999933</v>
      </c>
      <c r="Q154" s="208">
        <f t="shared" si="184"/>
        <v>0</v>
      </c>
      <c r="R154" s="467">
        <f t="shared" si="185"/>
        <v>-74.735999999999933</v>
      </c>
      <c r="S154" s="470">
        <f t="shared" si="186"/>
        <v>1.8969999999999998</v>
      </c>
      <c r="T154" s="425">
        <f t="shared" si="187"/>
        <v>-72.8</v>
      </c>
      <c r="U154" s="579">
        <f>[5]RC!$E34</f>
        <v>1105285</v>
      </c>
      <c r="V154" s="447">
        <v>34851</v>
      </c>
      <c r="W154" s="191">
        <f t="shared" si="174"/>
        <v>1246.8</v>
      </c>
      <c r="X154" s="73">
        <f t="shared" si="175"/>
        <v>1390409</v>
      </c>
      <c r="Y154" s="186">
        <v>0</v>
      </c>
      <c r="Z154" s="175">
        <f t="shared" si="189"/>
        <v>1390409</v>
      </c>
      <c r="AA154" s="40">
        <f t="shared" si="176"/>
        <v>-81190</v>
      </c>
      <c r="AB154" s="379">
        <f t="shared" si="190"/>
        <v>1390409</v>
      </c>
      <c r="AC154" s="81">
        <f>'[7]Gov 65 &amp; 70'!$B239</f>
        <v>30.8</v>
      </c>
      <c r="AD154" s="4">
        <f t="shared" si="177"/>
        <v>1373255</v>
      </c>
      <c r="AE154" s="4">
        <f t="shared" si="157"/>
        <v>83865</v>
      </c>
      <c r="AF154" s="23">
        <f t="shared" si="178"/>
        <v>1231.4000000000001</v>
      </c>
      <c r="AG154" s="75">
        <f t="shared" si="171"/>
        <v>43.800000000000182</v>
      </c>
      <c r="AI154" s="13" t="s">
        <v>194</v>
      </c>
      <c r="AU154" s="4">
        <v>1995</v>
      </c>
      <c r="AV154" s="4">
        <v>6</v>
      </c>
      <c r="AW154" s="230">
        <f>'[8]RES 62 &amp; 67'!$S239</f>
        <v>388.2</v>
      </c>
      <c r="AX154" s="200">
        <f t="shared" si="159"/>
        <v>425.2</v>
      </c>
      <c r="AY154" s="203">
        <f t="shared" si="191"/>
        <v>37</v>
      </c>
      <c r="AZ154" s="230">
        <f>'[8]RES 62 &amp; 67'!$J239</f>
        <v>0.1</v>
      </c>
      <c r="BA154" s="183">
        <f t="shared" si="160"/>
        <v>0</v>
      </c>
      <c r="BB154" s="429">
        <f t="shared" si="192"/>
        <v>-0.1</v>
      </c>
      <c r="BC154" s="206">
        <f t="shared" si="193"/>
        <v>79.92</v>
      </c>
      <c r="BD154" s="206">
        <f t="shared" si="194"/>
        <v>0</v>
      </c>
      <c r="BE154" s="206">
        <f t="shared" si="195"/>
        <v>79.92</v>
      </c>
      <c r="BF154" s="207">
        <f t="shared" si="196"/>
        <v>-0.27100000000000002</v>
      </c>
      <c r="BG154" s="219">
        <f t="shared" si="197"/>
        <v>79.599999999999994</v>
      </c>
      <c r="BH154" s="4">
        <f t="shared" si="179"/>
        <v>1995</v>
      </c>
      <c r="BI154" s="4">
        <f t="shared" si="180"/>
        <v>6</v>
      </c>
      <c r="BT154" s="175"/>
    </row>
    <row r="155" spans="1:72">
      <c r="A155" s="13">
        <v>1995</v>
      </c>
      <c r="B155" s="13">
        <v>7</v>
      </c>
      <c r="C155" s="5">
        <v>1466071</v>
      </c>
      <c r="D155" s="73">
        <v>1093422</v>
      </c>
      <c r="E155" s="4">
        <f t="shared" si="181"/>
        <v>1466071</v>
      </c>
      <c r="F155" s="4">
        <f t="shared" si="181"/>
        <v>1093422</v>
      </c>
      <c r="G155" s="79">
        <f t="shared" si="182"/>
        <v>1340.8</v>
      </c>
      <c r="H155" s="13"/>
      <c r="I155" s="13"/>
      <c r="J155" s="230">
        <f>'[7]RES 62 &amp; 67'!$S240</f>
        <v>428.3</v>
      </c>
      <c r="K155" s="183">
        <f t="shared" si="155"/>
        <v>454.9</v>
      </c>
      <c r="L155" s="233">
        <f t="shared" si="172"/>
        <v>26.599999999999966</v>
      </c>
      <c r="M155" s="230">
        <f>'[7]RES 62 &amp; 67'!$J240</f>
        <v>0</v>
      </c>
      <c r="N155" s="183">
        <f t="shared" si="156"/>
        <v>0</v>
      </c>
      <c r="O155" s="236">
        <f t="shared" si="173"/>
        <v>0</v>
      </c>
      <c r="P155" s="206">
        <f t="shared" si="183"/>
        <v>57.455999999999932</v>
      </c>
      <c r="Q155" s="208">
        <f t="shared" si="184"/>
        <v>0</v>
      </c>
      <c r="R155" s="467">
        <f t="shared" si="185"/>
        <v>57.455999999999932</v>
      </c>
      <c r="S155" s="470">
        <f t="shared" si="186"/>
        <v>0</v>
      </c>
      <c r="T155" s="425">
        <f t="shared" si="187"/>
        <v>57.5</v>
      </c>
      <c r="U155" s="579">
        <f>[5]RC!$E35</f>
        <v>1106449</v>
      </c>
      <c r="V155" s="447">
        <v>34881</v>
      </c>
      <c r="W155" s="191">
        <f t="shared" si="174"/>
        <v>1398.3</v>
      </c>
      <c r="X155" s="73">
        <f t="shared" si="175"/>
        <v>1528932</v>
      </c>
      <c r="Y155" s="186">
        <v>0</v>
      </c>
      <c r="Z155" s="175">
        <f t="shared" si="189"/>
        <v>1528932</v>
      </c>
      <c r="AA155" s="40">
        <f t="shared" si="176"/>
        <v>62861</v>
      </c>
      <c r="AB155" s="379">
        <f t="shared" si="190"/>
        <v>1528932</v>
      </c>
      <c r="AC155" s="81">
        <f>'[7]Gov 65 &amp; 70'!$B240</f>
        <v>30.5</v>
      </c>
      <c r="AD155" s="4">
        <f t="shared" si="177"/>
        <v>1524922</v>
      </c>
      <c r="AE155" s="4">
        <f t="shared" si="157"/>
        <v>128837</v>
      </c>
      <c r="AF155" s="23">
        <f t="shared" si="178"/>
        <v>1394.6</v>
      </c>
      <c r="AG155" s="75">
        <f t="shared" si="171"/>
        <v>108.39999999999986</v>
      </c>
      <c r="AI155" s="13" t="s">
        <v>194</v>
      </c>
      <c r="AU155" s="4">
        <v>1995</v>
      </c>
      <c r="AV155" s="4">
        <v>7</v>
      </c>
      <c r="AW155" s="230">
        <f>'[8]RES 62 &amp; 67'!$S240</f>
        <v>478.4</v>
      </c>
      <c r="AX155" s="200">
        <f t="shared" si="159"/>
        <v>484.1</v>
      </c>
      <c r="AY155" s="203">
        <f t="shared" si="191"/>
        <v>5.7000000000000455</v>
      </c>
      <c r="AZ155" s="230">
        <f>'[8]RES 62 &amp; 67'!$J240</f>
        <v>0</v>
      </c>
      <c r="BA155" s="183">
        <f t="shared" si="160"/>
        <v>0</v>
      </c>
      <c r="BB155" s="429">
        <f t="shared" si="192"/>
        <v>0</v>
      </c>
      <c r="BC155" s="206">
        <f t="shared" si="193"/>
        <v>12.312000000000099</v>
      </c>
      <c r="BD155" s="206">
        <f t="shared" si="194"/>
        <v>0</v>
      </c>
      <c r="BE155" s="206">
        <f t="shared" si="195"/>
        <v>12.312000000000099</v>
      </c>
      <c r="BF155" s="207">
        <f t="shared" si="196"/>
        <v>0</v>
      </c>
      <c r="BG155" s="219">
        <f t="shared" si="197"/>
        <v>12.3</v>
      </c>
      <c r="BH155" s="4">
        <f t="shared" si="179"/>
        <v>1995</v>
      </c>
      <c r="BI155" s="4">
        <f t="shared" si="180"/>
        <v>7</v>
      </c>
      <c r="BT155" s="175"/>
    </row>
    <row r="156" spans="1:72">
      <c r="A156" s="13">
        <v>1995</v>
      </c>
      <c r="B156" s="13">
        <v>8</v>
      </c>
      <c r="C156" s="5">
        <v>1512211</v>
      </c>
      <c r="D156" s="73">
        <v>1095596</v>
      </c>
      <c r="E156" s="4">
        <f t="shared" si="181"/>
        <v>1512211</v>
      </c>
      <c r="F156" s="4">
        <f t="shared" si="181"/>
        <v>1095596</v>
      </c>
      <c r="G156" s="79">
        <f t="shared" si="182"/>
        <v>1380.3</v>
      </c>
      <c r="H156" s="13"/>
      <c r="I156" s="13"/>
      <c r="J156" s="230">
        <f>'[7]RES 62 &amp; 67'!$S241</f>
        <v>450.8</v>
      </c>
      <c r="K156" s="183">
        <f t="shared" si="155"/>
        <v>481.4</v>
      </c>
      <c r="L156" s="233">
        <f t="shared" si="172"/>
        <v>30.599999999999966</v>
      </c>
      <c r="M156" s="230">
        <f>'[7]RES 62 &amp; 67'!$J241</f>
        <v>0</v>
      </c>
      <c r="N156" s="183">
        <f t="shared" si="156"/>
        <v>0</v>
      </c>
      <c r="O156" s="236">
        <f t="shared" si="173"/>
        <v>0</v>
      </c>
      <c r="P156" s="206">
        <f t="shared" si="183"/>
        <v>66.095999999999933</v>
      </c>
      <c r="Q156" s="208">
        <f t="shared" si="184"/>
        <v>0</v>
      </c>
      <c r="R156" s="467">
        <f t="shared" si="185"/>
        <v>66.095999999999933</v>
      </c>
      <c r="S156" s="470">
        <f t="shared" si="186"/>
        <v>0</v>
      </c>
      <c r="T156" s="425">
        <f t="shared" si="187"/>
        <v>66.099999999999994</v>
      </c>
      <c r="U156" s="579">
        <f>[5]RC!$E36</f>
        <v>1112600</v>
      </c>
      <c r="V156" s="447">
        <v>34912</v>
      </c>
      <c r="W156" s="191">
        <f t="shared" si="174"/>
        <v>1446.3999999999999</v>
      </c>
      <c r="X156" s="73">
        <f t="shared" si="175"/>
        <v>1584670</v>
      </c>
      <c r="Y156" s="186">
        <v>0</v>
      </c>
      <c r="Z156" s="175">
        <f t="shared" si="189"/>
        <v>1584670</v>
      </c>
      <c r="AA156" s="40">
        <f t="shared" si="176"/>
        <v>72459</v>
      </c>
      <c r="AB156" s="379">
        <f t="shared" si="190"/>
        <v>1584670</v>
      </c>
      <c r="AC156" s="81">
        <f>'[7]Gov 65 &amp; 70'!$B241</f>
        <v>29.7</v>
      </c>
      <c r="AD156" s="4">
        <f t="shared" si="177"/>
        <v>1623086</v>
      </c>
      <c r="AE156" s="4">
        <f t="shared" si="157"/>
        <v>104722</v>
      </c>
      <c r="AF156" s="23">
        <f t="shared" si="178"/>
        <v>1481.5</v>
      </c>
      <c r="AG156" s="75">
        <f t="shared" si="171"/>
        <v>84</v>
      </c>
      <c r="AI156" s="13" t="s">
        <v>194</v>
      </c>
      <c r="AU156" s="4">
        <v>1995</v>
      </c>
      <c r="AV156" s="4">
        <v>8</v>
      </c>
      <c r="AW156" s="230">
        <f>'[8]RES 62 &amp; 67'!$S241</f>
        <v>484.4</v>
      </c>
      <c r="AX156" s="200">
        <f t="shared" si="159"/>
        <v>487.3</v>
      </c>
      <c r="AY156" s="203">
        <f t="shared" si="191"/>
        <v>2.9000000000000341</v>
      </c>
      <c r="AZ156" s="230">
        <f>'[8]RES 62 &amp; 67'!$J241</f>
        <v>0</v>
      </c>
      <c r="BA156" s="183">
        <f t="shared" si="160"/>
        <v>0</v>
      </c>
      <c r="BB156" s="429">
        <f t="shared" si="192"/>
        <v>0</v>
      </c>
      <c r="BC156" s="206">
        <f t="shared" si="193"/>
        <v>6.264000000000074</v>
      </c>
      <c r="BD156" s="206">
        <f t="shared" si="194"/>
        <v>0</v>
      </c>
      <c r="BE156" s="206">
        <f t="shared" si="195"/>
        <v>6.264000000000074</v>
      </c>
      <c r="BF156" s="207">
        <f t="shared" si="196"/>
        <v>0</v>
      </c>
      <c r="BG156" s="219">
        <f t="shared" si="197"/>
        <v>6.3</v>
      </c>
      <c r="BH156" s="4">
        <f t="shared" si="179"/>
        <v>1995</v>
      </c>
      <c r="BI156" s="4">
        <f t="shared" si="180"/>
        <v>8</v>
      </c>
      <c r="BT156" s="175"/>
    </row>
    <row r="157" spans="1:72">
      <c r="A157" s="13">
        <v>1995</v>
      </c>
      <c r="B157" s="13">
        <v>9</v>
      </c>
      <c r="C157" s="5">
        <v>1592843</v>
      </c>
      <c r="D157" s="73">
        <v>1133385</v>
      </c>
      <c r="E157" s="4">
        <f t="shared" si="181"/>
        <v>1592843</v>
      </c>
      <c r="F157" s="4">
        <f t="shared" si="181"/>
        <v>1133385</v>
      </c>
      <c r="G157" s="79">
        <f t="shared" si="182"/>
        <v>1405.4</v>
      </c>
      <c r="H157" s="13"/>
      <c r="I157" s="13"/>
      <c r="J157" s="230">
        <f>'[7]RES 62 &amp; 67'!$S242</f>
        <v>479.4</v>
      </c>
      <c r="K157" s="183">
        <f t="shared" si="155"/>
        <v>473.7</v>
      </c>
      <c r="L157" s="233">
        <f t="shared" si="172"/>
        <v>-5.6999999999999886</v>
      </c>
      <c r="M157" s="230">
        <f>'[7]RES 62 &amp; 67'!$J242</f>
        <v>0</v>
      </c>
      <c r="N157" s="183">
        <f t="shared" si="156"/>
        <v>0</v>
      </c>
      <c r="O157" s="236">
        <f t="shared" si="173"/>
        <v>0</v>
      </c>
      <c r="P157" s="206">
        <f t="shared" si="183"/>
        <v>-12.311999999999976</v>
      </c>
      <c r="Q157" s="208">
        <f t="shared" si="184"/>
        <v>0</v>
      </c>
      <c r="R157" s="467">
        <f t="shared" si="185"/>
        <v>-12.311999999999976</v>
      </c>
      <c r="S157" s="470">
        <f t="shared" si="186"/>
        <v>0</v>
      </c>
      <c r="T157" s="425">
        <f t="shared" si="187"/>
        <v>-12.3</v>
      </c>
      <c r="U157" s="579">
        <f>[5]RC!$E37</f>
        <v>1111241</v>
      </c>
      <c r="V157" s="447">
        <v>34943</v>
      </c>
      <c r="W157" s="191">
        <f t="shared" si="174"/>
        <v>1393.1000000000001</v>
      </c>
      <c r="X157" s="73">
        <f t="shared" si="175"/>
        <v>1578919</v>
      </c>
      <c r="Y157" s="186">
        <v>0</v>
      </c>
      <c r="Z157" s="175">
        <f t="shared" si="189"/>
        <v>1578919</v>
      </c>
      <c r="AA157" s="40">
        <f t="shared" si="176"/>
        <v>-13924</v>
      </c>
      <c r="AB157" s="379">
        <f t="shared" si="190"/>
        <v>1578919</v>
      </c>
      <c r="AC157" s="81">
        <f>'[7]Gov 65 &amp; 70'!$B242</f>
        <v>31.9</v>
      </c>
      <c r="AD157" s="4">
        <f t="shared" si="177"/>
        <v>1505665</v>
      </c>
      <c r="AE157" s="4">
        <f t="shared" si="157"/>
        <v>79195</v>
      </c>
      <c r="AF157" s="23">
        <f t="shared" si="178"/>
        <v>1328.5</v>
      </c>
      <c r="AG157" s="75">
        <f t="shared" si="171"/>
        <v>18.5</v>
      </c>
      <c r="AI157" s="13" t="s">
        <v>194</v>
      </c>
      <c r="AU157" s="4">
        <v>1995</v>
      </c>
      <c r="AV157" s="4">
        <v>9</v>
      </c>
      <c r="AW157" s="230">
        <f>'[8]RES 62 &amp; 67'!$S242</f>
        <v>426.5</v>
      </c>
      <c r="AX157" s="200">
        <f t="shared" si="159"/>
        <v>428.3</v>
      </c>
      <c r="AY157" s="203">
        <f t="shared" si="191"/>
        <v>1.8000000000000114</v>
      </c>
      <c r="AZ157" s="230">
        <f>'[8]RES 62 &amp; 67'!$J242</f>
        <v>0</v>
      </c>
      <c r="BA157" s="183">
        <f t="shared" si="160"/>
        <v>0</v>
      </c>
      <c r="BB157" s="429">
        <f t="shared" si="192"/>
        <v>0</v>
      </c>
      <c r="BC157" s="206">
        <f t="shared" si="193"/>
        <v>3.8880000000000248</v>
      </c>
      <c r="BD157" s="206">
        <f t="shared" si="194"/>
        <v>0</v>
      </c>
      <c r="BE157" s="206">
        <f t="shared" si="195"/>
        <v>3.8880000000000248</v>
      </c>
      <c r="BF157" s="207">
        <f t="shared" si="196"/>
        <v>0</v>
      </c>
      <c r="BG157" s="219">
        <f t="shared" si="197"/>
        <v>3.9</v>
      </c>
      <c r="BH157" s="4">
        <f t="shared" si="179"/>
        <v>1995</v>
      </c>
      <c r="BI157" s="4">
        <f t="shared" si="180"/>
        <v>9</v>
      </c>
      <c r="BT157" s="175"/>
    </row>
    <row r="158" spans="1:72">
      <c r="A158" s="13">
        <v>1995</v>
      </c>
      <c r="B158" s="13">
        <v>10</v>
      </c>
      <c r="C158" s="5">
        <v>1389479</v>
      </c>
      <c r="D158" s="73">
        <v>1116063</v>
      </c>
      <c r="E158" s="4">
        <f t="shared" si="181"/>
        <v>1389479</v>
      </c>
      <c r="F158" s="4">
        <f t="shared" si="181"/>
        <v>1116063</v>
      </c>
      <c r="G158" s="79">
        <f t="shared" si="182"/>
        <v>1245</v>
      </c>
      <c r="H158" s="13"/>
      <c r="I158" s="13"/>
      <c r="J158" s="230">
        <f>'[7]RES 62 &amp; 67'!$S243</f>
        <v>404.8</v>
      </c>
      <c r="K158" s="183">
        <f t="shared" ref="K158:K221" si="198">K146</f>
        <v>373.2</v>
      </c>
      <c r="L158" s="233">
        <f t="shared" si="172"/>
        <v>-31.600000000000023</v>
      </c>
      <c r="M158" s="230">
        <f>'[7]RES 62 &amp; 67'!$J243</f>
        <v>0.7</v>
      </c>
      <c r="N158" s="183">
        <f t="shared" ref="N158:N221" si="199">N146</f>
        <v>1.3</v>
      </c>
      <c r="O158" s="236">
        <f t="shared" si="173"/>
        <v>0.60000000000000009</v>
      </c>
      <c r="P158" s="206">
        <f t="shared" si="183"/>
        <v>-68.256000000000057</v>
      </c>
      <c r="Q158" s="208">
        <f t="shared" si="184"/>
        <v>0</v>
      </c>
      <c r="R158" s="467">
        <f t="shared" si="185"/>
        <v>-68.256000000000057</v>
      </c>
      <c r="S158" s="470">
        <f t="shared" si="186"/>
        <v>1.6260000000000001</v>
      </c>
      <c r="T158" s="425">
        <f t="shared" si="187"/>
        <v>-66.599999999999994</v>
      </c>
      <c r="U158" s="579">
        <f>[5]RC!$E38</f>
        <v>1116922</v>
      </c>
      <c r="V158" s="447">
        <v>34973</v>
      </c>
      <c r="W158" s="191">
        <f t="shared" si="174"/>
        <v>1178.4000000000001</v>
      </c>
      <c r="X158" s="73">
        <f t="shared" si="175"/>
        <v>1315169</v>
      </c>
      <c r="Y158" s="186">
        <v>0</v>
      </c>
      <c r="Z158" s="175">
        <f t="shared" si="189"/>
        <v>1315169</v>
      </c>
      <c r="AA158" s="40">
        <f t="shared" si="176"/>
        <v>-74310</v>
      </c>
      <c r="AB158" s="379">
        <f t="shared" si="190"/>
        <v>1315169</v>
      </c>
      <c r="AC158" s="81">
        <f>'[7]Gov 65 &amp; 70'!$B243</f>
        <v>29.7</v>
      </c>
      <c r="AD158" s="4">
        <f t="shared" si="177"/>
        <v>1347052</v>
      </c>
      <c r="AE158" s="4">
        <f t="shared" ref="AE158:AE221" si="200">AD158-AD146</f>
        <v>32245</v>
      </c>
      <c r="AF158" s="23">
        <f t="shared" si="178"/>
        <v>1207</v>
      </c>
      <c r="AG158" s="75">
        <f t="shared" ref="AG158:AG173" si="201">AF158-AF146</f>
        <v>6.9000000000000909</v>
      </c>
      <c r="AI158" s="13" t="s">
        <v>194</v>
      </c>
      <c r="AU158" s="4">
        <v>1995</v>
      </c>
      <c r="AV158" s="4">
        <v>10</v>
      </c>
      <c r="AW158" s="230">
        <f>'[8]RES 62 &amp; 67'!$S243</f>
        <v>311.5</v>
      </c>
      <c r="AX158" s="200">
        <f t="shared" ref="AX158:AX221" si="202">AX146</f>
        <v>277.60000000000002</v>
      </c>
      <c r="AY158" s="203">
        <f t="shared" si="191"/>
        <v>-33.899999999999977</v>
      </c>
      <c r="AZ158" s="230">
        <f>'[8]RES 62 &amp; 67'!$J243</f>
        <v>5.3</v>
      </c>
      <c r="BA158" s="183">
        <f t="shared" ref="BA158:BA221" si="203">BA146</f>
        <v>8.5</v>
      </c>
      <c r="BB158" s="429">
        <f t="shared" si="192"/>
        <v>3.2</v>
      </c>
      <c r="BC158" s="206">
        <f t="shared" si="193"/>
        <v>-73.223999999999961</v>
      </c>
      <c r="BD158" s="206">
        <f t="shared" si="194"/>
        <v>0</v>
      </c>
      <c r="BE158" s="206">
        <f t="shared" si="195"/>
        <v>-73.223999999999961</v>
      </c>
      <c r="BF158" s="207">
        <f t="shared" si="196"/>
        <v>8.6720000000000006</v>
      </c>
      <c r="BG158" s="219">
        <f t="shared" si="197"/>
        <v>-64.599999999999994</v>
      </c>
      <c r="BH158" s="4">
        <f t="shared" si="179"/>
        <v>1995</v>
      </c>
      <c r="BI158" s="4">
        <f t="shared" si="180"/>
        <v>10</v>
      </c>
      <c r="BT158" s="175"/>
    </row>
    <row r="159" spans="1:72">
      <c r="A159" s="13">
        <v>1995</v>
      </c>
      <c r="B159" s="13">
        <v>11</v>
      </c>
      <c r="C159" s="5">
        <v>1062687</v>
      </c>
      <c r="D159" s="73">
        <v>1159977</v>
      </c>
      <c r="E159" s="4">
        <f t="shared" si="181"/>
        <v>1062687</v>
      </c>
      <c r="F159" s="4">
        <f t="shared" si="181"/>
        <v>1159977</v>
      </c>
      <c r="G159" s="79">
        <f t="shared" si="182"/>
        <v>916.1</v>
      </c>
      <c r="H159" s="13"/>
      <c r="I159" s="13"/>
      <c r="J159" s="230">
        <f>'[7]RES 62 &amp; 67'!$S244</f>
        <v>211.9</v>
      </c>
      <c r="K159" s="183">
        <f t="shared" si="198"/>
        <v>204.3</v>
      </c>
      <c r="L159" s="233">
        <f t="shared" si="172"/>
        <v>-7.5999999999999943</v>
      </c>
      <c r="M159" s="230">
        <f>'[7]RES 62 &amp; 67'!$J244</f>
        <v>29</v>
      </c>
      <c r="N159" s="183">
        <f t="shared" si="199"/>
        <v>24.1</v>
      </c>
      <c r="O159" s="236">
        <f t="shared" si="173"/>
        <v>-4.8999999999999986</v>
      </c>
      <c r="P159" s="206">
        <f t="shared" si="183"/>
        <v>-16.41599999999999</v>
      </c>
      <c r="Q159" s="208">
        <f t="shared" si="184"/>
        <v>0</v>
      </c>
      <c r="R159" s="467">
        <f t="shared" si="185"/>
        <v>-16.41599999999999</v>
      </c>
      <c r="S159" s="470">
        <f t="shared" si="186"/>
        <v>-13.278999999999996</v>
      </c>
      <c r="T159" s="425">
        <f t="shared" si="187"/>
        <v>-29.7</v>
      </c>
      <c r="U159" s="579">
        <f>[5]RC!$E39</f>
        <v>1130679</v>
      </c>
      <c r="V159" s="447">
        <v>35004</v>
      </c>
      <c r="W159" s="191">
        <f t="shared" si="174"/>
        <v>886.4</v>
      </c>
      <c r="X159" s="73">
        <f t="shared" si="175"/>
        <v>1028204</v>
      </c>
      <c r="Y159" s="186">
        <v>0</v>
      </c>
      <c r="Z159" s="175">
        <f t="shared" si="189"/>
        <v>1028204</v>
      </c>
      <c r="AA159" s="40">
        <f t="shared" si="176"/>
        <v>-34483</v>
      </c>
      <c r="AB159" s="379">
        <f t="shared" si="190"/>
        <v>1028204</v>
      </c>
      <c r="AC159" s="81">
        <f>'[7]Gov 65 &amp; 70'!$B244</f>
        <v>29.6</v>
      </c>
      <c r="AD159" s="4">
        <f t="shared" si="177"/>
        <v>1056688</v>
      </c>
      <c r="AE159" s="4">
        <f t="shared" si="200"/>
        <v>61465</v>
      </c>
      <c r="AF159" s="23">
        <f t="shared" si="178"/>
        <v>911</v>
      </c>
      <c r="AG159" s="75">
        <f t="shared" si="201"/>
        <v>14.899999999999977</v>
      </c>
      <c r="AI159" s="13" t="s">
        <v>194</v>
      </c>
      <c r="AU159" s="4">
        <v>1995</v>
      </c>
      <c r="AV159" s="4">
        <v>11</v>
      </c>
      <c r="AW159" s="230">
        <f>'[8]RES 62 &amp; 67'!$S244</f>
        <v>82.9</v>
      </c>
      <c r="AX159" s="200">
        <f t="shared" si="202"/>
        <v>110.2</v>
      </c>
      <c r="AY159" s="203">
        <f t="shared" si="191"/>
        <v>27.299999999999997</v>
      </c>
      <c r="AZ159" s="230">
        <f>'[8]RES 62 &amp; 67'!$J244</f>
        <v>89</v>
      </c>
      <c r="BA159" s="183">
        <f t="shared" si="203"/>
        <v>45.3</v>
      </c>
      <c r="BB159" s="429">
        <f t="shared" si="192"/>
        <v>-43.7</v>
      </c>
      <c r="BC159" s="206">
        <f t="shared" si="193"/>
        <v>58.967999999999996</v>
      </c>
      <c r="BD159" s="206">
        <f t="shared" si="194"/>
        <v>-8.3264999999999993</v>
      </c>
      <c r="BE159" s="206">
        <f t="shared" si="195"/>
        <v>50.641499999999994</v>
      </c>
      <c r="BF159" s="207">
        <f t="shared" si="196"/>
        <v>-118.42700000000001</v>
      </c>
      <c r="BG159" s="219">
        <f t="shared" si="197"/>
        <v>-67.8</v>
      </c>
      <c r="BH159" s="4">
        <f t="shared" si="179"/>
        <v>1995</v>
      </c>
      <c r="BI159" s="4">
        <f t="shared" si="180"/>
        <v>11</v>
      </c>
      <c r="BT159" s="175"/>
    </row>
    <row r="160" spans="1:72" s="89" customFormat="1" ht="12.75">
      <c r="A160" s="90">
        <v>1995</v>
      </c>
      <c r="B160" s="90">
        <v>12</v>
      </c>
      <c r="C160" s="103">
        <v>1005094</v>
      </c>
      <c r="D160" s="104">
        <v>1127273</v>
      </c>
      <c r="E160" s="89">
        <f t="shared" si="181"/>
        <v>1005094</v>
      </c>
      <c r="F160" s="89">
        <f t="shared" si="181"/>
        <v>1127273</v>
      </c>
      <c r="G160" s="301">
        <f t="shared" si="182"/>
        <v>891.6</v>
      </c>
      <c r="H160" s="90"/>
      <c r="I160" s="90"/>
      <c r="J160" s="300">
        <f>'[7]RES 62 &amp; 67'!$S245</f>
        <v>61.5</v>
      </c>
      <c r="K160" s="210">
        <f t="shared" si="198"/>
        <v>88</v>
      </c>
      <c r="L160" s="234">
        <f t="shared" si="172"/>
        <v>26.5</v>
      </c>
      <c r="M160" s="300">
        <f>'[7]RES 62 &amp; 67'!$J245</f>
        <v>96.6</v>
      </c>
      <c r="N160" s="210">
        <f t="shared" si="199"/>
        <v>83.9</v>
      </c>
      <c r="O160" s="237">
        <f t="shared" si="173"/>
        <v>-12.699999999999989</v>
      </c>
      <c r="P160" s="211">
        <f t="shared" si="183"/>
        <v>57.24</v>
      </c>
      <c r="Q160" s="211">
        <f t="shared" si="184"/>
        <v>-16.164999999999999</v>
      </c>
      <c r="R160" s="468">
        <f t="shared" si="185"/>
        <v>41.075000000000003</v>
      </c>
      <c r="S160" s="471">
        <f t="shared" si="186"/>
        <v>-34.416999999999966</v>
      </c>
      <c r="T160" s="426">
        <f t="shared" si="187"/>
        <v>6.7</v>
      </c>
      <c r="U160" s="579">
        <f>[5]RC!$E40</f>
        <v>1139288</v>
      </c>
      <c r="V160" s="447">
        <v>35034</v>
      </c>
      <c r="W160" s="95">
        <f t="shared" si="174"/>
        <v>898.30000000000007</v>
      </c>
      <c r="X160" s="104">
        <f t="shared" si="175"/>
        <v>1012629</v>
      </c>
      <c r="Y160" s="302">
        <v>0</v>
      </c>
      <c r="Z160" s="176">
        <f t="shared" si="189"/>
        <v>1012629</v>
      </c>
      <c r="AA160" s="116">
        <f t="shared" si="176"/>
        <v>7535</v>
      </c>
      <c r="AB160" s="517">
        <f t="shared" si="190"/>
        <v>1012629</v>
      </c>
      <c r="AC160" s="88">
        <f>'[7]Gov 65 &amp; 70'!$B245</f>
        <v>30.65</v>
      </c>
      <c r="AD160" s="89">
        <f t="shared" si="177"/>
        <v>1005030</v>
      </c>
      <c r="AE160" s="89">
        <f t="shared" si="200"/>
        <v>34995</v>
      </c>
      <c r="AF160" s="89">
        <f t="shared" si="178"/>
        <v>891.6</v>
      </c>
      <c r="AG160" s="91">
        <f t="shared" si="201"/>
        <v>27.200000000000045</v>
      </c>
      <c r="AH160" s="252"/>
      <c r="AI160" s="90" t="s">
        <v>194</v>
      </c>
      <c r="AU160" s="89">
        <v>1995</v>
      </c>
      <c r="AV160" s="89">
        <v>12</v>
      </c>
      <c r="AW160" s="300">
        <f>'[8]RES 62 &amp; 67'!$S245</f>
        <v>47.9</v>
      </c>
      <c r="AX160" s="210">
        <f t="shared" si="202"/>
        <v>53.2</v>
      </c>
      <c r="AY160" s="204">
        <f t="shared" si="191"/>
        <v>5.3000000000000043</v>
      </c>
      <c r="AZ160" s="300">
        <f>'[8]RES 62 &amp; 67'!$J245</f>
        <v>184.1</v>
      </c>
      <c r="BA160" s="210">
        <f t="shared" si="203"/>
        <v>114.1</v>
      </c>
      <c r="BB160" s="430">
        <f t="shared" si="192"/>
        <v>-70</v>
      </c>
      <c r="BC160" s="211">
        <f t="shared" si="193"/>
        <v>11.448000000000009</v>
      </c>
      <c r="BD160" s="211">
        <f t="shared" si="194"/>
        <v>-3.2330000000000023</v>
      </c>
      <c r="BE160" s="211">
        <f t="shared" si="195"/>
        <v>8.215000000000007</v>
      </c>
      <c r="BF160" s="212">
        <f t="shared" si="196"/>
        <v>-189.7</v>
      </c>
      <c r="BG160" s="220">
        <f t="shared" si="197"/>
        <v>-181.5</v>
      </c>
      <c r="BH160" s="89">
        <f t="shared" si="179"/>
        <v>1995</v>
      </c>
      <c r="BI160" s="89">
        <f t="shared" si="180"/>
        <v>12</v>
      </c>
      <c r="BN160" s="96"/>
      <c r="BO160" s="96"/>
      <c r="BT160" s="176"/>
    </row>
    <row r="161" spans="1:78">
      <c r="A161" s="13">
        <v>1996</v>
      </c>
      <c r="B161" s="13">
        <v>1</v>
      </c>
      <c r="C161" s="5">
        <v>1431693</v>
      </c>
      <c r="D161" s="73">
        <v>1134514</v>
      </c>
      <c r="E161" s="4">
        <f t="shared" si="181"/>
        <v>1431693</v>
      </c>
      <c r="F161" s="4">
        <f t="shared" si="181"/>
        <v>1134514</v>
      </c>
      <c r="G161" s="79">
        <f t="shared" si="182"/>
        <v>1261.9000000000001</v>
      </c>
      <c r="H161" s="13"/>
      <c r="I161" s="13"/>
      <c r="J161" s="230">
        <f>'[7]RES 62 &amp; 67'!$S246</f>
        <v>32.5</v>
      </c>
      <c r="K161" s="183">
        <f t="shared" si="198"/>
        <v>49.5</v>
      </c>
      <c r="L161" s="233">
        <f t="shared" ref="L161:L176" si="204">(K161-J161)</f>
        <v>17</v>
      </c>
      <c r="M161" s="230">
        <f>'[7]RES 62 &amp; 67'!$J246</f>
        <v>237.6</v>
      </c>
      <c r="N161" s="183">
        <f t="shared" si="199"/>
        <v>131.6</v>
      </c>
      <c r="O161" s="236">
        <f t="shared" ref="O161:O175" si="205">(N161-M161)</f>
        <v>-106</v>
      </c>
      <c r="P161" s="206">
        <f t="shared" si="183"/>
        <v>36.72</v>
      </c>
      <c r="Q161" s="208">
        <f t="shared" si="184"/>
        <v>-10.37</v>
      </c>
      <c r="R161" s="467">
        <f t="shared" si="185"/>
        <v>26.35</v>
      </c>
      <c r="S161" s="470">
        <f t="shared" si="186"/>
        <v>-287.26</v>
      </c>
      <c r="T161" s="425">
        <f t="shared" si="187"/>
        <v>-260.89999999999998</v>
      </c>
      <c r="U161" s="579">
        <f>[5]RC!$E41</f>
        <v>1147683</v>
      </c>
      <c r="V161" s="447">
        <v>35065</v>
      </c>
      <c r="W161" s="191">
        <f t="shared" si="174"/>
        <v>1001.0000000000001</v>
      </c>
      <c r="X161" s="73">
        <f t="shared" si="175"/>
        <v>1135649</v>
      </c>
      <c r="Y161" s="186">
        <v>0</v>
      </c>
      <c r="Z161" s="175">
        <f t="shared" si="189"/>
        <v>1135649</v>
      </c>
      <c r="AA161" s="40">
        <f t="shared" si="176"/>
        <v>-296044</v>
      </c>
      <c r="AB161" s="379">
        <f t="shared" si="190"/>
        <v>1135649</v>
      </c>
      <c r="AC161" s="81">
        <f>'[7]Gov 65 &amp; 70'!$B246</f>
        <v>30.5</v>
      </c>
      <c r="AD161" s="4">
        <f t="shared" si="177"/>
        <v>1132670</v>
      </c>
      <c r="AE161" s="4">
        <f t="shared" si="200"/>
        <v>-48656</v>
      </c>
      <c r="AF161" s="23">
        <f t="shared" si="178"/>
        <v>998.4</v>
      </c>
      <c r="AG161" s="75">
        <f t="shared" si="201"/>
        <v>-46.500000000000114</v>
      </c>
      <c r="AI161" s="13" t="s">
        <v>194</v>
      </c>
      <c r="AU161" s="4">
        <v>1996</v>
      </c>
      <c r="AV161" s="4">
        <v>1</v>
      </c>
      <c r="AW161" s="230">
        <f>'[8]RES 62 &amp; 67'!$S246</f>
        <v>32</v>
      </c>
      <c r="AX161" s="200">
        <f t="shared" si="202"/>
        <v>50.5</v>
      </c>
      <c r="AY161" s="203">
        <f t="shared" si="191"/>
        <v>18.5</v>
      </c>
      <c r="AZ161" s="230">
        <f>'[8]RES 62 &amp; 67'!$J246</f>
        <v>195.2</v>
      </c>
      <c r="BA161" s="183">
        <f t="shared" si="203"/>
        <v>127.9</v>
      </c>
      <c r="BB161" s="429">
        <f t="shared" si="192"/>
        <v>-67.299999999999983</v>
      </c>
      <c r="BC161" s="206">
        <f t="shared" si="193"/>
        <v>39.96</v>
      </c>
      <c r="BD161" s="206">
        <f t="shared" si="194"/>
        <v>-11.285</v>
      </c>
      <c r="BE161" s="206">
        <f t="shared" si="195"/>
        <v>28.675000000000001</v>
      </c>
      <c r="BF161" s="207">
        <f t="shared" si="196"/>
        <v>-182.38299999999995</v>
      </c>
      <c r="BG161" s="219">
        <f t="shared" si="197"/>
        <v>-153.69999999999999</v>
      </c>
      <c r="BH161" s="4">
        <f t="shared" si="179"/>
        <v>1996</v>
      </c>
      <c r="BI161" s="4">
        <f t="shared" si="180"/>
        <v>1</v>
      </c>
      <c r="BT161" s="175"/>
    </row>
    <row r="162" spans="1:78">
      <c r="A162" s="13">
        <v>1996</v>
      </c>
      <c r="B162" s="13">
        <v>2</v>
      </c>
      <c r="C162" s="5">
        <v>1307365</v>
      </c>
      <c r="D162" s="73">
        <v>1157582</v>
      </c>
      <c r="E162" s="4">
        <f t="shared" si="181"/>
        <v>1307365</v>
      </c>
      <c r="F162" s="4">
        <f t="shared" si="181"/>
        <v>1157582</v>
      </c>
      <c r="G162" s="79">
        <f t="shared" si="182"/>
        <v>1129.4000000000001</v>
      </c>
      <c r="H162" s="13"/>
      <c r="I162" s="13"/>
      <c r="J162" s="230">
        <f>'[7]RES 62 &amp; 67'!$S247</f>
        <v>35.799999999999997</v>
      </c>
      <c r="K162" s="183">
        <f t="shared" si="198"/>
        <v>43.3</v>
      </c>
      <c r="L162" s="233">
        <f t="shared" si="204"/>
        <v>7.5</v>
      </c>
      <c r="M162" s="230">
        <f>'[7]RES 62 &amp; 67'!$J247</f>
        <v>194.4</v>
      </c>
      <c r="N162" s="183">
        <f t="shared" si="199"/>
        <v>127.9</v>
      </c>
      <c r="O162" s="236">
        <f t="shared" si="205"/>
        <v>-66.5</v>
      </c>
      <c r="P162" s="206">
        <f t="shared" si="183"/>
        <v>16.200000000000003</v>
      </c>
      <c r="Q162" s="208">
        <f t="shared" si="184"/>
        <v>-4.5750000000000002</v>
      </c>
      <c r="R162" s="467">
        <f t="shared" si="185"/>
        <v>11.625000000000004</v>
      </c>
      <c r="S162" s="470">
        <f t="shared" si="186"/>
        <v>-180.215</v>
      </c>
      <c r="T162" s="425">
        <f t="shared" si="187"/>
        <v>-168.6</v>
      </c>
      <c r="U162" s="579">
        <f>[5]RC!$E42</f>
        <v>1153099</v>
      </c>
      <c r="V162" s="447">
        <v>35096</v>
      </c>
      <c r="W162" s="191">
        <f t="shared" si="174"/>
        <v>960.80000000000007</v>
      </c>
      <c r="X162" s="73">
        <f t="shared" si="175"/>
        <v>1112205</v>
      </c>
      <c r="Y162" s="186">
        <v>0</v>
      </c>
      <c r="Z162" s="175">
        <f t="shared" si="189"/>
        <v>1112205</v>
      </c>
      <c r="AA162" s="40">
        <f t="shared" si="176"/>
        <v>-195160</v>
      </c>
      <c r="AB162" s="379">
        <f t="shared" si="190"/>
        <v>1112205</v>
      </c>
      <c r="AC162" s="81">
        <f>'[7]Gov 65 &amp; 70'!$B247</f>
        <v>31.05</v>
      </c>
      <c r="AD162" s="4">
        <f t="shared" si="177"/>
        <v>1089639</v>
      </c>
      <c r="AE162" s="4">
        <f t="shared" si="200"/>
        <v>-28881</v>
      </c>
      <c r="AF162" s="23">
        <f t="shared" si="178"/>
        <v>941.3</v>
      </c>
      <c r="AG162" s="75">
        <f t="shared" si="201"/>
        <v>-44.100000000000023</v>
      </c>
      <c r="AI162" s="13" t="s">
        <v>194</v>
      </c>
      <c r="AU162" s="4">
        <v>1996</v>
      </c>
      <c r="AV162" s="4">
        <v>2</v>
      </c>
      <c r="AW162" s="230">
        <f>'[8]RES 62 &amp; 67'!$S247</f>
        <v>53.6</v>
      </c>
      <c r="AX162" s="200">
        <f t="shared" si="202"/>
        <v>59.2</v>
      </c>
      <c r="AY162" s="203">
        <f t="shared" si="191"/>
        <v>5.6000000000000014</v>
      </c>
      <c r="AZ162" s="230">
        <f>'[8]RES 62 &amp; 67'!$J247</f>
        <v>164.7</v>
      </c>
      <c r="BA162" s="183">
        <f t="shared" si="203"/>
        <v>97.8</v>
      </c>
      <c r="BB162" s="429">
        <f t="shared" si="192"/>
        <v>-66.899999999999991</v>
      </c>
      <c r="BC162" s="206">
        <f t="shared" si="193"/>
        <v>12.096000000000004</v>
      </c>
      <c r="BD162" s="206">
        <f t="shared" si="194"/>
        <v>-3.4160000000000008</v>
      </c>
      <c r="BE162" s="206">
        <f t="shared" si="195"/>
        <v>8.6800000000000033</v>
      </c>
      <c r="BF162" s="207">
        <f t="shared" si="196"/>
        <v>-181.29899999999998</v>
      </c>
      <c r="BG162" s="219">
        <f t="shared" si="197"/>
        <v>-172.6</v>
      </c>
      <c r="BH162" s="4">
        <f t="shared" si="179"/>
        <v>1996</v>
      </c>
      <c r="BI162" s="4">
        <f t="shared" si="180"/>
        <v>2</v>
      </c>
      <c r="BT162" s="175"/>
    </row>
    <row r="163" spans="1:78">
      <c r="A163" s="13">
        <v>1996</v>
      </c>
      <c r="B163" s="13">
        <v>3</v>
      </c>
      <c r="C163" s="5">
        <v>1180411</v>
      </c>
      <c r="D163" s="73">
        <v>1151354</v>
      </c>
      <c r="E163" s="4">
        <f t="shared" si="181"/>
        <v>1180411</v>
      </c>
      <c r="F163" s="4">
        <f t="shared" si="181"/>
        <v>1151354</v>
      </c>
      <c r="G163" s="79">
        <f t="shared" si="182"/>
        <v>1025.2</v>
      </c>
      <c r="H163" s="13"/>
      <c r="I163" s="13"/>
      <c r="J163" s="230">
        <f>'[7]RES 62 &amp; 67'!$S248</f>
        <v>58.2</v>
      </c>
      <c r="K163" s="183">
        <f t="shared" si="198"/>
        <v>77.2</v>
      </c>
      <c r="L163" s="233">
        <f t="shared" si="204"/>
        <v>19</v>
      </c>
      <c r="M163" s="230">
        <f>'[7]RES 62 &amp; 67'!$J248</f>
        <v>144.4</v>
      </c>
      <c r="N163" s="183">
        <f t="shared" si="199"/>
        <v>82.3</v>
      </c>
      <c r="O163" s="236">
        <f t="shared" si="205"/>
        <v>-62.100000000000009</v>
      </c>
      <c r="P163" s="206">
        <f t="shared" si="183"/>
        <v>41.040000000000006</v>
      </c>
      <c r="Q163" s="208">
        <f t="shared" si="184"/>
        <v>-11.59</v>
      </c>
      <c r="R163" s="467">
        <f t="shared" si="185"/>
        <v>29.450000000000006</v>
      </c>
      <c r="S163" s="470">
        <f t="shared" si="186"/>
        <v>-168.29100000000003</v>
      </c>
      <c r="T163" s="425">
        <f t="shared" si="187"/>
        <v>-138.80000000000001</v>
      </c>
      <c r="U163" s="579">
        <f>[5]RC!$E43</f>
        <v>1154551</v>
      </c>
      <c r="V163" s="447">
        <v>35125</v>
      </c>
      <c r="W163" s="191">
        <f t="shared" si="174"/>
        <v>886.40000000000009</v>
      </c>
      <c r="X163" s="73">
        <f t="shared" si="175"/>
        <v>1020560</v>
      </c>
      <c r="Y163" s="186">
        <v>0</v>
      </c>
      <c r="Z163" s="175">
        <f t="shared" si="189"/>
        <v>1020560</v>
      </c>
      <c r="AA163" s="40">
        <f t="shared" si="176"/>
        <v>-159851</v>
      </c>
      <c r="AB163" s="379">
        <f t="shared" si="190"/>
        <v>1020560</v>
      </c>
      <c r="AC163" s="81">
        <f>'[7]Gov 65 &amp; 70'!$B248</f>
        <v>29.4</v>
      </c>
      <c r="AD163" s="4">
        <f t="shared" si="177"/>
        <v>1055967</v>
      </c>
      <c r="AE163" s="4">
        <f t="shared" si="200"/>
        <v>35170</v>
      </c>
      <c r="AF163" s="23">
        <f t="shared" si="178"/>
        <v>917.2</v>
      </c>
      <c r="AG163" s="75">
        <f t="shared" si="201"/>
        <v>2.9000000000000909</v>
      </c>
      <c r="AI163" s="13" t="s">
        <v>194</v>
      </c>
      <c r="AU163" s="4">
        <v>1996</v>
      </c>
      <c r="AV163" s="4">
        <v>3</v>
      </c>
      <c r="AW163" s="230">
        <f>'[8]RES 62 &amp; 67'!$S248</f>
        <v>67.599999999999994</v>
      </c>
      <c r="AX163" s="200">
        <f t="shared" si="202"/>
        <v>105.8</v>
      </c>
      <c r="AY163" s="203">
        <f t="shared" si="191"/>
        <v>38.200000000000003</v>
      </c>
      <c r="AZ163" s="230">
        <f>'[8]RES 62 &amp; 67'!$J248</f>
        <v>141.80000000000001</v>
      </c>
      <c r="BA163" s="183">
        <f t="shared" si="203"/>
        <v>49.9</v>
      </c>
      <c r="BB163" s="429">
        <f t="shared" si="192"/>
        <v>-91.9</v>
      </c>
      <c r="BC163" s="206">
        <f t="shared" si="193"/>
        <v>82.512000000000015</v>
      </c>
      <c r="BD163" s="206">
        <f t="shared" si="194"/>
        <v>-23.302</v>
      </c>
      <c r="BE163" s="206">
        <f t="shared" si="195"/>
        <v>59.210000000000015</v>
      </c>
      <c r="BF163" s="207">
        <f t="shared" si="196"/>
        <v>-249.04900000000001</v>
      </c>
      <c r="BG163" s="219">
        <f t="shared" si="197"/>
        <v>-189.8</v>
      </c>
      <c r="BH163" s="4">
        <f t="shared" si="179"/>
        <v>1996</v>
      </c>
      <c r="BI163" s="4">
        <f t="shared" si="180"/>
        <v>3</v>
      </c>
      <c r="BT163" s="175"/>
    </row>
    <row r="164" spans="1:78">
      <c r="A164" s="13">
        <v>1996</v>
      </c>
      <c r="B164" s="13">
        <v>4</v>
      </c>
      <c r="C164" s="5">
        <v>1047283</v>
      </c>
      <c r="D164" s="73">
        <v>1144162</v>
      </c>
      <c r="E164" s="4">
        <f t="shared" si="181"/>
        <v>1047283</v>
      </c>
      <c r="F164" s="4">
        <f t="shared" si="181"/>
        <v>1144162</v>
      </c>
      <c r="G164" s="79">
        <f t="shared" si="182"/>
        <v>915.3</v>
      </c>
      <c r="H164" s="13"/>
      <c r="I164" s="13"/>
      <c r="J164" s="230">
        <f>'[7]RES 62 &amp; 67'!$S249</f>
        <v>83.4</v>
      </c>
      <c r="K164" s="183">
        <f t="shared" si="198"/>
        <v>138.1</v>
      </c>
      <c r="L164" s="233">
        <f t="shared" si="204"/>
        <v>54.699999999999989</v>
      </c>
      <c r="M164" s="230">
        <f>'[7]RES 62 &amp; 67'!$J249</f>
        <v>93</v>
      </c>
      <c r="N164" s="183">
        <f t="shared" si="199"/>
        <v>37.299999999999997</v>
      </c>
      <c r="O164" s="236">
        <f>(N164-M164)</f>
        <v>-55.7</v>
      </c>
      <c r="P164" s="206">
        <f t="shared" si="183"/>
        <v>118.15199999999999</v>
      </c>
      <c r="Q164" s="208">
        <f t="shared" si="184"/>
        <v>-33.36699999999999</v>
      </c>
      <c r="R164" s="467">
        <f t="shared" si="185"/>
        <v>84.784999999999997</v>
      </c>
      <c r="S164" s="470">
        <f t="shared" si="186"/>
        <v>-150.947</v>
      </c>
      <c r="T164" s="425">
        <f t="shared" si="187"/>
        <v>-66.2</v>
      </c>
      <c r="U164" s="579">
        <f>[5]RC!$E44</f>
        <v>1147187</v>
      </c>
      <c r="V164" s="447">
        <v>35156</v>
      </c>
      <c r="W164" s="191">
        <f t="shared" si="174"/>
        <v>849.09999999999991</v>
      </c>
      <c r="X164" s="73">
        <f t="shared" si="175"/>
        <v>971508</v>
      </c>
      <c r="Y164" s="186">
        <v>0</v>
      </c>
      <c r="Z164" s="175">
        <f t="shared" si="189"/>
        <v>971508</v>
      </c>
      <c r="AA164" s="40">
        <f t="shared" si="176"/>
        <v>-75775</v>
      </c>
      <c r="AB164" s="379">
        <f t="shared" si="190"/>
        <v>971508</v>
      </c>
      <c r="AC164" s="81">
        <f>'[7]Gov 65 &amp; 70'!$B249</f>
        <v>30.35</v>
      </c>
      <c r="AD164" s="4">
        <f t="shared" si="177"/>
        <v>973749</v>
      </c>
      <c r="AE164" s="4">
        <f t="shared" si="200"/>
        <v>-13603</v>
      </c>
      <c r="AF164" s="23">
        <f t="shared" si="178"/>
        <v>851.1</v>
      </c>
      <c r="AG164" s="75">
        <f t="shared" si="201"/>
        <v>13.100000000000023</v>
      </c>
      <c r="AI164" s="13" t="s">
        <v>194</v>
      </c>
      <c r="AU164" s="4">
        <v>1996</v>
      </c>
      <c r="AV164" s="4">
        <v>4</v>
      </c>
      <c r="AW164" s="230">
        <f>'[8]RES 62 &amp; 67'!$S249</f>
        <v>159.69999999999999</v>
      </c>
      <c r="AX164" s="200">
        <f t="shared" si="202"/>
        <v>181.7</v>
      </c>
      <c r="AY164" s="203">
        <f t="shared" si="191"/>
        <v>22</v>
      </c>
      <c r="AZ164" s="230">
        <f>'[8]RES 62 &amp; 67'!$J249</f>
        <v>29.4</v>
      </c>
      <c r="BA164" s="183">
        <f t="shared" si="203"/>
        <v>21.5</v>
      </c>
      <c r="BB164" s="429">
        <f t="shared" si="192"/>
        <v>-7.8999999999999986</v>
      </c>
      <c r="BC164" s="206">
        <f t="shared" si="193"/>
        <v>47.52</v>
      </c>
      <c r="BD164" s="206">
        <f t="shared" si="194"/>
        <v>-6.71</v>
      </c>
      <c r="BE164" s="206">
        <f t="shared" si="195"/>
        <v>40.81</v>
      </c>
      <c r="BF164" s="207">
        <f t="shared" si="196"/>
        <v>-21.408999999999995</v>
      </c>
      <c r="BG164" s="219">
        <f t="shared" si="197"/>
        <v>19.399999999999999</v>
      </c>
      <c r="BH164" s="4">
        <f t="shared" si="179"/>
        <v>1996</v>
      </c>
      <c r="BI164" s="4">
        <f t="shared" si="180"/>
        <v>4</v>
      </c>
      <c r="BT164" s="175"/>
    </row>
    <row r="165" spans="1:78">
      <c r="A165" s="13">
        <v>1996</v>
      </c>
      <c r="B165" s="13">
        <v>5</v>
      </c>
      <c r="C165" s="5">
        <v>1040873</v>
      </c>
      <c r="D165" s="73">
        <v>1111360</v>
      </c>
      <c r="E165" s="4">
        <f t="shared" si="181"/>
        <v>1040873</v>
      </c>
      <c r="F165" s="4">
        <f t="shared" si="181"/>
        <v>1111360</v>
      </c>
      <c r="G165" s="79">
        <f t="shared" si="182"/>
        <v>936.6</v>
      </c>
      <c r="H165" s="13"/>
      <c r="I165" s="13"/>
      <c r="J165" s="230">
        <f>'[7]RES 62 &amp; 67'!$S250</f>
        <v>237.8</v>
      </c>
      <c r="K165" s="183">
        <f t="shared" si="198"/>
        <v>224.4</v>
      </c>
      <c r="L165" s="233">
        <f t="shared" si="204"/>
        <v>-13.400000000000006</v>
      </c>
      <c r="M165" s="230">
        <f>'[7]RES 62 &amp; 67'!$J250</f>
        <v>14.5</v>
      </c>
      <c r="N165" s="183">
        <f t="shared" si="199"/>
        <v>11.2</v>
      </c>
      <c r="O165" s="236">
        <f t="shared" si="205"/>
        <v>-3.3000000000000007</v>
      </c>
      <c r="P165" s="206">
        <f t="shared" si="183"/>
        <v>-28.944000000000013</v>
      </c>
      <c r="Q165" s="208">
        <f t="shared" si="184"/>
        <v>0</v>
      </c>
      <c r="R165" s="467">
        <f t="shared" si="185"/>
        <v>-28.944000000000013</v>
      </c>
      <c r="S165" s="470">
        <f t="shared" si="186"/>
        <v>-8.9430000000000014</v>
      </c>
      <c r="T165" s="425">
        <f t="shared" si="187"/>
        <v>-37.9</v>
      </c>
      <c r="U165" s="579">
        <f>[5]RC!$E45</f>
        <v>1130742</v>
      </c>
      <c r="V165" s="447">
        <v>35186</v>
      </c>
      <c r="W165" s="191">
        <f t="shared" si="174"/>
        <v>898.7</v>
      </c>
      <c r="X165" s="73">
        <f t="shared" si="175"/>
        <v>998779</v>
      </c>
      <c r="Y165" s="186">
        <v>0</v>
      </c>
      <c r="Z165" s="175">
        <f t="shared" si="189"/>
        <v>998779</v>
      </c>
      <c r="AA165" s="40">
        <f t="shared" si="176"/>
        <v>-42094</v>
      </c>
      <c r="AB165" s="379">
        <f t="shared" si="190"/>
        <v>998779</v>
      </c>
      <c r="AC165" s="97">
        <f>'[7]Gov 65 &amp; 70'!$B250</f>
        <v>29.85</v>
      </c>
      <c r="AD165" s="4">
        <f t="shared" si="177"/>
        <v>1017851</v>
      </c>
      <c r="AE165" s="4">
        <f t="shared" si="200"/>
        <v>-2471</v>
      </c>
      <c r="AF165" s="23">
        <f t="shared" si="178"/>
        <v>915.9</v>
      </c>
      <c r="AG165" s="75">
        <f t="shared" si="201"/>
        <v>-16</v>
      </c>
      <c r="AI165" s="13" t="s">
        <v>194</v>
      </c>
      <c r="AU165" s="4">
        <v>1996</v>
      </c>
      <c r="AV165" s="4">
        <v>5</v>
      </c>
      <c r="AW165" s="230">
        <f>'[8]RES 62 &amp; 67'!$S250</f>
        <v>372.1</v>
      </c>
      <c r="AX165" s="200">
        <f t="shared" si="202"/>
        <v>336.7</v>
      </c>
      <c r="AY165" s="203">
        <f t="shared" si="191"/>
        <v>-35.400000000000034</v>
      </c>
      <c r="AZ165" s="230">
        <f>'[8]RES 62 &amp; 67'!$J250</f>
        <v>1.2</v>
      </c>
      <c r="BA165" s="183">
        <f t="shared" si="203"/>
        <v>2.1</v>
      </c>
      <c r="BB165" s="429">
        <f t="shared" si="192"/>
        <v>0.90000000000000013</v>
      </c>
      <c r="BC165" s="206">
        <f t="shared" si="193"/>
        <v>-76.464000000000084</v>
      </c>
      <c r="BD165" s="206">
        <f t="shared" si="194"/>
        <v>0</v>
      </c>
      <c r="BE165" s="206">
        <f t="shared" si="195"/>
        <v>-76.464000000000084</v>
      </c>
      <c r="BF165" s="207">
        <f t="shared" si="196"/>
        <v>2.4390000000000005</v>
      </c>
      <c r="BG165" s="219">
        <f t="shared" si="197"/>
        <v>-74</v>
      </c>
      <c r="BH165" s="4">
        <f t="shared" si="179"/>
        <v>1996</v>
      </c>
      <c r="BI165" s="4">
        <f t="shared" si="180"/>
        <v>5</v>
      </c>
      <c r="BT165" s="175"/>
    </row>
    <row r="166" spans="1:78">
      <c r="A166" s="13">
        <v>1996</v>
      </c>
      <c r="B166" s="13">
        <v>6</v>
      </c>
      <c r="C166" s="5">
        <v>1452937</v>
      </c>
      <c r="D166" s="98">
        <v>1134834</v>
      </c>
      <c r="E166" s="4">
        <f t="shared" si="181"/>
        <v>1452937</v>
      </c>
      <c r="F166" s="4">
        <f t="shared" si="181"/>
        <v>1134834</v>
      </c>
      <c r="G166" s="79">
        <f t="shared" si="182"/>
        <v>1280.3</v>
      </c>
      <c r="H166" s="13"/>
      <c r="I166" s="13"/>
      <c r="J166" s="230">
        <f>'[7]RES 62 &amp; 67'!$S251</f>
        <v>403.3</v>
      </c>
      <c r="K166" s="183">
        <f t="shared" si="198"/>
        <v>382.8</v>
      </c>
      <c r="L166" s="233">
        <f t="shared" si="204"/>
        <v>-20.5</v>
      </c>
      <c r="M166" s="230">
        <f>'[7]RES 62 &amp; 67'!$J251</f>
        <v>0.4</v>
      </c>
      <c r="N166" s="183">
        <f t="shared" si="199"/>
        <v>0.9</v>
      </c>
      <c r="O166" s="236">
        <f t="shared" si="205"/>
        <v>0.5</v>
      </c>
      <c r="P166" s="206">
        <f t="shared" si="183"/>
        <v>-44.28</v>
      </c>
      <c r="Q166" s="208">
        <f t="shared" si="184"/>
        <v>0</v>
      </c>
      <c r="R166" s="467">
        <f t="shared" si="185"/>
        <v>-44.28</v>
      </c>
      <c r="S166" s="470">
        <f t="shared" si="186"/>
        <v>1.355</v>
      </c>
      <c r="T166" s="425">
        <f t="shared" si="187"/>
        <v>-42.9</v>
      </c>
      <c r="U166" s="579">
        <f>[5]RC!$E46</f>
        <v>1126717</v>
      </c>
      <c r="V166" s="447">
        <v>35217</v>
      </c>
      <c r="W166" s="191">
        <f t="shared" si="174"/>
        <v>1237.3999999999999</v>
      </c>
      <c r="X166" s="73">
        <f t="shared" si="175"/>
        <v>1404244</v>
      </c>
      <c r="Y166" s="186">
        <v>0</v>
      </c>
      <c r="Z166" s="175">
        <f t="shared" si="189"/>
        <v>1404244</v>
      </c>
      <c r="AA166" s="40">
        <f t="shared" si="176"/>
        <v>-48693</v>
      </c>
      <c r="AB166" s="379">
        <f t="shared" si="190"/>
        <v>1404244</v>
      </c>
      <c r="AC166" s="97">
        <f>'[7]Gov 65 &amp; 70'!$B251</f>
        <v>32.200000000000003</v>
      </c>
      <c r="AD166" s="4">
        <f t="shared" si="177"/>
        <v>1326618</v>
      </c>
      <c r="AE166" s="4">
        <f t="shared" si="200"/>
        <v>-46637</v>
      </c>
      <c r="AF166" s="23">
        <f t="shared" si="178"/>
        <v>1169</v>
      </c>
      <c r="AG166" s="75">
        <f t="shared" si="201"/>
        <v>-62.400000000000091</v>
      </c>
      <c r="AI166" s="13" t="s">
        <v>194</v>
      </c>
      <c r="AU166" s="4">
        <v>1996</v>
      </c>
      <c r="AV166" s="4">
        <v>6</v>
      </c>
      <c r="AW166" s="230">
        <f>'[8]RES 62 &amp; 67'!$S251</f>
        <v>406.3</v>
      </c>
      <c r="AX166" s="200">
        <f t="shared" si="202"/>
        <v>425.2</v>
      </c>
      <c r="AY166" s="203">
        <f t="shared" si="191"/>
        <v>18.899999999999977</v>
      </c>
      <c r="AZ166" s="230">
        <f>'[8]RES 62 &amp; 67'!$J251</f>
        <v>0.1</v>
      </c>
      <c r="BA166" s="183">
        <f t="shared" si="203"/>
        <v>0</v>
      </c>
      <c r="BB166" s="429">
        <f t="shared" si="192"/>
        <v>-0.1</v>
      </c>
      <c r="BC166" s="206">
        <f t="shared" si="193"/>
        <v>40.823999999999955</v>
      </c>
      <c r="BD166" s="206">
        <f t="shared" si="194"/>
        <v>0</v>
      </c>
      <c r="BE166" s="206">
        <f t="shared" si="195"/>
        <v>40.823999999999955</v>
      </c>
      <c r="BF166" s="207">
        <f t="shared" si="196"/>
        <v>-0.27100000000000002</v>
      </c>
      <c r="BG166" s="219">
        <f t="shared" si="197"/>
        <v>40.6</v>
      </c>
      <c r="BH166" s="4">
        <f t="shared" si="179"/>
        <v>1996</v>
      </c>
      <c r="BI166" s="4">
        <f t="shared" si="180"/>
        <v>6</v>
      </c>
      <c r="BT166" s="175"/>
    </row>
    <row r="167" spans="1:78">
      <c r="A167" s="13">
        <v>1996</v>
      </c>
      <c r="B167" s="13">
        <v>7</v>
      </c>
      <c r="C167" s="5">
        <v>1455529</v>
      </c>
      <c r="D167" s="73">
        <v>1099235</v>
      </c>
      <c r="E167" s="4">
        <f t="shared" si="181"/>
        <v>1455529</v>
      </c>
      <c r="F167" s="4">
        <f t="shared" si="181"/>
        <v>1099235</v>
      </c>
      <c r="G167" s="79">
        <f t="shared" si="182"/>
        <v>1324.1</v>
      </c>
      <c r="H167" s="13"/>
      <c r="I167" s="13"/>
      <c r="J167" s="230">
        <f>'[7]RES 62 &amp; 67'!$S252</f>
        <v>443.3</v>
      </c>
      <c r="K167" s="183">
        <f t="shared" si="198"/>
        <v>454.9</v>
      </c>
      <c r="L167" s="233">
        <f t="shared" si="204"/>
        <v>11.599999999999966</v>
      </c>
      <c r="M167" s="230">
        <f>'[7]RES 62 &amp; 67'!$J252</f>
        <v>0</v>
      </c>
      <c r="N167" s="183">
        <f t="shared" si="199"/>
        <v>0</v>
      </c>
      <c r="O167" s="236">
        <f t="shared" si="205"/>
        <v>0</v>
      </c>
      <c r="P167" s="206">
        <f t="shared" si="183"/>
        <v>25.055999999999926</v>
      </c>
      <c r="Q167" s="208">
        <f t="shared" si="184"/>
        <v>0</v>
      </c>
      <c r="R167" s="467">
        <f t="shared" si="185"/>
        <v>25.055999999999926</v>
      </c>
      <c r="S167" s="470">
        <f t="shared" si="186"/>
        <v>0</v>
      </c>
      <c r="T167" s="425">
        <f t="shared" si="187"/>
        <v>25.1</v>
      </c>
      <c r="U167" s="579">
        <f>[5]RC!$E47</f>
        <v>1127359</v>
      </c>
      <c r="V167" s="447">
        <v>35247</v>
      </c>
      <c r="W167" s="191">
        <f t="shared" si="174"/>
        <v>1349.1999999999998</v>
      </c>
      <c r="X167" s="73">
        <f t="shared" si="175"/>
        <v>1483088</v>
      </c>
      <c r="Y167" s="186">
        <v>0</v>
      </c>
      <c r="Z167" s="175">
        <f t="shared" si="189"/>
        <v>1483088</v>
      </c>
      <c r="AA167" s="40">
        <f t="shared" si="176"/>
        <v>27559</v>
      </c>
      <c r="AB167" s="379">
        <f t="shared" si="190"/>
        <v>1483088</v>
      </c>
      <c r="AC167" s="97">
        <f>'[7]Gov 65 &amp; 70'!$B252</f>
        <v>30.45</v>
      </c>
      <c r="AD167" s="4">
        <f t="shared" si="177"/>
        <v>1481627</v>
      </c>
      <c r="AE167" s="4">
        <f t="shared" si="200"/>
        <v>-43295</v>
      </c>
      <c r="AF167" s="23">
        <f t="shared" si="178"/>
        <v>1347.9</v>
      </c>
      <c r="AG167" s="75">
        <f t="shared" si="201"/>
        <v>-46.699999999999818</v>
      </c>
      <c r="AI167" s="13" t="s">
        <v>194</v>
      </c>
      <c r="AU167" s="4">
        <v>1996</v>
      </c>
      <c r="AV167" s="4">
        <v>7</v>
      </c>
      <c r="AW167" s="230">
        <f>'[8]RES 62 &amp; 67'!$S252</f>
        <v>494.1</v>
      </c>
      <c r="AX167" s="200">
        <f t="shared" si="202"/>
        <v>484.1</v>
      </c>
      <c r="AY167" s="203">
        <f t="shared" si="191"/>
        <v>-10</v>
      </c>
      <c r="AZ167" s="230">
        <f>'[8]RES 62 &amp; 67'!$J252</f>
        <v>0</v>
      </c>
      <c r="BA167" s="183">
        <f t="shared" si="203"/>
        <v>0</v>
      </c>
      <c r="BB167" s="429">
        <f t="shared" si="192"/>
        <v>0</v>
      </c>
      <c r="BC167" s="206">
        <f t="shared" si="193"/>
        <v>-21.6</v>
      </c>
      <c r="BD167" s="206">
        <f t="shared" si="194"/>
        <v>0</v>
      </c>
      <c r="BE167" s="206">
        <f t="shared" si="195"/>
        <v>-21.6</v>
      </c>
      <c r="BF167" s="207">
        <f t="shared" si="196"/>
        <v>0</v>
      </c>
      <c r="BG167" s="219">
        <f t="shared" si="197"/>
        <v>-21.6</v>
      </c>
      <c r="BH167" s="4">
        <f t="shared" si="179"/>
        <v>1996</v>
      </c>
      <c r="BI167" s="4">
        <f t="shared" si="180"/>
        <v>7</v>
      </c>
      <c r="BT167" s="175"/>
    </row>
    <row r="168" spans="1:78">
      <c r="A168" s="13">
        <v>1996</v>
      </c>
      <c r="B168" s="13">
        <v>8</v>
      </c>
      <c r="C168" s="5">
        <v>1688121</v>
      </c>
      <c r="D168" s="73">
        <v>1151569</v>
      </c>
      <c r="E168" s="4">
        <f t="shared" si="181"/>
        <v>1688121</v>
      </c>
      <c r="F168" s="4">
        <f t="shared" si="181"/>
        <v>1151569</v>
      </c>
      <c r="G168" s="79">
        <f t="shared" si="182"/>
        <v>1465.9</v>
      </c>
      <c r="H168" s="13"/>
      <c r="I168" s="13"/>
      <c r="J168" s="230">
        <f>'[7]RES 62 &amp; 67'!$S253</f>
        <v>495.6</v>
      </c>
      <c r="K168" s="183">
        <f t="shared" si="198"/>
        <v>481.4</v>
      </c>
      <c r="L168" s="233">
        <f t="shared" si="204"/>
        <v>-14.200000000000045</v>
      </c>
      <c r="M168" s="230">
        <f>'[7]RES 62 &amp; 67'!$J253</f>
        <v>0</v>
      </c>
      <c r="N168" s="183">
        <f t="shared" si="199"/>
        <v>0</v>
      </c>
      <c r="O168" s="236">
        <f t="shared" si="205"/>
        <v>0</v>
      </c>
      <c r="P168" s="206">
        <f t="shared" si="183"/>
        <v>-30.6720000000001</v>
      </c>
      <c r="Q168" s="208">
        <f t="shared" si="184"/>
        <v>0</v>
      </c>
      <c r="R168" s="467">
        <f t="shared" si="185"/>
        <v>-30.6720000000001</v>
      </c>
      <c r="S168" s="470">
        <f t="shared" si="186"/>
        <v>0</v>
      </c>
      <c r="T168" s="425">
        <f t="shared" si="187"/>
        <v>-30.7</v>
      </c>
      <c r="U168" s="579">
        <f>[5]RC!$E48</f>
        <v>1129401</v>
      </c>
      <c r="V168" s="447">
        <v>35278</v>
      </c>
      <c r="W168" s="191">
        <f t="shared" si="174"/>
        <v>1435.2</v>
      </c>
      <c r="X168" s="73">
        <f t="shared" si="175"/>
        <v>1652732</v>
      </c>
      <c r="Y168" s="186">
        <v>0</v>
      </c>
      <c r="Z168" s="175">
        <f t="shared" si="189"/>
        <v>1652732</v>
      </c>
      <c r="AA168" s="40">
        <f t="shared" si="176"/>
        <v>-35389</v>
      </c>
      <c r="AB168" s="379">
        <f t="shared" si="190"/>
        <v>1652732</v>
      </c>
      <c r="AC168" s="97">
        <f>'[7]Gov 65 &amp; 70'!$B253</f>
        <v>31.15</v>
      </c>
      <c r="AD168" s="4">
        <f t="shared" si="177"/>
        <v>1614000</v>
      </c>
      <c r="AE168" s="4">
        <f t="shared" si="200"/>
        <v>-9086</v>
      </c>
      <c r="AF168" s="23">
        <f t="shared" si="178"/>
        <v>1401.6</v>
      </c>
      <c r="AG168" s="75">
        <f t="shared" si="201"/>
        <v>-79.900000000000091</v>
      </c>
      <c r="AI168" s="13" t="s">
        <v>194</v>
      </c>
      <c r="AU168" s="4">
        <v>1996</v>
      </c>
      <c r="AV168" s="4">
        <v>8</v>
      </c>
      <c r="AW168" s="230">
        <f>'[8]RES 62 &amp; 67'!$S253</f>
        <v>460.7</v>
      </c>
      <c r="AX168" s="200">
        <f t="shared" si="202"/>
        <v>487.3</v>
      </c>
      <c r="AY168" s="203">
        <f t="shared" si="191"/>
        <v>26.600000000000023</v>
      </c>
      <c r="AZ168" s="230">
        <f>'[8]RES 62 &amp; 67'!$J253</f>
        <v>0</v>
      </c>
      <c r="BA168" s="183">
        <f t="shared" si="203"/>
        <v>0</v>
      </c>
      <c r="BB168" s="429">
        <f t="shared" si="192"/>
        <v>0</v>
      </c>
      <c r="BC168" s="206">
        <f t="shared" si="193"/>
        <v>57.456000000000053</v>
      </c>
      <c r="BD168" s="206">
        <f t="shared" si="194"/>
        <v>0</v>
      </c>
      <c r="BE168" s="206">
        <f t="shared" si="195"/>
        <v>57.456000000000053</v>
      </c>
      <c r="BF168" s="207">
        <f t="shared" si="196"/>
        <v>0</v>
      </c>
      <c r="BG168" s="219">
        <f t="shared" si="197"/>
        <v>57.5</v>
      </c>
      <c r="BH168" s="4">
        <f t="shared" si="179"/>
        <v>1996</v>
      </c>
      <c r="BI168" s="4">
        <f t="shared" si="180"/>
        <v>8</v>
      </c>
      <c r="BT168" s="175"/>
    </row>
    <row r="169" spans="1:78">
      <c r="A169" s="13">
        <v>1996</v>
      </c>
      <c r="B169" s="13">
        <v>9</v>
      </c>
      <c r="C169" s="5">
        <v>1538545</v>
      </c>
      <c r="D169" s="73">
        <v>1134334</v>
      </c>
      <c r="E169" s="4">
        <f t="shared" si="181"/>
        <v>1538545</v>
      </c>
      <c r="F169" s="4">
        <f t="shared" si="181"/>
        <v>1134334</v>
      </c>
      <c r="G169" s="79">
        <f t="shared" si="182"/>
        <v>1356.3</v>
      </c>
      <c r="H169" s="13"/>
      <c r="I169" s="13"/>
      <c r="J169" s="230">
        <f>'[7]RES 62 &amp; 67'!$S254</f>
        <v>451.8</v>
      </c>
      <c r="K169" s="183">
        <f t="shared" si="198"/>
        <v>473.7</v>
      </c>
      <c r="L169" s="233">
        <f t="shared" si="204"/>
        <v>21.899999999999977</v>
      </c>
      <c r="M169" s="230">
        <f>'[7]RES 62 &amp; 67'!$J254</f>
        <v>0</v>
      </c>
      <c r="N169" s="183">
        <f t="shared" si="199"/>
        <v>0</v>
      </c>
      <c r="O169" s="236">
        <f t="shared" si="205"/>
        <v>0</v>
      </c>
      <c r="P169" s="206">
        <f t="shared" si="183"/>
        <v>47.303999999999952</v>
      </c>
      <c r="Q169" s="208">
        <f t="shared" si="184"/>
        <v>0</v>
      </c>
      <c r="R169" s="467">
        <f t="shared" si="185"/>
        <v>47.303999999999952</v>
      </c>
      <c r="S169" s="470">
        <f t="shared" si="186"/>
        <v>0</v>
      </c>
      <c r="T169" s="425">
        <f t="shared" si="187"/>
        <v>47.3</v>
      </c>
      <c r="U169" s="579">
        <f>[5]RC!$E49</f>
        <v>1129411</v>
      </c>
      <c r="V169" s="447">
        <v>35309</v>
      </c>
      <c r="W169" s="191">
        <f t="shared" si="174"/>
        <v>1403.6</v>
      </c>
      <c r="X169" s="73">
        <f t="shared" si="175"/>
        <v>1592151</v>
      </c>
      <c r="Y169" s="186">
        <v>0</v>
      </c>
      <c r="Z169" s="175">
        <f t="shared" si="189"/>
        <v>1592151</v>
      </c>
      <c r="AA169" s="40">
        <f t="shared" si="176"/>
        <v>53606</v>
      </c>
      <c r="AB169" s="379">
        <f t="shared" si="190"/>
        <v>1592151</v>
      </c>
      <c r="AC169" s="97">
        <f>'[7]Gov 65 &amp; 70'!$B254</f>
        <v>30.55</v>
      </c>
      <c r="AD169" s="4">
        <f t="shared" si="177"/>
        <v>1585376</v>
      </c>
      <c r="AE169" s="4">
        <f t="shared" si="200"/>
        <v>79711</v>
      </c>
      <c r="AF169" s="23">
        <f t="shared" si="178"/>
        <v>1397.6</v>
      </c>
      <c r="AG169" s="75">
        <f t="shared" si="201"/>
        <v>69.099999999999909</v>
      </c>
      <c r="AI169" s="13" t="s">
        <v>194</v>
      </c>
      <c r="AU169" s="4">
        <v>1996</v>
      </c>
      <c r="AV169" s="4">
        <v>9</v>
      </c>
      <c r="AW169" s="230">
        <f>'[8]RES 62 &amp; 67'!$S254</f>
        <v>415.4</v>
      </c>
      <c r="AX169" s="200">
        <f t="shared" si="202"/>
        <v>428.3</v>
      </c>
      <c r="AY169" s="203">
        <f t="shared" si="191"/>
        <v>12.900000000000034</v>
      </c>
      <c r="AZ169" s="230">
        <f>'[8]RES 62 &amp; 67'!$J254</f>
        <v>0.2</v>
      </c>
      <c r="BA169" s="183">
        <f t="shared" si="203"/>
        <v>0</v>
      </c>
      <c r="BB169" s="429">
        <f t="shared" si="192"/>
        <v>-0.2</v>
      </c>
      <c r="BC169" s="206">
        <f t="shared" si="193"/>
        <v>27.864000000000075</v>
      </c>
      <c r="BD169" s="206">
        <f t="shared" si="194"/>
        <v>0</v>
      </c>
      <c r="BE169" s="206">
        <f t="shared" si="195"/>
        <v>27.864000000000075</v>
      </c>
      <c r="BF169" s="207">
        <f t="shared" si="196"/>
        <v>-0.54200000000000004</v>
      </c>
      <c r="BG169" s="219">
        <f t="shared" si="197"/>
        <v>27.3</v>
      </c>
      <c r="BH169" s="4">
        <f t="shared" si="179"/>
        <v>1996</v>
      </c>
      <c r="BI169" s="4">
        <f t="shared" si="180"/>
        <v>9</v>
      </c>
      <c r="BT169" s="175"/>
    </row>
    <row r="170" spans="1:78">
      <c r="A170" s="13">
        <v>1996</v>
      </c>
      <c r="B170" s="13">
        <v>10</v>
      </c>
      <c r="C170" s="5">
        <v>1236438</v>
      </c>
      <c r="D170" s="73">
        <v>1123321</v>
      </c>
      <c r="E170" s="4">
        <f t="shared" si="181"/>
        <v>1236438</v>
      </c>
      <c r="F170" s="4">
        <f t="shared" si="181"/>
        <v>1123321</v>
      </c>
      <c r="G170" s="79">
        <f t="shared" si="182"/>
        <v>1100.7</v>
      </c>
      <c r="H170" s="13"/>
      <c r="I170" s="13"/>
      <c r="J170" s="230">
        <f>'[7]RES 62 &amp; 67'!$S255</f>
        <v>337.8</v>
      </c>
      <c r="K170" s="183">
        <f t="shared" si="198"/>
        <v>373.2</v>
      </c>
      <c r="L170" s="233">
        <f t="shared" si="204"/>
        <v>35.399999999999977</v>
      </c>
      <c r="M170" s="230">
        <f>'[7]RES 62 &amp; 67'!$J255</f>
        <v>2.4</v>
      </c>
      <c r="N170" s="183">
        <f t="shared" si="199"/>
        <v>1.3</v>
      </c>
      <c r="O170" s="236">
        <f t="shared" si="205"/>
        <v>-1.0999999999999999</v>
      </c>
      <c r="P170" s="206">
        <f t="shared" si="183"/>
        <v>76.463999999999956</v>
      </c>
      <c r="Q170" s="208">
        <f t="shared" si="184"/>
        <v>0</v>
      </c>
      <c r="R170" s="467">
        <f t="shared" si="185"/>
        <v>76.463999999999956</v>
      </c>
      <c r="S170" s="470">
        <f t="shared" si="186"/>
        <v>-2.9809999999999994</v>
      </c>
      <c r="T170" s="425">
        <f t="shared" si="187"/>
        <v>73.5</v>
      </c>
      <c r="U170" s="579">
        <f>[5]RC!$E50</f>
        <v>1137305</v>
      </c>
      <c r="V170" s="447">
        <v>35339</v>
      </c>
      <c r="W170" s="191">
        <f t="shared" si="174"/>
        <v>1174.2</v>
      </c>
      <c r="X170" s="73">
        <f t="shared" si="175"/>
        <v>1319004</v>
      </c>
      <c r="Y170" s="186">
        <v>0</v>
      </c>
      <c r="Z170" s="175">
        <f t="shared" si="189"/>
        <v>1319004</v>
      </c>
      <c r="AA170" s="40">
        <f t="shared" si="176"/>
        <v>82566</v>
      </c>
      <c r="AB170" s="379">
        <f t="shared" si="190"/>
        <v>1319004</v>
      </c>
      <c r="AC170" s="97">
        <f>'[7]Gov 65 &amp; 70'!$B255</f>
        <v>29.65</v>
      </c>
      <c r="AD170" s="4">
        <f t="shared" si="177"/>
        <v>1353258</v>
      </c>
      <c r="AE170" s="4">
        <f t="shared" si="200"/>
        <v>6206</v>
      </c>
      <c r="AF170" s="23">
        <f t="shared" si="178"/>
        <v>1204.7</v>
      </c>
      <c r="AG170" s="75">
        <f t="shared" si="201"/>
        <v>-2.2999999999999545</v>
      </c>
      <c r="AI170" s="13" t="s">
        <v>194</v>
      </c>
      <c r="AU170" s="4">
        <v>1996</v>
      </c>
      <c r="AV170" s="4">
        <v>10</v>
      </c>
      <c r="AW170" s="230">
        <f>'[8]RES 62 &amp; 67'!$S255</f>
        <v>249.4</v>
      </c>
      <c r="AX170" s="200">
        <f t="shared" si="202"/>
        <v>277.60000000000002</v>
      </c>
      <c r="AY170" s="203">
        <f t="shared" si="191"/>
        <v>28.200000000000017</v>
      </c>
      <c r="AZ170" s="230">
        <f>'[8]RES 62 &amp; 67'!$J255</f>
        <v>10.3</v>
      </c>
      <c r="BA170" s="183">
        <f t="shared" si="203"/>
        <v>8.5</v>
      </c>
      <c r="BB170" s="429">
        <f t="shared" si="192"/>
        <v>-1.8000000000000007</v>
      </c>
      <c r="BC170" s="206">
        <f t="shared" si="193"/>
        <v>60.912000000000042</v>
      </c>
      <c r="BD170" s="206">
        <f t="shared" si="194"/>
        <v>0</v>
      </c>
      <c r="BE170" s="206">
        <f t="shared" si="195"/>
        <v>60.912000000000042</v>
      </c>
      <c r="BF170" s="207">
        <f t="shared" si="196"/>
        <v>-4.8780000000000019</v>
      </c>
      <c r="BG170" s="219">
        <f t="shared" si="197"/>
        <v>56</v>
      </c>
      <c r="BH170" s="4">
        <f t="shared" si="179"/>
        <v>1996</v>
      </c>
      <c r="BI170" s="4">
        <f t="shared" si="180"/>
        <v>10</v>
      </c>
      <c r="BT170" s="175"/>
    </row>
    <row r="171" spans="1:78">
      <c r="A171" s="13">
        <v>1996</v>
      </c>
      <c r="B171" s="13">
        <v>11</v>
      </c>
      <c r="C171" s="5">
        <v>1053716</v>
      </c>
      <c r="D171" s="73">
        <v>1172051</v>
      </c>
      <c r="E171" s="4">
        <f t="shared" si="181"/>
        <v>1053716</v>
      </c>
      <c r="F171" s="4">
        <f t="shared" si="181"/>
        <v>1172051</v>
      </c>
      <c r="G171" s="79">
        <f t="shared" si="182"/>
        <v>899</v>
      </c>
      <c r="H171" s="13"/>
      <c r="I171" s="13"/>
      <c r="J171" s="230">
        <f>'[7]RES 62 &amp; 67'!$S256</f>
        <v>200.1</v>
      </c>
      <c r="K171" s="183">
        <f t="shared" si="198"/>
        <v>204.3</v>
      </c>
      <c r="L171" s="233">
        <f t="shared" si="204"/>
        <v>4.2000000000000171</v>
      </c>
      <c r="M171" s="230">
        <f>'[7]RES 62 &amp; 67'!$J256</f>
        <v>25.3</v>
      </c>
      <c r="N171" s="183">
        <f t="shared" si="199"/>
        <v>24.1</v>
      </c>
      <c r="O171" s="236">
        <f t="shared" si="205"/>
        <v>-1.1999999999999993</v>
      </c>
      <c r="P171" s="206">
        <f t="shared" si="183"/>
        <v>9.0720000000000383</v>
      </c>
      <c r="Q171" s="208">
        <f t="shared" si="184"/>
        <v>0</v>
      </c>
      <c r="R171" s="467">
        <f t="shared" si="185"/>
        <v>9.0720000000000383</v>
      </c>
      <c r="S171" s="470">
        <f t="shared" si="186"/>
        <v>-3.251999999999998</v>
      </c>
      <c r="T171" s="425">
        <f t="shared" si="187"/>
        <v>5.8</v>
      </c>
      <c r="U171" s="579">
        <f>[5]RC!$E51</f>
        <v>1143634</v>
      </c>
      <c r="V171" s="447">
        <v>35370</v>
      </c>
      <c r="W171" s="191">
        <f t="shared" si="174"/>
        <v>904.8</v>
      </c>
      <c r="X171" s="73">
        <f t="shared" si="175"/>
        <v>1060472</v>
      </c>
      <c r="Y171" s="186">
        <v>0</v>
      </c>
      <c r="Z171" s="175">
        <f t="shared" si="189"/>
        <v>1060472</v>
      </c>
      <c r="AA171" s="40">
        <f t="shared" si="176"/>
        <v>6756</v>
      </c>
      <c r="AB171" s="379">
        <f t="shared" si="190"/>
        <v>1060472</v>
      </c>
      <c r="AC171" s="97">
        <f>'[7]Gov 65 &amp; 70'!$B256</f>
        <v>30.1</v>
      </c>
      <c r="AD171" s="4">
        <f t="shared" si="177"/>
        <v>1071746</v>
      </c>
      <c r="AE171" s="4">
        <f t="shared" si="200"/>
        <v>15058</v>
      </c>
      <c r="AF171" s="23">
        <f t="shared" si="178"/>
        <v>914.4</v>
      </c>
      <c r="AG171" s="75">
        <f t="shared" si="201"/>
        <v>3.3999999999999773</v>
      </c>
      <c r="AI171" s="13" t="s">
        <v>194</v>
      </c>
      <c r="AU171" s="4">
        <v>1996</v>
      </c>
      <c r="AV171" s="4">
        <v>11</v>
      </c>
      <c r="AW171" s="230">
        <f>'[8]RES 62 &amp; 67'!$S256</f>
        <v>101.7</v>
      </c>
      <c r="AX171" s="200">
        <f t="shared" si="202"/>
        <v>110.2</v>
      </c>
      <c r="AY171" s="203">
        <f t="shared" si="191"/>
        <v>8.5</v>
      </c>
      <c r="AZ171" s="230">
        <f>'[8]RES 62 &amp; 67'!$J256</f>
        <v>50</v>
      </c>
      <c r="BA171" s="183">
        <f t="shared" si="203"/>
        <v>45.3</v>
      </c>
      <c r="BB171" s="429">
        <f t="shared" si="192"/>
        <v>-4.7000000000000028</v>
      </c>
      <c r="BC171" s="206">
        <f t="shared" si="193"/>
        <v>18.36</v>
      </c>
      <c r="BD171" s="206">
        <f t="shared" si="194"/>
        <v>-2.5924999999999998</v>
      </c>
      <c r="BE171" s="206">
        <f t="shared" si="195"/>
        <v>15.7675</v>
      </c>
      <c r="BF171" s="207">
        <f t="shared" si="196"/>
        <v>-12.737000000000007</v>
      </c>
      <c r="BG171" s="219">
        <f t="shared" si="197"/>
        <v>3</v>
      </c>
      <c r="BH171" s="4">
        <f t="shared" si="179"/>
        <v>1996</v>
      </c>
      <c r="BI171" s="4">
        <f t="shared" si="180"/>
        <v>11</v>
      </c>
      <c r="BT171" s="175"/>
    </row>
    <row r="172" spans="1:78" s="89" customFormat="1" ht="12.75">
      <c r="A172" s="90">
        <v>1996</v>
      </c>
      <c r="B172" s="90">
        <v>12</v>
      </c>
      <c r="C172" s="103">
        <v>1048461</v>
      </c>
      <c r="D172" s="104">
        <v>1165740</v>
      </c>
      <c r="E172" s="89">
        <f t="shared" si="181"/>
        <v>1048461</v>
      </c>
      <c r="F172" s="89">
        <f t="shared" si="181"/>
        <v>1165740</v>
      </c>
      <c r="G172" s="301">
        <f t="shared" si="182"/>
        <v>899.4</v>
      </c>
      <c r="H172" s="90"/>
      <c r="I172" s="90"/>
      <c r="J172" s="300">
        <f>'[7]RES 62 &amp; 67'!$S257</f>
        <v>73.099999999999994</v>
      </c>
      <c r="K172" s="210">
        <f t="shared" si="198"/>
        <v>88</v>
      </c>
      <c r="L172" s="234">
        <f t="shared" si="204"/>
        <v>14.900000000000006</v>
      </c>
      <c r="M172" s="300">
        <f>'[7]RES 62 &amp; 67'!$J257</f>
        <v>75.599999999999994</v>
      </c>
      <c r="N172" s="210">
        <f t="shared" si="199"/>
        <v>83.9</v>
      </c>
      <c r="O172" s="237">
        <f t="shared" si="205"/>
        <v>8.3000000000000114</v>
      </c>
      <c r="P172" s="211">
        <f t="shared" si="183"/>
        <v>32.184000000000012</v>
      </c>
      <c r="Q172" s="211">
        <f t="shared" si="184"/>
        <v>-9.089000000000004</v>
      </c>
      <c r="R172" s="468">
        <f t="shared" si="185"/>
        <v>23.095000000000006</v>
      </c>
      <c r="S172" s="471">
        <f t="shared" si="186"/>
        <v>22.493000000000031</v>
      </c>
      <c r="T172" s="426">
        <f t="shared" si="187"/>
        <v>45.6</v>
      </c>
      <c r="U172" s="579">
        <f>[5]RC!$E52</f>
        <v>1169763</v>
      </c>
      <c r="V172" s="447">
        <v>35400</v>
      </c>
      <c r="W172" s="95">
        <f t="shared" si="174"/>
        <v>945</v>
      </c>
      <c r="X172" s="104">
        <f t="shared" si="175"/>
        <v>1101624</v>
      </c>
      <c r="Y172" s="302">
        <v>0</v>
      </c>
      <c r="Z172" s="176">
        <f t="shared" si="189"/>
        <v>1101624</v>
      </c>
      <c r="AA172" s="116">
        <f t="shared" si="176"/>
        <v>53163</v>
      </c>
      <c r="AB172" s="517">
        <f t="shared" si="190"/>
        <v>1101624</v>
      </c>
      <c r="AC172" s="106">
        <f>'[7]Gov 65 &amp; 70'!$B257</f>
        <v>31.5</v>
      </c>
      <c r="AD172" s="89">
        <f t="shared" si="177"/>
        <v>1063854</v>
      </c>
      <c r="AE172" s="89">
        <f t="shared" si="200"/>
        <v>58824</v>
      </c>
      <c r="AF172" s="89">
        <f t="shared" si="178"/>
        <v>912.6</v>
      </c>
      <c r="AG172" s="91">
        <f t="shared" si="201"/>
        <v>21</v>
      </c>
      <c r="AH172" s="252"/>
      <c r="AI172" s="90" t="s">
        <v>194</v>
      </c>
      <c r="AU172" s="89">
        <v>1996</v>
      </c>
      <c r="AV172" s="89">
        <v>12</v>
      </c>
      <c r="AW172" s="300">
        <f>'[8]RES 62 &amp; 67'!$S257</f>
        <v>48.9</v>
      </c>
      <c r="AX172" s="210">
        <f t="shared" si="202"/>
        <v>53.2</v>
      </c>
      <c r="AY172" s="204">
        <f t="shared" si="191"/>
        <v>4.3000000000000043</v>
      </c>
      <c r="AZ172" s="300">
        <f>'[8]RES 62 &amp; 67'!$J257</f>
        <v>118.9</v>
      </c>
      <c r="BA172" s="210">
        <f t="shared" si="203"/>
        <v>114.1</v>
      </c>
      <c r="BB172" s="430">
        <f t="shared" si="192"/>
        <v>-4.8000000000000114</v>
      </c>
      <c r="BC172" s="211">
        <f t="shared" si="193"/>
        <v>9.2880000000000091</v>
      </c>
      <c r="BD172" s="211">
        <f t="shared" si="194"/>
        <v>-2.6230000000000024</v>
      </c>
      <c r="BE172" s="211">
        <f t="shared" si="195"/>
        <v>6.6650000000000063</v>
      </c>
      <c r="BF172" s="212">
        <f t="shared" si="196"/>
        <v>-13.008000000000031</v>
      </c>
      <c r="BG172" s="220">
        <f t="shared" si="197"/>
        <v>-6.3</v>
      </c>
      <c r="BH172" s="89">
        <f t="shared" si="179"/>
        <v>1996</v>
      </c>
      <c r="BI172" s="89">
        <f t="shared" si="180"/>
        <v>12</v>
      </c>
      <c r="BN172" s="96"/>
      <c r="BO172" s="96"/>
      <c r="BT172" s="176"/>
    </row>
    <row r="173" spans="1:78">
      <c r="A173" s="29">
        <v>1997</v>
      </c>
      <c r="B173" s="13">
        <v>1</v>
      </c>
      <c r="C173" s="5">
        <v>1223345</v>
      </c>
      <c r="D173" s="73">
        <v>1165838</v>
      </c>
      <c r="E173" s="4">
        <f t="shared" si="181"/>
        <v>1223345</v>
      </c>
      <c r="F173" s="4">
        <f t="shared" si="181"/>
        <v>1165838</v>
      </c>
      <c r="G173" s="79">
        <f t="shared" si="182"/>
        <v>1049.3</v>
      </c>
      <c r="H173" s="13"/>
      <c r="I173" s="13"/>
      <c r="J173" s="230">
        <f>'[7]RES 62 &amp; 67'!$S258</f>
        <v>60.9</v>
      </c>
      <c r="K173" s="183">
        <f t="shared" si="198"/>
        <v>49.5</v>
      </c>
      <c r="L173" s="233">
        <f t="shared" si="204"/>
        <v>-11.399999999999999</v>
      </c>
      <c r="M173" s="230">
        <f>'[7]RES 62 &amp; 67'!$J258</f>
        <v>123.1</v>
      </c>
      <c r="N173" s="183">
        <f t="shared" si="199"/>
        <v>131.6</v>
      </c>
      <c r="O173" s="236">
        <f t="shared" si="205"/>
        <v>8.5</v>
      </c>
      <c r="P173" s="206">
        <f t="shared" si="183"/>
        <v>-24.623999999999999</v>
      </c>
      <c r="Q173" s="208">
        <f t="shared" si="184"/>
        <v>6.9539999999999988</v>
      </c>
      <c r="R173" s="467">
        <f t="shared" si="185"/>
        <v>-17.670000000000002</v>
      </c>
      <c r="S173" s="470">
        <f t="shared" si="186"/>
        <v>23.035</v>
      </c>
      <c r="T173" s="425">
        <f t="shared" si="187"/>
        <v>5.4</v>
      </c>
      <c r="U173" s="579">
        <f>[5]RC!$E53</f>
        <v>1172349</v>
      </c>
      <c r="V173" s="447">
        <v>35431</v>
      </c>
      <c r="W173" s="191">
        <f t="shared" si="174"/>
        <v>1054.7</v>
      </c>
      <c r="X173" s="73">
        <f t="shared" si="175"/>
        <v>1229609</v>
      </c>
      <c r="Y173" s="186">
        <v>0</v>
      </c>
      <c r="Z173" s="175">
        <f t="shared" si="189"/>
        <v>1229609</v>
      </c>
      <c r="AA173" s="40">
        <f t="shared" si="176"/>
        <v>6264</v>
      </c>
      <c r="AB173" s="379">
        <f t="shared" si="190"/>
        <v>1229609</v>
      </c>
      <c r="AC173" s="107">
        <f>'[7]Gov 65 &amp; 70'!$B258</f>
        <v>32.1</v>
      </c>
      <c r="AD173" s="4">
        <f t="shared" si="177"/>
        <v>1165256</v>
      </c>
      <c r="AE173" s="4">
        <f t="shared" si="200"/>
        <v>32586</v>
      </c>
      <c r="AF173" s="23">
        <f t="shared" si="178"/>
        <v>999.5</v>
      </c>
      <c r="AG173" s="75">
        <f t="shared" si="201"/>
        <v>1.1000000000000227</v>
      </c>
      <c r="AI173" s="13" t="s">
        <v>194</v>
      </c>
      <c r="AU173" s="23">
        <v>1997</v>
      </c>
      <c r="AV173" s="4">
        <v>1</v>
      </c>
      <c r="AW173" s="230">
        <f>'[8]RES 62 &amp; 67'!$S258</f>
        <v>51.7</v>
      </c>
      <c r="AX173" s="200">
        <f t="shared" si="202"/>
        <v>50.5</v>
      </c>
      <c r="AY173" s="203">
        <f t="shared" si="191"/>
        <v>-1.2000000000000028</v>
      </c>
      <c r="AZ173" s="230">
        <f>'[8]RES 62 &amp; 67'!$J258</f>
        <v>141.19999999999999</v>
      </c>
      <c r="BA173" s="183">
        <f t="shared" si="203"/>
        <v>127.9</v>
      </c>
      <c r="BB173" s="429">
        <f t="shared" si="192"/>
        <v>-13.299999999999983</v>
      </c>
      <c r="BC173" s="206">
        <f t="shared" si="193"/>
        <v>-2.5920000000000063</v>
      </c>
      <c r="BD173" s="206">
        <f t="shared" si="194"/>
        <v>0.73200000000000176</v>
      </c>
      <c r="BE173" s="206">
        <f t="shared" si="195"/>
        <v>-1.8600000000000045</v>
      </c>
      <c r="BF173" s="207">
        <f t="shared" si="196"/>
        <v>-36.042999999999957</v>
      </c>
      <c r="BG173" s="219">
        <f t="shared" si="197"/>
        <v>-37.9</v>
      </c>
      <c r="BH173" s="4">
        <f t="shared" si="179"/>
        <v>1997</v>
      </c>
      <c r="BI173" s="4">
        <f t="shared" si="180"/>
        <v>1</v>
      </c>
      <c r="BJ173" s="108">
        <f>C173+[4]MWh!$AJ7</f>
        <v>1249656.8956297622</v>
      </c>
      <c r="BK173" s="108">
        <f t="shared" ref="BK173:BK204" si="206">(H173/C173)*BJ173</f>
        <v>0</v>
      </c>
      <c r="BL173" s="108">
        <f t="shared" ref="BL173:BL186" si="207">BJ173-BK173</f>
        <v>1249656.8956297622</v>
      </c>
      <c r="BM173" s="189">
        <f t="shared" ref="BM173:BM204" si="208">(BL173/F173*1000)+BG173</f>
        <v>1033.9958342666496</v>
      </c>
      <c r="BN173" s="6">
        <f t="shared" ref="BN173:BN204" si="209">ROUND(BM173*F173/1000,0)</f>
        <v>1205472</v>
      </c>
      <c r="BO173" s="175"/>
      <c r="BP173" s="108">
        <f t="shared" ref="BP173:BP186" si="210">(BN173-BL173)+(BO173-BK173)</f>
        <v>-44184.895629762206</v>
      </c>
      <c r="BQ173" s="76">
        <f t="shared" ref="BQ173:BQ204" si="211">BJ173/D173*1000</f>
        <v>1071.8958342666497</v>
      </c>
      <c r="BR173" s="76">
        <f t="shared" ref="BR173:BR204" si="212">(BN173+BO173)/D173*1000</f>
        <v>1033.996146977539</v>
      </c>
      <c r="BS173" s="76"/>
      <c r="BT173" s="175">
        <f t="shared" ref="BT173:BT199" si="213">(BN173+BO173)</f>
        <v>1205472</v>
      </c>
      <c r="BW173" s="529"/>
      <c r="BZ173" s="108">
        <f>BW173+COML!BV173+SPA!BV173</f>
        <v>-9479</v>
      </c>
    </row>
    <row r="174" spans="1:78">
      <c r="A174" s="29">
        <v>1997</v>
      </c>
      <c r="B174" s="13">
        <v>2</v>
      </c>
      <c r="C174" s="5">
        <v>1089567</v>
      </c>
      <c r="D174" s="73">
        <v>1166077</v>
      </c>
      <c r="E174" s="4">
        <f t="shared" si="181"/>
        <v>1089567</v>
      </c>
      <c r="F174" s="4">
        <f t="shared" si="181"/>
        <v>1166077</v>
      </c>
      <c r="G174" s="79">
        <f t="shared" si="182"/>
        <v>934.4</v>
      </c>
      <c r="H174" s="13"/>
      <c r="I174" s="13"/>
      <c r="J174" s="230">
        <f>'[7]RES 62 &amp; 67'!$S259</f>
        <v>53.7</v>
      </c>
      <c r="K174" s="183">
        <f t="shared" si="198"/>
        <v>43.3</v>
      </c>
      <c r="L174" s="233">
        <f t="shared" si="204"/>
        <v>-10.400000000000006</v>
      </c>
      <c r="M174" s="230">
        <f>'[7]RES 62 &amp; 67'!$J259</f>
        <v>121.9</v>
      </c>
      <c r="N174" s="183">
        <f t="shared" si="199"/>
        <v>127.9</v>
      </c>
      <c r="O174" s="236">
        <f t="shared" si="205"/>
        <v>6</v>
      </c>
      <c r="P174" s="206">
        <f t="shared" si="183"/>
        <v>-22.464000000000013</v>
      </c>
      <c r="Q174" s="208">
        <f t="shared" si="184"/>
        <v>6.344000000000003</v>
      </c>
      <c r="R174" s="467">
        <f t="shared" si="185"/>
        <v>-16.120000000000012</v>
      </c>
      <c r="S174" s="470">
        <f t="shared" si="186"/>
        <v>16.259999999999998</v>
      </c>
      <c r="T174" s="425">
        <f t="shared" si="187"/>
        <v>0.1</v>
      </c>
      <c r="U174" s="579">
        <f>[5]RC!$E54</f>
        <v>1175214</v>
      </c>
      <c r="V174" s="447">
        <v>35462</v>
      </c>
      <c r="W174" s="191">
        <f t="shared" si="174"/>
        <v>934.5</v>
      </c>
      <c r="X174" s="73">
        <f t="shared" si="175"/>
        <v>1089699</v>
      </c>
      <c r="Y174" s="186">
        <v>0</v>
      </c>
      <c r="Z174" s="175">
        <f t="shared" si="189"/>
        <v>1089699</v>
      </c>
      <c r="AA174" s="40">
        <f t="shared" si="176"/>
        <v>132</v>
      </c>
      <c r="AB174" s="379">
        <f t="shared" si="190"/>
        <v>1089699</v>
      </c>
      <c r="AC174" s="107">
        <f>'[7]Gov 65 &amp; 70'!$B259</f>
        <v>29.5</v>
      </c>
      <c r="AD174" s="4">
        <f t="shared" si="177"/>
        <v>1123683</v>
      </c>
      <c r="AE174" s="4">
        <f t="shared" si="200"/>
        <v>34044</v>
      </c>
      <c r="AF174" s="23">
        <f t="shared" si="178"/>
        <v>963.6</v>
      </c>
      <c r="AG174" s="75">
        <f t="shared" ref="AG174:AG189" si="214">AF174-AF162</f>
        <v>22.300000000000068</v>
      </c>
      <c r="AI174" s="13" t="s">
        <v>194</v>
      </c>
      <c r="AU174" s="23">
        <v>1997</v>
      </c>
      <c r="AV174" s="4">
        <v>2</v>
      </c>
      <c r="AW174" s="230">
        <f>'[8]RES 62 &amp; 67'!$S259</f>
        <v>97.4</v>
      </c>
      <c r="AX174" s="200">
        <f t="shared" si="202"/>
        <v>59.2</v>
      </c>
      <c r="AY174" s="203">
        <f t="shared" si="191"/>
        <v>-38.200000000000003</v>
      </c>
      <c r="AZ174" s="230">
        <f>'[8]RES 62 &amp; 67'!$J259</f>
        <v>51.1</v>
      </c>
      <c r="BA174" s="183">
        <f t="shared" si="203"/>
        <v>97.8</v>
      </c>
      <c r="BB174" s="429">
        <f t="shared" si="192"/>
        <v>46.699999999999996</v>
      </c>
      <c r="BC174" s="206">
        <f t="shared" si="193"/>
        <v>-82.512000000000015</v>
      </c>
      <c r="BD174" s="206">
        <f t="shared" si="194"/>
        <v>23.302</v>
      </c>
      <c r="BE174" s="206">
        <f t="shared" si="195"/>
        <v>-59.210000000000015</v>
      </c>
      <c r="BF174" s="207">
        <f t="shared" si="196"/>
        <v>126.55699999999999</v>
      </c>
      <c r="BG174" s="219">
        <f t="shared" si="197"/>
        <v>67.3</v>
      </c>
      <c r="BH174" s="4">
        <f t="shared" si="179"/>
        <v>1997</v>
      </c>
      <c r="BI174" s="4">
        <f t="shared" si="180"/>
        <v>2</v>
      </c>
      <c r="BJ174" s="108">
        <f>C174+[4]MWh!$AJ8</f>
        <v>965012.74228712043</v>
      </c>
      <c r="BK174" s="108">
        <f t="shared" si="206"/>
        <v>0</v>
      </c>
      <c r="BL174" s="108">
        <f t="shared" si="207"/>
        <v>965012.74228712043</v>
      </c>
      <c r="BM174" s="189">
        <f t="shared" si="208"/>
        <v>894.87205766610634</v>
      </c>
      <c r="BN174" s="6">
        <f t="shared" si="209"/>
        <v>1043490</v>
      </c>
      <c r="BO174" s="175"/>
      <c r="BP174" s="108">
        <f t="shared" si="210"/>
        <v>78477.257712879567</v>
      </c>
      <c r="BQ174" s="76">
        <f t="shared" si="211"/>
        <v>827.57205766610639</v>
      </c>
      <c r="BR174" s="76">
        <f t="shared" si="212"/>
        <v>894.87229402518017</v>
      </c>
      <c r="BS174" s="76"/>
      <c r="BT174" s="175">
        <f t="shared" si="213"/>
        <v>1043490</v>
      </c>
      <c r="BW174" s="529"/>
      <c r="BZ174" s="108">
        <f>BW174+COML!BV174+SPA!BV174</f>
        <v>-20848</v>
      </c>
    </row>
    <row r="175" spans="1:78">
      <c r="A175" s="29">
        <v>1997</v>
      </c>
      <c r="B175" s="13">
        <v>3</v>
      </c>
      <c r="C175" s="5">
        <v>983355</v>
      </c>
      <c r="D175" s="73">
        <v>1176603</v>
      </c>
      <c r="E175" s="4">
        <f t="shared" si="181"/>
        <v>983355</v>
      </c>
      <c r="F175" s="4">
        <f t="shared" si="181"/>
        <v>1176603</v>
      </c>
      <c r="G175" s="79">
        <f t="shared" si="182"/>
        <v>835.8</v>
      </c>
      <c r="H175" s="13"/>
      <c r="I175" s="13"/>
      <c r="J175" s="230">
        <f>'[7]RES 62 &amp; 67'!$S260</f>
        <v>149.19999999999999</v>
      </c>
      <c r="K175" s="183">
        <f t="shared" si="198"/>
        <v>77.2</v>
      </c>
      <c r="L175" s="233">
        <f t="shared" si="204"/>
        <v>-71.999999999999986</v>
      </c>
      <c r="M175" s="230">
        <f>'[7]RES 62 &amp; 67'!$J260</f>
        <v>28.4</v>
      </c>
      <c r="N175" s="183">
        <f t="shared" si="199"/>
        <v>82.3</v>
      </c>
      <c r="O175" s="236">
        <f t="shared" si="205"/>
        <v>53.9</v>
      </c>
      <c r="P175" s="206">
        <f t="shared" si="183"/>
        <v>-155.51999999999998</v>
      </c>
      <c r="Q175" s="208">
        <f t="shared" si="184"/>
        <v>43.919999999999987</v>
      </c>
      <c r="R175" s="467">
        <f t="shared" si="185"/>
        <v>-111.6</v>
      </c>
      <c r="S175" s="470">
        <f t="shared" si="186"/>
        <v>146.06899999999999</v>
      </c>
      <c r="T175" s="425">
        <f t="shared" si="187"/>
        <v>34.5</v>
      </c>
      <c r="U175" s="579">
        <f>[5]RC!$E55</f>
        <v>1177744</v>
      </c>
      <c r="V175" s="447">
        <v>35490</v>
      </c>
      <c r="W175" s="191">
        <f t="shared" si="174"/>
        <v>870.3</v>
      </c>
      <c r="X175" s="73">
        <f t="shared" si="175"/>
        <v>1023998</v>
      </c>
      <c r="Y175" s="186">
        <v>0</v>
      </c>
      <c r="Z175" s="175">
        <f t="shared" si="189"/>
        <v>1023998</v>
      </c>
      <c r="AA175" s="40">
        <f t="shared" si="176"/>
        <v>40643</v>
      </c>
      <c r="AB175" s="379">
        <f t="shared" si="190"/>
        <v>1023998</v>
      </c>
      <c r="AC175" s="107">
        <f>'[7]Gov 65 &amp; 70'!$B260</f>
        <v>29.4</v>
      </c>
      <c r="AD175" s="4">
        <f t="shared" si="177"/>
        <v>1059524</v>
      </c>
      <c r="AE175" s="4">
        <f t="shared" si="200"/>
        <v>3557</v>
      </c>
      <c r="AF175" s="23">
        <f t="shared" si="178"/>
        <v>900.5</v>
      </c>
      <c r="AG175" s="75">
        <f t="shared" si="214"/>
        <v>-16.700000000000045</v>
      </c>
      <c r="AI175" s="13" t="s">
        <v>194</v>
      </c>
      <c r="AU175" s="23">
        <v>1997</v>
      </c>
      <c r="AV175" s="4">
        <v>3</v>
      </c>
      <c r="AW175" s="230">
        <f>'[8]RES 62 &amp; 67'!$S260</f>
        <v>188.8</v>
      </c>
      <c r="AX175" s="200">
        <f t="shared" si="202"/>
        <v>105.8</v>
      </c>
      <c r="AY175" s="203">
        <f t="shared" si="191"/>
        <v>-83.000000000000014</v>
      </c>
      <c r="AZ175" s="230">
        <f>'[8]RES 62 &amp; 67'!$J260</f>
        <v>10.199999999999999</v>
      </c>
      <c r="BA175" s="183">
        <f t="shared" si="203"/>
        <v>49.9</v>
      </c>
      <c r="BB175" s="429">
        <f t="shared" si="192"/>
        <v>39.700000000000003</v>
      </c>
      <c r="BC175" s="206">
        <f t="shared" si="193"/>
        <v>-179.28000000000003</v>
      </c>
      <c r="BD175" s="206">
        <f t="shared" si="194"/>
        <v>50.63000000000001</v>
      </c>
      <c r="BE175" s="206">
        <f t="shared" si="195"/>
        <v>-128.65000000000003</v>
      </c>
      <c r="BF175" s="207">
        <f t="shared" si="196"/>
        <v>107.587</v>
      </c>
      <c r="BG175" s="219">
        <f t="shared" si="197"/>
        <v>-21.1</v>
      </c>
      <c r="BH175" s="4">
        <f t="shared" si="179"/>
        <v>1997</v>
      </c>
      <c r="BI175" s="4">
        <f t="shared" si="180"/>
        <v>3</v>
      </c>
      <c r="BJ175" s="108">
        <f>C175+[4]MWh!$AJ9</f>
        <v>1016806.914473198</v>
      </c>
      <c r="BK175" s="108">
        <f t="shared" si="206"/>
        <v>0</v>
      </c>
      <c r="BL175" s="108">
        <f t="shared" si="207"/>
        <v>1016806.914473198</v>
      </c>
      <c r="BM175" s="189">
        <f t="shared" si="208"/>
        <v>843.08861287383922</v>
      </c>
      <c r="BN175" s="6">
        <f t="shared" si="209"/>
        <v>991981</v>
      </c>
      <c r="BO175" s="175"/>
      <c r="BP175" s="108">
        <f t="shared" si="210"/>
        <v>-24825.914473198005</v>
      </c>
      <c r="BQ175" s="76">
        <f t="shared" si="211"/>
        <v>864.18861287383925</v>
      </c>
      <c r="BR175" s="76">
        <f t="shared" si="212"/>
        <v>843.08896033751398</v>
      </c>
      <c r="BS175" s="76"/>
      <c r="BT175" s="175">
        <f t="shared" si="213"/>
        <v>991981</v>
      </c>
      <c r="BW175" s="529"/>
      <c r="BZ175" s="108">
        <f>BW175+COML!BV175+SPA!BV175</f>
        <v>-70347</v>
      </c>
    </row>
    <row r="176" spans="1:78">
      <c r="A176" s="29">
        <v>1997</v>
      </c>
      <c r="B176" s="13">
        <v>4</v>
      </c>
      <c r="C176" s="5">
        <v>997123</v>
      </c>
      <c r="D176" s="73">
        <v>1151977</v>
      </c>
      <c r="E176" s="4">
        <f t="shared" si="181"/>
        <v>997123</v>
      </c>
      <c r="F176" s="4">
        <f t="shared" si="181"/>
        <v>1151977</v>
      </c>
      <c r="G176" s="79">
        <f t="shared" si="182"/>
        <v>865.6</v>
      </c>
      <c r="H176" s="13"/>
      <c r="I176" s="13"/>
      <c r="J176" s="230">
        <f>'[7]RES 62 &amp; 67'!$S261</f>
        <v>162.19999999999999</v>
      </c>
      <c r="K176" s="183">
        <f t="shared" si="198"/>
        <v>138.1</v>
      </c>
      <c r="L176" s="233">
        <f t="shared" si="204"/>
        <v>-24.099999999999994</v>
      </c>
      <c r="M176" s="230">
        <f>'[7]RES 62 &amp; 67'!$J261</f>
        <v>15.3</v>
      </c>
      <c r="N176" s="183">
        <f t="shared" si="199"/>
        <v>37.299999999999997</v>
      </c>
      <c r="O176" s="236">
        <f>(N176-M176)</f>
        <v>21.999999999999996</v>
      </c>
      <c r="P176" s="206">
        <f t="shared" si="183"/>
        <v>-52.05599999999999</v>
      </c>
      <c r="Q176" s="208">
        <f t="shared" si="184"/>
        <v>14.700999999999997</v>
      </c>
      <c r="R176" s="467">
        <f t="shared" si="185"/>
        <v>-37.35499999999999</v>
      </c>
      <c r="S176" s="470">
        <f t="shared" si="186"/>
        <v>59.61999999999999</v>
      </c>
      <c r="T176" s="425">
        <f t="shared" si="187"/>
        <v>22.3</v>
      </c>
      <c r="U176" s="579">
        <f>[5]RC!$E56</f>
        <v>1166545</v>
      </c>
      <c r="V176" s="447">
        <v>35521</v>
      </c>
      <c r="W176" s="191">
        <f t="shared" si="174"/>
        <v>887.9</v>
      </c>
      <c r="X176" s="73">
        <f t="shared" si="175"/>
        <v>1022840</v>
      </c>
      <c r="Y176" s="186">
        <v>0</v>
      </c>
      <c r="Z176" s="175">
        <f t="shared" si="189"/>
        <v>1022840</v>
      </c>
      <c r="AA176" s="40">
        <f t="shared" si="176"/>
        <v>25717</v>
      </c>
      <c r="AB176" s="379">
        <f t="shared" si="190"/>
        <v>1022840</v>
      </c>
      <c r="AC176" s="107">
        <f>'[7]Gov 65 &amp; 70'!$B261</f>
        <v>30.8</v>
      </c>
      <c r="AD176" s="4">
        <f t="shared" si="177"/>
        <v>1010221</v>
      </c>
      <c r="AE176" s="4">
        <f t="shared" si="200"/>
        <v>36472</v>
      </c>
      <c r="AF176" s="23">
        <f t="shared" si="178"/>
        <v>876.9</v>
      </c>
      <c r="AG176" s="75">
        <f t="shared" si="214"/>
        <v>25.799999999999955</v>
      </c>
      <c r="AI176" s="13" t="s">
        <v>194</v>
      </c>
      <c r="AU176" s="23">
        <v>1997</v>
      </c>
      <c r="AV176" s="4">
        <v>4</v>
      </c>
      <c r="AW176" s="230">
        <f>'[8]RES 62 &amp; 67'!$S261</f>
        <v>140.5</v>
      </c>
      <c r="AX176" s="200">
        <f t="shared" si="202"/>
        <v>181.7</v>
      </c>
      <c r="AY176" s="203">
        <f t="shared" si="191"/>
        <v>41.199999999999989</v>
      </c>
      <c r="AZ176" s="230">
        <f>'[8]RES 62 &amp; 67'!$J261</f>
        <v>20.9</v>
      </c>
      <c r="BA176" s="183">
        <f t="shared" si="203"/>
        <v>21.5</v>
      </c>
      <c r="BB176" s="429">
        <f t="shared" si="192"/>
        <v>0.60000000000000142</v>
      </c>
      <c r="BC176" s="206">
        <f t="shared" si="193"/>
        <v>88.991999999999976</v>
      </c>
      <c r="BD176" s="206">
        <f t="shared" si="194"/>
        <v>-12.565999999999995</v>
      </c>
      <c r="BE176" s="206">
        <f t="shared" si="195"/>
        <v>76.425999999999988</v>
      </c>
      <c r="BF176" s="207">
        <f t="shared" si="196"/>
        <v>1.6260000000000039</v>
      </c>
      <c r="BG176" s="219">
        <f t="shared" si="197"/>
        <v>78.099999999999994</v>
      </c>
      <c r="BH176" s="4">
        <f t="shared" si="179"/>
        <v>1997</v>
      </c>
      <c r="BI176" s="4">
        <f t="shared" si="180"/>
        <v>4</v>
      </c>
      <c r="BJ176" s="108">
        <f>C176+[4]MWh!$AJ10</f>
        <v>942266.01287577278</v>
      </c>
      <c r="BK176" s="108">
        <f t="shared" si="206"/>
        <v>0</v>
      </c>
      <c r="BL176" s="108">
        <f t="shared" si="207"/>
        <v>942266.01287577278</v>
      </c>
      <c r="BM176" s="189">
        <f t="shared" si="208"/>
        <v>896.05557799832184</v>
      </c>
      <c r="BN176" s="6">
        <f t="shared" si="209"/>
        <v>1032235</v>
      </c>
      <c r="BO176" s="175"/>
      <c r="BP176" s="108">
        <f t="shared" si="210"/>
        <v>89968.98712422722</v>
      </c>
      <c r="BQ176" s="76">
        <f t="shared" si="211"/>
        <v>817.95557799832181</v>
      </c>
      <c r="BR176" s="76">
        <f t="shared" si="212"/>
        <v>896.0552163801882</v>
      </c>
      <c r="BS176" s="76"/>
      <c r="BT176" s="175">
        <f t="shared" si="213"/>
        <v>1032235</v>
      </c>
      <c r="BW176" s="529"/>
      <c r="BZ176" s="108">
        <f>BW176+COML!BV176+SPA!BV176</f>
        <v>38636</v>
      </c>
    </row>
    <row r="177" spans="1:103">
      <c r="A177" s="29">
        <v>1997</v>
      </c>
      <c r="B177" s="13">
        <v>5</v>
      </c>
      <c r="C177" s="5">
        <v>1024053</v>
      </c>
      <c r="D177" s="73">
        <v>1159480</v>
      </c>
      <c r="E177" s="4">
        <f t="shared" si="181"/>
        <v>1024053</v>
      </c>
      <c r="F177" s="4">
        <f t="shared" si="181"/>
        <v>1159480</v>
      </c>
      <c r="G177" s="79">
        <f t="shared" si="182"/>
        <v>883.2</v>
      </c>
      <c r="H177" s="13"/>
      <c r="I177" s="13"/>
      <c r="J177" s="230">
        <f>'[7]RES 62 &amp; 67'!$S262</f>
        <v>184</v>
      </c>
      <c r="K177" s="183">
        <f t="shared" si="198"/>
        <v>224.4</v>
      </c>
      <c r="L177" s="233">
        <f t="shared" ref="L177:L190" si="215">(K177-J177)</f>
        <v>40.400000000000006</v>
      </c>
      <c r="M177" s="230">
        <f>'[7]RES 62 &amp; 67'!$J262</f>
        <v>13.1</v>
      </c>
      <c r="N177" s="183">
        <f t="shared" si="199"/>
        <v>11.2</v>
      </c>
      <c r="O177" s="236">
        <f t="shared" ref="O177:O190" si="216">(N177-M177)</f>
        <v>-1.9000000000000004</v>
      </c>
      <c r="P177" s="206">
        <f t="shared" si="183"/>
        <v>87.264000000000024</v>
      </c>
      <c r="Q177" s="208">
        <f t="shared" si="184"/>
        <v>0</v>
      </c>
      <c r="R177" s="467">
        <f t="shared" si="185"/>
        <v>87.264000000000024</v>
      </c>
      <c r="S177" s="470">
        <f t="shared" si="186"/>
        <v>-5.1490000000000009</v>
      </c>
      <c r="T177" s="425">
        <f t="shared" si="187"/>
        <v>82.1</v>
      </c>
      <c r="U177" s="579">
        <f>[5]RC!$E57</f>
        <v>1152086</v>
      </c>
      <c r="V177" s="447">
        <v>35551</v>
      </c>
      <c r="W177" s="191">
        <f t="shared" si="174"/>
        <v>965.30000000000007</v>
      </c>
      <c r="X177" s="73">
        <f t="shared" si="175"/>
        <v>1119246</v>
      </c>
      <c r="Y177" s="186">
        <v>0</v>
      </c>
      <c r="Z177" s="175">
        <f t="shared" si="189"/>
        <v>1119246</v>
      </c>
      <c r="AA177" s="40">
        <f t="shared" si="176"/>
        <v>95193</v>
      </c>
      <c r="AB177" s="379">
        <f t="shared" si="190"/>
        <v>1119246</v>
      </c>
      <c r="AC177" s="107">
        <f>'[7]Gov 65 &amp; 70'!$B262</f>
        <v>29.45</v>
      </c>
      <c r="AD177" s="4">
        <f t="shared" si="177"/>
        <v>1156111</v>
      </c>
      <c r="AE177" s="4">
        <f t="shared" si="200"/>
        <v>138260</v>
      </c>
      <c r="AF177" s="23">
        <f t="shared" si="178"/>
        <v>997.1</v>
      </c>
      <c r="AG177" s="75">
        <f t="shared" si="214"/>
        <v>81.200000000000045</v>
      </c>
      <c r="AI177" s="13" t="s">
        <v>194</v>
      </c>
      <c r="AU177" s="23">
        <v>1997</v>
      </c>
      <c r="AV177" s="4">
        <v>5</v>
      </c>
      <c r="AW177" s="230">
        <f>'[8]RES 62 &amp; 67'!$S262</f>
        <v>299.60000000000002</v>
      </c>
      <c r="AX177" s="200">
        <f t="shared" si="202"/>
        <v>336.7</v>
      </c>
      <c r="AY177" s="203">
        <f t="shared" si="191"/>
        <v>37.099999999999966</v>
      </c>
      <c r="AZ177" s="230">
        <f>'[8]RES 62 &amp; 67'!$J262</f>
        <v>3.5</v>
      </c>
      <c r="BA177" s="183">
        <f t="shared" si="203"/>
        <v>2.1</v>
      </c>
      <c r="BB177" s="429">
        <f t="shared" si="192"/>
        <v>-1.4</v>
      </c>
      <c r="BC177" s="206">
        <f t="shared" si="193"/>
        <v>80.135999999999925</v>
      </c>
      <c r="BD177" s="206">
        <f t="shared" si="194"/>
        <v>0</v>
      </c>
      <c r="BE177" s="206">
        <f t="shared" si="195"/>
        <v>80.135999999999925</v>
      </c>
      <c r="BF177" s="207">
        <f t="shared" si="196"/>
        <v>-3.7939999999999996</v>
      </c>
      <c r="BG177" s="219">
        <f t="shared" si="197"/>
        <v>76.3</v>
      </c>
      <c r="BH177" s="4">
        <f t="shared" ref="BH177:BH196" si="217">AU177</f>
        <v>1997</v>
      </c>
      <c r="BI177" s="4">
        <f t="shared" ref="BI177:BI196" si="218">AV177</f>
        <v>5</v>
      </c>
      <c r="BJ177" s="108">
        <f>C177+[4]MWh!$AJ11</f>
        <v>1222399.5079157003</v>
      </c>
      <c r="BK177" s="108">
        <f t="shared" si="206"/>
        <v>0</v>
      </c>
      <c r="BL177" s="108">
        <f t="shared" si="207"/>
        <v>1222399.5079157003</v>
      </c>
      <c r="BM177" s="189">
        <f t="shared" si="208"/>
        <v>1130.5652809153244</v>
      </c>
      <c r="BN177" s="6">
        <f t="shared" si="209"/>
        <v>1310868</v>
      </c>
      <c r="BO177" s="175"/>
      <c r="BP177" s="108">
        <f t="shared" si="210"/>
        <v>88468.49208429968</v>
      </c>
      <c r="BQ177" s="76">
        <f t="shared" si="211"/>
        <v>1054.2652809153244</v>
      </c>
      <c r="BR177" s="76">
        <f t="shared" si="212"/>
        <v>1130.5654258805671</v>
      </c>
      <c r="BS177" s="76"/>
      <c r="BT177" s="175">
        <f t="shared" si="213"/>
        <v>1310868</v>
      </c>
      <c r="BW177" s="529"/>
      <c r="BZ177" s="108">
        <f>BW177+COML!BV177+SPA!BV177</f>
        <v>33721</v>
      </c>
    </row>
    <row r="178" spans="1:103">
      <c r="A178" s="29">
        <v>1997</v>
      </c>
      <c r="B178" s="13">
        <v>6</v>
      </c>
      <c r="C178" s="5">
        <v>1342512</v>
      </c>
      <c r="D178" s="73">
        <v>1147094</v>
      </c>
      <c r="E178" s="4">
        <f t="shared" si="181"/>
        <v>1342512</v>
      </c>
      <c r="F178" s="4">
        <f t="shared" si="181"/>
        <v>1147094</v>
      </c>
      <c r="G178" s="79">
        <f t="shared" si="182"/>
        <v>1170.4000000000001</v>
      </c>
      <c r="H178" s="13"/>
      <c r="I178" s="13"/>
      <c r="J178" s="230">
        <f>'[7]RES 62 &amp; 67'!$S263</f>
        <v>337.6</v>
      </c>
      <c r="K178" s="183">
        <f t="shared" si="198"/>
        <v>382.8</v>
      </c>
      <c r="L178" s="233">
        <f t="shared" si="215"/>
        <v>45.199999999999989</v>
      </c>
      <c r="M178" s="230">
        <f>'[7]RES 62 &amp; 67'!$J263</f>
        <v>1.1000000000000001</v>
      </c>
      <c r="N178" s="183">
        <f t="shared" si="199"/>
        <v>0.9</v>
      </c>
      <c r="O178" s="236">
        <f t="shared" si="216"/>
        <v>-0.20000000000000007</v>
      </c>
      <c r="P178" s="206">
        <f t="shared" si="183"/>
        <v>97.631999999999977</v>
      </c>
      <c r="Q178" s="208">
        <f t="shared" si="184"/>
        <v>0</v>
      </c>
      <c r="R178" s="467">
        <f t="shared" si="185"/>
        <v>97.631999999999977</v>
      </c>
      <c r="S178" s="470">
        <f t="shared" si="186"/>
        <v>-0.54200000000000015</v>
      </c>
      <c r="T178" s="425">
        <f t="shared" si="187"/>
        <v>97.1</v>
      </c>
      <c r="U178" s="579">
        <f>[5]RC!$E58</f>
        <v>1148160</v>
      </c>
      <c r="V178" s="447">
        <v>35582</v>
      </c>
      <c r="W178" s="191">
        <f t="shared" si="174"/>
        <v>1267.5</v>
      </c>
      <c r="X178" s="73">
        <f t="shared" si="175"/>
        <v>1453942</v>
      </c>
      <c r="Y178" s="186">
        <v>0</v>
      </c>
      <c r="Z178" s="175">
        <f t="shared" si="189"/>
        <v>1453942</v>
      </c>
      <c r="AA178" s="40">
        <f t="shared" si="176"/>
        <v>111430</v>
      </c>
      <c r="AB178" s="379">
        <f t="shared" si="190"/>
        <v>1453942</v>
      </c>
      <c r="AC178" s="107">
        <f>'[7]Gov 65 &amp; 70'!$B263</f>
        <v>30.75</v>
      </c>
      <c r="AD178" s="4">
        <f t="shared" si="177"/>
        <v>1438339</v>
      </c>
      <c r="AE178" s="4">
        <f t="shared" si="200"/>
        <v>111721</v>
      </c>
      <c r="AF178" s="23">
        <f t="shared" si="178"/>
        <v>1253.9000000000001</v>
      </c>
      <c r="AG178" s="75">
        <f t="shared" si="214"/>
        <v>84.900000000000091</v>
      </c>
      <c r="AI178" s="13" t="s">
        <v>194</v>
      </c>
      <c r="AU178" s="23">
        <v>1997</v>
      </c>
      <c r="AV178" s="4">
        <v>6</v>
      </c>
      <c r="AW178" s="230">
        <f>'[8]RES 62 &amp; 67'!$S263</f>
        <v>398.4</v>
      </c>
      <c r="AX178" s="200">
        <f t="shared" si="202"/>
        <v>425.2</v>
      </c>
      <c r="AY178" s="203">
        <f t="shared" si="191"/>
        <v>26.800000000000011</v>
      </c>
      <c r="AZ178" s="230">
        <f>'[8]RES 62 &amp; 67'!$J263</f>
        <v>0</v>
      </c>
      <c r="BA178" s="183">
        <f t="shared" si="203"/>
        <v>0</v>
      </c>
      <c r="BB178" s="429">
        <f t="shared" si="192"/>
        <v>0</v>
      </c>
      <c r="BC178" s="206">
        <f t="shared" si="193"/>
        <v>57.888000000000027</v>
      </c>
      <c r="BD178" s="206">
        <f t="shared" si="194"/>
        <v>0</v>
      </c>
      <c r="BE178" s="206">
        <f t="shared" si="195"/>
        <v>57.888000000000027</v>
      </c>
      <c r="BF178" s="207">
        <f t="shared" si="196"/>
        <v>0</v>
      </c>
      <c r="BG178" s="219">
        <f t="shared" si="197"/>
        <v>57.9</v>
      </c>
      <c r="BH178" s="4">
        <f t="shared" si="217"/>
        <v>1997</v>
      </c>
      <c r="BI178" s="4">
        <f t="shared" si="218"/>
        <v>6</v>
      </c>
      <c r="BJ178" s="108">
        <f>C178+[4]MWh!$AJ12</f>
        <v>1479976.2941369824</v>
      </c>
      <c r="BK178" s="108">
        <f t="shared" si="206"/>
        <v>0</v>
      </c>
      <c r="BL178" s="108">
        <f t="shared" si="207"/>
        <v>1479976.2941369824</v>
      </c>
      <c r="BM178" s="189">
        <f t="shared" si="208"/>
        <v>1348.0961775904875</v>
      </c>
      <c r="BN178" s="6">
        <f t="shared" si="209"/>
        <v>1546393</v>
      </c>
      <c r="BO178" s="175"/>
      <c r="BP178" s="108">
        <f t="shared" si="210"/>
        <v>66416.705863017589</v>
      </c>
      <c r="BQ178" s="76">
        <f t="shared" si="211"/>
        <v>1290.1961775904874</v>
      </c>
      <c r="BR178" s="76">
        <f t="shared" si="212"/>
        <v>1348.0961455643564</v>
      </c>
      <c r="BS178" s="76"/>
      <c r="BT178" s="175">
        <f t="shared" si="213"/>
        <v>1546393</v>
      </c>
      <c r="BW178" s="529"/>
      <c r="BZ178" s="108">
        <f>BW178+COML!BV178+SPA!BV178</f>
        <v>24448</v>
      </c>
      <c r="CC178" s="108"/>
    </row>
    <row r="179" spans="1:103">
      <c r="A179" s="29">
        <v>1997</v>
      </c>
      <c r="B179" s="13">
        <v>7</v>
      </c>
      <c r="C179" s="5">
        <v>1590264</v>
      </c>
      <c r="D179" s="73">
        <v>1139049</v>
      </c>
      <c r="E179" s="4">
        <f t="shared" si="181"/>
        <v>1590264</v>
      </c>
      <c r="F179" s="4">
        <f t="shared" si="181"/>
        <v>1139049</v>
      </c>
      <c r="G179" s="79">
        <f t="shared" si="182"/>
        <v>1396.1</v>
      </c>
      <c r="H179" s="13"/>
      <c r="I179" s="13"/>
      <c r="J179" s="230">
        <f>'[7]RES 62 &amp; 67'!$S264</f>
        <v>451.3</v>
      </c>
      <c r="K179" s="183">
        <f t="shared" si="198"/>
        <v>454.9</v>
      </c>
      <c r="L179" s="233">
        <f t="shared" si="215"/>
        <v>3.5999999999999659</v>
      </c>
      <c r="M179" s="230">
        <f>'[7]RES 62 &amp; 67'!$J264</f>
        <v>0</v>
      </c>
      <c r="N179" s="183">
        <f t="shared" si="199"/>
        <v>0</v>
      </c>
      <c r="O179" s="236">
        <f t="shared" si="216"/>
        <v>0</v>
      </c>
      <c r="P179" s="206">
        <f t="shared" si="183"/>
        <v>7.775999999999927</v>
      </c>
      <c r="Q179" s="208">
        <f t="shared" si="184"/>
        <v>0</v>
      </c>
      <c r="R179" s="467">
        <f t="shared" si="185"/>
        <v>7.775999999999927</v>
      </c>
      <c r="S179" s="470">
        <f t="shared" si="186"/>
        <v>0</v>
      </c>
      <c r="T179" s="425">
        <f t="shared" si="187"/>
        <v>7.8</v>
      </c>
      <c r="U179" s="579">
        <f>[5]RC!$E59</f>
        <v>1139212</v>
      </c>
      <c r="V179" s="447">
        <v>35612</v>
      </c>
      <c r="W179" s="191">
        <f t="shared" si="174"/>
        <v>1403.8999999999999</v>
      </c>
      <c r="X179" s="73">
        <f t="shared" si="175"/>
        <v>1599111</v>
      </c>
      <c r="Y179" s="186">
        <v>0</v>
      </c>
      <c r="Z179" s="175">
        <f t="shared" si="189"/>
        <v>1599111</v>
      </c>
      <c r="AA179" s="40">
        <f t="shared" si="176"/>
        <v>8847</v>
      </c>
      <c r="AB179" s="379">
        <f t="shared" si="190"/>
        <v>1599111</v>
      </c>
      <c r="AC179" s="107">
        <f>'[7]Gov 65 &amp; 70'!$B264</f>
        <v>30.45</v>
      </c>
      <c r="AD179" s="4">
        <f t="shared" si="177"/>
        <v>1597536</v>
      </c>
      <c r="AE179" s="4">
        <f t="shared" si="200"/>
        <v>115909</v>
      </c>
      <c r="AF179" s="23">
        <f t="shared" si="178"/>
        <v>1402.5</v>
      </c>
      <c r="AG179" s="75">
        <f t="shared" si="214"/>
        <v>54.599999999999909</v>
      </c>
      <c r="AI179" s="13" t="s">
        <v>194</v>
      </c>
      <c r="AU179" s="23">
        <v>1997</v>
      </c>
      <c r="AV179" s="4">
        <v>7</v>
      </c>
      <c r="AW179" s="230">
        <f>'[8]RES 62 &amp; 67'!$S264</f>
        <v>481.6</v>
      </c>
      <c r="AX179" s="200">
        <f t="shared" si="202"/>
        <v>484.1</v>
      </c>
      <c r="AY179" s="203">
        <f t="shared" si="191"/>
        <v>2.5</v>
      </c>
      <c r="AZ179" s="230">
        <f>'[8]RES 62 &amp; 67'!$J264</f>
        <v>0</v>
      </c>
      <c r="BA179" s="183">
        <f t="shared" si="203"/>
        <v>0</v>
      </c>
      <c r="BB179" s="429">
        <f t="shared" si="192"/>
        <v>0</v>
      </c>
      <c r="BC179" s="206">
        <f t="shared" si="193"/>
        <v>5.4</v>
      </c>
      <c r="BD179" s="206">
        <f t="shared" si="194"/>
        <v>0</v>
      </c>
      <c r="BE179" s="206">
        <f t="shared" si="195"/>
        <v>5.4</v>
      </c>
      <c r="BF179" s="207">
        <f t="shared" si="196"/>
        <v>0</v>
      </c>
      <c r="BG179" s="219">
        <f t="shared" si="197"/>
        <v>5.4</v>
      </c>
      <c r="BH179" s="4">
        <f t="shared" si="217"/>
        <v>1997</v>
      </c>
      <c r="BI179" s="4">
        <f t="shared" si="218"/>
        <v>7</v>
      </c>
      <c r="BJ179" s="108">
        <f>C179+[4]MWh!$AJ13</f>
        <v>1676485.299378226</v>
      </c>
      <c r="BK179" s="108">
        <f t="shared" si="206"/>
        <v>0</v>
      </c>
      <c r="BL179" s="108">
        <f t="shared" si="207"/>
        <v>1676485.299378226</v>
      </c>
      <c r="BM179" s="189">
        <f t="shared" si="208"/>
        <v>1477.2289550126693</v>
      </c>
      <c r="BN179" s="6">
        <f t="shared" si="209"/>
        <v>1682636</v>
      </c>
      <c r="BO179" s="175"/>
      <c r="BP179" s="108">
        <f t="shared" si="210"/>
        <v>6150.7006217739545</v>
      </c>
      <c r="BQ179" s="76">
        <f t="shared" si="211"/>
        <v>1471.8289550126692</v>
      </c>
      <c r="BR179" s="76">
        <f t="shared" si="212"/>
        <v>1477.2288110520267</v>
      </c>
      <c r="BS179" s="76"/>
      <c r="BT179" s="175">
        <f t="shared" si="213"/>
        <v>1682636</v>
      </c>
      <c r="BW179" s="529"/>
      <c r="BZ179" s="108">
        <f>BW179+COML!BV179+SPA!BV179</f>
        <v>2280</v>
      </c>
    </row>
    <row r="180" spans="1:103">
      <c r="A180" s="29">
        <v>1997</v>
      </c>
      <c r="B180" s="13">
        <v>8</v>
      </c>
      <c r="C180" s="5">
        <v>1604536</v>
      </c>
      <c r="D180" s="73">
        <v>1154151</v>
      </c>
      <c r="E180" s="4">
        <f t="shared" si="181"/>
        <v>1604536</v>
      </c>
      <c r="F180" s="4">
        <f t="shared" si="181"/>
        <v>1154151</v>
      </c>
      <c r="G180" s="79">
        <f t="shared" si="182"/>
        <v>1390.2</v>
      </c>
      <c r="H180" s="13"/>
      <c r="I180" s="13"/>
      <c r="J180" s="230">
        <f>'[7]RES 62 &amp; 67'!$S265</f>
        <v>462.4</v>
      </c>
      <c r="K180" s="183">
        <f t="shared" si="198"/>
        <v>481.4</v>
      </c>
      <c r="L180" s="233">
        <f t="shared" si="215"/>
        <v>19</v>
      </c>
      <c r="M180" s="230">
        <f>'[7]RES 62 &amp; 67'!$J265</f>
        <v>0</v>
      </c>
      <c r="N180" s="183">
        <f t="shared" si="199"/>
        <v>0</v>
      </c>
      <c r="O180" s="236">
        <f t="shared" si="216"/>
        <v>0</v>
      </c>
      <c r="P180" s="206">
        <f t="shared" si="183"/>
        <v>41.040000000000006</v>
      </c>
      <c r="Q180" s="208">
        <f t="shared" si="184"/>
        <v>0</v>
      </c>
      <c r="R180" s="467">
        <f t="shared" si="185"/>
        <v>41.040000000000006</v>
      </c>
      <c r="S180" s="470">
        <f t="shared" si="186"/>
        <v>0</v>
      </c>
      <c r="T180" s="425">
        <f t="shared" si="187"/>
        <v>41</v>
      </c>
      <c r="U180" s="579">
        <f>[5]RC!$E60</f>
        <v>1154794</v>
      </c>
      <c r="V180" s="447">
        <v>35643</v>
      </c>
      <c r="W180" s="191">
        <f t="shared" si="174"/>
        <v>1431.2</v>
      </c>
      <c r="X180" s="73">
        <f t="shared" si="175"/>
        <v>1651821</v>
      </c>
      <c r="Y180" s="186">
        <v>0</v>
      </c>
      <c r="Z180" s="175">
        <f t="shared" si="189"/>
        <v>1651821</v>
      </c>
      <c r="AA180" s="40">
        <f t="shared" si="176"/>
        <v>47285</v>
      </c>
      <c r="AB180" s="379">
        <f t="shared" si="190"/>
        <v>1651821</v>
      </c>
      <c r="AC180" s="107">
        <f>'[7]Gov 65 &amp; 70'!$B265</f>
        <v>29.75</v>
      </c>
      <c r="AD180" s="4">
        <f t="shared" si="177"/>
        <v>1689022</v>
      </c>
      <c r="AE180" s="4">
        <f t="shared" si="200"/>
        <v>75022</v>
      </c>
      <c r="AF180" s="23">
        <f t="shared" si="178"/>
        <v>1463.4</v>
      </c>
      <c r="AG180" s="75">
        <f t="shared" si="214"/>
        <v>61.800000000000182</v>
      </c>
      <c r="AI180" s="13" t="s">
        <v>194</v>
      </c>
      <c r="AU180" s="23">
        <v>1997</v>
      </c>
      <c r="AV180" s="4">
        <v>8</v>
      </c>
      <c r="AW180" s="230">
        <f>'[8]RES 62 &amp; 67'!$S265</f>
        <v>489.8</v>
      </c>
      <c r="AX180" s="200">
        <f t="shared" si="202"/>
        <v>487.3</v>
      </c>
      <c r="AY180" s="203">
        <f t="shared" si="191"/>
        <v>-2.5</v>
      </c>
      <c r="AZ180" s="230">
        <f>'[8]RES 62 &amp; 67'!$J265</f>
        <v>0</v>
      </c>
      <c r="BA180" s="183">
        <f t="shared" si="203"/>
        <v>0</v>
      </c>
      <c r="BB180" s="429">
        <f t="shared" si="192"/>
        <v>0</v>
      </c>
      <c r="BC180" s="206">
        <f t="shared" si="193"/>
        <v>-5.4</v>
      </c>
      <c r="BD180" s="206">
        <f t="shared" si="194"/>
        <v>0</v>
      </c>
      <c r="BE180" s="206">
        <f t="shared" si="195"/>
        <v>-5.4</v>
      </c>
      <c r="BF180" s="207">
        <f t="shared" si="196"/>
        <v>0</v>
      </c>
      <c r="BG180" s="219">
        <f t="shared" si="197"/>
        <v>-5.4</v>
      </c>
      <c r="BH180" s="4">
        <f t="shared" si="217"/>
        <v>1997</v>
      </c>
      <c r="BI180" s="4">
        <f t="shared" si="218"/>
        <v>8</v>
      </c>
      <c r="BJ180" s="108">
        <f>C180+[4]MWh!$AJ14</f>
        <v>1708719.957925118</v>
      </c>
      <c r="BK180" s="108">
        <f t="shared" si="206"/>
        <v>0</v>
      </c>
      <c r="BL180" s="108">
        <f t="shared" si="207"/>
        <v>1708719.957925118</v>
      </c>
      <c r="BM180" s="189">
        <f t="shared" si="208"/>
        <v>1475.0994822385614</v>
      </c>
      <c r="BN180" s="6">
        <f t="shared" si="209"/>
        <v>1702488</v>
      </c>
      <c r="BO180" s="175"/>
      <c r="BP180" s="108">
        <f t="shared" si="210"/>
        <v>-6231.9579251180403</v>
      </c>
      <c r="BQ180" s="76">
        <f t="shared" si="211"/>
        <v>1480.4994822385615</v>
      </c>
      <c r="BR180" s="76">
        <f t="shared" si="212"/>
        <v>1475.0998786120706</v>
      </c>
      <c r="BS180" s="76"/>
      <c r="BT180" s="175">
        <f t="shared" si="213"/>
        <v>1702488</v>
      </c>
      <c r="BW180" s="529"/>
      <c r="BZ180" s="108">
        <f>BW180+COML!BV180+SPA!BV180</f>
        <v>-2463</v>
      </c>
    </row>
    <row r="181" spans="1:103">
      <c r="A181" s="29">
        <v>1997</v>
      </c>
      <c r="B181" s="13">
        <v>9</v>
      </c>
      <c r="C181" s="5">
        <v>1606676</v>
      </c>
      <c r="D181" s="73">
        <v>1136127</v>
      </c>
      <c r="E181" s="4">
        <f t="shared" si="181"/>
        <v>1606676</v>
      </c>
      <c r="F181" s="4">
        <f t="shared" si="181"/>
        <v>1136127</v>
      </c>
      <c r="G181" s="79">
        <f t="shared" si="182"/>
        <v>1414.2</v>
      </c>
      <c r="H181" s="13"/>
      <c r="I181" s="13"/>
      <c r="J181" s="230">
        <f>'[7]RES 62 &amp; 67'!$S266</f>
        <v>468.3</v>
      </c>
      <c r="K181" s="183">
        <f t="shared" si="198"/>
        <v>473.7</v>
      </c>
      <c r="L181" s="233">
        <f t="shared" si="215"/>
        <v>5.3999999999999773</v>
      </c>
      <c r="M181" s="230">
        <f>'[7]RES 62 &amp; 67'!$J266</f>
        <v>0</v>
      </c>
      <c r="N181" s="183">
        <f t="shared" si="199"/>
        <v>0</v>
      </c>
      <c r="O181" s="236">
        <f t="shared" si="216"/>
        <v>0</v>
      </c>
      <c r="P181" s="206">
        <f t="shared" si="183"/>
        <v>11.663999999999952</v>
      </c>
      <c r="Q181" s="208">
        <f t="shared" si="184"/>
        <v>0</v>
      </c>
      <c r="R181" s="467">
        <f t="shared" si="185"/>
        <v>11.663999999999952</v>
      </c>
      <c r="S181" s="470">
        <f t="shared" si="186"/>
        <v>0</v>
      </c>
      <c r="T181" s="425">
        <f t="shared" si="187"/>
        <v>11.7</v>
      </c>
      <c r="U181" s="579">
        <f>[5]RC!$E61</f>
        <v>1148152</v>
      </c>
      <c r="V181" s="447">
        <v>35674</v>
      </c>
      <c r="W181" s="191">
        <f t="shared" si="174"/>
        <v>1425.9</v>
      </c>
      <c r="X181" s="73">
        <f t="shared" si="175"/>
        <v>1620003</v>
      </c>
      <c r="Y181" s="186">
        <v>0</v>
      </c>
      <c r="Z181" s="175">
        <f t="shared" si="189"/>
        <v>1620003</v>
      </c>
      <c r="AA181" s="40">
        <f t="shared" si="176"/>
        <v>13327</v>
      </c>
      <c r="AB181" s="379">
        <f t="shared" si="190"/>
        <v>1620003</v>
      </c>
      <c r="AC181" s="107">
        <f>'[7]Gov 65 &amp; 70'!$B266</f>
        <v>30.55</v>
      </c>
      <c r="AD181" s="4">
        <f t="shared" si="177"/>
        <v>1613109</v>
      </c>
      <c r="AE181" s="4">
        <f t="shared" si="200"/>
        <v>27733</v>
      </c>
      <c r="AF181" s="23">
        <f t="shared" si="178"/>
        <v>1419.8</v>
      </c>
      <c r="AG181" s="75">
        <f t="shared" si="214"/>
        <v>22.200000000000045</v>
      </c>
      <c r="AI181" s="13" t="s">
        <v>194</v>
      </c>
      <c r="AU181" s="23">
        <v>1997</v>
      </c>
      <c r="AV181" s="4">
        <v>9</v>
      </c>
      <c r="AW181" s="230">
        <f>'[8]RES 62 &amp; 67'!$S266</f>
        <v>423.2</v>
      </c>
      <c r="AX181" s="200">
        <f t="shared" si="202"/>
        <v>428.3</v>
      </c>
      <c r="AY181" s="203">
        <f t="shared" si="191"/>
        <v>5.1000000000000227</v>
      </c>
      <c r="AZ181" s="230">
        <f>'[8]RES 62 &amp; 67'!$J266</f>
        <v>0</v>
      </c>
      <c r="BA181" s="183">
        <f t="shared" si="203"/>
        <v>0</v>
      </c>
      <c r="BB181" s="429">
        <f t="shared" si="192"/>
        <v>0</v>
      </c>
      <c r="BC181" s="206">
        <f t="shared" si="193"/>
        <v>11.01600000000005</v>
      </c>
      <c r="BD181" s="206">
        <f t="shared" si="194"/>
        <v>0</v>
      </c>
      <c r="BE181" s="206">
        <f t="shared" si="195"/>
        <v>11.01600000000005</v>
      </c>
      <c r="BF181" s="207">
        <f t="shared" si="196"/>
        <v>0</v>
      </c>
      <c r="BG181" s="219">
        <f t="shared" si="197"/>
        <v>11</v>
      </c>
      <c r="BH181" s="4">
        <f t="shared" si="217"/>
        <v>1997</v>
      </c>
      <c r="BI181" s="4">
        <f t="shared" si="218"/>
        <v>9</v>
      </c>
      <c r="BJ181" s="108">
        <f>C181+[4]MWh!$AJ15</f>
        <v>1512315.61856129</v>
      </c>
      <c r="BK181" s="108">
        <f t="shared" si="206"/>
        <v>0</v>
      </c>
      <c r="BL181" s="108">
        <f t="shared" si="207"/>
        <v>1512315.61856129</v>
      </c>
      <c r="BM181" s="189">
        <f t="shared" si="208"/>
        <v>1342.1149357081472</v>
      </c>
      <c r="BN181" s="6">
        <f t="shared" si="209"/>
        <v>1524813</v>
      </c>
      <c r="BO181" s="175"/>
      <c r="BP181" s="108">
        <f t="shared" si="210"/>
        <v>12497.381438710028</v>
      </c>
      <c r="BQ181" s="76">
        <f t="shared" si="211"/>
        <v>1331.1149357081472</v>
      </c>
      <c r="BR181" s="76">
        <f t="shared" si="212"/>
        <v>1342.1149220113598</v>
      </c>
      <c r="BS181" s="76"/>
      <c r="BT181" s="175">
        <f t="shared" si="213"/>
        <v>1524813</v>
      </c>
      <c r="BW181" s="529"/>
      <c r="BZ181" s="108">
        <f>BW181+COML!BV181+SPA!BV181</f>
        <v>4488</v>
      </c>
    </row>
    <row r="182" spans="1:103">
      <c r="A182" s="29">
        <v>1997</v>
      </c>
      <c r="B182" s="13">
        <v>10</v>
      </c>
      <c r="C182" s="5">
        <v>1465107</v>
      </c>
      <c r="D182" s="73">
        <v>1164489</v>
      </c>
      <c r="E182" s="4">
        <f t="shared" si="181"/>
        <v>1465107</v>
      </c>
      <c r="F182" s="4">
        <f t="shared" si="181"/>
        <v>1164489</v>
      </c>
      <c r="G182" s="79">
        <f t="shared" si="182"/>
        <v>1258.2</v>
      </c>
      <c r="H182" s="13"/>
      <c r="I182" s="13"/>
      <c r="J182" s="230">
        <f>'[7]RES 62 &amp; 67'!$S267</f>
        <v>395.3</v>
      </c>
      <c r="K182" s="183">
        <f t="shared" si="198"/>
        <v>373.2</v>
      </c>
      <c r="L182" s="233">
        <f t="shared" si="215"/>
        <v>-22.100000000000023</v>
      </c>
      <c r="M182" s="230">
        <f>'[7]RES 62 &amp; 67'!$J267</f>
        <v>1.1000000000000001</v>
      </c>
      <c r="N182" s="183">
        <f t="shared" si="199"/>
        <v>1.3</v>
      </c>
      <c r="O182" s="236">
        <f t="shared" si="216"/>
        <v>0.19999999999999996</v>
      </c>
      <c r="P182" s="206">
        <f t="shared" si="183"/>
        <v>-47.736000000000054</v>
      </c>
      <c r="Q182" s="208">
        <f t="shared" si="184"/>
        <v>0</v>
      </c>
      <c r="R182" s="467">
        <f t="shared" si="185"/>
        <v>-47.736000000000054</v>
      </c>
      <c r="S182" s="470">
        <f t="shared" si="186"/>
        <v>0.54199999999999993</v>
      </c>
      <c r="T182" s="425">
        <f t="shared" si="187"/>
        <v>-47.2</v>
      </c>
      <c r="U182" s="579">
        <f>[5]RC!$E62</f>
        <v>1153231</v>
      </c>
      <c r="V182" s="447">
        <v>35704</v>
      </c>
      <c r="W182" s="191">
        <f t="shared" si="174"/>
        <v>1211</v>
      </c>
      <c r="X182" s="73">
        <f t="shared" si="175"/>
        <v>1410196</v>
      </c>
      <c r="Y182" s="186">
        <v>0</v>
      </c>
      <c r="Z182" s="175">
        <f t="shared" si="189"/>
        <v>1410196</v>
      </c>
      <c r="AA182" s="40">
        <f t="shared" si="176"/>
        <v>-54911</v>
      </c>
      <c r="AB182" s="379">
        <f t="shared" si="190"/>
        <v>1410196</v>
      </c>
      <c r="AC182" s="107">
        <f>'[7]Gov 65 &amp; 70'!$B267</f>
        <v>31.05</v>
      </c>
      <c r="AD182" s="4">
        <f t="shared" si="177"/>
        <v>1381583</v>
      </c>
      <c r="AE182" s="4">
        <f t="shared" si="200"/>
        <v>28325</v>
      </c>
      <c r="AF182" s="23">
        <f t="shared" si="178"/>
        <v>1186.4000000000001</v>
      </c>
      <c r="AG182" s="75">
        <f t="shared" si="214"/>
        <v>-18.299999999999955</v>
      </c>
      <c r="AI182" s="13" t="s">
        <v>194</v>
      </c>
      <c r="AU182" s="23">
        <v>1997</v>
      </c>
      <c r="AV182" s="4">
        <v>10</v>
      </c>
      <c r="AW182" s="230">
        <f>'[8]RES 62 &amp; 67'!$S267</f>
        <v>248.1</v>
      </c>
      <c r="AX182" s="200">
        <f t="shared" si="202"/>
        <v>277.60000000000002</v>
      </c>
      <c r="AY182" s="203">
        <f t="shared" si="191"/>
        <v>29.500000000000028</v>
      </c>
      <c r="AZ182" s="230">
        <f>'[8]RES 62 &amp; 67'!$J267</f>
        <v>11.9</v>
      </c>
      <c r="BA182" s="183">
        <f t="shared" si="203"/>
        <v>8.5</v>
      </c>
      <c r="BB182" s="429">
        <f t="shared" si="192"/>
        <v>-3.4000000000000004</v>
      </c>
      <c r="BC182" s="206">
        <f t="shared" si="193"/>
        <v>63.720000000000063</v>
      </c>
      <c r="BD182" s="206">
        <f t="shared" si="194"/>
        <v>0</v>
      </c>
      <c r="BE182" s="206">
        <f t="shared" si="195"/>
        <v>63.720000000000063</v>
      </c>
      <c r="BF182" s="207">
        <f t="shared" si="196"/>
        <v>-9.2140000000000004</v>
      </c>
      <c r="BG182" s="219">
        <f t="shared" si="197"/>
        <v>54.5</v>
      </c>
      <c r="BH182" s="4">
        <f t="shared" si="217"/>
        <v>1997</v>
      </c>
      <c r="BI182" s="4">
        <f t="shared" si="218"/>
        <v>10</v>
      </c>
      <c r="BJ182" s="108">
        <f>C182+[4]MWh!$AJ16</f>
        <v>1242253.4101104215</v>
      </c>
      <c r="BK182" s="108">
        <f t="shared" si="206"/>
        <v>0</v>
      </c>
      <c r="BL182" s="108">
        <f t="shared" si="207"/>
        <v>1242253.4101104215</v>
      </c>
      <c r="BM182" s="189">
        <f t="shared" si="208"/>
        <v>1121.2798580410993</v>
      </c>
      <c r="BN182" s="6">
        <f t="shared" si="209"/>
        <v>1305718</v>
      </c>
      <c r="BO182" s="175"/>
      <c r="BP182" s="108">
        <f t="shared" si="210"/>
        <v>63464.589889578521</v>
      </c>
      <c r="BQ182" s="76">
        <f t="shared" si="211"/>
        <v>1066.7798580410993</v>
      </c>
      <c r="BR182" s="76">
        <f t="shared" si="212"/>
        <v>1121.2798059921563</v>
      </c>
      <c r="BS182" s="76"/>
      <c r="BT182" s="175">
        <f t="shared" si="213"/>
        <v>1305718</v>
      </c>
      <c r="BW182" s="529"/>
      <c r="BZ182" s="108">
        <f>BW182+COML!BV182+SPA!BV182</f>
        <v>26702</v>
      </c>
    </row>
    <row r="183" spans="1:103">
      <c r="A183" s="29">
        <v>1997</v>
      </c>
      <c r="B183" s="13">
        <v>11</v>
      </c>
      <c r="C183" s="5">
        <v>1054612</v>
      </c>
      <c r="D183" s="73">
        <v>1200705</v>
      </c>
      <c r="E183" s="4">
        <f t="shared" si="181"/>
        <v>1054612</v>
      </c>
      <c r="F183" s="4">
        <f t="shared" si="181"/>
        <v>1200705</v>
      </c>
      <c r="G183" s="79">
        <f t="shared" si="182"/>
        <v>878.3</v>
      </c>
      <c r="H183" s="13"/>
      <c r="I183" s="13"/>
      <c r="J183" s="230">
        <f>'[7]RES 62 &amp; 67'!$S268</f>
        <v>156.19999999999999</v>
      </c>
      <c r="K183" s="183">
        <f t="shared" si="198"/>
        <v>204.3</v>
      </c>
      <c r="L183" s="233">
        <f t="shared" si="215"/>
        <v>48.100000000000023</v>
      </c>
      <c r="M183" s="230">
        <f>'[7]RES 62 &amp; 67'!$J268</f>
        <v>32</v>
      </c>
      <c r="N183" s="183">
        <f t="shared" si="199"/>
        <v>24.1</v>
      </c>
      <c r="O183" s="236">
        <f t="shared" si="216"/>
        <v>-7.8999999999999986</v>
      </c>
      <c r="P183" s="206">
        <f t="shared" si="183"/>
        <v>103.89600000000006</v>
      </c>
      <c r="Q183" s="208">
        <f t="shared" si="184"/>
        <v>0</v>
      </c>
      <c r="R183" s="467">
        <f t="shared" si="185"/>
        <v>103.89600000000006</v>
      </c>
      <c r="S183" s="470">
        <f t="shared" si="186"/>
        <v>-21.408999999999995</v>
      </c>
      <c r="T183" s="425">
        <f t="shared" si="187"/>
        <v>82.5</v>
      </c>
      <c r="U183" s="579">
        <f>[5]RC!$E63</f>
        <v>1167173</v>
      </c>
      <c r="V183" s="447">
        <v>35735</v>
      </c>
      <c r="W183" s="191">
        <f t="shared" si="174"/>
        <v>960.8</v>
      </c>
      <c r="X183" s="73">
        <f t="shared" si="175"/>
        <v>1153637</v>
      </c>
      <c r="Y183" s="186">
        <v>0</v>
      </c>
      <c r="Z183" s="175">
        <f t="shared" si="189"/>
        <v>1153637</v>
      </c>
      <c r="AA183" s="40">
        <f t="shared" si="176"/>
        <v>99025</v>
      </c>
      <c r="AB183" s="379">
        <f t="shared" si="190"/>
        <v>1153637</v>
      </c>
      <c r="AC183" s="107">
        <f>'[7]Gov 65 &amp; 70'!$B268</f>
        <v>30.1</v>
      </c>
      <c r="AD183" s="4">
        <f t="shared" si="177"/>
        <v>1165902</v>
      </c>
      <c r="AE183" s="4">
        <f t="shared" si="200"/>
        <v>94156</v>
      </c>
      <c r="AF183" s="23">
        <f t="shared" si="178"/>
        <v>971</v>
      </c>
      <c r="AG183" s="75">
        <f t="shared" si="214"/>
        <v>56.600000000000023</v>
      </c>
      <c r="AI183" s="13" t="s">
        <v>194</v>
      </c>
      <c r="AU183" s="23">
        <v>1997</v>
      </c>
      <c r="AV183" s="4">
        <v>11</v>
      </c>
      <c r="AW183" s="230">
        <f>'[8]RES 62 &amp; 67'!$S268</f>
        <v>77.2</v>
      </c>
      <c r="AX183" s="200">
        <f t="shared" si="202"/>
        <v>110.2</v>
      </c>
      <c r="AY183" s="203">
        <f t="shared" si="191"/>
        <v>33</v>
      </c>
      <c r="AZ183" s="230">
        <f>'[8]RES 62 &amp; 67'!$J268</f>
        <v>54.1</v>
      </c>
      <c r="BA183" s="183">
        <f t="shared" si="203"/>
        <v>45.3</v>
      </c>
      <c r="BB183" s="429">
        <f t="shared" si="192"/>
        <v>-8.8000000000000043</v>
      </c>
      <c r="BC183" s="206">
        <f t="shared" si="193"/>
        <v>71.28</v>
      </c>
      <c r="BD183" s="206">
        <f t="shared" si="194"/>
        <v>-10.065</v>
      </c>
      <c r="BE183" s="206">
        <f t="shared" si="195"/>
        <v>61.215000000000003</v>
      </c>
      <c r="BF183" s="207">
        <f t="shared" si="196"/>
        <v>-23.84800000000001</v>
      </c>
      <c r="BG183" s="219">
        <f t="shared" si="197"/>
        <v>37.4</v>
      </c>
      <c r="BH183" s="4">
        <f t="shared" si="217"/>
        <v>1997</v>
      </c>
      <c r="BI183" s="4">
        <f t="shared" si="218"/>
        <v>11</v>
      </c>
      <c r="BJ183" s="108">
        <f>C183+[4]MWh!$AJ17</f>
        <v>888509.8227536846</v>
      </c>
      <c r="BK183" s="108">
        <f t="shared" si="206"/>
        <v>0</v>
      </c>
      <c r="BL183" s="108">
        <f t="shared" si="207"/>
        <v>888509.8227536846</v>
      </c>
      <c r="BM183" s="189">
        <f t="shared" si="208"/>
        <v>777.39010810622472</v>
      </c>
      <c r="BN183" s="6">
        <f t="shared" si="209"/>
        <v>933416</v>
      </c>
      <c r="BO183" s="175"/>
      <c r="BP183" s="108">
        <f t="shared" si="210"/>
        <v>44906.177246315405</v>
      </c>
      <c r="BQ183" s="76">
        <f t="shared" si="211"/>
        <v>739.99010810622474</v>
      </c>
      <c r="BR183" s="76">
        <f t="shared" si="212"/>
        <v>777.38995007099993</v>
      </c>
      <c r="BS183" s="76"/>
      <c r="BT183" s="175">
        <f t="shared" si="213"/>
        <v>933416</v>
      </c>
      <c r="BW183" s="529"/>
      <c r="BZ183" s="108">
        <f>BW183+COML!BV183+SPA!BV183</f>
        <v>29786</v>
      </c>
    </row>
    <row r="184" spans="1:103" s="89" customFormat="1" ht="12.75">
      <c r="A184" s="90">
        <v>1997</v>
      </c>
      <c r="B184" s="90">
        <v>12</v>
      </c>
      <c r="C184" s="103">
        <v>1098627</v>
      </c>
      <c r="D184" s="104">
        <v>1165738</v>
      </c>
      <c r="E184" s="89">
        <f t="shared" si="181"/>
        <v>1098627</v>
      </c>
      <c r="F184" s="89">
        <f t="shared" si="181"/>
        <v>1165738</v>
      </c>
      <c r="G184" s="301">
        <f t="shared" si="182"/>
        <v>942.4</v>
      </c>
      <c r="H184" s="90"/>
      <c r="I184" s="90"/>
      <c r="J184" s="300">
        <f>'[7]RES 62 &amp; 67'!$S269</f>
        <v>66.400000000000006</v>
      </c>
      <c r="K184" s="210">
        <f t="shared" si="198"/>
        <v>88</v>
      </c>
      <c r="L184" s="234">
        <f t="shared" si="215"/>
        <v>21.599999999999994</v>
      </c>
      <c r="M184" s="300">
        <f>'[7]RES 62 &amp; 67'!$J269</f>
        <v>87.6</v>
      </c>
      <c r="N184" s="210">
        <f t="shared" si="199"/>
        <v>83.9</v>
      </c>
      <c r="O184" s="237">
        <f t="shared" si="216"/>
        <v>-3.6999999999999886</v>
      </c>
      <c r="P184" s="211">
        <f t="shared" si="183"/>
        <v>46.655999999999992</v>
      </c>
      <c r="Q184" s="211">
        <f t="shared" si="184"/>
        <v>-13.175999999999997</v>
      </c>
      <c r="R184" s="468">
        <f t="shared" si="185"/>
        <v>33.479999999999997</v>
      </c>
      <c r="S184" s="471">
        <f t="shared" si="186"/>
        <v>-10.026999999999969</v>
      </c>
      <c r="T184" s="426">
        <f t="shared" si="187"/>
        <v>23.5</v>
      </c>
      <c r="U184" s="579">
        <f>[5]RC!$E64</f>
        <v>1178620</v>
      </c>
      <c r="V184" s="447">
        <v>35765</v>
      </c>
      <c r="W184" s="95">
        <f t="shared" si="174"/>
        <v>965.9</v>
      </c>
      <c r="X184" s="104">
        <f t="shared" si="175"/>
        <v>1125986</v>
      </c>
      <c r="Y184" s="302">
        <v>0</v>
      </c>
      <c r="Z184" s="176">
        <f t="shared" si="189"/>
        <v>1125986</v>
      </c>
      <c r="AA184" s="116">
        <f t="shared" si="176"/>
        <v>27359</v>
      </c>
      <c r="AB184" s="517">
        <f t="shared" si="190"/>
        <v>1125986</v>
      </c>
      <c r="AC184" s="110">
        <f>'[7]Gov 65 &amp; 70'!$B269</f>
        <v>31.7</v>
      </c>
      <c r="AD184" s="89">
        <f t="shared" si="177"/>
        <v>1080520</v>
      </c>
      <c r="AE184" s="89">
        <f t="shared" si="200"/>
        <v>16666</v>
      </c>
      <c r="AF184" s="89">
        <f t="shared" si="178"/>
        <v>926.9</v>
      </c>
      <c r="AG184" s="91">
        <f t="shared" si="214"/>
        <v>14.299999999999955</v>
      </c>
      <c r="AH184" s="252"/>
      <c r="AI184" s="90" t="s">
        <v>194</v>
      </c>
      <c r="AU184" s="89">
        <v>1997</v>
      </c>
      <c r="AV184" s="89">
        <v>12</v>
      </c>
      <c r="AW184" s="300">
        <f>'[8]RES 62 &amp; 67'!$S269</f>
        <v>45.1</v>
      </c>
      <c r="AX184" s="210">
        <f t="shared" si="202"/>
        <v>53.2</v>
      </c>
      <c r="AY184" s="204">
        <f t="shared" si="191"/>
        <v>8.1000000000000014</v>
      </c>
      <c r="AZ184" s="300">
        <f>'[8]RES 62 &amp; 67'!$J269</f>
        <v>145.5</v>
      </c>
      <c r="BA184" s="210">
        <f t="shared" si="203"/>
        <v>114.1</v>
      </c>
      <c r="BB184" s="430">
        <f t="shared" si="192"/>
        <v>-31.400000000000006</v>
      </c>
      <c r="BC184" s="211">
        <f t="shared" si="193"/>
        <v>17.496000000000006</v>
      </c>
      <c r="BD184" s="211">
        <f t="shared" si="194"/>
        <v>-4.9410000000000007</v>
      </c>
      <c r="BE184" s="211">
        <f t="shared" si="195"/>
        <v>12.555000000000005</v>
      </c>
      <c r="BF184" s="212">
        <f t="shared" si="196"/>
        <v>-85.094000000000008</v>
      </c>
      <c r="BG184" s="220">
        <f t="shared" si="197"/>
        <v>-72.5</v>
      </c>
      <c r="BH184" s="89">
        <f t="shared" si="217"/>
        <v>1997</v>
      </c>
      <c r="BI184" s="89">
        <f t="shared" si="218"/>
        <v>12</v>
      </c>
      <c r="BJ184" s="117">
        <f>C184+[4]MWh!$AJ18</f>
        <v>1196761.1868047845</v>
      </c>
      <c r="BK184" s="117">
        <f t="shared" si="206"/>
        <v>0</v>
      </c>
      <c r="BL184" s="117">
        <f t="shared" si="207"/>
        <v>1196761.1868047845</v>
      </c>
      <c r="BM184" s="199">
        <f t="shared" si="208"/>
        <v>954.11248651479536</v>
      </c>
      <c r="BN184" s="96">
        <f t="shared" si="209"/>
        <v>1112245</v>
      </c>
      <c r="BO184" s="176"/>
      <c r="BP184" s="117">
        <f t="shared" si="210"/>
        <v>-84516.186804784462</v>
      </c>
      <c r="BQ184" s="92">
        <f t="shared" si="211"/>
        <v>1026.6124865147954</v>
      </c>
      <c r="BR184" s="92">
        <f t="shared" si="212"/>
        <v>954.11233055798129</v>
      </c>
      <c r="BS184" s="92"/>
      <c r="BT184" s="176">
        <f t="shared" si="213"/>
        <v>1112245</v>
      </c>
      <c r="BW184" s="529"/>
      <c r="BZ184" s="117">
        <f>BW184+COML!BV184+SPA!BV184</f>
        <v>-2233</v>
      </c>
    </row>
    <row r="185" spans="1:103">
      <c r="A185" s="13">
        <v>1998</v>
      </c>
      <c r="B185" s="13">
        <v>1</v>
      </c>
      <c r="C185" s="5">
        <v>1288514</v>
      </c>
      <c r="D185" s="73">
        <v>1177765</v>
      </c>
      <c r="E185" s="4">
        <f t="shared" si="181"/>
        <v>1288514</v>
      </c>
      <c r="F185" s="4">
        <f t="shared" si="181"/>
        <v>1177765</v>
      </c>
      <c r="G185" s="79">
        <f t="shared" si="182"/>
        <v>1094</v>
      </c>
      <c r="H185" s="13"/>
      <c r="I185" s="13"/>
      <c r="J185" s="230">
        <f>'[7]RES 62 &amp; 67'!$S270</f>
        <v>56.1</v>
      </c>
      <c r="K185" s="183">
        <f t="shared" si="198"/>
        <v>49.5</v>
      </c>
      <c r="L185" s="233">
        <f t="shared" si="215"/>
        <v>-6.6000000000000014</v>
      </c>
      <c r="M185" s="230">
        <f>'[7]RES 62 &amp; 67'!$J270</f>
        <v>128.9</v>
      </c>
      <c r="N185" s="183">
        <f t="shared" si="199"/>
        <v>131.6</v>
      </c>
      <c r="O185" s="236">
        <f t="shared" si="216"/>
        <v>2.6999999999999886</v>
      </c>
      <c r="P185" s="206">
        <f t="shared" si="183"/>
        <v>-14.256000000000004</v>
      </c>
      <c r="Q185" s="208">
        <f t="shared" si="184"/>
        <v>4.0260000000000007</v>
      </c>
      <c r="R185" s="467">
        <f t="shared" si="185"/>
        <v>-10.230000000000004</v>
      </c>
      <c r="S185" s="470">
        <f t="shared" si="186"/>
        <v>7.3169999999999691</v>
      </c>
      <c r="T185" s="425">
        <f t="shared" si="187"/>
        <v>-2.9</v>
      </c>
      <c r="U185" s="579">
        <f>[5]RC!$E65</f>
        <v>1186498</v>
      </c>
      <c r="V185" s="447">
        <v>35796</v>
      </c>
      <c r="W185" s="191">
        <f t="shared" si="174"/>
        <v>1091.0999999999999</v>
      </c>
      <c r="X185" s="73">
        <f t="shared" si="175"/>
        <v>1285059</v>
      </c>
      <c r="Y185" s="186">
        <v>0</v>
      </c>
      <c r="Z185" s="175">
        <f t="shared" si="189"/>
        <v>1285059</v>
      </c>
      <c r="AA185" s="40">
        <f t="shared" si="176"/>
        <v>-3455</v>
      </c>
      <c r="AB185" s="379">
        <f t="shared" si="190"/>
        <v>1285059</v>
      </c>
      <c r="AC185" s="107">
        <f>'[7]Gov 65 &amp; 70'!$B270</f>
        <v>31.9</v>
      </c>
      <c r="AD185" s="4">
        <f t="shared" si="177"/>
        <v>1225439</v>
      </c>
      <c r="AE185" s="4">
        <f t="shared" si="200"/>
        <v>60183</v>
      </c>
      <c r="AF185" s="23">
        <f t="shared" si="178"/>
        <v>1040.5</v>
      </c>
      <c r="AG185" s="75">
        <f t="shared" si="214"/>
        <v>41</v>
      </c>
      <c r="AI185" s="13" t="s">
        <v>194</v>
      </c>
      <c r="AU185" s="4">
        <v>1998</v>
      </c>
      <c r="AV185" s="4">
        <v>1</v>
      </c>
      <c r="AW185" s="230">
        <f>'[8]RES 62 &amp; 67'!$S270</f>
        <v>43</v>
      </c>
      <c r="AX185" s="200">
        <f t="shared" si="202"/>
        <v>50.5</v>
      </c>
      <c r="AY185" s="203">
        <f t="shared" si="191"/>
        <v>7.5</v>
      </c>
      <c r="AZ185" s="230">
        <f>'[8]RES 62 &amp; 67'!$J270</f>
        <v>108.5</v>
      </c>
      <c r="BA185" s="183">
        <f t="shared" si="203"/>
        <v>127.9</v>
      </c>
      <c r="BB185" s="429">
        <f t="shared" si="192"/>
        <v>19.400000000000006</v>
      </c>
      <c r="BC185" s="206">
        <f t="shared" si="193"/>
        <v>16.200000000000003</v>
      </c>
      <c r="BD185" s="206">
        <f t="shared" si="194"/>
        <v>-4.5750000000000002</v>
      </c>
      <c r="BE185" s="206">
        <f t="shared" si="195"/>
        <v>11.625000000000004</v>
      </c>
      <c r="BF185" s="207">
        <f t="shared" si="196"/>
        <v>52.574000000000012</v>
      </c>
      <c r="BG185" s="219">
        <f t="shared" si="197"/>
        <v>64.2</v>
      </c>
      <c r="BH185" s="4">
        <f t="shared" si="217"/>
        <v>1998</v>
      </c>
      <c r="BI185" s="4">
        <f t="shared" si="218"/>
        <v>1</v>
      </c>
      <c r="BJ185" s="108">
        <f>C185+[4]MWh!$AJ19</f>
        <v>1280390.5935517708</v>
      </c>
      <c r="BK185" s="108">
        <f t="shared" si="206"/>
        <v>0</v>
      </c>
      <c r="BL185" s="108">
        <f t="shared" si="207"/>
        <v>1280390.5935517708</v>
      </c>
      <c r="BM185" s="189">
        <f t="shared" si="208"/>
        <v>1151.3358832634447</v>
      </c>
      <c r="BN185" s="6">
        <f t="shared" si="209"/>
        <v>1356003</v>
      </c>
      <c r="BO185" s="175"/>
      <c r="BP185" s="108">
        <f t="shared" si="210"/>
        <v>75612.406448229216</v>
      </c>
      <c r="BQ185" s="76">
        <f t="shared" si="211"/>
        <v>1087.1358832634446</v>
      </c>
      <c r="BR185" s="76">
        <f t="shared" si="212"/>
        <v>1151.3357927939785</v>
      </c>
      <c r="BS185" s="76">
        <f t="shared" ref="BS185:BS216" si="219">BR185-BR173</f>
        <v>117.33964581643954</v>
      </c>
      <c r="BT185" s="175">
        <f t="shared" si="213"/>
        <v>1356003</v>
      </c>
      <c r="BU185" s="108">
        <f t="shared" ref="BU185:BU208" si="220">BT185-BT173</f>
        <v>150531</v>
      </c>
      <c r="BW185" s="529"/>
      <c r="BZ185" s="108">
        <f>BW185+COML!BV185+SPA!BV185</f>
        <v>17369</v>
      </c>
    </row>
    <row r="186" spans="1:103">
      <c r="A186" s="13">
        <v>1998</v>
      </c>
      <c r="B186" s="13">
        <v>2</v>
      </c>
      <c r="C186" s="5">
        <v>1162567</v>
      </c>
      <c r="D186" s="73">
        <v>1201153</v>
      </c>
      <c r="E186" s="4">
        <f t="shared" si="181"/>
        <v>1162567</v>
      </c>
      <c r="F186" s="4">
        <f t="shared" si="181"/>
        <v>1201153</v>
      </c>
      <c r="G186" s="79">
        <f t="shared" si="182"/>
        <v>967.9</v>
      </c>
      <c r="H186" s="13"/>
      <c r="I186" s="13"/>
      <c r="J186" s="230">
        <f>'[7]RES 62 &amp; 67'!$S271</f>
        <v>24.3</v>
      </c>
      <c r="K186" s="183">
        <f t="shared" si="198"/>
        <v>43.3</v>
      </c>
      <c r="L186" s="233">
        <f t="shared" si="215"/>
        <v>18.999999999999996</v>
      </c>
      <c r="M186" s="230">
        <f>'[7]RES 62 &amp; 67'!$J271</f>
        <v>127.4</v>
      </c>
      <c r="N186" s="183">
        <f t="shared" si="199"/>
        <v>127.9</v>
      </c>
      <c r="O186" s="236">
        <f t="shared" si="216"/>
        <v>0.5</v>
      </c>
      <c r="P186" s="206">
        <f t="shared" si="183"/>
        <v>41.039999999999992</v>
      </c>
      <c r="Q186" s="208">
        <f t="shared" si="184"/>
        <v>-11.589999999999998</v>
      </c>
      <c r="R186" s="467">
        <f t="shared" si="185"/>
        <v>29.449999999999996</v>
      </c>
      <c r="S186" s="470">
        <f t="shared" si="186"/>
        <v>1.355</v>
      </c>
      <c r="T186" s="425">
        <f t="shared" si="187"/>
        <v>30.8</v>
      </c>
      <c r="U186" s="579">
        <f>[5]RC!$E66</f>
        <v>1190538</v>
      </c>
      <c r="V186" s="447">
        <v>35827</v>
      </c>
      <c r="W186" s="191">
        <f t="shared" si="174"/>
        <v>998.69999999999993</v>
      </c>
      <c r="X186" s="73">
        <f t="shared" si="175"/>
        <v>1199592</v>
      </c>
      <c r="Y186" s="186">
        <v>0</v>
      </c>
      <c r="Z186" s="175">
        <f t="shared" si="189"/>
        <v>1199592</v>
      </c>
      <c r="AA186" s="40">
        <f t="shared" si="176"/>
        <v>37025</v>
      </c>
      <c r="AB186" s="379">
        <f t="shared" si="190"/>
        <v>1199592</v>
      </c>
      <c r="AC186" s="107">
        <f>'[7]Gov 65 &amp; 70'!$B271</f>
        <v>29.5</v>
      </c>
      <c r="AD186" s="4">
        <f t="shared" si="177"/>
        <v>1237003</v>
      </c>
      <c r="AE186" s="4">
        <f t="shared" si="200"/>
        <v>113320</v>
      </c>
      <c r="AF186" s="23">
        <f t="shared" si="178"/>
        <v>1029.8</v>
      </c>
      <c r="AG186" s="75">
        <f t="shared" si="214"/>
        <v>66.199999999999932</v>
      </c>
      <c r="AI186" s="13" t="s">
        <v>194</v>
      </c>
      <c r="AU186" s="4">
        <v>1998</v>
      </c>
      <c r="AV186" s="4">
        <v>2</v>
      </c>
      <c r="AW186" s="230">
        <f>'[8]RES 62 &amp; 67'!$S271</f>
        <v>35.700000000000003</v>
      </c>
      <c r="AX186" s="200">
        <f t="shared" si="202"/>
        <v>59.2</v>
      </c>
      <c r="AY186" s="203">
        <f t="shared" si="191"/>
        <v>23.5</v>
      </c>
      <c r="AZ186" s="230">
        <f>'[8]RES 62 &amp; 67'!$J271</f>
        <v>106.6</v>
      </c>
      <c r="BA186" s="183">
        <f t="shared" si="203"/>
        <v>97.8</v>
      </c>
      <c r="BB186" s="429">
        <f t="shared" si="192"/>
        <v>-8.7999999999999972</v>
      </c>
      <c r="BC186" s="206">
        <f t="shared" si="193"/>
        <v>50.760000000000005</v>
      </c>
      <c r="BD186" s="206">
        <f t="shared" si="194"/>
        <v>-14.334999999999999</v>
      </c>
      <c r="BE186" s="206">
        <f t="shared" si="195"/>
        <v>36.425000000000004</v>
      </c>
      <c r="BF186" s="207">
        <f t="shared" si="196"/>
        <v>-23.847999999999992</v>
      </c>
      <c r="BG186" s="219">
        <f t="shared" si="197"/>
        <v>12.6</v>
      </c>
      <c r="BH186" s="4">
        <f t="shared" si="217"/>
        <v>1998</v>
      </c>
      <c r="BI186" s="4">
        <f t="shared" si="218"/>
        <v>2</v>
      </c>
      <c r="BJ186" s="108">
        <f>C186+[4]MWh!$AJ20</f>
        <v>1117608.5590944502</v>
      </c>
      <c r="BK186" s="108">
        <f t="shared" si="206"/>
        <v>0</v>
      </c>
      <c r="BL186" s="108">
        <f t="shared" si="207"/>
        <v>1117608.5590944502</v>
      </c>
      <c r="BM186" s="189">
        <f t="shared" si="208"/>
        <v>943.04646193653116</v>
      </c>
      <c r="BN186" s="6">
        <f t="shared" si="209"/>
        <v>1132743</v>
      </c>
      <c r="BO186" s="175"/>
      <c r="BP186" s="108">
        <f t="shared" si="210"/>
        <v>15134.440905549796</v>
      </c>
      <c r="BQ186" s="76">
        <f t="shared" si="211"/>
        <v>930.44646193653114</v>
      </c>
      <c r="BR186" s="76">
        <f t="shared" si="212"/>
        <v>943.04638959399847</v>
      </c>
      <c r="BS186" s="76">
        <f t="shared" si="219"/>
        <v>48.174095568818302</v>
      </c>
      <c r="BT186" s="175">
        <f t="shared" si="213"/>
        <v>1132743</v>
      </c>
      <c r="BU186" s="108">
        <f t="shared" si="220"/>
        <v>89253</v>
      </c>
      <c r="BW186" s="529"/>
      <c r="BZ186" s="108">
        <f>BW186+COML!BV186+SPA!BV186</f>
        <v>24135</v>
      </c>
    </row>
    <row r="187" spans="1:103">
      <c r="A187" s="13">
        <v>1998</v>
      </c>
      <c r="B187" s="13">
        <v>3</v>
      </c>
      <c r="C187" s="5">
        <v>1104706</v>
      </c>
      <c r="D187" s="73">
        <v>1181995</v>
      </c>
      <c r="E187" s="5">
        <f>ROUND(C187-H187,0)</f>
        <v>1104326</v>
      </c>
      <c r="F187" s="5">
        <f>ROUND(D187-I187,0)</f>
        <v>1181253</v>
      </c>
      <c r="G187" s="74">
        <f t="shared" si="182"/>
        <v>934.9</v>
      </c>
      <c r="H187" s="190">
        <v>379.72</v>
      </c>
      <c r="I187" s="170">
        <v>742</v>
      </c>
      <c r="J187" s="230">
        <f>'[7]RES 62 &amp; 67'!$S272</f>
        <v>48.7</v>
      </c>
      <c r="K187" s="183">
        <f t="shared" si="198"/>
        <v>77.2</v>
      </c>
      <c r="L187" s="233">
        <f t="shared" si="215"/>
        <v>28.5</v>
      </c>
      <c r="M187" s="230">
        <f>'[7]RES 62 &amp; 67'!$J272</f>
        <v>108.4</v>
      </c>
      <c r="N187" s="183">
        <f t="shared" si="199"/>
        <v>82.3</v>
      </c>
      <c r="O187" s="236">
        <f t="shared" si="216"/>
        <v>-26.100000000000009</v>
      </c>
      <c r="P187" s="206">
        <f t="shared" si="183"/>
        <v>61.56</v>
      </c>
      <c r="Q187" s="208">
        <f t="shared" si="184"/>
        <v>-17.384999999999998</v>
      </c>
      <c r="R187" s="467">
        <f t="shared" si="185"/>
        <v>44.175000000000004</v>
      </c>
      <c r="S187" s="470">
        <f t="shared" si="186"/>
        <v>-70.731000000000023</v>
      </c>
      <c r="T187" s="425">
        <f t="shared" si="187"/>
        <v>-26.6</v>
      </c>
      <c r="U187" s="579">
        <f>[5]RC!$E67</f>
        <v>1192054</v>
      </c>
      <c r="V187" s="447">
        <v>35855</v>
      </c>
      <c r="W187" s="191">
        <f t="shared" si="174"/>
        <v>908.3</v>
      </c>
      <c r="X187" s="73">
        <f t="shared" si="175"/>
        <v>1072932</v>
      </c>
      <c r="Y187" s="187">
        <f t="shared" ref="Y187:Y218" si="221">ROUND((X187/C187)*H187,0)</f>
        <v>369</v>
      </c>
      <c r="Z187" s="175">
        <f t="shared" si="189"/>
        <v>1073301</v>
      </c>
      <c r="AA187" s="40">
        <f t="shared" si="176"/>
        <v>-31405</v>
      </c>
      <c r="AB187" s="379">
        <f t="shared" si="190"/>
        <v>1073301</v>
      </c>
      <c r="AC187" s="107">
        <f>'[7]Gov 65 &amp; 70'!$B272</f>
        <v>29.35</v>
      </c>
      <c r="AD187" s="4">
        <f t="shared" si="177"/>
        <v>1112430</v>
      </c>
      <c r="AE187" s="4">
        <f t="shared" si="200"/>
        <v>52906</v>
      </c>
      <c r="AF187" s="23">
        <f t="shared" si="178"/>
        <v>941.1</v>
      </c>
      <c r="AG187" s="75">
        <f t="shared" si="214"/>
        <v>40.600000000000023</v>
      </c>
      <c r="AI187" s="24" t="s">
        <v>194</v>
      </c>
      <c r="AU187" s="4">
        <v>1998</v>
      </c>
      <c r="AV187" s="4">
        <v>3</v>
      </c>
      <c r="AW187" s="230">
        <f>'[8]RES 62 &amp; 67'!$S272</f>
        <v>79.599999999999994</v>
      </c>
      <c r="AX187" s="200">
        <f t="shared" si="202"/>
        <v>105.8</v>
      </c>
      <c r="AY187" s="203">
        <f t="shared" si="191"/>
        <v>26.200000000000003</v>
      </c>
      <c r="AZ187" s="230">
        <f>'[8]RES 62 &amp; 67'!$J272</f>
        <v>109.1</v>
      </c>
      <c r="BA187" s="183">
        <f t="shared" si="203"/>
        <v>49.9</v>
      </c>
      <c r="BB187" s="429">
        <f t="shared" si="192"/>
        <v>-59.199999999999996</v>
      </c>
      <c r="BC187" s="206">
        <f t="shared" si="193"/>
        <v>56.592000000000013</v>
      </c>
      <c r="BD187" s="206">
        <f t="shared" si="194"/>
        <v>-15.982000000000001</v>
      </c>
      <c r="BE187" s="206">
        <f t="shared" si="195"/>
        <v>40.610000000000014</v>
      </c>
      <c r="BF187" s="207">
        <f t="shared" si="196"/>
        <v>-160.43199999999999</v>
      </c>
      <c r="BG187" s="219">
        <f t="shared" si="197"/>
        <v>-119.8</v>
      </c>
      <c r="BH187" s="4">
        <f t="shared" si="217"/>
        <v>1998</v>
      </c>
      <c r="BI187" s="4">
        <f t="shared" si="218"/>
        <v>3</v>
      </c>
      <c r="BJ187" s="108">
        <f>C187+[4]MWh!$AJ21</f>
        <v>1155892.2738153962</v>
      </c>
      <c r="BK187" s="108">
        <f t="shared" si="206"/>
        <v>397.31423040445355</v>
      </c>
      <c r="BL187" s="108">
        <f>BJ187-BK187</f>
        <v>1155494.9595849917</v>
      </c>
      <c r="BM187" s="189">
        <f t="shared" si="208"/>
        <v>858.39430688006018</v>
      </c>
      <c r="BN187" s="6">
        <f t="shared" si="209"/>
        <v>1013981</v>
      </c>
      <c r="BO187" s="175">
        <f>ROUND(BN187/BL187*BK187,0)</f>
        <v>349</v>
      </c>
      <c r="BP187" s="108">
        <f>(BN187-BL187)+(BO187-BK187)</f>
        <v>-141562.27381539613</v>
      </c>
      <c r="BQ187" s="76">
        <f t="shared" si="211"/>
        <v>977.91638189281355</v>
      </c>
      <c r="BR187" s="76">
        <f t="shared" si="212"/>
        <v>858.15083820151528</v>
      </c>
      <c r="BS187" s="76">
        <f t="shared" si="219"/>
        <v>15.061877864001303</v>
      </c>
      <c r="BT187" s="175">
        <f t="shared" si="213"/>
        <v>1014330</v>
      </c>
      <c r="BU187" s="108">
        <f t="shared" si="220"/>
        <v>22349</v>
      </c>
      <c r="BW187" s="529"/>
      <c r="BZ187" s="108">
        <f>BW187+COML!BV187+SPA!BV187</f>
        <v>6913</v>
      </c>
    </row>
    <row r="188" spans="1:103">
      <c r="A188" s="13">
        <v>1998</v>
      </c>
      <c r="B188" s="13">
        <v>4</v>
      </c>
      <c r="C188" s="5">
        <v>1111939</v>
      </c>
      <c r="D188" s="73">
        <v>1200264</v>
      </c>
      <c r="E188" s="5">
        <f t="shared" ref="E188:E251" si="222">ROUND(C188-H188,0)</f>
        <v>1108942</v>
      </c>
      <c r="F188" s="5">
        <f t="shared" ref="F188:F251" si="223">ROUND(D188-I188,0)</f>
        <v>1193449</v>
      </c>
      <c r="G188" s="74">
        <f t="shared" si="182"/>
        <v>929.2</v>
      </c>
      <c r="H188" s="190">
        <v>2996.7469999999998</v>
      </c>
      <c r="I188" s="170">
        <v>6815</v>
      </c>
      <c r="J188" s="230">
        <f>'[7]RES 62 &amp; 67'!$S273</f>
        <v>130.4</v>
      </c>
      <c r="K188" s="183">
        <f t="shared" si="198"/>
        <v>138.1</v>
      </c>
      <c r="L188" s="233">
        <f t="shared" si="215"/>
        <v>7.6999999999999886</v>
      </c>
      <c r="M188" s="230">
        <f>'[7]RES 62 &amp; 67'!$J273</f>
        <v>57.8</v>
      </c>
      <c r="N188" s="183">
        <f t="shared" si="199"/>
        <v>37.299999999999997</v>
      </c>
      <c r="O188" s="236">
        <f t="shared" si="216"/>
        <v>-20.5</v>
      </c>
      <c r="P188" s="206">
        <f t="shared" si="183"/>
        <v>16.631999999999977</v>
      </c>
      <c r="Q188" s="208">
        <f t="shared" si="184"/>
        <v>-4.696999999999993</v>
      </c>
      <c r="R188" s="467">
        <f t="shared" si="185"/>
        <v>11.934999999999985</v>
      </c>
      <c r="S188" s="470">
        <f t="shared" si="186"/>
        <v>-55.555</v>
      </c>
      <c r="T188" s="425">
        <f t="shared" si="187"/>
        <v>-43.6</v>
      </c>
      <c r="U188" s="579">
        <f>[5]RC!$E68</f>
        <v>1184454</v>
      </c>
      <c r="V188" s="447">
        <v>35886</v>
      </c>
      <c r="W188" s="191">
        <f t="shared" si="174"/>
        <v>885.6</v>
      </c>
      <c r="X188" s="73">
        <f t="shared" si="175"/>
        <v>1056918</v>
      </c>
      <c r="Y188" s="187">
        <f t="shared" si="221"/>
        <v>2848</v>
      </c>
      <c r="Z188" s="175">
        <f t="shared" si="189"/>
        <v>1059766</v>
      </c>
      <c r="AA188" s="40">
        <f t="shared" si="176"/>
        <v>-52173</v>
      </c>
      <c r="AB188" s="379">
        <f t="shared" si="190"/>
        <v>1059766</v>
      </c>
      <c r="AC188" s="107">
        <f>'[7]Gov 65 &amp; 70'!$B273</f>
        <v>30.3</v>
      </c>
      <c r="AD188" s="4">
        <f t="shared" si="177"/>
        <v>1063963</v>
      </c>
      <c r="AE188" s="4">
        <f t="shared" si="200"/>
        <v>53742</v>
      </c>
      <c r="AF188" s="23">
        <f t="shared" si="178"/>
        <v>886.4</v>
      </c>
      <c r="AG188" s="75">
        <f t="shared" si="214"/>
        <v>9.5</v>
      </c>
      <c r="AI188" s="303">
        <f t="shared" ref="AI188:AI252" si="224">(H188/I188*1000)/G188</f>
        <v>0.47323299588882611</v>
      </c>
      <c r="AU188" s="4">
        <v>1998</v>
      </c>
      <c r="AV188" s="4">
        <v>4</v>
      </c>
      <c r="AW188" s="230">
        <f>'[8]RES 62 &amp; 67'!$S273</f>
        <v>174.1</v>
      </c>
      <c r="AX188" s="200">
        <f t="shared" si="202"/>
        <v>181.7</v>
      </c>
      <c r="AY188" s="203">
        <f t="shared" si="191"/>
        <v>7.5999999999999943</v>
      </c>
      <c r="AZ188" s="230">
        <f>'[8]RES 62 &amp; 67'!$J273</f>
        <v>18.100000000000001</v>
      </c>
      <c r="BA188" s="183">
        <f t="shared" si="203"/>
        <v>21.5</v>
      </c>
      <c r="BB188" s="429">
        <f t="shared" si="192"/>
        <v>3.3999999999999986</v>
      </c>
      <c r="BC188" s="206">
        <f t="shared" si="193"/>
        <v>16.41599999999999</v>
      </c>
      <c r="BD188" s="206">
        <f t="shared" si="194"/>
        <v>-2.3179999999999983</v>
      </c>
      <c r="BE188" s="206">
        <f t="shared" si="195"/>
        <v>14.097999999999992</v>
      </c>
      <c r="BF188" s="207">
        <f t="shared" si="196"/>
        <v>9.2139999999999969</v>
      </c>
      <c r="BG188" s="219">
        <f t="shared" si="197"/>
        <v>23.3</v>
      </c>
      <c r="BH188" s="4">
        <f t="shared" si="217"/>
        <v>1998</v>
      </c>
      <c r="BI188" s="4">
        <f t="shared" si="218"/>
        <v>4</v>
      </c>
      <c r="BJ188" s="108">
        <f>C188+[4]MWh!$AJ22</f>
        <v>1048791.9112488264</v>
      </c>
      <c r="BK188" s="108">
        <f t="shared" si="206"/>
        <v>2826.5615412888537</v>
      </c>
      <c r="BL188" s="108">
        <f t="shared" ref="BL188:BL251" si="225">BJ188-BK188</f>
        <v>1045965.3497075376</v>
      </c>
      <c r="BM188" s="189">
        <f t="shared" si="208"/>
        <v>899.72232697629931</v>
      </c>
      <c r="BN188" s="6">
        <f t="shared" si="209"/>
        <v>1073773</v>
      </c>
      <c r="BO188" s="175">
        <f t="shared" ref="BO188:BO251" si="226">ROUND(BN188/BL188*BK188,0)</f>
        <v>2902</v>
      </c>
      <c r="BP188" s="108">
        <f t="shared" ref="BP188:BP251" si="227">(BN188-BL188)+(BO188-BK188)</f>
        <v>27883.088751173582</v>
      </c>
      <c r="BQ188" s="76">
        <f t="shared" si="211"/>
        <v>873.80102314892929</v>
      </c>
      <c r="BR188" s="76">
        <f t="shared" si="212"/>
        <v>897.03181966634008</v>
      </c>
      <c r="BS188" s="76">
        <f t="shared" si="219"/>
        <v>0.97660328615188519</v>
      </c>
      <c r="BT188" s="175">
        <f t="shared" si="213"/>
        <v>1076675</v>
      </c>
      <c r="BU188" s="108">
        <f t="shared" si="220"/>
        <v>44440</v>
      </c>
      <c r="BW188" s="529"/>
      <c r="BZ188" s="108">
        <f>BW188+COML!BV188+SPA!BV188</f>
        <v>7617</v>
      </c>
    </row>
    <row r="189" spans="1:103">
      <c r="A189" s="13">
        <v>1998</v>
      </c>
      <c r="B189" s="13">
        <v>5</v>
      </c>
      <c r="C189" s="5">
        <v>1111182</v>
      </c>
      <c r="D189" s="73">
        <v>1161098</v>
      </c>
      <c r="E189" s="5">
        <f t="shared" si="222"/>
        <v>1107776</v>
      </c>
      <c r="F189" s="5">
        <f t="shared" si="223"/>
        <v>1147159</v>
      </c>
      <c r="G189" s="74">
        <f t="shared" si="182"/>
        <v>965.7</v>
      </c>
      <c r="H189" s="190">
        <v>3406.49</v>
      </c>
      <c r="I189" s="170">
        <v>13939</v>
      </c>
      <c r="J189" s="230">
        <f>'[7]RES 62 &amp; 67'!$S274</f>
        <v>226.9</v>
      </c>
      <c r="K189" s="183">
        <f t="shared" si="198"/>
        <v>224.4</v>
      </c>
      <c r="L189" s="233">
        <f t="shared" si="215"/>
        <v>-2.5</v>
      </c>
      <c r="M189" s="230">
        <f>'[7]RES 62 &amp; 67'!$J274</f>
        <v>11.5</v>
      </c>
      <c r="N189" s="183">
        <f t="shared" si="199"/>
        <v>11.2</v>
      </c>
      <c r="O189" s="236">
        <f t="shared" si="216"/>
        <v>-0.30000000000000071</v>
      </c>
      <c r="P189" s="206">
        <f t="shared" si="183"/>
        <v>-5.4</v>
      </c>
      <c r="Q189" s="208">
        <f t="shared" si="184"/>
        <v>0</v>
      </c>
      <c r="R189" s="467">
        <f t="shared" si="185"/>
        <v>-5.4</v>
      </c>
      <c r="S189" s="470">
        <f t="shared" si="186"/>
        <v>-0.81300000000000194</v>
      </c>
      <c r="T189" s="425">
        <f t="shared" si="187"/>
        <v>-6.2</v>
      </c>
      <c r="U189" s="579">
        <f>[5]RC!$E69</f>
        <v>1172785</v>
      </c>
      <c r="V189" s="447">
        <v>35916</v>
      </c>
      <c r="W189" s="191">
        <f t="shared" si="174"/>
        <v>959.5</v>
      </c>
      <c r="X189" s="73">
        <f t="shared" si="175"/>
        <v>1100699</v>
      </c>
      <c r="Y189" s="187">
        <f t="shared" si="221"/>
        <v>3374</v>
      </c>
      <c r="Z189" s="175">
        <f t="shared" si="189"/>
        <v>1104073</v>
      </c>
      <c r="AA189" s="40">
        <f t="shared" si="176"/>
        <v>-7109</v>
      </c>
      <c r="AB189" s="379">
        <f t="shared" si="190"/>
        <v>1104073</v>
      </c>
      <c r="AC189" s="107">
        <f>'[7]Gov 65 &amp; 70'!$B274</f>
        <v>30.05</v>
      </c>
      <c r="AD189" s="4">
        <f t="shared" si="177"/>
        <v>1117667</v>
      </c>
      <c r="AE189" s="4">
        <f t="shared" si="200"/>
        <v>-38444</v>
      </c>
      <c r="AF189" s="23">
        <f t="shared" si="178"/>
        <v>962.6</v>
      </c>
      <c r="AG189" s="75">
        <f t="shared" si="214"/>
        <v>-34.5</v>
      </c>
      <c r="AI189" s="303">
        <f t="shared" si="224"/>
        <v>0.25306569015487923</v>
      </c>
      <c r="AU189" s="4">
        <v>1998</v>
      </c>
      <c r="AV189" s="4">
        <v>5</v>
      </c>
      <c r="AW189" s="230">
        <f>'[8]RES 62 &amp; 67'!$S274</f>
        <v>357.5</v>
      </c>
      <c r="AX189" s="200">
        <f t="shared" si="202"/>
        <v>336.7</v>
      </c>
      <c r="AY189" s="203">
        <f t="shared" si="191"/>
        <v>-20.800000000000011</v>
      </c>
      <c r="AZ189" s="230">
        <f>'[8]RES 62 &amp; 67'!$J274</f>
        <v>1.2</v>
      </c>
      <c r="BA189" s="183">
        <f t="shared" si="203"/>
        <v>2.1</v>
      </c>
      <c r="BB189" s="429">
        <f t="shared" si="192"/>
        <v>0.90000000000000013</v>
      </c>
      <c r="BC189" s="206">
        <f t="shared" si="193"/>
        <v>-44.928000000000026</v>
      </c>
      <c r="BD189" s="206">
        <f t="shared" si="194"/>
        <v>0</v>
      </c>
      <c r="BE189" s="206">
        <f t="shared" si="195"/>
        <v>-44.928000000000026</v>
      </c>
      <c r="BF189" s="207">
        <f t="shared" si="196"/>
        <v>2.4390000000000005</v>
      </c>
      <c r="BG189" s="219">
        <f t="shared" si="197"/>
        <v>-42.5</v>
      </c>
      <c r="BH189" s="4">
        <f t="shared" si="217"/>
        <v>1998</v>
      </c>
      <c r="BI189" s="4">
        <f t="shared" si="218"/>
        <v>5</v>
      </c>
      <c r="BJ189" s="108">
        <f>C189+[4]MWh!$AJ23</f>
        <v>1283455.2771358178</v>
      </c>
      <c r="BK189" s="108">
        <f t="shared" si="206"/>
        <v>3934.6187816310844</v>
      </c>
      <c r="BL189" s="108">
        <f t="shared" si="225"/>
        <v>1279520.6583541867</v>
      </c>
      <c r="BM189" s="189">
        <f t="shared" si="208"/>
        <v>1072.8821382687026</v>
      </c>
      <c r="BN189" s="6">
        <f t="shared" si="209"/>
        <v>1230766</v>
      </c>
      <c r="BO189" s="175">
        <f t="shared" si="226"/>
        <v>3785</v>
      </c>
      <c r="BP189" s="108">
        <f t="shared" si="227"/>
        <v>-48904.277135817771</v>
      </c>
      <c r="BQ189" s="76">
        <f t="shared" si="211"/>
        <v>1105.3806630756558</v>
      </c>
      <c r="BR189" s="76">
        <f t="shared" si="212"/>
        <v>1063.2616712801159</v>
      </c>
      <c r="BS189" s="76">
        <f t="shared" si="219"/>
        <v>-67.303754600451157</v>
      </c>
      <c r="BT189" s="175">
        <f t="shared" si="213"/>
        <v>1234551</v>
      </c>
      <c r="BU189" s="108">
        <f t="shared" si="220"/>
        <v>-76317</v>
      </c>
      <c r="BW189" s="529"/>
      <c r="BZ189" s="108">
        <f>BW189+COML!BV189+SPA!BV189</f>
        <v>-18881</v>
      </c>
    </row>
    <row r="190" spans="1:103">
      <c r="A190" s="13">
        <v>1998</v>
      </c>
      <c r="B190" s="13">
        <v>6</v>
      </c>
      <c r="C190" s="5">
        <v>1636604</v>
      </c>
      <c r="D190" s="73">
        <v>1167586</v>
      </c>
      <c r="E190" s="5">
        <f t="shared" si="222"/>
        <v>1633796</v>
      </c>
      <c r="F190" s="5">
        <f t="shared" si="223"/>
        <v>1150893</v>
      </c>
      <c r="G190" s="74">
        <f t="shared" si="182"/>
        <v>1419.6</v>
      </c>
      <c r="H190" s="190">
        <v>2808.2579999999998</v>
      </c>
      <c r="I190" s="170">
        <v>16693</v>
      </c>
      <c r="J190" s="230">
        <f>'[7]RES 62 &amp; 67'!$S275</f>
        <v>447.6</v>
      </c>
      <c r="K190" s="183">
        <f t="shared" si="198"/>
        <v>382.8</v>
      </c>
      <c r="L190" s="233">
        <f t="shared" si="215"/>
        <v>-64.800000000000011</v>
      </c>
      <c r="M190" s="230">
        <f>'[7]RES 62 &amp; 67'!$J275</f>
        <v>0.4</v>
      </c>
      <c r="N190" s="183">
        <f t="shared" si="199"/>
        <v>0.9</v>
      </c>
      <c r="O190" s="236">
        <f t="shared" si="216"/>
        <v>0.5</v>
      </c>
      <c r="P190" s="206">
        <f t="shared" si="183"/>
        <v>-139.96800000000005</v>
      </c>
      <c r="Q190" s="208">
        <f t="shared" si="184"/>
        <v>0</v>
      </c>
      <c r="R190" s="467">
        <f t="shared" si="185"/>
        <v>-139.96800000000005</v>
      </c>
      <c r="S190" s="470">
        <f t="shared" si="186"/>
        <v>1.355</v>
      </c>
      <c r="T190" s="425">
        <f t="shared" si="187"/>
        <v>-138.6</v>
      </c>
      <c r="U190" s="579">
        <f>[5]RC!$E70</f>
        <v>1170842</v>
      </c>
      <c r="V190" s="447">
        <v>35947</v>
      </c>
      <c r="W190" s="191">
        <f t="shared" si="174"/>
        <v>1281</v>
      </c>
      <c r="X190" s="73">
        <f t="shared" si="175"/>
        <v>1474294</v>
      </c>
      <c r="Y190" s="187">
        <f t="shared" si="221"/>
        <v>2530</v>
      </c>
      <c r="Z190" s="175">
        <f t="shared" si="189"/>
        <v>1476824</v>
      </c>
      <c r="AA190" s="40">
        <f t="shared" si="176"/>
        <v>-159780</v>
      </c>
      <c r="AB190" s="379">
        <f t="shared" si="190"/>
        <v>1476824</v>
      </c>
      <c r="AC190" s="107">
        <f>'[7]Gov 65 &amp; 70'!$B275</f>
        <v>30.7</v>
      </c>
      <c r="AD190" s="4">
        <f t="shared" si="177"/>
        <v>1463355</v>
      </c>
      <c r="AE190" s="4">
        <f t="shared" si="200"/>
        <v>25016</v>
      </c>
      <c r="AF190" s="23">
        <f t="shared" si="178"/>
        <v>1253.3</v>
      </c>
      <c r="AG190" s="75">
        <f>AF190-AF178</f>
        <v>-0.60000000000013642</v>
      </c>
      <c r="AI190" s="303">
        <f t="shared" si="224"/>
        <v>0.1185049852847041</v>
      </c>
      <c r="AU190" s="4">
        <v>1998</v>
      </c>
      <c r="AV190" s="4">
        <v>6</v>
      </c>
      <c r="AW190" s="230">
        <f>'[8]RES 62 &amp; 67'!$S275</f>
        <v>538.9</v>
      </c>
      <c r="AX190" s="200">
        <f t="shared" si="202"/>
        <v>425.2</v>
      </c>
      <c r="AY190" s="203">
        <f t="shared" si="191"/>
        <v>-113.69999999999999</v>
      </c>
      <c r="AZ190" s="230">
        <f>'[8]RES 62 &amp; 67'!$J275</f>
        <v>0</v>
      </c>
      <c r="BA190" s="183">
        <f t="shared" si="203"/>
        <v>0</v>
      </c>
      <c r="BB190" s="429">
        <f t="shared" si="192"/>
        <v>0</v>
      </c>
      <c r="BC190" s="206">
        <f t="shared" si="193"/>
        <v>-245.59199999999998</v>
      </c>
      <c r="BD190" s="206">
        <f t="shared" si="194"/>
        <v>0</v>
      </c>
      <c r="BE190" s="206">
        <f t="shared" si="195"/>
        <v>-245.59199999999998</v>
      </c>
      <c r="BF190" s="207">
        <f t="shared" si="196"/>
        <v>0</v>
      </c>
      <c r="BG190" s="219">
        <f t="shared" si="197"/>
        <v>-245.6</v>
      </c>
      <c r="BH190" s="4">
        <f t="shared" si="217"/>
        <v>1998</v>
      </c>
      <c r="BI190" s="4">
        <f t="shared" si="218"/>
        <v>6</v>
      </c>
      <c r="BJ190" s="108">
        <f>C190+[4]MWh!$AJ24</f>
        <v>1925450.100806437</v>
      </c>
      <c r="BK190" s="108">
        <f t="shared" si="206"/>
        <v>3303.8906474568571</v>
      </c>
      <c r="BL190" s="108">
        <f t="shared" si="225"/>
        <v>1922146.2101589802</v>
      </c>
      <c r="BM190" s="189">
        <f t="shared" si="208"/>
        <v>1424.5345912773651</v>
      </c>
      <c r="BN190" s="6">
        <f t="shared" si="209"/>
        <v>1639487</v>
      </c>
      <c r="BO190" s="175">
        <f t="shared" si="226"/>
        <v>2818</v>
      </c>
      <c r="BP190" s="108">
        <f t="shared" si="227"/>
        <v>-283145.10080643708</v>
      </c>
      <c r="BQ190" s="76">
        <f t="shared" si="211"/>
        <v>1649.0863206705433</v>
      </c>
      <c r="BR190" s="76">
        <f t="shared" si="212"/>
        <v>1406.5816136884134</v>
      </c>
      <c r="BS190" s="76">
        <f t="shared" si="219"/>
        <v>58.485468124056979</v>
      </c>
      <c r="BT190" s="175">
        <f t="shared" si="213"/>
        <v>1642305</v>
      </c>
      <c r="BU190" s="108">
        <f t="shared" si="220"/>
        <v>95912</v>
      </c>
      <c r="BW190" s="529"/>
      <c r="BZ190" s="108">
        <f>BW190+COML!BV190+SPA!BV190</f>
        <v>-103612</v>
      </c>
      <c r="CC190" s="108"/>
    </row>
    <row r="191" spans="1:103">
      <c r="A191" s="13">
        <v>1998</v>
      </c>
      <c r="B191" s="13">
        <v>7</v>
      </c>
      <c r="C191" s="5">
        <v>1793059</v>
      </c>
      <c r="D191" s="73">
        <v>1160442</v>
      </c>
      <c r="E191" s="5">
        <f t="shared" si="222"/>
        <v>1790557</v>
      </c>
      <c r="F191" s="5">
        <f t="shared" si="223"/>
        <v>1143603</v>
      </c>
      <c r="G191" s="74">
        <f t="shared" si="182"/>
        <v>1565.7</v>
      </c>
      <c r="H191" s="190">
        <v>2502.2759999999998</v>
      </c>
      <c r="I191" s="170">
        <v>16839</v>
      </c>
      <c r="J191" s="230">
        <f>'[7]RES 62 &amp; 67'!$S276</f>
        <v>521.29999999999995</v>
      </c>
      <c r="K191" s="183">
        <f t="shared" si="198"/>
        <v>454.9</v>
      </c>
      <c r="L191" s="233">
        <f t="shared" ref="L191:L196" si="228">(K191-J191)</f>
        <v>-66.399999999999977</v>
      </c>
      <c r="M191" s="230">
        <f>'[7]RES 62 &amp; 67'!$J276</f>
        <v>0</v>
      </c>
      <c r="N191" s="183">
        <f t="shared" si="199"/>
        <v>0</v>
      </c>
      <c r="O191" s="236">
        <f t="shared" ref="O191:O196" si="229">(N191-M191)</f>
        <v>0</v>
      </c>
      <c r="P191" s="206">
        <f t="shared" si="183"/>
        <v>-143.42399999999995</v>
      </c>
      <c r="Q191" s="208">
        <f t="shared" si="184"/>
        <v>0</v>
      </c>
      <c r="R191" s="467">
        <f t="shared" si="185"/>
        <v>-143.42399999999995</v>
      </c>
      <c r="S191" s="470">
        <f t="shared" si="186"/>
        <v>0</v>
      </c>
      <c r="T191" s="425">
        <f t="shared" si="187"/>
        <v>-143.4</v>
      </c>
      <c r="U191" s="579">
        <f>[5]RC!$E71</f>
        <v>1172763</v>
      </c>
      <c r="V191" s="447">
        <v>35977</v>
      </c>
      <c r="W191" s="191">
        <f t="shared" si="174"/>
        <v>1422.3</v>
      </c>
      <c r="X191" s="73">
        <f t="shared" si="175"/>
        <v>1626547</v>
      </c>
      <c r="Y191" s="187">
        <f t="shared" si="221"/>
        <v>2270</v>
      </c>
      <c r="Z191" s="175">
        <f t="shared" si="189"/>
        <v>1628817</v>
      </c>
      <c r="AA191" s="40">
        <f t="shared" si="176"/>
        <v>-164242</v>
      </c>
      <c r="AB191" s="379">
        <f t="shared" si="190"/>
        <v>1628817</v>
      </c>
      <c r="AC191" s="107">
        <f>'[7]Gov 65 &amp; 70'!$B276</f>
        <v>29.4</v>
      </c>
      <c r="AD191" s="4">
        <f t="shared" si="177"/>
        <v>1685327</v>
      </c>
      <c r="AE191" s="4">
        <f t="shared" si="200"/>
        <v>87791</v>
      </c>
      <c r="AF191" s="23">
        <f t="shared" si="178"/>
        <v>1452.3</v>
      </c>
      <c r="AG191" s="75">
        <f t="shared" ref="AG191:AG196" si="230">AF191-AF179</f>
        <v>49.799999999999955</v>
      </c>
      <c r="AI191" s="303">
        <f t="shared" si="224"/>
        <v>9.4909647845417111E-2</v>
      </c>
      <c r="AU191" s="4">
        <v>1998</v>
      </c>
      <c r="AV191" s="4">
        <v>7</v>
      </c>
      <c r="AW191" s="230">
        <f>'[8]RES 62 &amp; 67'!$S276</f>
        <v>526.4</v>
      </c>
      <c r="AX191" s="200">
        <f t="shared" si="202"/>
        <v>484.1</v>
      </c>
      <c r="AY191" s="203">
        <f t="shared" si="191"/>
        <v>-42.299999999999955</v>
      </c>
      <c r="AZ191" s="230">
        <f>'[8]RES 62 &amp; 67'!$J276</f>
        <v>0</v>
      </c>
      <c r="BA191" s="183">
        <f t="shared" si="203"/>
        <v>0</v>
      </c>
      <c r="BB191" s="429">
        <f t="shared" si="192"/>
        <v>0</v>
      </c>
      <c r="BC191" s="206">
        <f t="shared" si="193"/>
        <v>-91.36799999999991</v>
      </c>
      <c r="BD191" s="206">
        <f t="shared" si="194"/>
        <v>0</v>
      </c>
      <c r="BE191" s="206">
        <f t="shared" si="195"/>
        <v>-91.36799999999991</v>
      </c>
      <c r="BF191" s="207">
        <f t="shared" si="196"/>
        <v>0</v>
      </c>
      <c r="BG191" s="219">
        <f t="shared" si="197"/>
        <v>-91.4</v>
      </c>
      <c r="BH191" s="4">
        <f t="shared" si="217"/>
        <v>1998</v>
      </c>
      <c r="BI191" s="4">
        <f t="shared" si="218"/>
        <v>7</v>
      </c>
      <c r="BJ191" s="108">
        <f>C191+[4]MWh!$AJ25</f>
        <v>1782571.523009704</v>
      </c>
      <c r="BK191" s="108">
        <f t="shared" si="206"/>
        <v>2487.6403622583694</v>
      </c>
      <c r="BL191" s="108">
        <f t="shared" si="225"/>
        <v>1780083.8826474457</v>
      </c>
      <c r="BM191" s="189">
        <f t="shared" si="208"/>
        <v>1465.1575489461341</v>
      </c>
      <c r="BN191" s="6">
        <f t="shared" si="209"/>
        <v>1675559</v>
      </c>
      <c r="BO191" s="175">
        <f t="shared" si="226"/>
        <v>2342</v>
      </c>
      <c r="BP191" s="108">
        <f t="shared" si="227"/>
        <v>-104670.52300970403</v>
      </c>
      <c r="BQ191" s="76">
        <f t="shared" si="211"/>
        <v>1536.1142762927436</v>
      </c>
      <c r="BR191" s="76">
        <f t="shared" si="212"/>
        <v>1445.9154356702015</v>
      </c>
      <c r="BS191" s="76">
        <f t="shared" si="219"/>
        <v>-31.313375381825153</v>
      </c>
      <c r="BT191" s="175">
        <f t="shared" si="213"/>
        <v>1677901</v>
      </c>
      <c r="BU191" s="108">
        <f t="shared" si="220"/>
        <v>-4735</v>
      </c>
      <c r="BW191" s="529"/>
      <c r="CK191" s="7" t="s">
        <v>75</v>
      </c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</row>
    <row r="192" spans="1:103">
      <c r="A192" s="13">
        <v>1998</v>
      </c>
      <c r="B192" s="13">
        <v>8</v>
      </c>
      <c r="C192" s="5">
        <v>1802172</v>
      </c>
      <c r="D192" s="73">
        <v>1204879</v>
      </c>
      <c r="E192" s="5">
        <f t="shared" si="222"/>
        <v>1799769</v>
      </c>
      <c r="F192" s="5">
        <f t="shared" si="223"/>
        <v>1186700</v>
      </c>
      <c r="G192" s="74">
        <f t="shared" si="182"/>
        <v>1516.6</v>
      </c>
      <c r="H192" s="190">
        <v>2403.3200000000002</v>
      </c>
      <c r="I192" s="170">
        <v>18179</v>
      </c>
      <c r="J192" s="230">
        <f>'[7]RES 62 &amp; 67'!$S277</f>
        <v>510.8</v>
      </c>
      <c r="K192" s="183">
        <f t="shared" si="198"/>
        <v>481.4</v>
      </c>
      <c r="L192" s="233">
        <f t="shared" si="228"/>
        <v>-29.400000000000034</v>
      </c>
      <c r="M192" s="230">
        <f>'[7]RES 62 &amp; 67'!$J277</f>
        <v>0</v>
      </c>
      <c r="N192" s="183">
        <f t="shared" si="199"/>
        <v>0</v>
      </c>
      <c r="O192" s="236">
        <f t="shared" si="229"/>
        <v>0</v>
      </c>
      <c r="P192" s="206">
        <f t="shared" si="183"/>
        <v>-63.504000000000076</v>
      </c>
      <c r="Q192" s="208">
        <f t="shared" si="184"/>
        <v>0</v>
      </c>
      <c r="R192" s="467">
        <f t="shared" si="185"/>
        <v>-63.504000000000076</v>
      </c>
      <c r="S192" s="470">
        <f t="shared" si="186"/>
        <v>0</v>
      </c>
      <c r="T192" s="425">
        <f t="shared" si="187"/>
        <v>-63.5</v>
      </c>
      <c r="U192" s="579">
        <f>[5]RC!$E72</f>
        <v>1173841</v>
      </c>
      <c r="V192" s="447">
        <v>36008</v>
      </c>
      <c r="W192" s="191">
        <f t="shared" si="174"/>
        <v>1453.1</v>
      </c>
      <c r="X192" s="73">
        <f t="shared" si="175"/>
        <v>1724394</v>
      </c>
      <c r="Y192" s="187">
        <f t="shared" si="221"/>
        <v>2300</v>
      </c>
      <c r="Z192" s="175">
        <f t="shared" si="189"/>
        <v>1726694</v>
      </c>
      <c r="AA192" s="40">
        <f t="shared" si="176"/>
        <v>-75478</v>
      </c>
      <c r="AB192" s="379">
        <f t="shared" si="190"/>
        <v>1726694</v>
      </c>
      <c r="AC192" s="107">
        <f>'[7]Gov 65 &amp; 70'!$B277</f>
        <v>30.8</v>
      </c>
      <c r="AD192" s="4">
        <f t="shared" si="177"/>
        <v>1705391</v>
      </c>
      <c r="AE192" s="4">
        <f t="shared" si="200"/>
        <v>16369</v>
      </c>
      <c r="AF192" s="23">
        <f t="shared" si="178"/>
        <v>1415.4</v>
      </c>
      <c r="AG192" s="75">
        <f t="shared" si="230"/>
        <v>-48</v>
      </c>
      <c r="AI192" s="303">
        <f t="shared" si="224"/>
        <v>8.7170705182104236E-2</v>
      </c>
      <c r="AU192" s="4">
        <v>1998</v>
      </c>
      <c r="AV192" s="4">
        <v>8</v>
      </c>
      <c r="AW192" s="230">
        <f>'[8]RES 62 &amp; 67'!$S277</f>
        <v>517.79999999999995</v>
      </c>
      <c r="AX192" s="200">
        <f t="shared" si="202"/>
        <v>487.3</v>
      </c>
      <c r="AY192" s="203">
        <f t="shared" si="191"/>
        <v>-30.499999999999943</v>
      </c>
      <c r="AZ192" s="230">
        <f>'[8]RES 62 &amp; 67'!$J277</f>
        <v>0</v>
      </c>
      <c r="BA192" s="183">
        <f t="shared" si="203"/>
        <v>0</v>
      </c>
      <c r="BB192" s="429">
        <f t="shared" si="192"/>
        <v>0</v>
      </c>
      <c r="BC192" s="206">
        <f t="shared" si="193"/>
        <v>-65.879999999999882</v>
      </c>
      <c r="BD192" s="206">
        <f t="shared" si="194"/>
        <v>0</v>
      </c>
      <c r="BE192" s="206">
        <f t="shared" si="195"/>
        <v>-65.879999999999882</v>
      </c>
      <c r="BF192" s="207">
        <f t="shared" si="196"/>
        <v>0</v>
      </c>
      <c r="BG192" s="219">
        <f t="shared" si="197"/>
        <v>-65.900000000000006</v>
      </c>
      <c r="BH192" s="4">
        <f t="shared" si="217"/>
        <v>1998</v>
      </c>
      <c r="BI192" s="4">
        <f t="shared" si="218"/>
        <v>8</v>
      </c>
      <c r="BJ192" s="108">
        <f>C192+[4]MWh!$AJ26</f>
        <v>1862717.5533519338</v>
      </c>
      <c r="BK192" s="108">
        <f t="shared" si="206"/>
        <v>2484.0616491221535</v>
      </c>
      <c r="BL192" s="108">
        <f t="shared" si="225"/>
        <v>1860233.4917028118</v>
      </c>
      <c r="BM192" s="189">
        <f t="shared" si="208"/>
        <v>1501.668460186072</v>
      </c>
      <c r="BN192" s="6">
        <f t="shared" si="209"/>
        <v>1782030</v>
      </c>
      <c r="BO192" s="175">
        <f t="shared" si="226"/>
        <v>2380</v>
      </c>
      <c r="BP192" s="108">
        <f t="shared" si="227"/>
        <v>-78307.553351933951</v>
      </c>
      <c r="BQ192" s="76">
        <f t="shared" si="211"/>
        <v>1545.9789351062918</v>
      </c>
      <c r="BR192" s="76">
        <f t="shared" si="212"/>
        <v>1480.9868874799877</v>
      </c>
      <c r="BS192" s="76">
        <f t="shared" si="219"/>
        <v>5.8870088679170749</v>
      </c>
      <c r="BT192" s="175">
        <f t="shared" si="213"/>
        <v>1784410</v>
      </c>
      <c r="BU192" s="108">
        <f t="shared" si="220"/>
        <v>81922</v>
      </c>
      <c r="BW192" s="529"/>
      <c r="CK192" s="8" t="s">
        <v>5</v>
      </c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</row>
    <row r="193" spans="1:103">
      <c r="A193" s="13">
        <v>1998</v>
      </c>
      <c r="B193" s="13">
        <v>9</v>
      </c>
      <c r="C193" s="5">
        <v>1664838</v>
      </c>
      <c r="D193" s="73">
        <v>1136265</v>
      </c>
      <c r="E193" s="5">
        <f t="shared" si="222"/>
        <v>1662563</v>
      </c>
      <c r="F193" s="5">
        <f t="shared" si="223"/>
        <v>1119791</v>
      </c>
      <c r="G193" s="74">
        <f t="shared" si="182"/>
        <v>1484.7</v>
      </c>
      <c r="H193" s="190">
        <v>2274.5749999999998</v>
      </c>
      <c r="I193" s="170">
        <v>16474</v>
      </c>
      <c r="J193" s="230">
        <f>'[7]RES 62 &amp; 67'!$S278</f>
        <v>483.8</v>
      </c>
      <c r="K193" s="183">
        <f t="shared" si="198"/>
        <v>473.7</v>
      </c>
      <c r="L193" s="233">
        <f t="shared" si="228"/>
        <v>-10.100000000000023</v>
      </c>
      <c r="M193" s="230">
        <f>'[7]RES 62 &amp; 67'!$J278</f>
        <v>0</v>
      </c>
      <c r="N193" s="183">
        <f t="shared" si="199"/>
        <v>0</v>
      </c>
      <c r="O193" s="236">
        <f t="shared" si="229"/>
        <v>0</v>
      </c>
      <c r="P193" s="206">
        <f t="shared" si="183"/>
        <v>-21.816000000000052</v>
      </c>
      <c r="Q193" s="208">
        <f t="shared" si="184"/>
        <v>0</v>
      </c>
      <c r="R193" s="467">
        <f t="shared" si="185"/>
        <v>-21.816000000000052</v>
      </c>
      <c r="S193" s="470">
        <f t="shared" si="186"/>
        <v>0</v>
      </c>
      <c r="T193" s="425">
        <f t="shared" si="187"/>
        <v>-21.8</v>
      </c>
      <c r="U193" s="579">
        <f>[5]RC!$E73</f>
        <v>1175429</v>
      </c>
      <c r="V193" s="447">
        <v>36039</v>
      </c>
      <c r="W193" s="191">
        <f t="shared" si="174"/>
        <v>1462.9</v>
      </c>
      <c r="X193" s="73">
        <f t="shared" si="175"/>
        <v>1638142</v>
      </c>
      <c r="Y193" s="187">
        <f t="shared" si="221"/>
        <v>2238</v>
      </c>
      <c r="Z193" s="175">
        <f t="shared" si="189"/>
        <v>1640380</v>
      </c>
      <c r="AA193" s="40">
        <f t="shared" si="176"/>
        <v>-24458</v>
      </c>
      <c r="AB193" s="379">
        <f t="shared" si="190"/>
        <v>1640380</v>
      </c>
      <c r="AC193" s="107">
        <f>'[7]Gov 65 &amp; 70'!$B278</f>
        <v>30.25</v>
      </c>
      <c r="AD193" s="4">
        <f t="shared" si="177"/>
        <v>1649599</v>
      </c>
      <c r="AE193" s="4">
        <f t="shared" si="200"/>
        <v>36490</v>
      </c>
      <c r="AF193" s="23">
        <f t="shared" si="178"/>
        <v>1451.8</v>
      </c>
      <c r="AG193" s="75">
        <f t="shared" si="230"/>
        <v>32</v>
      </c>
      <c r="AI193" s="303">
        <f t="shared" si="224"/>
        <v>9.2995619378197447E-2</v>
      </c>
      <c r="AU193" s="4">
        <v>1998</v>
      </c>
      <c r="AV193" s="4">
        <v>9</v>
      </c>
      <c r="AW193" s="230">
        <f>'[8]RES 62 &amp; 67'!$S278</f>
        <v>423.8</v>
      </c>
      <c r="AX193" s="200">
        <f t="shared" si="202"/>
        <v>428.3</v>
      </c>
      <c r="AY193" s="203">
        <f t="shared" si="191"/>
        <v>4.5</v>
      </c>
      <c r="AZ193" s="230">
        <f>'[8]RES 62 &amp; 67'!$J278</f>
        <v>0</v>
      </c>
      <c r="BA193" s="183">
        <f t="shared" si="203"/>
        <v>0</v>
      </c>
      <c r="BB193" s="429">
        <f t="shared" si="192"/>
        <v>0</v>
      </c>
      <c r="BC193" s="206">
        <f t="shared" si="193"/>
        <v>9.7200000000000006</v>
      </c>
      <c r="BD193" s="206">
        <f t="shared" si="194"/>
        <v>0</v>
      </c>
      <c r="BE193" s="206">
        <f t="shared" si="195"/>
        <v>9.7200000000000006</v>
      </c>
      <c r="BF193" s="207">
        <f t="shared" si="196"/>
        <v>0</v>
      </c>
      <c r="BG193" s="219">
        <f t="shared" si="197"/>
        <v>9.6999999999999993</v>
      </c>
      <c r="BH193" s="4">
        <f t="shared" si="217"/>
        <v>1998</v>
      </c>
      <c r="BI193" s="4">
        <f t="shared" si="218"/>
        <v>9</v>
      </c>
      <c r="BJ193" s="108">
        <f>C193+[4]MWh!$AJ27</f>
        <v>1583286.6720515001</v>
      </c>
      <c r="BK193" s="108">
        <f t="shared" si="206"/>
        <v>2163.155983994563</v>
      </c>
      <c r="BL193" s="108">
        <f t="shared" si="225"/>
        <v>1581123.5160675056</v>
      </c>
      <c r="BM193" s="189">
        <f t="shared" si="208"/>
        <v>1421.680910783803</v>
      </c>
      <c r="BN193" s="6">
        <f t="shared" si="209"/>
        <v>1591985</v>
      </c>
      <c r="BO193" s="175">
        <f t="shared" si="226"/>
        <v>2178</v>
      </c>
      <c r="BP193" s="108">
        <f t="shared" si="227"/>
        <v>10876.327948499857</v>
      </c>
      <c r="BQ193" s="76">
        <f t="shared" si="211"/>
        <v>1393.4132196727878</v>
      </c>
      <c r="BR193" s="76">
        <f t="shared" si="212"/>
        <v>1402.9852191170194</v>
      </c>
      <c r="BS193" s="76">
        <f t="shared" si="219"/>
        <v>60.870297105659574</v>
      </c>
      <c r="BT193" s="175">
        <f t="shared" si="213"/>
        <v>1594163</v>
      </c>
      <c r="BU193" s="108">
        <f t="shared" si="220"/>
        <v>69350</v>
      </c>
      <c r="BW193" s="529"/>
    </row>
    <row r="194" spans="1:103">
      <c r="A194" s="13">
        <v>1998</v>
      </c>
      <c r="B194" s="13">
        <v>10</v>
      </c>
      <c r="C194" s="5">
        <v>1565495</v>
      </c>
      <c r="D194" s="73">
        <v>1213255</v>
      </c>
      <c r="E194" s="5">
        <f t="shared" si="222"/>
        <v>1562191</v>
      </c>
      <c r="F194" s="5">
        <f t="shared" si="223"/>
        <v>1195213</v>
      </c>
      <c r="G194" s="74">
        <f t="shared" si="182"/>
        <v>1307</v>
      </c>
      <c r="H194" s="190">
        <v>3304.261</v>
      </c>
      <c r="I194" s="170">
        <v>18042</v>
      </c>
      <c r="J194" s="230">
        <f>'[7]RES 62 &amp; 67'!$S279</f>
        <v>414.9</v>
      </c>
      <c r="K194" s="183">
        <f t="shared" si="198"/>
        <v>373.2</v>
      </c>
      <c r="L194" s="233">
        <f t="shared" si="228"/>
        <v>-41.699999999999989</v>
      </c>
      <c r="M194" s="230">
        <f>'[7]RES 62 &amp; 67'!$J279</f>
        <v>0.2</v>
      </c>
      <c r="N194" s="183">
        <f t="shared" si="199"/>
        <v>1.3</v>
      </c>
      <c r="O194" s="236">
        <f t="shared" si="229"/>
        <v>1.1000000000000001</v>
      </c>
      <c r="P194" s="206">
        <f t="shared" si="183"/>
        <v>-90.071999999999974</v>
      </c>
      <c r="Q194" s="208">
        <f t="shared" si="184"/>
        <v>0</v>
      </c>
      <c r="R194" s="467">
        <f t="shared" si="185"/>
        <v>-90.071999999999974</v>
      </c>
      <c r="S194" s="470">
        <f t="shared" si="186"/>
        <v>2.9810000000000003</v>
      </c>
      <c r="T194" s="425">
        <f t="shared" si="187"/>
        <v>-87.1</v>
      </c>
      <c r="U194" s="579">
        <f>[5]RC!$E74</f>
        <v>1179962</v>
      </c>
      <c r="V194" s="447">
        <v>36069</v>
      </c>
      <c r="W194" s="191">
        <f t="shared" si="174"/>
        <v>1219.9000000000001</v>
      </c>
      <c r="X194" s="73">
        <f t="shared" si="175"/>
        <v>1458040</v>
      </c>
      <c r="Y194" s="187">
        <f t="shared" si="221"/>
        <v>3077</v>
      </c>
      <c r="Z194" s="175">
        <f t="shared" si="189"/>
        <v>1461117</v>
      </c>
      <c r="AA194" s="40">
        <f t="shared" si="176"/>
        <v>-104378</v>
      </c>
      <c r="AB194" s="379">
        <f t="shared" si="190"/>
        <v>1461117</v>
      </c>
      <c r="AC194" s="107">
        <f>'[7]Gov 65 &amp; 70'!$B279</f>
        <v>29.95</v>
      </c>
      <c r="AD194" s="4">
        <f t="shared" si="177"/>
        <v>1484046</v>
      </c>
      <c r="AE194" s="4">
        <f t="shared" si="200"/>
        <v>102463</v>
      </c>
      <c r="AF194" s="23">
        <f t="shared" si="178"/>
        <v>1223.2</v>
      </c>
      <c r="AG194" s="75">
        <f t="shared" si="230"/>
        <v>36.799999999999955</v>
      </c>
      <c r="AI194" s="303">
        <f t="shared" si="224"/>
        <v>0.14012450079288766</v>
      </c>
      <c r="AU194" s="4">
        <v>1998</v>
      </c>
      <c r="AV194" s="4">
        <v>10</v>
      </c>
      <c r="AW194" s="230">
        <f>'[8]RES 62 &amp; 67'!$S279</f>
        <v>328.4</v>
      </c>
      <c r="AX194" s="200">
        <f t="shared" si="202"/>
        <v>277.60000000000002</v>
      </c>
      <c r="AY194" s="203">
        <f t="shared" ref="AY194:AY199" si="231">AX194-AW194</f>
        <v>-50.799999999999955</v>
      </c>
      <c r="AZ194" s="230">
        <f>'[8]RES 62 &amp; 67'!$J279</f>
        <v>3.4</v>
      </c>
      <c r="BA194" s="183">
        <f t="shared" si="203"/>
        <v>8.5</v>
      </c>
      <c r="BB194" s="429">
        <f t="shared" ref="BB194:BB199" si="232">BA194-AZ194</f>
        <v>5.0999999999999996</v>
      </c>
      <c r="BC194" s="206">
        <f t="shared" si="193"/>
        <v>-109.72799999999991</v>
      </c>
      <c r="BD194" s="206">
        <f t="shared" si="194"/>
        <v>0</v>
      </c>
      <c r="BE194" s="206">
        <f t="shared" si="195"/>
        <v>-109.72799999999991</v>
      </c>
      <c r="BF194" s="207">
        <f t="shared" si="196"/>
        <v>13.821</v>
      </c>
      <c r="BG194" s="219">
        <f t="shared" si="197"/>
        <v>-95.9</v>
      </c>
      <c r="BH194" s="4">
        <f t="shared" si="217"/>
        <v>1998</v>
      </c>
      <c r="BI194" s="4">
        <f t="shared" si="218"/>
        <v>10</v>
      </c>
      <c r="BJ194" s="108">
        <f>C194+[4]MWh!$AJ28</f>
        <v>1428768.1689395534</v>
      </c>
      <c r="BK194" s="108">
        <f t="shared" si="206"/>
        <v>3015.6742363714848</v>
      </c>
      <c r="BL194" s="108">
        <f t="shared" si="225"/>
        <v>1425752.494703182</v>
      </c>
      <c r="BM194" s="189">
        <f t="shared" si="208"/>
        <v>1096.9856987860589</v>
      </c>
      <c r="BN194" s="6">
        <f t="shared" si="209"/>
        <v>1311132</v>
      </c>
      <c r="BO194" s="175">
        <f t="shared" si="226"/>
        <v>2773</v>
      </c>
      <c r="BP194" s="108">
        <f t="shared" si="227"/>
        <v>-114863.16893955351</v>
      </c>
      <c r="BQ194" s="76">
        <f t="shared" si="211"/>
        <v>1177.632211645164</v>
      </c>
      <c r="BR194" s="76">
        <f t="shared" si="212"/>
        <v>1082.9586525503707</v>
      </c>
      <c r="BS194" s="76">
        <f t="shared" si="219"/>
        <v>-38.321153441785555</v>
      </c>
      <c r="BT194" s="175">
        <f t="shared" si="213"/>
        <v>1313905</v>
      </c>
      <c r="BU194" s="108">
        <f t="shared" si="220"/>
        <v>8187</v>
      </c>
      <c r="BW194" s="529"/>
      <c r="CO194" s="13"/>
      <c r="CP194" s="13"/>
      <c r="CQ194" s="13"/>
      <c r="CR194" s="13"/>
      <c r="CS194" s="13"/>
      <c r="CT194" s="13"/>
      <c r="CV194" s="99" t="s">
        <v>76</v>
      </c>
      <c r="CW194" s="13" t="s">
        <v>41</v>
      </c>
      <c r="CX194" s="13" t="s">
        <v>41</v>
      </c>
    </row>
    <row r="195" spans="1:103">
      <c r="A195" s="13">
        <v>1998</v>
      </c>
      <c r="B195" s="13">
        <v>11</v>
      </c>
      <c r="C195" s="5">
        <v>1156338</v>
      </c>
      <c r="D195" s="73">
        <v>1197929</v>
      </c>
      <c r="E195" s="5">
        <f t="shared" si="222"/>
        <v>1151644</v>
      </c>
      <c r="F195" s="5">
        <f t="shared" si="223"/>
        <v>1180367</v>
      </c>
      <c r="G195" s="74">
        <f t="shared" si="182"/>
        <v>975.7</v>
      </c>
      <c r="H195" s="190">
        <v>4694.491</v>
      </c>
      <c r="I195" s="170">
        <v>17562</v>
      </c>
      <c r="J195" s="230">
        <f>'[7]RES 62 &amp; 67'!$S280</f>
        <v>240.8</v>
      </c>
      <c r="K195" s="183">
        <f t="shared" si="198"/>
        <v>204.3</v>
      </c>
      <c r="L195" s="233">
        <f t="shared" si="228"/>
        <v>-36.5</v>
      </c>
      <c r="M195" s="230">
        <f>'[7]RES 62 &amp; 67'!$J280</f>
        <v>8.5</v>
      </c>
      <c r="N195" s="183">
        <f t="shared" si="199"/>
        <v>24.1</v>
      </c>
      <c r="O195" s="236">
        <f t="shared" si="229"/>
        <v>15.600000000000001</v>
      </c>
      <c r="P195" s="206">
        <f t="shared" si="183"/>
        <v>-78.84</v>
      </c>
      <c r="Q195" s="208">
        <f t="shared" si="184"/>
        <v>0</v>
      </c>
      <c r="R195" s="467">
        <f t="shared" si="185"/>
        <v>-78.84</v>
      </c>
      <c r="S195" s="470">
        <f t="shared" si="186"/>
        <v>42.276000000000003</v>
      </c>
      <c r="T195" s="425">
        <f t="shared" si="187"/>
        <v>-36.6</v>
      </c>
      <c r="U195" s="579">
        <f>[5]RC!$E75</f>
        <v>1188443</v>
      </c>
      <c r="V195" s="447">
        <v>36100</v>
      </c>
      <c r="W195" s="191">
        <f t="shared" si="174"/>
        <v>939.1</v>
      </c>
      <c r="X195" s="73">
        <f t="shared" si="175"/>
        <v>1108483</v>
      </c>
      <c r="Y195" s="187">
        <f t="shared" si="221"/>
        <v>4500</v>
      </c>
      <c r="Z195" s="175">
        <f t="shared" si="189"/>
        <v>1112983</v>
      </c>
      <c r="AA195" s="40">
        <f t="shared" si="176"/>
        <v>-43355</v>
      </c>
      <c r="AB195" s="379">
        <f t="shared" si="190"/>
        <v>1112983</v>
      </c>
      <c r="AC195" s="107">
        <f>'[7]Gov 65 &amp; 70'!$B280</f>
        <v>30.05</v>
      </c>
      <c r="AD195" s="4">
        <f t="shared" si="177"/>
        <v>1126687</v>
      </c>
      <c r="AE195" s="4">
        <f t="shared" si="200"/>
        <v>-39215</v>
      </c>
      <c r="AF195" s="23">
        <f t="shared" si="178"/>
        <v>940.5</v>
      </c>
      <c r="AG195" s="75">
        <f t="shared" si="230"/>
        <v>-30.5</v>
      </c>
      <c r="AI195" s="303">
        <f t="shared" si="224"/>
        <v>0.27396698666095398</v>
      </c>
      <c r="AU195" s="4">
        <v>1998</v>
      </c>
      <c r="AV195" s="4">
        <v>11</v>
      </c>
      <c r="AW195" s="230">
        <f>'[8]RES 62 &amp; 67'!$S280</f>
        <v>177.6</v>
      </c>
      <c r="AX195" s="200">
        <f t="shared" si="202"/>
        <v>110.2</v>
      </c>
      <c r="AY195" s="203">
        <f t="shared" si="231"/>
        <v>-67.399999999999991</v>
      </c>
      <c r="AZ195" s="230">
        <f>'[8]RES 62 &amp; 67'!$J280</f>
        <v>14.6</v>
      </c>
      <c r="BA195" s="183">
        <f t="shared" si="203"/>
        <v>45.3</v>
      </c>
      <c r="BB195" s="429">
        <f t="shared" si="232"/>
        <v>30.699999999999996</v>
      </c>
      <c r="BC195" s="206">
        <f t="shared" si="193"/>
        <v>-145.584</v>
      </c>
      <c r="BD195" s="206">
        <f t="shared" si="194"/>
        <v>20.556999999999999</v>
      </c>
      <c r="BE195" s="206">
        <f t="shared" si="195"/>
        <v>-125.027</v>
      </c>
      <c r="BF195" s="207">
        <f t="shared" si="196"/>
        <v>83.196999999999989</v>
      </c>
      <c r="BG195" s="219">
        <f t="shared" si="197"/>
        <v>-41.8</v>
      </c>
      <c r="BH195" s="4">
        <f t="shared" si="217"/>
        <v>1998</v>
      </c>
      <c r="BI195" s="4">
        <f t="shared" si="218"/>
        <v>11</v>
      </c>
      <c r="BJ195" s="108">
        <f>C195+[4]MWh!$AJ29</f>
        <v>953392.57830671349</v>
      </c>
      <c r="BK195" s="108">
        <f t="shared" si="206"/>
        <v>3870.5749342559548</v>
      </c>
      <c r="BL195" s="108">
        <f t="shared" si="225"/>
        <v>949522.00337245758</v>
      </c>
      <c r="BM195" s="189">
        <f t="shared" si="208"/>
        <v>762.62947267456445</v>
      </c>
      <c r="BN195" s="6">
        <f t="shared" si="209"/>
        <v>900183</v>
      </c>
      <c r="BO195" s="175">
        <f t="shared" si="226"/>
        <v>3669</v>
      </c>
      <c r="BP195" s="108">
        <f t="shared" si="227"/>
        <v>-49540.578306713534</v>
      </c>
      <c r="BQ195" s="76">
        <f t="shared" si="211"/>
        <v>795.86734965654352</v>
      </c>
      <c r="BR195" s="76">
        <f t="shared" si="212"/>
        <v>754.51216223999916</v>
      </c>
      <c r="BS195" s="76">
        <f t="shared" si="219"/>
        <v>-22.877787831000774</v>
      </c>
      <c r="BT195" s="175">
        <f t="shared" si="213"/>
        <v>903852</v>
      </c>
      <c r="BU195" s="108">
        <f t="shared" si="220"/>
        <v>-29564</v>
      </c>
      <c r="BW195" s="529"/>
      <c r="CL195" s="24" t="s">
        <v>77</v>
      </c>
      <c r="CM195" s="13" t="s">
        <v>78</v>
      </c>
      <c r="CO195" s="13"/>
      <c r="CP195" s="13" t="s">
        <v>79</v>
      </c>
      <c r="CQ195" s="13" t="s">
        <v>80</v>
      </c>
      <c r="CR195" s="13" t="s">
        <v>81</v>
      </c>
      <c r="CS195" s="13" t="s">
        <v>80</v>
      </c>
      <c r="CT195" s="13" t="s">
        <v>82</v>
      </c>
      <c r="CV195" s="100" t="s">
        <v>83</v>
      </c>
      <c r="CW195" s="13" t="s">
        <v>84</v>
      </c>
      <c r="CX195" s="13" t="s">
        <v>84</v>
      </c>
    </row>
    <row r="196" spans="1:103" s="89" customFormat="1" ht="12.75">
      <c r="A196" s="90">
        <v>1998</v>
      </c>
      <c r="B196" s="90">
        <v>12</v>
      </c>
      <c r="C196" s="103">
        <v>1128856</v>
      </c>
      <c r="D196" s="104">
        <v>1190799</v>
      </c>
      <c r="E196" s="103">
        <f t="shared" si="222"/>
        <v>1121642</v>
      </c>
      <c r="F196" s="103">
        <f t="shared" si="223"/>
        <v>1173126</v>
      </c>
      <c r="G196" s="109">
        <f t="shared" si="182"/>
        <v>956.1</v>
      </c>
      <c r="H196" s="196">
        <v>7213.817</v>
      </c>
      <c r="I196" s="197">
        <v>17673</v>
      </c>
      <c r="J196" s="300">
        <f>'[7]RES 62 &amp; 67'!$S281</f>
        <v>180.4</v>
      </c>
      <c r="K196" s="210">
        <f t="shared" si="198"/>
        <v>88</v>
      </c>
      <c r="L196" s="234">
        <f t="shared" si="228"/>
        <v>-92.4</v>
      </c>
      <c r="M196" s="300">
        <f>'[7]RES 62 &amp; 67'!$J281</f>
        <v>21.5</v>
      </c>
      <c r="N196" s="210">
        <f t="shared" si="199"/>
        <v>83.9</v>
      </c>
      <c r="O196" s="237">
        <f t="shared" si="229"/>
        <v>62.400000000000006</v>
      </c>
      <c r="P196" s="211">
        <f t="shared" si="183"/>
        <v>-199.58400000000003</v>
      </c>
      <c r="Q196" s="211">
        <f t="shared" si="184"/>
        <v>56.364000000000004</v>
      </c>
      <c r="R196" s="468">
        <f t="shared" si="185"/>
        <v>-143.22000000000003</v>
      </c>
      <c r="S196" s="471">
        <f t="shared" si="186"/>
        <v>169.10400000000001</v>
      </c>
      <c r="T196" s="426">
        <f t="shared" si="187"/>
        <v>25.9</v>
      </c>
      <c r="U196" s="579">
        <f>[5]RC!$E76</f>
        <v>1199030</v>
      </c>
      <c r="V196" s="447">
        <v>36130</v>
      </c>
      <c r="W196" s="95">
        <f t="shared" si="174"/>
        <v>982</v>
      </c>
      <c r="X196" s="104">
        <f t="shared" si="175"/>
        <v>1152010</v>
      </c>
      <c r="Y196" s="198">
        <f t="shared" si="221"/>
        <v>7362</v>
      </c>
      <c r="Z196" s="176">
        <f t="shared" si="189"/>
        <v>1159372</v>
      </c>
      <c r="AA196" s="116">
        <f t="shared" si="176"/>
        <v>30516</v>
      </c>
      <c r="AB196" s="517">
        <f t="shared" si="190"/>
        <v>1159372</v>
      </c>
      <c r="AC196" s="110">
        <f>'[7]Gov 65 &amp; 70'!$B281</f>
        <v>31.65</v>
      </c>
      <c r="AD196" s="89">
        <f t="shared" si="177"/>
        <v>1114316</v>
      </c>
      <c r="AE196" s="89">
        <f t="shared" si="200"/>
        <v>33796</v>
      </c>
      <c r="AF196" s="89">
        <f t="shared" si="178"/>
        <v>935.8</v>
      </c>
      <c r="AG196" s="91">
        <f t="shared" si="230"/>
        <v>8.8999999999999773</v>
      </c>
      <c r="AH196" s="252"/>
      <c r="AI196" s="304">
        <f t="shared" si="224"/>
        <v>0.42692493925294034</v>
      </c>
      <c r="AU196" s="89">
        <v>1998</v>
      </c>
      <c r="AV196" s="89">
        <v>12</v>
      </c>
      <c r="AW196" s="300">
        <f>'[8]RES 62 &amp; 67'!$S281</f>
        <v>115.4</v>
      </c>
      <c r="AX196" s="210">
        <f t="shared" si="202"/>
        <v>53.2</v>
      </c>
      <c r="AY196" s="204">
        <f t="shared" si="231"/>
        <v>-62.2</v>
      </c>
      <c r="AZ196" s="300">
        <f>'[8]RES 62 &amp; 67'!$J281</f>
        <v>58.6</v>
      </c>
      <c r="BA196" s="210">
        <f t="shared" si="203"/>
        <v>114.1</v>
      </c>
      <c r="BB196" s="430">
        <f t="shared" si="232"/>
        <v>55.499999999999993</v>
      </c>
      <c r="BC196" s="211">
        <f t="shared" si="193"/>
        <v>-134.352</v>
      </c>
      <c r="BD196" s="211">
        <f t="shared" si="194"/>
        <v>37.942</v>
      </c>
      <c r="BE196" s="211">
        <f t="shared" si="195"/>
        <v>-96.41</v>
      </c>
      <c r="BF196" s="212">
        <f t="shared" si="196"/>
        <v>150.40499999999997</v>
      </c>
      <c r="BG196" s="220">
        <f t="shared" si="197"/>
        <v>54</v>
      </c>
      <c r="BH196" s="89">
        <f t="shared" si="217"/>
        <v>1998</v>
      </c>
      <c r="BI196" s="89">
        <f t="shared" si="218"/>
        <v>12</v>
      </c>
      <c r="BJ196" s="117">
        <f>C196+[4]MWh!$AJ30</f>
        <v>1071400.8193191572</v>
      </c>
      <c r="BK196" s="117">
        <f t="shared" si="206"/>
        <v>6846.6566543637664</v>
      </c>
      <c r="BL196" s="117">
        <f t="shared" si="225"/>
        <v>1064554.1626647934</v>
      </c>
      <c r="BM196" s="199">
        <f t="shared" si="208"/>
        <v>961.45083023033624</v>
      </c>
      <c r="BN196" s="96">
        <f t="shared" si="209"/>
        <v>1127903</v>
      </c>
      <c r="BO196" s="176">
        <f t="shared" si="226"/>
        <v>7254</v>
      </c>
      <c r="BP196" s="117">
        <f t="shared" si="227"/>
        <v>63756.180680842801</v>
      </c>
      <c r="BQ196" s="92">
        <f t="shared" si="211"/>
        <v>899.73271670463043</v>
      </c>
      <c r="BR196" s="92">
        <f t="shared" si="212"/>
        <v>953.27339038746254</v>
      </c>
      <c r="BS196" s="92">
        <f t="shared" si="219"/>
        <v>-0.8389401705187538</v>
      </c>
      <c r="BT196" s="176">
        <f t="shared" si="213"/>
        <v>1135157</v>
      </c>
      <c r="BU196" s="117">
        <f t="shared" si="220"/>
        <v>22912</v>
      </c>
      <c r="BW196" s="529"/>
      <c r="CL196" s="101" t="s">
        <v>85</v>
      </c>
      <c r="CM196" s="101" t="s">
        <v>85</v>
      </c>
      <c r="CN196" s="440" t="s">
        <v>95</v>
      </c>
      <c r="CO196" s="90" t="s">
        <v>86</v>
      </c>
      <c r="CP196" s="90" t="s">
        <v>87</v>
      </c>
      <c r="CQ196" s="90" t="s">
        <v>88</v>
      </c>
      <c r="CR196" s="90" t="s">
        <v>87</v>
      </c>
      <c r="CS196" s="101" t="s">
        <v>89</v>
      </c>
      <c r="CT196" s="90" t="s">
        <v>90</v>
      </c>
      <c r="CU196" s="101" t="s">
        <v>91</v>
      </c>
      <c r="CV196" s="102" t="s">
        <v>92</v>
      </c>
      <c r="CW196" s="101" t="s">
        <v>93</v>
      </c>
      <c r="CX196" s="101" t="s">
        <v>94</v>
      </c>
      <c r="CY196" s="90" t="s">
        <v>95</v>
      </c>
    </row>
    <row r="197" spans="1:103">
      <c r="A197" s="13">
        <v>1999</v>
      </c>
      <c r="B197" s="13">
        <v>1</v>
      </c>
      <c r="C197" s="5">
        <v>1302110</v>
      </c>
      <c r="D197" s="73">
        <v>1205483</v>
      </c>
      <c r="E197" s="5">
        <f t="shared" si="222"/>
        <v>1293087</v>
      </c>
      <c r="F197" s="5">
        <f t="shared" si="223"/>
        <v>1188748</v>
      </c>
      <c r="G197" s="74">
        <f t="shared" si="182"/>
        <v>1087.8</v>
      </c>
      <c r="H197" s="190">
        <v>9023.4009999999998</v>
      </c>
      <c r="I197" s="170">
        <v>16735</v>
      </c>
      <c r="J197" s="230">
        <f>'[7]RES 62 &amp; 67'!$S282</f>
        <v>79</v>
      </c>
      <c r="K197" s="183">
        <f t="shared" si="198"/>
        <v>49.5</v>
      </c>
      <c r="L197" s="233">
        <f t="shared" ref="L197:L202" si="233">(K197-J197)</f>
        <v>-29.5</v>
      </c>
      <c r="M197" s="230">
        <f>'[7]RES 62 &amp; 67'!$J282</f>
        <v>123.2</v>
      </c>
      <c r="N197" s="183">
        <f t="shared" si="199"/>
        <v>131.6</v>
      </c>
      <c r="O197" s="236">
        <f t="shared" ref="O197:O202" si="234">(N197-M197)</f>
        <v>8.3999999999999915</v>
      </c>
      <c r="P197" s="206">
        <f t="shared" si="183"/>
        <v>-63.720000000000006</v>
      </c>
      <c r="Q197" s="208">
        <f t="shared" si="184"/>
        <v>17.995000000000001</v>
      </c>
      <c r="R197" s="467">
        <f t="shared" si="185"/>
        <v>-45.725000000000009</v>
      </c>
      <c r="S197" s="470">
        <f t="shared" si="186"/>
        <v>22.763999999999978</v>
      </c>
      <c r="T197" s="425">
        <f t="shared" si="187"/>
        <v>-23</v>
      </c>
      <c r="U197" s="579">
        <f>[5]RC!$E77</f>
        <v>1207624</v>
      </c>
      <c r="V197" s="447">
        <v>36161</v>
      </c>
      <c r="W197" s="191">
        <f t="shared" si="174"/>
        <v>1064.8</v>
      </c>
      <c r="X197" s="73">
        <f t="shared" si="175"/>
        <v>1265779</v>
      </c>
      <c r="Y197" s="187">
        <f t="shared" si="221"/>
        <v>8772</v>
      </c>
      <c r="Z197" s="175">
        <f t="shared" si="189"/>
        <v>1274551</v>
      </c>
      <c r="AA197" s="40">
        <f t="shared" si="176"/>
        <v>-27559</v>
      </c>
      <c r="AB197" s="379">
        <f t="shared" si="190"/>
        <v>1274551</v>
      </c>
      <c r="AC197" s="107">
        <f>'[7]Gov 65 &amp; 70'!$B282</f>
        <v>31.95</v>
      </c>
      <c r="AD197" s="4">
        <f t="shared" si="177"/>
        <v>1213516</v>
      </c>
      <c r="AE197" s="4">
        <f t="shared" si="200"/>
        <v>-11923</v>
      </c>
      <c r="AF197" s="23">
        <f t="shared" si="178"/>
        <v>1006.7</v>
      </c>
      <c r="AG197" s="75">
        <f t="shared" ref="AG197:AG202" si="235">AF197-AF185</f>
        <v>-33.799999999999955</v>
      </c>
      <c r="AI197" s="303">
        <f t="shared" si="224"/>
        <v>0.49567325537277301</v>
      </c>
      <c r="AU197" s="4">
        <v>1999</v>
      </c>
      <c r="AV197" s="4">
        <v>1</v>
      </c>
      <c r="AW197" s="230">
        <f>'[8]RES 62 &amp; 67'!$S282</f>
        <v>72</v>
      </c>
      <c r="AX197" s="200">
        <f t="shared" si="202"/>
        <v>50.5</v>
      </c>
      <c r="AY197" s="203">
        <f t="shared" si="231"/>
        <v>-21.5</v>
      </c>
      <c r="AZ197" s="230">
        <f>'[8]RES 62 &amp; 67'!$J282</f>
        <v>121.1</v>
      </c>
      <c r="BA197" s="183">
        <f t="shared" si="203"/>
        <v>127.9</v>
      </c>
      <c r="BB197" s="429">
        <f t="shared" si="232"/>
        <v>6.8000000000000114</v>
      </c>
      <c r="BC197" s="206">
        <f t="shared" si="193"/>
        <v>-46.440000000000005</v>
      </c>
      <c r="BD197" s="206">
        <f t="shared" si="194"/>
        <v>13.115</v>
      </c>
      <c r="BE197" s="206">
        <f t="shared" si="195"/>
        <v>-33.325000000000003</v>
      </c>
      <c r="BF197" s="207">
        <f t="shared" si="196"/>
        <v>18.428000000000029</v>
      </c>
      <c r="BG197" s="219">
        <f t="shared" si="197"/>
        <v>-14.9</v>
      </c>
      <c r="BH197" s="4">
        <v>1999</v>
      </c>
      <c r="BI197" s="4">
        <v>1</v>
      </c>
      <c r="BJ197" s="108">
        <f>C197+[4]MWh!$AJ31</f>
        <v>1413710.3479356123</v>
      </c>
      <c r="BK197" s="108">
        <f t="shared" si="206"/>
        <v>9796.7724441656628</v>
      </c>
      <c r="BL197" s="108">
        <f t="shared" si="225"/>
        <v>1403913.5754914465</v>
      </c>
      <c r="BM197" s="189">
        <f t="shared" si="208"/>
        <v>1166.1018401641445</v>
      </c>
      <c r="BN197" s="6">
        <f t="shared" si="209"/>
        <v>1386201</v>
      </c>
      <c r="BO197" s="175">
        <f t="shared" si="226"/>
        <v>9673</v>
      </c>
      <c r="BP197" s="108">
        <f t="shared" si="227"/>
        <v>-17836.347935612197</v>
      </c>
      <c r="BQ197" s="76">
        <f t="shared" si="211"/>
        <v>1172.7335416058229</v>
      </c>
      <c r="BR197" s="76">
        <f t="shared" si="212"/>
        <v>1157.937523797515</v>
      </c>
      <c r="BS197" s="76">
        <f t="shared" si="219"/>
        <v>6.6017310035365426</v>
      </c>
      <c r="BT197" s="175">
        <f t="shared" si="213"/>
        <v>1395874</v>
      </c>
      <c r="BU197" s="108">
        <f t="shared" si="220"/>
        <v>39871</v>
      </c>
      <c r="BW197" s="529"/>
      <c r="CK197" s="165">
        <v>36161</v>
      </c>
      <c r="CL197" s="40">
        <f>BP197+COML!BV197+SPA!BV197</f>
        <v>-42758.347935612197</v>
      </c>
      <c r="CM197" s="40">
        <f>ROUND('[14]1999'!$D32,0)</f>
        <v>-6459</v>
      </c>
      <c r="CN197" s="2">
        <f>CL197-CM197</f>
        <v>-36299.347935612197</v>
      </c>
      <c r="CO197" s="108">
        <f>'[2]FPC wSEB'!$R294</f>
        <v>2854766</v>
      </c>
      <c r="CP197" s="108">
        <f>'[2]FPC wSEB'!$C294-SUM('[2]FPC wSEB'!$K294:$L294)</f>
        <v>2596587</v>
      </c>
      <c r="CQ197" s="108">
        <f>'[2]FPC wSEB'!$T294-'[2]FPC wSEB'!$T293</f>
        <v>43779</v>
      </c>
      <c r="CR197" s="108">
        <f>SUM('[2]FPC wSEB'!$K294:$L294)</f>
        <v>94576</v>
      </c>
      <c r="CS197" s="108">
        <f>('[2]FPC wSEB'!$N294)-CQ197</f>
        <v>-7735</v>
      </c>
      <c r="CT197" s="108">
        <f>'[2]FPC wSEB'!$P294</f>
        <v>13456</v>
      </c>
      <c r="CU197" s="108">
        <f>'[2]FPC wSEB'!$Q294</f>
        <v>114103</v>
      </c>
      <c r="CV197" s="115">
        <f t="shared" ref="CV197:CV202" si="236">CO197-SUM(CP197:CU197)</f>
        <v>0</v>
      </c>
      <c r="CW197" s="108">
        <f>CO197-CT197-CU197+CM197</f>
        <v>2720748</v>
      </c>
      <c r="CX197" s="108">
        <f t="shared" ref="CX197:CX202" si="237">SUM(CP197:CS197)+CL197</f>
        <v>2684448.6520643877</v>
      </c>
      <c r="CY197" s="108">
        <f t="shared" ref="CY197:CY202" si="238">CW197-CX197</f>
        <v>36299.347935612313</v>
      </c>
    </row>
    <row r="198" spans="1:103">
      <c r="A198" s="13">
        <v>1999</v>
      </c>
      <c r="B198" s="13">
        <v>2</v>
      </c>
      <c r="C198" s="5">
        <v>1029004</v>
      </c>
      <c r="D198" s="73">
        <v>1213771</v>
      </c>
      <c r="E198" s="5">
        <f t="shared" si="222"/>
        <v>1021096</v>
      </c>
      <c r="F198" s="5">
        <f t="shared" si="223"/>
        <v>1196826</v>
      </c>
      <c r="G198" s="74">
        <f t="shared" si="182"/>
        <v>853.2</v>
      </c>
      <c r="H198" s="190">
        <v>7907.7520000000004</v>
      </c>
      <c r="I198" s="170">
        <v>16945</v>
      </c>
      <c r="J198" s="230">
        <f>'[7]RES 62 &amp; 67'!$S283</f>
        <v>86.7</v>
      </c>
      <c r="K198" s="183">
        <f t="shared" si="198"/>
        <v>43.3</v>
      </c>
      <c r="L198" s="233">
        <f t="shared" si="233"/>
        <v>-43.400000000000006</v>
      </c>
      <c r="M198" s="230">
        <f>'[7]RES 62 &amp; 67'!$J283</f>
        <v>65.599999999999994</v>
      </c>
      <c r="N198" s="183">
        <f t="shared" si="199"/>
        <v>127.9</v>
      </c>
      <c r="O198" s="236">
        <f t="shared" si="234"/>
        <v>62.300000000000011</v>
      </c>
      <c r="P198" s="206">
        <f t="shared" si="183"/>
        <v>-93.744000000000014</v>
      </c>
      <c r="Q198" s="208">
        <f t="shared" si="184"/>
        <v>26.474000000000004</v>
      </c>
      <c r="R198" s="467">
        <f t="shared" si="185"/>
        <v>-67.27000000000001</v>
      </c>
      <c r="S198" s="470">
        <f t="shared" si="186"/>
        <v>168.83300000000003</v>
      </c>
      <c r="T198" s="425">
        <f t="shared" si="187"/>
        <v>101.6</v>
      </c>
      <c r="U198" s="579">
        <f>[5]RC!$E78</f>
        <v>1212931</v>
      </c>
      <c r="V198" s="447">
        <v>36192</v>
      </c>
      <c r="W198" s="191">
        <f t="shared" si="174"/>
        <v>954.80000000000007</v>
      </c>
      <c r="X198" s="73">
        <f t="shared" si="175"/>
        <v>1142729</v>
      </c>
      <c r="Y198" s="187">
        <f t="shared" si="221"/>
        <v>8782</v>
      </c>
      <c r="Z198" s="175">
        <f t="shared" si="189"/>
        <v>1151511</v>
      </c>
      <c r="AA198" s="40">
        <f t="shared" si="176"/>
        <v>122507</v>
      </c>
      <c r="AB198" s="379">
        <f t="shared" si="190"/>
        <v>1151511</v>
      </c>
      <c r="AC198" s="107">
        <f>'[7]Gov 65 &amp; 70'!$B283</f>
        <v>29.55</v>
      </c>
      <c r="AD198" s="4">
        <f t="shared" si="177"/>
        <v>1185413</v>
      </c>
      <c r="AE198" s="4">
        <f t="shared" si="200"/>
        <v>-51590</v>
      </c>
      <c r="AF198" s="23">
        <f t="shared" si="178"/>
        <v>976.6</v>
      </c>
      <c r="AG198" s="75">
        <f t="shared" si="235"/>
        <v>-53.199999999999932</v>
      </c>
      <c r="AI198" s="303">
        <f t="shared" si="224"/>
        <v>0.5469663649403762</v>
      </c>
      <c r="AU198" s="4">
        <v>1999</v>
      </c>
      <c r="AV198" s="4">
        <v>2</v>
      </c>
      <c r="AW198" s="230">
        <f>'[8]RES 62 &amp; 67'!$S283</f>
        <v>65.2</v>
      </c>
      <c r="AX198" s="200">
        <f t="shared" si="202"/>
        <v>59.2</v>
      </c>
      <c r="AY198" s="203">
        <f t="shared" si="231"/>
        <v>-6</v>
      </c>
      <c r="AZ198" s="230">
        <f>'[8]RES 62 &amp; 67'!$J283</f>
        <v>93.3</v>
      </c>
      <c r="BA198" s="183">
        <f t="shared" si="203"/>
        <v>97.8</v>
      </c>
      <c r="BB198" s="429">
        <f t="shared" si="232"/>
        <v>4.5</v>
      </c>
      <c r="BC198" s="206">
        <f t="shared" si="193"/>
        <v>-12.96</v>
      </c>
      <c r="BD198" s="206">
        <f t="shared" si="194"/>
        <v>3.66</v>
      </c>
      <c r="BE198" s="206">
        <f t="shared" si="195"/>
        <v>-9.3000000000000007</v>
      </c>
      <c r="BF198" s="207">
        <f t="shared" si="196"/>
        <v>12.195</v>
      </c>
      <c r="BG198" s="219">
        <f t="shared" si="197"/>
        <v>2.9</v>
      </c>
      <c r="BH198" s="4">
        <v>1999</v>
      </c>
      <c r="BI198" s="4">
        <v>2</v>
      </c>
      <c r="BJ198" s="108">
        <f>C198+[4]MWh!$AJ32</f>
        <v>924096.9414669032</v>
      </c>
      <c r="BK198" s="108">
        <f t="shared" si="206"/>
        <v>7101.555909480222</v>
      </c>
      <c r="BL198" s="108">
        <f t="shared" si="225"/>
        <v>916995.385557423</v>
      </c>
      <c r="BM198" s="189">
        <f t="shared" si="208"/>
        <v>769.08939224032804</v>
      </c>
      <c r="BN198" s="6">
        <f t="shared" si="209"/>
        <v>920466</v>
      </c>
      <c r="BO198" s="175">
        <f t="shared" si="226"/>
        <v>7128</v>
      </c>
      <c r="BP198" s="108">
        <f t="shared" si="227"/>
        <v>3497.0585330967815</v>
      </c>
      <c r="BQ198" s="76">
        <f t="shared" si="211"/>
        <v>761.34373079180773</v>
      </c>
      <c r="BR198" s="76">
        <f t="shared" si="212"/>
        <v>764.2248826178909</v>
      </c>
      <c r="BS198" s="76">
        <f t="shared" si="219"/>
        <v>-178.82150697610757</v>
      </c>
      <c r="BT198" s="175">
        <f t="shared" si="213"/>
        <v>927594</v>
      </c>
      <c r="BU198" s="108">
        <f t="shared" si="220"/>
        <v>-205149</v>
      </c>
      <c r="BW198" s="529"/>
      <c r="CK198" s="165">
        <v>36192</v>
      </c>
      <c r="CL198" s="40">
        <f>BP198+COML!BV198+SPA!BV198</f>
        <v>-2680.9414669032185</v>
      </c>
      <c r="CM198" s="40">
        <f>ROUND('[14]1999'!$D33,0)</f>
        <v>8120</v>
      </c>
      <c r="CN198" s="2">
        <f t="shared" ref="CN198:CN249" si="239">CL198-CM198</f>
        <v>-10800.941466903219</v>
      </c>
      <c r="CO198" s="108">
        <f>'[2]FPC wSEB'!$R295</f>
        <v>2510624</v>
      </c>
      <c r="CP198" s="108">
        <f>'[2]FPC wSEB'!$C295-SUM('[2]FPC wSEB'!$K295:$L295)</f>
        <v>2269764</v>
      </c>
      <c r="CQ198" s="108">
        <f>'[2]FPC wSEB'!$T295-'[2]FPC wSEB'!$T294</f>
        <v>-68165</v>
      </c>
      <c r="CR198" s="108">
        <f>SUM('[2]FPC wSEB'!$K295:$L295)</f>
        <v>99280</v>
      </c>
      <c r="CS198" s="108">
        <f>('[2]FPC wSEB'!$N295)-CQ198</f>
        <v>-41258</v>
      </c>
      <c r="CT198" s="108">
        <f>'[2]FPC wSEB'!$P295</f>
        <v>7889</v>
      </c>
      <c r="CU198" s="108">
        <f>'[2]FPC wSEB'!$Q295</f>
        <v>243114</v>
      </c>
      <c r="CV198" s="115">
        <f t="shared" si="236"/>
        <v>0</v>
      </c>
      <c r="CW198" s="108">
        <f>CO198-CT198-CU198+CM198</f>
        <v>2267741</v>
      </c>
      <c r="CX198" s="108">
        <f t="shared" si="237"/>
        <v>2256940.0585330967</v>
      </c>
      <c r="CY198" s="108">
        <f t="shared" si="238"/>
        <v>10800.941466903314</v>
      </c>
    </row>
    <row r="199" spans="1:103">
      <c r="A199" s="13">
        <v>1999</v>
      </c>
      <c r="B199" s="13">
        <v>3</v>
      </c>
      <c r="C199" s="5">
        <v>1087726</v>
      </c>
      <c r="D199" s="73">
        <v>1203884</v>
      </c>
      <c r="E199" s="5">
        <f t="shared" si="222"/>
        <v>1078343</v>
      </c>
      <c r="F199" s="5">
        <f t="shared" si="223"/>
        <v>1186016</v>
      </c>
      <c r="G199" s="74">
        <f t="shared" si="182"/>
        <v>909.2</v>
      </c>
      <c r="H199" s="190">
        <v>9383.1990000000005</v>
      </c>
      <c r="I199" s="170">
        <v>17868</v>
      </c>
      <c r="J199" s="230">
        <f>'[7]RES 62 &amp; 67'!$S284</f>
        <v>53.4</v>
      </c>
      <c r="K199" s="183">
        <f t="shared" si="198"/>
        <v>77.2</v>
      </c>
      <c r="L199" s="233">
        <f t="shared" si="233"/>
        <v>23.800000000000004</v>
      </c>
      <c r="M199" s="230">
        <f>'[7]RES 62 &amp; 67'!$J284</f>
        <v>108.8</v>
      </c>
      <c r="N199" s="183">
        <f t="shared" si="199"/>
        <v>82.3</v>
      </c>
      <c r="O199" s="236">
        <f t="shared" si="234"/>
        <v>-26.5</v>
      </c>
      <c r="P199" s="206">
        <f t="shared" si="183"/>
        <v>51.408000000000015</v>
      </c>
      <c r="Q199" s="208">
        <f t="shared" si="184"/>
        <v>-14.518000000000002</v>
      </c>
      <c r="R199" s="467">
        <f t="shared" si="185"/>
        <v>36.890000000000015</v>
      </c>
      <c r="S199" s="470">
        <f t="shared" si="186"/>
        <v>-71.814999999999998</v>
      </c>
      <c r="T199" s="425">
        <f t="shared" si="187"/>
        <v>-34.9</v>
      </c>
      <c r="U199" s="579">
        <f>[5]RC!$E79</f>
        <v>1214904</v>
      </c>
      <c r="V199" s="447">
        <v>36220</v>
      </c>
      <c r="W199" s="191">
        <f t="shared" si="174"/>
        <v>874.30000000000007</v>
      </c>
      <c r="X199" s="73">
        <f t="shared" si="175"/>
        <v>1036934</v>
      </c>
      <c r="Y199" s="187">
        <f t="shared" si="221"/>
        <v>8945</v>
      </c>
      <c r="Z199" s="175">
        <f t="shared" si="189"/>
        <v>1045879</v>
      </c>
      <c r="AA199" s="40">
        <f t="shared" si="176"/>
        <v>-41847</v>
      </c>
      <c r="AB199" s="379">
        <f t="shared" si="190"/>
        <v>1045879</v>
      </c>
      <c r="AC199" s="107">
        <f>'[7]Gov 65 &amp; 70'!$B284</f>
        <v>29.4</v>
      </c>
      <c r="AD199" s="4">
        <f t="shared" si="177"/>
        <v>1082165</v>
      </c>
      <c r="AE199" s="4">
        <f t="shared" si="200"/>
        <v>-30265</v>
      </c>
      <c r="AF199" s="23">
        <f t="shared" si="178"/>
        <v>898.9</v>
      </c>
      <c r="AG199" s="75">
        <f t="shared" si="235"/>
        <v>-42.200000000000045</v>
      </c>
      <c r="AI199" s="303">
        <f t="shared" si="224"/>
        <v>0.57758453471815752</v>
      </c>
      <c r="AU199" s="4">
        <v>1999</v>
      </c>
      <c r="AV199" s="4">
        <v>3</v>
      </c>
      <c r="AW199" s="230">
        <f>'[8]RES 62 &amp; 67'!$S284</f>
        <v>73.7</v>
      </c>
      <c r="AX199" s="200">
        <f t="shared" si="202"/>
        <v>105.8</v>
      </c>
      <c r="AY199" s="203">
        <f t="shared" si="231"/>
        <v>32.099999999999994</v>
      </c>
      <c r="AZ199" s="230">
        <f>'[8]RES 62 &amp; 67'!$J284</f>
        <v>76.8</v>
      </c>
      <c r="BA199" s="183">
        <f t="shared" si="203"/>
        <v>49.9</v>
      </c>
      <c r="BB199" s="429">
        <f t="shared" si="232"/>
        <v>-26.9</v>
      </c>
      <c r="BC199" s="206">
        <f t="shared" si="193"/>
        <v>69.335999999999999</v>
      </c>
      <c r="BD199" s="206">
        <f t="shared" si="194"/>
        <v>-19.580999999999996</v>
      </c>
      <c r="BE199" s="206">
        <f t="shared" si="195"/>
        <v>49.755000000000003</v>
      </c>
      <c r="BF199" s="207">
        <f t="shared" si="196"/>
        <v>-72.899000000000001</v>
      </c>
      <c r="BG199" s="219">
        <f t="shared" si="197"/>
        <v>-23.1</v>
      </c>
      <c r="BH199" s="4">
        <v>1999</v>
      </c>
      <c r="BI199" s="4">
        <v>3</v>
      </c>
      <c r="BJ199" s="108">
        <f>C199+[4]MWh!$AJ33</f>
        <v>1134013.8234264841</v>
      </c>
      <c r="BK199" s="108">
        <f t="shared" si="206"/>
        <v>9782.4979580901472</v>
      </c>
      <c r="BL199" s="108">
        <f t="shared" si="225"/>
        <v>1124231.325468394</v>
      </c>
      <c r="BM199" s="189">
        <f t="shared" si="208"/>
        <v>924.8056989689801</v>
      </c>
      <c r="BN199" s="6">
        <f t="shared" si="209"/>
        <v>1096834</v>
      </c>
      <c r="BO199" s="175">
        <f t="shared" si="226"/>
        <v>9544</v>
      </c>
      <c r="BP199" s="108">
        <f t="shared" si="227"/>
        <v>-27635.823426484123</v>
      </c>
      <c r="BQ199" s="76">
        <f t="shared" si="211"/>
        <v>941.96270024893101</v>
      </c>
      <c r="BR199" s="76">
        <f t="shared" si="212"/>
        <v>919.00714686797073</v>
      </c>
      <c r="BS199" s="76">
        <f t="shared" si="219"/>
        <v>60.856308666455448</v>
      </c>
      <c r="BT199" s="175">
        <f t="shared" si="213"/>
        <v>1106378</v>
      </c>
      <c r="BU199" s="108">
        <f t="shared" si="220"/>
        <v>92048</v>
      </c>
      <c r="BW199" s="529"/>
      <c r="CK199" s="165">
        <v>36220</v>
      </c>
      <c r="CL199" s="40">
        <f>BP199+COML!BV199+SPA!BV199</f>
        <v>-2717.823426484123</v>
      </c>
      <c r="CM199" s="40">
        <f>ROUND('[14]1999'!$D34,0)</f>
        <v>52878</v>
      </c>
      <c r="CN199" s="2">
        <f t="shared" si="239"/>
        <v>-55595.823426484123</v>
      </c>
      <c r="CO199" s="108">
        <f>'[2]FPC wSEB'!$R296</f>
        <v>2658459</v>
      </c>
      <c r="CP199" s="108">
        <f>'[2]FPC wSEB'!$C296-SUM('[2]FPC wSEB'!$K296:$L296)</f>
        <v>2318075</v>
      </c>
      <c r="CQ199" s="108">
        <f>'[2]FPC wSEB'!$T296-'[2]FPC wSEB'!$T295</f>
        <v>48890</v>
      </c>
      <c r="CR199" s="108">
        <f>SUM('[2]FPC wSEB'!$K296:$L296)</f>
        <v>249056</v>
      </c>
      <c r="CS199" s="108">
        <f>('[2]FPC wSEB'!$N296)-CQ199</f>
        <v>9013</v>
      </c>
      <c r="CT199" s="108">
        <f>'[2]FPC wSEB'!$P296</f>
        <v>10248</v>
      </c>
      <c r="CU199" s="108">
        <f>'[2]FPC wSEB'!$Q296</f>
        <v>23177</v>
      </c>
      <c r="CV199" s="115">
        <f t="shared" si="236"/>
        <v>0</v>
      </c>
      <c r="CW199" s="108">
        <f t="shared" ref="CW199:CW240" si="240">CO199-CT199-CU199+CM199</f>
        <v>2677912</v>
      </c>
      <c r="CX199" s="108">
        <f t="shared" si="237"/>
        <v>2622316.1765735159</v>
      </c>
      <c r="CY199" s="108">
        <f t="shared" si="238"/>
        <v>55595.82342648413</v>
      </c>
    </row>
    <row r="200" spans="1:103">
      <c r="A200" s="13">
        <v>1999</v>
      </c>
      <c r="B200" s="13">
        <v>4</v>
      </c>
      <c r="C200" s="5">
        <v>1110313</v>
      </c>
      <c r="D200" s="73">
        <v>1206152</v>
      </c>
      <c r="E200" s="5">
        <f t="shared" si="222"/>
        <v>1100464</v>
      </c>
      <c r="F200" s="5">
        <f t="shared" si="223"/>
        <v>1184485</v>
      </c>
      <c r="G200" s="74">
        <f t="shared" si="182"/>
        <v>929.1</v>
      </c>
      <c r="H200" s="190">
        <v>9849.0920000000006</v>
      </c>
      <c r="I200" s="170">
        <v>21667</v>
      </c>
      <c r="J200" s="230">
        <f>'[7]RES 62 &amp; 67'!$S285</f>
        <v>153.4</v>
      </c>
      <c r="K200" s="183">
        <f t="shared" si="198"/>
        <v>138.1</v>
      </c>
      <c r="L200" s="233">
        <f t="shared" si="233"/>
        <v>-15.300000000000011</v>
      </c>
      <c r="M200" s="230">
        <f>'[7]RES 62 &amp; 67'!$J285</f>
        <v>43.4</v>
      </c>
      <c r="N200" s="183">
        <f t="shared" si="199"/>
        <v>37.299999999999997</v>
      </c>
      <c r="O200" s="236">
        <f t="shared" si="234"/>
        <v>-6.1000000000000014</v>
      </c>
      <c r="P200" s="206">
        <f t="shared" si="183"/>
        <v>-33.04800000000003</v>
      </c>
      <c r="Q200" s="208">
        <f t="shared" si="184"/>
        <v>9.3330000000000073</v>
      </c>
      <c r="R200" s="467">
        <f t="shared" si="185"/>
        <v>-23.715000000000025</v>
      </c>
      <c r="S200" s="470">
        <f t="shared" si="186"/>
        <v>-16.531000000000002</v>
      </c>
      <c r="T200" s="425">
        <f t="shared" si="187"/>
        <v>-40.200000000000003</v>
      </c>
      <c r="U200" s="579">
        <f>[5]RC!$E80</f>
        <v>1208871</v>
      </c>
      <c r="V200" s="447">
        <v>36251</v>
      </c>
      <c r="W200" s="191">
        <f t="shared" si="174"/>
        <v>888.9</v>
      </c>
      <c r="X200" s="73">
        <f t="shared" si="175"/>
        <v>1052889</v>
      </c>
      <c r="Y200" s="187">
        <f t="shared" si="221"/>
        <v>9340</v>
      </c>
      <c r="Z200" s="175">
        <f t="shared" si="189"/>
        <v>1062229</v>
      </c>
      <c r="AA200" s="40">
        <f t="shared" si="176"/>
        <v>-48084</v>
      </c>
      <c r="AB200" s="379">
        <f t="shared" si="190"/>
        <v>1062229</v>
      </c>
      <c r="AC200" s="107">
        <f>'[7]Gov 65 &amp; 70'!$B285</f>
        <v>30.6</v>
      </c>
      <c r="AD200" s="4">
        <f t="shared" si="177"/>
        <v>1055981</v>
      </c>
      <c r="AE200" s="4">
        <f t="shared" si="200"/>
        <v>-7982</v>
      </c>
      <c r="AF200" s="23">
        <f t="shared" si="178"/>
        <v>875.5</v>
      </c>
      <c r="AG200" s="75">
        <f t="shared" si="235"/>
        <v>-10.899999999999977</v>
      </c>
      <c r="AI200" s="303">
        <f t="shared" si="224"/>
        <v>0.48925463738301594</v>
      </c>
      <c r="AU200" s="4">
        <v>1999</v>
      </c>
      <c r="AV200" s="4">
        <v>4</v>
      </c>
      <c r="AW200" s="230">
        <f>'[8]RES 62 &amp; 67'!$S285</f>
        <v>251.4</v>
      </c>
      <c r="AX200" s="200">
        <f t="shared" si="202"/>
        <v>181.7</v>
      </c>
      <c r="AY200" s="203">
        <f t="shared" ref="AY200:AY205" si="241">AX200-AW200</f>
        <v>-69.700000000000017</v>
      </c>
      <c r="AZ200" s="230">
        <f>'[8]RES 62 &amp; 67'!$J285</f>
        <v>13.8</v>
      </c>
      <c r="BA200" s="183">
        <f t="shared" si="203"/>
        <v>21.5</v>
      </c>
      <c r="BB200" s="429">
        <f t="shared" ref="BB200:BB205" si="242">BA200-AZ200</f>
        <v>7.6999999999999993</v>
      </c>
      <c r="BC200" s="206">
        <f t="shared" si="193"/>
        <v>-150.55200000000005</v>
      </c>
      <c r="BD200" s="206">
        <f t="shared" si="194"/>
        <v>21.258500000000005</v>
      </c>
      <c r="BE200" s="206">
        <f t="shared" si="195"/>
        <v>-129.29350000000005</v>
      </c>
      <c r="BF200" s="207">
        <f t="shared" si="196"/>
        <v>20.866999999999997</v>
      </c>
      <c r="BG200" s="219">
        <f t="shared" si="197"/>
        <v>-108.4</v>
      </c>
      <c r="BH200" s="4">
        <v>1999</v>
      </c>
      <c r="BI200" s="4">
        <v>4</v>
      </c>
      <c r="BJ200" s="108">
        <f>C200+[4]MWh!$AJ34</f>
        <v>1127973.3318829988</v>
      </c>
      <c r="BK200" s="108">
        <f t="shared" si="206"/>
        <v>10005.748936797272</v>
      </c>
      <c r="BL200" s="108">
        <f t="shared" si="225"/>
        <v>1117967.5829462016</v>
      </c>
      <c r="BM200" s="189">
        <f t="shared" si="208"/>
        <v>835.44275271210824</v>
      </c>
      <c r="BN200" s="6">
        <f t="shared" si="209"/>
        <v>989569</v>
      </c>
      <c r="BO200" s="175">
        <f t="shared" si="226"/>
        <v>8857</v>
      </c>
      <c r="BP200" s="108">
        <f t="shared" si="227"/>
        <v>-129547.33188299883</v>
      </c>
      <c r="BQ200" s="76">
        <f t="shared" si="211"/>
        <v>935.18340298983787</v>
      </c>
      <c r="BR200" s="76">
        <f t="shared" si="212"/>
        <v>827.77792517029354</v>
      </c>
      <c r="BS200" s="76">
        <f t="shared" si="219"/>
        <v>-69.253894496046541</v>
      </c>
      <c r="BT200" s="175">
        <f t="shared" ref="BT200:BT231" si="243">(BN200+BO200)</f>
        <v>998426</v>
      </c>
      <c r="BU200" s="108">
        <f t="shared" si="220"/>
        <v>-78249</v>
      </c>
      <c r="BW200" s="529"/>
      <c r="CK200" s="165">
        <v>36251</v>
      </c>
      <c r="CL200" s="40">
        <f>BP200+COML!BV200+SPA!BV200</f>
        <v>-192291.33188299881</v>
      </c>
      <c r="CM200" s="40">
        <f>ROUND('[14]1999'!$D35,0)</f>
        <v>-200629</v>
      </c>
      <c r="CN200" s="2">
        <f t="shared" si="239"/>
        <v>8337.6681170011871</v>
      </c>
      <c r="CO200" s="108">
        <f>'[2]FPC wSEB'!$R297</f>
        <v>3116477</v>
      </c>
      <c r="CP200" s="108">
        <f>'[2]FPC wSEB'!$C297-SUM('[2]FPC wSEB'!$K297:$L297)</f>
        <v>2491696</v>
      </c>
      <c r="CQ200" s="108">
        <f>'[2]FPC wSEB'!$T297-'[2]FPC wSEB'!$T296</f>
        <v>120174</v>
      </c>
      <c r="CR200" s="108">
        <f>SUM('[2]FPC wSEB'!$K297:$L297)</f>
        <v>139252</v>
      </c>
      <c r="CS200" s="108">
        <f>('[2]FPC wSEB'!$N297)-CQ200</f>
        <v>180260</v>
      </c>
      <c r="CT200" s="108">
        <f>'[2]FPC wSEB'!$P297</f>
        <v>8342</v>
      </c>
      <c r="CU200" s="108">
        <f>'[2]FPC wSEB'!$Q297</f>
        <v>176753</v>
      </c>
      <c r="CV200" s="115">
        <f t="shared" si="236"/>
        <v>0</v>
      </c>
      <c r="CW200" s="108">
        <f t="shared" si="240"/>
        <v>2730753</v>
      </c>
      <c r="CX200" s="108">
        <f t="shared" si="237"/>
        <v>2739090.6681170012</v>
      </c>
      <c r="CY200" s="108">
        <f t="shared" si="238"/>
        <v>-8337.6681170011871</v>
      </c>
    </row>
    <row r="201" spans="1:103">
      <c r="A201" s="13">
        <v>1999</v>
      </c>
      <c r="B201" s="13">
        <v>5</v>
      </c>
      <c r="C201" s="5">
        <v>1222923</v>
      </c>
      <c r="D201" s="73">
        <v>1224449</v>
      </c>
      <c r="E201" s="5">
        <f t="shared" si="222"/>
        <v>1215179</v>
      </c>
      <c r="F201" s="5">
        <f t="shared" si="223"/>
        <v>1197853</v>
      </c>
      <c r="G201" s="74">
        <f t="shared" si="182"/>
        <v>1014.5</v>
      </c>
      <c r="H201" s="190">
        <v>7744.2219999999998</v>
      </c>
      <c r="I201" s="170">
        <v>26596</v>
      </c>
      <c r="J201" s="230">
        <f>'[7]RES 62 &amp; 67'!$S286</f>
        <v>241.8</v>
      </c>
      <c r="K201" s="183">
        <f t="shared" si="198"/>
        <v>224.4</v>
      </c>
      <c r="L201" s="233">
        <f t="shared" si="233"/>
        <v>-17.400000000000006</v>
      </c>
      <c r="M201" s="230">
        <f>'[7]RES 62 &amp; 67'!$J286</f>
        <v>14.7</v>
      </c>
      <c r="N201" s="183">
        <f t="shared" si="199"/>
        <v>11.2</v>
      </c>
      <c r="O201" s="236">
        <f t="shared" si="234"/>
        <v>-3.5</v>
      </c>
      <c r="P201" s="206">
        <f t="shared" si="183"/>
        <v>-37.584000000000017</v>
      </c>
      <c r="Q201" s="208">
        <f t="shared" si="184"/>
        <v>0</v>
      </c>
      <c r="R201" s="467">
        <f t="shared" si="185"/>
        <v>-37.584000000000017</v>
      </c>
      <c r="S201" s="470">
        <f t="shared" si="186"/>
        <v>-9.4849999999999994</v>
      </c>
      <c r="T201" s="425">
        <f t="shared" si="187"/>
        <v>-47.1</v>
      </c>
      <c r="U201" s="579">
        <f>[5]RC!$E81</f>
        <v>1199994</v>
      </c>
      <c r="V201" s="447">
        <v>36281</v>
      </c>
      <c r="W201" s="191">
        <f t="shared" si="174"/>
        <v>967.4</v>
      </c>
      <c r="X201" s="73">
        <f t="shared" si="175"/>
        <v>1158803</v>
      </c>
      <c r="Y201" s="187">
        <f t="shared" si="221"/>
        <v>7338</v>
      </c>
      <c r="Z201" s="175">
        <f t="shared" si="189"/>
        <v>1166141</v>
      </c>
      <c r="AA201" s="40">
        <f t="shared" si="176"/>
        <v>-56782</v>
      </c>
      <c r="AB201" s="379">
        <f t="shared" si="190"/>
        <v>1166141</v>
      </c>
      <c r="AC201" s="107">
        <f>'[7]Gov 65 &amp; 70'!$B286</f>
        <v>29.6</v>
      </c>
      <c r="AD201" s="4">
        <f t="shared" si="177"/>
        <v>1198446</v>
      </c>
      <c r="AE201" s="4">
        <f t="shared" si="200"/>
        <v>80779</v>
      </c>
      <c r="AF201" s="23">
        <f t="shared" si="178"/>
        <v>978.8</v>
      </c>
      <c r="AG201" s="75">
        <f t="shared" si="235"/>
        <v>16.199999999999932</v>
      </c>
      <c r="AI201" s="303">
        <f t="shared" si="224"/>
        <v>0.28701818814436869</v>
      </c>
      <c r="AU201" s="4">
        <v>1999</v>
      </c>
      <c r="AV201" s="4">
        <v>5</v>
      </c>
      <c r="AW201" s="230">
        <f>'[8]RES 62 &amp; 67'!$S286</f>
        <v>306.10000000000002</v>
      </c>
      <c r="AX201" s="200">
        <f t="shared" si="202"/>
        <v>336.7</v>
      </c>
      <c r="AY201" s="203">
        <f t="shared" si="241"/>
        <v>30.599999999999966</v>
      </c>
      <c r="AZ201" s="230">
        <f>'[8]RES 62 &amp; 67'!$J286</f>
        <v>5.8</v>
      </c>
      <c r="BA201" s="183">
        <f t="shared" si="203"/>
        <v>2.1</v>
      </c>
      <c r="BB201" s="429">
        <f t="shared" si="242"/>
        <v>-3.6999999999999997</v>
      </c>
      <c r="BC201" s="206">
        <f t="shared" si="193"/>
        <v>66.095999999999933</v>
      </c>
      <c r="BD201" s="206">
        <f t="shared" si="194"/>
        <v>0</v>
      </c>
      <c r="BE201" s="206">
        <f t="shared" si="195"/>
        <v>66.095999999999933</v>
      </c>
      <c r="BF201" s="207">
        <f t="shared" si="196"/>
        <v>-10.026999999999999</v>
      </c>
      <c r="BG201" s="219">
        <f t="shared" si="197"/>
        <v>56.1</v>
      </c>
      <c r="BH201" s="4">
        <v>1999</v>
      </c>
      <c r="BI201" s="4">
        <v>5</v>
      </c>
      <c r="BJ201" s="108">
        <f>C201+[4]MWh!$AJ35</f>
        <v>1357369.4333607818</v>
      </c>
      <c r="BK201" s="108">
        <f t="shared" si="206"/>
        <v>8595.6108667185908</v>
      </c>
      <c r="BL201" s="108">
        <f t="shared" si="225"/>
        <v>1348773.8224940631</v>
      </c>
      <c r="BM201" s="189">
        <f t="shared" si="208"/>
        <v>1182.0927741501359</v>
      </c>
      <c r="BN201" s="6">
        <f t="shared" si="209"/>
        <v>1415973</v>
      </c>
      <c r="BO201" s="175">
        <f t="shared" si="226"/>
        <v>9024</v>
      </c>
      <c r="BP201" s="108">
        <f t="shared" si="227"/>
        <v>67627.566639218348</v>
      </c>
      <c r="BQ201" s="76">
        <f t="shared" si="211"/>
        <v>1108.5553039455149</v>
      </c>
      <c r="BR201" s="76">
        <f t="shared" si="212"/>
        <v>1163.7863234810106</v>
      </c>
      <c r="BS201" s="76">
        <f t="shared" si="219"/>
        <v>100.52465220089471</v>
      </c>
      <c r="BT201" s="175">
        <f t="shared" si="243"/>
        <v>1424997</v>
      </c>
      <c r="BU201" s="108">
        <f t="shared" si="220"/>
        <v>190446</v>
      </c>
      <c r="BW201" s="529"/>
      <c r="CK201" s="165">
        <v>36281</v>
      </c>
      <c r="CL201" s="40">
        <f>BP201+COML!BV201+SPA!BV201</f>
        <v>95758.566639218348</v>
      </c>
      <c r="CM201" s="40">
        <f>ROUND('[14]1999'!$D36,0)</f>
        <v>183807</v>
      </c>
      <c r="CN201" s="2">
        <f t="shared" si="239"/>
        <v>-88048.433360781652</v>
      </c>
      <c r="CO201" s="108">
        <f>'[2]FPC wSEB'!$R298</f>
        <v>3296365</v>
      </c>
      <c r="CP201" s="108">
        <f>'[2]FPC wSEB'!$C298-SUM('[2]FPC wSEB'!$K298:$L298)</f>
        <v>2630881</v>
      </c>
      <c r="CQ201" s="108">
        <f>'[2]FPC wSEB'!$T298-'[2]FPC wSEB'!$T297</f>
        <v>221439</v>
      </c>
      <c r="CR201" s="108">
        <f>SUM('[2]FPC wSEB'!$K298:$L298)</f>
        <v>68751</v>
      </c>
      <c r="CS201" s="108">
        <f>('[2]FPC wSEB'!$N298)-CQ201</f>
        <v>213877</v>
      </c>
      <c r="CT201" s="108">
        <f>'[2]FPC wSEB'!$P298</f>
        <v>7275</v>
      </c>
      <c r="CU201" s="108">
        <f>'[2]FPC wSEB'!$Q298</f>
        <v>154142</v>
      </c>
      <c r="CV201" s="115">
        <f t="shared" si="236"/>
        <v>0</v>
      </c>
      <c r="CW201" s="108">
        <f t="shared" si="240"/>
        <v>3318755</v>
      </c>
      <c r="CX201" s="108">
        <f t="shared" si="237"/>
        <v>3230706.5666392185</v>
      </c>
      <c r="CY201" s="108">
        <f t="shared" si="238"/>
        <v>88048.433360781521</v>
      </c>
    </row>
    <row r="202" spans="1:103">
      <c r="A202" s="13">
        <v>1999</v>
      </c>
      <c r="B202" s="13">
        <v>6</v>
      </c>
      <c r="C202" s="5">
        <v>1447475</v>
      </c>
      <c r="D202" s="73">
        <v>1176785</v>
      </c>
      <c r="E202" s="5">
        <f t="shared" si="222"/>
        <v>1442887</v>
      </c>
      <c r="F202" s="5">
        <f t="shared" si="223"/>
        <v>1149645</v>
      </c>
      <c r="G202" s="74">
        <f t="shared" si="182"/>
        <v>1255.0999999999999</v>
      </c>
      <c r="H202" s="190">
        <v>4588.2460000000001</v>
      </c>
      <c r="I202" s="170">
        <v>27140</v>
      </c>
      <c r="J202" s="230">
        <f>'[7]RES 62 &amp; 67'!$S287</f>
        <v>361.1</v>
      </c>
      <c r="K202" s="183">
        <f t="shared" si="198"/>
        <v>382.8</v>
      </c>
      <c r="L202" s="233">
        <f t="shared" si="233"/>
        <v>21.699999999999989</v>
      </c>
      <c r="M202" s="230">
        <f>'[7]RES 62 &amp; 67'!$J287</f>
        <v>1.3</v>
      </c>
      <c r="N202" s="183">
        <f t="shared" si="199"/>
        <v>0.9</v>
      </c>
      <c r="O202" s="236">
        <f t="shared" si="234"/>
        <v>-0.4</v>
      </c>
      <c r="P202" s="206">
        <f t="shared" si="183"/>
        <v>46.871999999999979</v>
      </c>
      <c r="Q202" s="208">
        <f t="shared" si="184"/>
        <v>0</v>
      </c>
      <c r="R202" s="467">
        <f t="shared" si="185"/>
        <v>46.871999999999979</v>
      </c>
      <c r="S202" s="470">
        <f t="shared" si="186"/>
        <v>-1.0840000000000001</v>
      </c>
      <c r="T202" s="425">
        <f t="shared" si="187"/>
        <v>45.8</v>
      </c>
      <c r="U202" s="579">
        <f>[5]RC!$E82</f>
        <v>1197127</v>
      </c>
      <c r="V202" s="447">
        <v>36312</v>
      </c>
      <c r="W202" s="191">
        <f t="shared" si="174"/>
        <v>1300.8999999999999</v>
      </c>
      <c r="X202" s="73">
        <f t="shared" si="175"/>
        <v>1495573</v>
      </c>
      <c r="Y202" s="187">
        <f t="shared" si="221"/>
        <v>4741</v>
      </c>
      <c r="Z202" s="175">
        <f t="shared" si="189"/>
        <v>1500314</v>
      </c>
      <c r="AA202" s="40">
        <f t="shared" si="176"/>
        <v>52839</v>
      </c>
      <c r="AB202" s="379">
        <f t="shared" si="190"/>
        <v>1500314</v>
      </c>
      <c r="AC202" s="107">
        <f>'[7]Gov 65 &amp; 70'!$B287</f>
        <v>30.6</v>
      </c>
      <c r="AD202" s="4">
        <f t="shared" si="177"/>
        <v>1491489</v>
      </c>
      <c r="AE202" s="4">
        <f t="shared" si="200"/>
        <v>28134</v>
      </c>
      <c r="AF202" s="23">
        <f t="shared" si="178"/>
        <v>1267.4000000000001</v>
      </c>
      <c r="AG202" s="75">
        <f t="shared" si="235"/>
        <v>14.100000000000136</v>
      </c>
      <c r="AI202" s="303">
        <f t="shared" si="224"/>
        <v>0.13469718566670974</v>
      </c>
      <c r="AU202" s="4">
        <v>1999</v>
      </c>
      <c r="AV202" s="4">
        <v>6</v>
      </c>
      <c r="AW202" s="230">
        <f>'[8]RES 62 &amp; 67'!$S287</f>
        <v>406.3</v>
      </c>
      <c r="AX202" s="200">
        <f t="shared" si="202"/>
        <v>425.2</v>
      </c>
      <c r="AY202" s="203">
        <f t="shared" si="241"/>
        <v>18.899999999999977</v>
      </c>
      <c r="AZ202" s="230">
        <f>'[8]RES 62 &amp; 67'!$J287</f>
        <v>0</v>
      </c>
      <c r="BA202" s="183">
        <f t="shared" si="203"/>
        <v>0</v>
      </c>
      <c r="BB202" s="429">
        <f t="shared" si="242"/>
        <v>0</v>
      </c>
      <c r="BC202" s="206">
        <f t="shared" si="193"/>
        <v>40.823999999999955</v>
      </c>
      <c r="BD202" s="206">
        <f t="shared" si="194"/>
        <v>0</v>
      </c>
      <c r="BE202" s="206">
        <f t="shared" si="195"/>
        <v>40.823999999999955</v>
      </c>
      <c r="BF202" s="207">
        <f t="shared" si="196"/>
        <v>0</v>
      </c>
      <c r="BG202" s="219">
        <f t="shared" si="197"/>
        <v>40.799999999999997</v>
      </c>
      <c r="BH202" s="4">
        <v>1999</v>
      </c>
      <c r="BI202" s="4">
        <v>6</v>
      </c>
      <c r="BJ202" s="108">
        <f>C202+[4]MWh!$AJ36</f>
        <v>1564889.0831776415</v>
      </c>
      <c r="BK202" s="108">
        <f t="shared" si="206"/>
        <v>4960.4283848311588</v>
      </c>
      <c r="BL202" s="108">
        <f t="shared" si="225"/>
        <v>1559928.6547928103</v>
      </c>
      <c r="BM202" s="189">
        <f t="shared" si="208"/>
        <v>1397.6785623325552</v>
      </c>
      <c r="BN202" s="6">
        <f t="shared" si="209"/>
        <v>1606834</v>
      </c>
      <c r="BO202" s="175">
        <f t="shared" si="226"/>
        <v>5110</v>
      </c>
      <c r="BP202" s="108">
        <f t="shared" si="227"/>
        <v>47054.916822358515</v>
      </c>
      <c r="BQ202" s="76">
        <f t="shared" si="211"/>
        <v>1329.8003315623853</v>
      </c>
      <c r="BR202" s="76">
        <f t="shared" si="212"/>
        <v>1369.7863246047496</v>
      </c>
      <c r="BS202" s="76">
        <f t="shared" si="219"/>
        <v>-36.795289083663874</v>
      </c>
      <c r="BT202" s="175">
        <f t="shared" si="243"/>
        <v>1611944</v>
      </c>
      <c r="BU202" s="108">
        <f t="shared" si="220"/>
        <v>-30361</v>
      </c>
      <c r="BW202" s="529"/>
      <c r="CK202" s="165">
        <v>36312</v>
      </c>
      <c r="CL202" s="40">
        <f>BP202+COML!BV202+SPA!BV202</f>
        <v>64384.916822358515</v>
      </c>
      <c r="CM202" s="40">
        <f>ROUND('[14]1999'!$D37,0)</f>
        <v>252268</v>
      </c>
      <c r="CN202" s="2">
        <f t="shared" si="239"/>
        <v>-187883.0831776415</v>
      </c>
      <c r="CO202" s="108">
        <f>'[2]FPC wSEB'!$R299</f>
        <v>3546635</v>
      </c>
      <c r="CP202" s="108">
        <f>'[2]FPC wSEB'!$C299-SUM('[2]FPC wSEB'!$K299:$L299)</f>
        <v>2904604</v>
      </c>
      <c r="CQ202" s="108">
        <f>'[2]FPC wSEB'!$T299-'[2]FPC wSEB'!$T298</f>
        <v>110537</v>
      </c>
      <c r="CR202" s="108">
        <f>SUM('[2]FPC wSEB'!$K299:$L299)</f>
        <v>449664</v>
      </c>
      <c r="CS202" s="108">
        <f>('[2]FPC wSEB'!$N299)-CQ202</f>
        <v>-163963</v>
      </c>
      <c r="CT202" s="108">
        <f>'[2]FPC wSEB'!$P299</f>
        <v>7227</v>
      </c>
      <c r="CU202" s="108">
        <f>'[2]FPC wSEB'!$Q299</f>
        <v>238566</v>
      </c>
      <c r="CV202" s="115">
        <f t="shared" si="236"/>
        <v>0</v>
      </c>
      <c r="CW202" s="108">
        <f t="shared" si="240"/>
        <v>3553110</v>
      </c>
      <c r="CX202" s="108">
        <f t="shared" si="237"/>
        <v>3365226.9168223585</v>
      </c>
      <c r="CY202" s="108">
        <f t="shared" si="238"/>
        <v>187883.0831776415</v>
      </c>
    </row>
    <row r="203" spans="1:103">
      <c r="A203" s="13">
        <v>1999</v>
      </c>
      <c r="B203" s="13">
        <v>7</v>
      </c>
      <c r="C203" s="5">
        <v>1615756</v>
      </c>
      <c r="D203" s="73">
        <v>1192987</v>
      </c>
      <c r="E203" s="5">
        <f t="shared" si="222"/>
        <v>1611492</v>
      </c>
      <c r="F203" s="5">
        <f t="shared" si="223"/>
        <v>1165309</v>
      </c>
      <c r="G203" s="74">
        <f t="shared" si="182"/>
        <v>1382.9</v>
      </c>
      <c r="H203" s="190">
        <v>4264.2250000000004</v>
      </c>
      <c r="I203" s="170">
        <v>27678</v>
      </c>
      <c r="J203" s="230">
        <f>'[7]RES 62 &amp; 67'!$S288</f>
        <v>433.6</v>
      </c>
      <c r="K203" s="183">
        <f t="shared" si="198"/>
        <v>454.9</v>
      </c>
      <c r="L203" s="233">
        <f t="shared" ref="L203:L208" si="244">(K203-J203)</f>
        <v>21.299999999999955</v>
      </c>
      <c r="M203" s="230">
        <f>'[7]RES 62 &amp; 67'!$J288</f>
        <v>0</v>
      </c>
      <c r="N203" s="183">
        <f t="shared" si="199"/>
        <v>0</v>
      </c>
      <c r="O203" s="236">
        <f t="shared" ref="O203:O208" si="245">(N203-M203)</f>
        <v>0</v>
      </c>
      <c r="P203" s="206">
        <f t="shared" si="183"/>
        <v>46.007999999999903</v>
      </c>
      <c r="Q203" s="208">
        <f t="shared" si="184"/>
        <v>0</v>
      </c>
      <c r="R203" s="467">
        <f t="shared" si="185"/>
        <v>46.007999999999903</v>
      </c>
      <c r="S203" s="470">
        <f t="shared" si="186"/>
        <v>0</v>
      </c>
      <c r="T203" s="425">
        <f t="shared" si="187"/>
        <v>46</v>
      </c>
      <c r="U203" s="579">
        <f>[5]RC!$E83</f>
        <v>1198682</v>
      </c>
      <c r="V203" s="447">
        <v>36342</v>
      </c>
      <c r="W203" s="191">
        <f t="shared" si="174"/>
        <v>1428.9</v>
      </c>
      <c r="X203" s="73">
        <f t="shared" si="175"/>
        <v>1665110</v>
      </c>
      <c r="Y203" s="187">
        <f t="shared" si="221"/>
        <v>4394</v>
      </c>
      <c r="Z203" s="175">
        <f t="shared" si="189"/>
        <v>1669504</v>
      </c>
      <c r="AA203" s="40">
        <f t="shared" si="176"/>
        <v>53748</v>
      </c>
      <c r="AB203" s="379">
        <f t="shared" si="190"/>
        <v>1669504</v>
      </c>
      <c r="AC203" s="107">
        <f>'[7]Gov 65 &amp; 70'!$B288</f>
        <v>30.65</v>
      </c>
      <c r="AD203" s="4">
        <f t="shared" si="177"/>
        <v>1656976</v>
      </c>
      <c r="AE203" s="4">
        <f t="shared" si="200"/>
        <v>-28351</v>
      </c>
      <c r="AF203" s="23">
        <f t="shared" si="178"/>
        <v>1388.9</v>
      </c>
      <c r="AG203" s="75">
        <f t="shared" ref="AG203:AG208" si="246">AF203-AF191</f>
        <v>-63.399999999999864</v>
      </c>
      <c r="AI203" s="303">
        <f t="shared" si="224"/>
        <v>0.11140755173028406</v>
      </c>
      <c r="AU203" s="4">
        <v>1999</v>
      </c>
      <c r="AV203" s="4">
        <v>7</v>
      </c>
      <c r="AW203" s="230">
        <f>'[8]RES 62 &amp; 67'!$S288</f>
        <v>502.3</v>
      </c>
      <c r="AX203" s="200">
        <f t="shared" si="202"/>
        <v>484.1</v>
      </c>
      <c r="AY203" s="203">
        <f t="shared" si="241"/>
        <v>-18.199999999999989</v>
      </c>
      <c r="AZ203" s="230">
        <f>'[8]RES 62 &amp; 67'!$J288</f>
        <v>0</v>
      </c>
      <c r="BA203" s="183">
        <f t="shared" si="203"/>
        <v>0</v>
      </c>
      <c r="BB203" s="429">
        <f t="shared" si="242"/>
        <v>0</v>
      </c>
      <c r="BC203" s="206">
        <f t="shared" si="193"/>
        <v>-39.311999999999976</v>
      </c>
      <c r="BD203" s="206">
        <f t="shared" si="194"/>
        <v>0</v>
      </c>
      <c r="BE203" s="206">
        <f t="shared" si="195"/>
        <v>-39.311999999999976</v>
      </c>
      <c r="BF203" s="207">
        <f t="shared" si="196"/>
        <v>0</v>
      </c>
      <c r="BG203" s="219">
        <f t="shared" si="197"/>
        <v>-39.299999999999997</v>
      </c>
      <c r="BH203" s="4">
        <v>1999</v>
      </c>
      <c r="BI203" s="4">
        <v>7</v>
      </c>
      <c r="BJ203" s="108">
        <f>C203+[4]MWh!$AJ37</f>
        <v>1797197.1730274835</v>
      </c>
      <c r="BK203" s="108">
        <f t="shared" si="206"/>
        <v>4743.0757584394678</v>
      </c>
      <c r="BL203" s="108">
        <f t="shared" si="225"/>
        <v>1792454.097269044</v>
      </c>
      <c r="BM203" s="189">
        <f t="shared" si="208"/>
        <v>1498.8792273714903</v>
      </c>
      <c r="BN203" s="6">
        <f t="shared" si="209"/>
        <v>1746657</v>
      </c>
      <c r="BO203" s="175">
        <f t="shared" si="226"/>
        <v>4622</v>
      </c>
      <c r="BP203" s="108">
        <f t="shared" si="227"/>
        <v>-45918.173027483492</v>
      </c>
      <c r="BQ203" s="76">
        <f t="shared" si="211"/>
        <v>1506.468363047949</v>
      </c>
      <c r="BR203" s="76">
        <f t="shared" si="212"/>
        <v>1467.9782763768592</v>
      </c>
      <c r="BS203" s="76">
        <f t="shared" si="219"/>
        <v>22.062840706657653</v>
      </c>
      <c r="BT203" s="175">
        <f t="shared" si="243"/>
        <v>1751279</v>
      </c>
      <c r="BU203" s="108">
        <f t="shared" si="220"/>
        <v>73378</v>
      </c>
      <c r="BW203" s="529"/>
      <c r="CK203" s="165">
        <v>36342</v>
      </c>
      <c r="CL203" s="40">
        <f>BP203+COML!BV203+SPA!BV203</f>
        <v>-62495.173027483492</v>
      </c>
      <c r="CM203" s="40">
        <f>ROUND('[14]1999'!$D38,0)</f>
        <v>5850</v>
      </c>
      <c r="CN203" s="2">
        <f t="shared" si="239"/>
        <v>-68345.173027483484</v>
      </c>
      <c r="CO203" s="108">
        <f>'[2]FPC wSEB'!$R300</f>
        <v>4170556</v>
      </c>
      <c r="CP203" s="108">
        <f>'[2]FPC wSEB'!$C300-SUM('[2]FPC wSEB'!$K300:$L300)</f>
        <v>3174117</v>
      </c>
      <c r="CQ203" s="108">
        <f>'[2]FPC wSEB'!$T300-'[2]FPC wSEB'!$T299</f>
        <v>314998</v>
      </c>
      <c r="CR203" s="108">
        <f>SUM('[2]FPC wSEB'!$K300:$L300)</f>
        <v>289578</v>
      </c>
      <c r="CS203" s="108">
        <f>('[2]FPC wSEB'!$N300)-CQ203</f>
        <v>164359</v>
      </c>
      <c r="CT203" s="108">
        <f>'[2]FPC wSEB'!$P300</f>
        <v>12508</v>
      </c>
      <c r="CU203" s="108">
        <f>'[2]FPC wSEB'!$Q300</f>
        <v>214996</v>
      </c>
      <c r="CV203" s="115">
        <f t="shared" ref="CV203:CV208" si="247">CO203-SUM(CP203:CU203)</f>
        <v>0</v>
      </c>
      <c r="CW203" s="108">
        <f t="shared" si="240"/>
        <v>3948902</v>
      </c>
      <c r="CX203" s="108">
        <f t="shared" ref="CX203:CX208" si="248">SUM(CP203:CS203)+CL203</f>
        <v>3880556.8269725167</v>
      </c>
      <c r="CY203" s="108">
        <f t="shared" ref="CY203:CY208" si="249">CW203-CX203</f>
        <v>68345.173027483281</v>
      </c>
    </row>
    <row r="204" spans="1:103">
      <c r="A204" s="13">
        <v>1999</v>
      </c>
      <c r="B204" s="13">
        <v>8</v>
      </c>
      <c r="C204" s="5">
        <v>1924248</v>
      </c>
      <c r="D204" s="73">
        <v>1212071</v>
      </c>
      <c r="E204" s="5">
        <f t="shared" si="222"/>
        <v>1919026</v>
      </c>
      <c r="F204" s="5">
        <f t="shared" si="223"/>
        <v>1183178</v>
      </c>
      <c r="G204" s="74">
        <f t="shared" si="182"/>
        <v>1621.9</v>
      </c>
      <c r="H204" s="190">
        <v>5221.7190000000001</v>
      </c>
      <c r="I204" s="170">
        <v>28893</v>
      </c>
      <c r="J204" s="230">
        <f>'[7]RES 62 &amp; 67'!$S289</f>
        <v>521.4</v>
      </c>
      <c r="K204" s="183">
        <f t="shared" si="198"/>
        <v>481.4</v>
      </c>
      <c r="L204" s="233">
        <f t="shared" si="244"/>
        <v>-40</v>
      </c>
      <c r="M204" s="230">
        <f>'[7]RES 62 &amp; 67'!$J289</f>
        <v>0</v>
      </c>
      <c r="N204" s="183">
        <f t="shared" si="199"/>
        <v>0</v>
      </c>
      <c r="O204" s="236">
        <f t="shared" si="245"/>
        <v>0</v>
      </c>
      <c r="P204" s="206">
        <f t="shared" si="183"/>
        <v>-86.4</v>
      </c>
      <c r="Q204" s="208">
        <f t="shared" si="184"/>
        <v>0</v>
      </c>
      <c r="R204" s="467">
        <f t="shared" si="185"/>
        <v>-86.4</v>
      </c>
      <c r="S204" s="470">
        <f t="shared" si="186"/>
        <v>0</v>
      </c>
      <c r="T204" s="425">
        <f t="shared" si="187"/>
        <v>-86.4</v>
      </c>
      <c r="U204" s="579">
        <f>[5]RC!$E84</f>
        <v>1202969</v>
      </c>
      <c r="V204" s="447">
        <v>36373</v>
      </c>
      <c r="W204" s="191">
        <f t="shared" si="174"/>
        <v>1535.5</v>
      </c>
      <c r="X204" s="73">
        <f t="shared" si="175"/>
        <v>1816770</v>
      </c>
      <c r="Y204" s="187">
        <f t="shared" si="221"/>
        <v>4930</v>
      </c>
      <c r="Z204" s="175">
        <f t="shared" si="189"/>
        <v>1821700</v>
      </c>
      <c r="AA204" s="40">
        <f t="shared" si="176"/>
        <v>-102548</v>
      </c>
      <c r="AB204" s="379">
        <f t="shared" si="190"/>
        <v>1821700</v>
      </c>
      <c r="AC204" s="107">
        <f>'[7]Gov 65 &amp; 70'!$B289</f>
        <v>31.15</v>
      </c>
      <c r="AD204" s="4">
        <f t="shared" si="177"/>
        <v>1779008</v>
      </c>
      <c r="AE204" s="4">
        <f t="shared" si="200"/>
        <v>73617</v>
      </c>
      <c r="AF204" s="23">
        <f t="shared" si="178"/>
        <v>1467.7</v>
      </c>
      <c r="AG204" s="75">
        <f t="shared" si="246"/>
        <v>52.299999999999955</v>
      </c>
      <c r="AI204" s="303">
        <f t="shared" si="224"/>
        <v>0.11142862866098513</v>
      </c>
      <c r="AU204" s="4">
        <v>1999</v>
      </c>
      <c r="AV204" s="4">
        <v>8</v>
      </c>
      <c r="AW204" s="230">
        <f>'[8]RES 62 &amp; 67'!$S289</f>
        <v>506.6</v>
      </c>
      <c r="AX204" s="200">
        <f t="shared" si="202"/>
        <v>487.3</v>
      </c>
      <c r="AY204" s="203">
        <f t="shared" si="241"/>
        <v>-19.300000000000011</v>
      </c>
      <c r="AZ204" s="230">
        <f>'[8]RES 62 &amp; 67'!$J289</f>
        <v>0</v>
      </c>
      <c r="BA204" s="183">
        <f t="shared" si="203"/>
        <v>0</v>
      </c>
      <c r="BB204" s="429">
        <f t="shared" si="242"/>
        <v>0</v>
      </c>
      <c r="BC204" s="206">
        <f t="shared" si="193"/>
        <v>-41.688000000000031</v>
      </c>
      <c r="BD204" s="206">
        <f t="shared" si="194"/>
        <v>0</v>
      </c>
      <c r="BE204" s="206">
        <f t="shared" si="195"/>
        <v>-41.688000000000031</v>
      </c>
      <c r="BF204" s="207">
        <f t="shared" si="196"/>
        <v>0</v>
      </c>
      <c r="BG204" s="219">
        <f t="shared" si="197"/>
        <v>-41.7</v>
      </c>
      <c r="BH204" s="4">
        <v>1999</v>
      </c>
      <c r="BI204" s="4">
        <v>8</v>
      </c>
      <c r="BJ204" s="108">
        <f>C204+[4]MWh!$AJ38</f>
        <v>1911472.9293128005</v>
      </c>
      <c r="BK204" s="108">
        <f t="shared" si="206"/>
        <v>5187.052039538723</v>
      </c>
      <c r="BL204" s="108">
        <f t="shared" si="225"/>
        <v>1906285.8772732618</v>
      </c>
      <c r="BM204" s="189">
        <f t="shared" si="208"/>
        <v>1569.4573045418879</v>
      </c>
      <c r="BN204" s="6">
        <f t="shared" si="209"/>
        <v>1856947</v>
      </c>
      <c r="BO204" s="175">
        <f t="shared" si="226"/>
        <v>5053</v>
      </c>
      <c r="BP204" s="108">
        <f t="shared" si="227"/>
        <v>-49472.929312800501</v>
      </c>
      <c r="BQ204" s="76">
        <f t="shared" si="211"/>
        <v>1577.0304951713231</v>
      </c>
      <c r="BR204" s="76">
        <f t="shared" si="212"/>
        <v>1536.2136376499395</v>
      </c>
      <c r="BS204" s="76">
        <f t="shared" si="219"/>
        <v>55.226750169951856</v>
      </c>
      <c r="BT204" s="175">
        <f t="shared" si="243"/>
        <v>1862000</v>
      </c>
      <c r="BU204" s="108">
        <f t="shared" si="220"/>
        <v>77590</v>
      </c>
      <c r="BW204" s="529"/>
      <c r="CK204" s="165">
        <v>36373</v>
      </c>
      <c r="CL204" s="40">
        <f>BP204+COML!BV204+SPA!BV204</f>
        <v>-67257.929312800494</v>
      </c>
      <c r="CM204" s="40">
        <f>ROUND('[14]1999'!$D39,0)</f>
        <v>-72491</v>
      </c>
      <c r="CN204" s="2">
        <f t="shared" si="239"/>
        <v>5233.0706871995062</v>
      </c>
      <c r="CO204" s="108">
        <f>'[2]FPC wSEB'!$R301</f>
        <v>4282075</v>
      </c>
      <c r="CP204" s="108">
        <f>'[2]FPC wSEB'!$C301-SUM('[2]FPC wSEB'!$K301:$L301)</f>
        <v>3612089</v>
      </c>
      <c r="CQ204" s="108">
        <f>'[2]FPC wSEB'!$T301-'[2]FPC wSEB'!$T300</f>
        <v>-125604</v>
      </c>
      <c r="CR204" s="108">
        <f>SUM('[2]FPC wSEB'!$K301:$L301)</f>
        <v>377388</v>
      </c>
      <c r="CS204" s="108">
        <f>('[2]FPC wSEB'!$N301)-CQ204</f>
        <v>79742</v>
      </c>
      <c r="CT204" s="108">
        <f>'[2]FPC wSEB'!$P301</f>
        <v>15063</v>
      </c>
      <c r="CU204" s="108">
        <f>'[2]FPC wSEB'!$Q301</f>
        <v>323397</v>
      </c>
      <c r="CV204" s="115">
        <f t="shared" si="247"/>
        <v>0</v>
      </c>
      <c r="CW204" s="108">
        <f t="shared" si="240"/>
        <v>3871124</v>
      </c>
      <c r="CX204" s="108">
        <f t="shared" si="248"/>
        <v>3876357.0706871995</v>
      </c>
      <c r="CY204" s="108">
        <f t="shared" si="249"/>
        <v>-5233.0706871994771</v>
      </c>
    </row>
    <row r="205" spans="1:103">
      <c r="A205" s="13">
        <v>1999</v>
      </c>
      <c r="B205" s="13">
        <v>9</v>
      </c>
      <c r="C205" s="5">
        <v>1791090</v>
      </c>
      <c r="D205" s="73">
        <v>1208703</v>
      </c>
      <c r="E205" s="5">
        <f t="shared" si="222"/>
        <v>1786038</v>
      </c>
      <c r="F205" s="5">
        <f t="shared" si="223"/>
        <v>1180038</v>
      </c>
      <c r="G205" s="74">
        <f t="shared" si="182"/>
        <v>1513.5</v>
      </c>
      <c r="H205" s="190">
        <v>5051.9470000000001</v>
      </c>
      <c r="I205" s="170">
        <v>28665</v>
      </c>
      <c r="J205" s="230">
        <f>'[7]RES 62 &amp; 67'!$S290</f>
        <v>464.9</v>
      </c>
      <c r="K205" s="183">
        <f t="shared" si="198"/>
        <v>473.7</v>
      </c>
      <c r="L205" s="233">
        <f t="shared" si="244"/>
        <v>8.8000000000000114</v>
      </c>
      <c r="M205" s="230">
        <f>'[7]RES 62 &amp; 67'!$J290</f>
        <v>0</v>
      </c>
      <c r="N205" s="183">
        <f t="shared" si="199"/>
        <v>0</v>
      </c>
      <c r="O205" s="236">
        <f t="shared" si="245"/>
        <v>0</v>
      </c>
      <c r="P205" s="206">
        <f t="shared" si="183"/>
        <v>19.008000000000028</v>
      </c>
      <c r="Q205" s="208">
        <f t="shared" si="184"/>
        <v>0</v>
      </c>
      <c r="R205" s="467">
        <f t="shared" si="185"/>
        <v>19.008000000000028</v>
      </c>
      <c r="S205" s="470">
        <f t="shared" si="186"/>
        <v>0</v>
      </c>
      <c r="T205" s="425">
        <f t="shared" si="187"/>
        <v>19</v>
      </c>
      <c r="U205" s="579">
        <f>[5]RC!$E85</f>
        <v>1205087</v>
      </c>
      <c r="V205" s="447">
        <v>36404</v>
      </c>
      <c r="W205" s="191">
        <f t="shared" si="174"/>
        <v>1532.5</v>
      </c>
      <c r="X205" s="73">
        <f t="shared" si="175"/>
        <v>1808408</v>
      </c>
      <c r="Y205" s="187">
        <f t="shared" si="221"/>
        <v>5101</v>
      </c>
      <c r="Z205" s="175">
        <f t="shared" si="189"/>
        <v>1813509</v>
      </c>
      <c r="AA205" s="40">
        <f t="shared" si="176"/>
        <v>22419</v>
      </c>
      <c r="AB205" s="379">
        <f t="shared" si="190"/>
        <v>1813509</v>
      </c>
      <c r="AC205" s="107">
        <f>'[7]Gov 65 &amp; 70'!$B290</f>
        <v>30.3</v>
      </c>
      <c r="AD205" s="4">
        <f t="shared" si="177"/>
        <v>1820691</v>
      </c>
      <c r="AE205" s="4">
        <f t="shared" si="200"/>
        <v>171092</v>
      </c>
      <c r="AF205" s="23">
        <f t="shared" si="178"/>
        <v>1506.3</v>
      </c>
      <c r="AG205" s="75">
        <f t="shared" si="246"/>
        <v>54.5</v>
      </c>
      <c r="AI205" s="303">
        <f t="shared" si="224"/>
        <v>0.11644595696698204</v>
      </c>
      <c r="AU205" s="4">
        <v>1999</v>
      </c>
      <c r="AV205" s="4">
        <v>9</v>
      </c>
      <c r="AW205" s="230">
        <f>'[8]RES 62 &amp; 67'!$S290</f>
        <v>394.3</v>
      </c>
      <c r="AX205" s="200">
        <f t="shared" si="202"/>
        <v>428.3</v>
      </c>
      <c r="AY205" s="203">
        <f t="shared" si="241"/>
        <v>34</v>
      </c>
      <c r="AZ205" s="230">
        <f>'[8]RES 62 &amp; 67'!$J290</f>
        <v>0.3</v>
      </c>
      <c r="BA205" s="183">
        <f t="shared" si="203"/>
        <v>0</v>
      </c>
      <c r="BB205" s="429">
        <f t="shared" si="242"/>
        <v>-0.3</v>
      </c>
      <c r="BC205" s="206">
        <f t="shared" si="193"/>
        <v>73.44</v>
      </c>
      <c r="BD205" s="206">
        <f t="shared" si="194"/>
        <v>0</v>
      </c>
      <c r="BE205" s="206">
        <f t="shared" si="195"/>
        <v>73.44</v>
      </c>
      <c r="BF205" s="207">
        <f t="shared" si="196"/>
        <v>-0.81299999999999994</v>
      </c>
      <c r="BG205" s="219">
        <f t="shared" si="197"/>
        <v>72.599999999999994</v>
      </c>
      <c r="BH205" s="4">
        <v>1999</v>
      </c>
      <c r="BI205" s="4">
        <v>9</v>
      </c>
      <c r="BJ205" s="108">
        <f>C205+[4]MWh!$AJ39</f>
        <v>1651964.5062154862</v>
      </c>
      <c r="BK205" s="108">
        <f t="shared" ref="BK205:BK236" si="250">(H205/C205)*BJ205</f>
        <v>4659.5297451729439</v>
      </c>
      <c r="BL205" s="108">
        <f t="shared" si="225"/>
        <v>1647304.9764703133</v>
      </c>
      <c r="BM205" s="189">
        <f t="shared" ref="BM205:BM236" si="251">(BL205/F205*1000)+BG205</f>
        <v>1468.5762113341377</v>
      </c>
      <c r="BN205" s="6">
        <f t="shared" ref="BN205:BN236" si="252">ROUND(BM205*F205/1000,0)</f>
        <v>1732976</v>
      </c>
      <c r="BO205" s="175">
        <f t="shared" si="226"/>
        <v>4902</v>
      </c>
      <c r="BP205" s="108">
        <f t="shared" si="227"/>
        <v>85913.49378451379</v>
      </c>
      <c r="BQ205" s="76">
        <f t="shared" ref="BQ205:BQ236" si="253">BJ205/D205*1000</f>
        <v>1366.7249160591859</v>
      </c>
      <c r="BR205" s="76">
        <f t="shared" ref="BR205:BR236" si="254">(BN205+BO205)/D205*1000</f>
        <v>1437.8039932059405</v>
      </c>
      <c r="BS205" s="76">
        <f t="shared" si="219"/>
        <v>34.818774088921145</v>
      </c>
      <c r="BT205" s="175">
        <f t="shared" si="243"/>
        <v>1737878</v>
      </c>
      <c r="BU205" s="108">
        <f t="shared" si="220"/>
        <v>143715</v>
      </c>
      <c r="BW205" s="529"/>
      <c r="CK205" s="165">
        <v>36404</v>
      </c>
      <c r="CL205" s="40">
        <f>BP205+COML!BV205+SPA!BV205</f>
        <v>116890.49378451379</v>
      </c>
      <c r="CM205" s="40">
        <f>ROUND('[14]1999'!$D40,0)</f>
        <v>144385</v>
      </c>
      <c r="CN205" s="2">
        <f t="shared" si="239"/>
        <v>-27494.50621548621</v>
      </c>
      <c r="CO205" s="108">
        <f>'[2]FPC wSEB'!$R302</f>
        <v>3678781</v>
      </c>
      <c r="CP205" s="108">
        <f>'[2]FPC wSEB'!$C302-SUM('[2]FPC wSEB'!$K302:$L302)</f>
        <v>3436878</v>
      </c>
      <c r="CQ205" s="108">
        <f>'[2]FPC wSEB'!$T302-'[2]FPC wSEB'!$T301</f>
        <v>-218938</v>
      </c>
      <c r="CR205" s="108">
        <f>SUM('[2]FPC wSEB'!$K302:$L302)</f>
        <v>421637</v>
      </c>
      <c r="CS205" s="108">
        <f>('[2]FPC wSEB'!$N302)-CQ205</f>
        <v>-111868</v>
      </c>
      <c r="CT205" s="108">
        <f>'[2]FPC wSEB'!$P302</f>
        <v>13789</v>
      </c>
      <c r="CU205" s="108">
        <f>'[2]FPC wSEB'!$Q302</f>
        <v>137283</v>
      </c>
      <c r="CV205" s="115">
        <f t="shared" si="247"/>
        <v>0</v>
      </c>
      <c r="CW205" s="108">
        <f t="shared" si="240"/>
        <v>3672094</v>
      </c>
      <c r="CX205" s="108">
        <f t="shared" si="248"/>
        <v>3644599.4937845138</v>
      </c>
      <c r="CY205" s="108">
        <f t="shared" si="249"/>
        <v>27494.50621548621</v>
      </c>
    </row>
    <row r="206" spans="1:103">
      <c r="A206" s="13">
        <v>1999</v>
      </c>
      <c r="B206" s="13">
        <v>10</v>
      </c>
      <c r="C206" s="5">
        <v>1465248</v>
      </c>
      <c r="D206" s="73">
        <v>1202702</v>
      </c>
      <c r="E206" s="5">
        <f t="shared" si="222"/>
        <v>1459917</v>
      </c>
      <c r="F206" s="5">
        <f t="shared" si="223"/>
        <v>1174460</v>
      </c>
      <c r="G206" s="74">
        <f t="shared" si="182"/>
        <v>1243.0999999999999</v>
      </c>
      <c r="H206" s="190">
        <v>5331.2380000000003</v>
      </c>
      <c r="I206" s="170">
        <v>28242</v>
      </c>
      <c r="J206" s="230">
        <f>'[7]RES 62 &amp; 67'!$S291</f>
        <v>362.7</v>
      </c>
      <c r="K206" s="183">
        <f t="shared" si="198"/>
        <v>373.2</v>
      </c>
      <c r="L206" s="233">
        <f t="shared" si="244"/>
        <v>10.5</v>
      </c>
      <c r="M206" s="230">
        <f>'[7]RES 62 &amp; 67'!$J291</f>
        <v>0.7</v>
      </c>
      <c r="N206" s="183">
        <f t="shared" si="199"/>
        <v>1.3</v>
      </c>
      <c r="O206" s="236">
        <f t="shared" si="245"/>
        <v>0.60000000000000009</v>
      </c>
      <c r="P206" s="206">
        <f t="shared" si="183"/>
        <v>22.68</v>
      </c>
      <c r="Q206" s="208">
        <f t="shared" si="184"/>
        <v>0</v>
      </c>
      <c r="R206" s="467">
        <f t="shared" si="185"/>
        <v>22.68</v>
      </c>
      <c r="S206" s="470">
        <f t="shared" si="186"/>
        <v>1.6260000000000001</v>
      </c>
      <c r="T206" s="425">
        <f t="shared" si="187"/>
        <v>24.3</v>
      </c>
      <c r="U206" s="579">
        <f>[5]RC!$E86</f>
        <v>1209031</v>
      </c>
      <c r="V206" s="447">
        <v>36434</v>
      </c>
      <c r="W206" s="191">
        <f t="shared" si="174"/>
        <v>1267.3999999999999</v>
      </c>
      <c r="X206" s="73">
        <f t="shared" si="175"/>
        <v>1488511</v>
      </c>
      <c r="Y206" s="187">
        <f t="shared" si="221"/>
        <v>5416</v>
      </c>
      <c r="Z206" s="175">
        <f t="shared" si="189"/>
        <v>1493927</v>
      </c>
      <c r="AA206" s="40">
        <f t="shared" si="176"/>
        <v>28679</v>
      </c>
      <c r="AB206" s="379">
        <f t="shared" si="190"/>
        <v>1493927</v>
      </c>
      <c r="AC206" s="107">
        <f>'[7]Gov 65 &amp; 70'!$B291</f>
        <v>29.9</v>
      </c>
      <c r="AD206" s="4">
        <f t="shared" si="177"/>
        <v>1519908</v>
      </c>
      <c r="AE206" s="4">
        <f t="shared" si="200"/>
        <v>35862</v>
      </c>
      <c r="AF206" s="23">
        <f t="shared" si="178"/>
        <v>1263.7</v>
      </c>
      <c r="AG206" s="75">
        <f t="shared" si="246"/>
        <v>40.5</v>
      </c>
      <c r="AI206" s="303">
        <f t="shared" si="224"/>
        <v>0.15185411175944313</v>
      </c>
      <c r="AU206" s="4">
        <v>1999</v>
      </c>
      <c r="AV206" s="4">
        <v>10</v>
      </c>
      <c r="AW206" s="230">
        <f>'[8]RES 62 &amp; 67'!$S291</f>
        <v>271.5</v>
      </c>
      <c r="AX206" s="200">
        <f t="shared" si="202"/>
        <v>277.60000000000002</v>
      </c>
      <c r="AY206" s="203">
        <f t="shared" ref="AY206:AY211" si="255">AX206-AW206</f>
        <v>6.1000000000000227</v>
      </c>
      <c r="AZ206" s="230">
        <f>'[8]RES 62 &amp; 67'!$J291</f>
        <v>10.5</v>
      </c>
      <c r="BA206" s="183">
        <f t="shared" si="203"/>
        <v>8.5</v>
      </c>
      <c r="BB206" s="429">
        <f t="shared" ref="BB206:BB211" si="256">BA206-AZ206</f>
        <v>-2</v>
      </c>
      <c r="BC206" s="206">
        <f t="shared" si="193"/>
        <v>13.17600000000005</v>
      </c>
      <c r="BD206" s="206">
        <f t="shared" si="194"/>
        <v>0</v>
      </c>
      <c r="BE206" s="206">
        <f t="shared" si="195"/>
        <v>13.17600000000005</v>
      </c>
      <c r="BF206" s="207">
        <f t="shared" si="196"/>
        <v>-5.42</v>
      </c>
      <c r="BG206" s="219">
        <f t="shared" si="197"/>
        <v>7.8</v>
      </c>
      <c r="BH206" s="4">
        <v>1999</v>
      </c>
      <c r="BI206" s="4">
        <v>10</v>
      </c>
      <c r="BJ206" s="108">
        <f>C206+[4]MWh!$AJ40</f>
        <v>1298627.2463335004</v>
      </c>
      <c r="BK206" s="108">
        <f t="shared" si="250"/>
        <v>4724.9959894082904</v>
      </c>
      <c r="BL206" s="108">
        <f t="shared" si="225"/>
        <v>1293902.250344092</v>
      </c>
      <c r="BM206" s="189">
        <f t="shared" si="251"/>
        <v>1109.4997176098734</v>
      </c>
      <c r="BN206" s="6">
        <f t="shared" si="252"/>
        <v>1303063</v>
      </c>
      <c r="BO206" s="175">
        <f t="shared" si="226"/>
        <v>4758</v>
      </c>
      <c r="BP206" s="108">
        <f t="shared" si="227"/>
        <v>9193.7536664996842</v>
      </c>
      <c r="BQ206" s="76">
        <f t="shared" si="253"/>
        <v>1079.7581165854056</v>
      </c>
      <c r="BR206" s="76">
        <f t="shared" si="254"/>
        <v>1087.4023656732923</v>
      </c>
      <c r="BS206" s="76">
        <f t="shared" si="219"/>
        <v>4.4437131229215083</v>
      </c>
      <c r="BT206" s="175">
        <f t="shared" si="243"/>
        <v>1307821</v>
      </c>
      <c r="BU206" s="108">
        <f t="shared" si="220"/>
        <v>-6084</v>
      </c>
      <c r="BW206" s="529"/>
      <c r="CK206" s="165">
        <v>36434</v>
      </c>
      <c r="CL206" s="40">
        <f>BP206+COML!BV206+SPA!BV206</f>
        <v>14463.753666499684</v>
      </c>
      <c r="CM206" s="40">
        <f>ROUND('[14]1999'!$D41,0)</f>
        <v>-15245</v>
      </c>
      <c r="CN206" s="2">
        <f t="shared" si="239"/>
        <v>29708.753666499684</v>
      </c>
      <c r="CO206" s="108">
        <f>'[2]FPC wSEB'!$R303</f>
        <v>3340174</v>
      </c>
      <c r="CP206" s="108">
        <f>'[2]FPC wSEB'!$C303-SUM('[2]FPC wSEB'!$K303:$L303)</f>
        <v>2979952</v>
      </c>
      <c r="CQ206" s="108">
        <f>'[2]FPC wSEB'!$T303-'[2]FPC wSEB'!$T302</f>
        <v>-222643</v>
      </c>
      <c r="CR206" s="108">
        <f>SUM('[2]FPC wSEB'!$K303:$L303)</f>
        <v>430862</v>
      </c>
      <c r="CS206" s="108">
        <f>('[2]FPC wSEB'!$N303)-CQ206</f>
        <v>-8705</v>
      </c>
      <c r="CT206" s="108">
        <f>'[2]FPC wSEB'!$P303</f>
        <v>10322</v>
      </c>
      <c r="CU206" s="108">
        <f>'[2]FPC wSEB'!$Q303</f>
        <v>150386</v>
      </c>
      <c r="CV206" s="115">
        <f t="shared" si="247"/>
        <v>0</v>
      </c>
      <c r="CW206" s="108">
        <f t="shared" si="240"/>
        <v>3164221</v>
      </c>
      <c r="CX206" s="108">
        <f t="shared" si="248"/>
        <v>3193929.7536664996</v>
      </c>
      <c r="CY206" s="108">
        <f t="shared" si="249"/>
        <v>-29708.75366649963</v>
      </c>
    </row>
    <row r="207" spans="1:103">
      <c r="A207" s="13">
        <v>1999</v>
      </c>
      <c r="B207" s="13">
        <v>11</v>
      </c>
      <c r="C207" s="5">
        <v>1142859</v>
      </c>
      <c r="D207" s="73">
        <v>1269066</v>
      </c>
      <c r="E207" s="5">
        <f t="shared" si="222"/>
        <v>1135514</v>
      </c>
      <c r="F207" s="5">
        <f t="shared" si="223"/>
        <v>1239816</v>
      </c>
      <c r="G207" s="74">
        <f t="shared" si="182"/>
        <v>915.9</v>
      </c>
      <c r="H207" s="190">
        <v>7345.28</v>
      </c>
      <c r="I207" s="170">
        <v>29250</v>
      </c>
      <c r="J207" s="230">
        <f>'[7]RES 62 &amp; 67'!$S292</f>
        <v>185.3</v>
      </c>
      <c r="K207" s="183">
        <f t="shared" si="198"/>
        <v>204.3</v>
      </c>
      <c r="L207" s="233">
        <f t="shared" si="244"/>
        <v>19</v>
      </c>
      <c r="M207" s="230">
        <f>'[7]RES 62 &amp; 67'!$J292</f>
        <v>23.8</v>
      </c>
      <c r="N207" s="183">
        <f t="shared" si="199"/>
        <v>24.1</v>
      </c>
      <c r="O207" s="236">
        <f t="shared" si="245"/>
        <v>0.30000000000000071</v>
      </c>
      <c r="P207" s="206">
        <f t="shared" si="183"/>
        <v>41.040000000000006</v>
      </c>
      <c r="Q207" s="208">
        <f t="shared" si="184"/>
        <v>0</v>
      </c>
      <c r="R207" s="467">
        <f t="shared" si="185"/>
        <v>41.040000000000006</v>
      </c>
      <c r="S207" s="470">
        <f t="shared" si="186"/>
        <v>0.81300000000000194</v>
      </c>
      <c r="T207" s="425">
        <f t="shared" si="187"/>
        <v>41.9</v>
      </c>
      <c r="U207" s="579">
        <f>[5]RC!$E87</f>
        <v>1218613</v>
      </c>
      <c r="V207" s="447">
        <v>36465</v>
      </c>
      <c r="W207" s="191">
        <f t="shared" si="174"/>
        <v>957.8</v>
      </c>
      <c r="X207" s="73">
        <f t="shared" si="175"/>
        <v>1187496</v>
      </c>
      <c r="Y207" s="187">
        <f t="shared" si="221"/>
        <v>7632</v>
      </c>
      <c r="Z207" s="175">
        <f t="shared" si="189"/>
        <v>1195128</v>
      </c>
      <c r="AA207" s="40">
        <f t="shared" si="176"/>
        <v>52269</v>
      </c>
      <c r="AB207" s="379">
        <f t="shared" si="190"/>
        <v>1195128</v>
      </c>
      <c r="AC207" s="107">
        <f>'[7]Gov 65 &amp; 70'!$B292</f>
        <v>30.05</v>
      </c>
      <c r="AD207" s="4">
        <f t="shared" si="177"/>
        <v>1209843</v>
      </c>
      <c r="AE207" s="4">
        <f t="shared" si="200"/>
        <v>83156</v>
      </c>
      <c r="AF207" s="23">
        <f t="shared" si="178"/>
        <v>953.3</v>
      </c>
      <c r="AG207" s="75">
        <f t="shared" si="246"/>
        <v>12.799999999999955</v>
      </c>
      <c r="AI207" s="303">
        <f t="shared" si="224"/>
        <v>0.27417915030099765</v>
      </c>
      <c r="AU207" s="4">
        <v>1999</v>
      </c>
      <c r="AV207" s="4">
        <v>11</v>
      </c>
      <c r="AW207" s="230">
        <f>'[8]RES 62 &amp; 67'!$S292</f>
        <v>99.2</v>
      </c>
      <c r="AX207" s="200">
        <f t="shared" si="202"/>
        <v>110.2</v>
      </c>
      <c r="AY207" s="203">
        <f t="shared" si="255"/>
        <v>11</v>
      </c>
      <c r="AZ207" s="230">
        <f>'[8]RES 62 &amp; 67'!$J292</f>
        <v>35.9</v>
      </c>
      <c r="BA207" s="183">
        <f t="shared" si="203"/>
        <v>45.3</v>
      </c>
      <c r="BB207" s="429">
        <f t="shared" si="256"/>
        <v>9.3999999999999986</v>
      </c>
      <c r="BC207" s="206">
        <f t="shared" si="193"/>
        <v>23.76</v>
      </c>
      <c r="BD207" s="206">
        <f t="shared" si="194"/>
        <v>-3.355</v>
      </c>
      <c r="BE207" s="206">
        <f t="shared" si="195"/>
        <v>20.405000000000001</v>
      </c>
      <c r="BF207" s="207">
        <f t="shared" si="196"/>
        <v>25.473999999999997</v>
      </c>
      <c r="BG207" s="219">
        <f t="shared" si="197"/>
        <v>45.9</v>
      </c>
      <c r="BH207" s="4">
        <v>1999</v>
      </c>
      <c r="BI207" s="4">
        <v>11</v>
      </c>
      <c r="BJ207" s="108">
        <f>C207+[4]MWh!$AJ41</f>
        <v>959797.87472242641</v>
      </c>
      <c r="BK207" s="108">
        <f t="shared" si="250"/>
        <v>6168.7260924061002</v>
      </c>
      <c r="BL207" s="108">
        <f t="shared" si="225"/>
        <v>953629.14863002033</v>
      </c>
      <c r="BM207" s="189">
        <f t="shared" si="251"/>
        <v>815.06989991258411</v>
      </c>
      <c r="BN207" s="6">
        <f t="shared" si="252"/>
        <v>1010537</v>
      </c>
      <c r="BO207" s="175">
        <f t="shared" si="226"/>
        <v>6537</v>
      </c>
      <c r="BP207" s="108">
        <f t="shared" si="227"/>
        <v>57276.125277573577</v>
      </c>
      <c r="BQ207" s="76">
        <f t="shared" si="253"/>
        <v>756.30256796922026</v>
      </c>
      <c r="BR207" s="76">
        <f t="shared" si="254"/>
        <v>801.43507114681188</v>
      </c>
      <c r="BS207" s="76">
        <f t="shared" si="219"/>
        <v>46.922908906812722</v>
      </c>
      <c r="BT207" s="175">
        <f t="shared" si="243"/>
        <v>1017074</v>
      </c>
      <c r="BU207" s="108">
        <f t="shared" si="220"/>
        <v>113222</v>
      </c>
      <c r="BW207" s="529"/>
      <c r="CK207" s="165">
        <v>36465</v>
      </c>
      <c r="CL207" s="40">
        <f>BP207+COML!BV207+SPA!BV207</f>
        <v>69226.125277573577</v>
      </c>
      <c r="CM207" s="40">
        <f>ROUND('[14]1999'!$D42,0)</f>
        <v>62240</v>
      </c>
      <c r="CN207" s="2">
        <f t="shared" si="239"/>
        <v>6986.1252775735775</v>
      </c>
      <c r="CO207" s="108">
        <f>'[2]FPC wSEB'!$R304</f>
        <v>2700420</v>
      </c>
      <c r="CP207" s="108">
        <f>'[2]FPC wSEB'!$C304-SUM('[2]FPC wSEB'!$K304:$L304)</f>
        <v>2586978</v>
      </c>
      <c r="CQ207" s="108">
        <f>'[2]FPC wSEB'!$T304-'[2]FPC wSEB'!$T303</f>
        <v>-220135</v>
      </c>
      <c r="CR207" s="108">
        <f>SUM('[2]FPC wSEB'!$K304:$L304)</f>
        <v>384602</v>
      </c>
      <c r="CS207" s="108">
        <f>('[2]FPC wSEB'!$N304)-CQ207</f>
        <v>-165823</v>
      </c>
      <c r="CT207" s="108">
        <f>'[2]FPC wSEB'!$P304</f>
        <v>8796</v>
      </c>
      <c r="CU207" s="108">
        <f>'[2]FPC wSEB'!$Q304</f>
        <v>106002</v>
      </c>
      <c r="CV207" s="115">
        <f t="shared" si="247"/>
        <v>0</v>
      </c>
      <c r="CW207" s="108">
        <f t="shared" si="240"/>
        <v>2647862</v>
      </c>
      <c r="CX207" s="108">
        <f t="shared" si="248"/>
        <v>2654848.1252775737</v>
      </c>
      <c r="CY207" s="108">
        <f t="shared" si="249"/>
        <v>-6986.1252775737084</v>
      </c>
    </row>
    <row r="208" spans="1:103" s="89" customFormat="1" ht="12.75">
      <c r="A208" s="90">
        <v>1999</v>
      </c>
      <c r="B208" s="90">
        <v>12</v>
      </c>
      <c r="C208" s="103">
        <v>1106020</v>
      </c>
      <c r="D208" s="104">
        <v>1245591</v>
      </c>
      <c r="E208" s="103">
        <f t="shared" si="222"/>
        <v>1095361</v>
      </c>
      <c r="F208" s="103">
        <f t="shared" si="223"/>
        <v>1217126</v>
      </c>
      <c r="G208" s="109">
        <f t="shared" si="182"/>
        <v>900</v>
      </c>
      <c r="H208" s="196">
        <v>10659.379000000001</v>
      </c>
      <c r="I208" s="197">
        <v>28465</v>
      </c>
      <c r="J208" s="300">
        <f>'[7]RES 62 &amp; 67'!$S293</f>
        <v>85.2</v>
      </c>
      <c r="K208" s="210">
        <f t="shared" si="198"/>
        <v>88</v>
      </c>
      <c r="L208" s="234">
        <f t="shared" si="244"/>
        <v>2.7999999999999972</v>
      </c>
      <c r="M208" s="300">
        <f>'[7]RES 62 &amp; 67'!$J293</f>
        <v>59.8</v>
      </c>
      <c r="N208" s="210">
        <f t="shared" si="199"/>
        <v>83.9</v>
      </c>
      <c r="O208" s="237">
        <f t="shared" si="245"/>
        <v>24.100000000000009</v>
      </c>
      <c r="P208" s="211">
        <f t="shared" si="183"/>
        <v>6.0479999999999938</v>
      </c>
      <c r="Q208" s="211">
        <f t="shared" si="184"/>
        <v>-1.7079999999999982</v>
      </c>
      <c r="R208" s="468">
        <f t="shared" si="185"/>
        <v>4.3399999999999954</v>
      </c>
      <c r="S208" s="471">
        <f t="shared" si="186"/>
        <v>65.311000000000021</v>
      </c>
      <c r="T208" s="426">
        <f t="shared" si="187"/>
        <v>69.7</v>
      </c>
      <c r="U208" s="579">
        <f>[5]RC!$E88</f>
        <v>1226748</v>
      </c>
      <c r="V208" s="447">
        <v>36495</v>
      </c>
      <c r="W208" s="95">
        <f t="shared" si="174"/>
        <v>969.7</v>
      </c>
      <c r="X208" s="104">
        <f t="shared" si="175"/>
        <v>1180247</v>
      </c>
      <c r="Y208" s="198">
        <f t="shared" si="221"/>
        <v>11375</v>
      </c>
      <c r="Z208" s="176">
        <f t="shared" si="189"/>
        <v>1191622</v>
      </c>
      <c r="AA208" s="116">
        <f t="shared" si="176"/>
        <v>85602</v>
      </c>
      <c r="AB208" s="517">
        <f t="shared" si="190"/>
        <v>1191622</v>
      </c>
      <c r="AC208" s="110">
        <f>'[7]Gov 65 &amp; 70'!$B293</f>
        <v>31.7</v>
      </c>
      <c r="AD208" s="89">
        <f t="shared" si="177"/>
        <v>1143506</v>
      </c>
      <c r="AE208" s="89">
        <f t="shared" si="200"/>
        <v>29190</v>
      </c>
      <c r="AF208" s="89">
        <f t="shared" si="178"/>
        <v>918</v>
      </c>
      <c r="AG208" s="91">
        <f t="shared" si="246"/>
        <v>-17.799999999999955</v>
      </c>
      <c r="AH208" s="252"/>
      <c r="AI208" s="304">
        <f t="shared" si="224"/>
        <v>0.41608130842945534</v>
      </c>
      <c r="AU208" s="89">
        <v>1999</v>
      </c>
      <c r="AV208" s="89">
        <v>12</v>
      </c>
      <c r="AW208" s="300">
        <f>'[8]RES 62 &amp; 67'!$S293</f>
        <v>41.5</v>
      </c>
      <c r="AX208" s="210">
        <f t="shared" si="202"/>
        <v>53.2</v>
      </c>
      <c r="AY208" s="204">
        <f t="shared" si="255"/>
        <v>11.700000000000003</v>
      </c>
      <c r="AZ208" s="300">
        <f>'[8]RES 62 &amp; 67'!$J293</f>
        <v>124.1</v>
      </c>
      <c r="BA208" s="210">
        <f t="shared" si="203"/>
        <v>114.1</v>
      </c>
      <c r="BB208" s="430">
        <f t="shared" si="256"/>
        <v>-10</v>
      </c>
      <c r="BC208" s="211">
        <f t="shared" si="193"/>
        <v>25.272000000000009</v>
      </c>
      <c r="BD208" s="211">
        <f t="shared" si="194"/>
        <v>-7.1370000000000013</v>
      </c>
      <c r="BE208" s="211">
        <f t="shared" si="195"/>
        <v>18.135000000000009</v>
      </c>
      <c r="BF208" s="212">
        <f t="shared" si="196"/>
        <v>-27.1</v>
      </c>
      <c r="BG208" s="220">
        <f t="shared" si="197"/>
        <v>-9</v>
      </c>
      <c r="BH208" s="89">
        <v>1999</v>
      </c>
      <c r="BI208" s="89">
        <v>12</v>
      </c>
      <c r="BJ208" s="117">
        <f>C208+[4]MWh!$AJ42</f>
        <v>1175593.7257256394</v>
      </c>
      <c r="BK208" s="117">
        <f t="shared" si="250"/>
        <v>11329.902779815591</v>
      </c>
      <c r="BL208" s="117">
        <f t="shared" si="225"/>
        <v>1164263.8229458239</v>
      </c>
      <c r="BM208" s="199">
        <f t="shared" si="251"/>
        <v>947.56803235312032</v>
      </c>
      <c r="BN208" s="96">
        <f t="shared" si="252"/>
        <v>1153310</v>
      </c>
      <c r="BO208" s="176">
        <f t="shared" si="226"/>
        <v>11223</v>
      </c>
      <c r="BP208" s="117">
        <f t="shared" si="227"/>
        <v>-11060.725725639484</v>
      </c>
      <c r="BQ208" s="92">
        <f t="shared" si="253"/>
        <v>943.80396592913678</v>
      </c>
      <c r="BR208" s="92">
        <f t="shared" si="254"/>
        <v>934.92406415910204</v>
      </c>
      <c r="BS208" s="92">
        <f t="shared" si="219"/>
        <v>-18.349326228360496</v>
      </c>
      <c r="BT208" s="176">
        <f t="shared" si="243"/>
        <v>1164533</v>
      </c>
      <c r="BU208" s="117">
        <f t="shared" si="220"/>
        <v>29376</v>
      </c>
      <c r="BW208" s="529"/>
      <c r="CK208" s="166">
        <v>36495</v>
      </c>
      <c r="CL208" s="116">
        <f>BP208+COML!BV208+SPA!BV208</f>
        <v>-3325.7257256394842</v>
      </c>
      <c r="CM208" s="116">
        <f>ROUND('[14]1999'!$D43,0)</f>
        <v>74909</v>
      </c>
      <c r="CN208" s="1">
        <f t="shared" si="239"/>
        <v>-78234.725725639481</v>
      </c>
      <c r="CO208" s="117">
        <f>'[2]FPC wSEB'!$R305</f>
        <v>3004527</v>
      </c>
      <c r="CP208" s="117">
        <f>'[2]FPC wSEB'!$C305-SUM('[2]FPC wSEB'!$K305:$L305)</f>
        <v>2439409</v>
      </c>
      <c r="CQ208" s="117">
        <f>'[2]FPC wSEB'!$T305-'[2]FPC wSEB'!$T304</f>
        <v>115034</v>
      </c>
      <c r="CR208" s="117">
        <f>SUM('[2]FPC wSEB'!$K305:$L305)</f>
        <v>262060</v>
      </c>
      <c r="CS208" s="117">
        <f>('[2]FPC wSEB'!$N305)-CQ208</f>
        <v>-15449</v>
      </c>
      <c r="CT208" s="117">
        <f>'[2]FPC wSEB'!$P305</f>
        <v>11009</v>
      </c>
      <c r="CU208" s="117">
        <f>'[2]FPC wSEB'!$Q305</f>
        <v>192464</v>
      </c>
      <c r="CV208" s="118">
        <f t="shared" si="247"/>
        <v>0</v>
      </c>
      <c r="CW208" s="117">
        <f t="shared" si="240"/>
        <v>2875963</v>
      </c>
      <c r="CX208" s="117">
        <f t="shared" si="248"/>
        <v>2797728.2742743604</v>
      </c>
      <c r="CY208" s="117">
        <f t="shared" si="249"/>
        <v>78234.725725639611</v>
      </c>
    </row>
    <row r="209" spans="1:103">
      <c r="A209" s="13">
        <v>2000</v>
      </c>
      <c r="B209" s="13">
        <v>1</v>
      </c>
      <c r="C209" s="5">
        <v>1166783</v>
      </c>
      <c r="D209" s="73">
        <v>1154862</v>
      </c>
      <c r="E209" s="5">
        <f t="shared" si="222"/>
        <v>1154223</v>
      </c>
      <c r="F209" s="5">
        <f t="shared" si="223"/>
        <v>1129356</v>
      </c>
      <c r="G209" s="74">
        <f t="shared" si="182"/>
        <v>1022</v>
      </c>
      <c r="H209" s="190">
        <v>12559.84</v>
      </c>
      <c r="I209" s="170">
        <v>25506</v>
      </c>
      <c r="J209" s="230">
        <f>'[7]RES 62 &amp; 67'!$S294</f>
        <v>46.3</v>
      </c>
      <c r="K209" s="183">
        <f t="shared" si="198"/>
        <v>49.5</v>
      </c>
      <c r="L209" s="233">
        <f t="shared" ref="L209:L214" si="257">(K209-J209)</f>
        <v>3.2000000000000028</v>
      </c>
      <c r="M209" s="230">
        <f>'[7]RES 62 &amp; 67'!$J294</f>
        <v>113.5</v>
      </c>
      <c r="N209" s="183">
        <f t="shared" si="199"/>
        <v>131.6</v>
      </c>
      <c r="O209" s="236">
        <f t="shared" ref="O209:O214" si="258">(N209-M209)</f>
        <v>18.099999999999994</v>
      </c>
      <c r="P209" s="206">
        <f t="shared" si="183"/>
        <v>6.912000000000007</v>
      </c>
      <c r="Q209" s="208">
        <f t="shared" si="184"/>
        <v>-1.9520000000000017</v>
      </c>
      <c r="R209" s="467">
        <f t="shared" si="185"/>
        <v>4.9600000000000053</v>
      </c>
      <c r="S209" s="470">
        <f t="shared" si="186"/>
        <v>49.050999999999981</v>
      </c>
      <c r="T209" s="425">
        <f t="shared" si="187"/>
        <v>54</v>
      </c>
      <c r="U209" s="579">
        <f>[5]RC!$E89</f>
        <v>1233833</v>
      </c>
      <c r="V209" s="447">
        <v>36526</v>
      </c>
      <c r="W209" s="191">
        <f t="shared" ref="W209:W272" si="259">(G209+T209)</f>
        <v>1076</v>
      </c>
      <c r="X209" s="73">
        <f t="shared" ref="X209:X272" si="260">ROUND(W209*F209/1000,0)</f>
        <v>1215187</v>
      </c>
      <c r="Y209" s="187">
        <f t="shared" si="221"/>
        <v>13081</v>
      </c>
      <c r="Z209" s="175">
        <f t="shared" si="189"/>
        <v>1228268</v>
      </c>
      <c r="AA209" s="40">
        <f t="shared" ref="AA209:AA272" si="261">Z209-C209</f>
        <v>61485</v>
      </c>
      <c r="AB209" s="519">
        <f>[9]RMWh!$L89</f>
        <v>1303181</v>
      </c>
      <c r="AC209" s="107">
        <f>'[7]Gov 65 &amp; 70'!$B294</f>
        <v>30.65</v>
      </c>
      <c r="AD209" s="4">
        <f t="shared" ref="AD209:AD272" si="262">ROUND(AB209/(AC209/30.42),0)</f>
        <v>1293402</v>
      </c>
      <c r="AE209" s="4">
        <f t="shared" si="200"/>
        <v>79886</v>
      </c>
      <c r="AF209" s="23">
        <f t="shared" ref="AF209:AF272" si="263">ROUND((AD209/(D209)*1000),1)</f>
        <v>1120</v>
      </c>
      <c r="AG209" s="75">
        <f t="shared" ref="AG209:AG214" si="264">AF209-AF197</f>
        <v>113.29999999999995</v>
      </c>
      <c r="AI209" s="303">
        <f t="shared" si="224"/>
        <v>0.48182669271019152</v>
      </c>
      <c r="AU209" s="4">
        <v>2000</v>
      </c>
      <c r="AV209" s="4">
        <v>1</v>
      </c>
      <c r="AW209" s="230">
        <f>'[8]RES 62 &amp; 67'!$S294</f>
        <v>42.9</v>
      </c>
      <c r="AX209" s="200">
        <f t="shared" si="202"/>
        <v>50.5</v>
      </c>
      <c r="AY209" s="203">
        <f t="shared" si="255"/>
        <v>7.6000000000000014</v>
      </c>
      <c r="AZ209" s="230">
        <f>'[8]RES 62 &amp; 67'!$J294</f>
        <v>154.4</v>
      </c>
      <c r="BA209" s="183">
        <f t="shared" si="203"/>
        <v>127.9</v>
      </c>
      <c r="BB209" s="429">
        <f t="shared" si="256"/>
        <v>-26.5</v>
      </c>
      <c r="BC209" s="206">
        <f t="shared" si="193"/>
        <v>16.416000000000004</v>
      </c>
      <c r="BD209" s="206">
        <f t="shared" si="194"/>
        <v>-4.636000000000001</v>
      </c>
      <c r="BE209" s="206">
        <f t="shared" si="195"/>
        <v>11.780000000000003</v>
      </c>
      <c r="BF209" s="207">
        <f t="shared" si="196"/>
        <v>-71.814999999999998</v>
      </c>
      <c r="BG209" s="219">
        <f t="shared" si="197"/>
        <v>-60</v>
      </c>
      <c r="BH209" s="4">
        <v>2000</v>
      </c>
      <c r="BI209" s="4">
        <v>1</v>
      </c>
      <c r="BJ209" s="108">
        <f>C209+[4]MWh!$AJ43</f>
        <v>1318982.5901519146</v>
      </c>
      <c r="BK209" s="108">
        <f t="shared" si="250"/>
        <v>14198.193061686385</v>
      </c>
      <c r="BL209" s="108">
        <f t="shared" si="225"/>
        <v>1304784.3970902283</v>
      </c>
      <c r="BM209" s="189">
        <f t="shared" si="251"/>
        <v>1095.3348962508087</v>
      </c>
      <c r="BN209" s="6">
        <f t="shared" si="252"/>
        <v>1237023</v>
      </c>
      <c r="BO209" s="175">
        <f t="shared" si="226"/>
        <v>13461</v>
      </c>
      <c r="BP209" s="108">
        <f t="shared" si="227"/>
        <v>-68498.590151914657</v>
      </c>
      <c r="BQ209" s="76">
        <f t="shared" si="253"/>
        <v>1142.1127287519328</v>
      </c>
      <c r="BR209" s="76">
        <f t="shared" si="254"/>
        <v>1082.7995033172795</v>
      </c>
      <c r="BS209" s="76">
        <f t="shared" si="219"/>
        <v>-75.138020480235582</v>
      </c>
      <c r="BT209" s="175">
        <f t="shared" si="243"/>
        <v>1250484</v>
      </c>
      <c r="BU209" s="108">
        <f t="shared" ref="BU209:BU214" si="265">BT209-BT197</f>
        <v>-145390</v>
      </c>
      <c r="BW209" s="529"/>
      <c r="CK209" s="165">
        <v>36526</v>
      </c>
      <c r="CL209" s="40">
        <f>BP209+COML!BV209+SPA!BV209</f>
        <v>-72513.590151914657</v>
      </c>
      <c r="CM209" s="40">
        <f>ROUND('[14]2000'!$D32,0)</f>
        <v>-112417</v>
      </c>
      <c r="CN209" s="2">
        <f t="shared" si="239"/>
        <v>39903.409848085343</v>
      </c>
      <c r="CO209" s="108">
        <f>'[2]FPC wSEB'!$R306</f>
        <v>3146441</v>
      </c>
      <c r="CP209" s="108">
        <f>'[2]FPC wSEB'!$C306-SUM('[2]FPC wSEB'!$K306:$L306)</f>
        <v>2421535</v>
      </c>
      <c r="CQ209" s="108">
        <f>'[2]FPC wSEB'!$T306-'[2]FPC wSEB'!$T305</f>
        <v>220635</v>
      </c>
      <c r="CR209" s="108">
        <f>SUM('[2]FPC wSEB'!$K306:$L306)</f>
        <v>247323</v>
      </c>
      <c r="CS209" s="108">
        <f>('[2]FPC wSEB'!$N306)-CQ209</f>
        <v>26383</v>
      </c>
      <c r="CT209" s="108">
        <f>'[2]FPC wSEB'!$P306</f>
        <v>9018</v>
      </c>
      <c r="CU209" s="108">
        <f>'[2]FPC wSEB'!$Q306</f>
        <v>221547</v>
      </c>
      <c r="CV209" s="115">
        <f t="shared" ref="CV209:CV214" si="266">CO209-SUM(CP209:CU209)</f>
        <v>0</v>
      </c>
      <c r="CW209" s="108">
        <f t="shared" si="240"/>
        <v>2803459</v>
      </c>
      <c r="CX209" s="108">
        <f t="shared" ref="CX209:CX214" si="267">SUM(CP209:CS209)+CL209</f>
        <v>2843362.4098480851</v>
      </c>
      <c r="CY209" s="108">
        <f t="shared" ref="CY209:CY214" si="268">CW209-CX209</f>
        <v>-39903.409848085139</v>
      </c>
    </row>
    <row r="210" spans="1:103">
      <c r="A210" s="13">
        <v>2000</v>
      </c>
      <c r="B210" s="13">
        <v>2</v>
      </c>
      <c r="C210" s="5">
        <v>1516191</v>
      </c>
      <c r="D210" s="73">
        <v>1258066</v>
      </c>
      <c r="E210" s="5">
        <f t="shared" si="222"/>
        <v>1495772</v>
      </c>
      <c r="F210" s="5">
        <f t="shared" si="223"/>
        <v>1229437</v>
      </c>
      <c r="G210" s="74">
        <f t="shared" ref="G210:G273" si="269">ROUND((E210)/F210*1000,1)</f>
        <v>1216.5999999999999</v>
      </c>
      <c r="H210" s="190">
        <v>20419.32</v>
      </c>
      <c r="I210" s="170">
        <v>28629</v>
      </c>
      <c r="J210" s="230">
        <f>'[7]RES 62 &amp; 67'!$S295</f>
        <v>29.1</v>
      </c>
      <c r="K210" s="183">
        <f t="shared" si="198"/>
        <v>43.3</v>
      </c>
      <c r="L210" s="233">
        <f t="shared" si="257"/>
        <v>14.199999999999996</v>
      </c>
      <c r="M210" s="230">
        <f>'[7]RES 62 &amp; 67'!$J295</f>
        <v>188.3</v>
      </c>
      <c r="N210" s="183">
        <f t="shared" si="199"/>
        <v>127.9</v>
      </c>
      <c r="O210" s="236">
        <f t="shared" si="258"/>
        <v>-60.400000000000006</v>
      </c>
      <c r="P210" s="206">
        <f t="shared" ref="P210:P273" si="270">L210*$C$10</f>
        <v>30.671999999999993</v>
      </c>
      <c r="Q210" s="208">
        <f t="shared" ref="Q210:Q273" si="271">IF($B210=12,L210*$C$11,IF($B210&lt;5,L210*$C$11,0))</f>
        <v>-8.6619999999999973</v>
      </c>
      <c r="R210" s="467">
        <f t="shared" ref="R210:R273" si="272">P210+Q210</f>
        <v>22.009999999999998</v>
      </c>
      <c r="S210" s="470">
        <f t="shared" ref="S210:S273" si="273">O210*$C$9</f>
        <v>-163.68400000000003</v>
      </c>
      <c r="T210" s="425">
        <f t="shared" ref="T210:T273" si="274">ROUND((R210+S210),1)</f>
        <v>-141.69999999999999</v>
      </c>
      <c r="U210" s="579">
        <f>[5]RC!$E90</f>
        <v>1239587</v>
      </c>
      <c r="V210" s="447">
        <v>36557</v>
      </c>
      <c r="W210" s="191">
        <f t="shared" si="259"/>
        <v>1074.8999999999999</v>
      </c>
      <c r="X210" s="73">
        <f t="shared" si="260"/>
        <v>1321522</v>
      </c>
      <c r="Y210" s="187">
        <f t="shared" si="221"/>
        <v>17798</v>
      </c>
      <c r="Z210" s="175">
        <f t="shared" ref="Z210:Z273" si="275">Y210+X210</f>
        <v>1339320</v>
      </c>
      <c r="AA210" s="40">
        <f t="shared" si="261"/>
        <v>-176871</v>
      </c>
      <c r="AB210" s="519">
        <f>[9]RMWh!$L90</f>
        <v>1323209</v>
      </c>
      <c r="AC210" s="107">
        <f>'[7]Gov 65 &amp; 70'!$B295</f>
        <v>30.8</v>
      </c>
      <c r="AD210" s="4">
        <f t="shared" si="262"/>
        <v>1306884</v>
      </c>
      <c r="AE210" s="4">
        <f t="shared" si="200"/>
        <v>121471</v>
      </c>
      <c r="AF210" s="23">
        <f t="shared" si="263"/>
        <v>1038.8</v>
      </c>
      <c r="AG210" s="75">
        <f t="shared" si="264"/>
        <v>62.199999999999932</v>
      </c>
      <c r="AI210" s="303">
        <f t="shared" si="224"/>
        <v>0.58625597843819965</v>
      </c>
      <c r="AU210" s="4">
        <v>2000</v>
      </c>
      <c r="AV210" s="4">
        <v>2</v>
      </c>
      <c r="AW210" s="230">
        <f>'[8]RES 62 &amp; 67'!$S295</f>
        <v>54.5</v>
      </c>
      <c r="AX210" s="200">
        <f t="shared" si="202"/>
        <v>59.2</v>
      </c>
      <c r="AY210" s="203">
        <f t="shared" si="255"/>
        <v>4.7000000000000028</v>
      </c>
      <c r="AZ210" s="230">
        <f>'[8]RES 62 &amp; 67'!$J295</f>
        <v>104.5</v>
      </c>
      <c r="BA210" s="183">
        <f t="shared" si="203"/>
        <v>97.8</v>
      </c>
      <c r="BB210" s="429">
        <f t="shared" si="256"/>
        <v>-6.7000000000000028</v>
      </c>
      <c r="BC210" s="206">
        <f t="shared" ref="BC210:BC273" si="276">AY210*$C$10</f>
        <v>10.152000000000006</v>
      </c>
      <c r="BD210" s="206">
        <f t="shared" ref="BD210:BD273" si="277">IF($B210=4,(C$11*0.5*AY210),IF($B210=11,(C$11*0.5*AY210),IF($B210=12,AY210*$C$11,IF($B210&lt;5,AY210*$C$11,0))))</f>
        <v>-2.8670000000000018</v>
      </c>
      <c r="BE210" s="206">
        <f t="shared" ref="BE210:BE273" si="278">BC210+BD210</f>
        <v>7.2850000000000046</v>
      </c>
      <c r="BF210" s="207">
        <f t="shared" ref="BF210:BF273" si="279">BB210*$C$9</f>
        <v>-18.157000000000007</v>
      </c>
      <c r="BG210" s="219">
        <f t="shared" ref="BG210:BG273" si="280">ROUND(BF210+BE210,1)</f>
        <v>-10.9</v>
      </c>
      <c r="BH210" s="4">
        <v>2000</v>
      </c>
      <c r="BI210" s="4">
        <v>2</v>
      </c>
      <c r="BJ210" s="108">
        <f>C210+[4]MWh!$AJ44</f>
        <v>1388863.1684642895</v>
      </c>
      <c r="BK210" s="108">
        <f t="shared" si="250"/>
        <v>18704.530941739027</v>
      </c>
      <c r="BL210" s="108">
        <f t="shared" si="225"/>
        <v>1370158.6375225505</v>
      </c>
      <c r="BM210" s="189">
        <f t="shared" si="251"/>
        <v>1103.5602265285252</v>
      </c>
      <c r="BN210" s="6">
        <f t="shared" si="252"/>
        <v>1356758</v>
      </c>
      <c r="BO210" s="175">
        <f t="shared" si="226"/>
        <v>18522</v>
      </c>
      <c r="BP210" s="108">
        <f t="shared" si="227"/>
        <v>-13583.16846428956</v>
      </c>
      <c r="BQ210" s="76">
        <f t="shared" si="253"/>
        <v>1103.9668574337829</v>
      </c>
      <c r="BR210" s="76">
        <f t="shared" si="254"/>
        <v>1093.1699926712909</v>
      </c>
      <c r="BS210" s="76">
        <f t="shared" si="219"/>
        <v>328.94511005339996</v>
      </c>
      <c r="BT210" s="175">
        <f t="shared" si="243"/>
        <v>1375280</v>
      </c>
      <c r="BU210" s="108">
        <f t="shared" si="265"/>
        <v>447686</v>
      </c>
      <c r="BW210" s="529"/>
      <c r="CK210" s="165">
        <v>36557</v>
      </c>
      <c r="CL210" s="40">
        <f>BP210+COML!BV210+SPA!BV210</f>
        <v>-9599.1684642895598</v>
      </c>
      <c r="CM210" s="40">
        <f>ROUND('[14]2000'!$D33,0)</f>
        <v>-56721</v>
      </c>
      <c r="CN210" s="2">
        <f t="shared" si="239"/>
        <v>47121.831535710444</v>
      </c>
      <c r="CO210" s="108">
        <f>'[2]FPC wSEB'!$R307</f>
        <v>2823721</v>
      </c>
      <c r="CP210" s="108">
        <f>'[2]FPC wSEB'!$C307-SUM('[2]FPC wSEB'!$K307:$L307)</f>
        <v>2848887</v>
      </c>
      <c r="CQ210" s="108">
        <f>'[2]FPC wSEB'!$T307-'[2]FPC wSEB'!$T306</f>
        <v>-412840</v>
      </c>
      <c r="CR210" s="108">
        <f>SUM('[2]FPC wSEB'!$K307:$L307)</f>
        <v>256195</v>
      </c>
      <c r="CS210" s="108">
        <f>('[2]FPC wSEB'!$N307)-CQ210</f>
        <v>-76072</v>
      </c>
      <c r="CT210" s="108">
        <f>'[2]FPC wSEB'!$P307</f>
        <v>7850</v>
      </c>
      <c r="CU210" s="108">
        <f>'[2]FPC wSEB'!$Q307</f>
        <v>199701</v>
      </c>
      <c r="CV210" s="115">
        <f t="shared" si="266"/>
        <v>0</v>
      </c>
      <c r="CW210" s="108">
        <f t="shared" si="240"/>
        <v>2559449</v>
      </c>
      <c r="CX210" s="108">
        <f t="shared" si="267"/>
        <v>2606570.8315357105</v>
      </c>
      <c r="CY210" s="108">
        <f t="shared" si="268"/>
        <v>-47121.831535710488</v>
      </c>
    </row>
    <row r="211" spans="1:103">
      <c r="A211" s="13">
        <v>2000</v>
      </c>
      <c r="B211" s="13">
        <v>3</v>
      </c>
      <c r="C211" s="5">
        <v>1051480</v>
      </c>
      <c r="D211" s="73">
        <v>1231173</v>
      </c>
      <c r="E211" s="5">
        <f t="shared" si="222"/>
        <v>1038161</v>
      </c>
      <c r="F211" s="5">
        <f t="shared" si="223"/>
        <v>1203191</v>
      </c>
      <c r="G211" s="74">
        <f t="shared" si="269"/>
        <v>862.8</v>
      </c>
      <c r="H211" s="190">
        <v>13318.906999999999</v>
      </c>
      <c r="I211" s="170">
        <v>27982</v>
      </c>
      <c r="J211" s="230">
        <f>'[7]RES 62 &amp; 67'!$S296</f>
        <v>89.8</v>
      </c>
      <c r="K211" s="183">
        <f t="shared" si="198"/>
        <v>77.2</v>
      </c>
      <c r="L211" s="233">
        <f t="shared" si="257"/>
        <v>-12.599999999999994</v>
      </c>
      <c r="M211" s="230">
        <f>'[7]RES 62 &amp; 67'!$J296</f>
        <v>54.8</v>
      </c>
      <c r="N211" s="183">
        <f t="shared" si="199"/>
        <v>82.3</v>
      </c>
      <c r="O211" s="236">
        <f t="shared" si="258"/>
        <v>27.5</v>
      </c>
      <c r="P211" s="206">
        <f t="shared" si="270"/>
        <v>-27.21599999999999</v>
      </c>
      <c r="Q211" s="208">
        <f t="shared" si="271"/>
        <v>7.6859999999999964</v>
      </c>
      <c r="R211" s="467">
        <f t="shared" si="272"/>
        <v>-19.529999999999994</v>
      </c>
      <c r="S211" s="470">
        <f t="shared" si="273"/>
        <v>74.525000000000006</v>
      </c>
      <c r="T211" s="425">
        <f t="shared" si="274"/>
        <v>55</v>
      </c>
      <c r="U211" s="579">
        <f>[5]RC!$E91</f>
        <v>1242839</v>
      </c>
      <c r="V211" s="447">
        <v>36586</v>
      </c>
      <c r="W211" s="191">
        <f t="shared" si="259"/>
        <v>917.8</v>
      </c>
      <c r="X211" s="73">
        <f t="shared" si="260"/>
        <v>1104289</v>
      </c>
      <c r="Y211" s="187">
        <f t="shared" si="221"/>
        <v>13988</v>
      </c>
      <c r="Z211" s="175">
        <f t="shared" si="275"/>
        <v>1118277</v>
      </c>
      <c r="AA211" s="40">
        <f t="shared" si="261"/>
        <v>66797</v>
      </c>
      <c r="AB211" s="519">
        <f>[9]RMWh!$L91</f>
        <v>1140277</v>
      </c>
      <c r="AC211" s="107">
        <f>'[7]Gov 65 &amp; 70'!$B296</f>
        <v>29.4</v>
      </c>
      <c r="AD211" s="4">
        <f t="shared" si="262"/>
        <v>1179838</v>
      </c>
      <c r="AE211" s="4">
        <f t="shared" si="200"/>
        <v>97673</v>
      </c>
      <c r="AF211" s="23">
        <f t="shared" si="263"/>
        <v>958.3</v>
      </c>
      <c r="AG211" s="75">
        <f t="shared" si="264"/>
        <v>59.399999999999977</v>
      </c>
      <c r="AI211" s="303">
        <f t="shared" si="224"/>
        <v>0.55167041949313267</v>
      </c>
      <c r="AU211" s="4">
        <v>2000</v>
      </c>
      <c r="AV211" s="4">
        <v>3</v>
      </c>
      <c r="AW211" s="230">
        <f>'[8]RES 62 &amp; 67'!$S296</f>
        <v>138.9</v>
      </c>
      <c r="AX211" s="200">
        <f t="shared" si="202"/>
        <v>105.8</v>
      </c>
      <c r="AY211" s="203">
        <f t="shared" si="255"/>
        <v>-33.100000000000009</v>
      </c>
      <c r="AZ211" s="230">
        <f>'[8]RES 62 &amp; 67'!$J296</f>
        <v>23.5</v>
      </c>
      <c r="BA211" s="183">
        <f t="shared" si="203"/>
        <v>49.9</v>
      </c>
      <c r="BB211" s="429">
        <f t="shared" si="256"/>
        <v>26.4</v>
      </c>
      <c r="BC211" s="206">
        <f t="shared" si="276"/>
        <v>-71.496000000000024</v>
      </c>
      <c r="BD211" s="206">
        <f t="shared" si="277"/>
        <v>20.191000000000006</v>
      </c>
      <c r="BE211" s="206">
        <f t="shared" si="278"/>
        <v>-51.305000000000021</v>
      </c>
      <c r="BF211" s="207">
        <f t="shared" si="279"/>
        <v>71.543999999999997</v>
      </c>
      <c r="BG211" s="219">
        <f t="shared" si="280"/>
        <v>20.2</v>
      </c>
      <c r="BH211" s="4">
        <v>2000</v>
      </c>
      <c r="BI211" s="4">
        <v>3</v>
      </c>
      <c r="BJ211" s="108">
        <f>C211+[4]MWh!$AJ45</f>
        <v>1010737.7797393522</v>
      </c>
      <c r="BK211" s="108">
        <f t="shared" si="250"/>
        <v>12802.832664182784</v>
      </c>
      <c r="BL211" s="108">
        <f t="shared" si="225"/>
        <v>997934.94707516942</v>
      </c>
      <c r="BM211" s="189">
        <f t="shared" si="251"/>
        <v>849.60692464884585</v>
      </c>
      <c r="BN211" s="6">
        <f t="shared" si="252"/>
        <v>1022239</v>
      </c>
      <c r="BO211" s="175">
        <f t="shared" si="226"/>
        <v>13115</v>
      </c>
      <c r="BP211" s="108">
        <f t="shared" si="227"/>
        <v>24616.220260647799</v>
      </c>
      <c r="BQ211" s="76">
        <f t="shared" si="253"/>
        <v>820.95512144869338</v>
      </c>
      <c r="BR211" s="76">
        <f t="shared" si="254"/>
        <v>840.94924108959503</v>
      </c>
      <c r="BS211" s="76">
        <f t="shared" si="219"/>
        <v>-78.057905778375698</v>
      </c>
      <c r="BT211" s="175">
        <f t="shared" si="243"/>
        <v>1035354</v>
      </c>
      <c r="BU211" s="108">
        <f t="shared" si="265"/>
        <v>-71024</v>
      </c>
      <c r="BW211" s="529"/>
      <c r="CK211" s="165">
        <v>36586</v>
      </c>
      <c r="CL211" s="40">
        <f>BP211+COML!BV211+SPA!BV211</f>
        <v>-281.77973935220143</v>
      </c>
      <c r="CM211" s="40">
        <f>ROUND('[14]2000'!$D34,0)</f>
        <v>94701</v>
      </c>
      <c r="CN211" s="2">
        <f t="shared" si="239"/>
        <v>-94982.779739352205</v>
      </c>
      <c r="CO211" s="108">
        <f>'[2]FPC wSEB'!$R308</f>
        <v>2900766</v>
      </c>
      <c r="CP211" s="108">
        <f>'[2]FPC wSEB'!$C308-SUM('[2]FPC wSEB'!$K308:$L308)</f>
        <v>2380873</v>
      </c>
      <c r="CQ211" s="108">
        <f>'[2]FPC wSEB'!$T308-'[2]FPC wSEB'!$T307</f>
        <v>199238</v>
      </c>
      <c r="CR211" s="108">
        <f>SUM('[2]FPC wSEB'!$K308:$L308)</f>
        <v>210547</v>
      </c>
      <c r="CS211" s="108">
        <f>('[2]FPC wSEB'!$N308)-CQ211</f>
        <v>19640</v>
      </c>
      <c r="CT211" s="108">
        <f>'[2]FPC wSEB'!$P308</f>
        <v>9593</v>
      </c>
      <c r="CU211" s="108">
        <f>'[2]FPC wSEB'!$Q308</f>
        <v>80875</v>
      </c>
      <c r="CV211" s="115">
        <f t="shared" si="266"/>
        <v>0</v>
      </c>
      <c r="CW211" s="108">
        <f t="shared" si="240"/>
        <v>2904999</v>
      </c>
      <c r="CX211" s="108">
        <f t="shared" si="267"/>
        <v>2810016.2202606476</v>
      </c>
      <c r="CY211" s="108">
        <f t="shared" si="268"/>
        <v>94982.779739352409</v>
      </c>
    </row>
    <row r="212" spans="1:103">
      <c r="A212" s="13">
        <v>2000</v>
      </c>
      <c r="B212" s="13">
        <v>4</v>
      </c>
      <c r="C212" s="5">
        <v>1104237</v>
      </c>
      <c r="D212" s="73">
        <v>1250736</v>
      </c>
      <c r="E212" s="5">
        <f t="shared" si="222"/>
        <v>1091237</v>
      </c>
      <c r="F212" s="5">
        <f t="shared" si="223"/>
        <v>1220344</v>
      </c>
      <c r="G212" s="74">
        <f t="shared" si="269"/>
        <v>894.2</v>
      </c>
      <c r="H212" s="190">
        <v>13000.33</v>
      </c>
      <c r="I212" s="170">
        <v>30392</v>
      </c>
      <c r="J212" s="230">
        <f>'[7]RES 62 &amp; 67'!$S297</f>
        <v>149.80000000000001</v>
      </c>
      <c r="K212" s="183">
        <f t="shared" si="198"/>
        <v>138.1</v>
      </c>
      <c r="L212" s="233">
        <f t="shared" si="257"/>
        <v>-11.700000000000017</v>
      </c>
      <c r="M212" s="230">
        <f>'[7]RES 62 &amp; 67'!$J297</f>
        <v>26</v>
      </c>
      <c r="N212" s="183">
        <f t="shared" si="199"/>
        <v>37.299999999999997</v>
      </c>
      <c r="O212" s="236">
        <f t="shared" si="258"/>
        <v>11.299999999999997</v>
      </c>
      <c r="P212" s="206">
        <f t="shared" si="270"/>
        <v>-25.272000000000038</v>
      </c>
      <c r="Q212" s="208">
        <f t="shared" si="271"/>
        <v>7.1370000000000102</v>
      </c>
      <c r="R212" s="467">
        <f t="shared" si="272"/>
        <v>-18.135000000000026</v>
      </c>
      <c r="S212" s="470">
        <f t="shared" si="273"/>
        <v>30.62299999999999</v>
      </c>
      <c r="T212" s="425">
        <f t="shared" si="274"/>
        <v>12.5</v>
      </c>
      <c r="U212" s="579">
        <f>[5]RC!$E92</f>
        <v>1238547</v>
      </c>
      <c r="V212" s="447">
        <v>36617</v>
      </c>
      <c r="W212" s="191">
        <f t="shared" si="259"/>
        <v>906.7</v>
      </c>
      <c r="X212" s="73">
        <f t="shared" si="260"/>
        <v>1106486</v>
      </c>
      <c r="Y212" s="187">
        <f t="shared" si="221"/>
        <v>13027</v>
      </c>
      <c r="Z212" s="175">
        <f t="shared" si="275"/>
        <v>1119513</v>
      </c>
      <c r="AA212" s="40">
        <f t="shared" si="261"/>
        <v>15276</v>
      </c>
      <c r="AB212" s="519">
        <f>[9]RMWh!$L92</f>
        <v>1104547</v>
      </c>
      <c r="AC212" s="107">
        <f>'[7]Gov 65 &amp; 70'!$B297</f>
        <v>31.05</v>
      </c>
      <c r="AD212" s="4">
        <f t="shared" si="262"/>
        <v>1082136</v>
      </c>
      <c r="AE212" s="4">
        <f t="shared" si="200"/>
        <v>26155</v>
      </c>
      <c r="AF212" s="23">
        <f t="shared" si="263"/>
        <v>865.2</v>
      </c>
      <c r="AG212" s="75">
        <f t="shared" si="264"/>
        <v>-10.299999999999955</v>
      </c>
      <c r="AI212" s="303">
        <f t="shared" si="224"/>
        <v>0.4783661388013149</v>
      </c>
      <c r="AU212" s="4">
        <v>2000</v>
      </c>
      <c r="AV212" s="4">
        <v>4</v>
      </c>
      <c r="AW212" s="230">
        <f>'[8]RES 62 &amp; 67'!$S297</f>
        <v>156.4</v>
      </c>
      <c r="AX212" s="200">
        <f t="shared" si="202"/>
        <v>181.7</v>
      </c>
      <c r="AY212" s="203">
        <f t="shared" ref="AY212:AY217" si="281">AX212-AW212</f>
        <v>25.299999999999983</v>
      </c>
      <c r="AZ212" s="230">
        <f>'[8]RES 62 &amp; 67'!$J297</f>
        <v>25.9</v>
      </c>
      <c r="BA212" s="183">
        <f t="shared" si="203"/>
        <v>21.5</v>
      </c>
      <c r="BB212" s="429">
        <f t="shared" ref="BB212:BB218" si="282">BA212-AZ212</f>
        <v>-4.3999999999999986</v>
      </c>
      <c r="BC212" s="206">
        <f t="shared" si="276"/>
        <v>54.647999999999968</v>
      </c>
      <c r="BD212" s="206">
        <f t="shared" si="277"/>
        <v>-7.7164999999999946</v>
      </c>
      <c r="BE212" s="206">
        <f t="shared" si="278"/>
        <v>46.931499999999971</v>
      </c>
      <c r="BF212" s="207">
        <f t="shared" si="279"/>
        <v>-11.923999999999996</v>
      </c>
      <c r="BG212" s="219">
        <f t="shared" si="280"/>
        <v>35</v>
      </c>
      <c r="BH212" s="4">
        <v>2000</v>
      </c>
      <c r="BI212" s="4">
        <v>4</v>
      </c>
      <c r="BJ212" s="108">
        <f>C212+[4]MWh!$AJ46</f>
        <v>1046298.9634863861</v>
      </c>
      <c r="BK212" s="108">
        <f t="shared" si="250"/>
        <v>12318.217741282868</v>
      </c>
      <c r="BL212" s="108">
        <f t="shared" si="225"/>
        <v>1033980.7457451032</v>
      </c>
      <c r="BM212" s="189">
        <f t="shared" si="251"/>
        <v>882.28629447524895</v>
      </c>
      <c r="BN212" s="6">
        <f t="shared" si="252"/>
        <v>1076693</v>
      </c>
      <c r="BO212" s="175">
        <f t="shared" si="226"/>
        <v>12827</v>
      </c>
      <c r="BP212" s="108">
        <f t="shared" si="227"/>
        <v>43221.036513613908</v>
      </c>
      <c r="BQ212" s="76">
        <f t="shared" si="253"/>
        <v>836.54661214387863</v>
      </c>
      <c r="BR212" s="76">
        <f t="shared" si="254"/>
        <v>871.10309449795966</v>
      </c>
      <c r="BS212" s="76">
        <f t="shared" si="219"/>
        <v>43.325169327666117</v>
      </c>
      <c r="BT212" s="175">
        <f t="shared" si="243"/>
        <v>1089520</v>
      </c>
      <c r="BU212" s="108">
        <f t="shared" si="265"/>
        <v>91094</v>
      </c>
      <c r="BW212" s="529"/>
      <c r="CK212" s="165">
        <v>36617</v>
      </c>
      <c r="CL212" s="40">
        <f>BP212+COML!BV212+SPA!BV212</f>
        <v>64694.036513613908</v>
      </c>
      <c r="CM212" s="40">
        <f>ROUND('[14]2000'!$D35,0)</f>
        <v>-862</v>
      </c>
      <c r="CN212" s="2">
        <f t="shared" si="239"/>
        <v>65556.036513613915</v>
      </c>
      <c r="CO212" s="108">
        <f>'[2]FPC wSEB'!$R309</f>
        <v>2846979</v>
      </c>
      <c r="CP212" s="108">
        <f>'[2]FPC wSEB'!$C309-SUM('[2]FPC wSEB'!$K309:$L309)</f>
        <v>2547297</v>
      </c>
      <c r="CQ212" s="108">
        <f>'[2]FPC wSEB'!$T309-'[2]FPC wSEB'!$T308</f>
        <v>-103212</v>
      </c>
      <c r="CR212" s="108">
        <f>SUM('[2]FPC wSEB'!$K309:$L309)</f>
        <v>230026</v>
      </c>
      <c r="CS212" s="108">
        <f>('[2]FPC wSEB'!$N309)-CQ212</f>
        <v>-10293</v>
      </c>
      <c r="CT212" s="108">
        <f>'[2]FPC wSEB'!$P309</f>
        <v>10861</v>
      </c>
      <c r="CU212" s="108">
        <f>'[2]FPC wSEB'!$Q309</f>
        <v>172300</v>
      </c>
      <c r="CV212" s="115">
        <f t="shared" si="266"/>
        <v>0</v>
      </c>
      <c r="CW212" s="108">
        <f t="shared" si="240"/>
        <v>2662956</v>
      </c>
      <c r="CX212" s="108">
        <f t="shared" si="267"/>
        <v>2728512.036513614</v>
      </c>
      <c r="CY212" s="108">
        <f t="shared" si="268"/>
        <v>-65556.036513614003</v>
      </c>
    </row>
    <row r="213" spans="1:103">
      <c r="A213" s="13">
        <v>2000</v>
      </c>
      <c r="B213" s="13">
        <v>5</v>
      </c>
      <c r="C213" s="5">
        <v>1237990</v>
      </c>
      <c r="D213" s="73">
        <v>1220587</v>
      </c>
      <c r="E213" s="5">
        <f t="shared" si="222"/>
        <v>1228273</v>
      </c>
      <c r="F213" s="5">
        <f t="shared" si="223"/>
        <v>1187666</v>
      </c>
      <c r="G213" s="74">
        <f t="shared" si="269"/>
        <v>1034.2</v>
      </c>
      <c r="H213" s="190">
        <v>9716.6759999999995</v>
      </c>
      <c r="I213" s="170">
        <v>32921</v>
      </c>
      <c r="J213" s="230">
        <f>'[7]RES 62 &amp; 67'!$S298</f>
        <v>221.5</v>
      </c>
      <c r="K213" s="183">
        <f t="shared" si="198"/>
        <v>224.4</v>
      </c>
      <c r="L213" s="233">
        <f t="shared" si="257"/>
        <v>2.9000000000000057</v>
      </c>
      <c r="M213" s="230">
        <f>'[7]RES 62 &amp; 67'!$J298</f>
        <v>13.4</v>
      </c>
      <c r="N213" s="183">
        <f t="shared" si="199"/>
        <v>11.2</v>
      </c>
      <c r="O213" s="236">
        <f t="shared" si="258"/>
        <v>-2.2000000000000011</v>
      </c>
      <c r="P213" s="206">
        <f t="shared" si="270"/>
        <v>6.2640000000000127</v>
      </c>
      <c r="Q213" s="208">
        <f t="shared" si="271"/>
        <v>0</v>
      </c>
      <c r="R213" s="467">
        <f t="shared" si="272"/>
        <v>6.2640000000000127</v>
      </c>
      <c r="S213" s="470">
        <f t="shared" si="273"/>
        <v>-5.9620000000000024</v>
      </c>
      <c r="T213" s="425">
        <f t="shared" si="274"/>
        <v>0.3</v>
      </c>
      <c r="U213" s="579">
        <f>[5]RC!$E93</f>
        <v>1231447</v>
      </c>
      <c r="V213" s="447">
        <v>36647</v>
      </c>
      <c r="W213" s="191">
        <f t="shared" si="259"/>
        <v>1034.5</v>
      </c>
      <c r="X213" s="73">
        <f t="shared" si="260"/>
        <v>1228640</v>
      </c>
      <c r="Y213" s="187">
        <f t="shared" si="221"/>
        <v>9643</v>
      </c>
      <c r="Z213" s="175">
        <f t="shared" si="275"/>
        <v>1238283</v>
      </c>
      <c r="AA213" s="40">
        <f t="shared" si="261"/>
        <v>293</v>
      </c>
      <c r="AB213" s="519">
        <f>[9]RMWh!$L93</f>
        <v>1241813</v>
      </c>
      <c r="AC213" s="107">
        <f>'[7]Gov 65 &amp; 70'!$B298</f>
        <v>30.55</v>
      </c>
      <c r="AD213" s="4">
        <f t="shared" si="262"/>
        <v>1236529</v>
      </c>
      <c r="AE213" s="4">
        <f t="shared" si="200"/>
        <v>38083</v>
      </c>
      <c r="AF213" s="23">
        <f t="shared" si="263"/>
        <v>1013.1</v>
      </c>
      <c r="AG213" s="75">
        <f t="shared" si="264"/>
        <v>34.300000000000068</v>
      </c>
      <c r="AI213" s="303">
        <f t="shared" si="224"/>
        <v>0.28539093173544949</v>
      </c>
      <c r="AU213" s="4">
        <v>2000</v>
      </c>
      <c r="AV213" s="4">
        <v>5</v>
      </c>
      <c r="AW213" s="230">
        <f>'[8]RES 62 &amp; 67'!$S298</f>
        <v>370</v>
      </c>
      <c r="AX213" s="200">
        <f t="shared" si="202"/>
        <v>336.7</v>
      </c>
      <c r="AY213" s="203">
        <f t="shared" si="281"/>
        <v>-33.300000000000011</v>
      </c>
      <c r="AZ213" s="230">
        <f>'[8]RES 62 &amp; 67'!$J298</f>
        <v>1.6</v>
      </c>
      <c r="BA213" s="183">
        <f t="shared" si="203"/>
        <v>2.1</v>
      </c>
      <c r="BB213" s="429">
        <f t="shared" si="282"/>
        <v>0.5</v>
      </c>
      <c r="BC213" s="206">
        <f t="shared" si="276"/>
        <v>-71.928000000000026</v>
      </c>
      <c r="BD213" s="206">
        <f t="shared" si="277"/>
        <v>0</v>
      </c>
      <c r="BE213" s="206">
        <f t="shared" si="278"/>
        <v>-71.928000000000026</v>
      </c>
      <c r="BF213" s="207">
        <f t="shared" si="279"/>
        <v>1.355</v>
      </c>
      <c r="BG213" s="219">
        <f t="shared" si="280"/>
        <v>-70.599999999999994</v>
      </c>
      <c r="BH213" s="4">
        <v>2000</v>
      </c>
      <c r="BI213" s="4">
        <v>5</v>
      </c>
      <c r="BJ213" s="108">
        <f>C213+[4]MWh!$AJ47</f>
        <v>1532297.8813108755</v>
      </c>
      <c r="BK213" s="108">
        <f t="shared" si="250"/>
        <v>12026.625455927942</v>
      </c>
      <c r="BL213" s="108">
        <f t="shared" si="225"/>
        <v>1520271.2558549475</v>
      </c>
      <c r="BM213" s="189">
        <f t="shared" si="251"/>
        <v>1209.4494885388212</v>
      </c>
      <c r="BN213" s="6">
        <f t="shared" si="252"/>
        <v>1436422</v>
      </c>
      <c r="BO213" s="175">
        <f t="shared" si="226"/>
        <v>11363</v>
      </c>
      <c r="BP213" s="108">
        <f t="shared" si="227"/>
        <v>-84512.88131087544</v>
      </c>
      <c r="BQ213" s="76">
        <f t="shared" si="253"/>
        <v>1255.3778479623948</v>
      </c>
      <c r="BR213" s="76">
        <f t="shared" si="254"/>
        <v>1186.1383088628668</v>
      </c>
      <c r="BS213" s="76">
        <f t="shared" si="219"/>
        <v>22.351985381856139</v>
      </c>
      <c r="BT213" s="175">
        <f t="shared" si="243"/>
        <v>1447785</v>
      </c>
      <c r="BU213" s="108">
        <f t="shared" si="265"/>
        <v>22788</v>
      </c>
      <c r="BW213" s="529"/>
      <c r="CK213" s="165">
        <v>36647</v>
      </c>
      <c r="CL213" s="40">
        <f>BP213+COML!BV213+SPA!BV213</f>
        <v>-114795.88131087544</v>
      </c>
      <c r="CM213" s="40">
        <f>ROUND('[14]2000'!$D36,0)</f>
        <v>-185875</v>
      </c>
      <c r="CN213" s="2">
        <f t="shared" si="239"/>
        <v>71079.11868912456</v>
      </c>
      <c r="CO213" s="108">
        <f>'[2]FPC wSEB'!$R310</f>
        <v>3749291</v>
      </c>
      <c r="CP213" s="108">
        <f>'[2]FPC wSEB'!$C310-SUM('[2]FPC wSEB'!$K310:$L310)</f>
        <v>2674480</v>
      </c>
      <c r="CQ213" s="108">
        <f>'[2]FPC wSEB'!$T310-'[2]FPC wSEB'!$T309</f>
        <v>539440</v>
      </c>
      <c r="CR213" s="108">
        <f>SUM('[2]FPC wSEB'!$K310:$L310)</f>
        <v>207830</v>
      </c>
      <c r="CS213" s="108">
        <f>('[2]FPC wSEB'!$N310)-CQ213</f>
        <v>108408</v>
      </c>
      <c r="CT213" s="108">
        <f>'[2]FPC wSEB'!$P310</f>
        <v>9390</v>
      </c>
      <c r="CU213" s="108">
        <f>'[2]FPC wSEB'!$Q310</f>
        <v>209743</v>
      </c>
      <c r="CV213" s="115">
        <f t="shared" si="266"/>
        <v>0</v>
      </c>
      <c r="CW213" s="108">
        <f t="shared" si="240"/>
        <v>3344283</v>
      </c>
      <c r="CX213" s="108">
        <f t="shared" si="267"/>
        <v>3415362.1186891245</v>
      </c>
      <c r="CY213" s="108">
        <f t="shared" si="268"/>
        <v>-71079.118689124472</v>
      </c>
    </row>
    <row r="214" spans="1:103">
      <c r="A214" s="13">
        <v>2000</v>
      </c>
      <c r="B214" s="13">
        <v>6</v>
      </c>
      <c r="C214" s="5">
        <v>1723088</v>
      </c>
      <c r="D214" s="73">
        <v>1216057</v>
      </c>
      <c r="E214" s="5">
        <f t="shared" si="222"/>
        <v>1714817</v>
      </c>
      <c r="F214" s="5">
        <f t="shared" si="223"/>
        <v>1181758</v>
      </c>
      <c r="G214" s="74">
        <f t="shared" si="269"/>
        <v>1451.1</v>
      </c>
      <c r="H214" s="190">
        <v>8271.2029999999995</v>
      </c>
      <c r="I214" s="170">
        <v>34299</v>
      </c>
      <c r="J214" s="230">
        <f>'[7]RES 62 &amp; 67'!$S299</f>
        <v>425.4</v>
      </c>
      <c r="K214" s="183">
        <f t="shared" si="198"/>
        <v>382.8</v>
      </c>
      <c r="L214" s="233">
        <f t="shared" si="257"/>
        <v>-42.599999999999966</v>
      </c>
      <c r="M214" s="230">
        <f>'[7]RES 62 &amp; 67'!$J299</f>
        <v>0.4</v>
      </c>
      <c r="N214" s="183">
        <f t="shared" si="199"/>
        <v>0.9</v>
      </c>
      <c r="O214" s="236">
        <f t="shared" si="258"/>
        <v>0.5</v>
      </c>
      <c r="P214" s="206">
        <f t="shared" si="270"/>
        <v>-92.015999999999934</v>
      </c>
      <c r="Q214" s="208">
        <f t="shared" si="271"/>
        <v>0</v>
      </c>
      <c r="R214" s="467">
        <f t="shared" si="272"/>
        <v>-92.015999999999934</v>
      </c>
      <c r="S214" s="470">
        <f t="shared" si="273"/>
        <v>1.355</v>
      </c>
      <c r="T214" s="425">
        <f t="shared" si="274"/>
        <v>-90.7</v>
      </c>
      <c r="U214" s="579">
        <f>[5]RC!$E94</f>
        <v>1231373</v>
      </c>
      <c r="V214" s="447">
        <v>36678</v>
      </c>
      <c r="W214" s="191">
        <f t="shared" si="259"/>
        <v>1360.3999999999999</v>
      </c>
      <c r="X214" s="73">
        <f t="shared" si="260"/>
        <v>1607664</v>
      </c>
      <c r="Y214" s="187">
        <f t="shared" si="221"/>
        <v>7717</v>
      </c>
      <c r="Z214" s="175">
        <f t="shared" si="275"/>
        <v>1615381</v>
      </c>
      <c r="AA214" s="40">
        <f t="shared" si="261"/>
        <v>-107707</v>
      </c>
      <c r="AB214" s="519">
        <f>[9]RMWh!$L94</f>
        <v>1623329</v>
      </c>
      <c r="AC214" s="107">
        <f>'[7]Gov 65 &amp; 70'!$B299</f>
        <v>30.8</v>
      </c>
      <c r="AD214" s="4">
        <f t="shared" si="262"/>
        <v>1603301</v>
      </c>
      <c r="AE214" s="4">
        <f t="shared" si="200"/>
        <v>111812</v>
      </c>
      <c r="AF214" s="23">
        <f t="shared" si="263"/>
        <v>1318.4</v>
      </c>
      <c r="AG214" s="75">
        <f t="shared" si="264"/>
        <v>51</v>
      </c>
      <c r="AI214" s="303">
        <f t="shared" si="224"/>
        <v>0.16618425692091268</v>
      </c>
      <c r="AU214" s="4">
        <v>2000</v>
      </c>
      <c r="AV214" s="4">
        <v>6</v>
      </c>
      <c r="AW214" s="230">
        <f>'[8]RES 62 &amp; 67'!$S299</f>
        <v>438.8</v>
      </c>
      <c r="AX214" s="200">
        <f t="shared" si="202"/>
        <v>425.2</v>
      </c>
      <c r="AY214" s="203">
        <f t="shared" si="281"/>
        <v>-13.600000000000023</v>
      </c>
      <c r="AZ214" s="230">
        <f>'[8]RES 62 &amp; 67'!$J299</f>
        <v>0</v>
      </c>
      <c r="BA214" s="183">
        <f t="shared" si="203"/>
        <v>0</v>
      </c>
      <c r="BB214" s="429">
        <f t="shared" si="282"/>
        <v>0</v>
      </c>
      <c r="BC214" s="206">
        <f t="shared" si="276"/>
        <v>-29.376000000000051</v>
      </c>
      <c r="BD214" s="206">
        <f t="shared" si="277"/>
        <v>0</v>
      </c>
      <c r="BE214" s="206">
        <f t="shared" si="278"/>
        <v>-29.376000000000051</v>
      </c>
      <c r="BF214" s="207">
        <f t="shared" si="279"/>
        <v>0</v>
      </c>
      <c r="BG214" s="219">
        <f t="shared" si="280"/>
        <v>-29.4</v>
      </c>
      <c r="BH214" s="4">
        <v>2000</v>
      </c>
      <c r="BI214" s="4">
        <v>6</v>
      </c>
      <c r="BJ214" s="108">
        <f>C214+[4]MWh!$AJ48</f>
        <v>1779436.6475725765</v>
      </c>
      <c r="BK214" s="108">
        <f t="shared" si="250"/>
        <v>8541.6889547789997</v>
      </c>
      <c r="BL214" s="108">
        <f t="shared" si="225"/>
        <v>1770894.9586177976</v>
      </c>
      <c r="BM214" s="189">
        <f t="shared" si="251"/>
        <v>1469.1258899180691</v>
      </c>
      <c r="BN214" s="6">
        <f t="shared" si="252"/>
        <v>1736151</v>
      </c>
      <c r="BO214" s="175">
        <f t="shared" si="226"/>
        <v>8374</v>
      </c>
      <c r="BP214" s="108">
        <f t="shared" si="227"/>
        <v>-34911.647572576585</v>
      </c>
      <c r="BQ214" s="76">
        <f t="shared" si="253"/>
        <v>1463.2839147939419</v>
      </c>
      <c r="BR214" s="76">
        <f t="shared" si="254"/>
        <v>1434.5750240325906</v>
      </c>
      <c r="BS214" s="76">
        <f t="shared" si="219"/>
        <v>64.788699427841038</v>
      </c>
      <c r="BT214" s="175">
        <f t="shared" si="243"/>
        <v>1744525</v>
      </c>
      <c r="BU214" s="108">
        <f t="shared" si="265"/>
        <v>132581</v>
      </c>
      <c r="BW214" s="529"/>
      <c r="CK214" s="165">
        <v>36678</v>
      </c>
      <c r="CL214" s="40">
        <f>BP214+COML!BV214+SPA!BV214</f>
        <v>-47256.647572576585</v>
      </c>
      <c r="CM214" s="40">
        <f>ROUND('[14]2000'!$D37,0)</f>
        <v>-95239</v>
      </c>
      <c r="CN214" s="2">
        <f t="shared" si="239"/>
        <v>47982.352427423415</v>
      </c>
      <c r="CO214" s="108">
        <f>'[2]FPC wSEB'!$R311</f>
        <v>3890373</v>
      </c>
      <c r="CP214" s="108">
        <f>'[2]FPC wSEB'!$C311-SUM('[2]FPC wSEB'!$K311:$L311)</f>
        <v>3374622</v>
      </c>
      <c r="CQ214" s="108">
        <f>'[2]FPC wSEB'!$T311-'[2]FPC wSEB'!$T310</f>
        <v>-81840</v>
      </c>
      <c r="CR214" s="108">
        <f>SUM('[2]FPC wSEB'!$K311:$L311)</f>
        <v>298866</v>
      </c>
      <c r="CS214" s="108">
        <f>('[2]FPC wSEB'!$N311)-CQ214</f>
        <v>68965</v>
      </c>
      <c r="CT214" s="108">
        <f>'[2]FPC wSEB'!$P311</f>
        <v>9799</v>
      </c>
      <c r="CU214" s="108">
        <f>'[2]FPC wSEB'!$Q311</f>
        <v>219961</v>
      </c>
      <c r="CV214" s="115">
        <f t="shared" si="266"/>
        <v>0</v>
      </c>
      <c r="CW214" s="108">
        <f t="shared" si="240"/>
        <v>3565374</v>
      </c>
      <c r="CX214" s="108">
        <f t="shared" si="267"/>
        <v>3613356.3524274235</v>
      </c>
      <c r="CY214" s="108">
        <f t="shared" si="268"/>
        <v>-47982.352427423466</v>
      </c>
    </row>
    <row r="215" spans="1:103">
      <c r="A215" s="13">
        <v>2000</v>
      </c>
      <c r="B215" s="13">
        <v>7</v>
      </c>
      <c r="C215" s="5">
        <v>1832696</v>
      </c>
      <c r="D215" s="73">
        <v>1230854</v>
      </c>
      <c r="E215" s="5">
        <f t="shared" si="222"/>
        <v>1825503</v>
      </c>
      <c r="F215" s="5">
        <f t="shared" si="223"/>
        <v>1196117</v>
      </c>
      <c r="G215" s="74">
        <f t="shared" si="269"/>
        <v>1526.2</v>
      </c>
      <c r="H215" s="190">
        <v>7192.6459999999997</v>
      </c>
      <c r="I215" s="170">
        <v>34737</v>
      </c>
      <c r="J215" s="230">
        <f>'[7]RES 62 &amp; 67'!$S300</f>
        <v>475.9</v>
      </c>
      <c r="K215" s="183">
        <f t="shared" si="198"/>
        <v>454.9</v>
      </c>
      <c r="L215" s="233">
        <f t="shared" ref="L215:L226" si="283">(K215-J215)</f>
        <v>-21</v>
      </c>
      <c r="M215" s="230">
        <f>'[7]RES 62 &amp; 67'!$J300</f>
        <v>0</v>
      </c>
      <c r="N215" s="183">
        <f t="shared" si="199"/>
        <v>0</v>
      </c>
      <c r="O215" s="236">
        <f t="shared" ref="O215:O226" si="284">(N215-M215)</f>
        <v>0</v>
      </c>
      <c r="P215" s="206">
        <f t="shared" si="270"/>
        <v>-45.36</v>
      </c>
      <c r="Q215" s="208">
        <f t="shared" si="271"/>
        <v>0</v>
      </c>
      <c r="R215" s="467">
        <f t="shared" si="272"/>
        <v>-45.36</v>
      </c>
      <c r="S215" s="470">
        <f t="shared" si="273"/>
        <v>0</v>
      </c>
      <c r="T215" s="425">
        <f t="shared" si="274"/>
        <v>-45.4</v>
      </c>
      <c r="U215" s="579">
        <f>[5]RC!$E95</f>
        <v>1234439</v>
      </c>
      <c r="V215" s="447">
        <v>36708</v>
      </c>
      <c r="W215" s="191">
        <f t="shared" si="259"/>
        <v>1480.8</v>
      </c>
      <c r="X215" s="73">
        <f t="shared" si="260"/>
        <v>1771210</v>
      </c>
      <c r="Y215" s="187">
        <f t="shared" si="221"/>
        <v>6951</v>
      </c>
      <c r="Z215" s="175">
        <f t="shared" si="275"/>
        <v>1778161</v>
      </c>
      <c r="AA215" s="40">
        <f t="shared" si="261"/>
        <v>-54535</v>
      </c>
      <c r="AB215" s="519">
        <f>[9]RMWh!$L95</f>
        <v>1782839</v>
      </c>
      <c r="AC215" s="107">
        <f>'[7]Gov 65 &amp; 70'!$B300</f>
        <v>31.95</v>
      </c>
      <c r="AD215" s="4">
        <f t="shared" si="262"/>
        <v>1697464</v>
      </c>
      <c r="AE215" s="4">
        <f t="shared" si="200"/>
        <v>40488</v>
      </c>
      <c r="AF215" s="23">
        <f t="shared" si="263"/>
        <v>1379.1</v>
      </c>
      <c r="AG215" s="75">
        <f t="shared" ref="AG215:AG220" si="285">AF215-AF203</f>
        <v>-9.8000000000001819</v>
      </c>
      <c r="AI215" s="303">
        <f t="shared" si="224"/>
        <v>0.13567034466645214</v>
      </c>
      <c r="AU215" s="4">
        <v>2000</v>
      </c>
      <c r="AV215" s="4">
        <v>7</v>
      </c>
      <c r="AW215" s="230">
        <f>'[8]RES 62 &amp; 67'!$S300</f>
        <v>483.3</v>
      </c>
      <c r="AX215" s="200">
        <f t="shared" si="202"/>
        <v>484.1</v>
      </c>
      <c r="AY215" s="203">
        <f t="shared" si="281"/>
        <v>0.80000000000001137</v>
      </c>
      <c r="AZ215" s="230">
        <f>'[8]RES 62 &amp; 67'!$J300</f>
        <v>0</v>
      </c>
      <c r="BA215" s="183">
        <f t="shared" si="203"/>
        <v>0</v>
      </c>
      <c r="BB215" s="429">
        <f t="shared" si="282"/>
        <v>0</v>
      </c>
      <c r="BC215" s="206">
        <f t="shared" si="276"/>
        <v>1.7280000000000246</v>
      </c>
      <c r="BD215" s="206">
        <f t="shared" si="277"/>
        <v>0</v>
      </c>
      <c r="BE215" s="206">
        <f t="shared" si="278"/>
        <v>1.7280000000000246</v>
      </c>
      <c r="BF215" s="207">
        <f t="shared" si="279"/>
        <v>0</v>
      </c>
      <c r="BG215" s="219">
        <f t="shared" si="280"/>
        <v>1.7</v>
      </c>
      <c r="BH215" s="4">
        <v>2000</v>
      </c>
      <c r="BI215" s="4">
        <v>7</v>
      </c>
      <c r="BJ215" s="108">
        <f>C215+[4]MWh!$AJ49</f>
        <v>1798116.4865190005</v>
      </c>
      <c r="BK215" s="108">
        <f t="shared" si="250"/>
        <v>7056.9343493383203</v>
      </c>
      <c r="BL215" s="108">
        <f t="shared" si="225"/>
        <v>1791059.5521696622</v>
      </c>
      <c r="BM215" s="189">
        <f t="shared" si="251"/>
        <v>1499.0949472916629</v>
      </c>
      <c r="BN215" s="6">
        <f t="shared" si="252"/>
        <v>1793093</v>
      </c>
      <c r="BO215" s="175">
        <f t="shared" si="226"/>
        <v>7065</v>
      </c>
      <c r="BP215" s="108">
        <f t="shared" si="227"/>
        <v>2041.5134809994779</v>
      </c>
      <c r="BQ215" s="76">
        <f t="shared" si="253"/>
        <v>1460.8690279423884</v>
      </c>
      <c r="BR215" s="76">
        <f t="shared" si="254"/>
        <v>1462.5276434085604</v>
      </c>
      <c r="BS215" s="76">
        <f t="shared" si="219"/>
        <v>-5.4506329682988053</v>
      </c>
      <c r="BT215" s="175">
        <f t="shared" si="243"/>
        <v>1800158</v>
      </c>
      <c r="BU215" s="108">
        <f t="shared" ref="BU215:BU220" si="286">BT215-BT203</f>
        <v>48879</v>
      </c>
      <c r="BW215" s="529"/>
      <c r="CK215" s="165">
        <v>36708</v>
      </c>
      <c r="CL215" s="40">
        <f>BP215+COML!BV215+SPA!BV215</f>
        <v>2794.5134809994779</v>
      </c>
      <c r="CM215" s="40">
        <f>ROUND('[14]2000'!$D38,0)</f>
        <v>73349</v>
      </c>
      <c r="CN215" s="2">
        <f t="shared" si="239"/>
        <v>-70554.486519000522</v>
      </c>
      <c r="CO215" s="108">
        <f>'[2]FPC wSEB'!$R312</f>
        <v>4114082</v>
      </c>
      <c r="CP215" s="108">
        <f>'[2]FPC wSEB'!$C312-SUM('[2]FPC wSEB'!$K312:$L312)</f>
        <v>3517715</v>
      </c>
      <c r="CQ215" s="108">
        <f>'[2]FPC wSEB'!$T312-'[2]FPC wSEB'!$T311</f>
        <v>-105755</v>
      </c>
      <c r="CR215" s="108">
        <f>SUM('[2]FPC wSEB'!$K312:$L312)</f>
        <v>385402</v>
      </c>
      <c r="CS215" s="108">
        <f>('[2]FPC wSEB'!$N312)-CQ215</f>
        <v>65461</v>
      </c>
      <c r="CT215" s="108">
        <f>'[2]FPC wSEB'!$P312</f>
        <v>9573</v>
      </c>
      <c r="CU215" s="108">
        <f>'[2]FPC wSEB'!$Q312</f>
        <v>241686</v>
      </c>
      <c r="CV215" s="115">
        <f t="shared" ref="CV215:CV220" si="287">CO215-SUM(CP215:CU215)</f>
        <v>0</v>
      </c>
      <c r="CW215" s="108">
        <f t="shared" si="240"/>
        <v>3936172</v>
      </c>
      <c r="CX215" s="108">
        <f t="shared" ref="CX215:CX220" si="288">SUM(CP215:CS215)+CL215</f>
        <v>3865617.5134809995</v>
      </c>
      <c r="CY215" s="108">
        <f t="shared" ref="CY215:CY220" si="289">CW215-CX215</f>
        <v>70554.486519000493</v>
      </c>
    </row>
    <row r="216" spans="1:103">
      <c r="A216" s="13">
        <v>2000</v>
      </c>
      <c r="B216" s="13">
        <v>8</v>
      </c>
      <c r="C216" s="5">
        <v>1764877</v>
      </c>
      <c r="D216" s="73">
        <v>1242179</v>
      </c>
      <c r="E216" s="5">
        <f t="shared" si="222"/>
        <v>1757965</v>
      </c>
      <c r="F216" s="5">
        <f t="shared" si="223"/>
        <v>1206342</v>
      </c>
      <c r="G216" s="74">
        <f t="shared" si="269"/>
        <v>1457.3</v>
      </c>
      <c r="H216" s="190">
        <v>6912.1989999999996</v>
      </c>
      <c r="I216" s="170">
        <v>35837</v>
      </c>
      <c r="J216" s="230">
        <f>'[7]RES 62 &amp; 67'!$S301</f>
        <v>468.9</v>
      </c>
      <c r="K216" s="183">
        <f t="shared" si="198"/>
        <v>481.4</v>
      </c>
      <c r="L216" s="233">
        <f t="shared" si="283"/>
        <v>12.5</v>
      </c>
      <c r="M216" s="230">
        <f>'[7]RES 62 &amp; 67'!$J301</f>
        <v>0</v>
      </c>
      <c r="N216" s="183">
        <f t="shared" si="199"/>
        <v>0</v>
      </c>
      <c r="O216" s="236">
        <f t="shared" si="284"/>
        <v>0</v>
      </c>
      <c r="P216" s="206">
        <f t="shared" si="270"/>
        <v>27</v>
      </c>
      <c r="Q216" s="208">
        <f t="shared" si="271"/>
        <v>0</v>
      </c>
      <c r="R216" s="467">
        <f t="shared" si="272"/>
        <v>27</v>
      </c>
      <c r="S216" s="470">
        <f t="shared" si="273"/>
        <v>0</v>
      </c>
      <c r="T216" s="425">
        <f t="shared" si="274"/>
        <v>27</v>
      </c>
      <c r="U216" s="579">
        <f>[5]RC!$E96</f>
        <v>1236382</v>
      </c>
      <c r="V216" s="447">
        <v>36739</v>
      </c>
      <c r="W216" s="191">
        <f t="shared" si="259"/>
        <v>1484.3</v>
      </c>
      <c r="X216" s="73">
        <f t="shared" si="260"/>
        <v>1790573</v>
      </c>
      <c r="Y216" s="187">
        <f t="shared" si="221"/>
        <v>7013</v>
      </c>
      <c r="Z216" s="175">
        <f t="shared" si="275"/>
        <v>1797586</v>
      </c>
      <c r="AA216" s="40">
        <f t="shared" si="261"/>
        <v>32709</v>
      </c>
      <c r="AB216" s="519">
        <f>[9]RMWh!$L96</f>
        <v>1788630</v>
      </c>
      <c r="AC216" s="107">
        <f>'[7]Gov 65 &amp; 70'!$B301</f>
        <v>29.65</v>
      </c>
      <c r="AD216" s="4">
        <f t="shared" si="262"/>
        <v>1835080</v>
      </c>
      <c r="AE216" s="4">
        <f t="shared" si="200"/>
        <v>56072</v>
      </c>
      <c r="AF216" s="23">
        <f t="shared" si="263"/>
        <v>1477.3</v>
      </c>
      <c r="AG216" s="75">
        <f t="shared" si="285"/>
        <v>9.5999999999999091</v>
      </c>
      <c r="AI216" s="303">
        <f t="shared" si="224"/>
        <v>0.1323535581587271</v>
      </c>
      <c r="AU216" s="4">
        <v>2000</v>
      </c>
      <c r="AV216" s="4">
        <v>8</v>
      </c>
      <c r="AW216" s="230">
        <f>'[8]RES 62 &amp; 67'!$S301</f>
        <v>489.4</v>
      </c>
      <c r="AX216" s="200">
        <f t="shared" si="202"/>
        <v>487.3</v>
      </c>
      <c r="AY216" s="203">
        <f t="shared" si="281"/>
        <v>-2.0999999999999659</v>
      </c>
      <c r="AZ216" s="230">
        <f>'[8]RES 62 &amp; 67'!$J301</f>
        <v>0</v>
      </c>
      <c r="BA216" s="183">
        <f t="shared" si="203"/>
        <v>0</v>
      </c>
      <c r="BB216" s="429">
        <f t="shared" si="282"/>
        <v>0</v>
      </c>
      <c r="BC216" s="206">
        <f t="shared" si="276"/>
        <v>-4.5359999999999268</v>
      </c>
      <c r="BD216" s="206">
        <f t="shared" si="277"/>
        <v>0</v>
      </c>
      <c r="BE216" s="206">
        <f t="shared" si="278"/>
        <v>-4.5359999999999268</v>
      </c>
      <c r="BF216" s="207">
        <f t="shared" si="279"/>
        <v>0</v>
      </c>
      <c r="BG216" s="219">
        <f t="shared" si="280"/>
        <v>-4.5</v>
      </c>
      <c r="BH216" s="4">
        <v>2000</v>
      </c>
      <c r="BI216" s="4">
        <v>8</v>
      </c>
      <c r="BJ216" s="108">
        <f>C216+[4]MWh!$AJ50</f>
        <v>1884964.6473515644</v>
      </c>
      <c r="BK216" s="108">
        <f t="shared" si="250"/>
        <v>7382.5262329662837</v>
      </c>
      <c r="BL216" s="108">
        <f t="shared" si="225"/>
        <v>1877582.1211185982</v>
      </c>
      <c r="BM216" s="189">
        <f t="shared" si="251"/>
        <v>1551.926055893435</v>
      </c>
      <c r="BN216" s="6">
        <f t="shared" si="252"/>
        <v>1872154</v>
      </c>
      <c r="BO216" s="175">
        <f t="shared" si="226"/>
        <v>7361</v>
      </c>
      <c r="BP216" s="108">
        <f t="shared" si="227"/>
        <v>-5449.6473515644357</v>
      </c>
      <c r="BQ216" s="76">
        <f t="shared" si="253"/>
        <v>1517.4662004039387</v>
      </c>
      <c r="BR216" s="76">
        <f t="shared" si="254"/>
        <v>1513.079032893005</v>
      </c>
      <c r="BS216" s="76">
        <f t="shared" si="219"/>
        <v>-23.13460475693455</v>
      </c>
      <c r="BT216" s="175">
        <f t="shared" si="243"/>
        <v>1879515</v>
      </c>
      <c r="BU216" s="108">
        <f t="shared" si="286"/>
        <v>17515</v>
      </c>
      <c r="BW216" s="529"/>
      <c r="CK216" s="165">
        <v>36739</v>
      </c>
      <c r="CL216" s="40">
        <f>BP216+COML!BV216+SPA!BV216</f>
        <v>-7592.6473515644357</v>
      </c>
      <c r="CM216" s="40">
        <f>ROUND('[14]2000'!$D39,0)</f>
        <v>32124</v>
      </c>
      <c r="CN216" s="2">
        <f t="shared" si="239"/>
        <v>-39716.647351564432</v>
      </c>
      <c r="CO216" s="108">
        <f>'[2]FPC wSEB'!$R313</f>
        <v>4208784</v>
      </c>
      <c r="CP216" s="108">
        <f>'[2]FPC wSEB'!$C313-SUM('[2]FPC wSEB'!$K313:$L313)</f>
        <v>3361339</v>
      </c>
      <c r="CQ216" s="108">
        <f>'[2]FPC wSEB'!$T313-'[2]FPC wSEB'!$T312</f>
        <v>214257</v>
      </c>
      <c r="CR216" s="108">
        <f>SUM('[2]FPC wSEB'!$K313:$L313)</f>
        <v>407461</v>
      </c>
      <c r="CS216" s="108">
        <f>('[2]FPC wSEB'!$N313)-CQ216</f>
        <v>7913</v>
      </c>
      <c r="CT216" s="108">
        <f>'[2]FPC wSEB'!$P313</f>
        <v>10668</v>
      </c>
      <c r="CU216" s="108">
        <f>'[2]FPC wSEB'!$Q313</f>
        <v>207146</v>
      </c>
      <c r="CV216" s="115">
        <f t="shared" si="287"/>
        <v>0</v>
      </c>
      <c r="CW216" s="108">
        <f t="shared" si="240"/>
        <v>4023094</v>
      </c>
      <c r="CX216" s="108">
        <f t="shared" si="288"/>
        <v>3983377.3526484356</v>
      </c>
      <c r="CY216" s="108">
        <f t="shared" si="289"/>
        <v>39716.647351564374</v>
      </c>
    </row>
    <row r="217" spans="1:103">
      <c r="A217" s="13">
        <v>2000</v>
      </c>
      <c r="B217" s="13">
        <v>9</v>
      </c>
      <c r="C217" s="5">
        <v>1869566</v>
      </c>
      <c r="D217" s="73">
        <v>1248527</v>
      </c>
      <c r="E217" s="5">
        <f t="shared" si="222"/>
        <v>1861954</v>
      </c>
      <c r="F217" s="5">
        <f t="shared" si="223"/>
        <v>1212655</v>
      </c>
      <c r="G217" s="74">
        <f t="shared" si="269"/>
        <v>1535.4</v>
      </c>
      <c r="H217" s="190">
        <v>7611.558</v>
      </c>
      <c r="I217" s="170">
        <v>35872</v>
      </c>
      <c r="J217" s="230">
        <f>'[7]RES 62 &amp; 67'!$S302</f>
        <v>490.4</v>
      </c>
      <c r="K217" s="183">
        <f t="shared" si="198"/>
        <v>473.7</v>
      </c>
      <c r="L217" s="233">
        <f t="shared" si="283"/>
        <v>-16.699999999999989</v>
      </c>
      <c r="M217" s="230">
        <f>'[7]RES 62 &amp; 67'!$J302</f>
        <v>0</v>
      </c>
      <c r="N217" s="183">
        <f t="shared" si="199"/>
        <v>0</v>
      </c>
      <c r="O217" s="236">
        <f t="shared" si="284"/>
        <v>0</v>
      </c>
      <c r="P217" s="206">
        <f t="shared" si="270"/>
        <v>-36.071999999999974</v>
      </c>
      <c r="Q217" s="208">
        <f t="shared" si="271"/>
        <v>0</v>
      </c>
      <c r="R217" s="467">
        <f t="shared" si="272"/>
        <v>-36.071999999999974</v>
      </c>
      <c r="S217" s="470">
        <f t="shared" si="273"/>
        <v>0</v>
      </c>
      <c r="T217" s="425">
        <f t="shared" si="274"/>
        <v>-36.1</v>
      </c>
      <c r="U217" s="579">
        <f>[5]RC!$E97</f>
        <v>1239364</v>
      </c>
      <c r="V217" s="447">
        <v>36770</v>
      </c>
      <c r="W217" s="191">
        <f t="shared" si="259"/>
        <v>1499.3000000000002</v>
      </c>
      <c r="X217" s="73">
        <f t="shared" si="260"/>
        <v>1818134</v>
      </c>
      <c r="Y217" s="187">
        <f t="shared" si="221"/>
        <v>7402</v>
      </c>
      <c r="Z217" s="175">
        <f t="shared" si="275"/>
        <v>1825536</v>
      </c>
      <c r="AA217" s="40">
        <f t="shared" si="261"/>
        <v>-44030</v>
      </c>
      <c r="AB217" s="519">
        <f>[9]RMWh!$L97</f>
        <v>1816946</v>
      </c>
      <c r="AC217" s="107">
        <f>'[7]Gov 65 &amp; 70'!$B302</f>
        <v>31.95</v>
      </c>
      <c r="AD217" s="4">
        <f t="shared" si="262"/>
        <v>1729937</v>
      </c>
      <c r="AE217" s="4">
        <f t="shared" si="200"/>
        <v>-90754</v>
      </c>
      <c r="AF217" s="23">
        <f t="shared" si="263"/>
        <v>1385.6</v>
      </c>
      <c r="AG217" s="75">
        <f t="shared" si="285"/>
        <v>-120.70000000000005</v>
      </c>
      <c r="AI217" s="303">
        <f t="shared" si="224"/>
        <v>0.13819630580913109</v>
      </c>
      <c r="AU217" s="4">
        <v>2000</v>
      </c>
      <c r="AV217" s="4">
        <v>9</v>
      </c>
      <c r="AW217" s="230">
        <f>'[8]RES 62 &amp; 67'!$S302</f>
        <v>431.9</v>
      </c>
      <c r="AX217" s="200">
        <f t="shared" si="202"/>
        <v>428.3</v>
      </c>
      <c r="AY217" s="203">
        <f t="shared" si="281"/>
        <v>-3.5999999999999659</v>
      </c>
      <c r="AZ217" s="230">
        <f>'[8]RES 62 &amp; 67'!$J302</f>
        <v>0.1</v>
      </c>
      <c r="BA217" s="183">
        <f t="shared" si="203"/>
        <v>0</v>
      </c>
      <c r="BB217" s="429">
        <f t="shared" si="282"/>
        <v>-0.1</v>
      </c>
      <c r="BC217" s="206">
        <f t="shared" si="276"/>
        <v>-7.775999999999927</v>
      </c>
      <c r="BD217" s="206">
        <f t="shared" si="277"/>
        <v>0</v>
      </c>
      <c r="BE217" s="206">
        <f t="shared" si="278"/>
        <v>-7.775999999999927</v>
      </c>
      <c r="BF217" s="207">
        <f t="shared" si="279"/>
        <v>-0.27100000000000002</v>
      </c>
      <c r="BG217" s="219">
        <f t="shared" si="280"/>
        <v>-8</v>
      </c>
      <c r="BH217" s="4">
        <v>2000</v>
      </c>
      <c r="BI217" s="4">
        <v>9</v>
      </c>
      <c r="BJ217" s="108">
        <f>C217+[4]MWh!$AJ51</f>
        <v>1697561.7585620196</v>
      </c>
      <c r="BK217" s="108">
        <f t="shared" si="250"/>
        <v>6911.2776889806555</v>
      </c>
      <c r="BL217" s="108">
        <f t="shared" si="225"/>
        <v>1690650.480873039</v>
      </c>
      <c r="BM217" s="189">
        <f t="shared" si="251"/>
        <v>1386.1726879228131</v>
      </c>
      <c r="BN217" s="6">
        <f t="shared" si="252"/>
        <v>1680949</v>
      </c>
      <c r="BO217" s="175">
        <f t="shared" si="226"/>
        <v>6872</v>
      </c>
      <c r="BP217" s="108">
        <f t="shared" si="227"/>
        <v>-9740.7585620196478</v>
      </c>
      <c r="BQ217" s="76">
        <f t="shared" si="253"/>
        <v>1359.6516203189997</v>
      </c>
      <c r="BR217" s="76">
        <f t="shared" si="254"/>
        <v>1351.849819827685</v>
      </c>
      <c r="BS217" s="76">
        <f t="shared" ref="BS217:BS248" si="290">BR217-BR205</f>
        <v>-85.954173378255518</v>
      </c>
      <c r="BT217" s="175">
        <f t="shared" si="243"/>
        <v>1687821</v>
      </c>
      <c r="BU217" s="108">
        <f t="shared" si="286"/>
        <v>-50057</v>
      </c>
      <c r="BW217" s="529"/>
      <c r="BX217" s="15"/>
      <c r="CK217" s="165">
        <v>36770</v>
      </c>
      <c r="CL217" s="40">
        <f>BP217+COML!BV217+SPA!BV217</f>
        <v>-13104.758562019648</v>
      </c>
      <c r="CM217" s="40">
        <f>ROUND('[14]2000'!$D40,0)</f>
        <v>6679</v>
      </c>
      <c r="CN217" s="2">
        <f t="shared" si="239"/>
        <v>-19783.758562019648</v>
      </c>
      <c r="CO217" s="108">
        <f>'[2]FPC wSEB'!$R314</f>
        <v>3847499</v>
      </c>
      <c r="CP217" s="108">
        <f>'[2]FPC wSEB'!$C314-SUM('[2]FPC wSEB'!$K314:$L314)</f>
        <v>3587709</v>
      </c>
      <c r="CQ217" s="108">
        <f>'[2]FPC wSEB'!$T314-'[2]FPC wSEB'!$T313</f>
        <v>-314289</v>
      </c>
      <c r="CR217" s="108">
        <f>SUM('[2]FPC wSEB'!$K314:$L314)</f>
        <v>439761</v>
      </c>
      <c r="CS217" s="108">
        <f>('[2]FPC wSEB'!$N314)-CQ217</f>
        <v>-89277</v>
      </c>
      <c r="CT217" s="108">
        <f>'[2]FPC wSEB'!$P314</f>
        <v>18034</v>
      </c>
      <c r="CU217" s="108">
        <f>'[2]FPC wSEB'!$Q314</f>
        <v>205561</v>
      </c>
      <c r="CV217" s="115">
        <f t="shared" si="287"/>
        <v>0</v>
      </c>
      <c r="CW217" s="108">
        <f t="shared" si="240"/>
        <v>3630583</v>
      </c>
      <c r="CX217" s="108">
        <f t="shared" si="288"/>
        <v>3610799.2414379804</v>
      </c>
      <c r="CY217" s="108">
        <f t="shared" si="289"/>
        <v>19783.75856201956</v>
      </c>
    </row>
    <row r="218" spans="1:103">
      <c r="A218" s="13">
        <v>2000</v>
      </c>
      <c r="B218" s="13">
        <v>10</v>
      </c>
      <c r="C218" s="5">
        <v>1456462</v>
      </c>
      <c r="D218" s="73">
        <v>1236508</v>
      </c>
      <c r="E218" s="5">
        <f t="shared" si="222"/>
        <v>1449421</v>
      </c>
      <c r="F218" s="5">
        <f t="shared" si="223"/>
        <v>1201779</v>
      </c>
      <c r="G218" s="74">
        <f t="shared" si="269"/>
        <v>1206.0999999999999</v>
      </c>
      <c r="H218" s="190">
        <v>7040.6369999999997</v>
      </c>
      <c r="I218" s="170">
        <v>34729</v>
      </c>
      <c r="J218" s="230">
        <f>'[7]RES 62 &amp; 67'!$S303</f>
        <v>336</v>
      </c>
      <c r="K218" s="183">
        <f t="shared" si="198"/>
        <v>373.2</v>
      </c>
      <c r="L218" s="233">
        <f t="shared" si="283"/>
        <v>37.199999999999989</v>
      </c>
      <c r="M218" s="230">
        <f>'[7]RES 62 &amp; 67'!$J303</f>
        <v>6.7</v>
      </c>
      <c r="N218" s="183">
        <f t="shared" si="199"/>
        <v>1.3</v>
      </c>
      <c r="O218" s="236">
        <f t="shared" si="284"/>
        <v>-5.4</v>
      </c>
      <c r="P218" s="206">
        <f t="shared" si="270"/>
        <v>80.351999999999975</v>
      </c>
      <c r="Q218" s="208">
        <f t="shared" si="271"/>
        <v>0</v>
      </c>
      <c r="R218" s="467">
        <f t="shared" si="272"/>
        <v>80.351999999999975</v>
      </c>
      <c r="S218" s="470">
        <f t="shared" si="273"/>
        <v>-14.634</v>
      </c>
      <c r="T218" s="425">
        <f t="shared" si="274"/>
        <v>65.7</v>
      </c>
      <c r="U218" s="579">
        <f>[5]RC!$E98</f>
        <v>1244291</v>
      </c>
      <c r="V218" s="447">
        <v>36800</v>
      </c>
      <c r="W218" s="191">
        <f t="shared" si="259"/>
        <v>1271.8</v>
      </c>
      <c r="X218" s="73">
        <f t="shared" si="260"/>
        <v>1528423</v>
      </c>
      <c r="Y218" s="187">
        <f t="shared" si="221"/>
        <v>7389</v>
      </c>
      <c r="Z218" s="175">
        <f t="shared" si="275"/>
        <v>1535812</v>
      </c>
      <c r="AA218" s="40">
        <f t="shared" si="261"/>
        <v>79350</v>
      </c>
      <c r="AB218" s="519">
        <f>[9]RMWh!$L98</f>
        <v>1556815</v>
      </c>
      <c r="AC218" s="107">
        <f>'[7]Gov 65 &amp; 70'!$B303</f>
        <v>29.65</v>
      </c>
      <c r="AD218" s="4">
        <f t="shared" si="262"/>
        <v>1597245</v>
      </c>
      <c r="AE218" s="4">
        <f t="shared" si="200"/>
        <v>77337</v>
      </c>
      <c r="AF218" s="23">
        <f t="shared" si="263"/>
        <v>1291.7</v>
      </c>
      <c r="AG218" s="75">
        <f t="shared" si="285"/>
        <v>28</v>
      </c>
      <c r="AI218" s="303">
        <f t="shared" si="224"/>
        <v>0.16808786381991345</v>
      </c>
      <c r="AU218" s="4">
        <v>2000</v>
      </c>
      <c r="AV218" s="4">
        <v>10</v>
      </c>
      <c r="AW218" s="230">
        <f>'[8]RES 62 &amp; 67'!$S303</f>
        <v>218.2</v>
      </c>
      <c r="AX218" s="200">
        <f t="shared" si="202"/>
        <v>277.60000000000002</v>
      </c>
      <c r="AY218" s="203">
        <f>AX218-AW218</f>
        <v>59.400000000000034</v>
      </c>
      <c r="AZ218" s="230">
        <f>'[8]RES 62 &amp; 67'!$J303</f>
        <v>14.3</v>
      </c>
      <c r="BA218" s="183">
        <f t="shared" si="203"/>
        <v>8.5</v>
      </c>
      <c r="BB218" s="429">
        <f t="shared" si="282"/>
        <v>-5.8000000000000007</v>
      </c>
      <c r="BC218" s="206">
        <f t="shared" si="276"/>
        <v>128.30400000000009</v>
      </c>
      <c r="BD218" s="206">
        <f t="shared" si="277"/>
        <v>0</v>
      </c>
      <c r="BE218" s="206">
        <f t="shared" si="278"/>
        <v>128.30400000000009</v>
      </c>
      <c r="BF218" s="207">
        <f t="shared" si="279"/>
        <v>-15.718000000000002</v>
      </c>
      <c r="BG218" s="219">
        <f t="shared" si="280"/>
        <v>112.6</v>
      </c>
      <c r="BH218" s="4">
        <v>2000</v>
      </c>
      <c r="BI218" s="4">
        <v>10</v>
      </c>
      <c r="BJ218" s="108">
        <f>C218+[4]MWh!$AJ52</f>
        <v>1256367.9763559713</v>
      </c>
      <c r="BK218" s="108">
        <f t="shared" si="250"/>
        <v>6073.368793656804</v>
      </c>
      <c r="BL218" s="108">
        <f t="shared" si="225"/>
        <v>1250294.6075623145</v>
      </c>
      <c r="BM218" s="189">
        <f t="shared" si="251"/>
        <v>1152.9698247034723</v>
      </c>
      <c r="BN218" s="6">
        <f t="shared" si="252"/>
        <v>1385615</v>
      </c>
      <c r="BO218" s="175">
        <f t="shared" si="226"/>
        <v>6731</v>
      </c>
      <c r="BP218" s="108">
        <f t="shared" si="227"/>
        <v>135978.0236440287</v>
      </c>
      <c r="BQ218" s="76">
        <f t="shared" si="253"/>
        <v>1016.0613407725397</v>
      </c>
      <c r="BR218" s="76">
        <f t="shared" si="254"/>
        <v>1126.0307252359064</v>
      </c>
      <c r="BS218" s="76">
        <f t="shared" si="290"/>
        <v>38.62835956261415</v>
      </c>
      <c r="BT218" s="175">
        <f t="shared" si="243"/>
        <v>1392346</v>
      </c>
      <c r="BU218" s="108">
        <f t="shared" si="286"/>
        <v>84525</v>
      </c>
      <c r="BW218" s="529"/>
      <c r="CK218" s="165">
        <v>36800</v>
      </c>
      <c r="CL218" s="40">
        <f>BP218+COML!BV218+SPA!BV218</f>
        <v>189938.0236440287</v>
      </c>
      <c r="CM218" s="40">
        <f>ROUND('[14]2000'!$D41,0)</f>
        <v>84625</v>
      </c>
      <c r="CN218" s="2">
        <f t="shared" si="239"/>
        <v>105313.0236440287</v>
      </c>
      <c r="CO218" s="108">
        <f>'[2]FPC wSEB'!$R315</f>
        <v>3211833</v>
      </c>
      <c r="CP218" s="108">
        <f>'[2]FPC wSEB'!$C315-SUM('[2]FPC wSEB'!$K315:$L315)</f>
        <v>2984807</v>
      </c>
      <c r="CQ218" s="108">
        <f>'[2]FPC wSEB'!$T315-'[2]FPC wSEB'!$T314</f>
        <v>-289889</v>
      </c>
      <c r="CR218" s="108">
        <f>SUM('[2]FPC wSEB'!$K315:$L315)</f>
        <v>376738</v>
      </c>
      <c r="CS218" s="108">
        <f>('[2]FPC wSEB'!$N315)-CQ218</f>
        <v>-5010</v>
      </c>
      <c r="CT218" s="108">
        <f>'[2]FPC wSEB'!$P315</f>
        <v>8380</v>
      </c>
      <c r="CU218" s="108">
        <f>'[2]FPC wSEB'!$Q315</f>
        <v>136807</v>
      </c>
      <c r="CV218" s="115">
        <f t="shared" si="287"/>
        <v>0</v>
      </c>
      <c r="CW218" s="108">
        <f t="shared" si="240"/>
        <v>3151271</v>
      </c>
      <c r="CX218" s="108">
        <f t="shared" si="288"/>
        <v>3256584.0236440287</v>
      </c>
      <c r="CY218" s="108">
        <f t="shared" si="289"/>
        <v>-105313.0236440287</v>
      </c>
    </row>
    <row r="219" spans="1:103">
      <c r="A219" s="13">
        <v>2000</v>
      </c>
      <c r="B219" s="13">
        <v>11</v>
      </c>
      <c r="C219" s="5">
        <v>1118069</v>
      </c>
      <c r="D219" s="73">
        <v>1301474</v>
      </c>
      <c r="E219" s="5">
        <f t="shared" si="222"/>
        <v>1108567</v>
      </c>
      <c r="F219" s="5">
        <f t="shared" si="223"/>
        <v>1264874</v>
      </c>
      <c r="G219" s="74">
        <f t="shared" si="269"/>
        <v>876.4</v>
      </c>
      <c r="H219" s="190">
        <v>9501.6679999999997</v>
      </c>
      <c r="I219" s="170">
        <v>36600</v>
      </c>
      <c r="J219" s="230">
        <f>'[7]RES 62 &amp; 67'!$S304</f>
        <v>164.9</v>
      </c>
      <c r="K219" s="183">
        <f t="shared" si="198"/>
        <v>204.3</v>
      </c>
      <c r="L219" s="233">
        <f t="shared" si="283"/>
        <v>39.400000000000006</v>
      </c>
      <c r="M219" s="230">
        <f>'[7]RES 62 &amp; 67'!$J304</f>
        <v>25</v>
      </c>
      <c r="N219" s="183">
        <f t="shared" si="199"/>
        <v>24.1</v>
      </c>
      <c r="O219" s="236">
        <f t="shared" si="284"/>
        <v>-0.89999999999999858</v>
      </c>
      <c r="P219" s="206">
        <f t="shared" si="270"/>
        <v>85.104000000000013</v>
      </c>
      <c r="Q219" s="208">
        <f t="shared" si="271"/>
        <v>0</v>
      </c>
      <c r="R219" s="467">
        <f t="shared" si="272"/>
        <v>85.104000000000013</v>
      </c>
      <c r="S219" s="470">
        <f t="shared" si="273"/>
        <v>-2.4389999999999961</v>
      </c>
      <c r="T219" s="425">
        <f t="shared" si="274"/>
        <v>82.7</v>
      </c>
      <c r="U219" s="579">
        <f>[5]RC!$E99</f>
        <v>1253524</v>
      </c>
      <c r="V219" s="447">
        <v>36831</v>
      </c>
      <c r="W219" s="191">
        <f t="shared" si="259"/>
        <v>959.1</v>
      </c>
      <c r="X219" s="73">
        <f t="shared" si="260"/>
        <v>1213141</v>
      </c>
      <c r="Y219" s="187">
        <f t="shared" ref="Y219:Y250" si="291">ROUND((X219/C219)*H219,0)</f>
        <v>10310</v>
      </c>
      <c r="Z219" s="175">
        <f t="shared" si="275"/>
        <v>1223451</v>
      </c>
      <c r="AA219" s="40">
        <f t="shared" si="261"/>
        <v>105382</v>
      </c>
      <c r="AB219" s="519">
        <f>[9]RMWh!$L99</f>
        <v>1177423</v>
      </c>
      <c r="AC219" s="107">
        <f>'[7]Gov 65 &amp; 70'!$B304</f>
        <v>29.8</v>
      </c>
      <c r="AD219" s="4">
        <f t="shared" si="262"/>
        <v>1201920</v>
      </c>
      <c r="AE219" s="4">
        <f t="shared" si="200"/>
        <v>-7923</v>
      </c>
      <c r="AF219" s="23">
        <f t="shared" si="263"/>
        <v>923.5</v>
      </c>
      <c r="AG219" s="75">
        <f t="shared" si="285"/>
        <v>-29.799999999999955</v>
      </c>
      <c r="AI219" s="303">
        <f t="shared" si="224"/>
        <v>0.29622137756794442</v>
      </c>
      <c r="AU219" s="4">
        <v>2000</v>
      </c>
      <c r="AV219" s="4">
        <v>11</v>
      </c>
      <c r="AW219" s="230">
        <f>'[8]RES 62 &amp; 67'!$S304</f>
        <v>94.9</v>
      </c>
      <c r="AX219" s="200">
        <f t="shared" si="202"/>
        <v>110.2</v>
      </c>
      <c r="AY219" s="203">
        <f>AX219-AW219</f>
        <v>15.299999999999997</v>
      </c>
      <c r="AZ219" s="230">
        <f>'[8]RES 62 &amp; 67'!$J304</f>
        <v>78.599999999999994</v>
      </c>
      <c r="BA219" s="183">
        <f t="shared" si="203"/>
        <v>45.3</v>
      </c>
      <c r="BB219" s="429">
        <f>BA219-AZ219</f>
        <v>-33.299999999999997</v>
      </c>
      <c r="BC219" s="206">
        <f t="shared" si="276"/>
        <v>33.047999999999995</v>
      </c>
      <c r="BD219" s="206">
        <f t="shared" si="277"/>
        <v>-4.6664999999999992</v>
      </c>
      <c r="BE219" s="206">
        <f t="shared" si="278"/>
        <v>28.381499999999996</v>
      </c>
      <c r="BF219" s="207">
        <f t="shared" si="279"/>
        <v>-90.242999999999995</v>
      </c>
      <c r="BG219" s="219">
        <f t="shared" si="280"/>
        <v>-61.9</v>
      </c>
      <c r="BH219" s="4">
        <v>2000</v>
      </c>
      <c r="BI219" s="4">
        <v>11</v>
      </c>
      <c r="BJ219" s="108">
        <f>C219+[4]MWh!$AJ53</f>
        <v>1046933.2253963585</v>
      </c>
      <c r="BK219" s="108">
        <f t="shared" si="250"/>
        <v>8897.1359780884413</v>
      </c>
      <c r="BL219" s="108">
        <f t="shared" si="225"/>
        <v>1038036.08941827</v>
      </c>
      <c r="BM219" s="189">
        <f t="shared" si="251"/>
        <v>758.7636308583069</v>
      </c>
      <c r="BN219" s="6">
        <f t="shared" si="252"/>
        <v>959740</v>
      </c>
      <c r="BO219" s="175">
        <f t="shared" si="226"/>
        <v>8226</v>
      </c>
      <c r="BP219" s="108">
        <f t="shared" si="227"/>
        <v>-78967.225396358481</v>
      </c>
      <c r="BQ219" s="76">
        <f t="shared" si="253"/>
        <v>804.42116046602428</v>
      </c>
      <c r="BR219" s="76">
        <f t="shared" si="254"/>
        <v>743.74593729878575</v>
      </c>
      <c r="BS219" s="76">
        <f t="shared" si="290"/>
        <v>-57.689133848026131</v>
      </c>
      <c r="BT219" s="175">
        <f t="shared" si="243"/>
        <v>967966</v>
      </c>
      <c r="BU219" s="108">
        <f t="shared" si="286"/>
        <v>-49108</v>
      </c>
      <c r="BW219" s="529"/>
      <c r="CK219" s="165">
        <v>36831</v>
      </c>
      <c r="CL219" s="40">
        <f>BP219+COML!BV219+SPA!BV219</f>
        <v>-74022.225396358481</v>
      </c>
      <c r="CM219" s="40">
        <f>ROUND('[14]2000'!$D42,0)</f>
        <v>-76192</v>
      </c>
      <c r="CN219" s="2">
        <f t="shared" si="239"/>
        <v>2169.7746036415192</v>
      </c>
      <c r="CO219" s="108">
        <f>'[2]FPC wSEB'!$R316</f>
        <v>2978731</v>
      </c>
      <c r="CP219" s="108">
        <f>'[2]FPC wSEB'!$C316-SUM('[2]FPC wSEB'!$K316:$L316)</f>
        <v>2550030</v>
      </c>
      <c r="CQ219" s="108">
        <f>'[2]FPC wSEB'!$T316-'[2]FPC wSEB'!$T315</f>
        <v>4788</v>
      </c>
      <c r="CR219" s="108">
        <f>SUM('[2]FPC wSEB'!$K316:$L316)</f>
        <v>362519</v>
      </c>
      <c r="CS219" s="108">
        <f>('[2]FPC wSEB'!$N316)-CQ219</f>
        <v>-61782</v>
      </c>
      <c r="CT219" s="108">
        <f>'[2]FPC wSEB'!$P316</f>
        <v>9654</v>
      </c>
      <c r="CU219" s="108">
        <f>'[2]FPC wSEB'!$Q316</f>
        <v>113522</v>
      </c>
      <c r="CV219" s="115">
        <f t="shared" si="287"/>
        <v>0</v>
      </c>
      <c r="CW219" s="108">
        <f t="shared" si="240"/>
        <v>2779363</v>
      </c>
      <c r="CX219" s="108">
        <f t="shared" si="288"/>
        <v>2781532.7746036416</v>
      </c>
      <c r="CY219" s="108">
        <f t="shared" si="289"/>
        <v>-2169.774603641592</v>
      </c>
    </row>
    <row r="220" spans="1:103" s="89" customFormat="1" ht="12.75">
      <c r="A220" s="90">
        <v>2000</v>
      </c>
      <c r="B220" s="90">
        <v>12</v>
      </c>
      <c r="C220" s="103">
        <v>1274251</v>
      </c>
      <c r="D220" s="104">
        <v>1220408</v>
      </c>
      <c r="E220" s="103">
        <f t="shared" si="222"/>
        <v>1258379</v>
      </c>
      <c r="F220" s="103">
        <f t="shared" si="223"/>
        <v>1186336</v>
      </c>
      <c r="G220" s="109">
        <f t="shared" si="269"/>
        <v>1060.7</v>
      </c>
      <c r="H220" s="196">
        <v>15872.172</v>
      </c>
      <c r="I220" s="197">
        <v>34072</v>
      </c>
      <c r="J220" s="300">
        <f>'[7]RES 62 &amp; 67'!$S305</f>
        <v>68.099999999999994</v>
      </c>
      <c r="K220" s="210">
        <f t="shared" si="198"/>
        <v>88</v>
      </c>
      <c r="L220" s="234">
        <f t="shared" si="283"/>
        <v>19.900000000000006</v>
      </c>
      <c r="M220" s="300">
        <f>'[7]RES 62 &amp; 67'!$J305</f>
        <v>120.8</v>
      </c>
      <c r="N220" s="210">
        <f t="shared" si="199"/>
        <v>83.9</v>
      </c>
      <c r="O220" s="237">
        <f t="shared" si="284"/>
        <v>-36.899999999999991</v>
      </c>
      <c r="P220" s="211">
        <f t="shared" si="270"/>
        <v>42.984000000000016</v>
      </c>
      <c r="Q220" s="211">
        <f t="shared" si="271"/>
        <v>-12.139000000000003</v>
      </c>
      <c r="R220" s="468">
        <f t="shared" si="272"/>
        <v>30.845000000000013</v>
      </c>
      <c r="S220" s="471">
        <f t="shared" si="273"/>
        <v>-99.998999999999981</v>
      </c>
      <c r="T220" s="426">
        <f t="shared" si="274"/>
        <v>-69.2</v>
      </c>
      <c r="U220" s="579">
        <f>[5]RC!$E100</f>
        <v>1261216</v>
      </c>
      <c r="V220" s="447">
        <v>36861</v>
      </c>
      <c r="W220" s="95">
        <f t="shared" si="259"/>
        <v>991.5</v>
      </c>
      <c r="X220" s="104">
        <f t="shared" si="260"/>
        <v>1176252</v>
      </c>
      <c r="Y220" s="198">
        <f t="shared" si="291"/>
        <v>14651</v>
      </c>
      <c r="Z220" s="176">
        <f t="shared" si="275"/>
        <v>1190903</v>
      </c>
      <c r="AA220" s="116">
        <f t="shared" si="261"/>
        <v>-83348</v>
      </c>
      <c r="AB220" s="520">
        <f>[9]RMWh!$L100</f>
        <v>1215635</v>
      </c>
      <c r="AC220" s="110">
        <f>'[7]Gov 65 &amp; 70'!$B305</f>
        <v>30.6</v>
      </c>
      <c r="AD220" s="89">
        <f t="shared" si="262"/>
        <v>1208484</v>
      </c>
      <c r="AE220" s="89">
        <f t="shared" si="200"/>
        <v>64978</v>
      </c>
      <c r="AF220" s="89">
        <f t="shared" si="263"/>
        <v>990.2</v>
      </c>
      <c r="AG220" s="91">
        <f t="shared" si="285"/>
        <v>72.200000000000045</v>
      </c>
      <c r="AH220" s="252"/>
      <c r="AI220" s="304">
        <f t="shared" si="224"/>
        <v>0.43918365144177623</v>
      </c>
      <c r="AU220" s="89">
        <v>2000</v>
      </c>
      <c r="AV220" s="89">
        <v>12</v>
      </c>
      <c r="AW220" s="300">
        <f>'[8]RES 62 &amp; 67'!$S305</f>
        <v>50.6</v>
      </c>
      <c r="AX220" s="210">
        <f t="shared" si="202"/>
        <v>53.2</v>
      </c>
      <c r="AY220" s="204">
        <f>AX220-AW220</f>
        <v>2.6000000000000014</v>
      </c>
      <c r="AZ220" s="300">
        <f>'[8]RES 62 &amp; 67'!$J305</f>
        <v>201.7</v>
      </c>
      <c r="BA220" s="210">
        <f t="shared" si="203"/>
        <v>114.1</v>
      </c>
      <c r="BB220" s="430">
        <f>BA220-AZ220</f>
        <v>-87.6</v>
      </c>
      <c r="BC220" s="211">
        <f t="shared" si="276"/>
        <v>5.6160000000000032</v>
      </c>
      <c r="BD220" s="211">
        <f t="shared" si="277"/>
        <v>-1.5860000000000007</v>
      </c>
      <c r="BE220" s="211">
        <f t="shared" si="278"/>
        <v>4.0300000000000029</v>
      </c>
      <c r="BF220" s="212">
        <f t="shared" si="279"/>
        <v>-237.39599999999999</v>
      </c>
      <c r="BG220" s="220">
        <f t="shared" si="280"/>
        <v>-233.4</v>
      </c>
      <c r="BH220" s="89">
        <v>2000</v>
      </c>
      <c r="BI220" s="89">
        <v>12</v>
      </c>
      <c r="BJ220" s="117">
        <f>C220+[4]MWh!$AJ54</f>
        <v>1533105.744439933</v>
      </c>
      <c r="BK220" s="117">
        <f t="shared" si="250"/>
        <v>19096.487324662612</v>
      </c>
      <c r="BL220" s="117">
        <f t="shared" si="225"/>
        <v>1514009.2571152705</v>
      </c>
      <c r="BM220" s="199">
        <f t="shared" si="251"/>
        <v>1042.8061145537777</v>
      </c>
      <c r="BN220" s="96">
        <f t="shared" si="252"/>
        <v>1237118</v>
      </c>
      <c r="BO220" s="176">
        <f t="shared" si="226"/>
        <v>15604</v>
      </c>
      <c r="BP220" s="117">
        <f t="shared" si="227"/>
        <v>-280383.7444399331</v>
      </c>
      <c r="BQ220" s="92">
        <f t="shared" si="253"/>
        <v>1256.2239385844184</v>
      </c>
      <c r="BR220" s="92">
        <f t="shared" si="254"/>
        <v>1026.4780302980644</v>
      </c>
      <c r="BS220" s="92">
        <f t="shared" si="290"/>
        <v>91.553966138962323</v>
      </c>
      <c r="BT220" s="176">
        <f t="shared" si="243"/>
        <v>1252722</v>
      </c>
      <c r="BU220" s="117">
        <f t="shared" si="286"/>
        <v>88189</v>
      </c>
      <c r="BW220" s="529"/>
      <c r="CK220" s="166">
        <v>36861</v>
      </c>
      <c r="CL220" s="116">
        <f>BP220+COML!BV220+SPA!BV220</f>
        <v>-317611.7444399331</v>
      </c>
      <c r="CM220" s="116">
        <f>ROUND('[14]2000'!$D43,0)</f>
        <v>-234320</v>
      </c>
      <c r="CN220" s="1">
        <f t="shared" si="239"/>
        <v>-83291.7444399331</v>
      </c>
      <c r="CO220" s="117">
        <f>'[2]FPC wSEB'!$R317</f>
        <v>3523369</v>
      </c>
      <c r="CP220" s="117">
        <f>'[2]FPC wSEB'!$C317-SUM('[2]FPC wSEB'!$K317:$L317)</f>
        <v>2582672</v>
      </c>
      <c r="CQ220" s="117">
        <f>'[2]FPC wSEB'!$T317-'[2]FPC wSEB'!$T316</f>
        <v>359414</v>
      </c>
      <c r="CR220" s="117">
        <f>SUM('[2]FPC wSEB'!$K317:$L317)</f>
        <v>309367</v>
      </c>
      <c r="CS220" s="117">
        <f>('[2]FPC wSEB'!$N317)-CQ220</f>
        <v>59501</v>
      </c>
      <c r="CT220" s="117">
        <f>'[2]FPC wSEB'!$P317</f>
        <v>13088</v>
      </c>
      <c r="CU220" s="117">
        <f>'[2]FPC wSEB'!$Q317</f>
        <v>199327</v>
      </c>
      <c r="CV220" s="118">
        <f t="shared" si="287"/>
        <v>0</v>
      </c>
      <c r="CW220" s="117">
        <f t="shared" si="240"/>
        <v>3076634</v>
      </c>
      <c r="CX220" s="117">
        <f t="shared" si="288"/>
        <v>2993342.255560067</v>
      </c>
      <c r="CY220" s="117">
        <f t="shared" si="289"/>
        <v>83291.744439932983</v>
      </c>
    </row>
    <row r="221" spans="1:103">
      <c r="A221" s="13">
        <f>A209+1</f>
        <v>2001</v>
      </c>
      <c r="B221" s="13">
        <f>B209</f>
        <v>1</v>
      </c>
      <c r="C221" s="5">
        <f>'[2]FPC wSEB'!$D318</f>
        <v>1964657</v>
      </c>
      <c r="D221" s="5">
        <f>'[2]FPC wSEB'!$X318</f>
        <v>1294507</v>
      </c>
      <c r="E221" s="5">
        <f t="shared" si="222"/>
        <v>1935270</v>
      </c>
      <c r="F221" s="5">
        <f t="shared" si="223"/>
        <v>1259772</v>
      </c>
      <c r="G221" s="74">
        <f t="shared" si="269"/>
        <v>1536.2</v>
      </c>
      <c r="H221" s="190">
        <v>29387.428</v>
      </c>
      <c r="I221" s="170">
        <v>34735</v>
      </c>
      <c r="J221" s="230">
        <f>'[7]RES 62 &amp; 67'!$S306</f>
        <v>31.9</v>
      </c>
      <c r="K221" s="183">
        <f t="shared" si="198"/>
        <v>49.5</v>
      </c>
      <c r="L221" s="233">
        <f t="shared" si="283"/>
        <v>17.600000000000001</v>
      </c>
      <c r="M221" s="230">
        <f>'[7]RES 62 &amp; 67'!$J306</f>
        <v>284.60000000000002</v>
      </c>
      <c r="N221" s="183">
        <f t="shared" si="199"/>
        <v>131.6</v>
      </c>
      <c r="O221" s="236">
        <f t="shared" si="284"/>
        <v>-153.00000000000003</v>
      </c>
      <c r="P221" s="206">
        <f t="shared" si="270"/>
        <v>38.016000000000005</v>
      </c>
      <c r="Q221" s="208">
        <f t="shared" si="271"/>
        <v>-10.736000000000001</v>
      </c>
      <c r="R221" s="467">
        <f t="shared" si="272"/>
        <v>27.280000000000005</v>
      </c>
      <c r="S221" s="470">
        <f t="shared" si="273"/>
        <v>-414.63000000000005</v>
      </c>
      <c r="T221" s="425">
        <f t="shared" si="274"/>
        <v>-387.4</v>
      </c>
      <c r="U221" s="579">
        <f>[5]RC!$E101</f>
        <v>1269604</v>
      </c>
      <c r="V221" s="447">
        <v>36892</v>
      </c>
      <c r="W221" s="191">
        <f t="shared" si="259"/>
        <v>1148.8000000000002</v>
      </c>
      <c r="X221" s="73">
        <f t="shared" si="260"/>
        <v>1447226</v>
      </c>
      <c r="Y221" s="187">
        <f t="shared" si="291"/>
        <v>21648</v>
      </c>
      <c r="Z221" s="175">
        <f t="shared" si="275"/>
        <v>1468874</v>
      </c>
      <c r="AA221" s="40">
        <f t="shared" si="261"/>
        <v>-495783</v>
      </c>
      <c r="AB221" s="519">
        <f>[9]RMWh!$L101</f>
        <v>1436438</v>
      </c>
      <c r="AC221" s="107">
        <f>'[7]Gov 65 &amp; 70'!$B306</f>
        <v>31.85</v>
      </c>
      <c r="AD221" s="4">
        <f t="shared" si="262"/>
        <v>1371945</v>
      </c>
      <c r="AE221" s="4">
        <f t="shared" si="200"/>
        <v>78543</v>
      </c>
      <c r="AF221" s="23">
        <f t="shared" si="263"/>
        <v>1059.8</v>
      </c>
      <c r="AG221" s="75">
        <f t="shared" ref="AG221:AG226" si="292">AF221-AF209</f>
        <v>-60.200000000000045</v>
      </c>
      <c r="AI221" s="303">
        <f t="shared" si="224"/>
        <v>0.55073986541993036</v>
      </c>
      <c r="AU221" s="4">
        <f>AU209+1</f>
        <v>2001</v>
      </c>
      <c r="AV221" s="4">
        <f>AV209</f>
        <v>1</v>
      </c>
      <c r="AW221" s="230">
        <f>'[8]RES 62 &amp; 67'!$S306</f>
        <v>24.9</v>
      </c>
      <c r="AX221" s="200">
        <f t="shared" si="202"/>
        <v>50.5</v>
      </c>
      <c r="AY221" s="203">
        <f t="shared" ref="AY221:AY229" si="293">AX221-AW221</f>
        <v>25.6</v>
      </c>
      <c r="AZ221" s="230">
        <f>'[8]RES 62 &amp; 67'!$J306</f>
        <v>264</v>
      </c>
      <c r="BA221" s="183">
        <f t="shared" si="203"/>
        <v>127.9</v>
      </c>
      <c r="BB221" s="429">
        <f t="shared" ref="BB221:BB230" si="294">BA221-AZ221</f>
        <v>-136.1</v>
      </c>
      <c r="BC221" s="206">
        <f t="shared" si="276"/>
        <v>55.296000000000006</v>
      </c>
      <c r="BD221" s="206">
        <f t="shared" si="277"/>
        <v>-15.616</v>
      </c>
      <c r="BE221" s="206">
        <f t="shared" si="278"/>
        <v>39.680000000000007</v>
      </c>
      <c r="BF221" s="207">
        <f t="shared" si="279"/>
        <v>-368.83099999999996</v>
      </c>
      <c r="BG221" s="219">
        <f t="shared" si="280"/>
        <v>-329.2</v>
      </c>
      <c r="BH221" s="4">
        <f>BH209+1</f>
        <v>2001</v>
      </c>
      <c r="BI221" s="4">
        <f>BI209</f>
        <v>1</v>
      </c>
      <c r="BJ221" s="108">
        <f>C221+[4]MWh!$AJ55</f>
        <v>2015304.3794648806</v>
      </c>
      <c r="BK221" s="108">
        <f t="shared" si="250"/>
        <v>30145.013785922354</v>
      </c>
      <c r="BL221" s="108">
        <f t="shared" si="225"/>
        <v>1985159.3656789581</v>
      </c>
      <c r="BM221" s="189">
        <f t="shared" si="251"/>
        <v>1246.6084523857953</v>
      </c>
      <c r="BN221" s="6">
        <f t="shared" si="252"/>
        <v>1570442</v>
      </c>
      <c r="BO221" s="175">
        <f t="shared" si="226"/>
        <v>23847</v>
      </c>
      <c r="BP221" s="108">
        <f t="shared" si="227"/>
        <v>-421015.37946488051</v>
      </c>
      <c r="BQ221" s="76">
        <f t="shared" si="253"/>
        <v>1556.8122686589415</v>
      </c>
      <c r="BR221" s="76">
        <f t="shared" si="254"/>
        <v>1231.5800532557955</v>
      </c>
      <c r="BS221" s="76">
        <f t="shared" si="290"/>
        <v>148.78054993851606</v>
      </c>
      <c r="BT221" s="175">
        <f t="shared" si="243"/>
        <v>1594289</v>
      </c>
      <c r="BU221" s="108">
        <f t="shared" ref="BU221:BU226" si="295">BT221-BT209</f>
        <v>343805</v>
      </c>
      <c r="BV221" s="120"/>
      <c r="BW221" s="529"/>
      <c r="BX221" s="120"/>
      <c r="CK221" s="165">
        <v>36892</v>
      </c>
      <c r="CL221" s="40">
        <f>BP221+COML!BV221+SPA!BV221</f>
        <v>-455463.37946488051</v>
      </c>
      <c r="CM221" s="40">
        <f>ROUND('[14]2001'!$D32,0)</f>
        <v>-444493</v>
      </c>
      <c r="CN221" s="2">
        <f t="shared" si="239"/>
        <v>-10970.379464880505</v>
      </c>
      <c r="CO221" s="108">
        <f>'[2]FPC wSEB'!$R318</f>
        <v>3734214</v>
      </c>
      <c r="CP221" s="108">
        <f>'[2]FPC wSEB'!$C318-SUM('[2]FPC wSEB'!$K318:$L318)</f>
        <v>3369378</v>
      </c>
      <c r="CQ221" s="108">
        <f>'[2]FPC wSEB'!$T318-'[2]FPC wSEB'!$T317</f>
        <v>-196764</v>
      </c>
      <c r="CR221" s="108">
        <f>SUM('[2]FPC wSEB'!$K318:$L318)</f>
        <v>281643</v>
      </c>
      <c r="CS221" s="108">
        <f>('[2]FPC wSEB'!$N318)-CQ221</f>
        <v>12469</v>
      </c>
      <c r="CT221" s="108">
        <f>'[2]FPC wSEB'!$P318</f>
        <v>9454</v>
      </c>
      <c r="CU221" s="108">
        <f>'[2]FPC wSEB'!$Q318</f>
        <v>258034</v>
      </c>
      <c r="CV221" s="115">
        <f t="shared" ref="CV221:CV226" si="296">CO221-SUM(CP221:CU221)</f>
        <v>0</v>
      </c>
      <c r="CW221" s="108">
        <f t="shared" si="240"/>
        <v>3022233</v>
      </c>
      <c r="CX221" s="108">
        <f t="shared" ref="CX221:CX226" si="297">SUM(CP221:CS221)+CL221</f>
        <v>3011262.6205351194</v>
      </c>
      <c r="CY221" s="108">
        <f t="shared" ref="CY221:CY226" si="298">CW221-CX221</f>
        <v>10970.379464880563</v>
      </c>
    </row>
    <row r="222" spans="1:103">
      <c r="A222" s="13">
        <f t="shared" ref="A222:A285" si="299">A210+1</f>
        <v>2001</v>
      </c>
      <c r="B222" s="13">
        <f t="shared" ref="B222:B285" si="300">B210</f>
        <v>2</v>
      </c>
      <c r="C222" s="5">
        <f>'[2]FPC wSEB'!$D319</f>
        <v>1368539</v>
      </c>
      <c r="D222" s="5">
        <f>'[2]FPC wSEB'!$X319</f>
        <v>1267334</v>
      </c>
      <c r="E222" s="5">
        <f t="shared" si="222"/>
        <v>1346421</v>
      </c>
      <c r="F222" s="5">
        <f t="shared" si="223"/>
        <v>1233091</v>
      </c>
      <c r="G222" s="74">
        <f t="shared" si="269"/>
        <v>1091.9000000000001</v>
      </c>
      <c r="H222" s="190">
        <v>22118.327000000001</v>
      </c>
      <c r="I222" s="170">
        <v>34243</v>
      </c>
      <c r="J222" s="230">
        <f>'[7]RES 62 &amp; 67'!$S307</f>
        <v>48</v>
      </c>
      <c r="K222" s="183">
        <f t="shared" ref="K222:K376" si="301">K210</f>
        <v>43.3</v>
      </c>
      <c r="L222" s="233">
        <f t="shared" si="283"/>
        <v>-4.7000000000000028</v>
      </c>
      <c r="M222" s="230">
        <f>'[7]RES 62 &amp; 67'!$J307</f>
        <v>157.4</v>
      </c>
      <c r="N222" s="183">
        <f t="shared" ref="N222:N376" si="302">N210</f>
        <v>127.9</v>
      </c>
      <c r="O222" s="236">
        <f t="shared" si="284"/>
        <v>-29.5</v>
      </c>
      <c r="P222" s="206">
        <f t="shared" si="270"/>
        <v>-10.152000000000006</v>
      </c>
      <c r="Q222" s="208">
        <f t="shared" si="271"/>
        <v>2.8670000000000018</v>
      </c>
      <c r="R222" s="467">
        <f t="shared" si="272"/>
        <v>-7.2850000000000046</v>
      </c>
      <c r="S222" s="470">
        <f t="shared" si="273"/>
        <v>-79.944999999999993</v>
      </c>
      <c r="T222" s="425">
        <f t="shared" si="274"/>
        <v>-87.2</v>
      </c>
      <c r="U222" s="579">
        <f>[5]RC!$E102</f>
        <v>1274846</v>
      </c>
      <c r="V222" s="447">
        <v>36923</v>
      </c>
      <c r="W222" s="191">
        <f t="shared" si="259"/>
        <v>1004.7</v>
      </c>
      <c r="X222" s="73">
        <f t="shared" si="260"/>
        <v>1238887</v>
      </c>
      <c r="Y222" s="187">
        <f t="shared" si="291"/>
        <v>20023</v>
      </c>
      <c r="Z222" s="175">
        <f t="shared" si="275"/>
        <v>1258910</v>
      </c>
      <c r="AA222" s="40">
        <f t="shared" si="261"/>
        <v>-109629</v>
      </c>
      <c r="AB222" s="519">
        <f>[9]RMWh!$L102</f>
        <v>1295148</v>
      </c>
      <c r="AC222" s="107">
        <f>'[7]Gov 65 &amp; 70'!$B307</f>
        <v>29.55</v>
      </c>
      <c r="AD222" s="4">
        <f t="shared" si="262"/>
        <v>1333279</v>
      </c>
      <c r="AE222" s="4">
        <f t="shared" ref="AE222:AE227" si="303">AD222-AD210</f>
        <v>26395</v>
      </c>
      <c r="AF222" s="23">
        <f t="shared" si="263"/>
        <v>1052</v>
      </c>
      <c r="AG222" s="75">
        <f t="shared" si="292"/>
        <v>13.200000000000045</v>
      </c>
      <c r="AI222" s="303">
        <f t="shared" si="224"/>
        <v>0.59155836863965172</v>
      </c>
      <c r="AU222" s="4">
        <f t="shared" ref="AU222:AU285" si="304">AU210+1</f>
        <v>2001</v>
      </c>
      <c r="AV222" s="4">
        <f t="shared" ref="AV222:AV285" si="305">AV210</f>
        <v>2</v>
      </c>
      <c r="AW222" s="230">
        <f>'[8]RES 62 &amp; 67'!$S307</f>
        <v>99.5</v>
      </c>
      <c r="AX222" s="200">
        <f t="shared" ref="AX222:AX376" si="306">AX210</f>
        <v>59.2</v>
      </c>
      <c r="AY222" s="203">
        <f t="shared" si="293"/>
        <v>-40.299999999999997</v>
      </c>
      <c r="AZ222" s="230">
        <f>'[8]RES 62 &amp; 67'!$J307</f>
        <v>52.9</v>
      </c>
      <c r="BA222" s="183">
        <f t="shared" ref="BA222:BA376" si="307">BA210</f>
        <v>97.8</v>
      </c>
      <c r="BB222" s="429">
        <f t="shared" si="294"/>
        <v>44.9</v>
      </c>
      <c r="BC222" s="206">
        <f t="shared" si="276"/>
        <v>-87.048000000000002</v>
      </c>
      <c r="BD222" s="206">
        <f t="shared" si="277"/>
        <v>24.582999999999998</v>
      </c>
      <c r="BE222" s="206">
        <f t="shared" si="278"/>
        <v>-62.465000000000003</v>
      </c>
      <c r="BF222" s="207">
        <f t="shared" si="279"/>
        <v>121.67899999999999</v>
      </c>
      <c r="BG222" s="219">
        <f t="shared" si="280"/>
        <v>59.2</v>
      </c>
      <c r="BH222" s="4">
        <f t="shared" ref="BH222:BH231" si="308">BH210+1</f>
        <v>2001</v>
      </c>
      <c r="BI222" s="4">
        <f t="shared" ref="BI222:BI231" si="309">BI210</f>
        <v>2</v>
      </c>
      <c r="BJ222" s="108">
        <f>C222+[4]MWh!$AJ56</f>
        <v>1106344.6689782997</v>
      </c>
      <c r="BK222" s="108">
        <f t="shared" si="250"/>
        <v>17880.74228295196</v>
      </c>
      <c r="BL222" s="108">
        <f t="shared" si="225"/>
        <v>1088463.9266953478</v>
      </c>
      <c r="BM222" s="189">
        <f t="shared" si="251"/>
        <v>941.91175987445195</v>
      </c>
      <c r="BN222" s="6">
        <f t="shared" si="252"/>
        <v>1161463</v>
      </c>
      <c r="BO222" s="175">
        <f t="shared" si="226"/>
        <v>19080</v>
      </c>
      <c r="BP222" s="108">
        <f t="shared" si="227"/>
        <v>74198.331021700273</v>
      </c>
      <c r="BQ222" s="76">
        <f t="shared" si="253"/>
        <v>872.97008442786171</v>
      </c>
      <c r="BR222" s="76">
        <f t="shared" si="254"/>
        <v>931.51686927045273</v>
      </c>
      <c r="BS222" s="76">
        <f t="shared" si="290"/>
        <v>-161.65312340083813</v>
      </c>
      <c r="BT222" s="175">
        <f t="shared" si="243"/>
        <v>1180543</v>
      </c>
      <c r="BU222" s="108">
        <f t="shared" si="295"/>
        <v>-194737</v>
      </c>
      <c r="BV222" s="120"/>
      <c r="BW222" s="529"/>
      <c r="CK222" s="165">
        <v>36923</v>
      </c>
      <c r="CL222" s="40">
        <f>BP222+COML!BV222+SPA!BV222</f>
        <v>51307.331021700273</v>
      </c>
      <c r="CM222" s="40">
        <f>ROUND('[14]2001'!$D33,0)</f>
        <v>162655</v>
      </c>
      <c r="CN222" s="2">
        <f t="shared" si="239"/>
        <v>-111347.66897829973</v>
      </c>
      <c r="CO222" s="108">
        <f>'[2]FPC wSEB'!$R319</f>
        <v>2655448</v>
      </c>
      <c r="CP222" s="108">
        <f>'[2]FPC wSEB'!$C319-SUM('[2]FPC wSEB'!$K319:$L319)</f>
        <v>2647844</v>
      </c>
      <c r="CQ222" s="108">
        <f>'[2]FPC wSEB'!$T319-'[2]FPC wSEB'!$T318</f>
        <v>-296235</v>
      </c>
      <c r="CR222" s="108">
        <f>SUM('[2]FPC wSEB'!$K319:$L319)</f>
        <v>340783</v>
      </c>
      <c r="CS222" s="108">
        <f>('[2]FPC wSEB'!$N319)-CQ222</f>
        <v>-183888</v>
      </c>
      <c r="CT222" s="108">
        <f>'[2]FPC wSEB'!$P319</f>
        <v>9977</v>
      </c>
      <c r="CU222" s="108">
        <f>'[2]FPC wSEB'!$Q319</f>
        <v>136967</v>
      </c>
      <c r="CV222" s="115">
        <f t="shared" si="296"/>
        <v>0</v>
      </c>
      <c r="CW222" s="108">
        <f t="shared" si="240"/>
        <v>2671159</v>
      </c>
      <c r="CX222" s="108">
        <f t="shared" si="297"/>
        <v>2559811.3310217001</v>
      </c>
      <c r="CY222" s="108">
        <f t="shared" si="298"/>
        <v>111347.66897829995</v>
      </c>
    </row>
    <row r="223" spans="1:103">
      <c r="A223" s="13">
        <f t="shared" si="299"/>
        <v>2001</v>
      </c>
      <c r="B223" s="13">
        <f t="shared" si="300"/>
        <v>3</v>
      </c>
      <c r="C223" s="5">
        <f>'[2]FPC wSEB'!$D320</f>
        <v>1075666</v>
      </c>
      <c r="D223" s="5">
        <f>'[2]FPC wSEB'!$X320</f>
        <v>1224581</v>
      </c>
      <c r="E223" s="5">
        <f t="shared" si="222"/>
        <v>1059454</v>
      </c>
      <c r="F223" s="5">
        <f t="shared" si="223"/>
        <v>1191783</v>
      </c>
      <c r="G223" s="74">
        <f t="shared" si="269"/>
        <v>889</v>
      </c>
      <c r="H223" s="190">
        <v>16211.745000000001</v>
      </c>
      <c r="I223" s="170">
        <v>32798</v>
      </c>
      <c r="J223" s="230">
        <f>'[7]RES 62 &amp; 67'!$S308</f>
        <v>110.3</v>
      </c>
      <c r="K223" s="183">
        <f t="shared" si="301"/>
        <v>77.2</v>
      </c>
      <c r="L223" s="233">
        <f t="shared" si="283"/>
        <v>-33.099999999999994</v>
      </c>
      <c r="M223" s="230">
        <f>'[7]RES 62 &amp; 67'!$J308</f>
        <v>46.9</v>
      </c>
      <c r="N223" s="183">
        <f t="shared" si="302"/>
        <v>82.3</v>
      </c>
      <c r="O223" s="236">
        <f t="shared" si="284"/>
        <v>35.4</v>
      </c>
      <c r="P223" s="206">
        <f t="shared" si="270"/>
        <v>-71.495999999999995</v>
      </c>
      <c r="Q223" s="208">
        <f t="shared" si="271"/>
        <v>20.190999999999995</v>
      </c>
      <c r="R223" s="467">
        <f t="shared" si="272"/>
        <v>-51.305</v>
      </c>
      <c r="S223" s="470">
        <f t="shared" si="273"/>
        <v>95.933999999999997</v>
      </c>
      <c r="T223" s="425">
        <f t="shared" si="274"/>
        <v>44.6</v>
      </c>
      <c r="U223" s="579">
        <f>[5]RC!$E103</f>
        <v>1277125</v>
      </c>
      <c r="V223" s="447">
        <v>36951</v>
      </c>
      <c r="W223" s="191">
        <f t="shared" si="259"/>
        <v>933.6</v>
      </c>
      <c r="X223" s="73">
        <f t="shared" si="260"/>
        <v>1112649</v>
      </c>
      <c r="Y223" s="187">
        <f t="shared" si="291"/>
        <v>16769</v>
      </c>
      <c r="Z223" s="175">
        <f t="shared" si="275"/>
        <v>1129418</v>
      </c>
      <c r="AA223" s="40">
        <f t="shared" si="261"/>
        <v>53752</v>
      </c>
      <c r="AB223" s="519">
        <f>[9]RMWh!$L103</f>
        <v>1173760</v>
      </c>
      <c r="AC223" s="107">
        <f>'[7]Gov 65 &amp; 70'!$B308</f>
        <v>29.4</v>
      </c>
      <c r="AD223" s="4">
        <f t="shared" si="262"/>
        <v>1214482</v>
      </c>
      <c r="AE223" s="4">
        <f t="shared" si="303"/>
        <v>34644</v>
      </c>
      <c r="AF223" s="23">
        <f t="shared" si="263"/>
        <v>991.8</v>
      </c>
      <c r="AG223" s="75">
        <f t="shared" si="292"/>
        <v>33.5</v>
      </c>
      <c r="AI223" s="303">
        <f t="shared" si="224"/>
        <v>0.55600748927665822</v>
      </c>
      <c r="AU223" s="4">
        <f t="shared" si="304"/>
        <v>2001</v>
      </c>
      <c r="AV223" s="4">
        <f t="shared" si="305"/>
        <v>3</v>
      </c>
      <c r="AW223" s="230">
        <f>'[8]RES 62 &amp; 67'!$S308</f>
        <v>84.1</v>
      </c>
      <c r="AX223" s="200">
        <f t="shared" si="306"/>
        <v>105.8</v>
      </c>
      <c r="AY223" s="203">
        <f t="shared" si="293"/>
        <v>21.700000000000003</v>
      </c>
      <c r="AZ223" s="230">
        <f>'[8]RES 62 &amp; 67'!$J308</f>
        <v>63.7</v>
      </c>
      <c r="BA223" s="183">
        <f t="shared" si="307"/>
        <v>49.9</v>
      </c>
      <c r="BB223" s="429">
        <f t="shared" si="294"/>
        <v>-13.800000000000004</v>
      </c>
      <c r="BC223" s="206">
        <f t="shared" si="276"/>
        <v>46.872000000000007</v>
      </c>
      <c r="BD223" s="206">
        <f t="shared" si="277"/>
        <v>-13.237000000000002</v>
      </c>
      <c r="BE223" s="206">
        <f t="shared" si="278"/>
        <v>33.635000000000005</v>
      </c>
      <c r="BF223" s="207">
        <f t="shared" si="279"/>
        <v>-37.39800000000001</v>
      </c>
      <c r="BG223" s="219">
        <f t="shared" si="280"/>
        <v>-3.8</v>
      </c>
      <c r="BH223" s="4">
        <f t="shared" si="308"/>
        <v>2001</v>
      </c>
      <c r="BI223" s="4">
        <f t="shared" si="309"/>
        <v>3</v>
      </c>
      <c r="BJ223" s="108">
        <f>C223+[4]MWh!$AJ57</f>
        <v>1028839.2406600766</v>
      </c>
      <c r="BK223" s="108">
        <f t="shared" si="250"/>
        <v>15506.002249373685</v>
      </c>
      <c r="BL223" s="108">
        <f t="shared" si="225"/>
        <v>1013333.2384107029</v>
      </c>
      <c r="BM223" s="189">
        <f t="shared" si="251"/>
        <v>846.46656565054457</v>
      </c>
      <c r="BN223" s="6">
        <f t="shared" si="252"/>
        <v>1008804</v>
      </c>
      <c r="BO223" s="175">
        <f t="shared" si="226"/>
        <v>15437</v>
      </c>
      <c r="BP223" s="108">
        <f t="shared" si="227"/>
        <v>-4598.2406600765917</v>
      </c>
      <c r="BQ223" s="76">
        <f t="shared" si="253"/>
        <v>840.15613557623101</v>
      </c>
      <c r="BR223" s="76">
        <f t="shared" si="254"/>
        <v>836.40118538504191</v>
      </c>
      <c r="BS223" s="76">
        <f t="shared" si="290"/>
        <v>-4.5480557045531214</v>
      </c>
      <c r="BT223" s="175">
        <f t="shared" si="243"/>
        <v>1024241</v>
      </c>
      <c r="BU223" s="108">
        <f t="shared" si="295"/>
        <v>-11113</v>
      </c>
      <c r="BV223" s="120"/>
      <c r="BW223" s="529"/>
      <c r="CK223" s="165">
        <v>36951</v>
      </c>
      <c r="CL223" s="40">
        <f>BP223+COML!BV223+SPA!BV223</f>
        <v>14466.759339923408</v>
      </c>
      <c r="CM223" s="40">
        <f>ROUND('[14]2001'!$D34,0)</f>
        <v>65567</v>
      </c>
      <c r="CN223" s="2">
        <f t="shared" si="239"/>
        <v>-51100.24066007659</v>
      </c>
      <c r="CO223" s="108">
        <f>'[2]FPC wSEB'!$R320</f>
        <v>2962635</v>
      </c>
      <c r="CP223" s="108">
        <f>'[2]FPC wSEB'!$C320-SUM('[2]FPC wSEB'!$K320:$L320)</f>
        <v>2409092</v>
      </c>
      <c r="CQ223" s="108">
        <f>'[2]FPC wSEB'!$T320-'[2]FPC wSEB'!$T319</f>
        <v>107907</v>
      </c>
      <c r="CR223" s="108">
        <f>SUM('[2]FPC wSEB'!$K320:$L320)</f>
        <v>209512</v>
      </c>
      <c r="CS223" s="108">
        <f>('[2]FPC wSEB'!$N320)-CQ223</f>
        <v>60913</v>
      </c>
      <c r="CT223" s="108">
        <f>'[2]FPC wSEB'!$P320</f>
        <v>10039</v>
      </c>
      <c r="CU223" s="108">
        <f>'[2]FPC wSEB'!$Q320</f>
        <v>165172</v>
      </c>
      <c r="CV223" s="115">
        <f t="shared" si="296"/>
        <v>0</v>
      </c>
      <c r="CW223" s="108">
        <f t="shared" si="240"/>
        <v>2852991</v>
      </c>
      <c r="CX223" s="108">
        <f t="shared" si="297"/>
        <v>2801890.7593399235</v>
      </c>
      <c r="CY223" s="108">
        <f t="shared" si="298"/>
        <v>51100.240660076495</v>
      </c>
    </row>
    <row r="224" spans="1:103">
      <c r="A224" s="13">
        <f t="shared" si="299"/>
        <v>2001</v>
      </c>
      <c r="B224" s="13">
        <f t="shared" si="300"/>
        <v>4</v>
      </c>
      <c r="C224" s="5">
        <f>'[2]FPC wSEB'!$D321</f>
        <v>1184065</v>
      </c>
      <c r="D224" s="5">
        <f>'[2]FPC wSEB'!$X321</f>
        <v>1302870</v>
      </c>
      <c r="E224" s="5">
        <f t="shared" si="222"/>
        <v>1166709</v>
      </c>
      <c r="F224" s="5">
        <f t="shared" si="223"/>
        <v>1265570</v>
      </c>
      <c r="G224" s="74">
        <f t="shared" si="269"/>
        <v>921.9</v>
      </c>
      <c r="H224" s="190">
        <v>17355.924999999999</v>
      </c>
      <c r="I224" s="170">
        <v>37300</v>
      </c>
      <c r="J224" s="230">
        <f>'[7]RES 62 &amp; 67'!$S309</f>
        <v>123.3</v>
      </c>
      <c r="K224" s="183">
        <f t="shared" si="301"/>
        <v>138.1</v>
      </c>
      <c r="L224" s="233">
        <f t="shared" si="283"/>
        <v>14.799999999999997</v>
      </c>
      <c r="M224" s="230">
        <f>'[7]RES 62 &amp; 67'!$J309</f>
        <v>42.4</v>
      </c>
      <c r="N224" s="183">
        <f t="shared" si="302"/>
        <v>37.299999999999997</v>
      </c>
      <c r="O224" s="236">
        <f t="shared" si="284"/>
        <v>-5.1000000000000014</v>
      </c>
      <c r="P224" s="206">
        <f t="shared" si="270"/>
        <v>31.967999999999996</v>
      </c>
      <c r="Q224" s="208">
        <f t="shared" si="271"/>
        <v>-9.0279999999999987</v>
      </c>
      <c r="R224" s="467">
        <f t="shared" si="272"/>
        <v>22.939999999999998</v>
      </c>
      <c r="S224" s="470">
        <f t="shared" si="273"/>
        <v>-13.821000000000003</v>
      </c>
      <c r="T224" s="425">
        <f t="shared" si="274"/>
        <v>9.1</v>
      </c>
      <c r="U224" s="579">
        <f>[5]RC!$E104</f>
        <v>1272206</v>
      </c>
      <c r="V224" s="447">
        <v>36982</v>
      </c>
      <c r="W224" s="191">
        <f t="shared" si="259"/>
        <v>931</v>
      </c>
      <c r="X224" s="73">
        <f t="shared" si="260"/>
        <v>1178246</v>
      </c>
      <c r="Y224" s="187">
        <f t="shared" si="291"/>
        <v>17271</v>
      </c>
      <c r="Z224" s="175">
        <f t="shared" si="275"/>
        <v>1195517</v>
      </c>
      <c r="AA224" s="40">
        <f t="shared" si="261"/>
        <v>11452</v>
      </c>
      <c r="AB224" s="519">
        <f>[9]RMWh!$L104</f>
        <v>1169545</v>
      </c>
      <c r="AC224" s="107">
        <f>'[7]Gov 65 &amp; 70'!$B309</f>
        <v>30.05</v>
      </c>
      <c r="AD224" s="4">
        <f t="shared" si="262"/>
        <v>1183945</v>
      </c>
      <c r="AE224" s="4">
        <f t="shared" si="303"/>
        <v>101809</v>
      </c>
      <c r="AF224" s="23">
        <f t="shared" si="263"/>
        <v>908.7</v>
      </c>
      <c r="AG224" s="75">
        <f t="shared" si="292"/>
        <v>43.5</v>
      </c>
      <c r="AI224" s="303">
        <f t="shared" si="224"/>
        <v>0.50472535011183051</v>
      </c>
      <c r="AU224" s="4">
        <f t="shared" si="304"/>
        <v>2001</v>
      </c>
      <c r="AV224" s="4">
        <f t="shared" si="305"/>
        <v>4</v>
      </c>
      <c r="AW224" s="230">
        <f>'[8]RES 62 &amp; 67'!$S309</f>
        <v>185.9</v>
      </c>
      <c r="AX224" s="200">
        <f t="shared" si="306"/>
        <v>181.7</v>
      </c>
      <c r="AY224" s="203">
        <f t="shared" si="293"/>
        <v>-4.2000000000000171</v>
      </c>
      <c r="AZ224" s="230">
        <f>'[8]RES 62 &amp; 67'!$J309</f>
        <v>21.8</v>
      </c>
      <c r="BA224" s="183">
        <f t="shared" si="307"/>
        <v>21.5</v>
      </c>
      <c r="BB224" s="429">
        <f t="shared" si="294"/>
        <v>-0.30000000000000071</v>
      </c>
      <c r="BC224" s="206">
        <f t="shared" si="276"/>
        <v>-9.0720000000000383</v>
      </c>
      <c r="BD224" s="206">
        <f t="shared" si="277"/>
        <v>1.2810000000000052</v>
      </c>
      <c r="BE224" s="206">
        <f t="shared" si="278"/>
        <v>-7.7910000000000332</v>
      </c>
      <c r="BF224" s="207">
        <f t="shared" si="279"/>
        <v>-0.81300000000000194</v>
      </c>
      <c r="BG224" s="219">
        <f t="shared" si="280"/>
        <v>-8.6</v>
      </c>
      <c r="BH224" s="4">
        <f t="shared" si="308"/>
        <v>2001</v>
      </c>
      <c r="BI224" s="4">
        <f t="shared" si="309"/>
        <v>4</v>
      </c>
      <c r="BJ224" s="108">
        <f>C224+[4]MWh!$AJ58</f>
        <v>1214034.4934834654</v>
      </c>
      <c r="BK224" s="108">
        <f t="shared" si="250"/>
        <v>17795.215310233827</v>
      </c>
      <c r="BL224" s="108">
        <f t="shared" si="225"/>
        <v>1196239.2781732315</v>
      </c>
      <c r="BM224" s="189">
        <f t="shared" si="251"/>
        <v>936.61778974946594</v>
      </c>
      <c r="BN224" s="6">
        <f t="shared" si="252"/>
        <v>1185355</v>
      </c>
      <c r="BO224" s="175">
        <f t="shared" si="226"/>
        <v>17633</v>
      </c>
      <c r="BP224" s="108">
        <f t="shared" si="227"/>
        <v>-11046.493483465347</v>
      </c>
      <c r="BQ224" s="76">
        <f t="shared" si="253"/>
        <v>931.81552532751959</v>
      </c>
      <c r="BR224" s="76">
        <f t="shared" si="254"/>
        <v>923.33694075387416</v>
      </c>
      <c r="BS224" s="76">
        <f t="shared" si="290"/>
        <v>52.2338462559145</v>
      </c>
      <c r="BT224" s="175">
        <f t="shared" si="243"/>
        <v>1202988</v>
      </c>
      <c r="BU224" s="108">
        <f t="shared" si="295"/>
        <v>113468</v>
      </c>
      <c r="BV224" s="120"/>
      <c r="BW224" s="529"/>
      <c r="BX224" s="120"/>
      <c r="CK224" s="165">
        <v>36982</v>
      </c>
      <c r="CL224" s="40">
        <f>BP224+COML!BV224+SPA!BV224</f>
        <v>-15940.493483465347</v>
      </c>
      <c r="CM224" s="40">
        <f>ROUND('[14]2001'!$D35,0)</f>
        <v>21554</v>
      </c>
      <c r="CN224" s="2">
        <f t="shared" si="239"/>
        <v>-37494.493483465347</v>
      </c>
      <c r="CO224" s="108">
        <f>'[2]FPC wSEB'!$R321</f>
        <v>3126535</v>
      </c>
      <c r="CP224" s="108">
        <f>'[2]FPC wSEB'!$C321-SUM('[2]FPC wSEB'!$K321:$L321)</f>
        <v>2607163</v>
      </c>
      <c r="CQ224" s="108">
        <f>'[2]FPC wSEB'!$T321-'[2]FPC wSEB'!$T320</f>
        <v>41404</v>
      </c>
      <c r="CR224" s="108">
        <f>SUM('[2]FPC wSEB'!$K321:$L321)</f>
        <v>249435</v>
      </c>
      <c r="CS224" s="108">
        <f>('[2]FPC wSEB'!$N321)-CQ224</f>
        <v>55602</v>
      </c>
      <c r="CT224" s="108">
        <f>'[2]FPC wSEB'!$P321</f>
        <v>8937</v>
      </c>
      <c r="CU224" s="108">
        <f>'[2]FPC wSEB'!$Q321</f>
        <v>163994</v>
      </c>
      <c r="CV224" s="115">
        <f t="shared" si="296"/>
        <v>0</v>
      </c>
      <c r="CW224" s="108">
        <f t="shared" si="240"/>
        <v>2975158</v>
      </c>
      <c r="CX224" s="108">
        <f t="shared" si="297"/>
        <v>2937663.5065165348</v>
      </c>
      <c r="CY224" s="108">
        <f t="shared" si="298"/>
        <v>37494.493483465165</v>
      </c>
    </row>
    <row r="225" spans="1:103">
      <c r="A225" s="13">
        <f t="shared" si="299"/>
        <v>2001</v>
      </c>
      <c r="B225" s="13">
        <f t="shared" si="300"/>
        <v>5</v>
      </c>
      <c r="C225" s="5">
        <f>'[2]FPC wSEB'!$D322</f>
        <v>1203111</v>
      </c>
      <c r="D225" s="5">
        <f>'[2]FPC wSEB'!$X322</f>
        <v>1270615</v>
      </c>
      <c r="E225" s="5">
        <f t="shared" si="222"/>
        <v>1191178</v>
      </c>
      <c r="F225" s="5">
        <f t="shared" si="223"/>
        <v>1231085</v>
      </c>
      <c r="G225" s="74">
        <f t="shared" si="269"/>
        <v>967.6</v>
      </c>
      <c r="H225" s="190">
        <v>11933.21</v>
      </c>
      <c r="I225" s="170">
        <v>39530</v>
      </c>
      <c r="J225" s="230">
        <f>'[7]RES 62 &amp; 67'!$S310</f>
        <v>203.3</v>
      </c>
      <c r="K225" s="183">
        <f t="shared" si="301"/>
        <v>224.4</v>
      </c>
      <c r="L225" s="233">
        <f t="shared" si="283"/>
        <v>21.099999999999994</v>
      </c>
      <c r="M225" s="230">
        <f>'[7]RES 62 &amp; 67'!$J310</f>
        <v>14.5</v>
      </c>
      <c r="N225" s="183">
        <f t="shared" si="302"/>
        <v>11.2</v>
      </c>
      <c r="O225" s="236">
        <f t="shared" si="284"/>
        <v>-3.3000000000000007</v>
      </c>
      <c r="P225" s="206">
        <f t="shared" si="270"/>
        <v>45.575999999999993</v>
      </c>
      <c r="Q225" s="208">
        <f t="shared" si="271"/>
        <v>0</v>
      </c>
      <c r="R225" s="467">
        <f t="shared" si="272"/>
        <v>45.575999999999993</v>
      </c>
      <c r="S225" s="470">
        <f t="shared" si="273"/>
        <v>-8.9430000000000014</v>
      </c>
      <c r="T225" s="425">
        <f t="shared" si="274"/>
        <v>36.6</v>
      </c>
      <c r="U225" s="579">
        <f>[5]RC!$E105</f>
        <v>1265292</v>
      </c>
      <c r="V225" s="447">
        <v>37012</v>
      </c>
      <c r="W225" s="191">
        <f t="shared" si="259"/>
        <v>1004.2</v>
      </c>
      <c r="X225" s="73">
        <f t="shared" si="260"/>
        <v>1236256</v>
      </c>
      <c r="Y225" s="187">
        <f t="shared" si="291"/>
        <v>12262</v>
      </c>
      <c r="Z225" s="175">
        <f t="shared" si="275"/>
        <v>1248518</v>
      </c>
      <c r="AA225" s="40">
        <f t="shared" si="261"/>
        <v>45407</v>
      </c>
      <c r="AB225" s="519">
        <f>[9]RMWh!$L105</f>
        <v>1241338</v>
      </c>
      <c r="AC225" s="107">
        <f>'[7]Gov 65 &amp; 70'!$B310</f>
        <v>30.15</v>
      </c>
      <c r="AD225" s="4">
        <f t="shared" si="262"/>
        <v>1252454</v>
      </c>
      <c r="AE225" s="4">
        <f t="shared" si="303"/>
        <v>15925</v>
      </c>
      <c r="AF225" s="23">
        <f t="shared" si="263"/>
        <v>985.7</v>
      </c>
      <c r="AG225" s="75">
        <f t="shared" si="292"/>
        <v>-27.399999999999977</v>
      </c>
      <c r="AI225" s="303">
        <f t="shared" si="224"/>
        <v>0.3119856432135048</v>
      </c>
      <c r="AU225" s="4">
        <f t="shared" si="304"/>
        <v>2001</v>
      </c>
      <c r="AV225" s="4">
        <f t="shared" si="305"/>
        <v>5</v>
      </c>
      <c r="AW225" s="230">
        <f>'[8]RES 62 &amp; 67'!$S310</f>
        <v>301.2</v>
      </c>
      <c r="AX225" s="200">
        <f t="shared" si="306"/>
        <v>336.7</v>
      </c>
      <c r="AY225" s="203">
        <f t="shared" si="293"/>
        <v>35.5</v>
      </c>
      <c r="AZ225" s="230">
        <f>'[8]RES 62 &amp; 67'!$J310</f>
        <v>2.1</v>
      </c>
      <c r="BA225" s="183">
        <f t="shared" si="307"/>
        <v>2.1</v>
      </c>
      <c r="BB225" s="429">
        <f t="shared" si="294"/>
        <v>0</v>
      </c>
      <c r="BC225" s="206">
        <f t="shared" si="276"/>
        <v>76.680000000000007</v>
      </c>
      <c r="BD225" s="206">
        <f t="shared" si="277"/>
        <v>0</v>
      </c>
      <c r="BE225" s="206">
        <f t="shared" si="278"/>
        <v>76.680000000000007</v>
      </c>
      <c r="BF225" s="207">
        <f t="shared" si="279"/>
        <v>0</v>
      </c>
      <c r="BG225" s="219">
        <f t="shared" si="280"/>
        <v>76.7</v>
      </c>
      <c r="BH225" s="4">
        <f t="shared" si="308"/>
        <v>2001</v>
      </c>
      <c r="BI225" s="4">
        <f t="shared" si="309"/>
        <v>5</v>
      </c>
      <c r="BJ225" s="108">
        <f>C225+[4]MWh!$AJ59</f>
        <v>1362937.7391134524</v>
      </c>
      <c r="BK225" s="108">
        <f t="shared" si="250"/>
        <v>13518.471909712438</v>
      </c>
      <c r="BL225" s="108">
        <f t="shared" si="225"/>
        <v>1349419.2672037398</v>
      </c>
      <c r="BM225" s="189">
        <f t="shared" si="251"/>
        <v>1172.8219308201626</v>
      </c>
      <c r="BN225" s="6">
        <f t="shared" si="252"/>
        <v>1443843</v>
      </c>
      <c r="BO225" s="175">
        <f t="shared" si="226"/>
        <v>14464</v>
      </c>
      <c r="BP225" s="108">
        <f t="shared" si="227"/>
        <v>95369.260886547723</v>
      </c>
      <c r="BQ225" s="76">
        <f t="shared" si="253"/>
        <v>1072.659884475984</v>
      </c>
      <c r="BR225" s="76">
        <f t="shared" si="254"/>
        <v>1147.7174439149546</v>
      </c>
      <c r="BS225" s="76">
        <f t="shared" si="290"/>
        <v>-38.42086494791215</v>
      </c>
      <c r="BT225" s="175">
        <f t="shared" si="243"/>
        <v>1458307</v>
      </c>
      <c r="BU225" s="108">
        <f t="shared" si="295"/>
        <v>10522</v>
      </c>
      <c r="BV225" s="120"/>
      <c r="BW225" s="529"/>
      <c r="CK225" s="165">
        <v>37012</v>
      </c>
      <c r="CL225" s="40">
        <f>BP225+COML!BV225+SPA!BV225</f>
        <v>127728.26088654772</v>
      </c>
      <c r="CM225" s="40">
        <f>ROUND('[14]2001'!$D36,0)</f>
        <v>183055</v>
      </c>
      <c r="CN225" s="2">
        <f t="shared" si="239"/>
        <v>-55326.739113452277</v>
      </c>
      <c r="CO225" s="108">
        <f>'[2]FPC wSEB'!$R322</f>
        <v>3485082</v>
      </c>
      <c r="CP225" s="108">
        <f>'[2]FPC wSEB'!$C322-SUM('[2]FPC wSEB'!$K322:$L322)</f>
        <v>2632423</v>
      </c>
      <c r="CQ225" s="108">
        <f>'[2]FPC wSEB'!$T322-'[2]FPC wSEB'!$T321</f>
        <v>340261</v>
      </c>
      <c r="CR225" s="108">
        <f>SUM('[2]FPC wSEB'!$K322:$L322)</f>
        <v>312010</v>
      </c>
      <c r="CS225" s="108">
        <f>('[2]FPC wSEB'!$N322)-CQ225</f>
        <v>29290</v>
      </c>
      <c r="CT225" s="108">
        <f>'[2]FPC wSEB'!$P322</f>
        <v>17671</v>
      </c>
      <c r="CU225" s="108">
        <f>'[2]FPC wSEB'!$Q322</f>
        <v>153427</v>
      </c>
      <c r="CV225" s="115">
        <f t="shared" si="296"/>
        <v>0</v>
      </c>
      <c r="CW225" s="108">
        <f t="shared" si="240"/>
        <v>3497039</v>
      </c>
      <c r="CX225" s="108">
        <f t="shared" si="297"/>
        <v>3441712.2608865476</v>
      </c>
      <c r="CY225" s="108">
        <f t="shared" si="298"/>
        <v>55326.739113452379</v>
      </c>
    </row>
    <row r="226" spans="1:103">
      <c r="A226" s="13">
        <f t="shared" si="299"/>
        <v>2001</v>
      </c>
      <c r="B226" s="13">
        <f t="shared" si="300"/>
        <v>6</v>
      </c>
      <c r="C226" s="5">
        <f>'[2]FPC wSEB'!$D323</f>
        <v>1675883</v>
      </c>
      <c r="D226" s="5">
        <f>'[2]FPC wSEB'!$X323</f>
        <v>1270443</v>
      </c>
      <c r="E226" s="5">
        <f t="shared" si="222"/>
        <v>1666342</v>
      </c>
      <c r="F226" s="5">
        <f t="shared" si="223"/>
        <v>1231358</v>
      </c>
      <c r="G226" s="74">
        <f t="shared" si="269"/>
        <v>1353.3</v>
      </c>
      <c r="H226" s="190">
        <v>9541.1090000000004</v>
      </c>
      <c r="I226" s="170">
        <v>39085</v>
      </c>
      <c r="J226" s="230">
        <f>'[7]RES 62 &amp; 67'!$S311</f>
        <v>383.2</v>
      </c>
      <c r="K226" s="183">
        <f t="shared" si="301"/>
        <v>382.8</v>
      </c>
      <c r="L226" s="233">
        <f t="shared" si="283"/>
        <v>-0.39999999999997726</v>
      </c>
      <c r="M226" s="230">
        <f>'[7]RES 62 &amp; 67'!$J311</f>
        <v>1</v>
      </c>
      <c r="N226" s="183">
        <f t="shared" si="302"/>
        <v>0.9</v>
      </c>
      <c r="O226" s="236">
        <f t="shared" si="284"/>
        <v>-9.9999999999999978E-2</v>
      </c>
      <c r="P226" s="206">
        <f t="shared" si="270"/>
        <v>-0.86399999999995092</v>
      </c>
      <c r="Q226" s="208">
        <f t="shared" si="271"/>
        <v>0</v>
      </c>
      <c r="R226" s="467">
        <f t="shared" si="272"/>
        <v>-0.86399999999995092</v>
      </c>
      <c r="S226" s="470">
        <f t="shared" si="273"/>
        <v>-0.27099999999999996</v>
      </c>
      <c r="T226" s="425">
        <f t="shared" si="274"/>
        <v>-1.1000000000000001</v>
      </c>
      <c r="U226" s="579">
        <f>[5]RC!$E106</f>
        <v>1265610</v>
      </c>
      <c r="V226" s="447">
        <v>37043</v>
      </c>
      <c r="W226" s="191">
        <f t="shared" si="259"/>
        <v>1352.2</v>
      </c>
      <c r="X226" s="73">
        <f t="shared" si="260"/>
        <v>1665042</v>
      </c>
      <c r="Y226" s="187">
        <f t="shared" si="291"/>
        <v>9479</v>
      </c>
      <c r="Z226" s="175">
        <f t="shared" si="275"/>
        <v>1674521</v>
      </c>
      <c r="AA226" s="40">
        <f t="shared" si="261"/>
        <v>-1362</v>
      </c>
      <c r="AB226" s="519">
        <f>[9]RMWh!$L106</f>
        <v>1657425</v>
      </c>
      <c r="AC226" s="107">
        <f>'[7]Gov 65 &amp; 70'!$B311</f>
        <v>30.8</v>
      </c>
      <c r="AD226" s="4">
        <f t="shared" si="262"/>
        <v>1636976</v>
      </c>
      <c r="AE226" s="4">
        <f t="shared" si="303"/>
        <v>33675</v>
      </c>
      <c r="AF226" s="23">
        <f t="shared" si="263"/>
        <v>1288.5</v>
      </c>
      <c r="AG226" s="75">
        <f t="shared" si="292"/>
        <v>-29.900000000000091</v>
      </c>
      <c r="AI226" s="303">
        <f t="shared" si="224"/>
        <v>0.18038260697078268</v>
      </c>
      <c r="AU226" s="4">
        <f t="shared" si="304"/>
        <v>2001</v>
      </c>
      <c r="AV226" s="4">
        <f t="shared" si="305"/>
        <v>6</v>
      </c>
      <c r="AW226" s="230">
        <f>'[8]RES 62 &amp; 67'!$S311</f>
        <v>424.8</v>
      </c>
      <c r="AX226" s="200">
        <f t="shared" si="306"/>
        <v>425.2</v>
      </c>
      <c r="AY226" s="203">
        <f t="shared" si="293"/>
        <v>0.39999999999997726</v>
      </c>
      <c r="AZ226" s="230">
        <f>'[8]RES 62 &amp; 67'!$J311</f>
        <v>0</v>
      </c>
      <c r="BA226" s="183">
        <f t="shared" si="307"/>
        <v>0</v>
      </c>
      <c r="BB226" s="429">
        <f t="shared" si="294"/>
        <v>0</v>
      </c>
      <c r="BC226" s="206">
        <f t="shared" si="276"/>
        <v>0.86399999999995092</v>
      </c>
      <c r="BD226" s="206">
        <f t="shared" si="277"/>
        <v>0</v>
      </c>
      <c r="BE226" s="206">
        <f t="shared" si="278"/>
        <v>0.86399999999995092</v>
      </c>
      <c r="BF226" s="207">
        <f t="shared" si="279"/>
        <v>0</v>
      </c>
      <c r="BG226" s="219">
        <f t="shared" si="280"/>
        <v>0.9</v>
      </c>
      <c r="BH226" s="4">
        <f t="shared" si="308"/>
        <v>2001</v>
      </c>
      <c r="BI226" s="4">
        <f t="shared" si="309"/>
        <v>6</v>
      </c>
      <c r="BJ226" s="108">
        <f>C226+[4]MWh!$AJ60</f>
        <v>1797652.3039721567</v>
      </c>
      <c r="BK226" s="108">
        <f t="shared" si="250"/>
        <v>10234.363959953937</v>
      </c>
      <c r="BL226" s="108">
        <f t="shared" si="225"/>
        <v>1787417.9400122028</v>
      </c>
      <c r="BM226" s="189">
        <f t="shared" si="251"/>
        <v>1452.4826753975717</v>
      </c>
      <c r="BN226" s="6">
        <f t="shared" si="252"/>
        <v>1788526</v>
      </c>
      <c r="BO226" s="175">
        <f t="shared" si="226"/>
        <v>10241</v>
      </c>
      <c r="BP226" s="108">
        <f t="shared" si="227"/>
        <v>1114.6960278432325</v>
      </c>
      <c r="BQ226" s="76">
        <f t="shared" si="253"/>
        <v>1414.9806830941307</v>
      </c>
      <c r="BR226" s="76">
        <f t="shared" si="254"/>
        <v>1415.8580904456162</v>
      </c>
      <c r="BS226" s="76">
        <f t="shared" si="290"/>
        <v>-18.716933586974392</v>
      </c>
      <c r="BT226" s="175">
        <f t="shared" si="243"/>
        <v>1798767</v>
      </c>
      <c r="BU226" s="108">
        <f t="shared" si="295"/>
        <v>54242</v>
      </c>
      <c r="BV226" s="120"/>
      <c r="BW226" s="529"/>
      <c r="CK226" s="165">
        <v>37043</v>
      </c>
      <c r="CL226" s="40">
        <f>BP226+COML!BV226+SPA!BV226</f>
        <v>1547.6960278432325</v>
      </c>
      <c r="CM226" s="40">
        <f>ROUND('[14]2001'!$D37,0)</f>
        <v>194739</v>
      </c>
      <c r="CN226" s="2">
        <f t="shared" si="239"/>
        <v>-193191.30397215678</v>
      </c>
      <c r="CO226" s="108">
        <f>'[2]FPC wSEB'!$R323</f>
        <v>3880478</v>
      </c>
      <c r="CP226" s="108">
        <f>'[2]FPC wSEB'!$C323-SUM('[2]FPC wSEB'!$K323:$L323)</f>
        <v>3289018</v>
      </c>
      <c r="CQ226" s="108">
        <f>'[2]FPC wSEB'!$T323-'[2]FPC wSEB'!$T322</f>
        <v>49372</v>
      </c>
      <c r="CR226" s="108">
        <f>SUM('[2]FPC wSEB'!$K323:$L323)</f>
        <v>291932</v>
      </c>
      <c r="CS226" s="108">
        <f>('[2]FPC wSEB'!$N323)-CQ226</f>
        <v>38768</v>
      </c>
      <c r="CT226" s="108">
        <f>'[2]FPC wSEB'!$P323</f>
        <v>10400</v>
      </c>
      <c r="CU226" s="108">
        <f>'[2]FPC wSEB'!$Q323</f>
        <v>200988</v>
      </c>
      <c r="CV226" s="115">
        <f t="shared" si="296"/>
        <v>0</v>
      </c>
      <c r="CW226" s="108">
        <f t="shared" si="240"/>
        <v>3863829</v>
      </c>
      <c r="CX226" s="108">
        <f t="shared" si="297"/>
        <v>3670637.6960278433</v>
      </c>
      <c r="CY226" s="108">
        <f t="shared" si="298"/>
        <v>193191.30397215672</v>
      </c>
    </row>
    <row r="227" spans="1:103">
      <c r="A227" s="13">
        <f t="shared" si="299"/>
        <v>2001</v>
      </c>
      <c r="B227" s="13">
        <f t="shared" si="300"/>
        <v>7</v>
      </c>
      <c r="C227" s="5">
        <f>'[2]FPC wSEB'!$D324</f>
        <v>1727566</v>
      </c>
      <c r="D227" s="5">
        <f>'[2]FPC wSEB'!$X324</f>
        <v>1251359</v>
      </c>
      <c r="E227" s="5">
        <f t="shared" si="222"/>
        <v>1718903</v>
      </c>
      <c r="F227" s="5">
        <f t="shared" si="223"/>
        <v>1211629</v>
      </c>
      <c r="G227" s="74">
        <f t="shared" si="269"/>
        <v>1418.7</v>
      </c>
      <c r="H227" s="190">
        <v>8663.4560000000001</v>
      </c>
      <c r="I227" s="170">
        <v>39730</v>
      </c>
      <c r="J227" s="230">
        <f>'[7]RES 62 &amp; 67'!$S312</f>
        <v>437.3</v>
      </c>
      <c r="K227" s="183">
        <f t="shared" si="301"/>
        <v>454.9</v>
      </c>
      <c r="L227" s="233">
        <f t="shared" ref="L227:L232" si="310">(K227-J227)</f>
        <v>17.599999999999966</v>
      </c>
      <c r="M227" s="230">
        <f>'[7]RES 62 &amp; 67'!$J312</f>
        <v>0</v>
      </c>
      <c r="N227" s="183">
        <f t="shared" si="302"/>
        <v>0</v>
      </c>
      <c r="O227" s="236">
        <f t="shared" ref="O227:O232" si="311">(N227-M227)</f>
        <v>0</v>
      </c>
      <c r="P227" s="206">
        <f t="shared" si="270"/>
        <v>38.015999999999927</v>
      </c>
      <c r="Q227" s="208">
        <f t="shared" si="271"/>
        <v>0</v>
      </c>
      <c r="R227" s="467">
        <f t="shared" si="272"/>
        <v>38.015999999999927</v>
      </c>
      <c r="S227" s="470">
        <f t="shared" si="273"/>
        <v>0</v>
      </c>
      <c r="T227" s="425">
        <f t="shared" si="274"/>
        <v>38</v>
      </c>
      <c r="U227" s="579">
        <f>[5]RC!$E107</f>
        <v>1267591</v>
      </c>
      <c r="V227" s="447">
        <v>37073</v>
      </c>
      <c r="W227" s="191">
        <f t="shared" si="259"/>
        <v>1456.7</v>
      </c>
      <c r="X227" s="73">
        <f t="shared" si="260"/>
        <v>1764980</v>
      </c>
      <c r="Y227" s="187">
        <f t="shared" si="291"/>
        <v>8851</v>
      </c>
      <c r="Z227" s="175">
        <f t="shared" si="275"/>
        <v>1773831</v>
      </c>
      <c r="AA227" s="40">
        <f t="shared" si="261"/>
        <v>46265</v>
      </c>
      <c r="AB227" s="519">
        <f>[9]RMWh!$L107</f>
        <v>1797057</v>
      </c>
      <c r="AC227" s="107">
        <f>'[7]Gov 65 &amp; 70'!$B312</f>
        <v>30.5</v>
      </c>
      <c r="AD227" s="4">
        <f t="shared" si="262"/>
        <v>1792343</v>
      </c>
      <c r="AE227" s="4">
        <f t="shared" si="303"/>
        <v>94879</v>
      </c>
      <c r="AF227" s="23">
        <f t="shared" si="263"/>
        <v>1432.3</v>
      </c>
      <c r="AG227" s="75">
        <f t="shared" ref="AG227:AG232" si="312">AF227-AF215</f>
        <v>53.200000000000045</v>
      </c>
      <c r="AI227" s="303">
        <f t="shared" si="224"/>
        <v>0.15370289242334301</v>
      </c>
      <c r="AU227" s="4">
        <f t="shared" si="304"/>
        <v>2001</v>
      </c>
      <c r="AV227" s="4">
        <f t="shared" si="305"/>
        <v>7</v>
      </c>
      <c r="AW227" s="230">
        <f>'[8]RES 62 &amp; 67'!$S312</f>
        <v>458.5</v>
      </c>
      <c r="AX227" s="200">
        <f t="shared" si="306"/>
        <v>484.1</v>
      </c>
      <c r="AY227" s="203">
        <f t="shared" si="293"/>
        <v>25.600000000000023</v>
      </c>
      <c r="AZ227" s="230">
        <f>'[8]RES 62 &amp; 67'!$J312</f>
        <v>0</v>
      </c>
      <c r="BA227" s="183">
        <f t="shared" si="307"/>
        <v>0</v>
      </c>
      <c r="BB227" s="429">
        <f t="shared" si="294"/>
        <v>0</v>
      </c>
      <c r="BC227" s="206">
        <f t="shared" si="276"/>
        <v>55.296000000000056</v>
      </c>
      <c r="BD227" s="206">
        <f t="shared" si="277"/>
        <v>0</v>
      </c>
      <c r="BE227" s="206">
        <f t="shared" si="278"/>
        <v>55.296000000000056</v>
      </c>
      <c r="BF227" s="207">
        <f t="shared" si="279"/>
        <v>0</v>
      </c>
      <c r="BG227" s="219">
        <f t="shared" si="280"/>
        <v>55.3</v>
      </c>
      <c r="BH227" s="4">
        <f t="shared" si="308"/>
        <v>2001</v>
      </c>
      <c r="BI227" s="4">
        <f t="shared" si="309"/>
        <v>7</v>
      </c>
      <c r="BJ227" s="108">
        <f>C227+[4]MWh!$AJ61</f>
        <v>1788408.4973146287</v>
      </c>
      <c r="BK227" s="108">
        <f t="shared" si="250"/>
        <v>8968.5709990306623</v>
      </c>
      <c r="BL227" s="108">
        <f t="shared" si="225"/>
        <v>1779439.926315598</v>
      </c>
      <c r="BM227" s="189">
        <f t="shared" si="251"/>
        <v>1523.9343148897872</v>
      </c>
      <c r="BN227" s="6">
        <f t="shared" si="252"/>
        <v>1846443</v>
      </c>
      <c r="BO227" s="175">
        <f t="shared" si="226"/>
        <v>9306</v>
      </c>
      <c r="BP227" s="108">
        <f t="shared" si="227"/>
        <v>67340.502685371379</v>
      </c>
      <c r="BQ227" s="76">
        <f t="shared" si="253"/>
        <v>1429.1730009650539</v>
      </c>
      <c r="BR227" s="76">
        <f t="shared" si="254"/>
        <v>1482.9868966459665</v>
      </c>
      <c r="BS227" s="76">
        <f t="shared" si="290"/>
        <v>20.459253237406074</v>
      </c>
      <c r="BT227" s="175">
        <f t="shared" si="243"/>
        <v>1855749</v>
      </c>
      <c r="BU227" s="108">
        <f t="shared" ref="BU227:BU232" si="313">BT227-BT215</f>
        <v>55591</v>
      </c>
      <c r="BV227" s="120"/>
      <c r="BW227" s="529"/>
      <c r="CK227" s="165">
        <v>37073</v>
      </c>
      <c r="CL227" s="40">
        <f>BP227+COML!BV227+SPA!BV227</f>
        <v>90689.502685371379</v>
      </c>
      <c r="CM227" s="40">
        <f>ROUND('[14]2001'!$D38,0)</f>
        <v>260126</v>
      </c>
      <c r="CN227" s="2">
        <f t="shared" si="239"/>
        <v>-169436.49731462862</v>
      </c>
      <c r="CO227" s="108">
        <f>'[2]FPC wSEB'!$R324</f>
        <v>4012423</v>
      </c>
      <c r="CP227" s="108">
        <f>'[2]FPC wSEB'!$C324-SUM('[2]FPC wSEB'!$K324:$L324)</f>
        <v>3287542</v>
      </c>
      <c r="CQ227" s="108">
        <f>'[2]FPC wSEB'!$T324-'[2]FPC wSEB'!$T323</f>
        <v>58433</v>
      </c>
      <c r="CR227" s="108">
        <f>SUM('[2]FPC wSEB'!$K324:$L324)</f>
        <v>381697</v>
      </c>
      <c r="CS227" s="108">
        <f>('[2]FPC wSEB'!$N324)-CQ227</f>
        <v>11909</v>
      </c>
      <c r="CT227" s="108">
        <f>'[2]FPC wSEB'!$P324</f>
        <v>12985</v>
      </c>
      <c r="CU227" s="108">
        <f>'[2]FPC wSEB'!$Q324</f>
        <v>259857</v>
      </c>
      <c r="CV227" s="115">
        <f t="shared" ref="CV227:CV232" si="314">CO227-SUM(CP227:CU227)</f>
        <v>0</v>
      </c>
      <c r="CW227" s="108">
        <f t="shared" si="240"/>
        <v>3999707</v>
      </c>
      <c r="CX227" s="108">
        <f t="shared" ref="CX227:CX232" si="315">SUM(CP227:CS227)+CL227</f>
        <v>3830270.5026853713</v>
      </c>
      <c r="CY227" s="108">
        <f t="shared" ref="CY227:CY232" si="316">CW227-CX227</f>
        <v>169436.49731462868</v>
      </c>
    </row>
    <row r="228" spans="1:103">
      <c r="A228" s="13">
        <f t="shared" si="299"/>
        <v>2001</v>
      </c>
      <c r="B228" s="13">
        <f t="shared" si="300"/>
        <v>8</v>
      </c>
      <c r="C228" s="5">
        <f>'[2]FPC wSEB'!$D325</f>
        <v>1747142</v>
      </c>
      <c r="D228" s="5">
        <f>'[2]FPC wSEB'!$X325</f>
        <v>1278187</v>
      </c>
      <c r="E228" s="5">
        <f t="shared" si="222"/>
        <v>1739003</v>
      </c>
      <c r="F228" s="5">
        <f t="shared" si="223"/>
        <v>1238266</v>
      </c>
      <c r="G228" s="74">
        <f t="shared" si="269"/>
        <v>1404.4</v>
      </c>
      <c r="H228" s="190">
        <v>8139.2860000000001</v>
      </c>
      <c r="I228" s="170">
        <v>39921</v>
      </c>
      <c r="J228" s="230">
        <f>'[7]RES 62 &amp; 67'!$S313</f>
        <v>433.6</v>
      </c>
      <c r="K228" s="183">
        <f t="shared" si="301"/>
        <v>481.4</v>
      </c>
      <c r="L228" s="233">
        <f t="shared" si="310"/>
        <v>47.799999999999955</v>
      </c>
      <c r="M228" s="230">
        <f>'[7]RES 62 &amp; 67'!$J313</f>
        <v>0</v>
      </c>
      <c r="N228" s="183">
        <f t="shared" si="302"/>
        <v>0</v>
      </c>
      <c r="O228" s="236">
        <f t="shared" si="311"/>
        <v>0</v>
      </c>
      <c r="P228" s="206">
        <f t="shared" si="270"/>
        <v>103.24799999999991</v>
      </c>
      <c r="Q228" s="208">
        <f t="shared" si="271"/>
        <v>0</v>
      </c>
      <c r="R228" s="467">
        <f t="shared" si="272"/>
        <v>103.24799999999991</v>
      </c>
      <c r="S228" s="470">
        <f t="shared" si="273"/>
        <v>0</v>
      </c>
      <c r="T228" s="425">
        <f t="shared" si="274"/>
        <v>103.2</v>
      </c>
      <c r="U228" s="579">
        <f>[5]RC!$E108</f>
        <v>1268742</v>
      </c>
      <c r="V228" s="447">
        <v>37104</v>
      </c>
      <c r="W228" s="191">
        <f t="shared" si="259"/>
        <v>1507.6000000000001</v>
      </c>
      <c r="X228" s="73">
        <f t="shared" si="260"/>
        <v>1866810</v>
      </c>
      <c r="Y228" s="187">
        <f t="shared" si="291"/>
        <v>8697</v>
      </c>
      <c r="Z228" s="175">
        <f t="shared" si="275"/>
        <v>1875507</v>
      </c>
      <c r="AA228" s="40">
        <f t="shared" si="261"/>
        <v>128365</v>
      </c>
      <c r="AB228" s="519">
        <f>[9]RMWh!$L108</f>
        <v>1858498</v>
      </c>
      <c r="AC228" s="107">
        <f>'[7]Gov 65 &amp; 70'!$B313</f>
        <v>29.7</v>
      </c>
      <c r="AD228" s="4">
        <f t="shared" si="262"/>
        <v>1903552</v>
      </c>
      <c r="AE228" s="4">
        <f t="shared" ref="AE228:AE233" si="317">AD228-AD216</f>
        <v>68472</v>
      </c>
      <c r="AF228" s="23">
        <f t="shared" si="263"/>
        <v>1489.3</v>
      </c>
      <c r="AG228" s="75">
        <f t="shared" si="312"/>
        <v>12</v>
      </c>
      <c r="AI228" s="303">
        <f t="shared" si="224"/>
        <v>0.14517574944779682</v>
      </c>
      <c r="AU228" s="4">
        <f t="shared" si="304"/>
        <v>2001</v>
      </c>
      <c r="AV228" s="4">
        <f t="shared" si="305"/>
        <v>8</v>
      </c>
      <c r="AW228" s="230">
        <f>'[8]RES 62 &amp; 67'!$S313</f>
        <v>481.6</v>
      </c>
      <c r="AX228" s="200">
        <f t="shared" si="306"/>
        <v>487.3</v>
      </c>
      <c r="AY228" s="203">
        <f t="shared" si="293"/>
        <v>5.6999999999999886</v>
      </c>
      <c r="AZ228" s="230">
        <f>'[8]RES 62 &amp; 67'!$J313</f>
        <v>0</v>
      </c>
      <c r="BA228" s="183">
        <f t="shared" si="307"/>
        <v>0</v>
      </c>
      <c r="BB228" s="429">
        <f t="shared" si="294"/>
        <v>0</v>
      </c>
      <c r="BC228" s="206">
        <f t="shared" si="276"/>
        <v>12.311999999999976</v>
      </c>
      <c r="BD228" s="206">
        <f t="shared" si="277"/>
        <v>0</v>
      </c>
      <c r="BE228" s="206">
        <f t="shared" si="278"/>
        <v>12.311999999999976</v>
      </c>
      <c r="BF228" s="207">
        <f t="shared" si="279"/>
        <v>0</v>
      </c>
      <c r="BG228" s="219">
        <f t="shared" si="280"/>
        <v>12.3</v>
      </c>
      <c r="BH228" s="4">
        <f t="shared" si="308"/>
        <v>2001</v>
      </c>
      <c r="BI228" s="4">
        <f t="shared" si="309"/>
        <v>8</v>
      </c>
      <c r="BJ228" s="108">
        <f>C228+[4]MWh!$AJ62</f>
        <v>1900242.6958200098</v>
      </c>
      <c r="BK228" s="108">
        <f t="shared" si="250"/>
        <v>8852.5253074392731</v>
      </c>
      <c r="BL228" s="108">
        <f t="shared" si="225"/>
        <v>1891390.1705125705</v>
      </c>
      <c r="BM228" s="189">
        <f t="shared" si="251"/>
        <v>1539.7506208783657</v>
      </c>
      <c r="BN228" s="6">
        <f t="shared" si="252"/>
        <v>1906621</v>
      </c>
      <c r="BO228" s="175">
        <f t="shared" si="226"/>
        <v>8924</v>
      </c>
      <c r="BP228" s="108">
        <f t="shared" si="227"/>
        <v>15302.304179990193</v>
      </c>
      <c r="BQ228" s="76">
        <f t="shared" si="253"/>
        <v>1486.6703352639402</v>
      </c>
      <c r="BR228" s="76">
        <f t="shared" si="254"/>
        <v>1498.6422174533147</v>
      </c>
      <c r="BS228" s="76">
        <f t="shared" si="290"/>
        <v>-14.436815439690236</v>
      </c>
      <c r="BT228" s="175">
        <f t="shared" si="243"/>
        <v>1915545</v>
      </c>
      <c r="BU228" s="108">
        <f t="shared" si="313"/>
        <v>36030</v>
      </c>
      <c r="BV228" s="120"/>
      <c r="BW228" s="529"/>
      <c r="CK228" s="165">
        <v>37104</v>
      </c>
      <c r="CL228" s="40">
        <f>BP228+COML!BV228+SPA!BV228</f>
        <v>20296.304179990191</v>
      </c>
      <c r="CM228" s="40">
        <f>ROUND('[14]2001'!$D39,0)</f>
        <v>126573</v>
      </c>
      <c r="CN228" s="2">
        <f t="shared" si="239"/>
        <v>-106276.6958200098</v>
      </c>
      <c r="CO228" s="108">
        <f>'[2]FPC wSEB'!$R325</f>
        <v>4290007</v>
      </c>
      <c r="CP228" s="108">
        <f>'[2]FPC wSEB'!$C325-SUM('[2]FPC wSEB'!$K325:$L325)</f>
        <v>3339041</v>
      </c>
      <c r="CQ228" s="108">
        <f>'[2]FPC wSEB'!$T325-'[2]FPC wSEB'!$T324</f>
        <v>300944</v>
      </c>
      <c r="CR228" s="108">
        <f>SUM('[2]FPC wSEB'!$K325:$L325)</f>
        <v>366565</v>
      </c>
      <c r="CS228" s="108">
        <f>('[2]FPC wSEB'!$N325)-CQ228</f>
        <v>61107</v>
      </c>
      <c r="CT228" s="108">
        <f>'[2]FPC wSEB'!$P325</f>
        <v>10013</v>
      </c>
      <c r="CU228" s="108">
        <f>'[2]FPC wSEB'!$Q325</f>
        <v>212337</v>
      </c>
      <c r="CV228" s="115">
        <f t="shared" si="314"/>
        <v>0</v>
      </c>
      <c r="CW228" s="108">
        <f t="shared" si="240"/>
        <v>4194230</v>
      </c>
      <c r="CX228" s="108">
        <f t="shared" si="315"/>
        <v>4087953.3041799902</v>
      </c>
      <c r="CY228" s="108">
        <f t="shared" si="316"/>
        <v>106276.6958200098</v>
      </c>
    </row>
    <row r="229" spans="1:103">
      <c r="A229" s="13">
        <f t="shared" si="299"/>
        <v>2001</v>
      </c>
      <c r="B229" s="13">
        <f t="shared" si="300"/>
        <v>9</v>
      </c>
      <c r="C229" s="5">
        <f>'[2]FPC wSEB'!$D326</f>
        <v>1895091</v>
      </c>
      <c r="D229" s="5">
        <f>'[2]FPC wSEB'!$X326</f>
        <v>1279633</v>
      </c>
      <c r="E229" s="5">
        <f t="shared" si="222"/>
        <v>1885443</v>
      </c>
      <c r="F229" s="5">
        <f t="shared" si="223"/>
        <v>1239771</v>
      </c>
      <c r="G229" s="74">
        <f t="shared" si="269"/>
        <v>1520.8</v>
      </c>
      <c r="H229" s="190">
        <v>9648.0450000000001</v>
      </c>
      <c r="I229" s="170">
        <v>39862</v>
      </c>
      <c r="J229" s="230">
        <f>'[7]RES 62 &amp; 67'!$S314</f>
        <v>477.1</v>
      </c>
      <c r="K229" s="183">
        <f t="shared" si="301"/>
        <v>473.7</v>
      </c>
      <c r="L229" s="233">
        <f t="shared" si="310"/>
        <v>-3.4000000000000341</v>
      </c>
      <c r="M229" s="230">
        <f>'[7]RES 62 &amp; 67'!$J314</f>
        <v>0.1</v>
      </c>
      <c r="N229" s="183">
        <f t="shared" si="302"/>
        <v>0</v>
      </c>
      <c r="O229" s="236">
        <f t="shared" si="311"/>
        <v>-0.1</v>
      </c>
      <c r="P229" s="206">
        <f t="shared" si="270"/>
        <v>-7.344000000000074</v>
      </c>
      <c r="Q229" s="208">
        <f t="shared" si="271"/>
        <v>0</v>
      </c>
      <c r="R229" s="467">
        <f t="shared" si="272"/>
        <v>-7.344000000000074</v>
      </c>
      <c r="S229" s="470">
        <f t="shared" si="273"/>
        <v>-0.27100000000000002</v>
      </c>
      <c r="T229" s="425">
        <f t="shared" si="274"/>
        <v>-7.6</v>
      </c>
      <c r="U229" s="579">
        <f>[5]RC!$E109</f>
        <v>1271610</v>
      </c>
      <c r="V229" s="447">
        <v>37135</v>
      </c>
      <c r="W229" s="191">
        <f t="shared" si="259"/>
        <v>1513.2</v>
      </c>
      <c r="X229" s="73">
        <f t="shared" si="260"/>
        <v>1876021</v>
      </c>
      <c r="Y229" s="187">
        <f t="shared" si="291"/>
        <v>9551</v>
      </c>
      <c r="Z229" s="175">
        <f t="shared" si="275"/>
        <v>1885572</v>
      </c>
      <c r="AA229" s="40">
        <f t="shared" si="261"/>
        <v>-9519</v>
      </c>
      <c r="AB229" s="519">
        <f>[9]RMWh!$L109</f>
        <v>1878539</v>
      </c>
      <c r="AC229" s="107">
        <f>'[7]Gov 65 &amp; 70'!$B314</f>
        <v>31.95</v>
      </c>
      <c r="AD229" s="4">
        <f t="shared" si="262"/>
        <v>1788581</v>
      </c>
      <c r="AE229" s="4">
        <f t="shared" si="317"/>
        <v>58644</v>
      </c>
      <c r="AF229" s="23">
        <f t="shared" si="263"/>
        <v>1397.7</v>
      </c>
      <c r="AG229" s="75">
        <f t="shared" si="312"/>
        <v>12.100000000000136</v>
      </c>
      <c r="AI229" s="303">
        <f t="shared" si="224"/>
        <v>0.15915054557898606</v>
      </c>
      <c r="AU229" s="4">
        <f t="shared" si="304"/>
        <v>2001</v>
      </c>
      <c r="AV229" s="4">
        <f t="shared" si="305"/>
        <v>9</v>
      </c>
      <c r="AW229" s="230">
        <f>'[8]RES 62 &amp; 67'!$S314</f>
        <v>349.8</v>
      </c>
      <c r="AX229" s="200">
        <f t="shared" si="306"/>
        <v>428.3</v>
      </c>
      <c r="AY229" s="203">
        <f t="shared" si="293"/>
        <v>78.5</v>
      </c>
      <c r="AZ229" s="230">
        <f>'[8]RES 62 &amp; 67'!$J314</f>
        <v>1.1000000000000001</v>
      </c>
      <c r="BA229" s="183">
        <f t="shared" si="307"/>
        <v>0</v>
      </c>
      <c r="BB229" s="429">
        <f t="shared" si="294"/>
        <v>-1.1000000000000001</v>
      </c>
      <c r="BC229" s="206">
        <f t="shared" si="276"/>
        <v>169.56</v>
      </c>
      <c r="BD229" s="206">
        <f t="shared" si="277"/>
        <v>0</v>
      </c>
      <c r="BE229" s="206">
        <f t="shared" si="278"/>
        <v>169.56</v>
      </c>
      <c r="BF229" s="207">
        <f t="shared" si="279"/>
        <v>-2.9810000000000003</v>
      </c>
      <c r="BG229" s="219">
        <f t="shared" si="280"/>
        <v>166.6</v>
      </c>
      <c r="BH229" s="4">
        <f t="shared" si="308"/>
        <v>2001</v>
      </c>
      <c r="BI229" s="4">
        <f t="shared" si="309"/>
        <v>9</v>
      </c>
      <c r="BJ229" s="108">
        <f>C229+[4]MWh!$AJ63</f>
        <v>1634390.0353345023</v>
      </c>
      <c r="BK229" s="108">
        <f t="shared" si="250"/>
        <v>8320.7975809387881</v>
      </c>
      <c r="BL229" s="108">
        <f t="shared" si="225"/>
        <v>1626069.2377535636</v>
      </c>
      <c r="BM229" s="189">
        <f t="shared" si="251"/>
        <v>1478.188380235998</v>
      </c>
      <c r="BN229" s="6">
        <f t="shared" si="252"/>
        <v>1832615</v>
      </c>
      <c r="BO229" s="175">
        <f t="shared" si="226"/>
        <v>9378</v>
      </c>
      <c r="BP229" s="108">
        <f t="shared" si="227"/>
        <v>207602.96466549765</v>
      </c>
      <c r="BQ229" s="76">
        <f t="shared" si="253"/>
        <v>1277.2334218752583</v>
      </c>
      <c r="BR229" s="76">
        <f t="shared" si="254"/>
        <v>1439.4697542185922</v>
      </c>
      <c r="BS229" s="76">
        <f t="shared" si="290"/>
        <v>87.619934390907247</v>
      </c>
      <c r="BT229" s="175">
        <f t="shared" si="243"/>
        <v>1841993</v>
      </c>
      <c r="BU229" s="108">
        <f t="shared" si="313"/>
        <v>154172</v>
      </c>
      <c r="BV229" s="120"/>
      <c r="BW229" s="529"/>
      <c r="BX229" s="120"/>
      <c r="CK229" s="165">
        <v>37135</v>
      </c>
      <c r="CL229" s="40">
        <f>BP229+COML!BV229+SPA!BV229</f>
        <v>279023.96466549765</v>
      </c>
      <c r="CM229" s="40">
        <f>ROUND('[14]2001'!$D40,0)</f>
        <v>367499</v>
      </c>
      <c r="CN229" s="2">
        <f t="shared" si="239"/>
        <v>-88475.035334502347</v>
      </c>
      <c r="CO229" s="108">
        <f>'[2]FPC wSEB'!$R326</f>
        <v>3611623</v>
      </c>
      <c r="CP229" s="108">
        <f>'[2]FPC wSEB'!$C326-SUM('[2]FPC wSEB'!$K326:$L326)</f>
        <v>3591133</v>
      </c>
      <c r="CQ229" s="108">
        <f>'[2]FPC wSEB'!$T326-'[2]FPC wSEB'!$T325</f>
        <v>-513057</v>
      </c>
      <c r="CR229" s="108">
        <f>SUM('[2]FPC wSEB'!$K326:$L326)</f>
        <v>452862</v>
      </c>
      <c r="CS229" s="108">
        <f>('[2]FPC wSEB'!$N326)-CQ229</f>
        <v>-100429</v>
      </c>
      <c r="CT229" s="108">
        <f>'[2]FPC wSEB'!$P326</f>
        <v>14206</v>
      </c>
      <c r="CU229" s="108">
        <f>'[2]FPC wSEB'!$Q326</f>
        <v>166908</v>
      </c>
      <c r="CV229" s="115">
        <f t="shared" si="314"/>
        <v>0</v>
      </c>
      <c r="CW229" s="108">
        <f t="shared" si="240"/>
        <v>3798008</v>
      </c>
      <c r="CX229" s="108">
        <f t="shared" si="315"/>
        <v>3709532.9646654977</v>
      </c>
      <c r="CY229" s="108">
        <f t="shared" si="316"/>
        <v>88475.035334502347</v>
      </c>
    </row>
    <row r="230" spans="1:103">
      <c r="A230" s="13">
        <f t="shared" si="299"/>
        <v>2001</v>
      </c>
      <c r="B230" s="13">
        <f t="shared" si="300"/>
        <v>10</v>
      </c>
      <c r="C230" s="5">
        <f>'[2]FPC wSEB'!$D327</f>
        <v>1377564</v>
      </c>
      <c r="D230" s="5">
        <f>'[2]FPC wSEB'!$X327</f>
        <v>1273108</v>
      </c>
      <c r="E230" s="5">
        <f t="shared" si="222"/>
        <v>1369272</v>
      </c>
      <c r="F230" s="5">
        <f t="shared" si="223"/>
        <v>1233308</v>
      </c>
      <c r="G230" s="74">
        <f t="shared" si="269"/>
        <v>1110.2</v>
      </c>
      <c r="H230" s="190">
        <v>8291.527</v>
      </c>
      <c r="I230" s="170">
        <v>39800</v>
      </c>
      <c r="J230" s="230">
        <f>'[7]RES 62 &amp; 67'!$S315</f>
        <v>293.39999999999998</v>
      </c>
      <c r="K230" s="183">
        <f t="shared" si="301"/>
        <v>373.2</v>
      </c>
      <c r="L230" s="233">
        <f t="shared" si="310"/>
        <v>79.800000000000011</v>
      </c>
      <c r="M230" s="230">
        <f>'[7]RES 62 &amp; 67'!$J315</f>
        <v>3.6</v>
      </c>
      <c r="N230" s="183">
        <f t="shared" si="302"/>
        <v>1.3</v>
      </c>
      <c r="O230" s="236">
        <f t="shared" si="311"/>
        <v>-2.2999999999999998</v>
      </c>
      <c r="P230" s="206">
        <f t="shared" si="270"/>
        <v>172.36800000000002</v>
      </c>
      <c r="Q230" s="208">
        <f t="shared" si="271"/>
        <v>0</v>
      </c>
      <c r="R230" s="467">
        <f t="shared" si="272"/>
        <v>172.36800000000002</v>
      </c>
      <c r="S230" s="470">
        <f t="shared" si="273"/>
        <v>-6.2329999999999997</v>
      </c>
      <c r="T230" s="425">
        <f t="shared" si="274"/>
        <v>166.1</v>
      </c>
      <c r="U230" s="579">
        <f>[5]RC!$E110</f>
        <v>1274346</v>
      </c>
      <c r="V230" s="447">
        <v>37165</v>
      </c>
      <c r="W230" s="191">
        <f t="shared" si="259"/>
        <v>1276.3</v>
      </c>
      <c r="X230" s="73">
        <f t="shared" si="260"/>
        <v>1574071</v>
      </c>
      <c r="Y230" s="187">
        <f t="shared" si="291"/>
        <v>9474</v>
      </c>
      <c r="Z230" s="175">
        <f t="shared" si="275"/>
        <v>1583545</v>
      </c>
      <c r="AA230" s="40">
        <f t="shared" si="261"/>
        <v>205981</v>
      </c>
      <c r="AB230" s="519">
        <f>[9]RMWh!$L110</f>
        <v>1599792</v>
      </c>
      <c r="AC230" s="107">
        <f>'[7]Gov 65 &amp; 70'!$B315</f>
        <v>29.65</v>
      </c>
      <c r="AD230" s="4">
        <f t="shared" si="262"/>
        <v>1641338</v>
      </c>
      <c r="AE230" s="4">
        <f t="shared" si="317"/>
        <v>44093</v>
      </c>
      <c r="AF230" s="23">
        <f t="shared" si="263"/>
        <v>1289.2</v>
      </c>
      <c r="AG230" s="75">
        <f t="shared" si="312"/>
        <v>-2.5</v>
      </c>
      <c r="AI230" s="303">
        <f t="shared" si="224"/>
        <v>0.1876507152950847</v>
      </c>
      <c r="AU230" s="4">
        <f t="shared" si="304"/>
        <v>2001</v>
      </c>
      <c r="AV230" s="4">
        <f t="shared" si="305"/>
        <v>10</v>
      </c>
      <c r="AW230" s="230">
        <f>'[8]RES 62 &amp; 67'!$S315</f>
        <v>242.7</v>
      </c>
      <c r="AX230" s="200">
        <f t="shared" si="306"/>
        <v>277.60000000000002</v>
      </c>
      <c r="AY230" s="203">
        <f t="shared" ref="AY230:AY235" si="318">AX230-AW230</f>
        <v>34.900000000000034</v>
      </c>
      <c r="AZ230" s="230">
        <f>'[8]RES 62 &amp; 67'!$J315</f>
        <v>16.7</v>
      </c>
      <c r="BA230" s="183">
        <f t="shared" si="307"/>
        <v>8.5</v>
      </c>
      <c r="BB230" s="429">
        <f t="shared" si="294"/>
        <v>-8.1999999999999993</v>
      </c>
      <c r="BC230" s="206">
        <f t="shared" si="276"/>
        <v>75.384000000000086</v>
      </c>
      <c r="BD230" s="206">
        <f t="shared" si="277"/>
        <v>0</v>
      </c>
      <c r="BE230" s="206">
        <f t="shared" si="278"/>
        <v>75.384000000000086</v>
      </c>
      <c r="BF230" s="207">
        <f t="shared" si="279"/>
        <v>-22.221999999999998</v>
      </c>
      <c r="BG230" s="219">
        <f t="shared" si="280"/>
        <v>53.2</v>
      </c>
      <c r="BH230" s="4">
        <f t="shared" si="308"/>
        <v>2001</v>
      </c>
      <c r="BI230" s="4">
        <f t="shared" si="309"/>
        <v>10</v>
      </c>
      <c r="BJ230" s="108">
        <f>C230+[4]MWh!$AJ64</f>
        <v>1275294.2177844499</v>
      </c>
      <c r="BK230" s="108">
        <f t="shared" si="250"/>
        <v>7675.9674611877535</v>
      </c>
      <c r="BL230" s="108">
        <f t="shared" si="225"/>
        <v>1267618.2503232621</v>
      </c>
      <c r="BM230" s="189">
        <f t="shared" si="251"/>
        <v>1081.0196933152645</v>
      </c>
      <c r="BN230" s="6">
        <f t="shared" si="252"/>
        <v>1333230</v>
      </c>
      <c r="BO230" s="175">
        <f t="shared" si="226"/>
        <v>8073</v>
      </c>
      <c r="BP230" s="108">
        <f t="shared" si="227"/>
        <v>66008.782215550178</v>
      </c>
      <c r="BQ230" s="76">
        <f t="shared" si="253"/>
        <v>1001.7172288481809</v>
      </c>
      <c r="BR230" s="76">
        <f t="shared" si="254"/>
        <v>1053.5657618992263</v>
      </c>
      <c r="BS230" s="76">
        <f t="shared" si="290"/>
        <v>-72.464963336680057</v>
      </c>
      <c r="BT230" s="175">
        <f t="shared" si="243"/>
        <v>1341303</v>
      </c>
      <c r="BU230" s="108">
        <f t="shared" si="313"/>
        <v>-51043</v>
      </c>
      <c r="BV230" s="120"/>
      <c r="BW230" s="529"/>
      <c r="BX230" s="120"/>
      <c r="CK230" s="165">
        <v>37165</v>
      </c>
      <c r="CL230" s="40">
        <f>BP230+COML!BV230+SPA!BV230</f>
        <v>96769.782215550178</v>
      </c>
      <c r="CM230" s="40">
        <f>ROUND('[14]2001'!$D41,0)</f>
        <v>171016</v>
      </c>
      <c r="CN230" s="2">
        <f t="shared" si="239"/>
        <v>-74246.217784449822</v>
      </c>
      <c r="CO230" s="108">
        <f>'[2]FPC wSEB'!$R327</f>
        <v>3300287</v>
      </c>
      <c r="CP230" s="108">
        <f>'[2]FPC wSEB'!$C327-SUM('[2]FPC wSEB'!$K327:$L327)</f>
        <v>2839060</v>
      </c>
      <c r="CQ230" s="108">
        <f>'[2]FPC wSEB'!$T327-'[2]FPC wSEB'!$T326</f>
        <v>-58748</v>
      </c>
      <c r="CR230" s="108">
        <f>SUM('[2]FPC wSEB'!$K327:$L327)</f>
        <v>356111</v>
      </c>
      <c r="CS230" s="108">
        <f>('[2]FPC wSEB'!$N327)-CQ230</f>
        <v>-34360</v>
      </c>
      <c r="CT230" s="108">
        <f>'[2]FPC wSEB'!$P327</f>
        <v>14714</v>
      </c>
      <c r="CU230" s="108">
        <f>'[2]FPC wSEB'!$Q327</f>
        <v>183510</v>
      </c>
      <c r="CV230" s="115">
        <f t="shared" si="314"/>
        <v>0</v>
      </c>
      <c r="CW230" s="108">
        <f t="shared" si="240"/>
        <v>3273079</v>
      </c>
      <c r="CX230" s="108">
        <f t="shared" si="315"/>
        <v>3198832.7822155501</v>
      </c>
      <c r="CY230" s="108">
        <f t="shared" si="316"/>
        <v>74246.217784449924</v>
      </c>
    </row>
    <row r="231" spans="1:103">
      <c r="A231" s="13">
        <f t="shared" si="299"/>
        <v>2001</v>
      </c>
      <c r="B231" s="13">
        <f t="shared" si="300"/>
        <v>11</v>
      </c>
      <c r="C231" s="5">
        <f>'[2]FPC wSEB'!$D328</f>
        <v>1216435</v>
      </c>
      <c r="D231" s="5">
        <f>'[2]FPC wSEB'!$X328</f>
        <v>1318718</v>
      </c>
      <c r="E231" s="5">
        <f t="shared" si="222"/>
        <v>1204764</v>
      </c>
      <c r="F231" s="5">
        <f t="shared" si="223"/>
        <v>1278285</v>
      </c>
      <c r="G231" s="74">
        <f t="shared" si="269"/>
        <v>942.5</v>
      </c>
      <c r="H231" s="190">
        <v>11671.316000000001</v>
      </c>
      <c r="I231" s="170">
        <v>40433</v>
      </c>
      <c r="J231" s="230">
        <f>'[7]RES 62 &amp; 67'!$S316</f>
        <v>186.3</v>
      </c>
      <c r="K231" s="183">
        <f t="shared" si="301"/>
        <v>204.3</v>
      </c>
      <c r="L231" s="233">
        <f t="shared" si="310"/>
        <v>18</v>
      </c>
      <c r="M231" s="230">
        <f>'[7]RES 62 &amp; 67'!$J316</f>
        <v>21.5</v>
      </c>
      <c r="N231" s="183">
        <f t="shared" si="302"/>
        <v>24.1</v>
      </c>
      <c r="O231" s="236">
        <f t="shared" si="311"/>
        <v>2.6000000000000014</v>
      </c>
      <c r="P231" s="206">
        <f t="shared" si="270"/>
        <v>38.880000000000003</v>
      </c>
      <c r="Q231" s="208">
        <f t="shared" si="271"/>
        <v>0</v>
      </c>
      <c r="R231" s="467">
        <f t="shared" si="272"/>
        <v>38.880000000000003</v>
      </c>
      <c r="S231" s="470">
        <f t="shared" si="273"/>
        <v>7.0460000000000038</v>
      </c>
      <c r="T231" s="425">
        <f t="shared" si="274"/>
        <v>45.9</v>
      </c>
      <c r="U231" s="579">
        <f>[5]RC!$E111</f>
        <v>1282833</v>
      </c>
      <c r="V231" s="447">
        <v>37196</v>
      </c>
      <c r="W231" s="191">
        <f t="shared" si="259"/>
        <v>988.4</v>
      </c>
      <c r="X231" s="73">
        <f t="shared" si="260"/>
        <v>1263457</v>
      </c>
      <c r="Y231" s="187">
        <f t="shared" si="291"/>
        <v>12122</v>
      </c>
      <c r="Z231" s="175">
        <f t="shared" si="275"/>
        <v>1275579</v>
      </c>
      <c r="AA231" s="40">
        <f t="shared" si="261"/>
        <v>59144</v>
      </c>
      <c r="AB231" s="519">
        <f>[9]RMWh!$L111</f>
        <v>1245854</v>
      </c>
      <c r="AC231" s="107">
        <f>'[7]Gov 65 &amp; 70'!$B316</f>
        <v>30.6</v>
      </c>
      <c r="AD231" s="4">
        <f t="shared" si="262"/>
        <v>1238525</v>
      </c>
      <c r="AE231" s="4">
        <f t="shared" si="317"/>
        <v>36605</v>
      </c>
      <c r="AF231" s="23">
        <f t="shared" si="263"/>
        <v>939.2</v>
      </c>
      <c r="AG231" s="75">
        <f t="shared" si="312"/>
        <v>15.700000000000045</v>
      </c>
      <c r="AI231" s="303">
        <f t="shared" si="224"/>
        <v>0.30626862095797086</v>
      </c>
      <c r="AU231" s="4">
        <f t="shared" si="304"/>
        <v>2001</v>
      </c>
      <c r="AV231" s="4">
        <f t="shared" si="305"/>
        <v>11</v>
      </c>
      <c r="AW231" s="230">
        <f>'[8]RES 62 &amp; 67'!$S316</f>
        <v>125.4</v>
      </c>
      <c r="AX231" s="200">
        <f t="shared" si="306"/>
        <v>110.2</v>
      </c>
      <c r="AY231" s="203">
        <f t="shared" si="318"/>
        <v>-15.200000000000003</v>
      </c>
      <c r="AZ231" s="230">
        <f>'[8]RES 62 &amp; 67'!$J316</f>
        <v>16</v>
      </c>
      <c r="BA231" s="183">
        <f t="shared" si="307"/>
        <v>45.3</v>
      </c>
      <c r="BB231" s="429">
        <f t="shared" ref="BB231:BB236" si="319">BA231-AZ231</f>
        <v>29.299999999999997</v>
      </c>
      <c r="BC231" s="206">
        <f t="shared" si="276"/>
        <v>-32.832000000000008</v>
      </c>
      <c r="BD231" s="206">
        <f t="shared" si="277"/>
        <v>4.636000000000001</v>
      </c>
      <c r="BE231" s="206">
        <f t="shared" si="278"/>
        <v>-28.196000000000005</v>
      </c>
      <c r="BF231" s="207">
        <f t="shared" si="279"/>
        <v>79.402999999999992</v>
      </c>
      <c r="BG231" s="219">
        <f t="shared" si="280"/>
        <v>51.2</v>
      </c>
      <c r="BH231" s="4">
        <f t="shared" si="308"/>
        <v>2001</v>
      </c>
      <c r="BI231" s="4">
        <f t="shared" si="309"/>
        <v>11</v>
      </c>
      <c r="BJ231" s="108">
        <f>C231+[4]MWh!$AJ65</f>
        <v>1050114.0029190022</v>
      </c>
      <c r="BK231" s="108">
        <f t="shared" si="250"/>
        <v>10075.517692349034</v>
      </c>
      <c r="BL231" s="108">
        <f t="shared" si="225"/>
        <v>1040038.4852266532</v>
      </c>
      <c r="BM231" s="189">
        <f t="shared" si="251"/>
        <v>864.82019051045199</v>
      </c>
      <c r="BN231" s="6">
        <f t="shared" si="252"/>
        <v>1105487</v>
      </c>
      <c r="BO231" s="175">
        <f t="shared" si="226"/>
        <v>10710</v>
      </c>
      <c r="BP231" s="108">
        <f t="shared" si="227"/>
        <v>66082.997080997797</v>
      </c>
      <c r="BQ231" s="76">
        <f t="shared" si="253"/>
        <v>796.3143014040927</v>
      </c>
      <c r="BR231" s="76">
        <f t="shared" si="254"/>
        <v>846.4258469210248</v>
      </c>
      <c r="BS231" s="76">
        <f t="shared" si="290"/>
        <v>102.67990962223905</v>
      </c>
      <c r="BT231" s="175">
        <f t="shared" si="243"/>
        <v>1116197</v>
      </c>
      <c r="BU231" s="108">
        <f t="shared" si="313"/>
        <v>148231</v>
      </c>
      <c r="BV231" s="120"/>
      <c r="BW231" s="529"/>
      <c r="BX231" s="120"/>
      <c r="CK231" s="165">
        <v>37196</v>
      </c>
      <c r="CL231" s="40">
        <f>BP231+COML!BV231+SPA!BV231</f>
        <v>57378.997080997797</v>
      </c>
      <c r="CM231" s="40">
        <f>ROUND('[14]2001'!$D42,0)</f>
        <v>157183</v>
      </c>
      <c r="CN231" s="2">
        <f t="shared" si="239"/>
        <v>-99804.002919002203</v>
      </c>
      <c r="CO231" s="108">
        <f>'[2]FPC wSEB'!$R328</f>
        <v>2806170</v>
      </c>
      <c r="CP231" s="108">
        <f>'[2]FPC wSEB'!$C328-SUM('[2]FPC wSEB'!$K328:$L328)</f>
        <v>2673167</v>
      </c>
      <c r="CQ231" s="108">
        <f>'[2]FPC wSEB'!$T328-'[2]FPC wSEB'!$T327</f>
        <v>-254329</v>
      </c>
      <c r="CR231" s="108">
        <f>SUM('[2]FPC wSEB'!$K328:$L328)</f>
        <v>340878</v>
      </c>
      <c r="CS231" s="108">
        <f>('[2]FPC wSEB'!$N328)-CQ231</f>
        <v>-67098</v>
      </c>
      <c r="CT231" s="108">
        <f>'[2]FPC wSEB'!$P328</f>
        <v>8779</v>
      </c>
      <c r="CU231" s="108">
        <f>'[2]FPC wSEB'!$Q328</f>
        <v>104773</v>
      </c>
      <c r="CV231" s="115">
        <f t="shared" si="314"/>
        <v>0</v>
      </c>
      <c r="CW231" s="108">
        <f t="shared" si="240"/>
        <v>2849801</v>
      </c>
      <c r="CX231" s="108">
        <f t="shared" si="315"/>
        <v>2749996.9970809976</v>
      </c>
      <c r="CY231" s="108">
        <f t="shared" si="316"/>
        <v>99804.002919002436</v>
      </c>
    </row>
    <row r="232" spans="1:103" s="89" customFormat="1" ht="12.75">
      <c r="A232" s="90">
        <f t="shared" si="299"/>
        <v>2001</v>
      </c>
      <c r="B232" s="90">
        <f t="shared" si="300"/>
        <v>12</v>
      </c>
      <c r="C232" s="103">
        <f>'[2]FPC wSEB'!$D329</f>
        <v>1168016</v>
      </c>
      <c r="D232" s="103">
        <f>'[2]FPC wSEB'!$X329</f>
        <v>1264707</v>
      </c>
      <c r="E232" s="103">
        <f t="shared" si="222"/>
        <v>1153414</v>
      </c>
      <c r="F232" s="103">
        <f t="shared" si="223"/>
        <v>1226669</v>
      </c>
      <c r="G232" s="109">
        <f t="shared" si="269"/>
        <v>940.3</v>
      </c>
      <c r="H232" s="196">
        <v>14602.492</v>
      </c>
      <c r="I232" s="197">
        <v>38038</v>
      </c>
      <c r="J232" s="300">
        <f>'[7]RES 62 &amp; 67'!$S317</f>
        <v>145.9</v>
      </c>
      <c r="K232" s="210">
        <f t="shared" si="301"/>
        <v>88</v>
      </c>
      <c r="L232" s="234">
        <f t="shared" si="310"/>
        <v>-57.900000000000006</v>
      </c>
      <c r="M232" s="300">
        <f>'[7]RES 62 &amp; 67'!$J317</f>
        <v>20.3</v>
      </c>
      <c r="N232" s="210">
        <f t="shared" si="302"/>
        <v>83.9</v>
      </c>
      <c r="O232" s="237">
        <f t="shared" si="311"/>
        <v>63.600000000000009</v>
      </c>
      <c r="P232" s="211">
        <f t="shared" si="270"/>
        <v>-125.06400000000002</v>
      </c>
      <c r="Q232" s="211">
        <f t="shared" si="271"/>
        <v>35.319000000000003</v>
      </c>
      <c r="R232" s="468">
        <f t="shared" si="272"/>
        <v>-89.745000000000019</v>
      </c>
      <c r="S232" s="471">
        <f t="shared" si="273"/>
        <v>172.35600000000002</v>
      </c>
      <c r="T232" s="426">
        <f t="shared" si="274"/>
        <v>82.6</v>
      </c>
      <c r="U232" s="579">
        <f>[5]RC!$E112</f>
        <v>1288993</v>
      </c>
      <c r="V232" s="447">
        <v>37226</v>
      </c>
      <c r="W232" s="95">
        <f t="shared" si="259"/>
        <v>1022.9</v>
      </c>
      <c r="X232" s="104">
        <f t="shared" si="260"/>
        <v>1254760</v>
      </c>
      <c r="Y232" s="198">
        <f t="shared" si="291"/>
        <v>15687</v>
      </c>
      <c r="Z232" s="176">
        <f t="shared" si="275"/>
        <v>1270447</v>
      </c>
      <c r="AA232" s="116">
        <f t="shared" si="261"/>
        <v>102431</v>
      </c>
      <c r="AB232" s="520">
        <f>[9]RMWh!$L112</f>
        <v>1283622</v>
      </c>
      <c r="AC232" s="110">
        <f>'[7]Gov 65 &amp; 70'!$B317</f>
        <v>31.3</v>
      </c>
      <c r="AD232" s="89">
        <f t="shared" si="262"/>
        <v>1247533</v>
      </c>
      <c r="AE232" s="89">
        <f t="shared" si="317"/>
        <v>39049</v>
      </c>
      <c r="AF232" s="89">
        <f t="shared" si="263"/>
        <v>986.4</v>
      </c>
      <c r="AG232" s="91">
        <f t="shared" si="312"/>
        <v>-3.8000000000000682</v>
      </c>
      <c r="AH232" s="252"/>
      <c r="AI232" s="304">
        <f t="shared" si="224"/>
        <v>0.40826567377444201</v>
      </c>
      <c r="AU232" s="89">
        <f t="shared" si="304"/>
        <v>2001</v>
      </c>
      <c r="AV232" s="89">
        <f t="shared" si="305"/>
        <v>12</v>
      </c>
      <c r="AW232" s="300">
        <f>'[8]RES 62 &amp; 67'!$S317</f>
        <v>119.1</v>
      </c>
      <c r="AX232" s="210">
        <f t="shared" si="306"/>
        <v>53.2</v>
      </c>
      <c r="AY232" s="204">
        <f t="shared" si="318"/>
        <v>-65.899999999999991</v>
      </c>
      <c r="AZ232" s="300">
        <f>'[8]RES 62 &amp; 67'!$J317</f>
        <v>78</v>
      </c>
      <c r="BA232" s="210">
        <f t="shared" si="307"/>
        <v>114.1</v>
      </c>
      <c r="BB232" s="430">
        <f t="shared" si="319"/>
        <v>36.099999999999994</v>
      </c>
      <c r="BC232" s="211">
        <f t="shared" si="276"/>
        <v>-142.34399999999999</v>
      </c>
      <c r="BD232" s="211">
        <f t="shared" si="277"/>
        <v>40.198999999999991</v>
      </c>
      <c r="BE232" s="211">
        <f t="shared" si="278"/>
        <v>-102.14500000000001</v>
      </c>
      <c r="BF232" s="212">
        <f t="shared" si="279"/>
        <v>97.830999999999989</v>
      </c>
      <c r="BG232" s="220">
        <f t="shared" si="280"/>
        <v>-4.3</v>
      </c>
      <c r="BH232" s="89">
        <f t="shared" ref="BH232:BH295" si="320">BH220+1</f>
        <v>2001</v>
      </c>
      <c r="BI232" s="89">
        <f t="shared" ref="BI232:BI295" si="321">BI220</f>
        <v>12</v>
      </c>
      <c r="BJ232" s="117">
        <f>C232+[4]MWh!$AJ66</f>
        <v>1196762.1226790017</v>
      </c>
      <c r="BK232" s="117">
        <f t="shared" si="250"/>
        <v>14961.874942058277</v>
      </c>
      <c r="BL232" s="117">
        <f t="shared" si="225"/>
        <v>1181800.2477369434</v>
      </c>
      <c r="BM232" s="199">
        <f t="shared" si="251"/>
        <v>959.12228240621027</v>
      </c>
      <c r="BN232" s="96">
        <f t="shared" si="252"/>
        <v>1176526</v>
      </c>
      <c r="BO232" s="176">
        <f t="shared" si="226"/>
        <v>14895</v>
      </c>
      <c r="BP232" s="117">
        <f t="shared" si="227"/>
        <v>-5341.1226790016972</v>
      </c>
      <c r="BQ232" s="92">
        <f t="shared" si="253"/>
        <v>946.27619099048366</v>
      </c>
      <c r="BR232" s="92">
        <f t="shared" si="254"/>
        <v>942.0529814415512</v>
      </c>
      <c r="BS232" s="92">
        <f t="shared" si="290"/>
        <v>-84.425048856513172</v>
      </c>
      <c r="BT232" s="176">
        <f t="shared" ref="BT232:BT251" si="322">(BN232+BO232)</f>
        <v>1191421</v>
      </c>
      <c r="BU232" s="117">
        <f t="shared" si="313"/>
        <v>-61301</v>
      </c>
      <c r="BV232" s="121"/>
      <c r="BW232" s="529"/>
      <c r="CK232" s="166">
        <v>37226</v>
      </c>
      <c r="CL232" s="116">
        <f>BP232+COML!BV232+SPA!BV232</f>
        <v>-58271.122679001695</v>
      </c>
      <c r="CM232" s="116">
        <f>ROUND('[14]2001'!$D43,0)</f>
        <v>204744</v>
      </c>
      <c r="CN232" s="1">
        <f t="shared" si="239"/>
        <v>-263015.12267900171</v>
      </c>
      <c r="CO232" s="117">
        <f>'[2]FPC wSEB'!$R329</f>
        <v>3067666</v>
      </c>
      <c r="CP232" s="117">
        <f>'[2]FPC wSEB'!$C329-SUM('[2]FPC wSEB'!$K329:$L329)</f>
        <v>2578048</v>
      </c>
      <c r="CQ232" s="117">
        <f>'[2]FPC wSEB'!$T329-'[2]FPC wSEB'!$T328</f>
        <v>69703</v>
      </c>
      <c r="CR232" s="117">
        <f>SUM('[2]FPC wSEB'!$K329:$L329)</f>
        <v>255965</v>
      </c>
      <c r="CS232" s="117">
        <f>('[2]FPC wSEB'!$N329)-CQ232</f>
        <v>-44467</v>
      </c>
      <c r="CT232" s="117">
        <f>'[2]FPC wSEB'!$P329</f>
        <v>13364</v>
      </c>
      <c r="CU232" s="117">
        <f>'[2]FPC wSEB'!$Q329</f>
        <v>195053</v>
      </c>
      <c r="CV232" s="118">
        <f t="shared" si="314"/>
        <v>0</v>
      </c>
      <c r="CW232" s="117">
        <f t="shared" si="240"/>
        <v>3063993</v>
      </c>
      <c r="CX232" s="117">
        <f t="shared" si="315"/>
        <v>2800977.8773209983</v>
      </c>
      <c r="CY232" s="117">
        <f t="shared" si="316"/>
        <v>263015.12267900165</v>
      </c>
    </row>
    <row r="233" spans="1:103">
      <c r="A233" s="13">
        <f t="shared" si="299"/>
        <v>2002</v>
      </c>
      <c r="B233" s="13">
        <f t="shared" si="300"/>
        <v>1</v>
      </c>
      <c r="C233" s="5">
        <f>'[2]FPC wSEB'!$D330</f>
        <v>1616959</v>
      </c>
      <c r="D233" s="5">
        <f>'[2]FPC wSEB'!$X330</f>
        <v>1303326</v>
      </c>
      <c r="E233" s="5">
        <f t="shared" si="222"/>
        <v>1590558</v>
      </c>
      <c r="F233" s="5">
        <f t="shared" si="223"/>
        <v>1264890</v>
      </c>
      <c r="G233" s="74">
        <f t="shared" si="269"/>
        <v>1257.5</v>
      </c>
      <c r="H233" s="190">
        <v>26401.188999999998</v>
      </c>
      <c r="I233" s="170">
        <v>38436</v>
      </c>
      <c r="J233" s="230">
        <f>'[7]RES 62 &amp; 67'!$S318</f>
        <v>59.2</v>
      </c>
      <c r="K233" s="183">
        <f t="shared" si="301"/>
        <v>49.5</v>
      </c>
      <c r="L233" s="233">
        <f t="shared" ref="L233:L238" si="323">(K233-J233)</f>
        <v>-9.7000000000000028</v>
      </c>
      <c r="M233" s="230">
        <f>'[7]RES 62 &amp; 67'!$J318</f>
        <v>181.8</v>
      </c>
      <c r="N233" s="183">
        <f t="shared" si="302"/>
        <v>131.6</v>
      </c>
      <c r="O233" s="236">
        <f t="shared" ref="O233:O238" si="324">(N233-M233)</f>
        <v>-50.200000000000017</v>
      </c>
      <c r="P233" s="206">
        <f t="shared" si="270"/>
        <v>-20.952000000000009</v>
      </c>
      <c r="Q233" s="208">
        <f t="shared" si="271"/>
        <v>5.9170000000000016</v>
      </c>
      <c r="R233" s="467">
        <f t="shared" si="272"/>
        <v>-15.035000000000007</v>
      </c>
      <c r="S233" s="470">
        <f t="shared" si="273"/>
        <v>-136.04200000000006</v>
      </c>
      <c r="T233" s="425">
        <f t="shared" si="274"/>
        <v>-151.1</v>
      </c>
      <c r="U233" s="579">
        <f>[5]RC!$E113</f>
        <v>1294849</v>
      </c>
      <c r="V233" s="447">
        <v>37257</v>
      </c>
      <c r="W233" s="191">
        <f t="shared" si="259"/>
        <v>1106.4000000000001</v>
      </c>
      <c r="X233" s="73">
        <f t="shared" si="260"/>
        <v>1399474</v>
      </c>
      <c r="Y233" s="187">
        <f t="shared" si="291"/>
        <v>22850</v>
      </c>
      <c r="Z233" s="175">
        <f t="shared" si="275"/>
        <v>1422324</v>
      </c>
      <c r="AA233" s="40">
        <f t="shared" si="261"/>
        <v>-194635</v>
      </c>
      <c r="AB233" s="519">
        <f>[9]RMWh!$L113</f>
        <v>1408997</v>
      </c>
      <c r="AC233" s="107">
        <f>'[7]Gov 65 &amp; 70'!$B318</f>
        <v>31.85</v>
      </c>
      <c r="AD233" s="4">
        <f t="shared" si="262"/>
        <v>1345736</v>
      </c>
      <c r="AE233" s="4">
        <f t="shared" si="317"/>
        <v>-26209</v>
      </c>
      <c r="AF233" s="23">
        <f t="shared" si="263"/>
        <v>1032.5</v>
      </c>
      <c r="AG233" s="75">
        <f t="shared" ref="AG233:AG238" si="325">AF233-AF221</f>
        <v>-27.299999999999955</v>
      </c>
      <c r="AI233" s="303">
        <f t="shared" si="224"/>
        <v>0.54623221230427821</v>
      </c>
      <c r="AU233" s="4">
        <f t="shared" si="304"/>
        <v>2002</v>
      </c>
      <c r="AV233" s="4">
        <f t="shared" si="305"/>
        <v>1</v>
      </c>
      <c r="AW233" s="230">
        <f>'[8]RES 62 &amp; 67'!$S318</f>
        <v>71.8</v>
      </c>
      <c r="AX233" s="200">
        <f t="shared" si="306"/>
        <v>50.5</v>
      </c>
      <c r="AY233" s="203">
        <f t="shared" si="318"/>
        <v>-21.299999999999997</v>
      </c>
      <c r="AZ233" s="230">
        <f>'[8]RES 62 &amp; 67'!$J318</f>
        <v>158.5</v>
      </c>
      <c r="BA233" s="183">
        <f t="shared" si="307"/>
        <v>127.9</v>
      </c>
      <c r="BB233" s="429">
        <f t="shared" si="319"/>
        <v>-30.599999999999994</v>
      </c>
      <c r="BC233" s="206">
        <f t="shared" si="276"/>
        <v>-46.007999999999996</v>
      </c>
      <c r="BD233" s="206">
        <f t="shared" si="277"/>
        <v>12.992999999999999</v>
      </c>
      <c r="BE233" s="206">
        <f t="shared" si="278"/>
        <v>-33.015000000000001</v>
      </c>
      <c r="BF233" s="207">
        <f t="shared" si="279"/>
        <v>-82.925999999999988</v>
      </c>
      <c r="BG233" s="219">
        <f t="shared" si="280"/>
        <v>-115.9</v>
      </c>
      <c r="BH233" s="4">
        <f t="shared" si="320"/>
        <v>2002</v>
      </c>
      <c r="BI233" s="4">
        <f t="shared" si="321"/>
        <v>1</v>
      </c>
      <c r="BJ233" s="108">
        <f>C233+[4]MWh!$AJ67</f>
        <v>1736655.5329002454</v>
      </c>
      <c r="BK233" s="108">
        <f t="shared" si="250"/>
        <v>28355.555677042579</v>
      </c>
      <c r="BL233" s="108">
        <f t="shared" si="225"/>
        <v>1708299.9772232028</v>
      </c>
      <c r="BM233" s="189">
        <f t="shared" si="251"/>
        <v>1234.6522039254028</v>
      </c>
      <c r="BN233" s="6">
        <f t="shared" si="252"/>
        <v>1561699</v>
      </c>
      <c r="BO233" s="175">
        <f t="shared" si="226"/>
        <v>25922</v>
      </c>
      <c r="BP233" s="108">
        <f t="shared" si="227"/>
        <v>-149034.53290024539</v>
      </c>
      <c r="BQ233" s="76">
        <f t="shared" si="253"/>
        <v>1332.4797732111883</v>
      </c>
      <c r="BR233" s="76">
        <f t="shared" si="254"/>
        <v>1218.1303833423103</v>
      </c>
      <c r="BS233" s="76">
        <f t="shared" si="290"/>
        <v>-13.449669913485195</v>
      </c>
      <c r="BT233" s="175">
        <f t="shared" si="322"/>
        <v>1587621</v>
      </c>
      <c r="BU233" s="108">
        <f t="shared" ref="BU233:BU238" si="326">BT233-BT221</f>
        <v>-6668</v>
      </c>
      <c r="BV233" s="120"/>
      <c r="BW233" s="529"/>
      <c r="CK233" s="165">
        <v>37257</v>
      </c>
      <c r="CL233" s="40">
        <f>BP233+COML!BV233+SPA!BV233</f>
        <v>-187301.53290024539</v>
      </c>
      <c r="CM233" s="40">
        <f>ROUND('[14]2002'!$D32,0)</f>
        <v>-38244</v>
      </c>
      <c r="CN233" s="2">
        <f t="shared" si="239"/>
        <v>-149057.53290024539</v>
      </c>
      <c r="CO233" s="108">
        <f>'[2]FPC wSEB'!$R330</f>
        <v>3320001</v>
      </c>
      <c r="CP233" s="108">
        <f>'[2]FPC wSEB'!$C330-SUM('[2]FPC wSEB'!$K330:$L330)</f>
        <v>2954739</v>
      </c>
      <c r="CQ233" s="108">
        <f>'[2]FPC wSEB'!$T330-'[2]FPC wSEB'!$T329</f>
        <v>-38121</v>
      </c>
      <c r="CR233" s="108">
        <f>SUM('[2]FPC wSEB'!$K330:$L330)</f>
        <v>234840</v>
      </c>
      <c r="CS233" s="108">
        <f>('[2]FPC wSEB'!$N330)-CQ233</f>
        <v>-29446</v>
      </c>
      <c r="CT233" s="108">
        <f>'[2]FPC wSEB'!$P330</f>
        <v>10251</v>
      </c>
      <c r="CU233" s="108">
        <f>'[2]FPC wSEB'!$Q330</f>
        <v>187738</v>
      </c>
      <c r="CV233" s="115">
        <f t="shared" ref="CV233:CV238" si="327">CO233-SUM(CP233:CU233)</f>
        <v>0</v>
      </c>
      <c r="CW233" s="108">
        <f t="shared" si="240"/>
        <v>3083768</v>
      </c>
      <c r="CX233" s="108">
        <f t="shared" ref="CX233:CX238" si="328">SUM(CP233:CS233)+CL233</f>
        <v>2934710.4670997546</v>
      </c>
      <c r="CY233" s="108">
        <f t="shared" ref="CY233:CY238" si="329">CW233-CX233</f>
        <v>149057.53290024539</v>
      </c>
    </row>
    <row r="234" spans="1:103">
      <c r="A234" s="13">
        <f t="shared" si="299"/>
        <v>2002</v>
      </c>
      <c r="B234" s="13">
        <f t="shared" si="300"/>
        <v>2</v>
      </c>
      <c r="C234" s="5">
        <f>'[2]FPC wSEB'!$D331</f>
        <v>1190155</v>
      </c>
      <c r="D234" s="5">
        <f>'[2]FPC wSEB'!$X331</f>
        <v>1304745</v>
      </c>
      <c r="E234" s="5">
        <f t="shared" si="222"/>
        <v>1169205</v>
      </c>
      <c r="F234" s="5">
        <f t="shared" si="223"/>
        <v>1266269</v>
      </c>
      <c r="G234" s="74">
        <f t="shared" si="269"/>
        <v>923.3</v>
      </c>
      <c r="H234" s="190">
        <v>20949.592000000001</v>
      </c>
      <c r="I234" s="170">
        <v>38476</v>
      </c>
      <c r="J234" s="230">
        <f>'[7]RES 62 &amp; 67'!$S319</f>
        <v>80.599999999999994</v>
      </c>
      <c r="K234" s="183">
        <f t="shared" si="301"/>
        <v>43.3</v>
      </c>
      <c r="L234" s="233">
        <f t="shared" si="323"/>
        <v>-37.299999999999997</v>
      </c>
      <c r="M234" s="230">
        <f>'[7]RES 62 &amp; 67'!$J319</f>
        <v>82.8</v>
      </c>
      <c r="N234" s="183">
        <f t="shared" si="302"/>
        <v>127.9</v>
      </c>
      <c r="O234" s="236">
        <f t="shared" si="324"/>
        <v>45.100000000000009</v>
      </c>
      <c r="P234" s="206">
        <f t="shared" si="270"/>
        <v>-80.567999999999998</v>
      </c>
      <c r="Q234" s="208">
        <f t="shared" si="271"/>
        <v>22.752999999999997</v>
      </c>
      <c r="R234" s="467">
        <f t="shared" si="272"/>
        <v>-57.814999999999998</v>
      </c>
      <c r="S234" s="470">
        <f t="shared" si="273"/>
        <v>122.22100000000002</v>
      </c>
      <c r="T234" s="425">
        <f t="shared" si="274"/>
        <v>64.400000000000006</v>
      </c>
      <c r="U234" s="579">
        <f>[5]RC!$E114</f>
        <v>1301998</v>
      </c>
      <c r="V234" s="447">
        <v>37288</v>
      </c>
      <c r="W234" s="191">
        <f t="shared" si="259"/>
        <v>987.69999999999993</v>
      </c>
      <c r="X234" s="73">
        <f t="shared" si="260"/>
        <v>1250694</v>
      </c>
      <c r="Y234" s="187">
        <f t="shared" si="291"/>
        <v>22015</v>
      </c>
      <c r="Z234" s="175">
        <f t="shared" si="275"/>
        <v>1272709</v>
      </c>
      <c r="AA234" s="40">
        <f t="shared" si="261"/>
        <v>82554</v>
      </c>
      <c r="AB234" s="519">
        <f>[9]RMWh!$L114</f>
        <v>1282790</v>
      </c>
      <c r="AC234" s="107">
        <f>'[7]Gov 65 &amp; 70'!$B319</f>
        <v>29.45</v>
      </c>
      <c r="AD234" s="4">
        <f t="shared" si="262"/>
        <v>1325041</v>
      </c>
      <c r="AE234" s="4">
        <f t="shared" ref="AE234:AE239" si="330">AD234-AD222</f>
        <v>-8238</v>
      </c>
      <c r="AF234" s="23">
        <f t="shared" si="263"/>
        <v>1015.6</v>
      </c>
      <c r="AG234" s="75">
        <f t="shared" si="325"/>
        <v>-36.399999999999977</v>
      </c>
      <c r="AI234" s="303">
        <f t="shared" si="224"/>
        <v>0.58971587324344432</v>
      </c>
      <c r="AU234" s="4">
        <f t="shared" si="304"/>
        <v>2002</v>
      </c>
      <c r="AV234" s="4">
        <f t="shared" si="305"/>
        <v>2</v>
      </c>
      <c r="AW234" s="230">
        <f>'[8]RES 62 &amp; 67'!$S319</f>
        <v>34.4</v>
      </c>
      <c r="AX234" s="200">
        <f t="shared" si="306"/>
        <v>59.2</v>
      </c>
      <c r="AY234" s="203">
        <f t="shared" si="318"/>
        <v>24.800000000000004</v>
      </c>
      <c r="AZ234" s="230">
        <f>'[8]RES 62 &amp; 67'!$J319</f>
        <v>111</v>
      </c>
      <c r="BA234" s="183">
        <f t="shared" si="307"/>
        <v>97.8</v>
      </c>
      <c r="BB234" s="429">
        <f t="shared" si="319"/>
        <v>-13.200000000000003</v>
      </c>
      <c r="BC234" s="206">
        <f t="shared" si="276"/>
        <v>53.568000000000012</v>
      </c>
      <c r="BD234" s="206">
        <f t="shared" si="277"/>
        <v>-15.128000000000002</v>
      </c>
      <c r="BE234" s="206">
        <f t="shared" si="278"/>
        <v>38.440000000000012</v>
      </c>
      <c r="BF234" s="207">
        <f t="shared" si="279"/>
        <v>-35.772000000000006</v>
      </c>
      <c r="BG234" s="219">
        <f t="shared" si="280"/>
        <v>2.7</v>
      </c>
      <c r="BH234" s="4">
        <f t="shared" si="320"/>
        <v>2002</v>
      </c>
      <c r="BI234" s="4">
        <f t="shared" si="321"/>
        <v>2</v>
      </c>
      <c r="BJ234" s="108">
        <f>C234+[4]MWh!$AJ68</f>
        <v>1012294.4616242652</v>
      </c>
      <c r="BK234" s="108">
        <f t="shared" si="250"/>
        <v>17818.818519342451</v>
      </c>
      <c r="BL234" s="108">
        <f t="shared" si="225"/>
        <v>994475.64310492272</v>
      </c>
      <c r="BM234" s="189">
        <f t="shared" si="251"/>
        <v>788.05891118310774</v>
      </c>
      <c r="BN234" s="6">
        <f t="shared" si="252"/>
        <v>997895</v>
      </c>
      <c r="BO234" s="175">
        <f t="shared" si="226"/>
        <v>17880</v>
      </c>
      <c r="BP234" s="108">
        <f t="shared" si="227"/>
        <v>3480.5383757348245</v>
      </c>
      <c r="BQ234" s="76">
        <f t="shared" si="253"/>
        <v>775.85617237411543</v>
      </c>
      <c r="BR234" s="76">
        <f t="shared" si="254"/>
        <v>778.5237728445021</v>
      </c>
      <c r="BS234" s="76">
        <f t="shared" si="290"/>
        <v>-152.99309642595063</v>
      </c>
      <c r="BT234" s="175">
        <f t="shared" si="322"/>
        <v>1015775</v>
      </c>
      <c r="BU234" s="108">
        <f t="shared" si="326"/>
        <v>-164768</v>
      </c>
      <c r="BV234" s="120"/>
      <c r="BW234" s="529"/>
      <c r="CK234" s="165">
        <v>37288</v>
      </c>
      <c r="CL234" s="40">
        <f>BP234+COML!BV234+SPA!BV234</f>
        <v>25253.538375734825</v>
      </c>
      <c r="CM234" s="40">
        <f>ROUND('[14]2002'!$D33,0)</f>
        <v>117088</v>
      </c>
      <c r="CN234" s="2">
        <f t="shared" si="239"/>
        <v>-91834.461624265183</v>
      </c>
      <c r="CO234" s="108">
        <f>'[2]FPC wSEB'!$R331</f>
        <v>2678504</v>
      </c>
      <c r="CP234" s="108">
        <f>'[2]FPC wSEB'!$C331-SUM('[2]FPC wSEB'!$K331:$L331)</f>
        <v>2510505</v>
      </c>
      <c r="CQ234" s="108">
        <f>'[2]FPC wSEB'!$T331-'[2]FPC wSEB'!$T330</f>
        <v>-150705</v>
      </c>
      <c r="CR234" s="108">
        <f>SUM('[2]FPC wSEB'!$K331:$L331)</f>
        <v>178254</v>
      </c>
      <c r="CS234" s="108">
        <f>('[2]FPC wSEB'!$N331)-CQ234</f>
        <v>-22948</v>
      </c>
      <c r="CT234" s="108">
        <f>'[2]FPC wSEB'!$P331</f>
        <v>11311</v>
      </c>
      <c r="CU234" s="108">
        <f>'[2]FPC wSEB'!$Q331</f>
        <v>152087</v>
      </c>
      <c r="CV234" s="115">
        <f t="shared" si="327"/>
        <v>0</v>
      </c>
      <c r="CW234" s="108">
        <f t="shared" si="240"/>
        <v>2632194</v>
      </c>
      <c r="CX234" s="108">
        <f t="shared" si="328"/>
        <v>2540359.5383757348</v>
      </c>
      <c r="CY234" s="108">
        <f t="shared" si="329"/>
        <v>91834.461624265183</v>
      </c>
    </row>
    <row r="235" spans="1:103">
      <c r="A235" s="13">
        <f t="shared" si="299"/>
        <v>2002</v>
      </c>
      <c r="B235" s="13">
        <f t="shared" si="300"/>
        <v>3</v>
      </c>
      <c r="C235" s="5">
        <f>'[2]FPC wSEB'!$D332</f>
        <v>1253029</v>
      </c>
      <c r="D235" s="5">
        <f>'[2]FPC wSEB'!$X332</f>
        <v>1296839</v>
      </c>
      <c r="E235" s="5">
        <f t="shared" si="222"/>
        <v>1229580</v>
      </c>
      <c r="F235" s="5">
        <f t="shared" si="223"/>
        <v>1258121</v>
      </c>
      <c r="G235" s="74">
        <f t="shared" si="269"/>
        <v>977.3</v>
      </c>
      <c r="H235" s="190">
        <v>23449.085999999999</v>
      </c>
      <c r="I235" s="170">
        <v>38718</v>
      </c>
      <c r="J235" s="230">
        <f>'[7]RES 62 &amp; 67'!$S320</f>
        <v>66.3</v>
      </c>
      <c r="K235" s="183">
        <f t="shared" si="301"/>
        <v>77.2</v>
      </c>
      <c r="L235" s="233">
        <f t="shared" si="323"/>
        <v>10.900000000000006</v>
      </c>
      <c r="M235" s="230">
        <f>'[7]RES 62 &amp; 67'!$J320</f>
        <v>111</v>
      </c>
      <c r="N235" s="183">
        <f t="shared" si="302"/>
        <v>82.3</v>
      </c>
      <c r="O235" s="236">
        <f t="shared" si="324"/>
        <v>-28.700000000000003</v>
      </c>
      <c r="P235" s="206">
        <f t="shared" si="270"/>
        <v>23.544000000000015</v>
      </c>
      <c r="Q235" s="208">
        <f t="shared" si="271"/>
        <v>-6.6490000000000036</v>
      </c>
      <c r="R235" s="467">
        <f t="shared" si="272"/>
        <v>16.89500000000001</v>
      </c>
      <c r="S235" s="470">
        <f t="shared" si="273"/>
        <v>-77.777000000000001</v>
      </c>
      <c r="T235" s="425">
        <f t="shared" si="274"/>
        <v>-60.9</v>
      </c>
      <c r="U235" s="579">
        <f>[5]RC!$E115</f>
        <v>1302983</v>
      </c>
      <c r="V235" s="447">
        <v>37316</v>
      </c>
      <c r="W235" s="191">
        <f t="shared" si="259"/>
        <v>916.4</v>
      </c>
      <c r="X235" s="73">
        <f t="shared" si="260"/>
        <v>1152942</v>
      </c>
      <c r="Y235" s="187">
        <f t="shared" si="291"/>
        <v>21576</v>
      </c>
      <c r="Z235" s="175">
        <f t="shared" si="275"/>
        <v>1174518</v>
      </c>
      <c r="AA235" s="40">
        <f t="shared" si="261"/>
        <v>-78511</v>
      </c>
      <c r="AB235" s="519">
        <f>[9]RMWh!$L115</f>
        <v>1177500</v>
      </c>
      <c r="AC235" s="107">
        <f>'[7]Gov 65 &amp; 70'!$B320</f>
        <v>29.4</v>
      </c>
      <c r="AD235" s="4">
        <f t="shared" si="262"/>
        <v>1218352</v>
      </c>
      <c r="AE235" s="4">
        <f t="shared" si="330"/>
        <v>3870</v>
      </c>
      <c r="AF235" s="23">
        <f t="shared" si="263"/>
        <v>939.5</v>
      </c>
      <c r="AG235" s="75">
        <f t="shared" si="325"/>
        <v>-52.299999999999955</v>
      </c>
      <c r="AI235" s="303">
        <f t="shared" si="224"/>
        <v>0.61970514976341384</v>
      </c>
      <c r="AU235" s="4">
        <f t="shared" si="304"/>
        <v>2002</v>
      </c>
      <c r="AV235" s="4">
        <f t="shared" si="305"/>
        <v>3</v>
      </c>
      <c r="AW235" s="230">
        <f>'[8]RES 62 &amp; 67'!$S320</f>
        <v>154.5</v>
      </c>
      <c r="AX235" s="200">
        <f t="shared" si="306"/>
        <v>105.8</v>
      </c>
      <c r="AY235" s="203">
        <f t="shared" si="318"/>
        <v>-48.7</v>
      </c>
      <c r="AZ235" s="230">
        <f>'[8]RES 62 &amp; 67'!$J320</f>
        <v>53.6</v>
      </c>
      <c r="BA235" s="183">
        <f t="shared" si="307"/>
        <v>49.9</v>
      </c>
      <c r="BB235" s="429">
        <f t="shared" si="319"/>
        <v>-3.7000000000000028</v>
      </c>
      <c r="BC235" s="206">
        <f t="shared" si="276"/>
        <v>-105.19200000000001</v>
      </c>
      <c r="BD235" s="206">
        <f t="shared" si="277"/>
        <v>29.707000000000001</v>
      </c>
      <c r="BE235" s="206">
        <f t="shared" si="278"/>
        <v>-75.485000000000014</v>
      </c>
      <c r="BF235" s="207">
        <f t="shared" si="279"/>
        <v>-10.027000000000008</v>
      </c>
      <c r="BG235" s="219">
        <f t="shared" si="280"/>
        <v>-85.5</v>
      </c>
      <c r="BH235" s="4">
        <f t="shared" si="320"/>
        <v>2002</v>
      </c>
      <c r="BI235" s="4">
        <f t="shared" si="321"/>
        <v>3</v>
      </c>
      <c r="BJ235" s="108">
        <f>C235+[4]MWh!$AJ69</f>
        <v>1370666.6818579121</v>
      </c>
      <c r="BK235" s="108">
        <f t="shared" si="250"/>
        <v>25650.54831150821</v>
      </c>
      <c r="BL235" s="108">
        <f t="shared" si="225"/>
        <v>1345016.1335464038</v>
      </c>
      <c r="BM235" s="189">
        <f t="shared" si="251"/>
        <v>983.56738981894728</v>
      </c>
      <c r="BN235" s="6">
        <f t="shared" si="252"/>
        <v>1237447</v>
      </c>
      <c r="BO235" s="175">
        <f t="shared" si="226"/>
        <v>23599</v>
      </c>
      <c r="BP235" s="108">
        <f t="shared" si="227"/>
        <v>-109620.68185791204</v>
      </c>
      <c r="BQ235" s="76">
        <f t="shared" si="253"/>
        <v>1056.9289494362154</v>
      </c>
      <c r="BR235" s="76">
        <f t="shared" si="254"/>
        <v>972.39981215864111</v>
      </c>
      <c r="BS235" s="76">
        <f t="shared" si="290"/>
        <v>135.9986267735992</v>
      </c>
      <c r="BT235" s="175">
        <f t="shared" si="322"/>
        <v>1261046</v>
      </c>
      <c r="BU235" s="108">
        <f t="shared" si="326"/>
        <v>236805</v>
      </c>
      <c r="BV235" s="120"/>
      <c r="BW235" s="529"/>
      <c r="CK235" s="165">
        <v>37316</v>
      </c>
      <c r="CL235" s="40">
        <f>BP235+COML!BV235+SPA!BV235</f>
        <v>-159584.68185791204</v>
      </c>
      <c r="CM235" s="40">
        <f>ROUND('[14]2002'!$D34,0)</f>
        <v>-131685</v>
      </c>
      <c r="CN235" s="2">
        <f t="shared" si="239"/>
        <v>-27899.681857912045</v>
      </c>
      <c r="CO235" s="108">
        <f>'[2]FPC wSEB'!$R332</f>
        <v>3165188</v>
      </c>
      <c r="CP235" s="108">
        <f>'[2]FPC wSEB'!$C332-SUM('[2]FPC wSEB'!$K332:$L332)</f>
        <v>2553921</v>
      </c>
      <c r="CQ235" s="108">
        <f>'[2]FPC wSEB'!$T332-'[2]FPC wSEB'!$T331</f>
        <v>195770</v>
      </c>
      <c r="CR235" s="108">
        <f>SUM('[2]FPC wSEB'!$K332:$L332)</f>
        <v>165210</v>
      </c>
      <c r="CS235" s="108">
        <f>('[2]FPC wSEB'!$N332)-CQ235</f>
        <v>76853</v>
      </c>
      <c r="CT235" s="108">
        <f>'[2]FPC wSEB'!$P332</f>
        <v>10793</v>
      </c>
      <c r="CU235" s="108">
        <f>'[2]FPC wSEB'!$Q332</f>
        <v>162641</v>
      </c>
      <c r="CV235" s="115">
        <f t="shared" si="327"/>
        <v>0</v>
      </c>
      <c r="CW235" s="108">
        <f t="shared" si="240"/>
        <v>2860069</v>
      </c>
      <c r="CX235" s="108">
        <f t="shared" si="328"/>
        <v>2832169.3181420881</v>
      </c>
      <c r="CY235" s="108">
        <f t="shared" si="329"/>
        <v>27899.68185791187</v>
      </c>
    </row>
    <row r="236" spans="1:103">
      <c r="A236" s="13">
        <f t="shared" si="299"/>
        <v>2002</v>
      </c>
      <c r="B236" s="13">
        <f t="shared" si="300"/>
        <v>4</v>
      </c>
      <c r="C236" s="5">
        <f>'[2]FPC wSEB'!$D333</f>
        <v>1247686</v>
      </c>
      <c r="D236" s="5">
        <f>'[2]FPC wSEB'!$X333</f>
        <v>1239728</v>
      </c>
      <c r="E236" s="5">
        <f t="shared" si="222"/>
        <v>1227886</v>
      </c>
      <c r="F236" s="5">
        <f t="shared" si="223"/>
        <v>1201738</v>
      </c>
      <c r="G236" s="74">
        <f t="shared" si="269"/>
        <v>1021.8</v>
      </c>
      <c r="H236" s="190">
        <v>19799.63</v>
      </c>
      <c r="I236" s="170">
        <v>37990</v>
      </c>
      <c r="J236" s="230">
        <f>'[7]RES 62 &amp; 67'!$S321</f>
        <v>199.5</v>
      </c>
      <c r="K236" s="183">
        <f t="shared" si="301"/>
        <v>138.1</v>
      </c>
      <c r="L236" s="233">
        <f t="shared" si="323"/>
        <v>-61.400000000000006</v>
      </c>
      <c r="M236" s="230">
        <f>'[7]RES 62 &amp; 67'!$J321</f>
        <v>16.399999999999999</v>
      </c>
      <c r="N236" s="183">
        <f t="shared" si="302"/>
        <v>37.299999999999997</v>
      </c>
      <c r="O236" s="236">
        <f t="shared" si="324"/>
        <v>20.9</v>
      </c>
      <c r="P236" s="206">
        <f t="shared" si="270"/>
        <v>-132.62400000000002</v>
      </c>
      <c r="Q236" s="208">
        <f t="shared" si="271"/>
        <v>37.454000000000001</v>
      </c>
      <c r="R236" s="467">
        <f t="shared" si="272"/>
        <v>-95.170000000000016</v>
      </c>
      <c r="S236" s="470">
        <f t="shared" si="273"/>
        <v>56.638999999999996</v>
      </c>
      <c r="T236" s="425">
        <f t="shared" si="274"/>
        <v>-38.5</v>
      </c>
      <c r="U236" s="579">
        <f>[5]RC!$E116</f>
        <v>1297434</v>
      </c>
      <c r="V236" s="447">
        <v>37347</v>
      </c>
      <c r="W236" s="191">
        <f t="shared" si="259"/>
        <v>983.3</v>
      </c>
      <c r="X236" s="73">
        <f t="shared" si="260"/>
        <v>1181669</v>
      </c>
      <c r="Y236" s="187">
        <f t="shared" si="291"/>
        <v>18752</v>
      </c>
      <c r="Z236" s="175">
        <f t="shared" si="275"/>
        <v>1200421</v>
      </c>
      <c r="AA236" s="40">
        <f t="shared" si="261"/>
        <v>-47265</v>
      </c>
      <c r="AB236" s="519">
        <f>[9]RMWh!$L116</f>
        <v>1251144</v>
      </c>
      <c r="AC236" s="107">
        <f>'[7]Gov 65 &amp; 70'!$B321</f>
        <v>30.8</v>
      </c>
      <c r="AD236" s="4">
        <f t="shared" si="262"/>
        <v>1235708</v>
      </c>
      <c r="AE236" s="4">
        <f t="shared" si="330"/>
        <v>51763</v>
      </c>
      <c r="AF236" s="23">
        <f t="shared" si="263"/>
        <v>996.8</v>
      </c>
      <c r="AG236" s="75">
        <f t="shared" si="325"/>
        <v>88.099999999999909</v>
      </c>
      <c r="AI236" s="303">
        <f t="shared" si="224"/>
        <v>0.51006072360627297</v>
      </c>
      <c r="AU236" s="4">
        <f t="shared" si="304"/>
        <v>2002</v>
      </c>
      <c r="AV236" s="4">
        <f t="shared" si="305"/>
        <v>4</v>
      </c>
      <c r="AW236" s="230">
        <f>'[8]RES 62 &amp; 67'!$S321</f>
        <v>259.39999999999998</v>
      </c>
      <c r="AX236" s="200">
        <f t="shared" si="306"/>
        <v>181.7</v>
      </c>
      <c r="AY236" s="203">
        <f t="shared" ref="AY236:AY241" si="331">AX236-AW236</f>
        <v>-77.699999999999989</v>
      </c>
      <c r="AZ236" s="230">
        <f>'[8]RES 62 &amp; 67'!$J321</f>
        <v>3.3</v>
      </c>
      <c r="BA236" s="183">
        <f t="shared" si="307"/>
        <v>21.5</v>
      </c>
      <c r="BB236" s="429">
        <f t="shared" si="319"/>
        <v>18.2</v>
      </c>
      <c r="BC236" s="206">
        <f t="shared" si="276"/>
        <v>-167.83199999999999</v>
      </c>
      <c r="BD236" s="206">
        <f t="shared" si="277"/>
        <v>23.698499999999996</v>
      </c>
      <c r="BE236" s="206">
        <f t="shared" si="278"/>
        <v>-144.1335</v>
      </c>
      <c r="BF236" s="207">
        <f t="shared" si="279"/>
        <v>49.321999999999996</v>
      </c>
      <c r="BG236" s="219">
        <f t="shared" si="280"/>
        <v>-94.8</v>
      </c>
      <c r="BH236" s="4">
        <f t="shared" si="320"/>
        <v>2002</v>
      </c>
      <c r="BI236" s="4">
        <f t="shared" si="321"/>
        <v>4</v>
      </c>
      <c r="BJ236" s="108">
        <f>C236+[4]MWh!$AJ70</f>
        <v>1318584.8379880544</v>
      </c>
      <c r="BK236" s="108">
        <f t="shared" si="250"/>
        <v>20924.729391668596</v>
      </c>
      <c r="BL236" s="108">
        <f t="shared" si="225"/>
        <v>1297660.1085963857</v>
      </c>
      <c r="BM236" s="189">
        <f t="shared" si="251"/>
        <v>985.01948527581362</v>
      </c>
      <c r="BN236" s="6">
        <f t="shared" si="252"/>
        <v>1183735</v>
      </c>
      <c r="BO236" s="175">
        <f t="shared" si="226"/>
        <v>19088</v>
      </c>
      <c r="BP236" s="108">
        <f t="shared" si="227"/>
        <v>-115761.83798805429</v>
      </c>
      <c r="BQ236" s="76">
        <f t="shared" si="253"/>
        <v>1063.6081769453092</v>
      </c>
      <c r="BR236" s="76">
        <f t="shared" si="254"/>
        <v>970.23137333350542</v>
      </c>
      <c r="BS236" s="76">
        <f t="shared" si="290"/>
        <v>46.894432579631257</v>
      </c>
      <c r="BT236" s="175">
        <f t="shared" si="322"/>
        <v>1202823</v>
      </c>
      <c r="BU236" s="108">
        <f t="shared" si="326"/>
        <v>-165</v>
      </c>
      <c r="BV236" s="120"/>
      <c r="BW236" s="529"/>
      <c r="CK236" s="165">
        <v>37347</v>
      </c>
      <c r="CL236" s="40">
        <f>BP236+COML!BV236+SPA!BV236</f>
        <v>-185340.83798805429</v>
      </c>
      <c r="CM236" s="40">
        <f>ROUND('[14]2002'!$D35,0)</f>
        <v>-293395</v>
      </c>
      <c r="CN236" s="2">
        <f t="shared" si="239"/>
        <v>108054.16201194571</v>
      </c>
      <c r="CO236" s="108">
        <f>'[2]FPC wSEB'!$R333</f>
        <v>3380722</v>
      </c>
      <c r="CP236" s="108">
        <f>'[2]FPC wSEB'!$C333-SUM('[2]FPC wSEB'!$K333:$L333)</f>
        <v>2639387</v>
      </c>
      <c r="CQ236" s="108">
        <f>'[2]FPC wSEB'!$T333-'[2]FPC wSEB'!$T332</f>
        <v>206793</v>
      </c>
      <c r="CR236" s="108">
        <f>SUM('[2]FPC wSEB'!$K333:$L333)</f>
        <v>221886</v>
      </c>
      <c r="CS236" s="108">
        <f>('[2]FPC wSEB'!$N333)-CQ236</f>
        <v>69353</v>
      </c>
      <c r="CT236" s="108">
        <f>'[2]FPC wSEB'!$P333</f>
        <v>7249</v>
      </c>
      <c r="CU236" s="108">
        <f>'[2]FPC wSEB'!$Q333</f>
        <v>236054</v>
      </c>
      <c r="CV236" s="115">
        <f t="shared" si="327"/>
        <v>0</v>
      </c>
      <c r="CW236" s="108">
        <f t="shared" si="240"/>
        <v>2844024</v>
      </c>
      <c r="CX236" s="108">
        <f t="shared" si="328"/>
        <v>2952078.1620119456</v>
      </c>
      <c r="CY236" s="108">
        <f t="shared" si="329"/>
        <v>-108054.16201194562</v>
      </c>
    </row>
    <row r="237" spans="1:103">
      <c r="A237" s="13">
        <f t="shared" si="299"/>
        <v>2002</v>
      </c>
      <c r="B237" s="13">
        <f t="shared" si="300"/>
        <v>5</v>
      </c>
      <c r="C237" s="5">
        <f>'[2]FPC wSEB'!$D334</f>
        <v>1655608</v>
      </c>
      <c r="D237" s="5">
        <f>'[2]FPC wSEB'!$X334</f>
        <v>1353544</v>
      </c>
      <c r="E237" s="5">
        <f t="shared" si="222"/>
        <v>1637085</v>
      </c>
      <c r="F237" s="5">
        <f t="shared" si="223"/>
        <v>1306609</v>
      </c>
      <c r="G237" s="74">
        <f t="shared" si="269"/>
        <v>1252.9000000000001</v>
      </c>
      <c r="H237" s="190">
        <v>18523.131000000001</v>
      </c>
      <c r="I237" s="170">
        <v>46935</v>
      </c>
      <c r="J237" s="230">
        <f>'[7]RES 62 &amp; 67'!$S322</f>
        <v>328.4</v>
      </c>
      <c r="K237" s="183">
        <f t="shared" si="301"/>
        <v>224.4</v>
      </c>
      <c r="L237" s="233">
        <f t="shared" si="323"/>
        <v>-103.99999999999997</v>
      </c>
      <c r="M237" s="230">
        <f>'[7]RES 62 &amp; 67'!$J322</f>
        <v>1.4</v>
      </c>
      <c r="N237" s="183">
        <f t="shared" si="302"/>
        <v>11.2</v>
      </c>
      <c r="O237" s="236">
        <f t="shared" si="324"/>
        <v>9.7999999999999989</v>
      </c>
      <c r="P237" s="206">
        <f t="shared" si="270"/>
        <v>-224.63999999999996</v>
      </c>
      <c r="Q237" s="208">
        <f t="shared" si="271"/>
        <v>0</v>
      </c>
      <c r="R237" s="467">
        <f t="shared" si="272"/>
        <v>-224.63999999999996</v>
      </c>
      <c r="S237" s="470">
        <f t="shared" si="273"/>
        <v>26.557999999999996</v>
      </c>
      <c r="T237" s="425">
        <f t="shared" si="274"/>
        <v>-198.1</v>
      </c>
      <c r="U237" s="579">
        <f>[5]RC!$E117</f>
        <v>1294841</v>
      </c>
      <c r="V237" s="447">
        <v>37377</v>
      </c>
      <c r="W237" s="191">
        <f t="shared" si="259"/>
        <v>1054.8000000000002</v>
      </c>
      <c r="X237" s="73">
        <f t="shared" si="260"/>
        <v>1378211</v>
      </c>
      <c r="Y237" s="187">
        <f t="shared" si="291"/>
        <v>15420</v>
      </c>
      <c r="Z237" s="175">
        <f t="shared" si="275"/>
        <v>1393631</v>
      </c>
      <c r="AA237" s="40">
        <f t="shared" si="261"/>
        <v>-261977</v>
      </c>
      <c r="AB237" s="519">
        <f>[9]RMWh!$L117</f>
        <v>1338911</v>
      </c>
      <c r="AC237" s="107">
        <f>'[7]Gov 65 &amp; 70'!$B322</f>
        <v>29.5</v>
      </c>
      <c r="AD237" s="4">
        <f t="shared" si="262"/>
        <v>1380667</v>
      </c>
      <c r="AE237" s="4">
        <f t="shared" si="330"/>
        <v>128213</v>
      </c>
      <c r="AF237" s="23">
        <f t="shared" si="263"/>
        <v>1020</v>
      </c>
      <c r="AG237" s="75">
        <f t="shared" si="325"/>
        <v>34.299999999999955</v>
      </c>
      <c r="AI237" s="303">
        <f t="shared" si="224"/>
        <v>0.31499319150679406</v>
      </c>
      <c r="AU237" s="4">
        <f t="shared" si="304"/>
        <v>2002</v>
      </c>
      <c r="AV237" s="4">
        <f t="shared" si="305"/>
        <v>5</v>
      </c>
      <c r="AW237" s="230">
        <f>'[8]RES 62 &amp; 67'!$S322</f>
        <v>355.9</v>
      </c>
      <c r="AX237" s="200">
        <f t="shared" si="306"/>
        <v>336.7</v>
      </c>
      <c r="AY237" s="203">
        <f t="shared" si="331"/>
        <v>-19.199999999999989</v>
      </c>
      <c r="AZ237" s="230">
        <f>'[8]RES 62 &amp; 67'!$J322</f>
        <v>1.8</v>
      </c>
      <c r="BA237" s="183">
        <f t="shared" si="307"/>
        <v>2.1</v>
      </c>
      <c r="BB237" s="429">
        <f t="shared" ref="BB237:BB242" si="332">BA237-AZ237</f>
        <v>0.30000000000000004</v>
      </c>
      <c r="BC237" s="206">
        <f t="shared" si="276"/>
        <v>-41.47199999999998</v>
      </c>
      <c r="BD237" s="206">
        <f t="shared" si="277"/>
        <v>0</v>
      </c>
      <c r="BE237" s="206">
        <f t="shared" si="278"/>
        <v>-41.47199999999998</v>
      </c>
      <c r="BF237" s="207">
        <f t="shared" si="279"/>
        <v>0.81300000000000006</v>
      </c>
      <c r="BG237" s="219">
        <f t="shared" si="280"/>
        <v>-40.700000000000003</v>
      </c>
      <c r="BH237" s="4">
        <f t="shared" si="320"/>
        <v>2002</v>
      </c>
      <c r="BI237" s="4">
        <f t="shared" si="321"/>
        <v>5</v>
      </c>
      <c r="BJ237" s="108">
        <f>C237+[4]MWh!$AJ71</f>
        <v>1711262.4168504286</v>
      </c>
      <c r="BK237" s="108">
        <f t="shared" ref="BK237:BK268" si="333">(H237/C237)*BJ237</f>
        <v>19145.798958870153</v>
      </c>
      <c r="BL237" s="108">
        <f t="shared" si="225"/>
        <v>1692116.6178915584</v>
      </c>
      <c r="BM237" s="189">
        <f t="shared" ref="BM237:BM268" si="334">(BL237/F237*1000)+BG237</f>
        <v>1254.3443613135669</v>
      </c>
      <c r="BN237" s="6">
        <f t="shared" ref="BN237:BN268" si="335">ROUND(BM237*F237/1000,0)</f>
        <v>1638938</v>
      </c>
      <c r="BO237" s="175">
        <f t="shared" si="226"/>
        <v>18544</v>
      </c>
      <c r="BP237" s="108">
        <f t="shared" si="227"/>
        <v>-53780.416850428599</v>
      </c>
      <c r="BQ237" s="76">
        <f t="shared" ref="BQ237:BQ268" si="336">BJ237/D237*1000</f>
        <v>1264.2828137470437</v>
      </c>
      <c r="BR237" s="76">
        <f t="shared" ref="BR237:BR268" si="337">(BN237+BO237)/D237*1000</f>
        <v>1224.5497745178584</v>
      </c>
      <c r="BS237" s="76">
        <f t="shared" si="290"/>
        <v>76.832330602903767</v>
      </c>
      <c r="BT237" s="175">
        <f t="shared" si="322"/>
        <v>1657482</v>
      </c>
      <c r="BU237" s="108">
        <f t="shared" si="326"/>
        <v>199175</v>
      </c>
      <c r="BV237" s="120"/>
      <c r="BW237" s="529"/>
      <c r="BX237" s="120"/>
      <c r="CK237" s="165">
        <v>37377</v>
      </c>
      <c r="CL237" s="40">
        <f>BP237+COML!BV237+SPA!BV237</f>
        <v>-71461.416850428592</v>
      </c>
      <c r="CM237" s="40">
        <f>ROUND('[14]2002'!$D36,0)</f>
        <v>-69696</v>
      </c>
      <c r="CN237" s="2">
        <f t="shared" si="239"/>
        <v>-1765.4168504285917</v>
      </c>
      <c r="CO237" s="108">
        <f>'[2]FPC wSEB'!$R334</f>
        <v>3840733</v>
      </c>
      <c r="CP237" s="108">
        <f>'[2]FPC wSEB'!$C334-SUM('[2]FPC wSEB'!$K334:$L334)</f>
        <v>3337036</v>
      </c>
      <c r="CQ237" s="108">
        <f>'[2]FPC wSEB'!$T334-'[2]FPC wSEB'!$T333</f>
        <v>31660</v>
      </c>
      <c r="CR237" s="108">
        <f>SUM('[2]FPC wSEB'!$K334:$L334)</f>
        <v>317407</v>
      </c>
      <c r="CS237" s="108">
        <f>('[2]FPC wSEB'!$N334)-CQ237</f>
        <v>959</v>
      </c>
      <c r="CT237" s="108">
        <f>'[2]FPC wSEB'!$P334</f>
        <v>10687</v>
      </c>
      <c r="CU237" s="108">
        <f>'[2]FPC wSEB'!$Q334</f>
        <v>142984</v>
      </c>
      <c r="CV237" s="115">
        <f t="shared" si="327"/>
        <v>0</v>
      </c>
      <c r="CW237" s="108">
        <f t="shared" si="240"/>
        <v>3617366</v>
      </c>
      <c r="CX237" s="108">
        <f t="shared" si="328"/>
        <v>3615600.5831495714</v>
      </c>
      <c r="CY237" s="108">
        <f t="shared" si="329"/>
        <v>1765.4168504285626</v>
      </c>
    </row>
    <row r="238" spans="1:103">
      <c r="A238" s="13">
        <f t="shared" si="299"/>
        <v>2002</v>
      </c>
      <c r="B238" s="13">
        <f t="shared" si="300"/>
        <v>6</v>
      </c>
      <c r="C238" s="5">
        <f>'[2]FPC wSEB'!$D335</f>
        <v>1611396</v>
      </c>
      <c r="D238" s="5">
        <f>'[2]FPC wSEB'!$X335</f>
        <v>1236677</v>
      </c>
      <c r="E238" s="5">
        <f t="shared" si="222"/>
        <v>1600913</v>
      </c>
      <c r="F238" s="5">
        <f t="shared" si="223"/>
        <v>1194452</v>
      </c>
      <c r="G238" s="74">
        <f t="shared" si="269"/>
        <v>1340.3</v>
      </c>
      <c r="H238" s="190">
        <v>10482.566000000001</v>
      </c>
      <c r="I238" s="170">
        <v>42225</v>
      </c>
      <c r="J238" s="230">
        <f>'[7]RES 62 &amp; 67'!$S323</f>
        <v>370.4</v>
      </c>
      <c r="K238" s="183">
        <f t="shared" si="301"/>
        <v>382.8</v>
      </c>
      <c r="L238" s="233">
        <f t="shared" si="323"/>
        <v>12.400000000000034</v>
      </c>
      <c r="M238" s="230">
        <f>'[7]RES 62 &amp; 67'!$J323</f>
        <v>1.3</v>
      </c>
      <c r="N238" s="183">
        <f t="shared" si="302"/>
        <v>0.9</v>
      </c>
      <c r="O238" s="236">
        <f t="shared" si="324"/>
        <v>-0.4</v>
      </c>
      <c r="P238" s="206">
        <f t="shared" si="270"/>
        <v>26.784000000000077</v>
      </c>
      <c r="Q238" s="208">
        <f t="shared" si="271"/>
        <v>0</v>
      </c>
      <c r="R238" s="467">
        <f t="shared" si="272"/>
        <v>26.784000000000077</v>
      </c>
      <c r="S238" s="470">
        <f t="shared" si="273"/>
        <v>-1.0840000000000001</v>
      </c>
      <c r="T238" s="425">
        <f t="shared" si="274"/>
        <v>25.7</v>
      </c>
      <c r="U238" s="579">
        <f>[5]RC!$E118</f>
        <v>1295383</v>
      </c>
      <c r="V238" s="447">
        <v>37408</v>
      </c>
      <c r="W238" s="191">
        <f t="shared" si="259"/>
        <v>1366</v>
      </c>
      <c r="X238" s="73">
        <f t="shared" si="260"/>
        <v>1631621</v>
      </c>
      <c r="Y238" s="187">
        <f t="shared" si="291"/>
        <v>10614</v>
      </c>
      <c r="Z238" s="175">
        <f t="shared" si="275"/>
        <v>1642235</v>
      </c>
      <c r="AA238" s="40">
        <f t="shared" si="261"/>
        <v>30839</v>
      </c>
      <c r="AB238" s="519">
        <f>[9]RMWh!$L118</f>
        <v>1709877</v>
      </c>
      <c r="AC238" s="107">
        <f>'[7]Gov 65 &amp; 70'!$B323</f>
        <v>29.25</v>
      </c>
      <c r="AD238" s="4">
        <f t="shared" si="262"/>
        <v>1778272</v>
      </c>
      <c r="AE238" s="4">
        <f t="shared" si="330"/>
        <v>141296</v>
      </c>
      <c r="AF238" s="23">
        <f t="shared" si="263"/>
        <v>1437.9</v>
      </c>
      <c r="AG238" s="75">
        <f t="shared" si="325"/>
        <v>149.40000000000009</v>
      </c>
      <c r="AI238" s="303">
        <f t="shared" si="224"/>
        <v>0.18522343313911283</v>
      </c>
      <c r="AU238" s="4">
        <f t="shared" si="304"/>
        <v>2002</v>
      </c>
      <c r="AV238" s="4">
        <f t="shared" si="305"/>
        <v>6</v>
      </c>
      <c r="AW238" s="230">
        <f>'[8]RES 62 &amp; 67'!$S323</f>
        <v>399.9</v>
      </c>
      <c r="AX238" s="200">
        <f t="shared" si="306"/>
        <v>425.2</v>
      </c>
      <c r="AY238" s="203">
        <f t="shared" si="331"/>
        <v>25.300000000000011</v>
      </c>
      <c r="AZ238" s="230">
        <f>'[8]RES 62 &amp; 67'!$J323</f>
        <v>0</v>
      </c>
      <c r="BA238" s="183">
        <f t="shared" si="307"/>
        <v>0</v>
      </c>
      <c r="BB238" s="429">
        <f t="shared" si="332"/>
        <v>0</v>
      </c>
      <c r="BC238" s="206">
        <f t="shared" si="276"/>
        <v>54.648000000000032</v>
      </c>
      <c r="BD238" s="206">
        <f t="shared" si="277"/>
        <v>0</v>
      </c>
      <c r="BE238" s="206">
        <f t="shared" si="278"/>
        <v>54.648000000000032</v>
      </c>
      <c r="BF238" s="207">
        <f t="shared" si="279"/>
        <v>0</v>
      </c>
      <c r="BG238" s="219">
        <f t="shared" si="280"/>
        <v>54.6</v>
      </c>
      <c r="BH238" s="4">
        <f t="shared" si="320"/>
        <v>2002</v>
      </c>
      <c r="BI238" s="4">
        <f t="shared" si="321"/>
        <v>6</v>
      </c>
      <c r="BJ238" s="108">
        <f>C238+[4]MWh!$AJ72</f>
        <v>1732507.953199483</v>
      </c>
      <c r="BK238" s="108">
        <f t="shared" si="333"/>
        <v>11270.431951511915</v>
      </c>
      <c r="BL238" s="108">
        <f t="shared" si="225"/>
        <v>1721237.5212479711</v>
      </c>
      <c r="BM238" s="189">
        <f t="shared" si="334"/>
        <v>1495.6269489673682</v>
      </c>
      <c r="BN238" s="6">
        <f t="shared" si="335"/>
        <v>1786455</v>
      </c>
      <c r="BO238" s="175">
        <f t="shared" si="226"/>
        <v>11697</v>
      </c>
      <c r="BP238" s="108">
        <f t="shared" si="227"/>
        <v>65644.046800516982</v>
      </c>
      <c r="BQ238" s="76">
        <f t="shared" si="336"/>
        <v>1400.9381214330685</v>
      </c>
      <c r="BR238" s="76">
        <f t="shared" si="337"/>
        <v>1454.0191173604749</v>
      </c>
      <c r="BS238" s="76">
        <f t="shared" si="290"/>
        <v>38.161026914858667</v>
      </c>
      <c r="BT238" s="175">
        <f t="shared" si="322"/>
        <v>1798152</v>
      </c>
      <c r="BU238" s="108">
        <f t="shared" si="326"/>
        <v>-615</v>
      </c>
      <c r="BV238" s="120"/>
      <c r="BW238" s="529"/>
      <c r="CK238" s="165">
        <v>37408</v>
      </c>
      <c r="CL238" s="40">
        <f>BP238+COML!BV238+SPA!BV238</f>
        <v>88812.046800516982</v>
      </c>
      <c r="CM238" s="40">
        <f>ROUND('[14]2002'!$D37,0)</f>
        <v>237438</v>
      </c>
      <c r="CN238" s="2">
        <f t="shared" si="239"/>
        <v>-148625.95319948302</v>
      </c>
      <c r="CO238" s="108">
        <f>'[2]FPC wSEB'!$R335</f>
        <v>3766317</v>
      </c>
      <c r="CP238" s="108">
        <f>'[2]FPC wSEB'!$C335-SUM('[2]FPC wSEB'!$K335:$L335)</f>
        <v>3103342</v>
      </c>
      <c r="CQ238" s="108">
        <f>'[2]FPC wSEB'!$T335-'[2]FPC wSEB'!$T334</f>
        <v>155887</v>
      </c>
      <c r="CR238" s="108">
        <f>SUM('[2]FPC wSEB'!$K335:$L335)</f>
        <v>293523</v>
      </c>
      <c r="CS238" s="108">
        <f>('[2]FPC wSEB'!$N335)-CQ238</f>
        <v>-21309</v>
      </c>
      <c r="CT238" s="108">
        <f>'[2]FPC wSEB'!$P335</f>
        <v>8372</v>
      </c>
      <c r="CU238" s="108">
        <f>'[2]FPC wSEB'!$Q335</f>
        <v>226502</v>
      </c>
      <c r="CV238" s="115">
        <f t="shared" si="327"/>
        <v>0</v>
      </c>
      <c r="CW238" s="108">
        <f t="shared" si="240"/>
        <v>3768881</v>
      </c>
      <c r="CX238" s="108">
        <f t="shared" si="328"/>
        <v>3620255.046800517</v>
      </c>
      <c r="CY238" s="108">
        <f t="shared" si="329"/>
        <v>148625.95319948299</v>
      </c>
    </row>
    <row r="239" spans="1:103">
      <c r="A239" s="13">
        <f t="shared" si="299"/>
        <v>2002</v>
      </c>
      <c r="B239" s="13">
        <f t="shared" si="300"/>
        <v>7</v>
      </c>
      <c r="C239" s="5">
        <f>'[2]FPC wSEB'!$D336</f>
        <v>1780508</v>
      </c>
      <c r="D239" s="5">
        <f>'[2]FPC wSEB'!$X336</f>
        <v>1335895</v>
      </c>
      <c r="E239" s="5">
        <f t="shared" si="222"/>
        <v>1770550</v>
      </c>
      <c r="F239" s="5">
        <f t="shared" si="223"/>
        <v>1288437</v>
      </c>
      <c r="G239" s="74">
        <f t="shared" si="269"/>
        <v>1374.2</v>
      </c>
      <c r="H239" s="190">
        <v>9957.8140000000003</v>
      </c>
      <c r="I239" s="170">
        <v>47458</v>
      </c>
      <c r="J239" s="230">
        <f>'[7]RES 62 &amp; 67'!$S324</f>
        <v>407</v>
      </c>
      <c r="K239" s="183">
        <f t="shared" si="301"/>
        <v>454.9</v>
      </c>
      <c r="L239" s="233">
        <f t="shared" ref="L239:L244" si="338">(K239-J239)</f>
        <v>47.899999999999977</v>
      </c>
      <c r="M239" s="230">
        <f>'[7]RES 62 &amp; 67'!$J324</f>
        <v>0</v>
      </c>
      <c r="N239" s="183">
        <f t="shared" si="302"/>
        <v>0</v>
      </c>
      <c r="O239" s="236">
        <f t="shared" ref="O239:O244" si="339">(N239-M239)</f>
        <v>0</v>
      </c>
      <c r="P239" s="206">
        <f t="shared" si="270"/>
        <v>103.46399999999996</v>
      </c>
      <c r="Q239" s="208">
        <f t="shared" si="271"/>
        <v>0</v>
      </c>
      <c r="R239" s="467">
        <f t="shared" si="272"/>
        <v>103.46399999999996</v>
      </c>
      <c r="S239" s="470">
        <f t="shared" si="273"/>
        <v>0</v>
      </c>
      <c r="T239" s="425">
        <f t="shared" si="274"/>
        <v>103.5</v>
      </c>
      <c r="U239" s="579">
        <f>[5]RC!$E119</f>
        <v>1296698</v>
      </c>
      <c r="V239" s="447">
        <v>37438</v>
      </c>
      <c r="W239" s="191">
        <f t="shared" si="259"/>
        <v>1477.7</v>
      </c>
      <c r="X239" s="73">
        <f t="shared" si="260"/>
        <v>1903923</v>
      </c>
      <c r="Y239" s="187">
        <f t="shared" si="291"/>
        <v>10648</v>
      </c>
      <c r="Z239" s="175">
        <f t="shared" si="275"/>
        <v>1914571</v>
      </c>
      <c r="AA239" s="40">
        <f t="shared" si="261"/>
        <v>134063</v>
      </c>
      <c r="AB239" s="519">
        <f>[9]RMWh!$L119</f>
        <v>1860234</v>
      </c>
      <c r="AC239" s="107">
        <f>'[7]Gov 65 &amp; 70'!$B324</f>
        <v>30.5</v>
      </c>
      <c r="AD239" s="4">
        <f t="shared" si="262"/>
        <v>1855355</v>
      </c>
      <c r="AE239" s="4">
        <f t="shared" si="330"/>
        <v>63012</v>
      </c>
      <c r="AF239" s="23">
        <f t="shared" si="263"/>
        <v>1388.8</v>
      </c>
      <c r="AG239" s="75">
        <f t="shared" ref="AG239:AG244" si="340">AF239-AF227</f>
        <v>-43.5</v>
      </c>
      <c r="AI239" s="303">
        <f t="shared" si="224"/>
        <v>0.15268790409958211</v>
      </c>
      <c r="AU239" s="4">
        <f t="shared" si="304"/>
        <v>2002</v>
      </c>
      <c r="AV239" s="4">
        <f t="shared" si="305"/>
        <v>7</v>
      </c>
      <c r="AW239" s="230">
        <f>'[8]RES 62 &amp; 67'!$S324</f>
        <v>466.6</v>
      </c>
      <c r="AX239" s="200">
        <f t="shared" si="306"/>
        <v>484.1</v>
      </c>
      <c r="AY239" s="203">
        <f t="shared" si="331"/>
        <v>17.5</v>
      </c>
      <c r="AZ239" s="230">
        <f>'[8]RES 62 &amp; 67'!$J324</f>
        <v>0</v>
      </c>
      <c r="BA239" s="183">
        <f t="shared" si="307"/>
        <v>0</v>
      </c>
      <c r="BB239" s="429">
        <f t="shared" si="332"/>
        <v>0</v>
      </c>
      <c r="BC239" s="206">
        <f t="shared" si="276"/>
        <v>37.800000000000004</v>
      </c>
      <c r="BD239" s="206">
        <f t="shared" si="277"/>
        <v>0</v>
      </c>
      <c r="BE239" s="206">
        <f t="shared" si="278"/>
        <v>37.800000000000004</v>
      </c>
      <c r="BF239" s="207">
        <f t="shared" si="279"/>
        <v>0</v>
      </c>
      <c r="BG239" s="219">
        <f t="shared" si="280"/>
        <v>37.799999999999997</v>
      </c>
      <c r="BH239" s="4">
        <f t="shared" si="320"/>
        <v>2002</v>
      </c>
      <c r="BI239" s="4">
        <f t="shared" si="321"/>
        <v>7</v>
      </c>
      <c r="BJ239" s="108">
        <f>C239+[4]MWh!$AJ73</f>
        <v>1839962.8418776137</v>
      </c>
      <c r="BK239" s="108">
        <f t="shared" si="333"/>
        <v>10290.325989172017</v>
      </c>
      <c r="BL239" s="108">
        <f t="shared" si="225"/>
        <v>1829672.5158884416</v>
      </c>
      <c r="BM239" s="189">
        <f t="shared" si="334"/>
        <v>1457.8713856311497</v>
      </c>
      <c r="BN239" s="6">
        <f t="shared" si="335"/>
        <v>1878375</v>
      </c>
      <c r="BO239" s="175">
        <f t="shared" si="226"/>
        <v>10564</v>
      </c>
      <c r="BP239" s="108">
        <f t="shared" si="227"/>
        <v>48976.158122386398</v>
      </c>
      <c r="BQ239" s="76">
        <f t="shared" si="336"/>
        <v>1377.3259439384187</v>
      </c>
      <c r="BR239" s="76">
        <f t="shared" si="337"/>
        <v>1413.9876262730229</v>
      </c>
      <c r="BS239" s="76">
        <f t="shared" si="290"/>
        <v>-68.999270372943556</v>
      </c>
      <c r="BT239" s="175">
        <f t="shared" si="322"/>
        <v>1888939</v>
      </c>
      <c r="BU239" s="108">
        <f t="shared" ref="BU239:BU244" si="341">BT239-BT227</f>
        <v>33190</v>
      </c>
      <c r="BV239" s="120"/>
      <c r="BW239" s="529"/>
      <c r="CK239" s="165">
        <v>37438</v>
      </c>
      <c r="CL239" s="40">
        <f>BP239+COML!BV239+SPA!BV239</f>
        <v>64938.158122386398</v>
      </c>
      <c r="CM239" s="40">
        <f>ROUND('[14]2002'!$D38,0)</f>
        <v>202838</v>
      </c>
      <c r="CN239" s="2">
        <f t="shared" si="239"/>
        <v>-137899.84187761359</v>
      </c>
      <c r="CO239" s="108">
        <f>'[2]FPC wSEB'!$R336</f>
        <v>4104093</v>
      </c>
      <c r="CP239" s="108">
        <f>'[2]FPC wSEB'!$C336-SUM('[2]FPC wSEB'!$K336:$L336)</f>
        <v>3442662</v>
      </c>
      <c r="CQ239" s="108">
        <f>'[2]FPC wSEB'!$T336-'[2]FPC wSEB'!$T335</f>
        <v>122486</v>
      </c>
      <c r="CR239" s="108">
        <f>SUM('[2]FPC wSEB'!$K336:$L336)</f>
        <v>287103</v>
      </c>
      <c r="CS239" s="108">
        <f>('[2]FPC wSEB'!$N336)-CQ239</f>
        <v>18964</v>
      </c>
      <c r="CT239" s="108">
        <f>'[2]FPC wSEB'!$P336</f>
        <v>7518</v>
      </c>
      <c r="CU239" s="108">
        <f>'[2]FPC wSEB'!$Q336</f>
        <v>225360</v>
      </c>
      <c r="CV239" s="115">
        <f t="shared" ref="CV239:CV244" si="342">CO239-SUM(CP239:CU239)</f>
        <v>0</v>
      </c>
      <c r="CW239" s="108">
        <f t="shared" si="240"/>
        <v>4074053</v>
      </c>
      <c r="CX239" s="108">
        <f t="shared" ref="CX239:CX244" si="343">SUM(CP239:CS239)+CL239</f>
        <v>3936153.1581223863</v>
      </c>
      <c r="CY239" s="108">
        <f t="shared" ref="CY239:CY244" si="344">CW239-CX239</f>
        <v>137899.84187761368</v>
      </c>
    </row>
    <row r="240" spans="1:103">
      <c r="A240" s="13">
        <f t="shared" si="299"/>
        <v>2002</v>
      </c>
      <c r="B240" s="13">
        <f t="shared" si="300"/>
        <v>8</v>
      </c>
      <c r="C240" s="5">
        <f>'[2]FPC wSEB'!$D337</f>
        <v>1828668</v>
      </c>
      <c r="D240" s="5">
        <f>'[2]FPC wSEB'!$X337</f>
        <v>1298532</v>
      </c>
      <c r="E240" s="5">
        <f t="shared" si="222"/>
        <v>1818362</v>
      </c>
      <c r="F240" s="5">
        <f t="shared" si="223"/>
        <v>1252528</v>
      </c>
      <c r="G240" s="74">
        <f t="shared" si="269"/>
        <v>1451.8</v>
      </c>
      <c r="H240" s="190">
        <v>10306.394</v>
      </c>
      <c r="I240" s="170">
        <v>46004</v>
      </c>
      <c r="J240" s="230">
        <f>'[7]RES 62 &amp; 67'!$S325</f>
        <v>455.6</v>
      </c>
      <c r="K240" s="183">
        <f t="shared" si="301"/>
        <v>481.4</v>
      </c>
      <c r="L240" s="233">
        <f t="shared" si="338"/>
        <v>25.799999999999955</v>
      </c>
      <c r="M240" s="230">
        <f>'[7]RES 62 &amp; 67'!$J325</f>
        <v>0</v>
      </c>
      <c r="N240" s="183">
        <f t="shared" si="302"/>
        <v>0</v>
      </c>
      <c r="O240" s="236">
        <f t="shared" si="339"/>
        <v>0</v>
      </c>
      <c r="P240" s="206">
        <f t="shared" si="270"/>
        <v>55.727999999999902</v>
      </c>
      <c r="Q240" s="208">
        <f t="shared" si="271"/>
        <v>0</v>
      </c>
      <c r="R240" s="467">
        <f t="shared" si="272"/>
        <v>55.727999999999902</v>
      </c>
      <c r="S240" s="470">
        <f t="shared" si="273"/>
        <v>0</v>
      </c>
      <c r="T240" s="425">
        <f t="shared" si="274"/>
        <v>55.7</v>
      </c>
      <c r="U240" s="579">
        <f>[5]RC!$E120</f>
        <v>1299529</v>
      </c>
      <c r="V240" s="447">
        <v>37469</v>
      </c>
      <c r="W240" s="191">
        <f t="shared" si="259"/>
        <v>1507.5</v>
      </c>
      <c r="X240" s="73">
        <f t="shared" si="260"/>
        <v>1888186</v>
      </c>
      <c r="Y240" s="187">
        <f t="shared" si="291"/>
        <v>10642</v>
      </c>
      <c r="Z240" s="175">
        <f t="shared" si="275"/>
        <v>1898828</v>
      </c>
      <c r="AA240" s="40">
        <f t="shared" si="261"/>
        <v>70160</v>
      </c>
      <c r="AB240" s="519">
        <f>[9]RMWh!$L120</f>
        <v>1904023</v>
      </c>
      <c r="AC240" s="107">
        <f>'[7]Gov 65 &amp; 70'!$B325</f>
        <v>29.7</v>
      </c>
      <c r="AD240" s="4">
        <f t="shared" si="262"/>
        <v>1950181</v>
      </c>
      <c r="AE240" s="4">
        <f t="shared" ref="AE240:AE245" si="345">AD240-AD228</f>
        <v>46629</v>
      </c>
      <c r="AF240" s="23">
        <f t="shared" si="263"/>
        <v>1501.8</v>
      </c>
      <c r="AG240" s="75">
        <f t="shared" si="340"/>
        <v>12.5</v>
      </c>
      <c r="AI240" s="303">
        <f t="shared" si="224"/>
        <v>0.15431365366157837</v>
      </c>
      <c r="AU240" s="4">
        <f t="shared" si="304"/>
        <v>2002</v>
      </c>
      <c r="AV240" s="4">
        <f t="shared" si="305"/>
        <v>8</v>
      </c>
      <c r="AW240" s="230">
        <f>'[8]RES 62 &amp; 67'!$S325</f>
        <v>457.7</v>
      </c>
      <c r="AX240" s="200">
        <f t="shared" si="306"/>
        <v>487.3</v>
      </c>
      <c r="AY240" s="203">
        <f t="shared" si="331"/>
        <v>29.600000000000023</v>
      </c>
      <c r="AZ240" s="230">
        <f>'[8]RES 62 &amp; 67'!$J325</f>
        <v>0</v>
      </c>
      <c r="BA240" s="183">
        <f t="shared" si="307"/>
        <v>0</v>
      </c>
      <c r="BB240" s="429">
        <f t="shared" si="332"/>
        <v>0</v>
      </c>
      <c r="BC240" s="206">
        <f t="shared" si="276"/>
        <v>63.936000000000057</v>
      </c>
      <c r="BD240" s="206">
        <f t="shared" si="277"/>
        <v>0</v>
      </c>
      <c r="BE240" s="206">
        <f t="shared" si="278"/>
        <v>63.936000000000057</v>
      </c>
      <c r="BF240" s="207">
        <f t="shared" si="279"/>
        <v>0</v>
      </c>
      <c r="BG240" s="219">
        <f t="shared" si="280"/>
        <v>63.9</v>
      </c>
      <c r="BH240" s="4">
        <f t="shared" si="320"/>
        <v>2002</v>
      </c>
      <c r="BI240" s="4">
        <f t="shared" si="321"/>
        <v>8</v>
      </c>
      <c r="BJ240" s="108">
        <f>C240+[4]MWh!$AJ74</f>
        <v>1931806.0869721156</v>
      </c>
      <c r="BK240" s="108">
        <f t="shared" si="333"/>
        <v>10887.681451161661</v>
      </c>
      <c r="BL240" s="108">
        <f t="shared" si="225"/>
        <v>1920918.4055209539</v>
      </c>
      <c r="BM240" s="189">
        <f t="shared" si="334"/>
        <v>1597.5331048255641</v>
      </c>
      <c r="BN240" s="6">
        <f t="shared" si="335"/>
        <v>2000955</v>
      </c>
      <c r="BO240" s="175">
        <f t="shared" si="226"/>
        <v>11341</v>
      </c>
      <c r="BP240" s="108">
        <f t="shared" si="227"/>
        <v>80489.91302788441</v>
      </c>
      <c r="BQ240" s="76">
        <f t="shared" si="336"/>
        <v>1487.6846215357923</v>
      </c>
      <c r="BR240" s="76">
        <f t="shared" si="337"/>
        <v>1549.669934972723</v>
      </c>
      <c r="BS240" s="76">
        <f t="shared" si="290"/>
        <v>51.02771751940827</v>
      </c>
      <c r="BT240" s="175">
        <f t="shared" si="322"/>
        <v>2012296</v>
      </c>
      <c r="BU240" s="108">
        <f t="shared" si="341"/>
        <v>96751</v>
      </c>
      <c r="BV240" s="120"/>
      <c r="BW240" s="529"/>
      <c r="CK240" s="165">
        <v>37469</v>
      </c>
      <c r="CL240" s="40">
        <f>BP240+COML!BV240+SPA!BV240</f>
        <v>107324.91302788441</v>
      </c>
      <c r="CM240" s="40">
        <f>ROUND('[14]2002'!$D39,0)</f>
        <v>235237</v>
      </c>
      <c r="CN240" s="2">
        <f t="shared" si="239"/>
        <v>-127912.08697211559</v>
      </c>
      <c r="CO240" s="108">
        <f>'[2]FPC wSEB'!$R337</f>
        <v>4106923</v>
      </c>
      <c r="CP240" s="108">
        <f>'[2]FPC wSEB'!$C337-SUM('[2]FPC wSEB'!$K337:$L337)</f>
        <v>3450733</v>
      </c>
      <c r="CQ240" s="108">
        <f>'[2]FPC wSEB'!$T337-'[2]FPC wSEB'!$T336</f>
        <v>146127</v>
      </c>
      <c r="CR240" s="108">
        <f>SUM('[2]FPC wSEB'!$K337:$L337)</f>
        <v>288968</v>
      </c>
      <c r="CS240" s="108">
        <f>('[2]FPC wSEB'!$N337)-CQ240</f>
        <v>-13462</v>
      </c>
      <c r="CT240" s="108">
        <f>'[2]FPC wSEB'!$P337</f>
        <v>7490</v>
      </c>
      <c r="CU240" s="108">
        <f>'[2]FPC wSEB'!$Q337</f>
        <v>227067</v>
      </c>
      <c r="CV240" s="115">
        <f t="shared" si="342"/>
        <v>0</v>
      </c>
      <c r="CW240" s="108">
        <f t="shared" si="240"/>
        <v>4107603</v>
      </c>
      <c r="CX240" s="108">
        <f t="shared" si="343"/>
        <v>3979690.9130278844</v>
      </c>
      <c r="CY240" s="108">
        <f t="shared" si="344"/>
        <v>127912.08697211556</v>
      </c>
    </row>
    <row r="241" spans="1:103">
      <c r="A241" s="13">
        <f t="shared" si="299"/>
        <v>2002</v>
      </c>
      <c r="B241" s="13">
        <f t="shared" si="300"/>
        <v>9</v>
      </c>
      <c r="C241" s="5">
        <f>'[2]FPC wSEB'!$D338</f>
        <v>1894109</v>
      </c>
      <c r="D241" s="5">
        <f>'[2]FPC wSEB'!$X338</f>
        <v>1314767</v>
      </c>
      <c r="E241" s="5">
        <f t="shared" si="222"/>
        <v>1882723</v>
      </c>
      <c r="F241" s="5">
        <f t="shared" si="223"/>
        <v>1268441</v>
      </c>
      <c r="G241" s="74">
        <f t="shared" si="269"/>
        <v>1484.3</v>
      </c>
      <c r="H241" s="190">
        <v>11386.406999999999</v>
      </c>
      <c r="I241" s="170">
        <v>46326</v>
      </c>
      <c r="J241" s="230">
        <f>'[7]RES 62 &amp; 67'!$S326</f>
        <v>455.4</v>
      </c>
      <c r="K241" s="183">
        <f t="shared" si="301"/>
        <v>473.7</v>
      </c>
      <c r="L241" s="233">
        <f t="shared" si="338"/>
        <v>18.300000000000011</v>
      </c>
      <c r="M241" s="230">
        <f>'[7]RES 62 &amp; 67'!$J326</f>
        <v>0</v>
      </c>
      <c r="N241" s="183">
        <f t="shared" si="302"/>
        <v>0</v>
      </c>
      <c r="O241" s="236">
        <f t="shared" si="339"/>
        <v>0</v>
      </c>
      <c r="P241" s="206">
        <f t="shared" si="270"/>
        <v>39.528000000000027</v>
      </c>
      <c r="Q241" s="208">
        <f t="shared" si="271"/>
        <v>0</v>
      </c>
      <c r="R241" s="467">
        <f t="shared" si="272"/>
        <v>39.528000000000027</v>
      </c>
      <c r="S241" s="470">
        <f t="shared" si="273"/>
        <v>0</v>
      </c>
      <c r="T241" s="425">
        <f t="shared" si="274"/>
        <v>39.5</v>
      </c>
      <c r="U241" s="579">
        <f>[5]RC!$E121</f>
        <v>1301799</v>
      </c>
      <c r="V241" s="447">
        <v>37500</v>
      </c>
      <c r="W241" s="191">
        <f t="shared" si="259"/>
        <v>1523.8</v>
      </c>
      <c r="X241" s="73">
        <f t="shared" si="260"/>
        <v>1932850</v>
      </c>
      <c r="Y241" s="187">
        <f t="shared" si="291"/>
        <v>11619</v>
      </c>
      <c r="Z241" s="175">
        <f t="shared" si="275"/>
        <v>1944469</v>
      </c>
      <c r="AA241" s="40">
        <f t="shared" si="261"/>
        <v>50360</v>
      </c>
      <c r="AB241" s="519">
        <f>[9]RMWh!$L121</f>
        <v>1925313</v>
      </c>
      <c r="AC241" s="107">
        <f>'[7]Gov 65 &amp; 70'!$B326</f>
        <v>30.55</v>
      </c>
      <c r="AD241" s="4">
        <f t="shared" si="262"/>
        <v>1917120</v>
      </c>
      <c r="AE241" s="4">
        <f t="shared" si="345"/>
        <v>128539</v>
      </c>
      <c r="AF241" s="23">
        <f t="shared" si="263"/>
        <v>1458.1</v>
      </c>
      <c r="AG241" s="75">
        <f t="shared" si="340"/>
        <v>60.399999999999864</v>
      </c>
      <c r="AI241" s="303">
        <f t="shared" si="224"/>
        <v>0.16559232848781194</v>
      </c>
      <c r="AU241" s="4">
        <f t="shared" si="304"/>
        <v>2002</v>
      </c>
      <c r="AV241" s="4">
        <f t="shared" si="305"/>
        <v>9</v>
      </c>
      <c r="AW241" s="230">
        <f>'[8]RES 62 &amp; 67'!$S326</f>
        <v>453.6</v>
      </c>
      <c r="AX241" s="200">
        <f t="shared" si="306"/>
        <v>428.3</v>
      </c>
      <c r="AY241" s="203">
        <f t="shared" si="331"/>
        <v>-25.300000000000011</v>
      </c>
      <c r="AZ241" s="230">
        <f>'[8]RES 62 &amp; 67'!$J326</f>
        <v>0</v>
      </c>
      <c r="BA241" s="183">
        <f t="shared" si="307"/>
        <v>0</v>
      </c>
      <c r="BB241" s="429">
        <f t="shared" si="332"/>
        <v>0</v>
      </c>
      <c r="BC241" s="206">
        <f t="shared" si="276"/>
        <v>-54.648000000000032</v>
      </c>
      <c r="BD241" s="206">
        <f t="shared" si="277"/>
        <v>0</v>
      </c>
      <c r="BE241" s="206">
        <f t="shared" si="278"/>
        <v>-54.648000000000032</v>
      </c>
      <c r="BF241" s="207">
        <f t="shared" si="279"/>
        <v>0</v>
      </c>
      <c r="BG241" s="219">
        <f t="shared" si="280"/>
        <v>-54.6</v>
      </c>
      <c r="BH241" s="4">
        <f t="shared" si="320"/>
        <v>2002</v>
      </c>
      <c r="BI241" s="4">
        <f t="shared" si="321"/>
        <v>9</v>
      </c>
      <c r="BJ241" s="108">
        <f>C241+[4]MWh!$AJ75</f>
        <v>1848482.0244884363</v>
      </c>
      <c r="BK241" s="108">
        <f t="shared" si="333"/>
        <v>11112.121141396457</v>
      </c>
      <c r="BL241" s="108">
        <f t="shared" si="225"/>
        <v>1837369.9033470398</v>
      </c>
      <c r="BM241" s="189">
        <f t="shared" si="334"/>
        <v>1393.9261067302618</v>
      </c>
      <c r="BN241" s="6">
        <f t="shared" si="335"/>
        <v>1768113</v>
      </c>
      <c r="BO241" s="175">
        <f t="shared" si="226"/>
        <v>10693</v>
      </c>
      <c r="BP241" s="108">
        <f t="shared" si="227"/>
        <v>-69676.024488436291</v>
      </c>
      <c r="BQ241" s="76">
        <f t="shared" si="336"/>
        <v>1405.9388655848804</v>
      </c>
      <c r="BR241" s="76">
        <f t="shared" si="337"/>
        <v>1352.9439056502026</v>
      </c>
      <c r="BS241" s="76">
        <f t="shared" si="290"/>
        <v>-86.52584856838962</v>
      </c>
      <c r="BT241" s="175">
        <f t="shared" si="322"/>
        <v>1778806</v>
      </c>
      <c r="BU241" s="108">
        <f t="shared" si="341"/>
        <v>-63187</v>
      </c>
      <c r="BV241" s="120"/>
      <c r="BW241" s="529"/>
      <c r="CK241" s="165">
        <v>37500</v>
      </c>
      <c r="CL241" s="40">
        <f>BP241+COML!BV241+SPA!BV241</f>
        <v>-92819.024488436291</v>
      </c>
      <c r="CM241" s="40">
        <f>ROUND('[14]2002'!$D40,0)</f>
        <v>-69446</v>
      </c>
      <c r="CN241" s="2">
        <f t="shared" si="239"/>
        <v>-23373.024488436291</v>
      </c>
      <c r="CO241" s="108">
        <f>'[2]FPC wSEB'!$R338</f>
        <v>4066649</v>
      </c>
      <c r="CP241" s="108">
        <f>'[2]FPC wSEB'!$C338-SUM('[2]FPC wSEB'!$K338:$L338)</f>
        <v>3558821</v>
      </c>
      <c r="CQ241" s="108">
        <f>'[2]FPC wSEB'!$T338-'[2]FPC wSEB'!$T337</f>
        <v>-95045</v>
      </c>
      <c r="CR241" s="108">
        <f>SUM('[2]FPC wSEB'!$K338:$L338)</f>
        <v>289155</v>
      </c>
      <c r="CS241" s="108">
        <f>('[2]FPC wSEB'!$N338)-CQ241</f>
        <v>35455</v>
      </c>
      <c r="CT241" s="108">
        <f>'[2]FPC wSEB'!$P338</f>
        <v>9987</v>
      </c>
      <c r="CU241" s="108">
        <f>'[2]FPC wSEB'!$Q338</f>
        <v>268276</v>
      </c>
      <c r="CV241" s="115">
        <f t="shared" si="342"/>
        <v>0</v>
      </c>
      <c r="CW241" s="108">
        <f t="shared" ref="CW241:CW246" si="346">CO241-CT241-CU241+CM241</f>
        <v>3718940</v>
      </c>
      <c r="CX241" s="108">
        <f t="shared" si="343"/>
        <v>3695566.9755115639</v>
      </c>
      <c r="CY241" s="108">
        <f t="shared" si="344"/>
        <v>23373.024488436058</v>
      </c>
    </row>
    <row r="242" spans="1:103">
      <c r="A242" s="13">
        <f t="shared" si="299"/>
        <v>2002</v>
      </c>
      <c r="B242" s="13">
        <f t="shared" si="300"/>
        <v>10</v>
      </c>
      <c r="C242" s="5">
        <f>'[2]FPC wSEB'!$D339</f>
        <v>1717827</v>
      </c>
      <c r="D242" s="5">
        <f>'[2]FPC wSEB'!$X339</f>
        <v>1263182</v>
      </c>
      <c r="E242" s="5">
        <f t="shared" si="222"/>
        <v>1705882</v>
      </c>
      <c r="F242" s="5">
        <f t="shared" si="223"/>
        <v>1219683</v>
      </c>
      <c r="G242" s="74">
        <f t="shared" si="269"/>
        <v>1398.6</v>
      </c>
      <c r="H242" s="190">
        <v>11945.492</v>
      </c>
      <c r="I242" s="170">
        <v>43499</v>
      </c>
      <c r="J242" s="230">
        <f>'[7]RES 62 &amp; 67'!$S327</f>
        <v>420.7</v>
      </c>
      <c r="K242" s="183">
        <f t="shared" si="301"/>
        <v>373.2</v>
      </c>
      <c r="L242" s="233">
        <f t="shared" si="338"/>
        <v>-47.5</v>
      </c>
      <c r="M242" s="230">
        <f>'[7]RES 62 &amp; 67'!$J327</f>
        <v>0.6</v>
      </c>
      <c r="N242" s="183">
        <f t="shared" si="302"/>
        <v>1.3</v>
      </c>
      <c r="O242" s="236">
        <f t="shared" si="339"/>
        <v>0.70000000000000007</v>
      </c>
      <c r="P242" s="206">
        <f t="shared" si="270"/>
        <v>-102.60000000000001</v>
      </c>
      <c r="Q242" s="208">
        <f t="shared" si="271"/>
        <v>0</v>
      </c>
      <c r="R242" s="467">
        <f t="shared" si="272"/>
        <v>-102.60000000000001</v>
      </c>
      <c r="S242" s="470">
        <f t="shared" si="273"/>
        <v>1.8970000000000002</v>
      </c>
      <c r="T242" s="425">
        <f t="shared" si="274"/>
        <v>-100.7</v>
      </c>
      <c r="U242" s="579">
        <f>[5]RC!$E122</f>
        <v>1304134</v>
      </c>
      <c r="V242" s="447">
        <v>37530</v>
      </c>
      <c r="W242" s="191">
        <f t="shared" si="259"/>
        <v>1297.8999999999999</v>
      </c>
      <c r="X242" s="73">
        <f t="shared" si="260"/>
        <v>1583027</v>
      </c>
      <c r="Y242" s="187">
        <f t="shared" si="291"/>
        <v>11008</v>
      </c>
      <c r="Z242" s="175">
        <f t="shared" si="275"/>
        <v>1594035</v>
      </c>
      <c r="AA242" s="40">
        <f t="shared" si="261"/>
        <v>-123792</v>
      </c>
      <c r="AB242" s="519">
        <f>[9]RMWh!$L122</f>
        <v>1643826</v>
      </c>
      <c r="AC242" s="107">
        <f>'[7]Gov 65 &amp; 70'!$B327</f>
        <v>29.65</v>
      </c>
      <c r="AD242" s="4">
        <f t="shared" si="262"/>
        <v>1686516</v>
      </c>
      <c r="AE242" s="4">
        <f t="shared" si="345"/>
        <v>45178</v>
      </c>
      <c r="AF242" s="23">
        <f t="shared" si="263"/>
        <v>1335.1</v>
      </c>
      <c r="AG242" s="75">
        <f t="shared" si="340"/>
        <v>45.899999999999864</v>
      </c>
      <c r="AI242" s="303">
        <f t="shared" si="224"/>
        <v>0.19635015336065939</v>
      </c>
      <c r="AU242" s="4">
        <f t="shared" si="304"/>
        <v>2002</v>
      </c>
      <c r="AV242" s="4">
        <f t="shared" si="305"/>
        <v>10</v>
      </c>
      <c r="AW242" s="230">
        <f>'[8]RES 62 &amp; 67'!$S327</f>
        <v>349.9</v>
      </c>
      <c r="AX242" s="200">
        <f t="shared" si="306"/>
        <v>277.60000000000002</v>
      </c>
      <c r="AY242" s="203">
        <f t="shared" ref="AY242:AY247" si="347">AX242-AW242</f>
        <v>-72.299999999999955</v>
      </c>
      <c r="AZ242" s="230">
        <f>'[8]RES 62 &amp; 67'!$J327</f>
        <v>2.2999999999999998</v>
      </c>
      <c r="BA242" s="183">
        <f t="shared" si="307"/>
        <v>8.5</v>
      </c>
      <c r="BB242" s="429">
        <f t="shared" si="332"/>
        <v>6.2</v>
      </c>
      <c r="BC242" s="206">
        <f t="shared" si="276"/>
        <v>-156.16799999999992</v>
      </c>
      <c r="BD242" s="206">
        <f t="shared" si="277"/>
        <v>0</v>
      </c>
      <c r="BE242" s="206">
        <f t="shared" si="278"/>
        <v>-156.16799999999992</v>
      </c>
      <c r="BF242" s="207">
        <f t="shared" si="279"/>
        <v>16.802</v>
      </c>
      <c r="BG242" s="219">
        <f t="shared" si="280"/>
        <v>-139.4</v>
      </c>
      <c r="BH242" s="4">
        <f t="shared" si="320"/>
        <v>2002</v>
      </c>
      <c r="BI242" s="4">
        <f t="shared" si="321"/>
        <v>10</v>
      </c>
      <c r="BJ242" s="108">
        <f>C242+[4]MWh!$AJ76</f>
        <v>1700292.1117489862</v>
      </c>
      <c r="BK242" s="108">
        <f t="shared" si="333"/>
        <v>11823.557214178505</v>
      </c>
      <c r="BL242" s="108">
        <f t="shared" si="225"/>
        <v>1688468.5545348076</v>
      </c>
      <c r="BM242" s="189">
        <f t="shared" si="334"/>
        <v>1244.950322612357</v>
      </c>
      <c r="BN242" s="6">
        <f t="shared" si="335"/>
        <v>1518445</v>
      </c>
      <c r="BO242" s="175">
        <f t="shared" si="226"/>
        <v>10633</v>
      </c>
      <c r="BP242" s="108">
        <f t="shared" si="227"/>
        <v>-171214.11174898606</v>
      </c>
      <c r="BQ242" s="76">
        <f t="shared" si="336"/>
        <v>1346.0389015589094</v>
      </c>
      <c r="BR242" s="76">
        <f t="shared" si="337"/>
        <v>1210.4969830159073</v>
      </c>
      <c r="BS242" s="76">
        <f t="shared" si="290"/>
        <v>156.93122111668094</v>
      </c>
      <c r="BT242" s="175">
        <f t="shared" si="322"/>
        <v>1529078</v>
      </c>
      <c r="BU242" s="108">
        <f t="shared" si="341"/>
        <v>187775</v>
      </c>
      <c r="BW242" s="529"/>
      <c r="CK242" s="165">
        <v>37530</v>
      </c>
      <c r="CL242" s="40">
        <f>BP242+COML!BV242+SPA!BV242</f>
        <v>-236669.11174898606</v>
      </c>
      <c r="CM242" s="40">
        <f>ROUND('[14]2002'!$D41,0)</f>
        <v>-263410</v>
      </c>
      <c r="CN242" s="2">
        <f t="shared" si="239"/>
        <v>26740.888251013937</v>
      </c>
      <c r="CO242" s="108">
        <f>'[2]FPC wSEB'!$R339</f>
        <v>3854849</v>
      </c>
      <c r="CP242" s="108">
        <f>'[2]FPC wSEB'!$C339-SUM('[2]FPC wSEB'!$K339:$L339)</f>
        <v>3304901</v>
      </c>
      <c r="CQ242" s="108">
        <f>'[2]FPC wSEB'!$T339-'[2]FPC wSEB'!$T338</f>
        <v>15772</v>
      </c>
      <c r="CR242" s="108">
        <f>SUM('[2]FPC wSEB'!$K339:$L339)</f>
        <v>320131</v>
      </c>
      <c r="CS242" s="108">
        <f>('[2]FPC wSEB'!$N339)-CQ242</f>
        <v>8088</v>
      </c>
      <c r="CT242" s="108">
        <f>'[2]FPC wSEB'!$P339</f>
        <v>10516</v>
      </c>
      <c r="CU242" s="108">
        <f>'[2]FPC wSEB'!$Q339</f>
        <v>195441</v>
      </c>
      <c r="CV242" s="115">
        <f t="shared" si="342"/>
        <v>0</v>
      </c>
      <c r="CW242" s="108">
        <f t="shared" si="346"/>
        <v>3385482</v>
      </c>
      <c r="CX242" s="108">
        <f t="shared" si="343"/>
        <v>3412222.8882510141</v>
      </c>
      <c r="CY242" s="108">
        <f t="shared" si="344"/>
        <v>-26740.888251014054</v>
      </c>
    </row>
    <row r="243" spans="1:103">
      <c r="A243" s="13">
        <f t="shared" si="299"/>
        <v>2002</v>
      </c>
      <c r="B243" s="13">
        <f t="shared" si="300"/>
        <v>11</v>
      </c>
      <c r="C243" s="5">
        <f>'[2]FPC wSEB'!$D340</f>
        <v>1543608</v>
      </c>
      <c r="D243" s="5">
        <f>'[2]FPC wSEB'!$X340</f>
        <v>1380145</v>
      </c>
      <c r="E243" s="5">
        <f t="shared" si="222"/>
        <v>1526479</v>
      </c>
      <c r="F243" s="5">
        <f t="shared" si="223"/>
        <v>1331874</v>
      </c>
      <c r="G243" s="74">
        <f t="shared" si="269"/>
        <v>1146.0999999999999</v>
      </c>
      <c r="H243" s="190">
        <v>17128.667000000001</v>
      </c>
      <c r="I243" s="170">
        <v>48271</v>
      </c>
      <c r="J243" s="230">
        <f>'[7]RES 62 &amp; 67'!$S328</f>
        <v>260.39999999999998</v>
      </c>
      <c r="K243" s="183">
        <f t="shared" si="301"/>
        <v>204.3</v>
      </c>
      <c r="L243" s="233">
        <f t="shared" si="338"/>
        <v>-56.099999999999966</v>
      </c>
      <c r="M243" s="230">
        <f>'[7]RES 62 &amp; 67'!$J328</f>
        <v>17.7</v>
      </c>
      <c r="N243" s="183">
        <f t="shared" si="302"/>
        <v>24.1</v>
      </c>
      <c r="O243" s="236">
        <f t="shared" si="339"/>
        <v>6.4000000000000021</v>
      </c>
      <c r="P243" s="206">
        <f t="shared" si="270"/>
        <v>-121.17599999999993</v>
      </c>
      <c r="Q243" s="208">
        <f t="shared" si="271"/>
        <v>0</v>
      </c>
      <c r="R243" s="467">
        <f t="shared" si="272"/>
        <v>-121.17599999999993</v>
      </c>
      <c r="S243" s="470">
        <f t="shared" si="273"/>
        <v>17.344000000000005</v>
      </c>
      <c r="T243" s="425">
        <f t="shared" si="274"/>
        <v>-103.8</v>
      </c>
      <c r="U243" s="579">
        <f>[5]RC!$E123</f>
        <v>1310475</v>
      </c>
      <c r="V243" s="447">
        <v>37561</v>
      </c>
      <c r="W243" s="191">
        <f t="shared" si="259"/>
        <v>1042.3</v>
      </c>
      <c r="X243" s="73">
        <f t="shared" si="260"/>
        <v>1388212</v>
      </c>
      <c r="Y243" s="187">
        <f t="shared" si="291"/>
        <v>15404</v>
      </c>
      <c r="Z243" s="175">
        <f t="shared" si="275"/>
        <v>1403616</v>
      </c>
      <c r="AA243" s="40">
        <f t="shared" si="261"/>
        <v>-139992</v>
      </c>
      <c r="AB243" s="519">
        <f>[9]RMWh!$L123</f>
        <v>1349589</v>
      </c>
      <c r="AC243" s="107">
        <f>'[7]Gov 65 &amp; 70'!$B328</f>
        <v>31.55</v>
      </c>
      <c r="AD243" s="4">
        <f t="shared" si="262"/>
        <v>1301252</v>
      </c>
      <c r="AE243" s="4">
        <f t="shared" si="345"/>
        <v>62727</v>
      </c>
      <c r="AF243" s="23">
        <f t="shared" si="263"/>
        <v>942.8</v>
      </c>
      <c r="AG243" s="75">
        <f t="shared" si="340"/>
        <v>3.5999999999999091</v>
      </c>
      <c r="AI243" s="303">
        <f t="shared" si="224"/>
        <v>0.30960984206154923</v>
      </c>
      <c r="AU243" s="4">
        <f t="shared" si="304"/>
        <v>2002</v>
      </c>
      <c r="AV243" s="4">
        <f t="shared" si="305"/>
        <v>11</v>
      </c>
      <c r="AW243" s="230">
        <f>'[8]RES 62 &amp; 67'!$S328</f>
        <v>89.7</v>
      </c>
      <c r="AX243" s="200">
        <f t="shared" si="306"/>
        <v>110.2</v>
      </c>
      <c r="AY243" s="203">
        <f t="shared" si="347"/>
        <v>20.5</v>
      </c>
      <c r="AZ243" s="230">
        <f>'[8]RES 62 &amp; 67'!$J328</f>
        <v>81.400000000000006</v>
      </c>
      <c r="BA243" s="183">
        <f t="shared" si="307"/>
        <v>45.3</v>
      </c>
      <c r="BB243" s="429">
        <f t="shared" ref="BB243:BB248" si="348">BA243-AZ243</f>
        <v>-36.100000000000009</v>
      </c>
      <c r="BC243" s="206">
        <f t="shared" si="276"/>
        <v>44.28</v>
      </c>
      <c r="BD243" s="206">
        <f t="shared" si="277"/>
        <v>-6.2524999999999995</v>
      </c>
      <c r="BE243" s="206">
        <f t="shared" si="278"/>
        <v>38.027500000000003</v>
      </c>
      <c r="BF243" s="207">
        <f t="shared" si="279"/>
        <v>-97.831000000000017</v>
      </c>
      <c r="BG243" s="219">
        <f t="shared" si="280"/>
        <v>-59.8</v>
      </c>
      <c r="BH243" s="4">
        <f t="shared" si="320"/>
        <v>2002</v>
      </c>
      <c r="BI243" s="4">
        <f t="shared" si="321"/>
        <v>11</v>
      </c>
      <c r="BJ243" s="108">
        <f>C243+[4]MWh!$AJ77</f>
        <v>1212016.3086860855</v>
      </c>
      <c r="BK243" s="108">
        <f t="shared" si="333"/>
        <v>13449.155323147565</v>
      </c>
      <c r="BL243" s="108">
        <f t="shared" si="225"/>
        <v>1198567.153362938</v>
      </c>
      <c r="BM243" s="189">
        <f t="shared" si="334"/>
        <v>840.11031686401122</v>
      </c>
      <c r="BN243" s="6">
        <f t="shared" si="335"/>
        <v>1118921</v>
      </c>
      <c r="BO243" s="175">
        <f t="shared" si="226"/>
        <v>12555</v>
      </c>
      <c r="BP243" s="108">
        <f t="shared" si="227"/>
        <v>-80540.30868608554</v>
      </c>
      <c r="BQ243" s="76">
        <f t="shared" si="336"/>
        <v>878.18041487386142</v>
      </c>
      <c r="BR243" s="76">
        <f t="shared" si="337"/>
        <v>819.82400399957976</v>
      </c>
      <c r="BS243" s="76">
        <f t="shared" si="290"/>
        <v>-26.601842921445041</v>
      </c>
      <c r="BT243" s="175">
        <f t="shared" si="322"/>
        <v>1131476</v>
      </c>
      <c r="BU243" s="108">
        <f t="shared" si="341"/>
        <v>15279</v>
      </c>
      <c r="BW243" s="529"/>
      <c r="CK243" s="165">
        <v>37561</v>
      </c>
      <c r="CL243" s="40">
        <f>BP243+COML!BV243+SPA!BV243</f>
        <v>-71387.30868608554</v>
      </c>
      <c r="CM243" s="40">
        <f>ROUND('[14]2002'!$D42,0)</f>
        <v>-5466</v>
      </c>
      <c r="CN243" s="2">
        <f t="shared" si="239"/>
        <v>-65921.30868608554</v>
      </c>
      <c r="CO243" s="108">
        <f>'[2]FPC wSEB'!$R340</f>
        <v>2987674</v>
      </c>
      <c r="CP243" s="108">
        <f>'[2]FPC wSEB'!$C340-SUM('[2]FPC wSEB'!$K340:$L340)</f>
        <v>3153699</v>
      </c>
      <c r="CQ243" s="108">
        <f>'[2]FPC wSEB'!$T340-'[2]FPC wSEB'!$T339</f>
        <v>-548419</v>
      </c>
      <c r="CR243" s="108">
        <f>SUM('[2]FPC wSEB'!$K340:$L340)</f>
        <v>347368</v>
      </c>
      <c r="CS243" s="108">
        <f>('[2]FPC wSEB'!$N340)-CQ243</f>
        <v>-100806</v>
      </c>
      <c r="CT243" s="108">
        <f>'[2]FPC wSEB'!$P340</f>
        <v>14801</v>
      </c>
      <c r="CU243" s="108">
        <f>'[2]FPC wSEB'!$Q340</f>
        <v>121031</v>
      </c>
      <c r="CV243" s="115">
        <f t="shared" si="342"/>
        <v>0</v>
      </c>
      <c r="CW243" s="108">
        <f t="shared" si="346"/>
        <v>2846376</v>
      </c>
      <c r="CX243" s="108">
        <f t="shared" si="343"/>
        <v>2780454.6913139145</v>
      </c>
      <c r="CY243" s="108">
        <f t="shared" si="344"/>
        <v>65921.308686085511</v>
      </c>
    </row>
    <row r="244" spans="1:103" s="89" customFormat="1" ht="12.75">
      <c r="A244" s="90">
        <f t="shared" si="299"/>
        <v>2002</v>
      </c>
      <c r="B244" s="90">
        <f t="shared" si="300"/>
        <v>12</v>
      </c>
      <c r="C244" s="103">
        <f>'[2]FPC wSEB'!$D341</f>
        <v>1414265</v>
      </c>
      <c r="D244" s="103">
        <f>'[2]FPC wSEB'!$X341</f>
        <v>1290805</v>
      </c>
      <c r="E244" s="103">
        <f t="shared" si="222"/>
        <v>1391335</v>
      </c>
      <c r="F244" s="103">
        <f t="shared" si="223"/>
        <v>1246129</v>
      </c>
      <c r="G244" s="109">
        <f t="shared" si="269"/>
        <v>1116.5</v>
      </c>
      <c r="H244" s="196">
        <v>22929.603999999999</v>
      </c>
      <c r="I244" s="197">
        <v>44676</v>
      </c>
      <c r="J244" s="300">
        <f>'[7]RES 62 &amp; 67'!$S329</f>
        <v>51.4</v>
      </c>
      <c r="K244" s="210">
        <f t="shared" si="301"/>
        <v>88</v>
      </c>
      <c r="L244" s="234">
        <f t="shared" si="338"/>
        <v>36.6</v>
      </c>
      <c r="M244" s="300">
        <f>'[7]RES 62 &amp; 67'!$J329</f>
        <v>127</v>
      </c>
      <c r="N244" s="210">
        <f t="shared" si="302"/>
        <v>83.9</v>
      </c>
      <c r="O244" s="237">
        <f t="shared" si="339"/>
        <v>-43.099999999999994</v>
      </c>
      <c r="P244" s="211">
        <f t="shared" si="270"/>
        <v>79.056000000000012</v>
      </c>
      <c r="Q244" s="211">
        <f t="shared" si="271"/>
        <v>-22.326000000000001</v>
      </c>
      <c r="R244" s="468">
        <f t="shared" si="272"/>
        <v>56.730000000000011</v>
      </c>
      <c r="S244" s="471">
        <f t="shared" si="273"/>
        <v>-116.80099999999999</v>
      </c>
      <c r="T244" s="426">
        <f t="shared" si="274"/>
        <v>-60.1</v>
      </c>
      <c r="U244" s="579">
        <f>[5]RC!$E124</f>
        <v>1316369</v>
      </c>
      <c r="V244" s="447">
        <v>37591</v>
      </c>
      <c r="W244" s="95">
        <f t="shared" si="259"/>
        <v>1056.4000000000001</v>
      </c>
      <c r="X244" s="104">
        <f t="shared" si="260"/>
        <v>1316411</v>
      </c>
      <c r="Y244" s="198">
        <f t="shared" si="291"/>
        <v>21343</v>
      </c>
      <c r="Z244" s="176">
        <f t="shared" si="275"/>
        <v>1337754</v>
      </c>
      <c r="AA244" s="116">
        <f t="shared" si="261"/>
        <v>-76511</v>
      </c>
      <c r="AB244" s="520">
        <f>[9]RMWh!$L124</f>
        <v>1344329</v>
      </c>
      <c r="AC244" s="110">
        <f>'[7]Gov 65 &amp; 70'!$B329</f>
        <v>31.75</v>
      </c>
      <c r="AD244" s="89">
        <f t="shared" si="262"/>
        <v>1288015</v>
      </c>
      <c r="AE244" s="89">
        <f t="shared" si="345"/>
        <v>40482</v>
      </c>
      <c r="AF244" s="89">
        <f t="shared" si="263"/>
        <v>997.8</v>
      </c>
      <c r="AG244" s="91">
        <f t="shared" si="340"/>
        <v>11.399999999999977</v>
      </c>
      <c r="AH244" s="252"/>
      <c r="AI244" s="304">
        <f t="shared" si="224"/>
        <v>0.45968840005906886</v>
      </c>
      <c r="AU244" s="89">
        <f t="shared" si="304"/>
        <v>2002</v>
      </c>
      <c r="AV244" s="89">
        <f t="shared" si="305"/>
        <v>12</v>
      </c>
      <c r="AW244" s="300">
        <f>'[8]RES 62 &amp; 67'!$S329</f>
        <v>25.1</v>
      </c>
      <c r="AX244" s="210">
        <f t="shared" si="306"/>
        <v>53.2</v>
      </c>
      <c r="AY244" s="204">
        <f t="shared" si="347"/>
        <v>28.1</v>
      </c>
      <c r="AZ244" s="300">
        <f>'[8]RES 62 &amp; 67'!$J329</f>
        <v>160.6</v>
      </c>
      <c r="BA244" s="210">
        <f t="shared" si="307"/>
        <v>114.1</v>
      </c>
      <c r="BB244" s="430">
        <f t="shared" si="348"/>
        <v>-46.5</v>
      </c>
      <c r="BC244" s="211">
        <f t="shared" si="276"/>
        <v>60.696000000000005</v>
      </c>
      <c r="BD244" s="211">
        <f t="shared" si="277"/>
        <v>-17.141000000000002</v>
      </c>
      <c r="BE244" s="211">
        <f t="shared" si="278"/>
        <v>43.555000000000007</v>
      </c>
      <c r="BF244" s="212">
        <f t="shared" si="279"/>
        <v>-126.015</v>
      </c>
      <c r="BG244" s="220">
        <f t="shared" si="280"/>
        <v>-82.5</v>
      </c>
      <c r="BH244" s="89">
        <f t="shared" si="320"/>
        <v>2002</v>
      </c>
      <c r="BI244" s="89">
        <f t="shared" si="321"/>
        <v>12</v>
      </c>
      <c r="BJ244" s="117">
        <f>C244+[4]MWh!$AJ78</f>
        <v>1393096.1853834961</v>
      </c>
      <c r="BK244" s="117">
        <f t="shared" si="333"/>
        <v>22586.392129306852</v>
      </c>
      <c r="BL244" s="117">
        <f t="shared" si="225"/>
        <v>1370509.7932541892</v>
      </c>
      <c r="BM244" s="199">
        <f t="shared" si="334"/>
        <v>1017.3137377865287</v>
      </c>
      <c r="BN244" s="96">
        <f t="shared" si="335"/>
        <v>1267704</v>
      </c>
      <c r="BO244" s="176">
        <f t="shared" si="226"/>
        <v>20892</v>
      </c>
      <c r="BP244" s="117">
        <f t="shared" si="227"/>
        <v>-104500.18538349605</v>
      </c>
      <c r="BQ244" s="92">
        <f t="shared" si="336"/>
        <v>1079.2460405587956</v>
      </c>
      <c r="BR244" s="92">
        <f t="shared" si="337"/>
        <v>998.28866482543845</v>
      </c>
      <c r="BS244" s="92">
        <f t="shared" si="290"/>
        <v>56.235683383887249</v>
      </c>
      <c r="BT244" s="176">
        <f t="shared" si="322"/>
        <v>1288596</v>
      </c>
      <c r="BU244" s="117">
        <f t="shared" si="341"/>
        <v>97175</v>
      </c>
      <c r="BW244" s="529"/>
      <c r="CK244" s="166">
        <v>37591</v>
      </c>
      <c r="CL244" s="116">
        <f>BP244+COML!BV244+SPA!BV244</f>
        <v>-90720.185383496049</v>
      </c>
      <c r="CM244" s="116">
        <f>ROUND('[14]2002'!$D43,0)</f>
        <v>-3089</v>
      </c>
      <c r="CN244" s="1">
        <f t="shared" si="239"/>
        <v>-87631.185383496049</v>
      </c>
      <c r="CO244" s="117">
        <f>'[2]FPC wSEB'!$R341</f>
        <v>3295021</v>
      </c>
      <c r="CP244" s="117">
        <f>'[2]FPC wSEB'!$C341-SUM('[2]FPC wSEB'!$K341:$L341)</f>
        <v>2849598</v>
      </c>
      <c r="CQ244" s="117">
        <f>'[2]FPC wSEB'!$T341-'[2]FPC wSEB'!$T340</f>
        <v>-63815</v>
      </c>
      <c r="CR244" s="117">
        <f>SUM('[2]FPC wSEB'!$K341:$L341)</f>
        <v>229222</v>
      </c>
      <c r="CS244" s="117">
        <f>('[2]FPC wSEB'!$N341)-CQ244</f>
        <v>4559</v>
      </c>
      <c r="CT244" s="117">
        <f>'[2]FPC wSEB'!$P341</f>
        <v>7452</v>
      </c>
      <c r="CU244" s="117">
        <f>'[2]FPC wSEB'!$Q341</f>
        <v>268005</v>
      </c>
      <c r="CV244" s="118">
        <f t="shared" si="342"/>
        <v>0</v>
      </c>
      <c r="CW244" s="117">
        <f t="shared" si="346"/>
        <v>3016475</v>
      </c>
      <c r="CX244" s="117">
        <f t="shared" si="343"/>
        <v>2928843.8146165041</v>
      </c>
      <c r="CY244" s="117">
        <f t="shared" si="344"/>
        <v>87631.185383495875</v>
      </c>
    </row>
    <row r="245" spans="1:103">
      <c r="A245" s="13">
        <f t="shared" si="299"/>
        <v>2003</v>
      </c>
      <c r="B245" s="13">
        <f t="shared" si="300"/>
        <v>1</v>
      </c>
      <c r="C245" s="5">
        <f>'[2]FPC wSEB'!$D342</f>
        <v>1752347</v>
      </c>
      <c r="D245" s="5">
        <f>'[2]FPC wSEB'!$X342</f>
        <v>1314997</v>
      </c>
      <c r="E245" s="5">
        <f t="shared" si="222"/>
        <v>1718255</v>
      </c>
      <c r="F245" s="5">
        <f t="shared" si="223"/>
        <v>1269869</v>
      </c>
      <c r="G245" s="74">
        <f t="shared" si="269"/>
        <v>1353.1</v>
      </c>
      <c r="H245" s="190">
        <v>34091.942999999999</v>
      </c>
      <c r="I245" s="170">
        <v>45128</v>
      </c>
      <c r="J245" s="230">
        <f>'[7]RES 62 &amp; 67'!$S330</f>
        <v>17.3</v>
      </c>
      <c r="K245" s="183">
        <f t="shared" si="301"/>
        <v>49.5</v>
      </c>
      <c r="L245" s="233">
        <f t="shared" ref="L245:L250" si="349">(K245-J245)</f>
        <v>32.200000000000003</v>
      </c>
      <c r="M245" s="230">
        <f>'[7]RES 62 &amp; 67'!$J330</f>
        <v>221.7</v>
      </c>
      <c r="N245" s="183">
        <f t="shared" si="302"/>
        <v>131.6</v>
      </c>
      <c r="O245" s="236">
        <f t="shared" ref="O245:O250" si="350">(N245-M245)</f>
        <v>-90.1</v>
      </c>
      <c r="P245" s="206">
        <f t="shared" si="270"/>
        <v>69.552000000000007</v>
      </c>
      <c r="Q245" s="208">
        <f t="shared" si="271"/>
        <v>-19.642000000000003</v>
      </c>
      <c r="R245" s="467">
        <f t="shared" si="272"/>
        <v>49.910000000000004</v>
      </c>
      <c r="S245" s="470">
        <f t="shared" si="273"/>
        <v>-244.17099999999999</v>
      </c>
      <c r="T245" s="425">
        <f t="shared" si="274"/>
        <v>-194.3</v>
      </c>
      <c r="U245" s="579">
        <f>[5]RC!$E125</f>
        <v>1322388</v>
      </c>
      <c r="V245" s="447">
        <v>37622</v>
      </c>
      <c r="W245" s="191">
        <f t="shared" si="259"/>
        <v>1158.8</v>
      </c>
      <c r="X245" s="73">
        <f t="shared" si="260"/>
        <v>1471524</v>
      </c>
      <c r="Y245" s="187">
        <f t="shared" si="291"/>
        <v>28629</v>
      </c>
      <c r="Z245" s="175">
        <f t="shared" si="275"/>
        <v>1500153</v>
      </c>
      <c r="AA245" s="40">
        <f t="shared" si="261"/>
        <v>-252194</v>
      </c>
      <c r="AB245" s="519">
        <f>[9]RMWh!$L125</f>
        <v>1503324</v>
      </c>
      <c r="AC245" s="107">
        <f>'[7]Gov 65 &amp; 70'!$B330</f>
        <v>31.85</v>
      </c>
      <c r="AD245" s="4">
        <f t="shared" si="262"/>
        <v>1435828</v>
      </c>
      <c r="AE245" s="4">
        <f t="shared" si="345"/>
        <v>90092</v>
      </c>
      <c r="AF245" s="23">
        <f t="shared" si="263"/>
        <v>1091.9000000000001</v>
      </c>
      <c r="AG245" s="75">
        <f t="shared" ref="AG245:AG250" si="351">AF245-AF233</f>
        <v>59.400000000000091</v>
      </c>
      <c r="AI245" s="303">
        <f t="shared" si="224"/>
        <v>0.55831047082086949</v>
      </c>
      <c r="AU245" s="4">
        <f t="shared" si="304"/>
        <v>2003</v>
      </c>
      <c r="AV245" s="4">
        <f t="shared" si="305"/>
        <v>1</v>
      </c>
      <c r="AW245" s="230">
        <f>'[8]RES 62 &amp; 67'!$S330</f>
        <v>9</v>
      </c>
      <c r="AX245" s="200">
        <f t="shared" si="306"/>
        <v>50.5</v>
      </c>
      <c r="AY245" s="203">
        <f t="shared" si="347"/>
        <v>41.5</v>
      </c>
      <c r="AZ245" s="230">
        <f>'[8]RES 62 &amp; 67'!$J330</f>
        <v>282.39999999999998</v>
      </c>
      <c r="BA245" s="183">
        <f t="shared" si="307"/>
        <v>127.9</v>
      </c>
      <c r="BB245" s="429">
        <f t="shared" si="348"/>
        <v>-154.49999999999997</v>
      </c>
      <c r="BC245" s="206">
        <f t="shared" si="276"/>
        <v>89.64</v>
      </c>
      <c r="BD245" s="206">
        <f t="shared" si="277"/>
        <v>-25.314999999999998</v>
      </c>
      <c r="BE245" s="206">
        <f t="shared" si="278"/>
        <v>64.325000000000003</v>
      </c>
      <c r="BF245" s="207">
        <f t="shared" si="279"/>
        <v>-418.69499999999994</v>
      </c>
      <c r="BG245" s="219">
        <f t="shared" si="280"/>
        <v>-354.4</v>
      </c>
      <c r="BH245" s="4">
        <f t="shared" si="320"/>
        <v>2003</v>
      </c>
      <c r="BI245" s="4">
        <f t="shared" si="321"/>
        <v>1</v>
      </c>
      <c r="BJ245" s="108">
        <f>C245+[4]MWh!$AJ79</f>
        <v>1997782.2528763427</v>
      </c>
      <c r="BK245" s="108">
        <f t="shared" si="333"/>
        <v>38866.890342764229</v>
      </c>
      <c r="BL245" s="108">
        <f t="shared" si="225"/>
        <v>1958915.3625335784</v>
      </c>
      <c r="BM245" s="189">
        <f t="shared" si="334"/>
        <v>1188.2121612021228</v>
      </c>
      <c r="BN245" s="6">
        <f t="shared" si="335"/>
        <v>1508874</v>
      </c>
      <c r="BO245" s="175">
        <f t="shared" si="226"/>
        <v>29938</v>
      </c>
      <c r="BP245" s="108">
        <f t="shared" si="227"/>
        <v>-458970.25287634262</v>
      </c>
      <c r="BQ245" s="76">
        <f t="shared" si="336"/>
        <v>1519.2295137375545</v>
      </c>
      <c r="BR245" s="76">
        <f t="shared" si="337"/>
        <v>1170.2019092058765</v>
      </c>
      <c r="BS245" s="76">
        <f t="shared" si="290"/>
        <v>-47.928474136433806</v>
      </c>
      <c r="BT245" s="175">
        <f t="shared" si="322"/>
        <v>1538812</v>
      </c>
      <c r="BU245" s="108">
        <f t="shared" ref="BU245:BU250" si="352">BT245-BT233</f>
        <v>-48809</v>
      </c>
      <c r="BW245" s="529">
        <f>BT245/[9]RMWh!$L125</f>
        <v>1.023606354984022</v>
      </c>
      <c r="CK245" s="165">
        <v>37622</v>
      </c>
      <c r="CL245" s="40">
        <f>BP245+COML!BV245+SPA!BV245</f>
        <v>-481455.25287634262</v>
      </c>
      <c r="CM245" s="40">
        <f>ROUND('[14]2003'!$D32,0)</f>
        <v>-438240</v>
      </c>
      <c r="CN245" s="2">
        <f t="shared" si="239"/>
        <v>-43215.252876342623</v>
      </c>
      <c r="CO245" s="108">
        <f>'[2]FPC wSEB'!$R342</f>
        <v>3841642</v>
      </c>
      <c r="CP245" s="108">
        <f>'[2]FPC wSEB'!$C342-SUM('[2]FPC wSEB'!$K342:$L342)</f>
        <v>3083847</v>
      </c>
      <c r="CQ245" s="108">
        <f>'[2]FPC wSEB'!$T342-'[2]FPC wSEB'!$T341</f>
        <v>245740</v>
      </c>
      <c r="CR245" s="108">
        <f>SUM('[2]FPC wSEB'!$K342:$L342)</f>
        <v>223664</v>
      </c>
      <c r="CS245" s="108">
        <f>('[2]FPC wSEB'!$N342)-CQ245</f>
        <v>70445</v>
      </c>
      <c r="CT245" s="108">
        <f>'[2]FPC wSEB'!$P342</f>
        <v>9417</v>
      </c>
      <c r="CU245" s="108">
        <f>'[2]FPC wSEB'!$Q342</f>
        <v>208529</v>
      </c>
      <c r="CV245" s="115">
        <f t="shared" ref="CV245:CV250" si="353">CO245-SUM(CP245:CU245)</f>
        <v>0</v>
      </c>
      <c r="CW245" s="108">
        <f t="shared" si="346"/>
        <v>3185456</v>
      </c>
      <c r="CX245" s="108">
        <f t="shared" ref="CX245:CX250" si="354">SUM(CP245:CS245)+CL245</f>
        <v>3142240.7471236573</v>
      </c>
      <c r="CY245" s="108">
        <f t="shared" ref="CY245:CY250" si="355">CW245-CX245</f>
        <v>43215.25287634274</v>
      </c>
    </row>
    <row r="246" spans="1:103">
      <c r="A246" s="13">
        <f t="shared" si="299"/>
        <v>2003</v>
      </c>
      <c r="B246" s="13">
        <f t="shared" si="300"/>
        <v>2</v>
      </c>
      <c r="C246" s="5">
        <f>'[2]FPC wSEB'!$D343</f>
        <v>1607332</v>
      </c>
      <c r="D246" s="5">
        <f>'[2]FPC wSEB'!$X343</f>
        <v>1328691</v>
      </c>
      <c r="E246" s="5">
        <f t="shared" si="222"/>
        <v>1572580</v>
      </c>
      <c r="F246" s="5">
        <f t="shared" si="223"/>
        <v>1283929</v>
      </c>
      <c r="G246" s="74">
        <f t="shared" si="269"/>
        <v>1224.8</v>
      </c>
      <c r="H246" s="190">
        <v>34752.033000000003</v>
      </c>
      <c r="I246" s="170">
        <v>44762</v>
      </c>
      <c r="J246" s="230">
        <f>'[7]RES 62 &amp; 67'!$S331</f>
        <v>18.2</v>
      </c>
      <c r="K246" s="183">
        <f t="shared" si="301"/>
        <v>43.3</v>
      </c>
      <c r="L246" s="233">
        <f t="shared" si="349"/>
        <v>25.099999999999998</v>
      </c>
      <c r="M246" s="230">
        <f>'[7]RES 62 &amp; 67'!$J331</f>
        <v>214.9</v>
      </c>
      <c r="N246" s="183">
        <f t="shared" si="302"/>
        <v>127.9</v>
      </c>
      <c r="O246" s="236">
        <f t="shared" si="350"/>
        <v>-87</v>
      </c>
      <c r="P246" s="206">
        <f t="shared" si="270"/>
        <v>54.216000000000001</v>
      </c>
      <c r="Q246" s="208">
        <f t="shared" si="271"/>
        <v>-15.310999999999998</v>
      </c>
      <c r="R246" s="467">
        <f t="shared" si="272"/>
        <v>38.905000000000001</v>
      </c>
      <c r="S246" s="470">
        <f t="shared" si="273"/>
        <v>-235.77</v>
      </c>
      <c r="T246" s="425">
        <f t="shared" si="274"/>
        <v>-196.9</v>
      </c>
      <c r="U246" s="579">
        <f>[5]RC!$E126</f>
        <v>1327540</v>
      </c>
      <c r="V246" s="447">
        <v>37653</v>
      </c>
      <c r="W246" s="191">
        <f t="shared" si="259"/>
        <v>1027.8999999999999</v>
      </c>
      <c r="X246" s="73">
        <f t="shared" si="260"/>
        <v>1319751</v>
      </c>
      <c r="Y246" s="187">
        <f t="shared" si="291"/>
        <v>28534</v>
      </c>
      <c r="Z246" s="175">
        <f t="shared" si="275"/>
        <v>1348285</v>
      </c>
      <c r="AA246" s="40">
        <f t="shared" si="261"/>
        <v>-259047</v>
      </c>
      <c r="AB246" s="519">
        <f>[9]RMWh!$L126</f>
        <v>1364305</v>
      </c>
      <c r="AC246" s="107">
        <f>'[7]Gov 65 &amp; 70'!$B331</f>
        <v>29.45</v>
      </c>
      <c r="AD246" s="4">
        <f t="shared" si="262"/>
        <v>1409241</v>
      </c>
      <c r="AE246" s="4">
        <f t="shared" ref="AE246:AE251" si="356">AD246-AD234</f>
        <v>84200</v>
      </c>
      <c r="AF246" s="23">
        <f t="shared" si="263"/>
        <v>1060.5999999999999</v>
      </c>
      <c r="AG246" s="75">
        <f t="shared" si="351"/>
        <v>44.999999999999886</v>
      </c>
      <c r="AI246" s="303">
        <f t="shared" si="224"/>
        <v>0.63387781961179346</v>
      </c>
      <c r="AU246" s="4">
        <f t="shared" si="304"/>
        <v>2003</v>
      </c>
      <c r="AV246" s="4">
        <f t="shared" si="305"/>
        <v>2</v>
      </c>
      <c r="AW246" s="230">
        <f>'[8]RES 62 &amp; 67'!$S331</f>
        <v>48.8</v>
      </c>
      <c r="AX246" s="200">
        <f t="shared" si="306"/>
        <v>59.2</v>
      </c>
      <c r="AY246" s="203">
        <f t="shared" si="347"/>
        <v>10.400000000000006</v>
      </c>
      <c r="AZ246" s="230">
        <f>'[8]RES 62 &amp; 67'!$J331</f>
        <v>93.2</v>
      </c>
      <c r="BA246" s="183">
        <f t="shared" si="307"/>
        <v>97.8</v>
      </c>
      <c r="BB246" s="429">
        <f t="shared" si="348"/>
        <v>4.5999999999999943</v>
      </c>
      <c r="BC246" s="206">
        <f t="shared" si="276"/>
        <v>22.464000000000013</v>
      </c>
      <c r="BD246" s="206">
        <f t="shared" si="277"/>
        <v>-6.344000000000003</v>
      </c>
      <c r="BE246" s="206">
        <f t="shared" si="278"/>
        <v>16.120000000000012</v>
      </c>
      <c r="BF246" s="207">
        <f t="shared" si="279"/>
        <v>12.465999999999985</v>
      </c>
      <c r="BG246" s="219">
        <f t="shared" si="280"/>
        <v>28.6</v>
      </c>
      <c r="BH246" s="4">
        <f t="shared" si="320"/>
        <v>2003</v>
      </c>
      <c r="BI246" s="4">
        <f t="shared" si="321"/>
        <v>2</v>
      </c>
      <c r="BJ246" s="108">
        <f>C246+[4]MWh!$AJ80</f>
        <v>1319972.4921052426</v>
      </c>
      <c r="BK246" s="108">
        <f t="shared" si="333"/>
        <v>28539.04955835735</v>
      </c>
      <c r="BL246" s="108">
        <f t="shared" si="225"/>
        <v>1291433.4425468852</v>
      </c>
      <c r="BM246" s="189">
        <f t="shared" si="334"/>
        <v>1034.4449046223624</v>
      </c>
      <c r="BN246" s="6">
        <f t="shared" si="335"/>
        <v>1328154</v>
      </c>
      <c r="BO246" s="175">
        <f t="shared" si="226"/>
        <v>29351</v>
      </c>
      <c r="BP246" s="108">
        <f t="shared" si="227"/>
        <v>37532.507894757422</v>
      </c>
      <c r="BQ246" s="76">
        <f t="shared" si="336"/>
        <v>993.43827278520178</v>
      </c>
      <c r="BR246" s="76">
        <f t="shared" si="337"/>
        <v>1021.6860052487748</v>
      </c>
      <c r="BS246" s="76">
        <f t="shared" si="290"/>
        <v>243.16223240427269</v>
      </c>
      <c r="BT246" s="175">
        <f t="shared" si="322"/>
        <v>1357505</v>
      </c>
      <c r="BU246" s="108">
        <f t="shared" si="352"/>
        <v>341730</v>
      </c>
      <c r="BW246" s="529">
        <f>BT246/[9]RMWh!$L126</f>
        <v>0.99501577726388157</v>
      </c>
      <c r="CK246" s="165">
        <v>37653</v>
      </c>
      <c r="CL246" s="40">
        <f>BP246+COML!BV246+SPA!BV246</f>
        <v>53379.507894757422</v>
      </c>
      <c r="CM246" s="40">
        <f>ROUND('[14]2003'!$D33,0)</f>
        <v>106836</v>
      </c>
      <c r="CN246" s="2">
        <f t="shared" si="239"/>
        <v>-53456.492105242578</v>
      </c>
      <c r="CO246" s="108">
        <f>'[2]FPC wSEB'!$R343</f>
        <v>2814402</v>
      </c>
      <c r="CP246" s="108">
        <f>'[2]FPC wSEB'!$C343-SUM('[2]FPC wSEB'!$K343:$L343)</f>
        <v>2937496</v>
      </c>
      <c r="CQ246" s="108">
        <f>'[2]FPC wSEB'!$T343-'[2]FPC wSEB'!$T342</f>
        <v>-459110</v>
      </c>
      <c r="CR246" s="108">
        <f>SUM('[2]FPC wSEB'!$K343:$L343)</f>
        <v>279447</v>
      </c>
      <c r="CS246" s="108">
        <f>('[2]FPC wSEB'!$N343)-CQ246</f>
        <v>-67136</v>
      </c>
      <c r="CT246" s="108">
        <f>'[2]FPC wSEB'!$P343</f>
        <v>10474</v>
      </c>
      <c r="CU246" s="108">
        <f>'[2]FPC wSEB'!$Q343</f>
        <v>113231</v>
      </c>
      <c r="CV246" s="115">
        <f t="shared" si="353"/>
        <v>0</v>
      </c>
      <c r="CW246" s="108">
        <f t="shared" si="346"/>
        <v>2797533</v>
      </c>
      <c r="CX246" s="108">
        <f t="shared" si="354"/>
        <v>2744076.5078947572</v>
      </c>
      <c r="CY246" s="108">
        <f t="shared" si="355"/>
        <v>53456.492105242796</v>
      </c>
    </row>
    <row r="247" spans="1:103">
      <c r="A247" s="13">
        <f t="shared" si="299"/>
        <v>2003</v>
      </c>
      <c r="B247" s="13">
        <f t="shared" si="300"/>
        <v>3</v>
      </c>
      <c r="C247" s="5">
        <f>'[2]FPC wSEB'!$D344</f>
        <v>1193274</v>
      </c>
      <c r="D247" s="5">
        <f>'[2]FPC wSEB'!$X344</f>
        <v>1309065</v>
      </c>
      <c r="E247" s="5">
        <f t="shared" si="222"/>
        <v>1169430</v>
      </c>
      <c r="F247" s="5">
        <f t="shared" si="223"/>
        <v>1264580</v>
      </c>
      <c r="G247" s="74">
        <f t="shared" si="269"/>
        <v>924.8</v>
      </c>
      <c r="H247" s="190">
        <v>23843.559000000001</v>
      </c>
      <c r="I247" s="170">
        <v>44485</v>
      </c>
      <c r="J247" s="230">
        <f>'[7]RES 62 &amp; 67'!$S332</f>
        <v>117.4</v>
      </c>
      <c r="K247" s="183">
        <f t="shared" si="301"/>
        <v>77.2</v>
      </c>
      <c r="L247" s="233">
        <f t="shared" si="349"/>
        <v>-40.200000000000003</v>
      </c>
      <c r="M247" s="230">
        <f>'[7]RES 62 &amp; 67'!$J332</f>
        <v>42.5</v>
      </c>
      <c r="N247" s="183">
        <f t="shared" si="302"/>
        <v>82.3</v>
      </c>
      <c r="O247" s="236">
        <f t="shared" si="350"/>
        <v>39.799999999999997</v>
      </c>
      <c r="P247" s="206">
        <f t="shared" si="270"/>
        <v>-86.832000000000008</v>
      </c>
      <c r="Q247" s="208">
        <f t="shared" si="271"/>
        <v>24.522000000000002</v>
      </c>
      <c r="R247" s="467">
        <f t="shared" si="272"/>
        <v>-62.31</v>
      </c>
      <c r="S247" s="470">
        <f t="shared" si="273"/>
        <v>107.85799999999999</v>
      </c>
      <c r="T247" s="425">
        <f t="shared" si="274"/>
        <v>45.5</v>
      </c>
      <c r="U247" s="579">
        <f>[5]RC!$E127</f>
        <v>1330550</v>
      </c>
      <c r="V247" s="447">
        <v>37681</v>
      </c>
      <c r="W247" s="191">
        <f t="shared" si="259"/>
        <v>970.3</v>
      </c>
      <c r="X247" s="73">
        <f t="shared" si="260"/>
        <v>1227022</v>
      </c>
      <c r="Y247" s="187">
        <f t="shared" si="291"/>
        <v>24518</v>
      </c>
      <c r="Z247" s="175">
        <f t="shared" si="275"/>
        <v>1251540</v>
      </c>
      <c r="AA247" s="40">
        <f t="shared" si="261"/>
        <v>58266</v>
      </c>
      <c r="AB247" s="519">
        <f>[9]RMWh!$L127</f>
        <v>1274273</v>
      </c>
      <c r="AC247" s="107">
        <f>'[7]Gov 65 &amp; 70'!$B332</f>
        <v>29.4</v>
      </c>
      <c r="AD247" s="4">
        <f t="shared" si="262"/>
        <v>1318482</v>
      </c>
      <c r="AE247" s="4">
        <f t="shared" si="356"/>
        <v>100130</v>
      </c>
      <c r="AF247" s="23">
        <f t="shared" si="263"/>
        <v>1007.2</v>
      </c>
      <c r="AG247" s="75">
        <f t="shared" si="351"/>
        <v>67.700000000000045</v>
      </c>
      <c r="AI247" s="303">
        <f t="shared" si="224"/>
        <v>0.57957502781739356</v>
      </c>
      <c r="AU247" s="4">
        <f t="shared" si="304"/>
        <v>2003</v>
      </c>
      <c r="AV247" s="4">
        <f t="shared" si="305"/>
        <v>3</v>
      </c>
      <c r="AW247" s="230">
        <f>'[8]RES 62 &amp; 67'!$S332</f>
        <v>173.4</v>
      </c>
      <c r="AX247" s="200">
        <f t="shared" si="306"/>
        <v>105.8</v>
      </c>
      <c r="AY247" s="203">
        <f t="shared" si="347"/>
        <v>-67.600000000000009</v>
      </c>
      <c r="AZ247" s="230">
        <f>'[8]RES 62 &amp; 67'!$J332</f>
        <v>19.2</v>
      </c>
      <c r="BA247" s="183">
        <f t="shared" si="307"/>
        <v>49.9</v>
      </c>
      <c r="BB247" s="429">
        <f t="shared" si="348"/>
        <v>30.7</v>
      </c>
      <c r="BC247" s="206">
        <f t="shared" si="276"/>
        <v>-146.01600000000002</v>
      </c>
      <c r="BD247" s="206">
        <f t="shared" si="277"/>
        <v>41.236000000000004</v>
      </c>
      <c r="BE247" s="206">
        <f t="shared" si="278"/>
        <v>-104.78000000000002</v>
      </c>
      <c r="BF247" s="207">
        <f t="shared" si="279"/>
        <v>83.197000000000003</v>
      </c>
      <c r="BG247" s="219">
        <f t="shared" si="280"/>
        <v>-21.6</v>
      </c>
      <c r="BH247" s="4">
        <f t="shared" si="320"/>
        <v>2003</v>
      </c>
      <c r="BI247" s="4">
        <f t="shared" si="321"/>
        <v>3</v>
      </c>
      <c r="BJ247" s="108">
        <f>C247+[4]MWh!$AJ81</f>
        <v>1205034.9672016436</v>
      </c>
      <c r="BK247" s="108">
        <f t="shared" si="333"/>
        <v>24078.562289579306</v>
      </c>
      <c r="BL247" s="108">
        <f t="shared" si="225"/>
        <v>1180956.4049120643</v>
      </c>
      <c r="BM247" s="189">
        <f t="shared" si="334"/>
        <v>912.27243583803659</v>
      </c>
      <c r="BN247" s="6">
        <f t="shared" si="335"/>
        <v>1153641</v>
      </c>
      <c r="BO247" s="175">
        <f t="shared" si="226"/>
        <v>23522</v>
      </c>
      <c r="BP247" s="108">
        <f t="shared" si="227"/>
        <v>-27871.967201643623</v>
      </c>
      <c r="BQ247" s="76">
        <f t="shared" si="336"/>
        <v>920.5310410114422</v>
      </c>
      <c r="BR247" s="76">
        <f t="shared" si="337"/>
        <v>899.23953356021275</v>
      </c>
      <c r="BS247" s="76">
        <f t="shared" si="290"/>
        <v>-73.160278598428363</v>
      </c>
      <c r="BT247" s="175">
        <f t="shared" si="322"/>
        <v>1177163</v>
      </c>
      <c r="BU247" s="108">
        <f t="shared" si="352"/>
        <v>-83883</v>
      </c>
      <c r="BW247" s="529">
        <f>BT247/[9]RMWh!$L127</f>
        <v>0.92379184052396934</v>
      </c>
      <c r="CK247" s="165">
        <v>37681</v>
      </c>
      <c r="CL247" s="40">
        <f>BP247+COML!BV247+SPA!BV247</f>
        <v>-84739.967201643623</v>
      </c>
      <c r="CM247" s="40">
        <f>ROUND('[14]2003'!$D34,0)</f>
        <v>-14595</v>
      </c>
      <c r="CN247" s="2">
        <f t="shared" si="239"/>
        <v>-70144.967201643623</v>
      </c>
      <c r="CO247" s="108">
        <f>'[2]FPC wSEB'!$R344</f>
        <v>3238743</v>
      </c>
      <c r="CP247" s="108">
        <f>'[2]FPC wSEB'!$C344-SUM('[2]FPC wSEB'!$K344:$L344)</f>
        <v>2545620</v>
      </c>
      <c r="CQ247" s="108">
        <f>'[2]FPC wSEB'!$T344-'[2]FPC wSEB'!$T343</f>
        <v>235459</v>
      </c>
      <c r="CR247" s="108">
        <f>SUM('[2]FPC wSEB'!$K344:$L344)</f>
        <v>244888</v>
      </c>
      <c r="CS247" s="108">
        <f>('[2]FPC wSEB'!$N344)-CQ247</f>
        <v>29945</v>
      </c>
      <c r="CT247" s="108">
        <f>'[2]FPC wSEB'!$P344</f>
        <v>6719</v>
      </c>
      <c r="CU247" s="108">
        <f>'[2]FPC wSEB'!$Q344</f>
        <v>176112</v>
      </c>
      <c r="CV247" s="115">
        <f t="shared" si="353"/>
        <v>0</v>
      </c>
      <c r="CW247" s="108">
        <f t="shared" ref="CW247:CW252" si="357">CO247-CT247-CU247+CM247</f>
        <v>3041317</v>
      </c>
      <c r="CX247" s="108">
        <f t="shared" si="354"/>
        <v>2971172.0327983564</v>
      </c>
      <c r="CY247" s="108">
        <f t="shared" si="355"/>
        <v>70144.967201643623</v>
      </c>
    </row>
    <row r="248" spans="1:103">
      <c r="A248" s="13">
        <f t="shared" si="299"/>
        <v>2003</v>
      </c>
      <c r="B248" s="13">
        <f t="shared" si="300"/>
        <v>4</v>
      </c>
      <c r="C248" s="5">
        <f>'[2]FPC wSEB'!$D345</f>
        <v>1294165</v>
      </c>
      <c r="D248" s="5">
        <f>'[2]FPC wSEB'!$X345</f>
        <v>1334280</v>
      </c>
      <c r="E248" s="5">
        <f t="shared" si="222"/>
        <v>1270200</v>
      </c>
      <c r="F248" s="5">
        <f t="shared" si="223"/>
        <v>1287074</v>
      </c>
      <c r="G248" s="74">
        <f t="shared" si="269"/>
        <v>986.9</v>
      </c>
      <c r="H248" s="190">
        <v>23965.062000000002</v>
      </c>
      <c r="I248" s="170">
        <v>47206</v>
      </c>
      <c r="J248" s="230">
        <f>'[7]RES 62 &amp; 67'!$S333</f>
        <v>159.80000000000001</v>
      </c>
      <c r="K248" s="183">
        <f t="shared" si="301"/>
        <v>138.1</v>
      </c>
      <c r="L248" s="233">
        <f t="shared" si="349"/>
        <v>-21.700000000000017</v>
      </c>
      <c r="M248" s="230">
        <f>'[7]RES 62 &amp; 67'!$J333</f>
        <v>31</v>
      </c>
      <c r="N248" s="183">
        <f t="shared" si="302"/>
        <v>37.299999999999997</v>
      </c>
      <c r="O248" s="236">
        <f t="shared" si="350"/>
        <v>6.2999999999999972</v>
      </c>
      <c r="P248" s="206">
        <f t="shared" si="270"/>
        <v>-46.872000000000043</v>
      </c>
      <c r="Q248" s="208">
        <f t="shared" si="271"/>
        <v>13.237000000000011</v>
      </c>
      <c r="R248" s="467">
        <f t="shared" si="272"/>
        <v>-33.635000000000034</v>
      </c>
      <c r="S248" s="470">
        <f t="shared" si="273"/>
        <v>17.072999999999993</v>
      </c>
      <c r="T248" s="425">
        <f t="shared" si="274"/>
        <v>-16.600000000000001</v>
      </c>
      <c r="U248" s="579">
        <f>[5]RC!$E128</f>
        <v>1329175</v>
      </c>
      <c r="V248" s="447">
        <v>37712</v>
      </c>
      <c r="W248" s="191">
        <f t="shared" si="259"/>
        <v>970.3</v>
      </c>
      <c r="X248" s="73">
        <f t="shared" si="260"/>
        <v>1248848</v>
      </c>
      <c r="Y248" s="187">
        <f t="shared" si="291"/>
        <v>23126</v>
      </c>
      <c r="Z248" s="175">
        <f t="shared" si="275"/>
        <v>1271974</v>
      </c>
      <c r="AA248" s="40">
        <f t="shared" si="261"/>
        <v>-22191</v>
      </c>
      <c r="AB248" s="519">
        <f>[9]RMWh!$L128</f>
        <v>1265228</v>
      </c>
      <c r="AC248" s="107">
        <f>'[7]Gov 65 &amp; 70'!$B333</f>
        <v>29.9</v>
      </c>
      <c r="AD248" s="4">
        <f t="shared" si="262"/>
        <v>1287232</v>
      </c>
      <c r="AE248" s="4">
        <f t="shared" si="356"/>
        <v>51524</v>
      </c>
      <c r="AF248" s="23">
        <f t="shared" si="263"/>
        <v>964.7</v>
      </c>
      <c r="AG248" s="75">
        <f t="shared" si="351"/>
        <v>-32.099999999999909</v>
      </c>
      <c r="AI248" s="303">
        <f t="shared" si="224"/>
        <v>0.51440858253758481</v>
      </c>
      <c r="AU248" s="4">
        <f t="shared" si="304"/>
        <v>2003</v>
      </c>
      <c r="AV248" s="4">
        <f t="shared" si="305"/>
        <v>4</v>
      </c>
      <c r="AW248" s="230">
        <f>'[8]RES 62 &amp; 67'!$S333</f>
        <v>180.6</v>
      </c>
      <c r="AX248" s="200">
        <f t="shared" si="306"/>
        <v>181.7</v>
      </c>
      <c r="AY248" s="203">
        <f t="shared" ref="AY248:AY253" si="358">AX248-AW248</f>
        <v>1.0999999999999943</v>
      </c>
      <c r="AZ248" s="230">
        <f>'[8]RES 62 &amp; 67'!$J333</f>
        <v>22.8</v>
      </c>
      <c r="BA248" s="183">
        <f t="shared" si="307"/>
        <v>21.5</v>
      </c>
      <c r="BB248" s="429">
        <f t="shared" si="348"/>
        <v>-1.3000000000000007</v>
      </c>
      <c r="BC248" s="206">
        <f t="shared" si="276"/>
        <v>2.3759999999999879</v>
      </c>
      <c r="BD248" s="206">
        <f t="shared" si="277"/>
        <v>-0.33549999999999824</v>
      </c>
      <c r="BE248" s="206">
        <f t="shared" si="278"/>
        <v>2.0404999999999895</v>
      </c>
      <c r="BF248" s="207">
        <f t="shared" si="279"/>
        <v>-3.5230000000000019</v>
      </c>
      <c r="BG248" s="219">
        <f t="shared" si="280"/>
        <v>-1.5</v>
      </c>
      <c r="BH248" s="4">
        <f t="shared" si="320"/>
        <v>2003</v>
      </c>
      <c r="BI248" s="4">
        <f t="shared" si="321"/>
        <v>4</v>
      </c>
      <c r="BJ248" s="108">
        <f>C248+[4]MWh!$AJ82</f>
        <v>1317581.6113290284</v>
      </c>
      <c r="BK248" s="108">
        <f t="shared" si="333"/>
        <v>24398.685643299013</v>
      </c>
      <c r="BL248" s="108">
        <f t="shared" si="225"/>
        <v>1293182.9256857294</v>
      </c>
      <c r="BM248" s="189">
        <f t="shared" si="334"/>
        <v>1003.2463670975634</v>
      </c>
      <c r="BN248" s="6">
        <f t="shared" si="335"/>
        <v>1291252</v>
      </c>
      <c r="BO248" s="175">
        <f t="shared" si="226"/>
        <v>24362</v>
      </c>
      <c r="BP248" s="108">
        <f t="shared" si="227"/>
        <v>-1967.6113290283793</v>
      </c>
      <c r="BQ248" s="76">
        <f t="shared" si="336"/>
        <v>987.48509407997449</v>
      </c>
      <c r="BR248" s="76">
        <f t="shared" si="337"/>
        <v>986.01043259285905</v>
      </c>
      <c r="BS248" s="76">
        <f t="shared" si="290"/>
        <v>15.77905925935363</v>
      </c>
      <c r="BT248" s="175">
        <f t="shared" si="322"/>
        <v>1315614</v>
      </c>
      <c r="BU248" s="108">
        <f t="shared" si="352"/>
        <v>112791</v>
      </c>
      <c r="BW248" s="529">
        <f>BT248/[9]RMWh!$L128</f>
        <v>1.0398236523377604</v>
      </c>
      <c r="CK248" s="165">
        <v>37712</v>
      </c>
      <c r="CL248" s="40">
        <f>BP248+COML!BV248+SPA!BV248</f>
        <v>-1330.6113290283793</v>
      </c>
      <c r="CM248" s="40">
        <f>ROUND('[14]2003'!$D35,0)</f>
        <v>44421</v>
      </c>
      <c r="CN248" s="2">
        <f t="shared" si="239"/>
        <v>-45751.611329028383</v>
      </c>
      <c r="CO248" s="108">
        <f>'[2]FPC wSEB'!$R345</f>
        <v>3189949</v>
      </c>
      <c r="CP248" s="108">
        <f>'[2]FPC wSEB'!$C345-SUM('[2]FPC wSEB'!$K345:$L345)</f>
        <v>2744534</v>
      </c>
      <c r="CQ248" s="108">
        <f>'[2]FPC wSEB'!$T345-'[2]FPC wSEB'!$T344</f>
        <v>40836</v>
      </c>
      <c r="CR248" s="108">
        <f>SUM('[2]FPC wSEB'!$K345:$L345)</f>
        <v>267636</v>
      </c>
      <c r="CS248" s="108">
        <f>('[2]FPC wSEB'!$N345)-CQ248</f>
        <v>-10676</v>
      </c>
      <c r="CT248" s="108">
        <f>'[2]FPC wSEB'!$P345</f>
        <v>10368</v>
      </c>
      <c r="CU248" s="108">
        <f>'[2]FPC wSEB'!$Q345</f>
        <v>137251</v>
      </c>
      <c r="CV248" s="115">
        <f t="shared" si="353"/>
        <v>0</v>
      </c>
      <c r="CW248" s="108">
        <f t="shared" si="357"/>
        <v>3086751</v>
      </c>
      <c r="CX248" s="108">
        <f t="shared" si="354"/>
        <v>3040999.3886709716</v>
      </c>
      <c r="CY248" s="108">
        <f t="shared" si="355"/>
        <v>45751.611329028383</v>
      </c>
    </row>
    <row r="249" spans="1:103">
      <c r="A249" s="13">
        <f t="shared" si="299"/>
        <v>2003</v>
      </c>
      <c r="B249" s="13">
        <f t="shared" si="300"/>
        <v>5</v>
      </c>
      <c r="C249" s="5">
        <f>'[2]FPC wSEB'!$D346</f>
        <v>1562851</v>
      </c>
      <c r="D249" s="5">
        <f>'[2]FPC wSEB'!$X346</f>
        <v>1324449</v>
      </c>
      <c r="E249" s="5">
        <f t="shared" si="222"/>
        <v>1544270</v>
      </c>
      <c r="F249" s="5">
        <f t="shared" si="223"/>
        <v>1275391</v>
      </c>
      <c r="G249" s="74">
        <f t="shared" si="269"/>
        <v>1210.8</v>
      </c>
      <c r="H249" s="190">
        <v>18581.409</v>
      </c>
      <c r="I249" s="170">
        <v>49058</v>
      </c>
      <c r="J249" s="230">
        <f>'[7]RES 62 &amp; 67'!$S334</f>
        <v>281.10000000000002</v>
      </c>
      <c r="K249" s="183">
        <f t="shared" si="301"/>
        <v>224.4</v>
      </c>
      <c r="L249" s="233">
        <f t="shared" si="349"/>
        <v>-56.700000000000017</v>
      </c>
      <c r="M249" s="230">
        <f>'[7]RES 62 &amp; 67'!$J334</f>
        <v>6.7</v>
      </c>
      <c r="N249" s="183">
        <f t="shared" si="302"/>
        <v>11.2</v>
      </c>
      <c r="O249" s="236">
        <f t="shared" si="350"/>
        <v>4.4999999999999991</v>
      </c>
      <c r="P249" s="206">
        <f t="shared" si="270"/>
        <v>-122.47200000000005</v>
      </c>
      <c r="Q249" s="208">
        <f t="shared" si="271"/>
        <v>0</v>
      </c>
      <c r="R249" s="467">
        <f t="shared" si="272"/>
        <v>-122.47200000000005</v>
      </c>
      <c r="S249" s="470">
        <f t="shared" si="273"/>
        <v>12.194999999999997</v>
      </c>
      <c r="T249" s="425">
        <f t="shared" si="274"/>
        <v>-110.3</v>
      </c>
      <c r="U249" s="579">
        <f>[5]RC!$E129</f>
        <v>1327247</v>
      </c>
      <c r="V249" s="447">
        <v>37742</v>
      </c>
      <c r="W249" s="191">
        <f t="shared" si="259"/>
        <v>1100.5</v>
      </c>
      <c r="X249" s="73">
        <f t="shared" si="260"/>
        <v>1403568</v>
      </c>
      <c r="Y249" s="187">
        <f t="shared" si="291"/>
        <v>16688</v>
      </c>
      <c r="Z249" s="175">
        <f t="shared" si="275"/>
        <v>1420256</v>
      </c>
      <c r="AA249" s="40">
        <f t="shared" si="261"/>
        <v>-142595</v>
      </c>
      <c r="AB249" s="519">
        <f>[9]RMWh!$L129</f>
        <v>1412988</v>
      </c>
      <c r="AC249" s="107">
        <f>'[7]Gov 65 &amp; 70'!$B334</f>
        <v>30.4</v>
      </c>
      <c r="AD249" s="4">
        <f t="shared" si="262"/>
        <v>1413918</v>
      </c>
      <c r="AE249" s="4">
        <f t="shared" si="356"/>
        <v>33251</v>
      </c>
      <c r="AF249" s="23">
        <f t="shared" si="263"/>
        <v>1067.5999999999999</v>
      </c>
      <c r="AG249" s="75">
        <f t="shared" si="351"/>
        <v>47.599999999999909</v>
      </c>
      <c r="AI249" s="303">
        <f t="shared" si="224"/>
        <v>0.31282135411327811</v>
      </c>
      <c r="AU249" s="4">
        <f t="shared" si="304"/>
        <v>2003</v>
      </c>
      <c r="AV249" s="4">
        <f t="shared" si="305"/>
        <v>5</v>
      </c>
      <c r="AW249" s="230">
        <f>'[8]RES 62 &amp; 67'!$S334</f>
        <v>386.8</v>
      </c>
      <c r="AX249" s="200">
        <f t="shared" si="306"/>
        <v>336.7</v>
      </c>
      <c r="AY249" s="203">
        <f t="shared" si="358"/>
        <v>-50.100000000000023</v>
      </c>
      <c r="AZ249" s="230">
        <f>'[8]RES 62 &amp; 67'!$J334</f>
        <v>0.2</v>
      </c>
      <c r="BA249" s="183">
        <f t="shared" si="307"/>
        <v>2.1</v>
      </c>
      <c r="BB249" s="429">
        <f t="shared" ref="BB249:BB254" si="359">BA249-AZ249</f>
        <v>1.9000000000000001</v>
      </c>
      <c r="BC249" s="206">
        <f t="shared" si="276"/>
        <v>-108.21600000000005</v>
      </c>
      <c r="BD249" s="206">
        <f t="shared" si="277"/>
        <v>0</v>
      </c>
      <c r="BE249" s="206">
        <f t="shared" si="278"/>
        <v>-108.21600000000005</v>
      </c>
      <c r="BF249" s="207">
        <f t="shared" si="279"/>
        <v>5.149</v>
      </c>
      <c r="BG249" s="219">
        <f t="shared" si="280"/>
        <v>-103.1</v>
      </c>
      <c r="BH249" s="4">
        <f t="shared" si="320"/>
        <v>2003</v>
      </c>
      <c r="BI249" s="4">
        <f t="shared" si="321"/>
        <v>5</v>
      </c>
      <c r="BJ249" s="108">
        <f>C249+[4]MWh!$AJ83</f>
        <v>1846921.8876093833</v>
      </c>
      <c r="BK249" s="108">
        <f t="shared" si="333"/>
        <v>21958.850194114464</v>
      </c>
      <c r="BL249" s="108">
        <f t="shared" si="225"/>
        <v>1824963.0374152688</v>
      </c>
      <c r="BM249" s="189">
        <f t="shared" si="334"/>
        <v>1327.804747967697</v>
      </c>
      <c r="BN249" s="6">
        <f t="shared" si="335"/>
        <v>1693470</v>
      </c>
      <c r="BO249" s="175">
        <f t="shared" si="226"/>
        <v>20377</v>
      </c>
      <c r="BP249" s="108">
        <f t="shared" si="227"/>
        <v>-133074.8876093833</v>
      </c>
      <c r="BQ249" s="76">
        <f t="shared" si="336"/>
        <v>1394.4832059289436</v>
      </c>
      <c r="BR249" s="76">
        <f t="shared" si="337"/>
        <v>1294.0075457794146</v>
      </c>
      <c r="BS249" s="76">
        <f t="shared" ref="BS249:BS280" si="360">BR249-BR237</f>
        <v>69.457771261556218</v>
      </c>
      <c r="BT249" s="175">
        <f t="shared" si="322"/>
        <v>1713847</v>
      </c>
      <c r="BU249" s="108">
        <f t="shared" si="352"/>
        <v>56365</v>
      </c>
      <c r="BW249" s="529">
        <f>BT249/[9]RMWh!$L129</f>
        <v>1.2129239597222341</v>
      </c>
      <c r="CK249" s="165">
        <v>37742</v>
      </c>
      <c r="CL249" s="40">
        <f>BP249+COML!BV249+SPA!BV249</f>
        <v>-178915.8876093833</v>
      </c>
      <c r="CM249" s="40">
        <f>ROUND('[14]2003'!$D36,0)</f>
        <v>-152870</v>
      </c>
      <c r="CN249" s="2">
        <f t="shared" si="239"/>
        <v>-26045.887609383295</v>
      </c>
      <c r="CO249" s="108">
        <f>'[2]FPC wSEB'!$R346</f>
        <v>4015789</v>
      </c>
      <c r="CP249" s="108">
        <f>'[2]FPC wSEB'!$C346-SUM('[2]FPC wSEB'!$K346:$L346)</f>
        <v>3104300</v>
      </c>
      <c r="CQ249" s="108">
        <f>'[2]FPC wSEB'!$T346-'[2]FPC wSEB'!$T345</f>
        <v>467055</v>
      </c>
      <c r="CR249" s="108">
        <f>SUM('[2]FPC wSEB'!$K346:$L346)</f>
        <v>250030</v>
      </c>
      <c r="CS249" s="108">
        <f>('[2]FPC wSEB'!$N346)-CQ249</f>
        <v>5635</v>
      </c>
      <c r="CT249" s="108">
        <f>'[2]FPC wSEB'!$P346</f>
        <v>7599</v>
      </c>
      <c r="CU249" s="108">
        <f>'[2]FPC wSEB'!$Q346</f>
        <v>181170</v>
      </c>
      <c r="CV249" s="115">
        <f t="shared" si="353"/>
        <v>0</v>
      </c>
      <c r="CW249" s="108">
        <f t="shared" si="357"/>
        <v>3674150</v>
      </c>
      <c r="CX249" s="108">
        <f t="shared" si="354"/>
        <v>3648104.1123906169</v>
      </c>
      <c r="CY249" s="108">
        <f t="shared" si="355"/>
        <v>26045.887609383091</v>
      </c>
    </row>
    <row r="250" spans="1:103">
      <c r="A250" s="13">
        <f t="shared" si="299"/>
        <v>2003</v>
      </c>
      <c r="B250" s="13">
        <f t="shared" si="300"/>
        <v>6</v>
      </c>
      <c r="C250" s="5">
        <f>'[2]FPC wSEB'!$D347</f>
        <v>1846386</v>
      </c>
      <c r="D250" s="5">
        <f>'[2]FPC wSEB'!$X347</f>
        <v>1320653</v>
      </c>
      <c r="E250" s="5">
        <f t="shared" si="222"/>
        <v>1832006</v>
      </c>
      <c r="F250" s="5">
        <f t="shared" si="223"/>
        <v>1270716</v>
      </c>
      <c r="G250" s="74">
        <f t="shared" si="269"/>
        <v>1441.7</v>
      </c>
      <c r="H250" s="190">
        <v>14379.781999999999</v>
      </c>
      <c r="I250" s="170">
        <v>49937</v>
      </c>
      <c r="J250" s="230">
        <f>'[7]RES 62 &amp; 67'!$S335</f>
        <v>401.6</v>
      </c>
      <c r="K250" s="183">
        <f t="shared" si="301"/>
        <v>382.8</v>
      </c>
      <c r="L250" s="233">
        <f t="shared" si="349"/>
        <v>-18.800000000000011</v>
      </c>
      <c r="M250" s="230">
        <f>'[7]RES 62 &amp; 67'!$J335</f>
        <v>0.1</v>
      </c>
      <c r="N250" s="183">
        <f t="shared" si="302"/>
        <v>0.9</v>
      </c>
      <c r="O250" s="236">
        <f t="shared" si="350"/>
        <v>0.8</v>
      </c>
      <c r="P250" s="206">
        <f t="shared" si="270"/>
        <v>-40.608000000000025</v>
      </c>
      <c r="Q250" s="208">
        <f t="shared" si="271"/>
        <v>0</v>
      </c>
      <c r="R250" s="467">
        <f t="shared" si="272"/>
        <v>-40.608000000000025</v>
      </c>
      <c r="S250" s="470">
        <f t="shared" si="273"/>
        <v>2.1680000000000001</v>
      </c>
      <c r="T250" s="425">
        <f t="shared" si="274"/>
        <v>-38.4</v>
      </c>
      <c r="U250" s="579">
        <f>[5]RC!$E130</f>
        <v>1328067</v>
      </c>
      <c r="V250" s="447">
        <v>37773</v>
      </c>
      <c r="W250" s="191">
        <f t="shared" si="259"/>
        <v>1403.3</v>
      </c>
      <c r="X250" s="73">
        <f t="shared" si="260"/>
        <v>1783196</v>
      </c>
      <c r="Y250" s="187">
        <f t="shared" si="291"/>
        <v>13888</v>
      </c>
      <c r="Z250" s="175">
        <f t="shared" si="275"/>
        <v>1797084</v>
      </c>
      <c r="AA250" s="40">
        <f t="shared" si="261"/>
        <v>-49302</v>
      </c>
      <c r="AB250" s="519">
        <f>[9]RMWh!$L130</f>
        <v>1805962</v>
      </c>
      <c r="AC250" s="107">
        <f>'[7]Gov 65 &amp; 70'!$B335</f>
        <v>30.7</v>
      </c>
      <c r="AD250" s="4">
        <f t="shared" si="262"/>
        <v>1789491</v>
      </c>
      <c r="AE250" s="4">
        <f t="shared" si="356"/>
        <v>11219</v>
      </c>
      <c r="AF250" s="23">
        <f t="shared" si="263"/>
        <v>1355</v>
      </c>
      <c r="AG250" s="75">
        <f t="shared" si="351"/>
        <v>-82.900000000000091</v>
      </c>
      <c r="AI250" s="303">
        <f t="shared" si="224"/>
        <v>0.19973535941545623</v>
      </c>
      <c r="AU250" s="4">
        <f t="shared" si="304"/>
        <v>2003</v>
      </c>
      <c r="AV250" s="4">
        <f t="shared" si="305"/>
        <v>6</v>
      </c>
      <c r="AW250" s="230">
        <f>'[8]RES 62 &amp; 67'!$S335</f>
        <v>413.5</v>
      </c>
      <c r="AX250" s="200">
        <f t="shared" si="306"/>
        <v>425.2</v>
      </c>
      <c r="AY250" s="203">
        <f t="shared" si="358"/>
        <v>11.699999999999989</v>
      </c>
      <c r="AZ250" s="230">
        <f>'[8]RES 62 &amp; 67'!$J335</f>
        <v>0</v>
      </c>
      <c r="BA250" s="183">
        <f t="shared" si="307"/>
        <v>0</v>
      </c>
      <c r="BB250" s="429">
        <f t="shared" si="359"/>
        <v>0</v>
      </c>
      <c r="BC250" s="206">
        <f t="shared" si="276"/>
        <v>25.271999999999977</v>
      </c>
      <c r="BD250" s="206">
        <f t="shared" si="277"/>
        <v>0</v>
      </c>
      <c r="BE250" s="206">
        <f t="shared" si="278"/>
        <v>25.271999999999977</v>
      </c>
      <c r="BF250" s="207">
        <f t="shared" si="279"/>
        <v>0</v>
      </c>
      <c r="BG250" s="219">
        <f t="shared" si="280"/>
        <v>25.3</v>
      </c>
      <c r="BH250" s="4">
        <f t="shared" si="320"/>
        <v>2003</v>
      </c>
      <c r="BI250" s="4">
        <f t="shared" si="321"/>
        <v>6</v>
      </c>
      <c r="BJ250" s="108">
        <f>C250+[4]MWh!$AJ84</f>
        <v>1829869.1453856491</v>
      </c>
      <c r="BK250" s="108">
        <f t="shared" si="333"/>
        <v>14251.14759274168</v>
      </c>
      <c r="BL250" s="108">
        <f t="shared" si="225"/>
        <v>1815617.9977929073</v>
      </c>
      <c r="BM250" s="189">
        <f t="shared" si="334"/>
        <v>1454.1149340945635</v>
      </c>
      <c r="BN250" s="6">
        <f t="shared" si="335"/>
        <v>1847767</v>
      </c>
      <c r="BO250" s="175">
        <f t="shared" si="226"/>
        <v>14503</v>
      </c>
      <c r="BP250" s="108">
        <f t="shared" si="227"/>
        <v>32400.854614351028</v>
      </c>
      <c r="BQ250" s="76">
        <f t="shared" si="336"/>
        <v>1385.5790623166336</v>
      </c>
      <c r="BR250" s="76">
        <f t="shared" si="337"/>
        <v>1410.1130274190116</v>
      </c>
      <c r="BS250" s="76">
        <f t="shared" si="360"/>
        <v>-43.906089941463279</v>
      </c>
      <c r="BT250" s="175">
        <f t="shared" si="322"/>
        <v>1862270</v>
      </c>
      <c r="BU250" s="108">
        <f t="shared" si="352"/>
        <v>64118</v>
      </c>
      <c r="BW250" s="529">
        <f>BT250/[9]RMWh!$L130</f>
        <v>1.0311789506091491</v>
      </c>
      <c r="CK250" s="165">
        <v>37773</v>
      </c>
      <c r="CL250" s="40">
        <f>BP250+COML!BV250+SPA!BV250</f>
        <v>43141.854614351032</v>
      </c>
      <c r="CM250" s="40">
        <f>ROUND('[14]2003'!$D37,0)</f>
        <v>209982</v>
      </c>
      <c r="CN250" s="2">
        <f t="shared" ref="CN250:CN255" si="361">CL250-CM250</f>
        <v>-166840.14538564897</v>
      </c>
      <c r="CO250" s="108">
        <f>'[2]FPC wSEB'!$R347</f>
        <v>4015747</v>
      </c>
      <c r="CP250" s="108">
        <f>'[2]FPC wSEB'!$C347-SUM('[2]FPC wSEB'!$K347:$L347)</f>
        <v>3555173</v>
      </c>
      <c r="CQ250" s="108">
        <f>'[2]FPC wSEB'!$T347-'[2]FPC wSEB'!$T346</f>
        <v>-93076</v>
      </c>
      <c r="CR250" s="108">
        <f>SUM('[2]FPC wSEB'!$K347:$L347)</f>
        <v>248348</v>
      </c>
      <c r="CS250" s="108">
        <f>('[2]FPC wSEB'!$N347)-CQ250</f>
        <v>88471</v>
      </c>
      <c r="CT250" s="108">
        <f>'[2]FPC wSEB'!$P347</f>
        <v>10619</v>
      </c>
      <c r="CU250" s="108">
        <f>'[2]FPC wSEB'!$Q347</f>
        <v>206212</v>
      </c>
      <c r="CV250" s="115">
        <f t="shared" si="353"/>
        <v>0</v>
      </c>
      <c r="CW250" s="108">
        <f t="shared" si="357"/>
        <v>4008898</v>
      </c>
      <c r="CX250" s="108">
        <f t="shared" si="354"/>
        <v>3842057.8546143509</v>
      </c>
      <c r="CY250" s="108">
        <f t="shared" si="355"/>
        <v>166840.14538564906</v>
      </c>
    </row>
    <row r="251" spans="1:103">
      <c r="A251" s="13">
        <f t="shared" si="299"/>
        <v>2003</v>
      </c>
      <c r="B251" s="13">
        <f t="shared" si="300"/>
        <v>7</v>
      </c>
      <c r="C251" s="5">
        <f>'[2]FPC wSEB'!$D348</f>
        <v>1909869</v>
      </c>
      <c r="D251" s="5">
        <f>'[2]FPC wSEB'!$X348</f>
        <v>1333076</v>
      </c>
      <c r="E251" s="5">
        <f t="shared" si="222"/>
        <v>1896942</v>
      </c>
      <c r="F251" s="5">
        <f t="shared" si="223"/>
        <v>1282101</v>
      </c>
      <c r="G251" s="74">
        <f t="shared" si="269"/>
        <v>1479.6</v>
      </c>
      <c r="H251" s="190">
        <v>12926.955</v>
      </c>
      <c r="I251" s="170">
        <v>50975</v>
      </c>
      <c r="J251" s="230">
        <f>'[7]RES 62 &amp; 67'!$S336</f>
        <v>445.6</v>
      </c>
      <c r="K251" s="183">
        <f t="shared" si="301"/>
        <v>454.9</v>
      </c>
      <c r="L251" s="233">
        <f t="shared" ref="L251:L256" si="362">(K251-J251)</f>
        <v>9.2999999999999545</v>
      </c>
      <c r="M251" s="230">
        <f>'[7]RES 62 &amp; 67'!$J336</f>
        <v>0</v>
      </c>
      <c r="N251" s="183">
        <f t="shared" si="302"/>
        <v>0</v>
      </c>
      <c r="O251" s="236">
        <f t="shared" ref="O251:O256" si="363">(N251-M251)</f>
        <v>0</v>
      </c>
      <c r="P251" s="206">
        <f t="shared" si="270"/>
        <v>20.087999999999901</v>
      </c>
      <c r="Q251" s="208">
        <f t="shared" si="271"/>
        <v>0</v>
      </c>
      <c r="R251" s="467">
        <f t="shared" si="272"/>
        <v>20.087999999999901</v>
      </c>
      <c r="S251" s="470">
        <f t="shared" si="273"/>
        <v>0</v>
      </c>
      <c r="T251" s="425">
        <f t="shared" si="274"/>
        <v>20.100000000000001</v>
      </c>
      <c r="U251" s="579">
        <f>[5]RC!$E131</f>
        <v>1330368</v>
      </c>
      <c r="V251" s="447">
        <v>37803</v>
      </c>
      <c r="W251" s="191">
        <f t="shared" si="259"/>
        <v>1499.6999999999998</v>
      </c>
      <c r="X251" s="73">
        <f t="shared" si="260"/>
        <v>1922767</v>
      </c>
      <c r="Y251" s="187">
        <f t="shared" ref="Y251:Y282" si="364">ROUND((X251/C251)*H251,0)</f>
        <v>13014</v>
      </c>
      <c r="Z251" s="175">
        <f t="shared" si="275"/>
        <v>1935781</v>
      </c>
      <c r="AA251" s="40">
        <f t="shared" si="261"/>
        <v>25912</v>
      </c>
      <c r="AB251" s="519">
        <f>[9]RMWh!$L131</f>
        <v>1929344</v>
      </c>
      <c r="AC251" s="107">
        <f>'[7]Gov 65 &amp; 70'!$B336</f>
        <v>30.6</v>
      </c>
      <c r="AD251" s="4">
        <f t="shared" si="262"/>
        <v>1917995</v>
      </c>
      <c r="AE251" s="4">
        <f t="shared" si="356"/>
        <v>62640</v>
      </c>
      <c r="AF251" s="23">
        <f t="shared" si="263"/>
        <v>1438.8</v>
      </c>
      <c r="AG251" s="75">
        <f t="shared" ref="AG251:AG256" si="365">AF251-AF239</f>
        <v>50</v>
      </c>
      <c r="AI251" s="303">
        <f t="shared" si="224"/>
        <v>0.17139363116709963</v>
      </c>
      <c r="AU251" s="4">
        <f t="shared" si="304"/>
        <v>2003</v>
      </c>
      <c r="AV251" s="4">
        <f t="shared" si="305"/>
        <v>7</v>
      </c>
      <c r="AW251" s="230">
        <f>'[8]RES 62 &amp; 67'!$S336</f>
        <v>477.4</v>
      </c>
      <c r="AX251" s="200">
        <f t="shared" si="306"/>
        <v>484.1</v>
      </c>
      <c r="AY251" s="203">
        <f t="shared" si="358"/>
        <v>6.7000000000000455</v>
      </c>
      <c r="AZ251" s="230">
        <f>'[8]RES 62 &amp; 67'!$J336</f>
        <v>0</v>
      </c>
      <c r="BA251" s="183">
        <f t="shared" si="307"/>
        <v>0</v>
      </c>
      <c r="BB251" s="429">
        <f t="shared" si="359"/>
        <v>0</v>
      </c>
      <c r="BC251" s="206">
        <f t="shared" si="276"/>
        <v>14.472000000000099</v>
      </c>
      <c r="BD251" s="206">
        <f t="shared" si="277"/>
        <v>0</v>
      </c>
      <c r="BE251" s="206">
        <f t="shared" si="278"/>
        <v>14.472000000000099</v>
      </c>
      <c r="BF251" s="207">
        <f t="shared" si="279"/>
        <v>0</v>
      </c>
      <c r="BG251" s="219">
        <f t="shared" si="280"/>
        <v>14.5</v>
      </c>
      <c r="BH251" s="4">
        <f t="shared" si="320"/>
        <v>2003</v>
      </c>
      <c r="BI251" s="4">
        <f t="shared" si="321"/>
        <v>7</v>
      </c>
      <c r="BJ251" s="108">
        <f>C251+[4]MWh!$AJ85</f>
        <v>2024705.4754034434</v>
      </c>
      <c r="BK251" s="108">
        <f t="shared" si="333"/>
        <v>13704.226085031967</v>
      </c>
      <c r="BL251" s="108">
        <f t="shared" si="225"/>
        <v>2011001.2493184116</v>
      </c>
      <c r="BM251" s="189">
        <f t="shared" si="334"/>
        <v>1583.0201472570504</v>
      </c>
      <c r="BN251" s="6">
        <f t="shared" si="335"/>
        <v>2029592</v>
      </c>
      <c r="BO251" s="175">
        <f t="shared" si="226"/>
        <v>13831</v>
      </c>
      <c r="BP251" s="108">
        <f t="shared" si="227"/>
        <v>18717.524596556461</v>
      </c>
      <c r="BQ251" s="76">
        <f t="shared" si="336"/>
        <v>1518.8222392447567</v>
      </c>
      <c r="BR251" s="76">
        <f t="shared" si="337"/>
        <v>1532.8630925768673</v>
      </c>
      <c r="BS251" s="76">
        <f t="shared" si="360"/>
        <v>118.87546630384441</v>
      </c>
      <c r="BT251" s="175">
        <f t="shared" si="322"/>
        <v>2043423</v>
      </c>
      <c r="BU251" s="108">
        <f t="shared" ref="BU251:BU256" si="366">BT251-BT239</f>
        <v>154484</v>
      </c>
      <c r="BW251" s="529">
        <f>BT251/[9]RMWh!$L131</f>
        <v>1.0591283876799575</v>
      </c>
      <c r="CK251" s="165">
        <v>37803</v>
      </c>
      <c r="CL251" s="40">
        <f>BP251+COML!BV251+SPA!BV251</f>
        <v>24828.524596556461</v>
      </c>
      <c r="CM251" s="40">
        <f>ROUND('[14]2003'!$D38,0)</f>
        <v>156812</v>
      </c>
      <c r="CN251" s="2">
        <f t="shared" si="361"/>
        <v>-131983.47540344353</v>
      </c>
      <c r="CO251" s="108">
        <f>'[2]FPC wSEB'!$R348</f>
        <v>4350950</v>
      </c>
      <c r="CP251" s="108">
        <f>'[2]FPC wSEB'!$C348-SUM('[2]FPC wSEB'!$K348:$L348)</f>
        <v>3601158</v>
      </c>
      <c r="CQ251" s="108">
        <f>'[2]FPC wSEB'!$T348-'[2]FPC wSEB'!$T347</f>
        <v>176974</v>
      </c>
      <c r="CR251" s="108">
        <f>SUM('[2]FPC wSEB'!$K348:$L348)</f>
        <v>302634</v>
      </c>
      <c r="CS251" s="108">
        <f>('[2]FPC wSEB'!$N348)-CQ251</f>
        <v>23881</v>
      </c>
      <c r="CT251" s="108">
        <f>'[2]FPC wSEB'!$P348</f>
        <v>8255</v>
      </c>
      <c r="CU251" s="108">
        <f>'[2]FPC wSEB'!$Q348</f>
        <v>238048</v>
      </c>
      <c r="CV251" s="115">
        <f t="shared" ref="CV251:CV256" si="367">CO251-SUM(CP251:CU251)</f>
        <v>0</v>
      </c>
      <c r="CW251" s="108">
        <f t="shared" si="357"/>
        <v>4261459</v>
      </c>
      <c r="CX251" s="108">
        <f t="shared" ref="CX251:CX256" si="368">SUM(CP251:CS251)+CL251</f>
        <v>4129475.5245965566</v>
      </c>
      <c r="CY251" s="108">
        <f t="shared" ref="CY251:CY256" si="369">CW251-CX251</f>
        <v>131983.47540344344</v>
      </c>
    </row>
    <row r="252" spans="1:103">
      <c r="A252" s="13">
        <f t="shared" si="299"/>
        <v>2003</v>
      </c>
      <c r="B252" s="13">
        <f t="shared" si="300"/>
        <v>8</v>
      </c>
      <c r="C252" s="5">
        <f>'[2]FPC wSEB'!$D349</f>
        <v>1854598</v>
      </c>
      <c r="D252" s="5">
        <f>'[2]FPC wSEB'!$X349</f>
        <v>1324179</v>
      </c>
      <c r="E252" s="5">
        <f t="shared" ref="E252:E282" si="370">ROUND(C252-H252,0)</f>
        <v>1842499</v>
      </c>
      <c r="F252" s="5">
        <f t="shared" ref="F252:F282" si="371">ROUND(D252-I252,0)</f>
        <v>1274421</v>
      </c>
      <c r="G252" s="74">
        <f t="shared" si="269"/>
        <v>1445.8</v>
      </c>
      <c r="H252" s="190">
        <v>12099.218999999999</v>
      </c>
      <c r="I252" s="170">
        <v>49758</v>
      </c>
      <c r="J252" s="230">
        <f>'[7]RES 62 &amp; 67'!$S337</f>
        <v>436.3</v>
      </c>
      <c r="K252" s="183">
        <f t="shared" si="301"/>
        <v>481.4</v>
      </c>
      <c r="L252" s="233">
        <f t="shared" si="362"/>
        <v>45.099999999999966</v>
      </c>
      <c r="M252" s="230">
        <f>'[7]RES 62 &amp; 67'!$J337</f>
        <v>0</v>
      </c>
      <c r="N252" s="183">
        <f t="shared" si="302"/>
        <v>0</v>
      </c>
      <c r="O252" s="236">
        <f t="shared" si="363"/>
        <v>0</v>
      </c>
      <c r="P252" s="206">
        <f t="shared" si="270"/>
        <v>97.415999999999926</v>
      </c>
      <c r="Q252" s="208">
        <f t="shared" si="271"/>
        <v>0</v>
      </c>
      <c r="R252" s="467">
        <f t="shared" si="272"/>
        <v>97.415999999999926</v>
      </c>
      <c r="S252" s="470">
        <f t="shared" si="273"/>
        <v>0</v>
      </c>
      <c r="T252" s="425">
        <f t="shared" si="274"/>
        <v>97.4</v>
      </c>
      <c r="U252" s="579">
        <f>[5]RC!$E132</f>
        <v>1332916</v>
      </c>
      <c r="V252" s="447">
        <v>37834</v>
      </c>
      <c r="W252" s="191">
        <f t="shared" si="259"/>
        <v>1543.2</v>
      </c>
      <c r="X252" s="73">
        <f t="shared" si="260"/>
        <v>1966686</v>
      </c>
      <c r="Y252" s="187">
        <f t="shared" si="364"/>
        <v>12830</v>
      </c>
      <c r="Z252" s="175">
        <f t="shared" si="275"/>
        <v>1979516</v>
      </c>
      <c r="AA252" s="40">
        <f t="shared" si="261"/>
        <v>124918</v>
      </c>
      <c r="AB252" s="519">
        <f>[9]RMWh!$L132</f>
        <v>1993797</v>
      </c>
      <c r="AC252" s="107">
        <f>'[7]Gov 65 &amp; 70'!$B337</f>
        <v>29.6</v>
      </c>
      <c r="AD252" s="4">
        <f t="shared" si="262"/>
        <v>2049031</v>
      </c>
      <c r="AE252" s="4">
        <f t="shared" ref="AE252:AE257" si="372">AD252-AD240</f>
        <v>98850</v>
      </c>
      <c r="AF252" s="23">
        <f t="shared" si="263"/>
        <v>1547.4</v>
      </c>
      <c r="AG252" s="75">
        <f t="shared" si="365"/>
        <v>45.600000000000136</v>
      </c>
      <c r="AI252" s="303">
        <f t="shared" si="224"/>
        <v>0.16818459026012916</v>
      </c>
      <c r="AU252" s="4">
        <f t="shared" si="304"/>
        <v>2003</v>
      </c>
      <c r="AV252" s="4">
        <f t="shared" si="305"/>
        <v>8</v>
      </c>
      <c r="AW252" s="230">
        <f>'[8]RES 62 &amp; 67'!$S337</f>
        <v>448.6</v>
      </c>
      <c r="AX252" s="200">
        <f t="shared" si="306"/>
        <v>487.3</v>
      </c>
      <c r="AY252" s="203">
        <f t="shared" si="358"/>
        <v>38.699999999999989</v>
      </c>
      <c r="AZ252" s="230">
        <f>'[8]RES 62 &amp; 67'!$J337</f>
        <v>0</v>
      </c>
      <c r="BA252" s="183">
        <f t="shared" si="307"/>
        <v>0</v>
      </c>
      <c r="BB252" s="429">
        <f t="shared" si="359"/>
        <v>0</v>
      </c>
      <c r="BC252" s="206">
        <f t="shared" si="276"/>
        <v>83.591999999999985</v>
      </c>
      <c r="BD252" s="206">
        <f t="shared" si="277"/>
        <v>0</v>
      </c>
      <c r="BE252" s="206">
        <f t="shared" si="278"/>
        <v>83.591999999999985</v>
      </c>
      <c r="BF252" s="207">
        <f t="shared" si="279"/>
        <v>0</v>
      </c>
      <c r="BG252" s="219">
        <f t="shared" si="280"/>
        <v>83.6</v>
      </c>
      <c r="BH252" s="4">
        <f t="shared" si="320"/>
        <v>2003</v>
      </c>
      <c r="BI252" s="4">
        <f t="shared" si="321"/>
        <v>8</v>
      </c>
      <c r="BJ252" s="108">
        <f>C252+[4]MWh!$AJ86</f>
        <v>1886392.5706641418</v>
      </c>
      <c r="BK252" s="108">
        <f t="shared" si="333"/>
        <v>12306.643721409397</v>
      </c>
      <c r="BL252" s="108">
        <f t="shared" ref="BL252:BL282" si="373">BJ252-BK252</f>
        <v>1874085.9269427324</v>
      </c>
      <c r="BM252" s="189">
        <f t="shared" si="334"/>
        <v>1554.1391130111103</v>
      </c>
      <c r="BN252" s="6">
        <f t="shared" si="335"/>
        <v>1980628</v>
      </c>
      <c r="BO252" s="175">
        <f t="shared" ref="BO252:BO282" si="374">ROUND(BN252/BL252*BK252,0)</f>
        <v>13006</v>
      </c>
      <c r="BP252" s="108">
        <f t="shared" ref="BP252:BP282" si="375">(BN252-BL252)+(BO252-BK252)</f>
        <v>107241.42933585818</v>
      </c>
      <c r="BQ252" s="76">
        <f t="shared" si="336"/>
        <v>1424.5752052132996</v>
      </c>
      <c r="BR252" s="76">
        <f t="shared" si="337"/>
        <v>1505.5623144605072</v>
      </c>
      <c r="BS252" s="76">
        <f t="shared" si="360"/>
        <v>-44.107620512215817</v>
      </c>
      <c r="BT252" s="175">
        <f t="shared" ref="BT252:BT282" si="376">(BN252+BO252)</f>
        <v>1993634</v>
      </c>
      <c r="BU252" s="108">
        <f t="shared" si="366"/>
        <v>-18662</v>
      </c>
      <c r="BW252" s="529">
        <f>BT252/[9]RMWh!$L132</f>
        <v>0.99991824644133775</v>
      </c>
      <c r="CK252" s="165">
        <v>37834</v>
      </c>
      <c r="CL252" s="40">
        <f>BP252+COML!BV252+SPA!BV252</f>
        <v>142357.42933585818</v>
      </c>
      <c r="CM252" s="40">
        <f>ROUND('[14]2003'!$D39,0)</f>
        <v>233930</v>
      </c>
      <c r="CN252" s="2">
        <f t="shared" si="361"/>
        <v>-91572.570664141822</v>
      </c>
      <c r="CO252" s="108">
        <f>'[2]FPC wSEB'!$R349</f>
        <v>4220401</v>
      </c>
      <c r="CP252" s="108">
        <f>'[2]FPC wSEB'!$C349-SUM('[2]FPC wSEB'!$K349:$L349)</f>
        <v>3525125</v>
      </c>
      <c r="CQ252" s="108">
        <f>'[2]FPC wSEB'!$T349-'[2]FPC wSEB'!$T348</f>
        <v>77235</v>
      </c>
      <c r="CR252" s="108">
        <f>SUM('[2]FPC wSEB'!$K349:$L349)</f>
        <v>273148</v>
      </c>
      <c r="CS252" s="108">
        <f>('[2]FPC wSEB'!$N349)-CQ252</f>
        <v>64620</v>
      </c>
      <c r="CT252" s="108">
        <f>'[2]FPC wSEB'!$P349</f>
        <v>11447</v>
      </c>
      <c r="CU252" s="108">
        <f>'[2]FPC wSEB'!$Q349</f>
        <v>268826</v>
      </c>
      <c r="CV252" s="115">
        <f t="shared" si="367"/>
        <v>0</v>
      </c>
      <c r="CW252" s="108">
        <f t="shared" si="357"/>
        <v>4174058</v>
      </c>
      <c r="CX252" s="108">
        <f t="shared" si="368"/>
        <v>4082485.4293358582</v>
      </c>
      <c r="CY252" s="108">
        <f t="shared" si="369"/>
        <v>91572.570664141793</v>
      </c>
    </row>
    <row r="253" spans="1:103">
      <c r="A253" s="13">
        <f t="shared" si="299"/>
        <v>2003</v>
      </c>
      <c r="B253" s="13">
        <f t="shared" si="300"/>
        <v>9</v>
      </c>
      <c r="C253" s="5">
        <f>'[2]FPC wSEB'!$D350</f>
        <v>1974784</v>
      </c>
      <c r="D253" s="5">
        <f>'[2]FPC wSEB'!$X350</f>
        <v>1353638</v>
      </c>
      <c r="E253" s="5">
        <f t="shared" si="370"/>
        <v>1961447</v>
      </c>
      <c r="F253" s="5">
        <f t="shared" si="371"/>
        <v>1301661</v>
      </c>
      <c r="G253" s="74">
        <f t="shared" si="269"/>
        <v>1506.9</v>
      </c>
      <c r="H253" s="190">
        <v>13337.377</v>
      </c>
      <c r="I253" s="170">
        <v>51977</v>
      </c>
      <c r="J253" s="230">
        <f>'[7]RES 62 &amp; 67'!$S338</f>
        <v>454.3</v>
      </c>
      <c r="K253" s="183">
        <f t="shared" si="301"/>
        <v>473.7</v>
      </c>
      <c r="L253" s="233">
        <f t="shared" si="362"/>
        <v>19.399999999999977</v>
      </c>
      <c r="M253" s="230">
        <f>'[7]RES 62 &amp; 67'!$J338</f>
        <v>0</v>
      </c>
      <c r="N253" s="183">
        <f t="shared" si="302"/>
        <v>0</v>
      </c>
      <c r="O253" s="236">
        <f t="shared" si="363"/>
        <v>0</v>
      </c>
      <c r="P253" s="206">
        <f t="shared" si="270"/>
        <v>41.903999999999954</v>
      </c>
      <c r="Q253" s="208">
        <f t="shared" si="271"/>
        <v>0</v>
      </c>
      <c r="R253" s="467">
        <f t="shared" si="272"/>
        <v>41.903999999999954</v>
      </c>
      <c r="S253" s="470">
        <f t="shared" si="273"/>
        <v>0</v>
      </c>
      <c r="T253" s="425">
        <f t="shared" si="274"/>
        <v>41.9</v>
      </c>
      <c r="U253" s="579">
        <f>[5]RC!$E133</f>
        <v>1334628</v>
      </c>
      <c r="V253" s="447">
        <v>37865</v>
      </c>
      <c r="W253" s="191">
        <f t="shared" si="259"/>
        <v>1548.8000000000002</v>
      </c>
      <c r="X253" s="73">
        <f t="shared" si="260"/>
        <v>2016013</v>
      </c>
      <c r="Y253" s="187">
        <f t="shared" si="364"/>
        <v>13616</v>
      </c>
      <c r="Z253" s="175">
        <f t="shared" si="275"/>
        <v>2029629</v>
      </c>
      <c r="AA253" s="40">
        <f t="shared" si="261"/>
        <v>54845</v>
      </c>
      <c r="AB253" s="519">
        <f>[9]RMWh!$L133</f>
        <v>2000626</v>
      </c>
      <c r="AC253" s="107">
        <f>'[7]Gov 65 &amp; 70'!$B338</f>
        <v>32.049999999999997</v>
      </c>
      <c r="AD253" s="4">
        <f t="shared" si="262"/>
        <v>1898878</v>
      </c>
      <c r="AE253" s="4">
        <f t="shared" si="372"/>
        <v>-18242</v>
      </c>
      <c r="AF253" s="23">
        <f t="shared" si="263"/>
        <v>1402.8</v>
      </c>
      <c r="AG253" s="75">
        <f t="shared" si="365"/>
        <v>-55.299999999999955</v>
      </c>
      <c r="AI253" s="303">
        <f t="shared" ref="AI253:AI284" si="377">(H253/I253*1000)/G253</f>
        <v>0.17028436927147009</v>
      </c>
      <c r="AU253" s="4">
        <f t="shared" si="304"/>
        <v>2003</v>
      </c>
      <c r="AV253" s="4">
        <f t="shared" si="305"/>
        <v>9</v>
      </c>
      <c r="AW253" s="230">
        <f>'[8]RES 62 &amp; 67'!$S338</f>
        <v>394.1</v>
      </c>
      <c r="AX253" s="200">
        <f t="shared" si="306"/>
        <v>428.3</v>
      </c>
      <c r="AY253" s="203">
        <f t="shared" si="358"/>
        <v>34.199999999999989</v>
      </c>
      <c r="AZ253" s="230">
        <f>'[8]RES 62 &amp; 67'!$J338</f>
        <v>0.1</v>
      </c>
      <c r="BA253" s="183">
        <f t="shared" si="307"/>
        <v>0</v>
      </c>
      <c r="BB253" s="429">
        <f t="shared" si="359"/>
        <v>-0.1</v>
      </c>
      <c r="BC253" s="206">
        <f t="shared" si="276"/>
        <v>73.871999999999986</v>
      </c>
      <c r="BD253" s="206">
        <f t="shared" si="277"/>
        <v>0</v>
      </c>
      <c r="BE253" s="206">
        <f t="shared" si="278"/>
        <v>73.871999999999986</v>
      </c>
      <c r="BF253" s="207">
        <f t="shared" si="279"/>
        <v>-0.27100000000000002</v>
      </c>
      <c r="BG253" s="219">
        <f t="shared" si="280"/>
        <v>73.599999999999994</v>
      </c>
      <c r="BH253" s="4">
        <f t="shared" si="320"/>
        <v>2003</v>
      </c>
      <c r="BI253" s="4">
        <f t="shared" si="321"/>
        <v>9</v>
      </c>
      <c r="BJ253" s="108">
        <f>C253+[4]MWh!$AJ87</f>
        <v>1769476.8573688043</v>
      </c>
      <c r="BK253" s="108">
        <f t="shared" si="333"/>
        <v>11950.765217615177</v>
      </c>
      <c r="BL253" s="108">
        <f t="shared" si="373"/>
        <v>1757526.092151189</v>
      </c>
      <c r="BM253" s="189">
        <f t="shared" si="334"/>
        <v>1423.8179846758787</v>
      </c>
      <c r="BN253" s="6">
        <f t="shared" si="335"/>
        <v>1853328</v>
      </c>
      <c r="BO253" s="175">
        <f t="shared" si="374"/>
        <v>12602</v>
      </c>
      <c r="BP253" s="108">
        <f t="shared" si="375"/>
        <v>96453.142631195835</v>
      </c>
      <c r="BQ253" s="76">
        <f t="shared" si="336"/>
        <v>1307.2009336091367</v>
      </c>
      <c r="BR253" s="76">
        <f t="shared" si="337"/>
        <v>1378.4556875619626</v>
      </c>
      <c r="BS253" s="76">
        <f t="shared" si="360"/>
        <v>25.511781911759954</v>
      </c>
      <c r="BT253" s="175">
        <f t="shared" si="376"/>
        <v>1865930</v>
      </c>
      <c r="BU253" s="108">
        <f t="shared" si="366"/>
        <v>87124</v>
      </c>
      <c r="BW253" s="529">
        <f>BT253/[9]RMWh!$L133</f>
        <v>0.93267307332804827</v>
      </c>
      <c r="CK253" s="165">
        <v>37865</v>
      </c>
      <c r="CL253" s="40">
        <f>BP253+COML!BV253+SPA!BV253</f>
        <v>127566.14263119595</v>
      </c>
      <c r="CM253" s="40">
        <f>ROUND('[14]2003'!$D40,0)</f>
        <v>165797</v>
      </c>
      <c r="CN253" s="2">
        <f t="shared" si="361"/>
        <v>-38230.857368804049</v>
      </c>
      <c r="CO253" s="108">
        <f>'[2]FPC wSEB'!$R350</f>
        <v>3987945</v>
      </c>
      <c r="CP253" s="108">
        <f>'[2]FPC wSEB'!$C350-SUM('[2]FPC wSEB'!$K350:$L350)</f>
        <v>3780268</v>
      </c>
      <c r="CQ253" s="108">
        <f>'[2]FPC wSEB'!$T350-'[2]FPC wSEB'!$T349</f>
        <v>-377635</v>
      </c>
      <c r="CR253" s="108">
        <f>SUM('[2]FPC wSEB'!$K350:$L350)</f>
        <v>383961</v>
      </c>
      <c r="CS253" s="108">
        <f>('[2]FPC wSEB'!$N350)-CQ253</f>
        <v>-77728</v>
      </c>
      <c r="CT253" s="108">
        <f>'[2]FPC wSEB'!$P350</f>
        <v>8450</v>
      </c>
      <c r="CU253" s="108">
        <f>'[2]FPC wSEB'!$Q350</f>
        <v>270629</v>
      </c>
      <c r="CV253" s="115">
        <f t="shared" si="367"/>
        <v>0</v>
      </c>
      <c r="CW253" s="108">
        <f t="shared" ref="CW253:CW258" si="378">CO253-CT253-CU253+CM253</f>
        <v>3874663</v>
      </c>
      <c r="CX253" s="108">
        <f t="shared" si="368"/>
        <v>3836432.142631196</v>
      </c>
      <c r="CY253" s="108">
        <f t="shared" si="369"/>
        <v>38230.857368804049</v>
      </c>
    </row>
    <row r="254" spans="1:103">
      <c r="A254" s="13">
        <f t="shared" si="299"/>
        <v>2003</v>
      </c>
      <c r="B254" s="13">
        <f t="shared" si="300"/>
        <v>10</v>
      </c>
      <c r="C254" s="5">
        <f>'[2]FPC wSEB'!$D351</f>
        <v>1612643</v>
      </c>
      <c r="D254" s="5">
        <f>'[2]FPC wSEB'!$X351</f>
        <v>1350881</v>
      </c>
      <c r="E254" s="5">
        <f t="shared" si="370"/>
        <v>1599740</v>
      </c>
      <c r="F254" s="5">
        <f t="shared" si="371"/>
        <v>1299372</v>
      </c>
      <c r="G254" s="74">
        <f t="shared" si="269"/>
        <v>1231.2</v>
      </c>
      <c r="H254" s="190">
        <v>12902.814</v>
      </c>
      <c r="I254" s="170">
        <v>51509</v>
      </c>
      <c r="J254" s="230">
        <f>'[7]RES 62 &amp; 67'!$S339</f>
        <v>337.8</v>
      </c>
      <c r="K254" s="183">
        <f t="shared" si="301"/>
        <v>373.2</v>
      </c>
      <c r="L254" s="233">
        <f t="shared" si="362"/>
        <v>35.399999999999977</v>
      </c>
      <c r="M254" s="230">
        <f>'[7]RES 62 &amp; 67'!$J339</f>
        <v>0.8</v>
      </c>
      <c r="N254" s="183">
        <f t="shared" si="302"/>
        <v>1.3</v>
      </c>
      <c r="O254" s="236">
        <f t="shared" si="363"/>
        <v>0.5</v>
      </c>
      <c r="P254" s="206">
        <f t="shared" si="270"/>
        <v>76.463999999999956</v>
      </c>
      <c r="Q254" s="208">
        <f t="shared" si="271"/>
        <v>0</v>
      </c>
      <c r="R254" s="467">
        <f t="shared" si="272"/>
        <v>76.463999999999956</v>
      </c>
      <c r="S254" s="470">
        <f t="shared" si="273"/>
        <v>1.355</v>
      </c>
      <c r="T254" s="425">
        <f t="shared" si="274"/>
        <v>77.8</v>
      </c>
      <c r="U254" s="579">
        <f>[5]RC!$E134</f>
        <v>1337646</v>
      </c>
      <c r="V254" s="447">
        <v>37895</v>
      </c>
      <c r="W254" s="191">
        <f t="shared" si="259"/>
        <v>1309</v>
      </c>
      <c r="X254" s="73">
        <f t="shared" si="260"/>
        <v>1700878</v>
      </c>
      <c r="Y254" s="187">
        <f t="shared" si="364"/>
        <v>13609</v>
      </c>
      <c r="Z254" s="175">
        <f t="shared" si="275"/>
        <v>1714487</v>
      </c>
      <c r="AA254" s="40">
        <f t="shared" si="261"/>
        <v>101844</v>
      </c>
      <c r="AB254" s="519">
        <f>[9]RMWh!$L134</f>
        <v>1716331</v>
      </c>
      <c r="AC254" s="107">
        <f>'[7]Gov 65 &amp; 70'!$B339</f>
        <v>29.55</v>
      </c>
      <c r="AD254" s="4">
        <f t="shared" si="262"/>
        <v>1766863</v>
      </c>
      <c r="AE254" s="4">
        <f t="shared" si="372"/>
        <v>80347</v>
      </c>
      <c r="AF254" s="23">
        <f t="shared" si="263"/>
        <v>1307.9000000000001</v>
      </c>
      <c r="AG254" s="75">
        <f t="shared" si="365"/>
        <v>-27.199999999999818</v>
      </c>
      <c r="AI254" s="303">
        <f t="shared" si="377"/>
        <v>0.20345703510168381</v>
      </c>
      <c r="AU254" s="4">
        <f t="shared" si="304"/>
        <v>2003</v>
      </c>
      <c r="AV254" s="4">
        <f t="shared" si="305"/>
        <v>10</v>
      </c>
      <c r="AW254" s="230">
        <f>'[8]RES 62 &amp; 67'!$S339</f>
        <v>276.3</v>
      </c>
      <c r="AX254" s="200">
        <f t="shared" si="306"/>
        <v>277.60000000000002</v>
      </c>
      <c r="AY254" s="203">
        <f t="shared" ref="AY254:AY259" si="379">AX254-AW254</f>
        <v>1.3000000000000114</v>
      </c>
      <c r="AZ254" s="230">
        <f>'[8]RES 62 &amp; 67'!$J339</f>
        <v>3</v>
      </c>
      <c r="BA254" s="183">
        <f t="shared" si="307"/>
        <v>8.5</v>
      </c>
      <c r="BB254" s="429">
        <f t="shared" si="359"/>
        <v>5.5</v>
      </c>
      <c r="BC254" s="206">
        <f t="shared" si="276"/>
        <v>2.8080000000000247</v>
      </c>
      <c r="BD254" s="206">
        <f t="shared" si="277"/>
        <v>0</v>
      </c>
      <c r="BE254" s="206">
        <f t="shared" si="278"/>
        <v>2.8080000000000247</v>
      </c>
      <c r="BF254" s="207">
        <f t="shared" si="279"/>
        <v>14.904999999999999</v>
      </c>
      <c r="BG254" s="219">
        <f t="shared" si="280"/>
        <v>17.7</v>
      </c>
      <c r="BH254" s="4">
        <f t="shared" si="320"/>
        <v>2003</v>
      </c>
      <c r="BI254" s="4">
        <f t="shared" si="321"/>
        <v>10</v>
      </c>
      <c r="BJ254" s="108">
        <f>C254+[4]MWh!$AJ88</f>
        <v>1594910.2367866158</v>
      </c>
      <c r="BK254" s="108">
        <f t="shared" si="333"/>
        <v>12760.933530827135</v>
      </c>
      <c r="BL254" s="108">
        <f t="shared" si="373"/>
        <v>1582149.3032557887</v>
      </c>
      <c r="BM254" s="189">
        <f t="shared" si="334"/>
        <v>1235.3261326670029</v>
      </c>
      <c r="BN254" s="6">
        <f t="shared" si="335"/>
        <v>1605148</v>
      </c>
      <c r="BO254" s="175">
        <f t="shared" si="374"/>
        <v>12946</v>
      </c>
      <c r="BP254" s="108">
        <f t="shared" si="375"/>
        <v>23183.763213384118</v>
      </c>
      <c r="BQ254" s="76">
        <f t="shared" si="336"/>
        <v>1180.6445103503681</v>
      </c>
      <c r="BR254" s="76">
        <f t="shared" si="337"/>
        <v>1197.8064685194329</v>
      </c>
      <c r="BS254" s="76">
        <f t="shared" si="360"/>
        <v>-12.690514496474407</v>
      </c>
      <c r="BT254" s="175">
        <f t="shared" si="376"/>
        <v>1618094</v>
      </c>
      <c r="BU254" s="108">
        <f t="shared" si="366"/>
        <v>89016</v>
      </c>
      <c r="BW254" s="529">
        <f>BT254/[9]RMWh!$L134</f>
        <v>0.942763371400971</v>
      </c>
      <c r="CK254" s="165">
        <v>37895</v>
      </c>
      <c r="CL254" s="40">
        <f>BP254+COML!BV254+SPA!BV254</f>
        <v>24892.763213384118</v>
      </c>
      <c r="CM254" s="40">
        <f>ROUND('[14]2003'!$D41,0)</f>
        <v>29512</v>
      </c>
      <c r="CN254" s="2">
        <f t="shared" si="361"/>
        <v>-4619.236786615882</v>
      </c>
      <c r="CO254" s="108">
        <f>'[2]FPC wSEB'!$R351</f>
        <v>3631460</v>
      </c>
      <c r="CP254" s="108">
        <f>'[2]FPC wSEB'!$C351-SUM('[2]FPC wSEB'!$K351:$L351)</f>
        <v>3249722</v>
      </c>
      <c r="CQ254" s="108">
        <f>'[2]FPC wSEB'!$T351-'[2]FPC wSEB'!$T350</f>
        <v>58300</v>
      </c>
      <c r="CR254" s="108">
        <f>SUM('[2]FPC wSEB'!$K351:$L351)</f>
        <v>323692</v>
      </c>
      <c r="CS254" s="108">
        <f>('[2]FPC wSEB'!$N351)-CQ254</f>
        <v>-26345</v>
      </c>
      <c r="CT254" s="108">
        <f>'[2]FPC wSEB'!$P351</f>
        <v>12530</v>
      </c>
      <c r="CU254" s="108">
        <f>'[2]FPC wSEB'!$Q351</f>
        <v>13561</v>
      </c>
      <c r="CV254" s="115">
        <f t="shared" si="367"/>
        <v>0</v>
      </c>
      <c r="CW254" s="108">
        <f t="shared" si="378"/>
        <v>3634881</v>
      </c>
      <c r="CX254" s="108">
        <f t="shared" si="368"/>
        <v>3630261.763213384</v>
      </c>
      <c r="CY254" s="108">
        <f t="shared" si="369"/>
        <v>4619.2367866160348</v>
      </c>
    </row>
    <row r="255" spans="1:103">
      <c r="A255" s="13">
        <f t="shared" si="299"/>
        <v>2003</v>
      </c>
      <c r="B255" s="13">
        <f t="shared" si="300"/>
        <v>11</v>
      </c>
      <c r="C255" s="5">
        <f>'[2]FPC wSEB'!$D352</f>
        <v>1401461</v>
      </c>
      <c r="D255" s="5">
        <f>'[2]FPC wSEB'!$X352</f>
        <v>1349774</v>
      </c>
      <c r="E255" s="5">
        <f t="shared" si="370"/>
        <v>1384679</v>
      </c>
      <c r="F255" s="5">
        <f t="shared" si="371"/>
        <v>1299431</v>
      </c>
      <c r="G255" s="74">
        <f t="shared" si="269"/>
        <v>1065.5999999999999</v>
      </c>
      <c r="H255" s="190">
        <v>16781.883999999998</v>
      </c>
      <c r="I255" s="170">
        <v>50343</v>
      </c>
      <c r="J255" s="230">
        <f>'[7]RES 62 &amp; 67'!$S340</f>
        <v>245.1</v>
      </c>
      <c r="K255" s="183">
        <f t="shared" si="301"/>
        <v>204.3</v>
      </c>
      <c r="L255" s="233">
        <f t="shared" si="362"/>
        <v>-40.799999999999983</v>
      </c>
      <c r="M255" s="230">
        <f>'[7]RES 62 &amp; 67'!$J340</f>
        <v>6.7</v>
      </c>
      <c r="N255" s="183">
        <f t="shared" si="302"/>
        <v>24.1</v>
      </c>
      <c r="O255" s="236">
        <f t="shared" si="363"/>
        <v>17.400000000000002</v>
      </c>
      <c r="P255" s="206">
        <f t="shared" si="270"/>
        <v>-88.127999999999972</v>
      </c>
      <c r="Q255" s="208">
        <f t="shared" si="271"/>
        <v>0</v>
      </c>
      <c r="R255" s="467">
        <f t="shared" si="272"/>
        <v>-88.127999999999972</v>
      </c>
      <c r="S255" s="470">
        <f t="shared" si="273"/>
        <v>47.154000000000003</v>
      </c>
      <c r="T255" s="425">
        <f t="shared" si="274"/>
        <v>-41</v>
      </c>
      <c r="U255" s="579">
        <f>[5]RC!$E135</f>
        <v>1343487</v>
      </c>
      <c r="V255" s="447">
        <v>37926</v>
      </c>
      <c r="W255" s="191">
        <f t="shared" si="259"/>
        <v>1024.5999999999999</v>
      </c>
      <c r="X255" s="73">
        <f t="shared" si="260"/>
        <v>1331397</v>
      </c>
      <c r="Y255" s="187">
        <f t="shared" si="364"/>
        <v>15943</v>
      </c>
      <c r="Z255" s="175">
        <f t="shared" si="275"/>
        <v>1347340</v>
      </c>
      <c r="AA255" s="40">
        <f t="shared" si="261"/>
        <v>-54121</v>
      </c>
      <c r="AB255" s="519">
        <f>[9]RMWh!$L135</f>
        <v>1335804</v>
      </c>
      <c r="AC255" s="107">
        <f>'[7]Gov 65 &amp; 70'!$B340</f>
        <v>30.15</v>
      </c>
      <c r="AD255" s="4">
        <f t="shared" si="262"/>
        <v>1347766</v>
      </c>
      <c r="AE255" s="4">
        <f t="shared" si="372"/>
        <v>46514</v>
      </c>
      <c r="AF255" s="23">
        <f t="shared" si="263"/>
        <v>998.5</v>
      </c>
      <c r="AG255" s="75">
        <f t="shared" si="365"/>
        <v>55.700000000000045</v>
      </c>
      <c r="AI255" s="303">
        <f t="shared" si="377"/>
        <v>0.31282929136156001</v>
      </c>
      <c r="AU255" s="4">
        <f t="shared" si="304"/>
        <v>2003</v>
      </c>
      <c r="AV255" s="4">
        <f t="shared" si="305"/>
        <v>11</v>
      </c>
      <c r="AW255" s="230">
        <f>'[8]RES 62 &amp; 67'!$S340</f>
        <v>172.2</v>
      </c>
      <c r="AX255" s="200">
        <f t="shared" si="306"/>
        <v>110.2</v>
      </c>
      <c r="AY255" s="203">
        <f t="shared" si="379"/>
        <v>-61.999999999999986</v>
      </c>
      <c r="AZ255" s="230">
        <f>'[8]RES 62 &amp; 67'!$J340</f>
        <v>34.700000000000003</v>
      </c>
      <c r="BA255" s="183">
        <f t="shared" si="307"/>
        <v>45.3</v>
      </c>
      <c r="BB255" s="429">
        <f t="shared" ref="BB255:BB260" si="380">BA255-AZ255</f>
        <v>10.599999999999994</v>
      </c>
      <c r="BC255" s="206">
        <f t="shared" si="276"/>
        <v>-133.91999999999999</v>
      </c>
      <c r="BD255" s="206">
        <f t="shared" si="277"/>
        <v>18.909999999999997</v>
      </c>
      <c r="BE255" s="206">
        <f t="shared" si="278"/>
        <v>-115.00999999999999</v>
      </c>
      <c r="BF255" s="207">
        <f t="shared" si="279"/>
        <v>28.725999999999985</v>
      </c>
      <c r="BG255" s="219">
        <f t="shared" si="280"/>
        <v>-86.3</v>
      </c>
      <c r="BH255" s="4">
        <f t="shared" si="320"/>
        <v>2003</v>
      </c>
      <c r="BI255" s="4">
        <f t="shared" si="321"/>
        <v>11</v>
      </c>
      <c r="BJ255" s="108">
        <f>C255+[4]MWh!$AJ89</f>
        <v>1155834.2110270199</v>
      </c>
      <c r="BK255" s="108">
        <f t="shared" si="333"/>
        <v>13840.61037209524</v>
      </c>
      <c r="BL255" s="108">
        <f t="shared" si="373"/>
        <v>1141993.6006549248</v>
      </c>
      <c r="BM255" s="189">
        <f t="shared" si="334"/>
        <v>792.5412779554473</v>
      </c>
      <c r="BN255" s="6">
        <f t="shared" si="335"/>
        <v>1029853</v>
      </c>
      <c r="BO255" s="175">
        <f t="shared" si="374"/>
        <v>12482</v>
      </c>
      <c r="BP255" s="108">
        <f t="shared" si="375"/>
        <v>-113499.21102701999</v>
      </c>
      <c r="BQ255" s="76">
        <f t="shared" si="336"/>
        <v>856.31684343232257</v>
      </c>
      <c r="BR255" s="76">
        <f t="shared" si="337"/>
        <v>772.22927690117012</v>
      </c>
      <c r="BS255" s="76">
        <f t="shared" si="360"/>
        <v>-47.594727098409635</v>
      </c>
      <c r="BT255" s="175">
        <f t="shared" si="376"/>
        <v>1042335</v>
      </c>
      <c r="BU255" s="108">
        <f t="shared" si="366"/>
        <v>-89141</v>
      </c>
      <c r="BW255" s="529">
        <f>BT255/[9]RMWh!$L135</f>
        <v>0.78030534419720254</v>
      </c>
      <c r="CK255" s="165">
        <v>37926</v>
      </c>
      <c r="CL255" s="40">
        <f>BP255+COML!BV255+SPA!BV255</f>
        <v>-169971.21102702001</v>
      </c>
      <c r="CM255" s="40">
        <f>ROUND('[14]2003'!$D42,0)</f>
        <v>-82725</v>
      </c>
      <c r="CN255" s="2">
        <f t="shared" si="361"/>
        <v>-87246.211027020006</v>
      </c>
      <c r="CO255" s="108">
        <f>'[2]FPC wSEB'!$R352</f>
        <v>3200773</v>
      </c>
      <c r="CP255" s="108">
        <f>'[2]FPC wSEB'!$C352-SUM('[2]FPC wSEB'!$K352:$L352)</f>
        <v>2995022</v>
      </c>
      <c r="CQ255" s="108">
        <f>'[2]FPC wSEB'!$T352-'[2]FPC wSEB'!$T351</f>
        <v>-413443</v>
      </c>
      <c r="CR255" s="108">
        <f>SUM('[2]FPC wSEB'!$K352:$L352)</f>
        <v>311674</v>
      </c>
      <c r="CS255" s="108">
        <f>('[2]FPC wSEB'!$N352)-CQ255</f>
        <v>-35000</v>
      </c>
      <c r="CT255" s="108">
        <f>'[2]FPC wSEB'!$P352</f>
        <v>13803</v>
      </c>
      <c r="CU255" s="108">
        <f>'[2]FPC wSEB'!$Q352</f>
        <v>328717</v>
      </c>
      <c r="CV255" s="115">
        <f t="shared" si="367"/>
        <v>0</v>
      </c>
      <c r="CW255" s="108">
        <f t="shared" si="378"/>
        <v>2775528</v>
      </c>
      <c r="CX255" s="108">
        <f t="shared" si="368"/>
        <v>2688281.7889729799</v>
      </c>
      <c r="CY255" s="108">
        <f t="shared" si="369"/>
        <v>87246.211027020123</v>
      </c>
    </row>
    <row r="256" spans="1:103" s="89" customFormat="1" ht="12.75">
      <c r="A256" s="90">
        <f t="shared" si="299"/>
        <v>2003</v>
      </c>
      <c r="B256" s="90">
        <f t="shared" si="300"/>
        <v>12</v>
      </c>
      <c r="C256" s="103">
        <f>'[2]FPC wSEB'!$D353</f>
        <v>1419232</v>
      </c>
      <c r="D256" s="103">
        <f>'[2]FPC wSEB'!$X353</f>
        <v>1339285</v>
      </c>
      <c r="E256" s="103">
        <f t="shared" si="370"/>
        <v>1395239</v>
      </c>
      <c r="F256" s="103">
        <f t="shared" si="371"/>
        <v>1290514</v>
      </c>
      <c r="G256" s="109">
        <f t="shared" si="269"/>
        <v>1081.0999999999999</v>
      </c>
      <c r="H256" s="196">
        <v>23992.751</v>
      </c>
      <c r="I256" s="197">
        <v>48771</v>
      </c>
      <c r="J256" s="300">
        <f>'[7]RES 62 &amp; 67'!$S341</f>
        <v>90.3</v>
      </c>
      <c r="K256" s="210">
        <f t="shared" si="301"/>
        <v>88</v>
      </c>
      <c r="L256" s="234">
        <f t="shared" si="362"/>
        <v>-2.2999999999999972</v>
      </c>
      <c r="M256" s="300">
        <f>'[7]RES 62 &amp; 67'!$J341</f>
        <v>104.2</v>
      </c>
      <c r="N256" s="210">
        <f t="shared" si="302"/>
        <v>83.9</v>
      </c>
      <c r="O256" s="237">
        <f t="shared" si="363"/>
        <v>-20.299999999999997</v>
      </c>
      <c r="P256" s="211">
        <f t="shared" si="270"/>
        <v>-4.9679999999999938</v>
      </c>
      <c r="Q256" s="211">
        <f t="shared" si="271"/>
        <v>1.4029999999999982</v>
      </c>
      <c r="R256" s="468">
        <f t="shared" si="272"/>
        <v>-3.5649999999999955</v>
      </c>
      <c r="S256" s="471">
        <f t="shared" si="273"/>
        <v>-55.012999999999991</v>
      </c>
      <c r="T256" s="426">
        <f t="shared" si="274"/>
        <v>-58.6</v>
      </c>
      <c r="U256" s="579">
        <f>[5]RC!$E136</f>
        <v>1347450</v>
      </c>
      <c r="V256" s="447">
        <v>37956</v>
      </c>
      <c r="W256" s="95">
        <f t="shared" si="259"/>
        <v>1022.4999999999999</v>
      </c>
      <c r="X256" s="104">
        <f t="shared" si="260"/>
        <v>1319551</v>
      </c>
      <c r="Y256" s="198">
        <f t="shared" si="364"/>
        <v>22308</v>
      </c>
      <c r="Z256" s="176">
        <f t="shared" si="275"/>
        <v>1341859</v>
      </c>
      <c r="AA256" s="116">
        <f t="shared" si="261"/>
        <v>-77373</v>
      </c>
      <c r="AB256" s="520">
        <f>[9]RMWh!$L136</f>
        <v>1349125</v>
      </c>
      <c r="AC256" s="110">
        <f>'[7]Gov 65 &amp; 70'!$B341</f>
        <v>31.95</v>
      </c>
      <c r="AD256" s="89">
        <f t="shared" si="262"/>
        <v>1284519</v>
      </c>
      <c r="AE256" s="89">
        <f t="shared" si="372"/>
        <v>-3496</v>
      </c>
      <c r="AF256" s="89">
        <f t="shared" si="263"/>
        <v>959.1</v>
      </c>
      <c r="AG256" s="91">
        <f t="shared" si="365"/>
        <v>-38.699999999999932</v>
      </c>
      <c r="AH256" s="252"/>
      <c r="AI256" s="304">
        <f t="shared" si="377"/>
        <v>0.45504308501240009</v>
      </c>
      <c r="AU256" s="89">
        <f t="shared" si="304"/>
        <v>2003</v>
      </c>
      <c r="AV256" s="89">
        <f t="shared" si="305"/>
        <v>12</v>
      </c>
      <c r="AW256" s="300">
        <f>'[8]RES 62 &amp; 67'!$S341</f>
        <v>24.1</v>
      </c>
      <c r="AX256" s="210">
        <f t="shared" si="306"/>
        <v>53.2</v>
      </c>
      <c r="AY256" s="204">
        <f t="shared" si="379"/>
        <v>29.1</v>
      </c>
      <c r="AZ256" s="300">
        <f>'[8]RES 62 &amp; 67'!$J341</f>
        <v>168.2</v>
      </c>
      <c r="BA256" s="210">
        <f t="shared" si="307"/>
        <v>114.1</v>
      </c>
      <c r="BB256" s="430">
        <f t="shared" si="380"/>
        <v>-54.099999999999994</v>
      </c>
      <c r="BC256" s="211">
        <f t="shared" si="276"/>
        <v>62.856000000000009</v>
      </c>
      <c r="BD256" s="211">
        <f t="shared" si="277"/>
        <v>-17.751000000000001</v>
      </c>
      <c r="BE256" s="211">
        <f t="shared" si="278"/>
        <v>45.105000000000004</v>
      </c>
      <c r="BF256" s="212">
        <f t="shared" si="279"/>
        <v>-146.61099999999999</v>
      </c>
      <c r="BG256" s="220">
        <f t="shared" si="280"/>
        <v>-101.5</v>
      </c>
      <c r="BH256" s="89">
        <f t="shared" si="320"/>
        <v>2003</v>
      </c>
      <c r="BI256" s="89">
        <f t="shared" si="321"/>
        <v>12</v>
      </c>
      <c r="BJ256" s="117">
        <f>C256+[4]MWh!$AJ90</f>
        <v>1560889.9534100853</v>
      </c>
      <c r="BK256" s="117">
        <f t="shared" si="333"/>
        <v>26387.541987898931</v>
      </c>
      <c r="BL256" s="117">
        <f t="shared" si="373"/>
        <v>1534502.4114221863</v>
      </c>
      <c r="BM256" s="199">
        <f t="shared" si="334"/>
        <v>1087.562971360393</v>
      </c>
      <c r="BN256" s="96">
        <f t="shared" si="335"/>
        <v>1403515</v>
      </c>
      <c r="BO256" s="176">
        <f t="shared" si="374"/>
        <v>24135</v>
      </c>
      <c r="BP256" s="117">
        <f t="shared" si="375"/>
        <v>-133239.95341008523</v>
      </c>
      <c r="BQ256" s="92">
        <f t="shared" si="336"/>
        <v>1165.4651201275944</v>
      </c>
      <c r="BR256" s="92">
        <f t="shared" si="337"/>
        <v>1065.9792351889255</v>
      </c>
      <c r="BS256" s="92">
        <f t="shared" si="360"/>
        <v>67.690570363487041</v>
      </c>
      <c r="BT256" s="176">
        <f t="shared" si="376"/>
        <v>1427650</v>
      </c>
      <c r="BU256" s="117">
        <f t="shared" si="366"/>
        <v>139054</v>
      </c>
      <c r="BW256" s="529">
        <f>BT256/[9]RMWh!$L136</f>
        <v>1.0582043917353841</v>
      </c>
      <c r="CK256" s="166">
        <v>37956</v>
      </c>
      <c r="CL256" s="116">
        <f>BP256+COML!BV256+SPA!BV256</f>
        <v>-120793.95341008523</v>
      </c>
      <c r="CM256" s="116">
        <f>ROUND('[14]2003'!$D43,0)</f>
        <v>-114891</v>
      </c>
      <c r="CN256" s="1">
        <f t="shared" ref="CN256:CN261" si="381">CL256-CM256</f>
        <v>-5902.9534100852325</v>
      </c>
      <c r="CO256" s="117">
        <f>'[2]FPC wSEB'!$R353</f>
        <v>3403309</v>
      </c>
      <c r="CP256" s="117">
        <f>'[2]FPC wSEB'!$C353-SUM('[2]FPC wSEB'!$K353:$L353)</f>
        <v>2834436</v>
      </c>
      <c r="CQ256" s="117">
        <f>'[2]FPC wSEB'!$T353-'[2]FPC wSEB'!$T352</f>
        <v>189350</v>
      </c>
      <c r="CR256" s="117">
        <f>SUM('[2]FPC wSEB'!$K353:$L353)</f>
        <v>250310</v>
      </c>
      <c r="CS256" s="117">
        <f>('[2]FPC wSEB'!$N353)-CQ256</f>
        <v>19293</v>
      </c>
      <c r="CT256" s="117">
        <f>'[2]FPC wSEB'!$P353</f>
        <v>10847</v>
      </c>
      <c r="CU256" s="117">
        <f>'[2]FPC wSEB'!$Q353</f>
        <v>99073</v>
      </c>
      <c r="CV256" s="118">
        <f t="shared" si="367"/>
        <v>0</v>
      </c>
      <c r="CW256" s="117">
        <f t="shared" si="378"/>
        <v>3178498</v>
      </c>
      <c r="CX256" s="117">
        <f t="shared" si="368"/>
        <v>3172595.0465899147</v>
      </c>
      <c r="CY256" s="117">
        <f t="shared" si="369"/>
        <v>5902.9534100852907</v>
      </c>
    </row>
    <row r="257" spans="1:114">
      <c r="A257" s="13">
        <f t="shared" si="299"/>
        <v>2004</v>
      </c>
      <c r="B257" s="13">
        <f t="shared" si="300"/>
        <v>1</v>
      </c>
      <c r="C257" s="5">
        <f>'[2]FPC wSEB'!$D354</f>
        <v>1600761</v>
      </c>
      <c r="D257" s="5">
        <f>'[2]FPC wSEB'!$X354</f>
        <v>1348442</v>
      </c>
      <c r="E257" s="5">
        <f t="shared" si="370"/>
        <v>1568413</v>
      </c>
      <c r="F257" s="5">
        <f t="shared" si="371"/>
        <v>1299585</v>
      </c>
      <c r="G257" s="74">
        <f t="shared" si="269"/>
        <v>1206.9000000000001</v>
      </c>
      <c r="H257" s="190">
        <v>32347.7</v>
      </c>
      <c r="I257" s="170">
        <v>48857</v>
      </c>
      <c r="J257" s="230">
        <f>'[7]RES 62 &amp; 67'!$S342</f>
        <v>33.799999999999997</v>
      </c>
      <c r="K257" s="183">
        <f t="shared" si="301"/>
        <v>49.5</v>
      </c>
      <c r="L257" s="233">
        <f t="shared" ref="L257:L262" si="382">(K257-J257)</f>
        <v>15.700000000000003</v>
      </c>
      <c r="M257" s="230">
        <f>'[7]RES 62 &amp; 67'!$J342</f>
        <v>165.3</v>
      </c>
      <c r="N257" s="183">
        <f t="shared" si="302"/>
        <v>131.6</v>
      </c>
      <c r="O257" s="236">
        <f t="shared" ref="O257:O262" si="383">(N257-M257)</f>
        <v>-33.700000000000017</v>
      </c>
      <c r="P257" s="206">
        <f t="shared" si="270"/>
        <v>33.912000000000006</v>
      </c>
      <c r="Q257" s="208">
        <f t="shared" si="271"/>
        <v>-9.5770000000000017</v>
      </c>
      <c r="R257" s="467">
        <f t="shared" si="272"/>
        <v>24.335000000000004</v>
      </c>
      <c r="S257" s="470">
        <f t="shared" si="273"/>
        <v>-91.327000000000041</v>
      </c>
      <c r="T257" s="425">
        <f t="shared" si="274"/>
        <v>-67</v>
      </c>
      <c r="U257" s="579">
        <f>[5]RC!$E137</f>
        <v>1353786</v>
      </c>
      <c r="V257" s="447">
        <v>37987</v>
      </c>
      <c r="W257" s="191">
        <f t="shared" si="259"/>
        <v>1139.9000000000001</v>
      </c>
      <c r="X257" s="73">
        <f t="shared" si="260"/>
        <v>1481397</v>
      </c>
      <c r="Y257" s="187">
        <f t="shared" si="364"/>
        <v>29936</v>
      </c>
      <c r="Z257" s="175">
        <f t="shared" si="275"/>
        <v>1511333</v>
      </c>
      <c r="AA257" s="40">
        <f t="shared" si="261"/>
        <v>-89428</v>
      </c>
      <c r="AB257" s="519">
        <f>[9]RMWh!$L137</f>
        <v>1519489</v>
      </c>
      <c r="AC257" s="107">
        <f>'[7]Gov 65 &amp; 70'!$B342</f>
        <v>31.65</v>
      </c>
      <c r="AD257" s="4">
        <f t="shared" si="262"/>
        <v>1460438</v>
      </c>
      <c r="AE257" s="4">
        <f t="shared" si="372"/>
        <v>24610</v>
      </c>
      <c r="AF257" s="23">
        <f t="shared" si="263"/>
        <v>1083.0999999999999</v>
      </c>
      <c r="AG257" s="75">
        <f t="shared" ref="AG257:AG262" si="384">AF257-AF245</f>
        <v>-8.8000000000001819</v>
      </c>
      <c r="AI257" s="303">
        <f t="shared" si="377"/>
        <v>0.54858676181489285</v>
      </c>
      <c r="AU257" s="4">
        <f t="shared" si="304"/>
        <v>2004</v>
      </c>
      <c r="AV257" s="4">
        <f t="shared" si="305"/>
        <v>1</v>
      </c>
      <c r="AW257" s="230">
        <f>'[8]RES 62 &amp; 67'!$S342</f>
        <v>29.1</v>
      </c>
      <c r="AX257" s="200">
        <f t="shared" si="306"/>
        <v>50.5</v>
      </c>
      <c r="AY257" s="203">
        <f t="shared" si="379"/>
        <v>21.4</v>
      </c>
      <c r="AZ257" s="230">
        <f>'[8]RES 62 &amp; 67'!$J342</f>
        <v>171.8</v>
      </c>
      <c r="BA257" s="183">
        <f t="shared" si="307"/>
        <v>127.9</v>
      </c>
      <c r="BB257" s="429">
        <f t="shared" si="380"/>
        <v>-43.900000000000006</v>
      </c>
      <c r="BC257" s="206">
        <f t="shared" si="276"/>
        <v>46.223999999999997</v>
      </c>
      <c r="BD257" s="206">
        <f t="shared" si="277"/>
        <v>-13.053999999999998</v>
      </c>
      <c r="BE257" s="206">
        <f t="shared" si="278"/>
        <v>33.17</v>
      </c>
      <c r="BF257" s="207">
        <f t="shared" si="279"/>
        <v>-118.96900000000001</v>
      </c>
      <c r="BG257" s="219">
        <f t="shared" si="280"/>
        <v>-85.8</v>
      </c>
      <c r="BH257" s="4">
        <f t="shared" si="320"/>
        <v>2004</v>
      </c>
      <c r="BI257" s="4">
        <f t="shared" si="321"/>
        <v>1</v>
      </c>
      <c r="BJ257" s="108">
        <f>C257+[4]MWh!$AJ91</f>
        <v>1582940.1050438373</v>
      </c>
      <c r="BK257" s="108">
        <f t="shared" si="333"/>
        <v>31987.58067939345</v>
      </c>
      <c r="BL257" s="108">
        <f t="shared" si="373"/>
        <v>1550952.524364444</v>
      </c>
      <c r="BM257" s="189">
        <f t="shared" si="334"/>
        <v>1107.6213801824767</v>
      </c>
      <c r="BN257" s="6">
        <f t="shared" si="335"/>
        <v>1439448</v>
      </c>
      <c r="BO257" s="175">
        <f t="shared" si="374"/>
        <v>29688</v>
      </c>
      <c r="BP257" s="108">
        <f t="shared" si="375"/>
        <v>-113804.10504383741</v>
      </c>
      <c r="BQ257" s="76">
        <f t="shared" si="336"/>
        <v>1173.9029969726819</v>
      </c>
      <c r="BR257" s="76">
        <f t="shared" si="337"/>
        <v>1089.5062598168849</v>
      </c>
      <c r="BS257" s="76">
        <f t="shared" si="360"/>
        <v>-80.695649388991569</v>
      </c>
      <c r="BT257" s="175">
        <f t="shared" si="376"/>
        <v>1469136</v>
      </c>
      <c r="BU257" s="108">
        <f t="shared" ref="BU257:BU262" si="385">BT257-BT245</f>
        <v>-69676</v>
      </c>
      <c r="BW257" s="529">
        <f>BT257/[9]RMWh!$L137</f>
        <v>0.96686188580503052</v>
      </c>
      <c r="CK257" s="165">
        <v>37987</v>
      </c>
      <c r="CL257" s="40">
        <f>BP257+COML!BV257+SPA!BV257</f>
        <v>-105406.10504383741</v>
      </c>
      <c r="CM257" s="180">
        <f>ROUND('[14]2004'!$D32,0)</f>
        <v>-66290</v>
      </c>
      <c r="CN257" s="2">
        <f t="shared" si="381"/>
        <v>-39116.105043837408</v>
      </c>
      <c r="CO257" s="108">
        <f>'[2]FPC wSEB'!$R354</f>
        <v>3503845</v>
      </c>
      <c r="CP257" s="108">
        <f>'[2]FPC wSEB'!$C354-SUM('[2]FPC wSEB'!$K354:$L354)</f>
        <v>3057664</v>
      </c>
      <c r="CQ257" s="108">
        <f>'[2]FPC wSEB'!$T354-'[2]FPC wSEB'!$T353</f>
        <v>-104570</v>
      </c>
      <c r="CR257" s="108">
        <f>SUM('[2]FPC wSEB'!$K354:$L354)</f>
        <v>265805</v>
      </c>
      <c r="CS257" s="108">
        <f>('[2]FPC wSEB'!$N354)-CQ257</f>
        <v>-2180</v>
      </c>
      <c r="CT257" s="108">
        <f>'[2]FPC wSEB'!$P354</f>
        <v>7721</v>
      </c>
      <c r="CU257" s="108">
        <f>'[2]FPC wSEB'!$Q354</f>
        <v>279405</v>
      </c>
      <c r="CV257" s="115">
        <f t="shared" ref="CV257:CV262" si="386">CO257-SUM(CP257:CU257)</f>
        <v>0</v>
      </c>
      <c r="CW257" s="108">
        <f t="shared" si="378"/>
        <v>3150429</v>
      </c>
      <c r="CX257" s="108">
        <f t="shared" ref="CX257:CX262" si="387">SUM(CP257:CS257)+CL257</f>
        <v>3111312.8949561627</v>
      </c>
      <c r="CY257" s="108">
        <f t="shared" ref="CY257:CY262" si="388">CW257-CX257</f>
        <v>39116.105043837335</v>
      </c>
    </row>
    <row r="258" spans="1:114">
      <c r="A258" s="13">
        <f t="shared" si="299"/>
        <v>2004</v>
      </c>
      <c r="B258" s="13">
        <f t="shared" si="300"/>
        <v>2</v>
      </c>
      <c r="C258" s="5">
        <f>'[2]FPC wSEB'!$D355</f>
        <v>1386066</v>
      </c>
      <c r="D258" s="5">
        <f>'[2]FPC wSEB'!$X355</f>
        <v>1316798</v>
      </c>
      <c r="E258" s="5">
        <f t="shared" si="370"/>
        <v>1354806</v>
      </c>
      <c r="F258" s="5">
        <f t="shared" si="371"/>
        <v>1270057</v>
      </c>
      <c r="G258" s="74">
        <f t="shared" si="269"/>
        <v>1066.7</v>
      </c>
      <c r="H258" s="190">
        <v>31259.9</v>
      </c>
      <c r="I258" s="170">
        <v>46741</v>
      </c>
      <c r="J258" s="230">
        <f>'[7]RES 62 &amp; 67'!$S343</f>
        <v>30.6</v>
      </c>
      <c r="K258" s="183">
        <f t="shared" si="301"/>
        <v>43.3</v>
      </c>
      <c r="L258" s="233">
        <f t="shared" si="382"/>
        <v>12.699999999999996</v>
      </c>
      <c r="M258" s="230">
        <f>'[7]RES 62 &amp; 67'!$J343</f>
        <v>144</v>
      </c>
      <c r="N258" s="183">
        <f t="shared" si="302"/>
        <v>127.9</v>
      </c>
      <c r="O258" s="236">
        <f t="shared" si="383"/>
        <v>-16.099999999999994</v>
      </c>
      <c r="P258" s="206">
        <f t="shared" si="270"/>
        <v>27.431999999999992</v>
      </c>
      <c r="Q258" s="208">
        <f t="shared" si="271"/>
        <v>-7.7469999999999972</v>
      </c>
      <c r="R258" s="467">
        <f t="shared" si="272"/>
        <v>19.684999999999995</v>
      </c>
      <c r="S258" s="470">
        <f t="shared" si="273"/>
        <v>-43.630999999999986</v>
      </c>
      <c r="T258" s="425">
        <f t="shared" si="274"/>
        <v>-23.9</v>
      </c>
      <c r="U258" s="579">
        <f>[5]RC!$E138</f>
        <v>1357284</v>
      </c>
      <c r="V258" s="447">
        <v>38018</v>
      </c>
      <c r="W258" s="191">
        <f t="shared" si="259"/>
        <v>1042.8</v>
      </c>
      <c r="X258" s="73">
        <f t="shared" si="260"/>
        <v>1324415</v>
      </c>
      <c r="Y258" s="187">
        <f t="shared" si="364"/>
        <v>29869</v>
      </c>
      <c r="Z258" s="175">
        <f t="shared" si="275"/>
        <v>1354284</v>
      </c>
      <c r="AA258" s="40">
        <f t="shared" si="261"/>
        <v>-31782</v>
      </c>
      <c r="AB258" s="519">
        <f>[9]RMWh!$L138</f>
        <v>1392933</v>
      </c>
      <c r="AC258" s="107">
        <f>'[7]Gov 65 &amp; 70'!$B343</f>
        <v>29.45</v>
      </c>
      <c r="AD258" s="4">
        <f t="shared" si="262"/>
        <v>1438812</v>
      </c>
      <c r="AE258" s="4">
        <f t="shared" ref="AE258:AE263" si="389">AD258-AD246</f>
        <v>29571</v>
      </c>
      <c r="AF258" s="23">
        <f t="shared" si="263"/>
        <v>1092.7</v>
      </c>
      <c r="AG258" s="75">
        <f t="shared" si="384"/>
        <v>32.100000000000136</v>
      </c>
      <c r="AI258" s="303">
        <f t="shared" si="377"/>
        <v>0.62697076359589188</v>
      </c>
      <c r="AU258" s="4">
        <f t="shared" si="304"/>
        <v>2004</v>
      </c>
      <c r="AV258" s="4">
        <f t="shared" si="305"/>
        <v>2</v>
      </c>
      <c r="AW258" s="230">
        <f>'[8]RES 62 &amp; 67'!$S343</f>
        <v>44.5</v>
      </c>
      <c r="AX258" s="200">
        <f t="shared" si="306"/>
        <v>59.2</v>
      </c>
      <c r="AY258" s="203">
        <f t="shared" si="379"/>
        <v>14.700000000000003</v>
      </c>
      <c r="AZ258" s="230">
        <f>'[8]RES 62 &amp; 67'!$J343</f>
        <v>112.1</v>
      </c>
      <c r="BA258" s="183">
        <f t="shared" si="307"/>
        <v>97.8</v>
      </c>
      <c r="BB258" s="429">
        <f t="shared" si="380"/>
        <v>-14.299999999999997</v>
      </c>
      <c r="BC258" s="206">
        <f t="shared" si="276"/>
        <v>31.75200000000001</v>
      </c>
      <c r="BD258" s="206">
        <f t="shared" si="277"/>
        <v>-8.9670000000000023</v>
      </c>
      <c r="BE258" s="206">
        <f t="shared" si="278"/>
        <v>22.785000000000007</v>
      </c>
      <c r="BF258" s="207">
        <f t="shared" si="279"/>
        <v>-38.752999999999993</v>
      </c>
      <c r="BG258" s="219">
        <f t="shared" si="280"/>
        <v>-16</v>
      </c>
      <c r="BH258" s="4">
        <f t="shared" si="320"/>
        <v>2004</v>
      </c>
      <c r="BI258" s="4">
        <f t="shared" si="321"/>
        <v>2</v>
      </c>
      <c r="BJ258" s="108">
        <f>C258+[4]MWh!$AJ92</f>
        <v>1344438.4771162095</v>
      </c>
      <c r="BK258" s="108">
        <f t="shared" si="333"/>
        <v>30321.075872869686</v>
      </c>
      <c r="BL258" s="108">
        <f t="shared" si="373"/>
        <v>1314117.4012433398</v>
      </c>
      <c r="BM258" s="189">
        <f t="shared" si="334"/>
        <v>1018.6916722976528</v>
      </c>
      <c r="BN258" s="6">
        <f t="shared" si="335"/>
        <v>1293796</v>
      </c>
      <c r="BO258" s="175">
        <f t="shared" si="374"/>
        <v>29852</v>
      </c>
      <c r="BP258" s="108">
        <f t="shared" si="375"/>
        <v>-20790.477116209444</v>
      </c>
      <c r="BQ258" s="76">
        <f t="shared" si="336"/>
        <v>1020.9906736767593</v>
      </c>
      <c r="BR258" s="76">
        <f t="shared" si="337"/>
        <v>1005.2020127612586</v>
      </c>
      <c r="BS258" s="76">
        <f t="shared" si="360"/>
        <v>-16.483992487516161</v>
      </c>
      <c r="BT258" s="175">
        <f t="shared" si="376"/>
        <v>1323648</v>
      </c>
      <c r="BU258" s="108">
        <f t="shared" si="385"/>
        <v>-33857</v>
      </c>
      <c r="BW258" s="529">
        <f>BT258/[9]RMWh!$L138</f>
        <v>0.95025963201388719</v>
      </c>
      <c r="CK258" s="165">
        <v>38018</v>
      </c>
      <c r="CL258" s="40">
        <f>BP258+COML!BV258+SPA!BV258</f>
        <v>-11078.477116209444</v>
      </c>
      <c r="CM258" s="40">
        <f>ROUND('[14]2004'!$D33,0)</f>
        <v>51660</v>
      </c>
      <c r="CN258" s="2">
        <f t="shared" si="381"/>
        <v>-62738.47711620944</v>
      </c>
      <c r="CO258" s="108">
        <f>'[2]FPC wSEB'!$R355</f>
        <v>3089691</v>
      </c>
      <c r="CP258" s="108">
        <f>'[2]FPC wSEB'!$C355-SUM('[2]FPC wSEB'!$K355:$L355)</f>
        <v>2669385</v>
      </c>
      <c r="CQ258" s="108">
        <f>'[2]FPC wSEB'!$T355-'[2]FPC wSEB'!$T354</f>
        <v>-67694</v>
      </c>
      <c r="CR258" s="108">
        <f>SUM('[2]FPC wSEB'!$K355:$L355)</f>
        <v>257875</v>
      </c>
      <c r="CS258" s="108">
        <f>('[2]FPC wSEB'!$N355)-CQ258</f>
        <v>36110</v>
      </c>
      <c r="CT258" s="108">
        <f>'[2]FPC wSEB'!$P355</f>
        <v>10048</v>
      </c>
      <c r="CU258" s="108">
        <f>'[2]FPC wSEB'!$Q355</f>
        <v>183967</v>
      </c>
      <c r="CV258" s="115">
        <f t="shared" si="386"/>
        <v>0</v>
      </c>
      <c r="CW258" s="108">
        <f t="shared" si="378"/>
        <v>2947336</v>
      </c>
      <c r="CX258" s="108">
        <f t="shared" si="387"/>
        <v>2884597.5228837905</v>
      </c>
      <c r="CY258" s="108">
        <f t="shared" si="388"/>
        <v>62738.477116209455</v>
      </c>
    </row>
    <row r="259" spans="1:114">
      <c r="A259" s="13">
        <f t="shared" si="299"/>
        <v>2004</v>
      </c>
      <c r="B259" s="13">
        <f t="shared" si="300"/>
        <v>3</v>
      </c>
      <c r="C259" s="5">
        <f>'[2]FPC wSEB'!$D356</f>
        <v>1304591</v>
      </c>
      <c r="D259" s="5">
        <f>'[2]FPC wSEB'!$X356</f>
        <v>1391176</v>
      </c>
      <c r="E259" s="5">
        <f t="shared" si="370"/>
        <v>1275417</v>
      </c>
      <c r="F259" s="5">
        <f t="shared" si="371"/>
        <v>1340324</v>
      </c>
      <c r="G259" s="74">
        <f t="shared" si="269"/>
        <v>951.6</v>
      </c>
      <c r="H259" s="190">
        <v>29174.276999999998</v>
      </c>
      <c r="I259" s="170">
        <v>50852</v>
      </c>
      <c r="J259" s="230">
        <f>'[7]RES 62 &amp; 67'!$S344</f>
        <v>66.3</v>
      </c>
      <c r="K259" s="183">
        <f t="shared" si="301"/>
        <v>77.2</v>
      </c>
      <c r="L259" s="233">
        <f t="shared" si="382"/>
        <v>10.900000000000006</v>
      </c>
      <c r="M259" s="230">
        <f>'[7]RES 62 &amp; 67'!$J344</f>
        <v>90.1</v>
      </c>
      <c r="N259" s="183">
        <f t="shared" si="302"/>
        <v>82.3</v>
      </c>
      <c r="O259" s="236">
        <f t="shared" si="383"/>
        <v>-7.7999999999999972</v>
      </c>
      <c r="P259" s="206">
        <f t="shared" si="270"/>
        <v>23.544000000000015</v>
      </c>
      <c r="Q259" s="208">
        <f t="shared" si="271"/>
        <v>-6.6490000000000036</v>
      </c>
      <c r="R259" s="467">
        <f t="shared" si="272"/>
        <v>16.89500000000001</v>
      </c>
      <c r="S259" s="470">
        <f t="shared" si="273"/>
        <v>-21.137999999999991</v>
      </c>
      <c r="T259" s="425">
        <f t="shared" si="274"/>
        <v>-4.2</v>
      </c>
      <c r="U259" s="579">
        <f>[5]RC!$E139</f>
        <v>1360100</v>
      </c>
      <c r="V259" s="447">
        <v>38047</v>
      </c>
      <c r="W259" s="191">
        <f t="shared" si="259"/>
        <v>947.4</v>
      </c>
      <c r="X259" s="73">
        <f t="shared" si="260"/>
        <v>1269823</v>
      </c>
      <c r="Y259" s="187">
        <f t="shared" si="364"/>
        <v>28397</v>
      </c>
      <c r="Z259" s="175">
        <f t="shared" si="275"/>
        <v>1298220</v>
      </c>
      <c r="AA259" s="40">
        <f t="shared" si="261"/>
        <v>-6371</v>
      </c>
      <c r="AB259" s="519">
        <f>[9]RMWh!$L139</f>
        <v>1271936</v>
      </c>
      <c r="AC259" s="107">
        <f>'[7]Gov 65 &amp; 70'!$B344</f>
        <v>29.35</v>
      </c>
      <c r="AD259" s="4">
        <f t="shared" si="262"/>
        <v>1318306</v>
      </c>
      <c r="AE259" s="4">
        <f t="shared" si="389"/>
        <v>-176</v>
      </c>
      <c r="AF259" s="23">
        <f t="shared" si="263"/>
        <v>947.6</v>
      </c>
      <c r="AG259" s="75">
        <f t="shared" si="384"/>
        <v>-59.600000000000023</v>
      </c>
      <c r="AI259" s="303">
        <f t="shared" si="377"/>
        <v>0.60288937538393694</v>
      </c>
      <c r="AU259" s="4">
        <f t="shared" si="304"/>
        <v>2004</v>
      </c>
      <c r="AV259" s="4">
        <f t="shared" si="305"/>
        <v>3</v>
      </c>
      <c r="AW259" s="230">
        <f>'[8]RES 62 &amp; 67'!$S344</f>
        <v>99.5</v>
      </c>
      <c r="AX259" s="200">
        <f t="shared" si="306"/>
        <v>105.8</v>
      </c>
      <c r="AY259" s="203">
        <f t="shared" si="379"/>
        <v>6.2999999999999972</v>
      </c>
      <c r="AZ259" s="230">
        <f>'[8]RES 62 &amp; 67'!$J344</f>
        <v>44.5</v>
      </c>
      <c r="BA259" s="183">
        <f t="shared" si="307"/>
        <v>49.9</v>
      </c>
      <c r="BB259" s="429">
        <f t="shared" si="380"/>
        <v>5.3999999999999986</v>
      </c>
      <c r="BC259" s="206">
        <f t="shared" si="276"/>
        <v>13.607999999999995</v>
      </c>
      <c r="BD259" s="206">
        <f t="shared" si="277"/>
        <v>-3.8429999999999982</v>
      </c>
      <c r="BE259" s="206">
        <f t="shared" si="278"/>
        <v>9.764999999999997</v>
      </c>
      <c r="BF259" s="207">
        <f t="shared" si="279"/>
        <v>14.633999999999997</v>
      </c>
      <c r="BG259" s="219">
        <f t="shared" si="280"/>
        <v>24.4</v>
      </c>
      <c r="BH259" s="4">
        <f t="shared" si="320"/>
        <v>2004</v>
      </c>
      <c r="BI259" s="4">
        <f t="shared" si="321"/>
        <v>3</v>
      </c>
      <c r="BJ259" s="108">
        <f>C259+[4]MWh!$AJ93</f>
        <v>1255476.3161575354</v>
      </c>
      <c r="BK259" s="108">
        <f t="shared" si="333"/>
        <v>28075.936300740625</v>
      </c>
      <c r="BL259" s="108">
        <f t="shared" si="373"/>
        <v>1227400.3798567948</v>
      </c>
      <c r="BM259" s="189">
        <f t="shared" si="334"/>
        <v>940.14901281838922</v>
      </c>
      <c r="BN259" s="6">
        <f t="shared" si="335"/>
        <v>1260104</v>
      </c>
      <c r="BO259" s="175">
        <f t="shared" si="374"/>
        <v>28824</v>
      </c>
      <c r="BP259" s="108">
        <f t="shared" si="375"/>
        <v>33451.683842464539</v>
      </c>
      <c r="BQ259" s="76">
        <f t="shared" si="336"/>
        <v>902.45685388299921</v>
      </c>
      <c r="BR259" s="76">
        <f t="shared" si="337"/>
        <v>926.50246985284389</v>
      </c>
      <c r="BS259" s="76">
        <f t="shared" si="360"/>
        <v>27.262936292631139</v>
      </c>
      <c r="BT259" s="175">
        <f t="shared" si="376"/>
        <v>1288928</v>
      </c>
      <c r="BU259" s="108">
        <f t="shared" si="385"/>
        <v>111765</v>
      </c>
      <c r="BW259" s="529">
        <f>BT259/[9]RMWh!$L139</f>
        <v>1.0133591627251686</v>
      </c>
      <c r="CK259" s="165">
        <v>38047</v>
      </c>
      <c r="CL259" s="40">
        <f>BP259+COML!BV259+SPA!BV259</f>
        <v>41176.683842464539</v>
      </c>
      <c r="CM259" s="40">
        <f>ROUND('[14]2004'!$D34,0)</f>
        <v>101307</v>
      </c>
      <c r="CN259" s="2">
        <f t="shared" si="381"/>
        <v>-60130.316157535461</v>
      </c>
      <c r="CO259" s="108">
        <f>'[2]FPC wSEB'!$R356</f>
        <v>3171214</v>
      </c>
      <c r="CP259" s="108">
        <f>'[2]FPC wSEB'!$C356-SUM('[2]FPC wSEB'!$K356:$L356)</f>
        <v>2749584</v>
      </c>
      <c r="CQ259" s="108">
        <f>'[2]FPC wSEB'!$T356-'[2]FPC wSEB'!$T355</f>
        <v>32971</v>
      </c>
      <c r="CR259" s="108">
        <f>SUM('[2]FPC wSEB'!$K356:$L356)</f>
        <v>308411</v>
      </c>
      <c r="CS259" s="108">
        <f>('[2]FPC wSEB'!$N356)-CQ259</f>
        <v>-29531</v>
      </c>
      <c r="CT259" s="108">
        <f>'[2]FPC wSEB'!$P356</f>
        <v>10048</v>
      </c>
      <c r="CU259" s="108">
        <f>'[2]FPC wSEB'!$Q356</f>
        <v>99731</v>
      </c>
      <c r="CV259" s="115">
        <f t="shared" si="386"/>
        <v>0</v>
      </c>
      <c r="CW259" s="108">
        <f t="shared" ref="CW259:CW264" si="390">CO259-CT259-CU259+CM259</f>
        <v>3162742</v>
      </c>
      <c r="CX259" s="108">
        <f t="shared" si="387"/>
        <v>3102611.6838424644</v>
      </c>
      <c r="CY259" s="108">
        <f t="shared" si="388"/>
        <v>60130.31615753565</v>
      </c>
    </row>
    <row r="260" spans="1:114">
      <c r="A260" s="13">
        <f t="shared" si="299"/>
        <v>2004</v>
      </c>
      <c r="B260" s="13">
        <f t="shared" si="300"/>
        <v>4</v>
      </c>
      <c r="C260" s="5">
        <f>'[2]FPC wSEB'!$D357</f>
        <v>1186689</v>
      </c>
      <c r="D260" s="5">
        <f>'[2]FPC wSEB'!$X357</f>
        <v>1354068</v>
      </c>
      <c r="E260" s="5">
        <f t="shared" si="370"/>
        <v>1164015</v>
      </c>
      <c r="F260" s="5">
        <f t="shared" si="371"/>
        <v>1303941</v>
      </c>
      <c r="G260" s="74">
        <f t="shared" si="269"/>
        <v>892.7</v>
      </c>
      <c r="H260" s="190">
        <v>22673.653999999999</v>
      </c>
      <c r="I260" s="170">
        <v>50127</v>
      </c>
      <c r="J260" s="230">
        <f>'[7]RES 62 &amp; 67'!$S345</f>
        <v>100.8</v>
      </c>
      <c r="K260" s="183">
        <f t="shared" si="301"/>
        <v>138.1</v>
      </c>
      <c r="L260" s="233">
        <f t="shared" si="382"/>
        <v>37.299999999999997</v>
      </c>
      <c r="M260" s="230">
        <f>'[7]RES 62 &amp; 67'!$J345</f>
        <v>41.8</v>
      </c>
      <c r="N260" s="183">
        <f t="shared" si="302"/>
        <v>37.299999999999997</v>
      </c>
      <c r="O260" s="236">
        <f t="shared" si="383"/>
        <v>-4.5</v>
      </c>
      <c r="P260" s="206">
        <f t="shared" si="270"/>
        <v>80.567999999999998</v>
      </c>
      <c r="Q260" s="208">
        <f t="shared" si="271"/>
        <v>-22.752999999999997</v>
      </c>
      <c r="R260" s="467">
        <f t="shared" si="272"/>
        <v>57.814999999999998</v>
      </c>
      <c r="S260" s="470">
        <f t="shared" si="273"/>
        <v>-12.195</v>
      </c>
      <c r="T260" s="425">
        <f t="shared" si="274"/>
        <v>45.6</v>
      </c>
      <c r="U260" s="579">
        <f>[5]RC!$E140</f>
        <v>1360024</v>
      </c>
      <c r="V260" s="447">
        <v>38078</v>
      </c>
      <c r="W260" s="191">
        <f t="shared" si="259"/>
        <v>938.30000000000007</v>
      </c>
      <c r="X260" s="73">
        <f t="shared" si="260"/>
        <v>1223488</v>
      </c>
      <c r="Y260" s="187">
        <f t="shared" si="364"/>
        <v>23377</v>
      </c>
      <c r="Z260" s="175">
        <f t="shared" si="275"/>
        <v>1246865</v>
      </c>
      <c r="AA260" s="40">
        <f t="shared" si="261"/>
        <v>60176</v>
      </c>
      <c r="AB260" s="519">
        <f>[9]RMWh!$L140</f>
        <v>1251441</v>
      </c>
      <c r="AC260" s="107">
        <f>'[7]Gov 65 &amp; 70'!$B345</f>
        <v>28.9</v>
      </c>
      <c r="AD260" s="4">
        <f t="shared" si="262"/>
        <v>1317261</v>
      </c>
      <c r="AE260" s="4">
        <f t="shared" si="389"/>
        <v>30029</v>
      </c>
      <c r="AF260" s="23">
        <f t="shared" si="263"/>
        <v>972.8</v>
      </c>
      <c r="AG260" s="75">
        <f t="shared" si="384"/>
        <v>8.0999999999999091</v>
      </c>
      <c r="AI260" s="303">
        <f t="shared" si="377"/>
        <v>0.50669225561942155</v>
      </c>
      <c r="AU260" s="4">
        <f t="shared" si="304"/>
        <v>2004</v>
      </c>
      <c r="AV260" s="4">
        <f t="shared" si="305"/>
        <v>4</v>
      </c>
      <c r="AW260" s="230">
        <f>'[8]RES 62 &amp; 67'!$S345</f>
        <v>139.6</v>
      </c>
      <c r="AX260" s="200">
        <f t="shared" si="306"/>
        <v>181.7</v>
      </c>
      <c r="AY260" s="203">
        <f t="shared" ref="AY260:AY265" si="391">AX260-AW260</f>
        <v>42.099999999999994</v>
      </c>
      <c r="AZ260" s="230">
        <f>'[8]RES 62 &amp; 67'!$J345</f>
        <v>31.6</v>
      </c>
      <c r="BA260" s="183">
        <f t="shared" si="307"/>
        <v>21.5</v>
      </c>
      <c r="BB260" s="429">
        <f t="shared" si="380"/>
        <v>-10.100000000000001</v>
      </c>
      <c r="BC260" s="206">
        <f t="shared" si="276"/>
        <v>90.935999999999993</v>
      </c>
      <c r="BD260" s="206">
        <f t="shared" si="277"/>
        <v>-12.840499999999999</v>
      </c>
      <c r="BE260" s="206">
        <f t="shared" si="278"/>
        <v>78.095499999999987</v>
      </c>
      <c r="BF260" s="207">
        <f t="shared" si="279"/>
        <v>-27.371000000000002</v>
      </c>
      <c r="BG260" s="219">
        <f t="shared" si="280"/>
        <v>50.7</v>
      </c>
      <c r="BH260" s="4">
        <f t="shared" si="320"/>
        <v>2004</v>
      </c>
      <c r="BI260" s="4">
        <f t="shared" si="321"/>
        <v>4</v>
      </c>
      <c r="BJ260" s="108">
        <f>C260+[4]MWh!$AJ94</f>
        <v>1168941.9310417043</v>
      </c>
      <c r="BK260" s="108">
        <f t="shared" si="333"/>
        <v>22334.566925733245</v>
      </c>
      <c r="BL260" s="108">
        <f t="shared" si="373"/>
        <v>1146607.3641159709</v>
      </c>
      <c r="BM260" s="189">
        <f t="shared" si="334"/>
        <v>930.03991194077867</v>
      </c>
      <c r="BN260" s="6">
        <f t="shared" si="335"/>
        <v>1212717</v>
      </c>
      <c r="BO260" s="175">
        <f t="shared" si="374"/>
        <v>23622</v>
      </c>
      <c r="BP260" s="108">
        <f t="shared" si="375"/>
        <v>67397.068958295844</v>
      </c>
      <c r="BQ260" s="76">
        <f t="shared" si="336"/>
        <v>863.28155679161193</v>
      </c>
      <c r="BR260" s="76">
        <f t="shared" si="337"/>
        <v>913.05532661579764</v>
      </c>
      <c r="BS260" s="76">
        <f t="shared" si="360"/>
        <v>-72.955105977061407</v>
      </c>
      <c r="BT260" s="175">
        <f t="shared" si="376"/>
        <v>1236339</v>
      </c>
      <c r="BU260" s="108">
        <f t="shared" si="385"/>
        <v>-79275</v>
      </c>
      <c r="BW260" s="529">
        <f>BT260/[9]RMWh!$L140</f>
        <v>0.98793231163115158</v>
      </c>
      <c r="CK260" s="165">
        <v>38078</v>
      </c>
      <c r="CL260" s="40">
        <f>BP260+COML!BV260+SPA!BV260</f>
        <v>105364.06895829584</v>
      </c>
      <c r="CM260" s="40">
        <f>ROUND('[14]2004'!$D35,0)</f>
        <v>100300</v>
      </c>
      <c r="CN260" s="2">
        <f t="shared" si="381"/>
        <v>5064.0689582958439</v>
      </c>
      <c r="CO260" s="108">
        <f>'[2]FPC wSEB'!$R357</f>
        <v>3175954</v>
      </c>
      <c r="CP260" s="108">
        <f>'[2]FPC wSEB'!$C357-SUM('[2]FPC wSEB'!$K357:$L357)</f>
        <v>2644923</v>
      </c>
      <c r="CQ260" s="108">
        <f>'[2]FPC wSEB'!$T357-'[2]FPC wSEB'!$T356</f>
        <v>45511</v>
      </c>
      <c r="CR260" s="108">
        <f>SUM('[2]FPC wSEB'!$K357:$L357)</f>
        <v>289864</v>
      </c>
      <c r="CS260" s="108">
        <f>('[2]FPC wSEB'!$N357)-CQ260</f>
        <v>-8695</v>
      </c>
      <c r="CT260" s="108">
        <f>'[2]FPC wSEB'!$P357</f>
        <v>7721</v>
      </c>
      <c r="CU260" s="108">
        <f>'[2]FPC wSEB'!$Q357</f>
        <v>196630</v>
      </c>
      <c r="CV260" s="115">
        <f t="shared" si="386"/>
        <v>0</v>
      </c>
      <c r="CW260" s="108">
        <f t="shared" si="390"/>
        <v>3071903</v>
      </c>
      <c r="CX260" s="108">
        <f t="shared" si="387"/>
        <v>3076967.068958296</v>
      </c>
      <c r="CY260" s="108">
        <f t="shared" si="388"/>
        <v>-5064.0689582959749</v>
      </c>
    </row>
    <row r="261" spans="1:114">
      <c r="A261" s="13">
        <f t="shared" si="299"/>
        <v>2004</v>
      </c>
      <c r="B261" s="13">
        <f t="shared" si="300"/>
        <v>5</v>
      </c>
      <c r="C261" s="5">
        <f>'[2]FPC wSEB'!$D358</f>
        <v>1390027</v>
      </c>
      <c r="D261" s="5">
        <f>'[2]FPC wSEB'!$X358</f>
        <v>1364646</v>
      </c>
      <c r="E261" s="5">
        <f t="shared" si="370"/>
        <v>1372156</v>
      </c>
      <c r="F261" s="5">
        <f t="shared" si="371"/>
        <v>1312157</v>
      </c>
      <c r="G261" s="74">
        <f t="shared" si="269"/>
        <v>1045.7</v>
      </c>
      <c r="H261" s="190">
        <v>17870.714</v>
      </c>
      <c r="I261" s="170">
        <v>52489</v>
      </c>
      <c r="J261" s="230">
        <f>'[7]RES 62 &amp; 67'!$S346</f>
        <v>209.9</v>
      </c>
      <c r="K261" s="183">
        <f t="shared" si="301"/>
        <v>224.4</v>
      </c>
      <c r="L261" s="233">
        <f t="shared" si="382"/>
        <v>14.5</v>
      </c>
      <c r="M261" s="230">
        <f>'[7]RES 62 &amp; 67'!$J346</f>
        <v>14.5</v>
      </c>
      <c r="N261" s="183">
        <f t="shared" si="302"/>
        <v>11.2</v>
      </c>
      <c r="O261" s="236">
        <f t="shared" si="383"/>
        <v>-3.3000000000000007</v>
      </c>
      <c r="P261" s="206">
        <f t="shared" si="270"/>
        <v>31.32</v>
      </c>
      <c r="Q261" s="208">
        <f t="shared" si="271"/>
        <v>0</v>
      </c>
      <c r="R261" s="467">
        <f t="shared" si="272"/>
        <v>31.32</v>
      </c>
      <c r="S261" s="470">
        <f t="shared" si="273"/>
        <v>-8.9430000000000014</v>
      </c>
      <c r="T261" s="425">
        <f t="shared" si="274"/>
        <v>22.4</v>
      </c>
      <c r="U261" s="579">
        <f>[5]RC!$E141</f>
        <v>1360024</v>
      </c>
      <c r="V261" s="447">
        <v>38108</v>
      </c>
      <c r="W261" s="191">
        <f t="shared" si="259"/>
        <v>1068.1000000000001</v>
      </c>
      <c r="X261" s="73">
        <f t="shared" si="260"/>
        <v>1401515</v>
      </c>
      <c r="Y261" s="187">
        <f t="shared" si="364"/>
        <v>18018</v>
      </c>
      <c r="Z261" s="175">
        <f t="shared" si="275"/>
        <v>1419533</v>
      </c>
      <c r="AA261" s="40">
        <f t="shared" si="261"/>
        <v>29506</v>
      </c>
      <c r="AB261" s="519">
        <f>[9]RMWh!$L141</f>
        <v>1410647</v>
      </c>
      <c r="AC261" s="107">
        <f>'[7]Gov 65 &amp; 70'!$B346</f>
        <v>29.9</v>
      </c>
      <c r="AD261" s="4">
        <f t="shared" si="262"/>
        <v>1435180</v>
      </c>
      <c r="AE261" s="4">
        <f t="shared" si="389"/>
        <v>21262</v>
      </c>
      <c r="AF261" s="23">
        <f t="shared" si="263"/>
        <v>1051.7</v>
      </c>
      <c r="AG261" s="75">
        <f t="shared" si="384"/>
        <v>-15.899999999999864</v>
      </c>
      <c r="AI261" s="303">
        <f t="shared" si="377"/>
        <v>0.32558658132431678</v>
      </c>
      <c r="AU261" s="4">
        <f t="shared" si="304"/>
        <v>2004</v>
      </c>
      <c r="AV261" s="4">
        <f t="shared" si="305"/>
        <v>5</v>
      </c>
      <c r="AW261" s="230">
        <f>'[8]RES 62 &amp; 67'!$S346</f>
        <v>334.6</v>
      </c>
      <c r="AX261" s="200">
        <f t="shared" si="306"/>
        <v>336.7</v>
      </c>
      <c r="AY261" s="203">
        <f t="shared" si="391"/>
        <v>2.0999999999999659</v>
      </c>
      <c r="AZ261" s="230">
        <f>'[8]RES 62 &amp; 67'!$J346</f>
        <v>1.7</v>
      </c>
      <c r="BA261" s="183">
        <f t="shared" si="307"/>
        <v>2.1</v>
      </c>
      <c r="BB261" s="429">
        <f t="shared" ref="BB261:BB266" si="392">BA261-AZ261</f>
        <v>0.40000000000000013</v>
      </c>
      <c r="BC261" s="206">
        <f t="shared" si="276"/>
        <v>4.5359999999999268</v>
      </c>
      <c r="BD261" s="206">
        <f t="shared" si="277"/>
        <v>0</v>
      </c>
      <c r="BE261" s="206">
        <f t="shared" si="278"/>
        <v>4.5359999999999268</v>
      </c>
      <c r="BF261" s="207">
        <f t="shared" si="279"/>
        <v>1.0840000000000003</v>
      </c>
      <c r="BG261" s="219">
        <f t="shared" si="280"/>
        <v>5.6</v>
      </c>
      <c r="BH261" s="4">
        <f t="shared" si="320"/>
        <v>2004</v>
      </c>
      <c r="BI261" s="4">
        <f t="shared" si="321"/>
        <v>5</v>
      </c>
      <c r="BJ261" s="108">
        <f>C261+[4]MWh!$AJ95</f>
        <v>1609415.3643113971</v>
      </c>
      <c r="BK261" s="108">
        <f t="shared" si="333"/>
        <v>20691.253970473081</v>
      </c>
      <c r="BL261" s="108">
        <f t="shared" si="373"/>
        <v>1588724.110340924</v>
      </c>
      <c r="BM261" s="189">
        <f t="shared" si="334"/>
        <v>1216.3728803343838</v>
      </c>
      <c r="BN261" s="6">
        <f t="shared" si="335"/>
        <v>1596072</v>
      </c>
      <c r="BO261" s="175">
        <f t="shared" si="374"/>
        <v>20787</v>
      </c>
      <c r="BP261" s="108">
        <f t="shared" si="375"/>
        <v>7443.6356886029171</v>
      </c>
      <c r="BQ261" s="76">
        <f t="shared" si="336"/>
        <v>1179.3647321806513</v>
      </c>
      <c r="BR261" s="76">
        <f t="shared" si="337"/>
        <v>1184.819359746044</v>
      </c>
      <c r="BS261" s="76">
        <f t="shared" si="360"/>
        <v>-109.18818603337058</v>
      </c>
      <c r="BT261" s="175">
        <f t="shared" si="376"/>
        <v>1616859</v>
      </c>
      <c r="BU261" s="108">
        <f t="shared" si="385"/>
        <v>-96988</v>
      </c>
      <c r="BW261" s="529">
        <f>BT261/[9]RMWh!$L141</f>
        <v>1.146182567290045</v>
      </c>
      <c r="CK261" s="165">
        <v>38108</v>
      </c>
      <c r="CL261" s="40">
        <f>BP261+COML!BV261+SPA!BV261</f>
        <v>9191.6356886029171</v>
      </c>
      <c r="CM261" s="40">
        <f>ROUND('[14]2004'!$D36,0)</f>
        <v>14787</v>
      </c>
      <c r="CN261" s="2">
        <f t="shared" si="381"/>
        <v>-5595.3643113970829</v>
      </c>
      <c r="CO261" s="108">
        <f>'[2]FPC wSEB'!$R358</f>
        <v>3959884</v>
      </c>
      <c r="CP261" s="108">
        <f>'[2]FPC wSEB'!$C358-SUM('[2]FPC wSEB'!$K358:$L358)</f>
        <v>2946846</v>
      </c>
      <c r="CQ261" s="108">
        <f>'[2]FPC wSEB'!$T358-'[2]FPC wSEB'!$T357</f>
        <v>390649</v>
      </c>
      <c r="CR261" s="108">
        <f>SUM('[2]FPC wSEB'!$K358:$L358)</f>
        <v>288718</v>
      </c>
      <c r="CS261" s="108">
        <f>('[2]FPC wSEB'!$N358)-CQ261</f>
        <v>53638</v>
      </c>
      <c r="CT261" s="108">
        <f>'[2]FPC wSEB'!$P358</f>
        <v>7721</v>
      </c>
      <c r="CU261" s="108">
        <f>'[2]FPC wSEB'!$Q358</f>
        <v>272312</v>
      </c>
      <c r="CV261" s="115">
        <f t="shared" si="386"/>
        <v>0</v>
      </c>
      <c r="CW261" s="108">
        <f t="shared" si="390"/>
        <v>3694638</v>
      </c>
      <c r="CX261" s="108">
        <f t="shared" si="387"/>
        <v>3689042.6356886029</v>
      </c>
      <c r="CY261" s="108">
        <f t="shared" si="388"/>
        <v>5595.3643113970757</v>
      </c>
    </row>
    <row r="262" spans="1:114">
      <c r="A262" s="13">
        <f t="shared" si="299"/>
        <v>2004</v>
      </c>
      <c r="B262" s="13">
        <f t="shared" si="300"/>
        <v>6</v>
      </c>
      <c r="C262" s="5">
        <f>'[2]FPC wSEB'!$D359</f>
        <v>1928679</v>
      </c>
      <c r="D262" s="5">
        <f>'[2]FPC wSEB'!$X359</f>
        <v>1360416</v>
      </c>
      <c r="E262" s="5">
        <f t="shared" si="370"/>
        <v>1911470</v>
      </c>
      <c r="F262" s="5">
        <f t="shared" si="371"/>
        <v>1306618</v>
      </c>
      <c r="G262" s="74">
        <f t="shared" si="269"/>
        <v>1462.9</v>
      </c>
      <c r="H262" s="190">
        <v>17209.384999999998</v>
      </c>
      <c r="I262" s="170">
        <v>53798</v>
      </c>
      <c r="J262" s="230">
        <f>'[7]RES 62 &amp; 67'!$S347</f>
        <v>405.4</v>
      </c>
      <c r="K262" s="183">
        <f t="shared" si="301"/>
        <v>382.8</v>
      </c>
      <c r="L262" s="233">
        <f t="shared" si="382"/>
        <v>-22.599999999999966</v>
      </c>
      <c r="M262" s="230">
        <f>'[7]RES 62 &amp; 67'!$J347</f>
        <v>0.4</v>
      </c>
      <c r="N262" s="183">
        <f t="shared" si="302"/>
        <v>0.9</v>
      </c>
      <c r="O262" s="236">
        <f t="shared" si="383"/>
        <v>0.5</v>
      </c>
      <c r="P262" s="206">
        <f t="shared" si="270"/>
        <v>-48.815999999999931</v>
      </c>
      <c r="Q262" s="208">
        <f t="shared" si="271"/>
        <v>0</v>
      </c>
      <c r="R262" s="467">
        <f t="shared" si="272"/>
        <v>-48.815999999999931</v>
      </c>
      <c r="S262" s="470">
        <f t="shared" si="273"/>
        <v>1.355</v>
      </c>
      <c r="T262" s="425">
        <f t="shared" si="274"/>
        <v>-47.5</v>
      </c>
      <c r="U262" s="579">
        <f>[5]RC!$E142</f>
        <v>1361026</v>
      </c>
      <c r="V262" s="447">
        <v>38139</v>
      </c>
      <c r="W262" s="191">
        <f t="shared" si="259"/>
        <v>1415.4</v>
      </c>
      <c r="X262" s="73">
        <f t="shared" si="260"/>
        <v>1849387</v>
      </c>
      <c r="Y262" s="187">
        <f t="shared" si="364"/>
        <v>16502</v>
      </c>
      <c r="Z262" s="175">
        <f t="shared" si="275"/>
        <v>1865889</v>
      </c>
      <c r="AA262" s="40">
        <f t="shared" si="261"/>
        <v>-62790</v>
      </c>
      <c r="AB262" s="519">
        <f>[9]RMWh!$L142</f>
        <v>1855610</v>
      </c>
      <c r="AC262" s="107">
        <f>'[7]Gov 65 &amp; 70'!$B347</f>
        <v>30.65</v>
      </c>
      <c r="AD262" s="4">
        <f t="shared" si="262"/>
        <v>1841685</v>
      </c>
      <c r="AE262" s="4">
        <f t="shared" si="389"/>
        <v>52194</v>
      </c>
      <c r="AF262" s="23">
        <f t="shared" si="263"/>
        <v>1353.8</v>
      </c>
      <c r="AG262" s="75">
        <f t="shared" si="384"/>
        <v>-1.2000000000000455</v>
      </c>
      <c r="AI262" s="303">
        <f t="shared" si="377"/>
        <v>0.21866767133207152</v>
      </c>
      <c r="AU262" s="4">
        <f t="shared" si="304"/>
        <v>2004</v>
      </c>
      <c r="AV262" s="4">
        <f t="shared" si="305"/>
        <v>6</v>
      </c>
      <c r="AW262" s="230">
        <f>'[8]RES 62 &amp; 67'!$S347</f>
        <v>467.5</v>
      </c>
      <c r="AX262" s="200">
        <f t="shared" si="306"/>
        <v>425.2</v>
      </c>
      <c r="AY262" s="203">
        <f t="shared" si="391"/>
        <v>-42.300000000000011</v>
      </c>
      <c r="AZ262" s="230">
        <f>'[8]RES 62 &amp; 67'!$J347</f>
        <v>0</v>
      </c>
      <c r="BA262" s="183">
        <f t="shared" si="307"/>
        <v>0</v>
      </c>
      <c r="BB262" s="429">
        <f t="shared" si="392"/>
        <v>0</v>
      </c>
      <c r="BC262" s="206">
        <f t="shared" si="276"/>
        <v>-91.368000000000038</v>
      </c>
      <c r="BD262" s="206">
        <f t="shared" si="277"/>
        <v>0</v>
      </c>
      <c r="BE262" s="206">
        <f t="shared" si="278"/>
        <v>-91.368000000000038</v>
      </c>
      <c r="BF262" s="207">
        <f t="shared" si="279"/>
        <v>0</v>
      </c>
      <c r="BG262" s="219">
        <f t="shared" si="280"/>
        <v>-91.4</v>
      </c>
      <c r="BH262" s="4">
        <f t="shared" si="320"/>
        <v>2004</v>
      </c>
      <c r="BI262" s="4">
        <f t="shared" si="321"/>
        <v>6</v>
      </c>
      <c r="BJ262" s="108">
        <f>C262+[4]MWh!$AJ96</f>
        <v>2144789.7283407352</v>
      </c>
      <c r="BK262" s="108">
        <f t="shared" si="333"/>
        <v>19137.716633540946</v>
      </c>
      <c r="BL262" s="108">
        <f t="shared" si="373"/>
        <v>2125652.0117071941</v>
      </c>
      <c r="BM262" s="189">
        <f t="shared" si="334"/>
        <v>1535.4350900624315</v>
      </c>
      <c r="BN262" s="6">
        <f t="shared" si="335"/>
        <v>2006227</v>
      </c>
      <c r="BO262" s="175">
        <f t="shared" si="374"/>
        <v>18063</v>
      </c>
      <c r="BP262" s="108">
        <f t="shared" si="375"/>
        <v>-120499.72834073509</v>
      </c>
      <c r="BQ262" s="76">
        <f t="shared" si="336"/>
        <v>1576.569026195469</v>
      </c>
      <c r="BR262" s="76">
        <f t="shared" si="337"/>
        <v>1487.9933784959896</v>
      </c>
      <c r="BS262" s="76">
        <f t="shared" si="360"/>
        <v>77.880351076978059</v>
      </c>
      <c r="BT262" s="175">
        <f t="shared" si="376"/>
        <v>2024290</v>
      </c>
      <c r="BU262" s="108">
        <f t="shared" si="385"/>
        <v>162020</v>
      </c>
      <c r="BW262" s="529">
        <f>BT262/[9]RMWh!$L142</f>
        <v>1.0909027220159409</v>
      </c>
      <c r="CK262" s="165">
        <v>38139</v>
      </c>
      <c r="CL262" s="40">
        <f>BP262+COML!BV262+SPA!BV262</f>
        <v>-159011.72834073508</v>
      </c>
      <c r="CM262" s="40">
        <f>ROUND('[14]2004'!$D37,0)</f>
        <v>-55084</v>
      </c>
      <c r="CN262" s="2">
        <f t="shared" ref="CN262:CN267" si="393">CL262-CM262</f>
        <v>-103927.72834073508</v>
      </c>
      <c r="CO262" s="108">
        <f>'[2]FPC wSEB'!$R359</f>
        <v>4480775</v>
      </c>
      <c r="CP262" s="108">
        <f>'[2]FPC wSEB'!$C359-SUM('[2]FPC wSEB'!$K359:$L359)</f>
        <v>3656601</v>
      </c>
      <c r="CQ262" s="108">
        <f>'[2]FPC wSEB'!$T359-'[2]FPC wSEB'!$T358</f>
        <v>207272</v>
      </c>
      <c r="CR262" s="108">
        <f>SUM('[2]FPC wSEB'!$K359:$L359)</f>
        <v>305204</v>
      </c>
      <c r="CS262" s="108">
        <f>('[2]FPC wSEB'!$N359)-CQ262</f>
        <v>101509</v>
      </c>
      <c r="CT262" s="108">
        <f>'[2]FPC wSEB'!$P359</f>
        <v>10619</v>
      </c>
      <c r="CU262" s="108">
        <f>'[2]FPC wSEB'!$Q359</f>
        <v>199570</v>
      </c>
      <c r="CV262" s="115">
        <f t="shared" si="386"/>
        <v>0</v>
      </c>
      <c r="CW262" s="108">
        <f t="shared" si="390"/>
        <v>4215502</v>
      </c>
      <c r="CX262" s="108">
        <f t="shared" si="387"/>
        <v>4111574.2716592648</v>
      </c>
      <c r="CY262" s="108">
        <f t="shared" si="388"/>
        <v>103927.72834073519</v>
      </c>
    </row>
    <row r="263" spans="1:114">
      <c r="A263" s="13">
        <f t="shared" si="299"/>
        <v>2004</v>
      </c>
      <c r="B263" s="13">
        <f t="shared" si="300"/>
        <v>7</v>
      </c>
      <c r="C263" s="5">
        <f>'[2]FPC wSEB'!$D360</f>
        <v>2086220</v>
      </c>
      <c r="D263" s="5">
        <f>'[2]FPC wSEB'!$X360</f>
        <v>1352339</v>
      </c>
      <c r="E263" s="5">
        <f t="shared" si="370"/>
        <v>2069309</v>
      </c>
      <c r="F263" s="5">
        <f t="shared" si="371"/>
        <v>1298911</v>
      </c>
      <c r="G263" s="74">
        <f t="shared" si="269"/>
        <v>1593.1</v>
      </c>
      <c r="H263" s="190">
        <v>16910.677</v>
      </c>
      <c r="I263" s="170">
        <v>53428</v>
      </c>
      <c r="J263" s="230">
        <f>'[7]RES 62 &amp; 67'!$S348</f>
        <v>485.8</v>
      </c>
      <c r="K263" s="183">
        <f t="shared" si="301"/>
        <v>454.9</v>
      </c>
      <c r="L263" s="233">
        <f t="shared" ref="L263:L268" si="394">(K263-J263)</f>
        <v>-30.900000000000034</v>
      </c>
      <c r="M263" s="230">
        <f>'[7]RES 62 &amp; 67'!$J348</f>
        <v>0</v>
      </c>
      <c r="N263" s="183">
        <f t="shared" si="302"/>
        <v>0</v>
      </c>
      <c r="O263" s="236">
        <f t="shared" ref="O263:O268" si="395">(N263-M263)</f>
        <v>0</v>
      </c>
      <c r="P263" s="206">
        <f t="shared" si="270"/>
        <v>-66.744000000000085</v>
      </c>
      <c r="Q263" s="208">
        <f t="shared" si="271"/>
        <v>0</v>
      </c>
      <c r="R263" s="467">
        <f t="shared" si="272"/>
        <v>-66.744000000000085</v>
      </c>
      <c r="S263" s="470">
        <f t="shared" si="273"/>
        <v>0</v>
      </c>
      <c r="T263" s="425">
        <f t="shared" si="274"/>
        <v>-66.7</v>
      </c>
      <c r="U263" s="579">
        <f>[5]RC!$E143</f>
        <v>1364088</v>
      </c>
      <c r="V263" s="447">
        <v>38169</v>
      </c>
      <c r="W263" s="191">
        <f t="shared" si="259"/>
        <v>1526.3999999999999</v>
      </c>
      <c r="X263" s="73">
        <f t="shared" si="260"/>
        <v>1982658</v>
      </c>
      <c r="Y263" s="187">
        <f t="shared" si="364"/>
        <v>16071</v>
      </c>
      <c r="Z263" s="175">
        <f t="shared" si="275"/>
        <v>1998729</v>
      </c>
      <c r="AA263" s="40">
        <f t="shared" si="261"/>
        <v>-87491</v>
      </c>
      <c r="AB263" s="519">
        <f>[9]RMWh!$L143</f>
        <v>2014727</v>
      </c>
      <c r="AC263" s="107">
        <f>'[7]Gov 65 &amp; 70'!$B348</f>
        <v>30.65</v>
      </c>
      <c r="AD263" s="4">
        <f t="shared" si="262"/>
        <v>1999608</v>
      </c>
      <c r="AE263" s="4">
        <f t="shared" si="389"/>
        <v>81613</v>
      </c>
      <c r="AF263" s="23">
        <f t="shared" si="263"/>
        <v>1478.6</v>
      </c>
      <c r="AG263" s="75">
        <f t="shared" ref="AG263:AG268" si="396">AF263-AF251</f>
        <v>39.799999999999955</v>
      </c>
      <c r="AI263" s="303">
        <f t="shared" si="377"/>
        <v>0.19867766147515503</v>
      </c>
      <c r="AU263" s="4">
        <f t="shared" si="304"/>
        <v>2004</v>
      </c>
      <c r="AV263" s="4">
        <f t="shared" si="305"/>
        <v>7</v>
      </c>
      <c r="AW263" s="230">
        <f>'[8]RES 62 &amp; 67'!$S348</f>
        <v>482.3</v>
      </c>
      <c r="AX263" s="200">
        <f t="shared" si="306"/>
        <v>484.1</v>
      </c>
      <c r="AY263" s="203">
        <f t="shared" si="391"/>
        <v>1.8000000000000114</v>
      </c>
      <c r="AZ263" s="230">
        <f>'[8]RES 62 &amp; 67'!$J348</f>
        <v>0</v>
      </c>
      <c r="BA263" s="183">
        <f t="shared" si="307"/>
        <v>0</v>
      </c>
      <c r="BB263" s="429">
        <f t="shared" si="392"/>
        <v>0</v>
      </c>
      <c r="BC263" s="206">
        <f t="shared" si="276"/>
        <v>3.8880000000000248</v>
      </c>
      <c r="BD263" s="206">
        <f t="shared" si="277"/>
        <v>0</v>
      </c>
      <c r="BE263" s="206">
        <f t="shared" si="278"/>
        <v>3.8880000000000248</v>
      </c>
      <c r="BF263" s="207">
        <f t="shared" si="279"/>
        <v>0</v>
      </c>
      <c r="BG263" s="219">
        <f t="shared" si="280"/>
        <v>3.9</v>
      </c>
      <c r="BH263" s="4">
        <f t="shared" si="320"/>
        <v>2004</v>
      </c>
      <c r="BI263" s="4">
        <f t="shared" si="321"/>
        <v>7</v>
      </c>
      <c r="BJ263" s="108">
        <f>C263+[4]MWh!$AJ97</f>
        <v>2141145.9657535041</v>
      </c>
      <c r="BK263" s="108">
        <f t="shared" si="333"/>
        <v>17355.901025160612</v>
      </c>
      <c r="BL263" s="108">
        <f t="shared" si="373"/>
        <v>2123790.0647283434</v>
      </c>
      <c r="BM263" s="189">
        <f t="shared" si="334"/>
        <v>1638.9543376169295</v>
      </c>
      <c r="BN263" s="6">
        <f t="shared" si="335"/>
        <v>2128856</v>
      </c>
      <c r="BO263" s="175">
        <f t="shared" si="374"/>
        <v>17397</v>
      </c>
      <c r="BP263" s="108">
        <f t="shared" si="375"/>
        <v>5107.034246495994</v>
      </c>
      <c r="BQ263" s="76">
        <f t="shared" si="336"/>
        <v>1583.2908507064456</v>
      </c>
      <c r="BR263" s="76">
        <f t="shared" si="337"/>
        <v>1587.0672959960484</v>
      </c>
      <c r="BS263" s="76">
        <f t="shared" si="360"/>
        <v>54.204203419181113</v>
      </c>
      <c r="BT263" s="175">
        <f t="shared" si="376"/>
        <v>2146253</v>
      </c>
      <c r="BU263" s="108">
        <f t="shared" ref="BU263:BU268" si="397">BT263-BT251</f>
        <v>102830</v>
      </c>
      <c r="BW263" s="529">
        <f>BT263/[9]RMWh!$L143</f>
        <v>1.0652822938293873</v>
      </c>
      <c r="CK263" s="165">
        <v>38169</v>
      </c>
      <c r="CL263" s="40">
        <f>BP263+COML!BV263+SPA!BV263</f>
        <v>6771.034246495994</v>
      </c>
      <c r="CM263" s="40">
        <f>ROUND('[14]2004'!$D38,0)</f>
        <v>50538</v>
      </c>
      <c r="CN263" s="2">
        <f t="shared" si="393"/>
        <v>-43766.965753504002</v>
      </c>
      <c r="CO263" s="108">
        <f>'[2]FPC wSEB'!$R360</f>
        <v>4620690</v>
      </c>
      <c r="CP263" s="108">
        <f>'[2]FPC wSEB'!$C360-SUM('[2]FPC wSEB'!$K360:$L360)</f>
        <v>3830002</v>
      </c>
      <c r="CQ263" s="108">
        <f>'[2]FPC wSEB'!$T360-'[2]FPC wSEB'!$T359</f>
        <v>33602</v>
      </c>
      <c r="CR263" s="108">
        <f>SUM('[2]FPC wSEB'!$K360:$L360)</f>
        <v>441302</v>
      </c>
      <c r="CS263" s="108">
        <f>('[2]FPC wSEB'!$N360)-CQ263</f>
        <v>55839</v>
      </c>
      <c r="CT263" s="108">
        <f>'[2]FPC wSEB'!$P360</f>
        <v>4777</v>
      </c>
      <c r="CU263" s="108">
        <f>'[2]FPC wSEB'!$Q360</f>
        <v>255168</v>
      </c>
      <c r="CV263" s="115">
        <f t="shared" ref="CV263:CV268" si="398">CO263-SUM(CP263:CU263)</f>
        <v>0</v>
      </c>
      <c r="CW263" s="108">
        <f t="shared" si="390"/>
        <v>4411283</v>
      </c>
      <c r="CX263" s="108">
        <f t="shared" ref="CX263:CX268" si="399">SUM(CP263:CS263)+CL263</f>
        <v>4367516.0342464959</v>
      </c>
      <c r="CY263" s="108">
        <f t="shared" ref="CY263:CY268" si="400">CW263-CX263</f>
        <v>43766.965753504075</v>
      </c>
    </row>
    <row r="264" spans="1:114">
      <c r="A264" s="13">
        <f t="shared" si="299"/>
        <v>2004</v>
      </c>
      <c r="B264" s="13">
        <f t="shared" si="300"/>
        <v>8</v>
      </c>
      <c r="C264" s="5">
        <f>'[2]FPC wSEB'!$D361</f>
        <v>1976090</v>
      </c>
      <c r="D264" s="5">
        <f>'[2]FPC wSEB'!$X361</f>
        <v>1362072</v>
      </c>
      <c r="E264" s="5">
        <f t="shared" si="370"/>
        <v>1960677</v>
      </c>
      <c r="F264" s="5">
        <f t="shared" si="371"/>
        <v>1308517</v>
      </c>
      <c r="G264" s="74">
        <f t="shared" si="269"/>
        <v>1498.4</v>
      </c>
      <c r="H264" s="190">
        <v>15413.235000000001</v>
      </c>
      <c r="I264" s="170">
        <v>53555</v>
      </c>
      <c r="J264" s="230">
        <f>'[7]RES 62 &amp; 67'!$S349</f>
        <v>454.2</v>
      </c>
      <c r="K264" s="183">
        <f t="shared" si="301"/>
        <v>481.4</v>
      </c>
      <c r="L264" s="233">
        <f t="shared" si="394"/>
        <v>27.199999999999989</v>
      </c>
      <c r="M264" s="230">
        <f>'[7]RES 62 &amp; 67'!$J349</f>
        <v>0</v>
      </c>
      <c r="N264" s="183">
        <f t="shared" si="302"/>
        <v>0</v>
      </c>
      <c r="O264" s="236">
        <f t="shared" si="395"/>
        <v>0</v>
      </c>
      <c r="P264" s="206">
        <f t="shared" si="270"/>
        <v>58.751999999999981</v>
      </c>
      <c r="Q264" s="208">
        <f t="shared" si="271"/>
        <v>0</v>
      </c>
      <c r="R264" s="467">
        <f t="shared" si="272"/>
        <v>58.751999999999981</v>
      </c>
      <c r="S264" s="470">
        <f t="shared" si="273"/>
        <v>0</v>
      </c>
      <c r="T264" s="425">
        <f t="shared" si="274"/>
        <v>58.8</v>
      </c>
      <c r="U264" s="579">
        <f>[5]RC!$E144</f>
        <v>1365744</v>
      </c>
      <c r="V264" s="578">
        <v>38200</v>
      </c>
      <c r="W264" s="191">
        <f t="shared" si="259"/>
        <v>1557.2</v>
      </c>
      <c r="X264" s="73">
        <f t="shared" si="260"/>
        <v>2037623</v>
      </c>
      <c r="Y264" s="187">
        <f t="shared" si="364"/>
        <v>15893</v>
      </c>
      <c r="Z264" s="519">
        <f>Y264+X264+59353</f>
        <v>2112869</v>
      </c>
      <c r="AA264" s="40">
        <f t="shared" si="261"/>
        <v>136779</v>
      </c>
      <c r="AB264" s="420">
        <f>[9]RMWh!$L144+59353</f>
        <v>2180532</v>
      </c>
      <c r="AC264" s="107">
        <f>'[7]Gov 65 &amp; 70'!$B349</f>
        <v>29.7</v>
      </c>
      <c r="AD264" s="4">
        <f t="shared" si="262"/>
        <v>2233393</v>
      </c>
      <c r="AE264" s="4">
        <f t="shared" ref="AE264:AE269" si="401">AD264-AD252</f>
        <v>184362</v>
      </c>
      <c r="AF264" s="23">
        <f t="shared" si="263"/>
        <v>1639.7</v>
      </c>
      <c r="AG264" s="75">
        <f t="shared" si="396"/>
        <v>92.299999999999955</v>
      </c>
      <c r="AI264" s="303">
        <f t="shared" si="377"/>
        <v>0.1920728639039268</v>
      </c>
      <c r="AU264" s="4">
        <f t="shared" si="304"/>
        <v>2004</v>
      </c>
      <c r="AV264" s="4">
        <f t="shared" si="305"/>
        <v>8</v>
      </c>
      <c r="AW264" s="230">
        <f>'[8]RES 62 &amp; 67'!$S349</f>
        <v>473.4</v>
      </c>
      <c r="AX264" s="200">
        <f t="shared" si="306"/>
        <v>487.3</v>
      </c>
      <c r="AY264" s="203">
        <f t="shared" si="391"/>
        <v>13.900000000000034</v>
      </c>
      <c r="AZ264" s="230">
        <f>'[8]RES 62 &amp; 67'!$J349</f>
        <v>0</v>
      </c>
      <c r="BA264" s="183">
        <f t="shared" si="307"/>
        <v>0</v>
      </c>
      <c r="BB264" s="429">
        <f t="shared" si="392"/>
        <v>0</v>
      </c>
      <c r="BC264" s="206">
        <f t="shared" si="276"/>
        <v>30.024000000000076</v>
      </c>
      <c r="BD264" s="206">
        <f t="shared" si="277"/>
        <v>0</v>
      </c>
      <c r="BE264" s="206">
        <f t="shared" si="278"/>
        <v>30.024000000000076</v>
      </c>
      <c r="BF264" s="207">
        <f t="shared" si="279"/>
        <v>0</v>
      </c>
      <c r="BG264" s="219">
        <f t="shared" si="280"/>
        <v>30</v>
      </c>
      <c r="BH264" s="3">
        <f t="shared" si="320"/>
        <v>2004</v>
      </c>
      <c r="BI264" s="3">
        <f t="shared" si="321"/>
        <v>8</v>
      </c>
      <c r="BJ264" s="108">
        <f>C264+[4]MWh!$AJ98</f>
        <v>1971896.9846277386</v>
      </c>
      <c r="BK264" s="108">
        <f t="shared" si="333"/>
        <v>15380.530046636906</v>
      </c>
      <c r="BL264" s="108">
        <f t="shared" si="373"/>
        <v>1956516.4545811017</v>
      </c>
      <c r="BM264" s="189">
        <f t="shared" si="334"/>
        <v>1525.2166877320674</v>
      </c>
      <c r="BN264" s="6">
        <f t="shared" si="335"/>
        <v>1995772</v>
      </c>
      <c r="BO264" s="175">
        <f t="shared" si="374"/>
        <v>15689</v>
      </c>
      <c r="BP264" s="108">
        <f t="shared" si="375"/>
        <v>39564.015372261434</v>
      </c>
      <c r="BQ264" s="76">
        <f t="shared" si="336"/>
        <v>1447.7186115181419</v>
      </c>
      <c r="BR264" s="76">
        <f t="shared" si="337"/>
        <v>1476.7655454337216</v>
      </c>
      <c r="BS264" s="76">
        <f t="shared" si="360"/>
        <v>-28.796769026785569</v>
      </c>
      <c r="BT264" s="175">
        <f>(BN264+BO264)+59353</f>
        <v>2070814</v>
      </c>
      <c r="BU264" s="108">
        <f t="shared" si="397"/>
        <v>77180</v>
      </c>
      <c r="BV264" s="108"/>
      <c r="BW264" s="529">
        <f>BT264/[9]RMWh!$L144</f>
        <v>0.97625612925641825</v>
      </c>
      <c r="CK264" s="165">
        <v>38200</v>
      </c>
      <c r="CL264" s="40">
        <f>BP264+COML!BV264+SPA!BV264</f>
        <v>93986.015372261434</v>
      </c>
      <c r="CM264" s="40">
        <f>ROUND('[14]2004'!$D39,0)</f>
        <v>256094</v>
      </c>
      <c r="CN264" s="2">
        <f t="shared" si="393"/>
        <v>-162107.98462773857</v>
      </c>
      <c r="CO264" s="108">
        <f>'[2]FPC wSEB'!$R361</f>
        <v>4431909</v>
      </c>
      <c r="CP264" s="108">
        <f>'[2]FPC wSEB'!$C361-SUM('[2]FPC wSEB'!$K361:$L361)</f>
        <v>3704809</v>
      </c>
      <c r="CQ264" s="108">
        <f>'[2]FPC wSEB'!$T361-'[2]FPC wSEB'!$T360</f>
        <v>37899</v>
      </c>
      <c r="CR264" s="108">
        <f>SUM('[2]FPC wSEB'!$K361:$L361)</f>
        <v>465456</v>
      </c>
      <c r="CS264" s="108">
        <f>('[2]FPC wSEB'!$N361)-CQ264</f>
        <v>-9677</v>
      </c>
      <c r="CT264" s="108">
        <f>'[2]FPC wSEB'!$P361</f>
        <v>13277</v>
      </c>
      <c r="CU264" s="108">
        <f>'[2]FPC wSEB'!$Q361</f>
        <v>220145</v>
      </c>
      <c r="CV264" s="115">
        <f t="shared" si="398"/>
        <v>0</v>
      </c>
      <c r="CW264" s="108">
        <f t="shared" si="390"/>
        <v>4454581</v>
      </c>
      <c r="CX264" s="108">
        <f t="shared" si="399"/>
        <v>4292473.0153722614</v>
      </c>
      <c r="CY264" s="108">
        <f t="shared" si="400"/>
        <v>162107.9846277386</v>
      </c>
      <c r="CZ264" s="6" t="s">
        <v>144</v>
      </c>
      <c r="DA264" s="6"/>
      <c r="DD264" s="6"/>
      <c r="DE264" s="6"/>
      <c r="DF264" s="6"/>
      <c r="DG264" s="6"/>
      <c r="DH264" s="6"/>
      <c r="DI264" s="6"/>
      <c r="DJ264" s="6"/>
    </row>
    <row r="265" spans="1:114">
      <c r="A265" s="13">
        <f t="shared" si="299"/>
        <v>2004</v>
      </c>
      <c r="B265" s="13">
        <f t="shared" si="300"/>
        <v>9</v>
      </c>
      <c r="C265" s="5">
        <f>'[2]FPC wSEB'!$D362</f>
        <v>1918346</v>
      </c>
      <c r="D265" s="5">
        <f>'[2]FPC wSEB'!$X362</f>
        <v>1377987</v>
      </c>
      <c r="E265" s="5">
        <f t="shared" si="370"/>
        <v>1902885</v>
      </c>
      <c r="F265" s="5">
        <f t="shared" si="371"/>
        <v>1323162</v>
      </c>
      <c r="G265" s="74">
        <f t="shared" si="269"/>
        <v>1438.1</v>
      </c>
      <c r="H265" s="190">
        <v>15461.413</v>
      </c>
      <c r="I265" s="170">
        <v>54825</v>
      </c>
      <c r="J265" s="230">
        <f>'[7]RES 62 &amp; 67'!$S350</f>
        <v>459.4</v>
      </c>
      <c r="K265" s="183">
        <f t="shared" si="301"/>
        <v>473.7</v>
      </c>
      <c r="L265" s="233">
        <f t="shared" si="394"/>
        <v>14.300000000000011</v>
      </c>
      <c r="M265" s="230">
        <f>'[7]RES 62 &amp; 67'!$J350</f>
        <v>0</v>
      </c>
      <c r="N265" s="183">
        <f t="shared" si="302"/>
        <v>0</v>
      </c>
      <c r="O265" s="236">
        <f t="shared" si="395"/>
        <v>0</v>
      </c>
      <c r="P265" s="206">
        <f t="shared" si="270"/>
        <v>30.888000000000027</v>
      </c>
      <c r="Q265" s="208">
        <f t="shared" si="271"/>
        <v>0</v>
      </c>
      <c r="R265" s="467">
        <f t="shared" si="272"/>
        <v>30.888000000000027</v>
      </c>
      <c r="S265" s="470">
        <f t="shared" si="273"/>
        <v>0</v>
      </c>
      <c r="T265" s="425">
        <f t="shared" si="274"/>
        <v>30.9</v>
      </c>
      <c r="U265" s="579">
        <f>[5]RC!$E145</f>
        <v>1369122</v>
      </c>
      <c r="V265" s="578">
        <v>38231</v>
      </c>
      <c r="W265" s="191">
        <f t="shared" si="259"/>
        <v>1469</v>
      </c>
      <c r="X265" s="73">
        <f t="shared" si="260"/>
        <v>1943725</v>
      </c>
      <c r="Y265" s="187">
        <f t="shared" si="364"/>
        <v>15666</v>
      </c>
      <c r="Z265" s="519">
        <f>Y265+X265+85376</f>
        <v>2044767</v>
      </c>
      <c r="AA265" s="40">
        <f t="shared" si="261"/>
        <v>126421</v>
      </c>
      <c r="AB265" s="420">
        <f>[9]RMWh!$L145+85376</f>
        <v>2120099</v>
      </c>
      <c r="AC265" s="107">
        <f>'[7]Gov 65 &amp; 70'!$B350</f>
        <v>30.3</v>
      </c>
      <c r="AD265" s="4">
        <f t="shared" si="262"/>
        <v>2128495</v>
      </c>
      <c r="AE265" s="4">
        <f t="shared" si="401"/>
        <v>229617</v>
      </c>
      <c r="AF265" s="23">
        <f t="shared" si="263"/>
        <v>1544.6</v>
      </c>
      <c r="AG265" s="75">
        <f t="shared" si="396"/>
        <v>141.79999999999995</v>
      </c>
      <c r="AI265" s="303">
        <f t="shared" si="377"/>
        <v>0.19610174327839786</v>
      </c>
      <c r="AU265" s="4">
        <f t="shared" si="304"/>
        <v>2004</v>
      </c>
      <c r="AV265" s="4">
        <f t="shared" si="305"/>
        <v>9</v>
      </c>
      <c r="AW265" s="230">
        <f>'[8]RES 62 &amp; 67'!$S350</f>
        <v>422.2</v>
      </c>
      <c r="AX265" s="200">
        <f t="shared" si="306"/>
        <v>428.3</v>
      </c>
      <c r="AY265" s="203">
        <f t="shared" si="391"/>
        <v>6.1000000000000227</v>
      </c>
      <c r="AZ265" s="230">
        <f>'[8]RES 62 &amp; 67'!$J350</f>
        <v>0</v>
      </c>
      <c r="BA265" s="183">
        <f t="shared" si="307"/>
        <v>0</v>
      </c>
      <c r="BB265" s="429">
        <f t="shared" si="392"/>
        <v>0</v>
      </c>
      <c r="BC265" s="206">
        <f t="shared" si="276"/>
        <v>13.17600000000005</v>
      </c>
      <c r="BD265" s="206">
        <f t="shared" si="277"/>
        <v>0</v>
      </c>
      <c r="BE265" s="206">
        <f t="shared" si="278"/>
        <v>13.17600000000005</v>
      </c>
      <c r="BF265" s="207">
        <f t="shared" si="279"/>
        <v>0</v>
      </c>
      <c r="BG265" s="219">
        <f t="shared" si="280"/>
        <v>13.2</v>
      </c>
      <c r="BH265" s="3">
        <f t="shared" si="320"/>
        <v>2004</v>
      </c>
      <c r="BI265" s="3">
        <f t="shared" si="321"/>
        <v>9</v>
      </c>
      <c r="BJ265" s="108">
        <f>C265+[4]MWh!$AJ99</f>
        <v>1786761.6301867871</v>
      </c>
      <c r="BK265" s="108">
        <f t="shared" si="333"/>
        <v>14400.874241076002</v>
      </c>
      <c r="BL265" s="108">
        <f t="shared" si="373"/>
        <v>1772360.7559457112</v>
      </c>
      <c r="BM265" s="189">
        <f t="shared" si="334"/>
        <v>1352.6888577103266</v>
      </c>
      <c r="BN265" s="6">
        <f t="shared" si="335"/>
        <v>1789826</v>
      </c>
      <c r="BO265" s="175">
        <f t="shared" si="374"/>
        <v>14543</v>
      </c>
      <c r="BP265" s="108">
        <f t="shared" si="375"/>
        <v>17607.369813212834</v>
      </c>
      <c r="BQ265" s="76">
        <f t="shared" si="336"/>
        <v>1296.6462166818606</v>
      </c>
      <c r="BR265" s="76">
        <f t="shared" si="337"/>
        <v>1309.4238189474936</v>
      </c>
      <c r="BS265" s="76">
        <f t="shared" si="360"/>
        <v>-69.031868614468976</v>
      </c>
      <c r="BT265" s="175">
        <f>(BN265+BO265)+85376</f>
        <v>1889745</v>
      </c>
      <c r="BU265" s="108">
        <f t="shared" si="397"/>
        <v>23815</v>
      </c>
      <c r="BV265" s="108"/>
      <c r="BW265" s="529">
        <f>BT265/[9]RMWh!$L145</f>
        <v>0.92874804088812091</v>
      </c>
      <c r="CK265" s="165">
        <v>38231</v>
      </c>
      <c r="CL265" s="40">
        <f>BP265+COML!BV265+SPA!BV265</f>
        <v>34312.369813212834</v>
      </c>
      <c r="CM265" s="40">
        <f>ROUND('[14]2004'!$D40,0)</f>
        <v>272957</v>
      </c>
      <c r="CN265" s="2">
        <f t="shared" si="393"/>
        <v>-238644.63018678717</v>
      </c>
      <c r="CO265" s="108">
        <f>'[2]FPC wSEB'!$R362</f>
        <v>4064156</v>
      </c>
      <c r="CP265" s="108">
        <f>'[2]FPC wSEB'!$C362-SUM('[2]FPC wSEB'!$K362:$L362)</f>
        <v>3611678</v>
      </c>
      <c r="CQ265" s="108">
        <f>'[2]FPC wSEB'!$T362-'[2]FPC wSEB'!$T361</f>
        <v>-238505</v>
      </c>
      <c r="CR265" s="108">
        <f>SUM('[2]FPC wSEB'!$K362:$L362)</f>
        <v>459774</v>
      </c>
      <c r="CS265" s="108">
        <f>('[2]FPC wSEB'!$N362)-CQ265</f>
        <v>-24666</v>
      </c>
      <c r="CT265" s="108">
        <f>'[2]FPC wSEB'!$P362</f>
        <v>16624</v>
      </c>
      <c r="CU265" s="108">
        <f>'[2]FPC wSEB'!$Q362</f>
        <v>239251</v>
      </c>
      <c r="CV265" s="115">
        <f t="shared" si="398"/>
        <v>0</v>
      </c>
      <c r="CW265" s="108">
        <f t="shared" ref="CW265:CW270" si="402">CO265-CT265-CU265+CM265</f>
        <v>4081238</v>
      </c>
      <c r="CX265" s="108">
        <f t="shared" si="399"/>
        <v>3842593.3698132127</v>
      </c>
      <c r="CY265" s="108">
        <f t="shared" si="400"/>
        <v>238644.63018678734</v>
      </c>
      <c r="CZ265" s="167" t="s">
        <v>145</v>
      </c>
      <c r="DA265" s="167"/>
      <c r="DD265" s="167"/>
      <c r="DE265" s="167"/>
      <c r="DF265" s="167"/>
      <c r="DG265" s="167"/>
      <c r="DH265" s="167"/>
      <c r="DI265" s="167"/>
      <c r="DJ265" s="167"/>
    </row>
    <row r="266" spans="1:114">
      <c r="A266" s="13">
        <f t="shared" si="299"/>
        <v>2004</v>
      </c>
      <c r="B266" s="13">
        <f t="shared" si="300"/>
        <v>10</v>
      </c>
      <c r="C266" s="5">
        <f>'[2]FPC wSEB'!$D363</f>
        <v>1773691</v>
      </c>
      <c r="D266" s="5">
        <f>'[2]FPC wSEB'!$X363</f>
        <v>1371216</v>
      </c>
      <c r="E266" s="5">
        <f t="shared" si="370"/>
        <v>1757830</v>
      </c>
      <c r="F266" s="5">
        <f t="shared" si="371"/>
        <v>1318046</v>
      </c>
      <c r="G266" s="74">
        <f t="shared" si="269"/>
        <v>1333.7</v>
      </c>
      <c r="H266" s="190">
        <v>15860.959000000001</v>
      </c>
      <c r="I266" s="170">
        <v>53170</v>
      </c>
      <c r="J266" s="230">
        <f>'[7]RES 62 &amp; 67'!$S351</f>
        <v>376.6</v>
      </c>
      <c r="K266" s="183">
        <f t="shared" si="301"/>
        <v>373.2</v>
      </c>
      <c r="L266" s="233">
        <f t="shared" si="394"/>
        <v>-3.4000000000000341</v>
      </c>
      <c r="M266" s="230">
        <f>'[7]RES 62 &amp; 67'!$J351</f>
        <v>1</v>
      </c>
      <c r="N266" s="183">
        <f t="shared" si="302"/>
        <v>1.3</v>
      </c>
      <c r="O266" s="236">
        <f t="shared" si="395"/>
        <v>0.30000000000000004</v>
      </c>
      <c r="P266" s="206">
        <f t="shared" si="270"/>
        <v>-7.344000000000074</v>
      </c>
      <c r="Q266" s="208">
        <f t="shared" si="271"/>
        <v>0</v>
      </c>
      <c r="R266" s="467">
        <f t="shared" si="272"/>
        <v>-7.344000000000074</v>
      </c>
      <c r="S266" s="470">
        <f t="shared" si="273"/>
        <v>0.81300000000000006</v>
      </c>
      <c r="T266" s="425">
        <f t="shared" si="274"/>
        <v>-6.5</v>
      </c>
      <c r="U266" s="579">
        <f>[5]RC!$E146</f>
        <v>1370668</v>
      </c>
      <c r="V266" s="447">
        <v>38261</v>
      </c>
      <c r="W266" s="191">
        <f t="shared" si="259"/>
        <v>1327.2</v>
      </c>
      <c r="X266" s="73">
        <f t="shared" si="260"/>
        <v>1749311</v>
      </c>
      <c r="Y266" s="187">
        <f t="shared" si="364"/>
        <v>15643</v>
      </c>
      <c r="Z266" s="175">
        <f t="shared" si="275"/>
        <v>1764954</v>
      </c>
      <c r="AA266" s="40">
        <f t="shared" si="261"/>
        <v>-8737</v>
      </c>
      <c r="AB266" s="519">
        <f>[9]RMWh!$L146</f>
        <v>1765267</v>
      </c>
      <c r="AC266" s="107">
        <f>'[7]Gov 65 &amp; 70'!$B351</f>
        <v>29.8</v>
      </c>
      <c r="AD266" s="4">
        <f t="shared" si="262"/>
        <v>1801994</v>
      </c>
      <c r="AE266" s="4">
        <f t="shared" si="401"/>
        <v>35131</v>
      </c>
      <c r="AF266" s="23">
        <f t="shared" si="263"/>
        <v>1314.2</v>
      </c>
      <c r="AG266" s="75">
        <f t="shared" si="396"/>
        <v>6.2999999999999545</v>
      </c>
      <c r="AI266" s="303">
        <f t="shared" si="377"/>
        <v>0.22366839997315574</v>
      </c>
      <c r="AU266" s="4">
        <f t="shared" si="304"/>
        <v>2004</v>
      </c>
      <c r="AV266" s="4">
        <f t="shared" si="305"/>
        <v>10</v>
      </c>
      <c r="AW266" s="230">
        <f>'[8]RES 62 &amp; 67'!$S351</f>
        <v>290.8</v>
      </c>
      <c r="AX266" s="200">
        <f t="shared" si="306"/>
        <v>277.60000000000002</v>
      </c>
      <c r="AY266" s="203">
        <f t="shared" ref="AY266:AY271" si="403">AX266-AW266</f>
        <v>-13.199999999999989</v>
      </c>
      <c r="AZ266" s="230">
        <f>'[8]RES 62 &amp; 67'!$J351</f>
        <v>3.3</v>
      </c>
      <c r="BA266" s="183">
        <f t="shared" si="307"/>
        <v>8.5</v>
      </c>
      <c r="BB266" s="429">
        <f t="shared" si="392"/>
        <v>5.2</v>
      </c>
      <c r="BC266" s="206">
        <f t="shared" si="276"/>
        <v>-28.511999999999976</v>
      </c>
      <c r="BD266" s="206">
        <f t="shared" si="277"/>
        <v>0</v>
      </c>
      <c r="BE266" s="206">
        <f t="shared" si="278"/>
        <v>-28.511999999999976</v>
      </c>
      <c r="BF266" s="207">
        <f t="shared" si="279"/>
        <v>14.092000000000001</v>
      </c>
      <c r="BG266" s="219">
        <f t="shared" si="280"/>
        <v>-14.4</v>
      </c>
      <c r="BH266" s="4">
        <f t="shared" si="320"/>
        <v>2004</v>
      </c>
      <c r="BI266" s="4">
        <f t="shared" si="321"/>
        <v>10</v>
      </c>
      <c r="BJ266" s="108">
        <f>C266+[4]MWh!$AJ100</f>
        <v>1746753.3691029535</v>
      </c>
      <c r="BK266" s="108">
        <f t="shared" si="333"/>
        <v>15620.073378313253</v>
      </c>
      <c r="BL266" s="108">
        <f t="shared" si="373"/>
        <v>1731133.2957246401</v>
      </c>
      <c r="BM266" s="189">
        <f t="shared" si="334"/>
        <v>1299.0088610903108</v>
      </c>
      <c r="BN266" s="6">
        <f t="shared" si="335"/>
        <v>1712153</v>
      </c>
      <c r="BO266" s="175">
        <f t="shared" si="374"/>
        <v>15449</v>
      </c>
      <c r="BP266" s="108">
        <f t="shared" si="375"/>
        <v>-19151.369102953387</v>
      </c>
      <c r="BQ266" s="76">
        <f t="shared" si="336"/>
        <v>1273.8717817637437</v>
      </c>
      <c r="BR266" s="76">
        <f t="shared" si="337"/>
        <v>1259.9050769535945</v>
      </c>
      <c r="BS266" s="76">
        <f t="shared" si="360"/>
        <v>62.098608434161633</v>
      </c>
      <c r="BT266" s="175">
        <f t="shared" si="376"/>
        <v>1727602</v>
      </c>
      <c r="BU266" s="108">
        <f t="shared" si="397"/>
        <v>109508</v>
      </c>
      <c r="BW266" s="529">
        <f>BT266/[9]RMWh!$L146</f>
        <v>0.97866328436434824</v>
      </c>
      <c r="CK266" s="165">
        <v>38261</v>
      </c>
      <c r="CL266" s="40">
        <f>BP266+COML!BV266+SPA!BV266</f>
        <v>-30646.369102953387</v>
      </c>
      <c r="CM266" s="40">
        <f>ROUND('[14]2004'!$D41,0)</f>
        <v>-19995</v>
      </c>
      <c r="CN266" s="2">
        <f t="shared" si="393"/>
        <v>-10651.369102953387</v>
      </c>
      <c r="CO266" s="108">
        <f>'[2]FPC wSEB'!$R363</f>
        <v>3899840</v>
      </c>
      <c r="CP266" s="108">
        <f>'[2]FPC wSEB'!$C363-SUM('[2]FPC wSEB'!$K363:$L363)</f>
        <v>3374286</v>
      </c>
      <c r="CQ266" s="108">
        <f>'[2]FPC wSEB'!$T363-'[2]FPC wSEB'!$T362</f>
        <v>-30778</v>
      </c>
      <c r="CR266" s="108">
        <f>SUM('[2]FPC wSEB'!$K363:$L363)</f>
        <v>452035</v>
      </c>
      <c r="CS266" s="108">
        <f>('[2]FPC wSEB'!$N363)-CQ266</f>
        <v>-42670</v>
      </c>
      <c r="CT266" s="108">
        <f>'[2]FPC wSEB'!$P363</f>
        <v>8129</v>
      </c>
      <c r="CU266" s="108">
        <f>'[2]FPC wSEB'!$Q363</f>
        <v>138838</v>
      </c>
      <c r="CV266" s="115">
        <f t="shared" si="398"/>
        <v>0</v>
      </c>
      <c r="CW266" s="108">
        <f t="shared" si="402"/>
        <v>3732878</v>
      </c>
      <c r="CX266" s="108">
        <f t="shared" si="399"/>
        <v>3722226.6308970465</v>
      </c>
      <c r="CY266" s="108">
        <f t="shared" si="400"/>
        <v>10651.369102953468</v>
      </c>
    </row>
    <row r="267" spans="1:114">
      <c r="A267" s="13">
        <f t="shared" si="299"/>
        <v>2004</v>
      </c>
      <c r="B267" s="13">
        <f t="shared" si="300"/>
        <v>11</v>
      </c>
      <c r="C267" s="5">
        <f>'[2]FPC wSEB'!$D364</f>
        <v>1423770</v>
      </c>
      <c r="D267" s="5">
        <f>'[2]FPC wSEB'!$X364</f>
        <v>1386736</v>
      </c>
      <c r="E267" s="5">
        <f t="shared" si="370"/>
        <v>1405604</v>
      </c>
      <c r="F267" s="5">
        <f t="shared" si="371"/>
        <v>1333260</v>
      </c>
      <c r="G267" s="74">
        <f t="shared" si="269"/>
        <v>1054.3</v>
      </c>
      <c r="H267" s="190">
        <v>18166.404999999999</v>
      </c>
      <c r="I267" s="170">
        <v>53476</v>
      </c>
      <c r="J267" s="230">
        <f>'[7]RES 62 &amp; 67'!$S352</f>
        <v>229.6</v>
      </c>
      <c r="K267" s="183">
        <f t="shared" si="301"/>
        <v>204.3</v>
      </c>
      <c r="L267" s="233">
        <f t="shared" si="394"/>
        <v>-25.299999999999983</v>
      </c>
      <c r="M267" s="230">
        <f>'[7]RES 62 &amp; 67'!$J352</f>
        <v>7.3</v>
      </c>
      <c r="N267" s="183">
        <f t="shared" si="302"/>
        <v>24.1</v>
      </c>
      <c r="O267" s="236">
        <f t="shared" si="395"/>
        <v>16.8</v>
      </c>
      <c r="P267" s="206">
        <f t="shared" si="270"/>
        <v>-54.647999999999968</v>
      </c>
      <c r="Q267" s="208">
        <f t="shared" si="271"/>
        <v>0</v>
      </c>
      <c r="R267" s="467">
        <f t="shared" si="272"/>
        <v>-54.647999999999968</v>
      </c>
      <c r="S267" s="470">
        <f t="shared" si="273"/>
        <v>45.527999999999999</v>
      </c>
      <c r="T267" s="425">
        <f t="shared" si="274"/>
        <v>-9.1</v>
      </c>
      <c r="U267" s="579">
        <f>[5]RC!$E147</f>
        <v>1371373</v>
      </c>
      <c r="V267" s="447">
        <v>38292</v>
      </c>
      <c r="W267" s="191">
        <f t="shared" si="259"/>
        <v>1045.2</v>
      </c>
      <c r="X267" s="73">
        <f t="shared" si="260"/>
        <v>1393523</v>
      </c>
      <c r="Y267" s="187">
        <f t="shared" si="364"/>
        <v>17780</v>
      </c>
      <c r="Z267" s="175">
        <f t="shared" si="275"/>
        <v>1411303</v>
      </c>
      <c r="AA267" s="40">
        <f t="shared" si="261"/>
        <v>-12467</v>
      </c>
      <c r="AB267" s="519">
        <f>[9]RMWh!$L147</f>
        <v>1396582</v>
      </c>
      <c r="AC267" s="107">
        <f>'[7]Gov 65 &amp; 70'!$B352</f>
        <v>30.15</v>
      </c>
      <c r="AD267" s="4">
        <f t="shared" si="262"/>
        <v>1409089</v>
      </c>
      <c r="AE267" s="4">
        <f t="shared" si="401"/>
        <v>61323</v>
      </c>
      <c r="AF267" s="23">
        <f t="shared" si="263"/>
        <v>1016.1</v>
      </c>
      <c r="AG267" s="75">
        <f t="shared" si="396"/>
        <v>17.600000000000023</v>
      </c>
      <c r="AI267" s="303">
        <f t="shared" si="377"/>
        <v>0.32221508664171583</v>
      </c>
      <c r="AU267" s="4">
        <f t="shared" si="304"/>
        <v>2004</v>
      </c>
      <c r="AV267" s="4">
        <f t="shared" si="305"/>
        <v>11</v>
      </c>
      <c r="AW267" s="230">
        <f>'[8]RES 62 &amp; 67'!$S352</f>
        <v>135.6</v>
      </c>
      <c r="AX267" s="200">
        <f t="shared" si="306"/>
        <v>110.2</v>
      </c>
      <c r="AY267" s="203">
        <f t="shared" si="403"/>
        <v>-25.399999999999991</v>
      </c>
      <c r="AZ267" s="230">
        <f>'[8]RES 62 &amp; 67'!$J352</f>
        <v>23.8</v>
      </c>
      <c r="BA267" s="183">
        <f t="shared" si="307"/>
        <v>45.3</v>
      </c>
      <c r="BB267" s="429">
        <f t="shared" ref="BB267:BB272" si="404">BA267-AZ267</f>
        <v>21.499999999999996</v>
      </c>
      <c r="BC267" s="206">
        <f t="shared" si="276"/>
        <v>-54.863999999999983</v>
      </c>
      <c r="BD267" s="206">
        <f t="shared" si="277"/>
        <v>7.7469999999999972</v>
      </c>
      <c r="BE267" s="206">
        <f t="shared" si="278"/>
        <v>-47.116999999999983</v>
      </c>
      <c r="BF267" s="207">
        <f t="shared" si="279"/>
        <v>58.264999999999986</v>
      </c>
      <c r="BG267" s="219">
        <f t="shared" si="280"/>
        <v>11.1</v>
      </c>
      <c r="BH267" s="4">
        <f t="shared" si="320"/>
        <v>2004</v>
      </c>
      <c r="BI267" s="4">
        <f t="shared" si="321"/>
        <v>11</v>
      </c>
      <c r="BJ267" s="108">
        <f>C267+[4]MWh!$AJ101</f>
        <v>1186701.4427423328</v>
      </c>
      <c r="BK267" s="108">
        <f t="shared" si="333"/>
        <v>15141.560099553668</v>
      </c>
      <c r="BL267" s="108">
        <f t="shared" si="373"/>
        <v>1171559.882642779</v>
      </c>
      <c r="BM267" s="189">
        <f t="shared" si="334"/>
        <v>889.818241485366</v>
      </c>
      <c r="BN267" s="6">
        <f t="shared" si="335"/>
        <v>1186359</v>
      </c>
      <c r="BO267" s="175">
        <f t="shared" si="374"/>
        <v>15333</v>
      </c>
      <c r="BP267" s="108">
        <f t="shared" si="375"/>
        <v>14990.557257667298</v>
      </c>
      <c r="BQ267" s="76">
        <f t="shared" si="336"/>
        <v>855.75152209384692</v>
      </c>
      <c r="BR267" s="76">
        <f t="shared" si="337"/>
        <v>866.56147961832676</v>
      </c>
      <c r="BS267" s="76">
        <f t="shared" si="360"/>
        <v>94.332202717156633</v>
      </c>
      <c r="BT267" s="175">
        <f t="shared" si="376"/>
        <v>1201692</v>
      </c>
      <c r="BU267" s="108">
        <f t="shared" si="397"/>
        <v>159357</v>
      </c>
      <c r="BW267" s="529">
        <f>BT267/[9]RMWh!$L147</f>
        <v>0.86045216106179234</v>
      </c>
      <c r="CK267" s="165">
        <v>38292</v>
      </c>
      <c r="CL267" s="40">
        <f>BP267+COML!BV267+SPA!BV267</f>
        <v>-3838.4427423327015</v>
      </c>
      <c r="CM267" s="40">
        <f>ROUND('[14]2004'!$D42,0)</f>
        <v>38660</v>
      </c>
      <c r="CN267" s="2">
        <f t="shared" si="393"/>
        <v>-42498.4427423327</v>
      </c>
      <c r="CO267" s="108">
        <f>'[2]FPC wSEB'!$R364</f>
        <v>3237447</v>
      </c>
      <c r="CP267" s="108">
        <f>'[2]FPC wSEB'!$C364-SUM('[2]FPC wSEB'!$K364:$L364)</f>
        <v>3030926</v>
      </c>
      <c r="CQ267" s="108">
        <f>'[2]FPC wSEB'!$T364-'[2]FPC wSEB'!$T363</f>
        <v>-275606</v>
      </c>
      <c r="CR267" s="108">
        <f>SUM('[2]FPC wSEB'!$K364:$L364)</f>
        <v>375102</v>
      </c>
      <c r="CS267" s="108">
        <f>('[2]FPC wSEB'!$N364)-CQ267</f>
        <v>-25939</v>
      </c>
      <c r="CT267" s="108">
        <f>'[2]FPC wSEB'!$P364</f>
        <v>11957</v>
      </c>
      <c r="CU267" s="108">
        <f>'[2]FPC wSEB'!$Q364</f>
        <v>121007</v>
      </c>
      <c r="CV267" s="115">
        <f t="shared" si="398"/>
        <v>0</v>
      </c>
      <c r="CW267" s="108">
        <f t="shared" si="402"/>
        <v>3143143</v>
      </c>
      <c r="CX267" s="108">
        <f t="shared" si="399"/>
        <v>3100644.5572576672</v>
      </c>
      <c r="CY267" s="108">
        <f t="shared" si="400"/>
        <v>42498.442742332816</v>
      </c>
    </row>
    <row r="268" spans="1:114" s="89" customFormat="1" ht="12.75">
      <c r="A268" s="90">
        <f t="shared" si="299"/>
        <v>2004</v>
      </c>
      <c r="B268" s="90">
        <f t="shared" si="300"/>
        <v>12</v>
      </c>
      <c r="C268" s="103">
        <f>'[2]FPC wSEB'!$D365</f>
        <v>1372338</v>
      </c>
      <c r="D268" s="103">
        <f>'[2]FPC wSEB'!$X365</f>
        <v>1390228</v>
      </c>
      <c r="E268" s="103">
        <f t="shared" si="370"/>
        <v>1348923</v>
      </c>
      <c r="F268" s="103">
        <f t="shared" si="371"/>
        <v>1336385</v>
      </c>
      <c r="G268" s="109">
        <f t="shared" si="269"/>
        <v>1009.4</v>
      </c>
      <c r="H268" s="196">
        <v>23414.637999999999</v>
      </c>
      <c r="I268" s="197">
        <v>53843</v>
      </c>
      <c r="J268" s="300">
        <f>'[7]RES 62 &amp; 67'!$S353</f>
        <v>105.1</v>
      </c>
      <c r="K268" s="210">
        <f t="shared" si="301"/>
        <v>88</v>
      </c>
      <c r="L268" s="234">
        <f t="shared" si="394"/>
        <v>-17.099999999999994</v>
      </c>
      <c r="M268" s="300">
        <f>'[7]RES 62 &amp; 67'!$J353</f>
        <v>64</v>
      </c>
      <c r="N268" s="210">
        <f t="shared" si="302"/>
        <v>83.9</v>
      </c>
      <c r="O268" s="237">
        <f t="shared" si="395"/>
        <v>19.900000000000006</v>
      </c>
      <c r="P268" s="211">
        <f t="shared" si="270"/>
        <v>-36.935999999999993</v>
      </c>
      <c r="Q268" s="211">
        <f t="shared" si="271"/>
        <v>10.430999999999996</v>
      </c>
      <c r="R268" s="468">
        <f t="shared" si="272"/>
        <v>-26.504999999999995</v>
      </c>
      <c r="S268" s="471">
        <f t="shared" si="273"/>
        <v>53.929000000000016</v>
      </c>
      <c r="T268" s="426">
        <f t="shared" si="274"/>
        <v>27.4</v>
      </c>
      <c r="U268" s="579">
        <f>[5]RC!$E148</f>
        <v>1380977</v>
      </c>
      <c r="V268" s="447">
        <v>38322</v>
      </c>
      <c r="W268" s="95">
        <f t="shared" si="259"/>
        <v>1036.8</v>
      </c>
      <c r="X268" s="104">
        <f t="shared" si="260"/>
        <v>1385564</v>
      </c>
      <c r="Y268" s="198">
        <f t="shared" si="364"/>
        <v>23640</v>
      </c>
      <c r="Z268" s="176">
        <f t="shared" si="275"/>
        <v>1409204</v>
      </c>
      <c r="AA268" s="116">
        <f t="shared" si="261"/>
        <v>36866</v>
      </c>
      <c r="AB268" s="520">
        <f>[9]RMWh!$L148</f>
        <v>1396550</v>
      </c>
      <c r="AC268" s="110">
        <f>'[7]Gov 65 &amp; 70'!$B353</f>
        <v>31.75</v>
      </c>
      <c r="AD268" s="89">
        <f t="shared" si="262"/>
        <v>1338049</v>
      </c>
      <c r="AE268" s="89">
        <f t="shared" si="401"/>
        <v>53530</v>
      </c>
      <c r="AF268" s="89">
        <f t="shared" si="263"/>
        <v>962.5</v>
      </c>
      <c r="AG268" s="91">
        <f t="shared" si="396"/>
        <v>3.3999999999999773</v>
      </c>
      <c r="AH268" s="252"/>
      <c r="AI268" s="304">
        <f t="shared" si="377"/>
        <v>0.43081904896638612</v>
      </c>
      <c r="AU268" s="89">
        <f t="shared" si="304"/>
        <v>2004</v>
      </c>
      <c r="AV268" s="89">
        <f t="shared" si="305"/>
        <v>12</v>
      </c>
      <c r="AW268" s="300">
        <f>'[8]RES 62 &amp; 67'!$S353</f>
        <v>42.6</v>
      </c>
      <c r="AX268" s="210">
        <f t="shared" si="306"/>
        <v>53.2</v>
      </c>
      <c r="AY268" s="204">
        <f t="shared" si="403"/>
        <v>10.600000000000001</v>
      </c>
      <c r="AZ268" s="300">
        <f>'[8]RES 62 &amp; 67'!$J353</f>
        <v>158.19999999999999</v>
      </c>
      <c r="BA268" s="210">
        <f t="shared" si="307"/>
        <v>114.1</v>
      </c>
      <c r="BB268" s="430">
        <f t="shared" si="404"/>
        <v>-44.099999999999994</v>
      </c>
      <c r="BC268" s="211">
        <f t="shared" si="276"/>
        <v>22.896000000000004</v>
      </c>
      <c r="BD268" s="211">
        <f t="shared" si="277"/>
        <v>-6.4660000000000011</v>
      </c>
      <c r="BE268" s="211">
        <f t="shared" si="278"/>
        <v>16.430000000000003</v>
      </c>
      <c r="BF268" s="212">
        <f t="shared" si="279"/>
        <v>-119.51099999999998</v>
      </c>
      <c r="BG268" s="220">
        <f t="shared" si="280"/>
        <v>-103.1</v>
      </c>
      <c r="BH268" s="89">
        <f t="shared" si="320"/>
        <v>2004</v>
      </c>
      <c r="BI268" s="89">
        <f t="shared" si="321"/>
        <v>12</v>
      </c>
      <c r="BJ268" s="117">
        <f>C268+[4]MWh!$AJ102</f>
        <v>1491416.4366060668</v>
      </c>
      <c r="BK268" s="117">
        <f t="shared" si="333"/>
        <v>25446.337542486617</v>
      </c>
      <c r="BL268" s="117">
        <f t="shared" si="373"/>
        <v>1465970.0990635802</v>
      </c>
      <c r="BM268" s="199">
        <f t="shared" si="334"/>
        <v>993.8668913251646</v>
      </c>
      <c r="BN268" s="96">
        <f t="shared" si="335"/>
        <v>1328189</v>
      </c>
      <c r="BO268" s="176">
        <f t="shared" si="374"/>
        <v>23055</v>
      </c>
      <c r="BP268" s="117">
        <f t="shared" si="375"/>
        <v>-140172.43660606677</v>
      </c>
      <c r="BQ268" s="92">
        <f t="shared" si="336"/>
        <v>1072.785497491107</v>
      </c>
      <c r="BR268" s="92">
        <f t="shared" si="337"/>
        <v>971.95855643822449</v>
      </c>
      <c r="BS268" s="92">
        <f t="shared" si="360"/>
        <v>-94.020678750700995</v>
      </c>
      <c r="BT268" s="176">
        <f t="shared" si="376"/>
        <v>1351244</v>
      </c>
      <c r="BU268" s="117">
        <f t="shared" si="397"/>
        <v>-76406</v>
      </c>
      <c r="BW268" s="529">
        <f>BT268/[9]RMWh!$L148</f>
        <v>0.96755862661558845</v>
      </c>
      <c r="CK268" s="166">
        <v>38322</v>
      </c>
      <c r="CL268" s="116">
        <f>BP268+COML!BV268+SPA!BV268</f>
        <v>-144999.43660606677</v>
      </c>
      <c r="CM268" s="116">
        <f>ROUND('[14]2004'!$D43,0)</f>
        <v>-58967</v>
      </c>
      <c r="CN268" s="1">
        <f t="shared" ref="CN268:CN273" si="405">CL268-CM268</f>
        <v>-86032.436606066767</v>
      </c>
      <c r="CO268" s="117">
        <f>'[2]FPC wSEB'!$R365</f>
        <v>3632217</v>
      </c>
      <c r="CP268" s="117">
        <f>'[2]FPC wSEB'!$C365-SUM('[2]FPC wSEB'!$K365:$L365)</f>
        <v>2916399</v>
      </c>
      <c r="CQ268" s="117">
        <f>'[2]FPC wSEB'!$T365-'[2]FPC wSEB'!$T364</f>
        <v>250213</v>
      </c>
      <c r="CR268" s="117">
        <f>SUM('[2]FPC wSEB'!$K365:$L365)</f>
        <v>391545</v>
      </c>
      <c r="CS268" s="117">
        <f>('[2]FPC wSEB'!$N365)-CQ268</f>
        <v>-26101</v>
      </c>
      <c r="CT268" s="117">
        <f>'[2]FPC wSEB'!$P365</f>
        <v>10185</v>
      </c>
      <c r="CU268" s="117">
        <f>'[2]FPC wSEB'!$Q365</f>
        <v>89976</v>
      </c>
      <c r="CV268" s="118">
        <f t="shared" si="398"/>
        <v>0</v>
      </c>
      <c r="CW268" s="117">
        <f t="shared" si="402"/>
        <v>3473089</v>
      </c>
      <c r="CX268" s="117">
        <f t="shared" si="399"/>
        <v>3387056.5633939332</v>
      </c>
      <c r="CY268" s="117">
        <f t="shared" si="400"/>
        <v>86032.436606066767</v>
      </c>
    </row>
    <row r="269" spans="1:114">
      <c r="A269" s="13">
        <f t="shared" si="299"/>
        <v>2005</v>
      </c>
      <c r="B269" s="13">
        <f t="shared" si="300"/>
        <v>1</v>
      </c>
      <c r="C269" s="5">
        <f>'[2]FPC wSEB'!$D366</f>
        <v>1580977</v>
      </c>
      <c r="D269" s="5">
        <f>'[2]FPC wSEB'!$X366</f>
        <v>1366718</v>
      </c>
      <c r="E269" s="5">
        <f t="shared" si="370"/>
        <v>1548010</v>
      </c>
      <c r="F269" s="5">
        <f t="shared" si="371"/>
        <v>1314227</v>
      </c>
      <c r="G269" s="74">
        <f t="shared" si="269"/>
        <v>1177.9000000000001</v>
      </c>
      <c r="H269" s="190">
        <v>32967.408000000003</v>
      </c>
      <c r="I269" s="170">
        <v>52491</v>
      </c>
      <c r="J269" s="230">
        <f>'[7]RES 62 &amp; 67'!$S354</f>
        <v>48.6</v>
      </c>
      <c r="K269" s="183">
        <f t="shared" si="301"/>
        <v>49.5</v>
      </c>
      <c r="L269" s="233">
        <f t="shared" ref="L269:L274" si="406">(K269-J269)</f>
        <v>0.89999999999999858</v>
      </c>
      <c r="M269" s="230">
        <f>'[7]RES 62 &amp; 67'!$J354</f>
        <v>144.80000000000001</v>
      </c>
      <c r="N269" s="183">
        <f t="shared" si="302"/>
        <v>131.6</v>
      </c>
      <c r="O269" s="236">
        <f t="shared" ref="O269:O274" si="407">(N269-M269)</f>
        <v>-13.200000000000017</v>
      </c>
      <c r="P269" s="206">
        <f t="shared" si="270"/>
        <v>1.9439999999999971</v>
      </c>
      <c r="Q269" s="208">
        <f t="shared" si="271"/>
        <v>-0.54899999999999916</v>
      </c>
      <c r="R269" s="467">
        <f t="shared" si="272"/>
        <v>1.3949999999999978</v>
      </c>
      <c r="S269" s="470">
        <f t="shared" si="273"/>
        <v>-35.772000000000048</v>
      </c>
      <c r="T269" s="425">
        <f t="shared" si="274"/>
        <v>-34.4</v>
      </c>
      <c r="U269" s="579">
        <f>[5]RC!$E149</f>
        <v>1383522</v>
      </c>
      <c r="V269" s="447">
        <v>38353</v>
      </c>
      <c r="W269" s="191">
        <f t="shared" si="259"/>
        <v>1143.5</v>
      </c>
      <c r="X269" s="73">
        <f t="shared" si="260"/>
        <v>1502819</v>
      </c>
      <c r="Y269" s="187">
        <f t="shared" si="364"/>
        <v>31338</v>
      </c>
      <c r="Z269" s="175">
        <f t="shared" si="275"/>
        <v>1534157</v>
      </c>
      <c r="AA269" s="40">
        <f t="shared" si="261"/>
        <v>-46820</v>
      </c>
      <c r="AB269" s="519">
        <f>[9]RMWh!$L149</f>
        <v>1555685</v>
      </c>
      <c r="AC269" s="107">
        <f>'[7]Gov 65 &amp; 70'!$B354</f>
        <v>31.75</v>
      </c>
      <c r="AD269" s="4">
        <f t="shared" si="262"/>
        <v>1490518</v>
      </c>
      <c r="AE269" s="4">
        <f t="shared" si="401"/>
        <v>30080</v>
      </c>
      <c r="AF269" s="23">
        <f t="shared" si="263"/>
        <v>1090.5999999999999</v>
      </c>
      <c r="AG269" s="75">
        <f t="shared" ref="AG269:AG274" si="408">AF269-AF257</f>
        <v>7.5</v>
      </c>
      <c r="AI269" s="303">
        <f t="shared" si="377"/>
        <v>0.53320171127246418</v>
      </c>
      <c r="AU269" s="4">
        <f t="shared" si="304"/>
        <v>2005</v>
      </c>
      <c r="AV269" s="4">
        <f t="shared" si="305"/>
        <v>1</v>
      </c>
      <c r="AW269" s="230">
        <f>'[8]RES 62 &amp; 67'!$S354</f>
        <v>51.8</v>
      </c>
      <c r="AX269" s="200">
        <f t="shared" si="306"/>
        <v>50.5</v>
      </c>
      <c r="AY269" s="203">
        <f t="shared" si="403"/>
        <v>-1.2999999999999972</v>
      </c>
      <c r="AZ269" s="230">
        <f>'[8]RES 62 &amp; 67'!$J354</f>
        <v>125.9</v>
      </c>
      <c r="BA269" s="183">
        <f t="shared" si="307"/>
        <v>127.9</v>
      </c>
      <c r="BB269" s="429">
        <f t="shared" si="404"/>
        <v>2</v>
      </c>
      <c r="BC269" s="206">
        <f t="shared" si="276"/>
        <v>-2.8079999999999941</v>
      </c>
      <c r="BD269" s="206">
        <f t="shared" si="277"/>
        <v>0.79299999999999826</v>
      </c>
      <c r="BE269" s="206">
        <f t="shared" si="278"/>
        <v>-2.0149999999999957</v>
      </c>
      <c r="BF269" s="207">
        <f t="shared" si="279"/>
        <v>5.42</v>
      </c>
      <c r="BG269" s="219">
        <f t="shared" si="280"/>
        <v>3.4</v>
      </c>
      <c r="BH269" s="4">
        <f t="shared" si="320"/>
        <v>2005</v>
      </c>
      <c r="BI269" s="4">
        <f t="shared" si="321"/>
        <v>1</v>
      </c>
      <c r="BJ269" s="108">
        <f>C269+[4]MWh!$AJ103</f>
        <v>1600626.2848276501</v>
      </c>
      <c r="BK269" s="108">
        <f t="shared" ref="BK269:BK282" si="409">(H269/C269)*BJ269</f>
        <v>33377.145769633178</v>
      </c>
      <c r="BL269" s="108">
        <f t="shared" si="373"/>
        <v>1567249.1390580169</v>
      </c>
      <c r="BM269" s="189">
        <f t="shared" ref="BM269:BM282" si="410">(BL269/F269*1000)+BG269</f>
        <v>1195.9254458004721</v>
      </c>
      <c r="BN269" s="6">
        <f t="shared" ref="BN269:BN282" si="411">ROUND(BM269*F269/1000,0)</f>
        <v>1571718</v>
      </c>
      <c r="BO269" s="175">
        <f t="shared" si="374"/>
        <v>33472</v>
      </c>
      <c r="BP269" s="108">
        <f t="shared" si="375"/>
        <v>4563.7151723498828</v>
      </c>
      <c r="BQ269" s="76">
        <f t="shared" ref="BQ269:BQ282" si="412">BJ269/D269*1000</f>
        <v>1171.1459751226296</v>
      </c>
      <c r="BR269" s="76">
        <f t="shared" ref="BR269:BR282" si="413">(BN269+BO269)/D269*1000</f>
        <v>1174.4851534844788</v>
      </c>
      <c r="BS269" s="76">
        <f t="shared" si="360"/>
        <v>84.978893667593866</v>
      </c>
      <c r="BT269" s="175">
        <f t="shared" si="376"/>
        <v>1605190</v>
      </c>
      <c r="BU269" s="108">
        <f t="shared" ref="BU269:BU274" si="414">BT269-BT257</f>
        <v>136054</v>
      </c>
      <c r="BW269" s="529">
        <f>BT269/[9]RMWh!$L149</f>
        <v>1.0318219948125744</v>
      </c>
      <c r="CK269" s="165">
        <v>38353</v>
      </c>
      <c r="CL269" s="40">
        <f>BP269+COML!BV269+SPA!BV269</f>
        <v>2502.7151723498828</v>
      </c>
      <c r="CM269" s="180">
        <f>ROUND('[14]2005'!$D32,0)</f>
        <v>125643</v>
      </c>
      <c r="CN269" s="2">
        <f t="shared" si="405"/>
        <v>-123140.28482765012</v>
      </c>
      <c r="CO269" s="108">
        <f>'[2]FPC wSEB'!$R366</f>
        <v>3581805</v>
      </c>
      <c r="CP269" s="108">
        <f>'[2]FPC wSEB'!$C366-SUM('[2]FPC wSEB'!$K366:$L366)</f>
        <v>3029290</v>
      </c>
      <c r="CQ269" s="108">
        <f>'[2]FPC wSEB'!$T366-'[2]FPC wSEB'!$T365</f>
        <v>-149197</v>
      </c>
      <c r="CR269" s="108">
        <f>SUM('[2]FPC wSEB'!$K366:$L366)</f>
        <v>397935</v>
      </c>
      <c r="CS269" s="108">
        <f>('[2]FPC wSEB'!$N366)-CQ269</f>
        <v>6414</v>
      </c>
      <c r="CT269" s="108">
        <f>'[2]FPC wSEB'!$P366</f>
        <v>16345</v>
      </c>
      <c r="CU269" s="108">
        <f>'[2]FPC wSEB'!$Q366</f>
        <v>281018</v>
      </c>
      <c r="CV269" s="115">
        <f t="shared" ref="CV269:CV274" si="415">CO269-SUM(CP269:CU269)</f>
        <v>0</v>
      </c>
      <c r="CW269" s="108">
        <f t="shared" si="402"/>
        <v>3410085</v>
      </c>
      <c r="CX269" s="108">
        <f t="shared" ref="CX269:CX274" si="416">SUM(CP269:CS269)+CL269</f>
        <v>3286944.7151723499</v>
      </c>
      <c r="CY269" s="108">
        <f t="shared" ref="CY269:CY274" si="417">CW269-CX269</f>
        <v>123140.28482765006</v>
      </c>
    </row>
    <row r="270" spans="1:114">
      <c r="A270" s="13">
        <f t="shared" si="299"/>
        <v>2005</v>
      </c>
      <c r="B270" s="13">
        <f t="shared" si="300"/>
        <v>2</v>
      </c>
      <c r="C270" s="5">
        <f>'[2]FPC wSEB'!$D367</f>
        <v>1433654</v>
      </c>
      <c r="D270" s="5">
        <f>'[2]FPC wSEB'!$X367</f>
        <v>1375169</v>
      </c>
      <c r="E270" s="5">
        <f t="shared" si="370"/>
        <v>1399957</v>
      </c>
      <c r="F270" s="5">
        <f t="shared" si="371"/>
        <v>1323157</v>
      </c>
      <c r="G270" s="74">
        <f t="shared" si="269"/>
        <v>1058</v>
      </c>
      <c r="H270" s="190">
        <v>33696.904000000002</v>
      </c>
      <c r="I270" s="170">
        <v>52012</v>
      </c>
      <c r="J270" s="230">
        <f>'[7]RES 62 &amp; 67'!$S355</f>
        <v>33.9</v>
      </c>
      <c r="K270" s="183">
        <f t="shared" si="301"/>
        <v>43.3</v>
      </c>
      <c r="L270" s="233">
        <f t="shared" si="406"/>
        <v>9.3999999999999986</v>
      </c>
      <c r="M270" s="230">
        <f>'[7]RES 62 &amp; 67'!$J355</f>
        <v>137.9</v>
      </c>
      <c r="N270" s="183">
        <f t="shared" si="302"/>
        <v>127.9</v>
      </c>
      <c r="O270" s="236">
        <f t="shared" si="407"/>
        <v>-10</v>
      </c>
      <c r="P270" s="206">
        <f t="shared" si="270"/>
        <v>20.303999999999998</v>
      </c>
      <c r="Q270" s="208">
        <f t="shared" si="271"/>
        <v>-5.7339999999999991</v>
      </c>
      <c r="R270" s="467">
        <f t="shared" si="272"/>
        <v>14.57</v>
      </c>
      <c r="S270" s="470">
        <f t="shared" si="273"/>
        <v>-27.1</v>
      </c>
      <c r="T270" s="425">
        <f t="shared" si="274"/>
        <v>-12.5</v>
      </c>
      <c r="U270" s="579">
        <f>[5]RC!$E150</f>
        <v>1388413</v>
      </c>
      <c r="V270" s="447">
        <v>38384</v>
      </c>
      <c r="W270" s="191">
        <f t="shared" si="259"/>
        <v>1045.5</v>
      </c>
      <c r="X270" s="73">
        <f t="shared" si="260"/>
        <v>1383361</v>
      </c>
      <c r="Y270" s="187">
        <f t="shared" si="364"/>
        <v>32515</v>
      </c>
      <c r="Z270" s="175">
        <f t="shared" si="275"/>
        <v>1415876</v>
      </c>
      <c r="AA270" s="40">
        <f t="shared" si="261"/>
        <v>-17778</v>
      </c>
      <c r="AB270" s="519">
        <f>[9]RMWh!$L150</f>
        <v>1430380</v>
      </c>
      <c r="AC270" s="107">
        <f>'[7]Gov 65 &amp; 70'!$B355</f>
        <v>29.65</v>
      </c>
      <c r="AD270" s="4">
        <f t="shared" si="262"/>
        <v>1467526</v>
      </c>
      <c r="AE270" s="4">
        <f t="shared" ref="AE270:AE275" si="418">AD270-AD258</f>
        <v>28714</v>
      </c>
      <c r="AF270" s="23">
        <f t="shared" si="263"/>
        <v>1067.2</v>
      </c>
      <c r="AG270" s="75">
        <f t="shared" si="408"/>
        <v>-25.5</v>
      </c>
      <c r="AI270" s="303">
        <f t="shared" si="377"/>
        <v>0.61235149021157986</v>
      </c>
      <c r="AU270" s="4">
        <f t="shared" si="304"/>
        <v>2005</v>
      </c>
      <c r="AV270" s="4">
        <f t="shared" si="305"/>
        <v>2</v>
      </c>
      <c r="AW270" s="230">
        <f>'[8]RES 62 &amp; 67'!$S355</f>
        <v>46.1</v>
      </c>
      <c r="AX270" s="200">
        <f t="shared" si="306"/>
        <v>59.2</v>
      </c>
      <c r="AY270" s="203">
        <f t="shared" si="403"/>
        <v>13.100000000000001</v>
      </c>
      <c r="AZ270" s="230">
        <f>'[8]RES 62 &amp; 67'!$J355</f>
        <v>84.2</v>
      </c>
      <c r="BA270" s="183">
        <f t="shared" si="307"/>
        <v>97.8</v>
      </c>
      <c r="BB270" s="429">
        <f t="shared" si="404"/>
        <v>13.599999999999994</v>
      </c>
      <c r="BC270" s="206">
        <f t="shared" si="276"/>
        <v>28.296000000000006</v>
      </c>
      <c r="BD270" s="206">
        <f t="shared" si="277"/>
        <v>-7.9910000000000005</v>
      </c>
      <c r="BE270" s="206">
        <f t="shared" si="278"/>
        <v>20.305000000000007</v>
      </c>
      <c r="BF270" s="207">
        <f t="shared" si="279"/>
        <v>36.855999999999987</v>
      </c>
      <c r="BG270" s="219">
        <f t="shared" si="280"/>
        <v>57.2</v>
      </c>
      <c r="BH270" s="4">
        <f t="shared" si="320"/>
        <v>2005</v>
      </c>
      <c r="BI270" s="4">
        <f t="shared" si="321"/>
        <v>2</v>
      </c>
      <c r="BJ270" s="108">
        <f>C270+[4]MWh!$AJ104</f>
        <v>1253862.8300850776</v>
      </c>
      <c r="BK270" s="108">
        <f t="shared" si="409"/>
        <v>29471.054671870043</v>
      </c>
      <c r="BL270" s="108">
        <f t="shared" si="373"/>
        <v>1224391.7754132075</v>
      </c>
      <c r="BM270" s="189">
        <f t="shared" si="410"/>
        <v>982.55638281262736</v>
      </c>
      <c r="BN270" s="6">
        <f t="shared" si="411"/>
        <v>1300076</v>
      </c>
      <c r="BO270" s="175">
        <f t="shared" si="374"/>
        <v>31293</v>
      </c>
      <c r="BP270" s="108">
        <f t="shared" si="375"/>
        <v>77506.169914922473</v>
      </c>
      <c r="BQ270" s="76">
        <f t="shared" si="412"/>
        <v>911.78817300642868</v>
      </c>
      <c r="BR270" s="76">
        <f t="shared" si="413"/>
        <v>968.14936927752149</v>
      </c>
      <c r="BS270" s="76">
        <f t="shared" si="360"/>
        <v>-37.052643483737143</v>
      </c>
      <c r="BT270" s="175">
        <f t="shared" si="376"/>
        <v>1331369</v>
      </c>
      <c r="BU270" s="108">
        <f t="shared" si="414"/>
        <v>7721</v>
      </c>
      <c r="BW270" s="529">
        <f>BT270/[9]RMWh!$L150</f>
        <v>0.93077993260532166</v>
      </c>
      <c r="CK270" s="165">
        <v>38384</v>
      </c>
      <c r="CL270" s="40">
        <f>BP270+COML!BV270+SPA!BV270</f>
        <v>95125.169914922473</v>
      </c>
      <c r="CM270" s="40">
        <f>ROUND('[14]2005'!$D33,0)</f>
        <v>166831</v>
      </c>
      <c r="CN270" s="2">
        <f t="shared" si="405"/>
        <v>-71705.830085077527</v>
      </c>
      <c r="CO270" s="108">
        <f>'[2]FPC wSEB'!$R367</f>
        <v>3105842</v>
      </c>
      <c r="CP270" s="108">
        <f>'[2]FPC wSEB'!$C367-SUM('[2]FPC wSEB'!$K367:$L367)</f>
        <v>2817495</v>
      </c>
      <c r="CQ270" s="108">
        <f>'[2]FPC wSEB'!$T367-'[2]FPC wSEB'!$T366</f>
        <v>-308423</v>
      </c>
      <c r="CR270" s="108">
        <f>SUM('[2]FPC wSEB'!$K367:$L367)</f>
        <v>385341</v>
      </c>
      <c r="CS270" s="108">
        <f>('[2]FPC wSEB'!$N367)-CQ270</f>
        <v>48766</v>
      </c>
      <c r="CT270" s="108">
        <f>'[2]FPC wSEB'!$P367</f>
        <v>10034</v>
      </c>
      <c r="CU270" s="108">
        <f>'[2]FPC wSEB'!$Q367</f>
        <v>152629</v>
      </c>
      <c r="CV270" s="115">
        <f t="shared" si="415"/>
        <v>0</v>
      </c>
      <c r="CW270" s="108">
        <f t="shared" si="402"/>
        <v>3110010</v>
      </c>
      <c r="CX270" s="108">
        <f t="shared" si="416"/>
        <v>3038304.1699149227</v>
      </c>
      <c r="CY270" s="108">
        <f t="shared" si="417"/>
        <v>71705.830085077323</v>
      </c>
      <c r="CZ270" s="108"/>
      <c r="DA270" s="108"/>
      <c r="DD270" s="108"/>
      <c r="DE270" s="108"/>
      <c r="DF270" s="108"/>
      <c r="DG270" s="108"/>
      <c r="DH270" s="108"/>
      <c r="DI270" s="108"/>
      <c r="DJ270" s="108"/>
    </row>
    <row r="271" spans="1:114">
      <c r="A271" s="13">
        <f t="shared" si="299"/>
        <v>2005</v>
      </c>
      <c r="B271" s="13">
        <f t="shared" si="300"/>
        <v>3</v>
      </c>
      <c r="C271" s="5">
        <f>'[2]FPC wSEB'!$D368</f>
        <v>1332102</v>
      </c>
      <c r="D271" s="5">
        <f>'[2]FPC wSEB'!$X368</f>
        <v>1405897</v>
      </c>
      <c r="E271" s="5">
        <f t="shared" si="370"/>
        <v>1299995</v>
      </c>
      <c r="F271" s="5">
        <f t="shared" si="371"/>
        <v>1351618</v>
      </c>
      <c r="G271" s="74">
        <f t="shared" si="269"/>
        <v>961.8</v>
      </c>
      <c r="H271" s="190">
        <v>32107.089</v>
      </c>
      <c r="I271" s="170">
        <v>54279</v>
      </c>
      <c r="J271" s="230">
        <f>'[7]RES 62 &amp; 67'!$S356</f>
        <v>49.5</v>
      </c>
      <c r="K271" s="183">
        <f t="shared" si="301"/>
        <v>77.2</v>
      </c>
      <c r="L271" s="233">
        <f t="shared" si="406"/>
        <v>27.700000000000003</v>
      </c>
      <c r="M271" s="230">
        <f>'[7]RES 62 &amp; 67'!$J356</f>
        <v>95.8</v>
      </c>
      <c r="N271" s="183">
        <f t="shared" si="302"/>
        <v>82.3</v>
      </c>
      <c r="O271" s="236">
        <f t="shared" si="407"/>
        <v>-13.5</v>
      </c>
      <c r="P271" s="206">
        <f t="shared" si="270"/>
        <v>59.832000000000008</v>
      </c>
      <c r="Q271" s="208">
        <f t="shared" si="271"/>
        <v>-16.897000000000002</v>
      </c>
      <c r="R271" s="467">
        <f t="shared" si="272"/>
        <v>42.935000000000002</v>
      </c>
      <c r="S271" s="470">
        <f t="shared" si="273"/>
        <v>-36.585000000000001</v>
      </c>
      <c r="T271" s="425">
        <f t="shared" si="274"/>
        <v>6.4</v>
      </c>
      <c r="U271" s="579">
        <f>[5]RC!$E151</f>
        <v>1390388</v>
      </c>
      <c r="V271" s="447">
        <v>38412</v>
      </c>
      <c r="W271" s="191">
        <f t="shared" si="259"/>
        <v>968.19999999999993</v>
      </c>
      <c r="X271" s="73">
        <f t="shared" si="260"/>
        <v>1308637</v>
      </c>
      <c r="Y271" s="187">
        <f t="shared" si="364"/>
        <v>31542</v>
      </c>
      <c r="Z271" s="175">
        <f t="shared" si="275"/>
        <v>1340179</v>
      </c>
      <c r="AA271" s="40">
        <f t="shared" si="261"/>
        <v>8077</v>
      </c>
      <c r="AB271" s="519">
        <f>[9]RMWh!$L151</f>
        <v>1325161</v>
      </c>
      <c r="AC271" s="107">
        <f>'[7]Gov 65 &amp; 70'!$B356</f>
        <v>29.55</v>
      </c>
      <c r="AD271" s="4">
        <f t="shared" si="262"/>
        <v>1364176</v>
      </c>
      <c r="AE271" s="4">
        <f t="shared" si="418"/>
        <v>45870</v>
      </c>
      <c r="AF271" s="23">
        <f t="shared" si="263"/>
        <v>970.3</v>
      </c>
      <c r="AG271" s="75">
        <f t="shared" si="408"/>
        <v>22.699999999999932</v>
      </c>
      <c r="AI271" s="303">
        <f t="shared" si="377"/>
        <v>0.61501303591479617</v>
      </c>
      <c r="AU271" s="4">
        <f t="shared" si="304"/>
        <v>2005</v>
      </c>
      <c r="AV271" s="4">
        <f t="shared" si="305"/>
        <v>3</v>
      </c>
      <c r="AW271" s="230">
        <f>'[8]RES 62 &amp; 67'!$S356</f>
        <v>86.4</v>
      </c>
      <c r="AX271" s="200">
        <f t="shared" si="306"/>
        <v>105.8</v>
      </c>
      <c r="AY271" s="203">
        <f t="shared" si="403"/>
        <v>19.399999999999991</v>
      </c>
      <c r="AZ271" s="230">
        <f>'[8]RES 62 &amp; 67'!$J356</f>
        <v>89.7</v>
      </c>
      <c r="BA271" s="183">
        <f t="shared" si="307"/>
        <v>49.9</v>
      </c>
      <c r="BB271" s="429">
        <f t="shared" si="404"/>
        <v>-39.800000000000004</v>
      </c>
      <c r="BC271" s="206">
        <f t="shared" si="276"/>
        <v>41.903999999999982</v>
      </c>
      <c r="BD271" s="206">
        <f t="shared" si="277"/>
        <v>-11.833999999999994</v>
      </c>
      <c r="BE271" s="206">
        <f t="shared" si="278"/>
        <v>30.069999999999986</v>
      </c>
      <c r="BF271" s="207">
        <f t="shared" si="279"/>
        <v>-107.858</v>
      </c>
      <c r="BG271" s="219">
        <f t="shared" si="280"/>
        <v>-77.8</v>
      </c>
      <c r="BH271" s="4">
        <f t="shared" si="320"/>
        <v>2005</v>
      </c>
      <c r="BI271" s="4">
        <f t="shared" si="321"/>
        <v>3</v>
      </c>
      <c r="BJ271" s="108">
        <f>C271+[4]MWh!$AJ105</f>
        <v>1407535.8309384058</v>
      </c>
      <c r="BK271" s="108">
        <f t="shared" si="409"/>
        <v>33925.23860382189</v>
      </c>
      <c r="BL271" s="108">
        <f t="shared" si="373"/>
        <v>1373610.5923345839</v>
      </c>
      <c r="BM271" s="189">
        <f t="shared" si="410"/>
        <v>938.47130767316207</v>
      </c>
      <c r="BN271" s="6">
        <f t="shared" si="411"/>
        <v>1268455</v>
      </c>
      <c r="BO271" s="175">
        <f t="shared" si="374"/>
        <v>31328</v>
      </c>
      <c r="BP271" s="108">
        <f t="shared" si="375"/>
        <v>-107752.83093840576</v>
      </c>
      <c r="BQ271" s="76">
        <f t="shared" si="412"/>
        <v>1001.1656835019962</v>
      </c>
      <c r="BR271" s="76">
        <f t="shared" si="413"/>
        <v>924.52220895271842</v>
      </c>
      <c r="BS271" s="76">
        <f t="shared" si="360"/>
        <v>-1.9802609001254723</v>
      </c>
      <c r="BT271" s="175">
        <f t="shared" si="376"/>
        <v>1299783</v>
      </c>
      <c r="BU271" s="108">
        <f t="shared" si="414"/>
        <v>10855</v>
      </c>
      <c r="BW271" s="529">
        <f>BT271/[9]RMWh!$L151</f>
        <v>0.98084911946548381</v>
      </c>
      <c r="CK271" s="165">
        <v>38412</v>
      </c>
      <c r="CL271" s="40">
        <f>BP271+COML!BV271+SPA!BV271</f>
        <v>-100368.83093840576</v>
      </c>
      <c r="CM271" s="40">
        <f>ROUND('[14]2005'!$D34,0)</f>
        <v>-26448</v>
      </c>
      <c r="CN271" s="2">
        <f t="shared" si="405"/>
        <v>-73920.830938405765</v>
      </c>
      <c r="CO271" s="108">
        <f>'[2]FPC wSEB'!$R368</f>
        <v>3591520</v>
      </c>
      <c r="CP271" s="108">
        <f>'[2]FPC wSEB'!$C368-SUM('[2]FPC wSEB'!$K368:$L368)</f>
        <v>2720299</v>
      </c>
      <c r="CQ271" s="108">
        <f>'[2]FPC wSEB'!$T368-'[2]FPC wSEB'!$T367</f>
        <v>210431</v>
      </c>
      <c r="CR271" s="108">
        <f>SUM('[2]FPC wSEB'!$K368:$L368)</f>
        <v>420626</v>
      </c>
      <c r="CS271" s="108">
        <f>('[2]FPC wSEB'!$N368)-CQ271</f>
        <v>88645</v>
      </c>
      <c r="CT271" s="108">
        <f>'[2]FPC wSEB'!$P368</f>
        <v>11531</v>
      </c>
      <c r="CU271" s="108">
        <f>'[2]FPC wSEB'!$Q368</f>
        <v>139988</v>
      </c>
      <c r="CV271" s="115">
        <f t="shared" si="415"/>
        <v>0</v>
      </c>
      <c r="CW271" s="108">
        <f t="shared" ref="CW271:CW276" si="419">CO271-CT271-CU271+CM271</f>
        <v>3413553</v>
      </c>
      <c r="CX271" s="108">
        <f t="shared" si="416"/>
        <v>3339632.1690615942</v>
      </c>
      <c r="CY271" s="108">
        <f t="shared" si="417"/>
        <v>73920.830938405823</v>
      </c>
      <c r="CZ271" s="108"/>
      <c r="DA271" s="108"/>
      <c r="DD271" s="108"/>
      <c r="DE271" s="108"/>
      <c r="DF271" s="108"/>
      <c r="DG271" s="108"/>
      <c r="DH271" s="108"/>
      <c r="DI271" s="108"/>
      <c r="DJ271" s="108"/>
    </row>
    <row r="272" spans="1:114">
      <c r="A272" s="13">
        <f t="shared" si="299"/>
        <v>2005</v>
      </c>
      <c r="B272" s="13">
        <f t="shared" si="300"/>
        <v>4</v>
      </c>
      <c r="C272" s="5">
        <f>'[2]FPC wSEB'!$D369</f>
        <v>1305122</v>
      </c>
      <c r="D272" s="5">
        <f>'[2]FPC wSEB'!$X369</f>
        <v>1379332</v>
      </c>
      <c r="E272" s="5">
        <f t="shared" si="370"/>
        <v>1277977</v>
      </c>
      <c r="F272" s="5">
        <f t="shared" si="371"/>
        <v>1326387</v>
      </c>
      <c r="G272" s="74">
        <f t="shared" si="269"/>
        <v>963.5</v>
      </c>
      <c r="H272" s="190">
        <v>27144.831999999999</v>
      </c>
      <c r="I272" s="170">
        <v>52945</v>
      </c>
      <c r="J272" s="230">
        <f>'[7]RES 62 &amp; 67'!$S357</f>
        <v>121.7</v>
      </c>
      <c r="K272" s="183">
        <f t="shared" si="301"/>
        <v>138.1</v>
      </c>
      <c r="L272" s="233">
        <f t="shared" si="406"/>
        <v>16.399999999999991</v>
      </c>
      <c r="M272" s="230">
        <f>'[7]RES 62 &amp; 67'!$J357</f>
        <v>45.5</v>
      </c>
      <c r="N272" s="183">
        <f t="shared" si="302"/>
        <v>37.299999999999997</v>
      </c>
      <c r="O272" s="236">
        <f t="shared" si="407"/>
        <v>-8.2000000000000028</v>
      </c>
      <c r="P272" s="206">
        <f t="shared" si="270"/>
        <v>35.423999999999985</v>
      </c>
      <c r="Q272" s="208">
        <f t="shared" si="271"/>
        <v>-10.003999999999994</v>
      </c>
      <c r="R272" s="467">
        <f t="shared" si="272"/>
        <v>25.419999999999991</v>
      </c>
      <c r="S272" s="470">
        <f t="shared" si="273"/>
        <v>-22.222000000000008</v>
      </c>
      <c r="T272" s="425">
        <f t="shared" si="274"/>
        <v>3.2</v>
      </c>
      <c r="U272" s="579">
        <f>[5]RC!$E152</f>
        <v>1390826</v>
      </c>
      <c r="V272" s="447">
        <v>38443</v>
      </c>
      <c r="W272" s="191">
        <f t="shared" si="259"/>
        <v>966.7</v>
      </c>
      <c r="X272" s="73">
        <f t="shared" si="260"/>
        <v>1282218</v>
      </c>
      <c r="Y272" s="187">
        <f t="shared" si="364"/>
        <v>26668</v>
      </c>
      <c r="Z272" s="175">
        <f t="shared" si="275"/>
        <v>1308886</v>
      </c>
      <c r="AA272" s="40">
        <f t="shared" si="261"/>
        <v>3764</v>
      </c>
      <c r="AB272" s="519">
        <f>[9]RMWh!$L152</f>
        <v>1322440</v>
      </c>
      <c r="AC272" s="107">
        <f>'[7]Gov 65 &amp; 70'!$B357</f>
        <v>30.65</v>
      </c>
      <c r="AD272" s="4">
        <f t="shared" si="262"/>
        <v>1312516</v>
      </c>
      <c r="AE272" s="4">
        <f t="shared" si="418"/>
        <v>-4745</v>
      </c>
      <c r="AF272" s="23">
        <f t="shared" si="263"/>
        <v>951.6</v>
      </c>
      <c r="AG272" s="75">
        <f t="shared" si="408"/>
        <v>-21.199999999999932</v>
      </c>
      <c r="AI272" s="303">
        <f t="shared" si="377"/>
        <v>0.5321211077498984</v>
      </c>
      <c r="AU272" s="4">
        <f t="shared" si="304"/>
        <v>2005</v>
      </c>
      <c r="AV272" s="4">
        <f t="shared" si="305"/>
        <v>4</v>
      </c>
      <c r="AW272" s="230">
        <f>'[8]RES 62 &amp; 67'!$S357</f>
        <v>122.8</v>
      </c>
      <c r="AX272" s="200">
        <f t="shared" si="306"/>
        <v>181.7</v>
      </c>
      <c r="AY272" s="203">
        <f t="shared" ref="AY272:AY277" si="420">AX272-AW272</f>
        <v>58.899999999999991</v>
      </c>
      <c r="AZ272" s="230">
        <f>'[8]RES 62 &amp; 67'!$J357</f>
        <v>28.3</v>
      </c>
      <c r="BA272" s="183">
        <f t="shared" si="307"/>
        <v>21.5</v>
      </c>
      <c r="BB272" s="429">
        <f t="shared" si="404"/>
        <v>-6.8000000000000007</v>
      </c>
      <c r="BC272" s="206">
        <f t="shared" si="276"/>
        <v>127.22399999999999</v>
      </c>
      <c r="BD272" s="206">
        <f t="shared" si="277"/>
        <v>-17.964499999999997</v>
      </c>
      <c r="BE272" s="206">
        <f t="shared" si="278"/>
        <v>109.25949999999999</v>
      </c>
      <c r="BF272" s="207">
        <f t="shared" si="279"/>
        <v>-18.428000000000001</v>
      </c>
      <c r="BG272" s="219">
        <f t="shared" si="280"/>
        <v>90.8</v>
      </c>
      <c r="BH272" s="4">
        <f t="shared" si="320"/>
        <v>2005</v>
      </c>
      <c r="BI272" s="4">
        <f t="shared" si="321"/>
        <v>4</v>
      </c>
      <c r="BJ272" s="108">
        <f>C272+[4]MWh!$AJ106</f>
        <v>1212383.5644290955</v>
      </c>
      <c r="BK272" s="108">
        <f t="shared" si="409"/>
        <v>25215.993735443102</v>
      </c>
      <c r="BL272" s="108">
        <f t="shared" si="373"/>
        <v>1187167.5706936524</v>
      </c>
      <c r="BM272" s="189">
        <f t="shared" si="410"/>
        <v>985.83860539469424</v>
      </c>
      <c r="BN272" s="6">
        <f t="shared" si="411"/>
        <v>1307604</v>
      </c>
      <c r="BO272" s="175">
        <f t="shared" si="374"/>
        <v>27774</v>
      </c>
      <c r="BP272" s="108">
        <f t="shared" si="375"/>
        <v>122994.43557090452</v>
      </c>
      <c r="BQ272" s="76">
        <f t="shared" si="412"/>
        <v>878.96428447182802</v>
      </c>
      <c r="BR272" s="76">
        <f t="shared" si="413"/>
        <v>968.13385029855021</v>
      </c>
      <c r="BS272" s="76">
        <f t="shared" si="360"/>
        <v>55.078523682752575</v>
      </c>
      <c r="BT272" s="175">
        <f t="shared" si="376"/>
        <v>1335378</v>
      </c>
      <c r="BU272" s="108">
        <f t="shared" si="414"/>
        <v>99039</v>
      </c>
      <c r="BW272" s="529">
        <f>BT272/[9]RMWh!$L152</f>
        <v>1.0097834306282327</v>
      </c>
      <c r="CK272" s="165">
        <v>38443</v>
      </c>
      <c r="CL272" s="40">
        <f>BP272+COML!BV272+SPA!BV272</f>
        <v>177604.43557090452</v>
      </c>
      <c r="CM272" s="40">
        <f>ROUND('[14]2005'!$D35,0)</f>
        <v>109893</v>
      </c>
      <c r="CN272" s="2">
        <f t="shared" si="405"/>
        <v>67711.435570904519</v>
      </c>
      <c r="CO272" s="108">
        <f>'[2]FPC wSEB'!$R369</f>
        <v>3283088</v>
      </c>
      <c r="CP272" s="108">
        <f>'[2]FPC wSEB'!$C369-SUM('[2]FPC wSEB'!$K369:$L369)</f>
        <v>2829555</v>
      </c>
      <c r="CQ272" s="108">
        <f>'[2]FPC wSEB'!$T369-'[2]FPC wSEB'!$T368</f>
        <v>-99171</v>
      </c>
      <c r="CR272" s="108">
        <f>SUM('[2]FPC wSEB'!$K369:$L369)</f>
        <v>507272</v>
      </c>
      <c r="CS272" s="108">
        <f>('[2]FPC wSEB'!$N369)-CQ272</f>
        <v>-114000</v>
      </c>
      <c r="CT272" s="108">
        <f>'[2]FPC wSEB'!$P369</f>
        <v>10115</v>
      </c>
      <c r="CU272" s="108">
        <f>'[2]FPC wSEB'!$Q369</f>
        <v>149317</v>
      </c>
      <c r="CV272" s="115">
        <f t="shared" si="415"/>
        <v>0</v>
      </c>
      <c r="CW272" s="108">
        <f t="shared" si="419"/>
        <v>3233549</v>
      </c>
      <c r="CX272" s="108">
        <f t="shared" si="416"/>
        <v>3301260.4355709045</v>
      </c>
      <c r="CY272" s="108">
        <f t="shared" si="417"/>
        <v>-67711.435570904519</v>
      </c>
      <c r="CZ272" s="108"/>
      <c r="DA272" s="108"/>
      <c r="DD272" s="108"/>
      <c r="DE272" s="108"/>
      <c r="DF272" s="108"/>
      <c r="DG272" s="108"/>
      <c r="DH272" s="108"/>
      <c r="DI272" s="108"/>
      <c r="DJ272" s="108"/>
    </row>
    <row r="273" spans="1:114">
      <c r="A273" s="13">
        <f t="shared" si="299"/>
        <v>2005</v>
      </c>
      <c r="B273" s="13">
        <f t="shared" si="300"/>
        <v>5</v>
      </c>
      <c r="C273" s="5">
        <f>'[2]FPC wSEB'!$D370</f>
        <v>1324269</v>
      </c>
      <c r="D273" s="5">
        <f>'[2]FPC wSEB'!$X370</f>
        <v>1433410</v>
      </c>
      <c r="E273" s="5">
        <f t="shared" si="370"/>
        <v>1306569</v>
      </c>
      <c r="F273" s="5">
        <f t="shared" si="371"/>
        <v>1376688</v>
      </c>
      <c r="G273" s="74">
        <f t="shared" si="269"/>
        <v>949.1</v>
      </c>
      <c r="H273" s="190">
        <v>17700.331999999999</v>
      </c>
      <c r="I273" s="170">
        <v>56722</v>
      </c>
      <c r="J273" s="230">
        <f>'[7]RES 62 &amp; 67'!$S358</f>
        <v>156.6</v>
      </c>
      <c r="K273" s="183">
        <f t="shared" si="301"/>
        <v>224.4</v>
      </c>
      <c r="L273" s="233">
        <f t="shared" si="406"/>
        <v>67.800000000000011</v>
      </c>
      <c r="M273" s="230">
        <f>'[7]RES 62 &amp; 67'!$J358</f>
        <v>18.899999999999999</v>
      </c>
      <c r="N273" s="183">
        <f t="shared" si="302"/>
        <v>11.2</v>
      </c>
      <c r="O273" s="236">
        <f t="shared" si="407"/>
        <v>-7.6999999999999993</v>
      </c>
      <c r="P273" s="206">
        <f t="shared" si="270"/>
        <v>146.44800000000004</v>
      </c>
      <c r="Q273" s="208">
        <f t="shared" si="271"/>
        <v>0</v>
      </c>
      <c r="R273" s="467">
        <f t="shared" si="272"/>
        <v>146.44800000000004</v>
      </c>
      <c r="S273" s="470">
        <f t="shared" si="273"/>
        <v>-20.866999999999997</v>
      </c>
      <c r="T273" s="425">
        <f t="shared" si="274"/>
        <v>125.6</v>
      </c>
      <c r="U273" s="579">
        <f>[5]RC!$E153</f>
        <v>1391681</v>
      </c>
      <c r="V273" s="447">
        <v>38473</v>
      </c>
      <c r="W273" s="191">
        <f t="shared" ref="W273:W282" si="421">(G273+T273)</f>
        <v>1074.7</v>
      </c>
      <c r="X273" s="73">
        <f t="shared" ref="X273:X282" si="422">ROUND(W273*F273/1000,0)</f>
        <v>1479527</v>
      </c>
      <c r="Y273" s="187">
        <f t="shared" si="364"/>
        <v>19776</v>
      </c>
      <c r="Z273" s="175">
        <f t="shared" si="275"/>
        <v>1499303</v>
      </c>
      <c r="AA273" s="40">
        <f t="shared" ref="AA273:AA282" si="423">Z273-C273</f>
        <v>175034</v>
      </c>
      <c r="AB273" s="519">
        <f>[9]RMWh!$L153</f>
        <v>1447925</v>
      </c>
      <c r="AC273" s="107">
        <f>'[7]Gov 65 &amp; 70'!$B358</f>
        <v>29.4</v>
      </c>
      <c r="AD273" s="4">
        <f t="shared" ref="AD273:AD336" si="424">ROUND(AB273/(AC273/30.42),0)</f>
        <v>1498159</v>
      </c>
      <c r="AE273" s="4">
        <f t="shared" si="418"/>
        <v>62979</v>
      </c>
      <c r="AF273" s="23">
        <f t="shared" ref="AF273:AF282" si="425">ROUND((AD273/(D273)*1000),1)</f>
        <v>1045.2</v>
      </c>
      <c r="AG273" s="75">
        <f t="shared" si="408"/>
        <v>-6.5</v>
      </c>
      <c r="AI273" s="303">
        <f t="shared" si="377"/>
        <v>0.32878947251161844</v>
      </c>
      <c r="AK273" s="319"/>
      <c r="AU273" s="4">
        <f t="shared" si="304"/>
        <v>2005</v>
      </c>
      <c r="AV273" s="4">
        <f t="shared" si="305"/>
        <v>5</v>
      </c>
      <c r="AW273" s="230">
        <f>'[8]RES 62 &amp; 67'!$S358</f>
        <v>284.5</v>
      </c>
      <c r="AX273" s="200">
        <f t="shared" si="306"/>
        <v>336.7</v>
      </c>
      <c r="AY273" s="203">
        <f t="shared" si="420"/>
        <v>52.199999999999989</v>
      </c>
      <c r="AZ273" s="230">
        <f>'[8]RES 62 &amp; 67'!$J358</f>
        <v>2.6</v>
      </c>
      <c r="BA273" s="183">
        <f t="shared" si="307"/>
        <v>2.1</v>
      </c>
      <c r="BB273" s="429">
        <f t="shared" ref="BB273:BB278" si="426">BA273-AZ273</f>
        <v>-0.5</v>
      </c>
      <c r="BC273" s="206">
        <f t="shared" si="276"/>
        <v>112.75199999999998</v>
      </c>
      <c r="BD273" s="206">
        <f t="shared" si="277"/>
        <v>0</v>
      </c>
      <c r="BE273" s="206">
        <f t="shared" si="278"/>
        <v>112.75199999999998</v>
      </c>
      <c r="BF273" s="207">
        <f t="shared" si="279"/>
        <v>-1.355</v>
      </c>
      <c r="BG273" s="219">
        <f t="shared" si="280"/>
        <v>111.4</v>
      </c>
      <c r="BH273" s="4">
        <f t="shared" si="320"/>
        <v>2005</v>
      </c>
      <c r="BI273" s="4">
        <f t="shared" si="321"/>
        <v>5</v>
      </c>
      <c r="BJ273" s="108">
        <f>C273+[4]MWh!$AJ107</f>
        <v>1555094.4640004947</v>
      </c>
      <c r="BK273" s="108">
        <f t="shared" si="409"/>
        <v>20785.571741217835</v>
      </c>
      <c r="BL273" s="108">
        <f t="shared" si="373"/>
        <v>1534308.8922592769</v>
      </c>
      <c r="BM273" s="189">
        <f t="shared" si="410"/>
        <v>1225.892820638574</v>
      </c>
      <c r="BN273" s="6">
        <f t="shared" si="411"/>
        <v>1687672</v>
      </c>
      <c r="BO273" s="175">
        <f t="shared" si="374"/>
        <v>22863</v>
      </c>
      <c r="BP273" s="108">
        <f t="shared" si="375"/>
        <v>155440.53599950523</v>
      </c>
      <c r="BQ273" s="76">
        <f t="shared" si="412"/>
        <v>1084.8915969614379</v>
      </c>
      <c r="BR273" s="76">
        <f t="shared" si="413"/>
        <v>1193.3326822053705</v>
      </c>
      <c r="BS273" s="76">
        <f t="shared" si="360"/>
        <v>8.5133224593264458</v>
      </c>
      <c r="BT273" s="175">
        <f t="shared" si="376"/>
        <v>1710535</v>
      </c>
      <c r="BU273" s="108">
        <f t="shared" si="414"/>
        <v>93676</v>
      </c>
      <c r="BW273" s="529">
        <f>BT273/[9]RMWh!$L153</f>
        <v>1.1813698913963084</v>
      </c>
      <c r="CK273" s="165">
        <v>38473</v>
      </c>
      <c r="CL273" s="40">
        <f>BP273+COML!BV273+SPA!BV273</f>
        <v>203304.53599950523</v>
      </c>
      <c r="CM273" s="40">
        <f>ROUND('[14]2005'!$D36,0)</f>
        <v>126521</v>
      </c>
      <c r="CN273" s="2">
        <f t="shared" si="405"/>
        <v>76783.535999505228</v>
      </c>
      <c r="CO273" s="108">
        <f>'[2]FPC wSEB'!$R370</f>
        <v>3922888</v>
      </c>
      <c r="CP273" s="108">
        <f>'[2]FPC wSEB'!$C370-SUM('[2]FPC wSEB'!$K370:$L370)</f>
        <v>2834360</v>
      </c>
      <c r="CQ273" s="108">
        <f>'[2]FPC wSEB'!$T370-'[2]FPC wSEB'!$T369</f>
        <v>474184</v>
      </c>
      <c r="CR273" s="108">
        <f>SUM('[2]FPC wSEB'!$K370:$L370)</f>
        <v>387483</v>
      </c>
      <c r="CS273" s="108">
        <f>('[2]FPC wSEB'!$N370)-CQ273</f>
        <v>2577</v>
      </c>
      <c r="CT273" s="108">
        <f>'[2]FPC wSEB'!$P370</f>
        <v>9026</v>
      </c>
      <c r="CU273" s="108">
        <f>'[2]FPC wSEB'!$Q370</f>
        <v>215258</v>
      </c>
      <c r="CV273" s="115">
        <f t="shared" si="415"/>
        <v>0</v>
      </c>
      <c r="CW273" s="108">
        <f t="shared" si="419"/>
        <v>3825125</v>
      </c>
      <c r="CX273" s="108">
        <f t="shared" si="416"/>
        <v>3901908.5359995053</v>
      </c>
      <c r="CY273" s="108">
        <f t="shared" si="417"/>
        <v>-76783.535999505315</v>
      </c>
      <c r="CZ273" s="108"/>
      <c r="DA273" s="108"/>
      <c r="DD273" s="108"/>
      <c r="DE273" s="108"/>
      <c r="DF273" s="108"/>
      <c r="DG273" s="108"/>
      <c r="DH273" s="108"/>
      <c r="DI273" s="108"/>
      <c r="DJ273" s="108"/>
    </row>
    <row r="274" spans="1:114">
      <c r="A274" s="13">
        <f t="shared" si="299"/>
        <v>2005</v>
      </c>
      <c r="B274" s="13">
        <f t="shared" si="300"/>
        <v>6</v>
      </c>
      <c r="C274" s="5">
        <f>'[2]FPC wSEB'!$D371</f>
        <v>1711516</v>
      </c>
      <c r="D274" s="5">
        <f>'[2]FPC wSEB'!$X371</f>
        <v>1318564</v>
      </c>
      <c r="E274" s="5">
        <f t="shared" si="370"/>
        <v>1695512</v>
      </c>
      <c r="F274" s="5">
        <f t="shared" si="371"/>
        <v>1264942</v>
      </c>
      <c r="G274" s="74">
        <f t="shared" ref="G274:G282" si="427">ROUND((E274)/F274*1000,1)</f>
        <v>1340.4</v>
      </c>
      <c r="H274" s="190">
        <v>16004.294</v>
      </c>
      <c r="I274" s="170">
        <v>53622</v>
      </c>
      <c r="J274" s="230">
        <f>'[7]RES 62 &amp; 67'!$S359</f>
        <v>343.7</v>
      </c>
      <c r="K274" s="183">
        <f t="shared" si="301"/>
        <v>382.8</v>
      </c>
      <c r="L274" s="233">
        <f t="shared" si="406"/>
        <v>39.100000000000023</v>
      </c>
      <c r="M274" s="230">
        <f>'[7]RES 62 &amp; 67'!$J359</f>
        <v>0.9</v>
      </c>
      <c r="N274" s="183">
        <f t="shared" si="302"/>
        <v>0.9</v>
      </c>
      <c r="O274" s="236">
        <f t="shared" si="407"/>
        <v>0</v>
      </c>
      <c r="P274" s="206">
        <f t="shared" ref="P274:P282" si="428">L274*$C$10</f>
        <v>84.45600000000006</v>
      </c>
      <c r="Q274" s="208">
        <f t="shared" ref="Q274:Q282" si="429">IF($B274=12,L274*$C$11,IF($B274&lt;5,L274*$C$11,0))</f>
        <v>0</v>
      </c>
      <c r="R274" s="467">
        <f t="shared" ref="R274:R282" si="430">P274+Q274</f>
        <v>84.45600000000006</v>
      </c>
      <c r="S274" s="470">
        <f t="shared" ref="S274:S282" si="431">O274*$C$9</f>
        <v>0</v>
      </c>
      <c r="T274" s="425">
        <f t="shared" ref="T274:T307" si="432">ROUND((R274+S274),1)</f>
        <v>84.5</v>
      </c>
      <c r="U274" s="579">
        <f>[5]RC!$E154</f>
        <v>1381997</v>
      </c>
      <c r="V274" s="447">
        <v>38504</v>
      </c>
      <c r="W274" s="191">
        <f t="shared" si="421"/>
        <v>1424.9</v>
      </c>
      <c r="X274" s="73">
        <f t="shared" si="422"/>
        <v>1802416</v>
      </c>
      <c r="Y274" s="187">
        <f t="shared" si="364"/>
        <v>16854</v>
      </c>
      <c r="Z274" s="175">
        <f t="shared" ref="Z274:Z282" si="433">Y274+X274</f>
        <v>1819270</v>
      </c>
      <c r="AA274" s="40">
        <f t="shared" si="423"/>
        <v>107754</v>
      </c>
      <c r="AB274" s="519">
        <f>[9]RMWh!$L154</f>
        <v>1887686</v>
      </c>
      <c r="AC274" s="107">
        <f>'[7]Gov 65 &amp; 70'!$B359</f>
        <v>30.65</v>
      </c>
      <c r="AD274" s="4">
        <f t="shared" si="424"/>
        <v>1873521</v>
      </c>
      <c r="AE274" s="4">
        <f t="shared" si="418"/>
        <v>31836</v>
      </c>
      <c r="AF274" s="23">
        <f t="shared" si="425"/>
        <v>1420.9</v>
      </c>
      <c r="AG274" s="75">
        <f t="shared" si="408"/>
        <v>67.100000000000136</v>
      </c>
      <c r="AI274" s="303">
        <f t="shared" si="377"/>
        <v>0.22266865883837927</v>
      </c>
      <c r="AK274" s="319"/>
      <c r="AU274" s="4">
        <f t="shared" si="304"/>
        <v>2005</v>
      </c>
      <c r="AV274" s="4">
        <f t="shared" si="305"/>
        <v>6</v>
      </c>
      <c r="AW274" s="230">
        <f>'[8]RES 62 &amp; 67'!$S359</f>
        <v>401.8</v>
      </c>
      <c r="AX274" s="200">
        <f t="shared" si="306"/>
        <v>425.2</v>
      </c>
      <c r="AY274" s="203">
        <f t="shared" si="420"/>
        <v>23.399999999999977</v>
      </c>
      <c r="AZ274" s="230">
        <f>'[8]RES 62 &amp; 67'!$J359</f>
        <v>0</v>
      </c>
      <c r="BA274" s="183">
        <f t="shared" si="307"/>
        <v>0</v>
      </c>
      <c r="BB274" s="429">
        <f t="shared" si="426"/>
        <v>0</v>
      </c>
      <c r="BC274" s="206">
        <f t="shared" ref="BC274:BC282" si="434">AY274*$C$10</f>
        <v>50.543999999999954</v>
      </c>
      <c r="BD274" s="206">
        <f t="shared" ref="BD274:BD282" si="435">IF($B274=4,(C$11*0.5*AY274),IF($B274=11,(C$11*0.5*AY274),IF($B274=12,AY274*$C$11,IF($B274&lt;5,AY274*$C$11,0))))</f>
        <v>0</v>
      </c>
      <c r="BE274" s="206">
        <f t="shared" ref="BE274:BE282" si="436">BC274+BD274</f>
        <v>50.543999999999954</v>
      </c>
      <c r="BF274" s="207">
        <f t="shared" ref="BF274:BF282" si="437">BB274*$C$9</f>
        <v>0</v>
      </c>
      <c r="BG274" s="219">
        <f t="shared" ref="BG274:BG282" si="438">ROUND(BF274+BE274,1)</f>
        <v>50.5</v>
      </c>
      <c r="BH274" s="4">
        <f t="shared" si="320"/>
        <v>2005</v>
      </c>
      <c r="BI274" s="4">
        <f t="shared" si="321"/>
        <v>6</v>
      </c>
      <c r="BJ274" s="108">
        <f>C274+[4]MWh!$AJ108</f>
        <v>1881589.226121888</v>
      </c>
      <c r="BK274" s="108">
        <f t="shared" si="409"/>
        <v>17594.639583905249</v>
      </c>
      <c r="BL274" s="108">
        <f t="shared" si="373"/>
        <v>1863994.5865379828</v>
      </c>
      <c r="BM274" s="189">
        <f t="shared" si="410"/>
        <v>1524.0810705455135</v>
      </c>
      <c r="BN274" s="6">
        <f t="shared" si="411"/>
        <v>1927874</v>
      </c>
      <c r="BO274" s="175">
        <f t="shared" si="374"/>
        <v>18198</v>
      </c>
      <c r="BP274" s="108">
        <f t="shared" si="375"/>
        <v>64482.773878111948</v>
      </c>
      <c r="BQ274" s="76">
        <f t="shared" si="412"/>
        <v>1426.9987851343492</v>
      </c>
      <c r="BR274" s="76">
        <f t="shared" si="413"/>
        <v>1475.9025727988933</v>
      </c>
      <c r="BS274" s="76">
        <f t="shared" si="360"/>
        <v>-12.090805697096357</v>
      </c>
      <c r="BT274" s="175">
        <f t="shared" si="376"/>
        <v>1946072</v>
      </c>
      <c r="BU274" s="108">
        <f t="shared" si="414"/>
        <v>-78218</v>
      </c>
      <c r="BW274" s="529">
        <f>BT274/[9]RMWh!$L154</f>
        <v>1.0309299322027075</v>
      </c>
      <c r="CK274" s="165">
        <v>38504</v>
      </c>
      <c r="CL274" s="40">
        <f>BP274+COML!BV274+SPA!BV274</f>
        <v>85894.773878111941</v>
      </c>
      <c r="CM274" s="40">
        <f>ROUND('[14]2005'!$D37,0)</f>
        <v>118961</v>
      </c>
      <c r="CN274" s="2">
        <f t="shared" ref="CN274:CN279" si="439">CL274-CM274</f>
        <v>-33066.226121888059</v>
      </c>
      <c r="CO274" s="108">
        <f>'[2]FPC wSEB'!$R371</f>
        <v>4215000</v>
      </c>
      <c r="CP274" s="108">
        <f>'[2]FPC wSEB'!$C371-SUM('[2]FPC wSEB'!$K371:$L371)</f>
        <v>3367359</v>
      </c>
      <c r="CQ274" s="108">
        <f>'[2]FPC wSEB'!$T371-'[2]FPC wSEB'!$T370</f>
        <v>170893</v>
      </c>
      <c r="CR274" s="108">
        <f>SUM('[2]FPC wSEB'!$K371:$L371)</f>
        <v>378178</v>
      </c>
      <c r="CS274" s="108">
        <f>('[2]FPC wSEB'!$N371)-CQ274</f>
        <v>-6238</v>
      </c>
      <c r="CT274" s="108">
        <f>'[2]FPC wSEB'!$P371</f>
        <v>8739</v>
      </c>
      <c r="CU274" s="108">
        <f>'[2]FPC wSEB'!$Q371</f>
        <v>296069</v>
      </c>
      <c r="CV274" s="115">
        <f t="shared" si="415"/>
        <v>0</v>
      </c>
      <c r="CW274" s="108">
        <f t="shared" si="419"/>
        <v>4029153</v>
      </c>
      <c r="CX274" s="108">
        <f t="shared" si="416"/>
        <v>3996086.773878112</v>
      </c>
      <c r="CY274" s="108">
        <f t="shared" si="417"/>
        <v>33066.22612188803</v>
      </c>
      <c r="CZ274" s="108"/>
      <c r="DA274" s="108"/>
      <c r="DD274" s="108"/>
      <c r="DE274" s="108"/>
      <c r="DF274" s="108"/>
      <c r="DG274" s="108"/>
      <c r="DH274" s="108"/>
      <c r="DI274" s="108"/>
      <c r="DJ274" s="108"/>
    </row>
    <row r="275" spans="1:114">
      <c r="A275" s="13">
        <f t="shared" si="299"/>
        <v>2005</v>
      </c>
      <c r="B275" s="13">
        <f t="shared" si="300"/>
        <v>7</v>
      </c>
      <c r="C275" s="5">
        <f>'[2]FPC wSEB'!$D372</f>
        <v>2107002</v>
      </c>
      <c r="D275" s="5">
        <f>'[2]FPC wSEB'!$X372</f>
        <v>1424148</v>
      </c>
      <c r="E275" s="5">
        <f t="shared" si="370"/>
        <v>2088194</v>
      </c>
      <c r="F275" s="5">
        <f t="shared" si="371"/>
        <v>1364864</v>
      </c>
      <c r="G275" s="74">
        <f t="shared" si="427"/>
        <v>1530</v>
      </c>
      <c r="H275" s="190">
        <v>18808.192999999999</v>
      </c>
      <c r="I275" s="170">
        <v>59284</v>
      </c>
      <c r="J275" s="230">
        <f>'[7]RES 62 &amp; 67'!$S360</f>
        <v>461.6</v>
      </c>
      <c r="K275" s="183">
        <f t="shared" si="301"/>
        <v>454.9</v>
      </c>
      <c r="L275" s="233">
        <f t="shared" ref="L275:L280" si="440">(K275-J275)</f>
        <v>-6.7000000000000455</v>
      </c>
      <c r="M275" s="230">
        <f>'[7]RES 62 &amp; 67'!$J360</f>
        <v>0</v>
      </c>
      <c r="N275" s="183">
        <f t="shared" si="302"/>
        <v>0</v>
      </c>
      <c r="O275" s="236">
        <f t="shared" ref="O275:O280" si="441">(N275-M275)</f>
        <v>0</v>
      </c>
      <c r="P275" s="206">
        <f t="shared" si="428"/>
        <v>-14.472000000000099</v>
      </c>
      <c r="Q275" s="208">
        <f t="shared" si="429"/>
        <v>0</v>
      </c>
      <c r="R275" s="467">
        <f t="shared" si="430"/>
        <v>-14.472000000000099</v>
      </c>
      <c r="S275" s="470">
        <f t="shared" si="431"/>
        <v>0</v>
      </c>
      <c r="T275" s="425">
        <f t="shared" si="432"/>
        <v>-14.5</v>
      </c>
      <c r="U275" s="579">
        <f>[5]RC!$E155</f>
        <v>1386201</v>
      </c>
      <c r="V275" s="447">
        <v>38534</v>
      </c>
      <c r="W275" s="191">
        <f t="shared" si="421"/>
        <v>1515.5</v>
      </c>
      <c r="X275" s="73">
        <f t="shared" si="422"/>
        <v>2068451</v>
      </c>
      <c r="Y275" s="187">
        <f t="shared" si="364"/>
        <v>18464</v>
      </c>
      <c r="Z275" s="175">
        <f t="shared" si="433"/>
        <v>2086915</v>
      </c>
      <c r="AA275" s="40">
        <f t="shared" si="423"/>
        <v>-20087</v>
      </c>
      <c r="AB275" s="519">
        <f>[9]RMWh!$L155</f>
        <v>2037498</v>
      </c>
      <c r="AC275" s="107">
        <f>'[7]Gov 65 &amp; 70'!$B360</f>
        <v>30.65</v>
      </c>
      <c r="AD275" s="4">
        <f t="shared" si="424"/>
        <v>2022208</v>
      </c>
      <c r="AE275" s="4">
        <f t="shared" si="418"/>
        <v>22600</v>
      </c>
      <c r="AF275" s="23">
        <f t="shared" si="425"/>
        <v>1419.9</v>
      </c>
      <c r="AG275" s="75">
        <f t="shared" ref="AG275:AG280" si="442">AF275-AF263</f>
        <v>-58.699999999999818</v>
      </c>
      <c r="AI275" s="303">
        <f t="shared" si="377"/>
        <v>0.2073567337107346</v>
      </c>
      <c r="AK275" s="319"/>
      <c r="AU275" s="4">
        <f t="shared" si="304"/>
        <v>2005</v>
      </c>
      <c r="AV275" s="4">
        <f t="shared" si="305"/>
        <v>7</v>
      </c>
      <c r="AW275" s="230">
        <f>'[8]RES 62 &amp; 67'!$S360</f>
        <v>536.20000000000005</v>
      </c>
      <c r="AX275" s="200">
        <f t="shared" si="306"/>
        <v>484.1</v>
      </c>
      <c r="AY275" s="203">
        <f t="shared" si="420"/>
        <v>-52.100000000000023</v>
      </c>
      <c r="AZ275" s="230">
        <f>'[8]RES 62 &amp; 67'!$J360</f>
        <v>0</v>
      </c>
      <c r="BA275" s="183">
        <f t="shared" si="307"/>
        <v>0</v>
      </c>
      <c r="BB275" s="429">
        <f t="shared" si="426"/>
        <v>0</v>
      </c>
      <c r="BC275" s="206">
        <f t="shared" si="434"/>
        <v>-112.53600000000006</v>
      </c>
      <c r="BD275" s="206">
        <f t="shared" si="435"/>
        <v>0</v>
      </c>
      <c r="BE275" s="206">
        <f t="shared" si="436"/>
        <v>-112.53600000000006</v>
      </c>
      <c r="BF275" s="207">
        <f t="shared" si="437"/>
        <v>0</v>
      </c>
      <c r="BG275" s="219">
        <f t="shared" si="438"/>
        <v>-112.5</v>
      </c>
      <c r="BH275" s="4">
        <f t="shared" si="320"/>
        <v>2005</v>
      </c>
      <c r="BI275" s="4">
        <f t="shared" si="321"/>
        <v>7</v>
      </c>
      <c r="BJ275" s="108">
        <f>C275+[4]MWh!$AJ109</f>
        <v>2301081.1670139693</v>
      </c>
      <c r="BK275" s="108">
        <f t="shared" si="409"/>
        <v>20540.64433629582</v>
      </c>
      <c r="BL275" s="108">
        <f t="shared" si="373"/>
        <v>2280540.5226776735</v>
      </c>
      <c r="BM275" s="189">
        <f t="shared" si="410"/>
        <v>1558.3921348044005</v>
      </c>
      <c r="BN275" s="6">
        <f t="shared" si="411"/>
        <v>2126993</v>
      </c>
      <c r="BO275" s="175">
        <f t="shared" si="374"/>
        <v>19158</v>
      </c>
      <c r="BP275" s="108">
        <f t="shared" si="375"/>
        <v>-154930.1670139693</v>
      </c>
      <c r="BQ275" s="76">
        <f t="shared" si="412"/>
        <v>1615.7598557270519</v>
      </c>
      <c r="BR275" s="76">
        <f t="shared" si="413"/>
        <v>1506.9718877532391</v>
      </c>
      <c r="BS275" s="76">
        <f t="shared" si="360"/>
        <v>-80.095408242809299</v>
      </c>
      <c r="BT275" s="175">
        <f t="shared" si="376"/>
        <v>2146151</v>
      </c>
      <c r="BU275" s="108">
        <f t="shared" ref="BU275:BU280" si="443">BT275-BT263</f>
        <v>-102</v>
      </c>
      <c r="BW275" s="529">
        <f>BT275/[9]RMWh!$L155</f>
        <v>1.0533266781120767</v>
      </c>
      <c r="CK275" s="165">
        <v>38534</v>
      </c>
      <c r="CL275" s="40">
        <f>BP275+COML!BV275+SPA!BV275</f>
        <v>-202427.1670139693</v>
      </c>
      <c r="CM275" s="40">
        <f>ROUND('[14]2005'!$D38,0)</f>
        <v>-312452</v>
      </c>
      <c r="CN275" s="2">
        <f t="shared" si="439"/>
        <v>110024.8329860307</v>
      </c>
      <c r="CO275" s="108">
        <f>'[2]FPC wSEB'!$R372</f>
        <v>4946987</v>
      </c>
      <c r="CP275" s="108">
        <f>'[2]FPC wSEB'!$C372-SUM('[2]FPC wSEB'!$K372:$L372)</f>
        <v>3915031</v>
      </c>
      <c r="CQ275" s="108">
        <f>'[2]FPC wSEB'!$T372-'[2]FPC wSEB'!$T371</f>
        <v>238428</v>
      </c>
      <c r="CR275" s="108">
        <f>SUM('[2]FPC wSEB'!$K372:$L372)</f>
        <v>383130</v>
      </c>
      <c r="CS275" s="108">
        <f>('[2]FPC wSEB'!$N372)-CQ275</f>
        <v>153780</v>
      </c>
      <c r="CT275" s="108">
        <f>'[2]FPC wSEB'!$P372</f>
        <v>11775</v>
      </c>
      <c r="CU275" s="108">
        <f>'[2]FPC wSEB'!$Q372</f>
        <v>244843</v>
      </c>
      <c r="CV275" s="115">
        <f t="shared" ref="CV275:CV280" si="444">CO275-SUM(CP275:CU275)</f>
        <v>0</v>
      </c>
      <c r="CW275" s="108">
        <f t="shared" si="419"/>
        <v>4377917</v>
      </c>
      <c r="CX275" s="108">
        <f t="shared" ref="CX275:CX280" si="445">SUM(CP275:CS275)+CL275</f>
        <v>4487941.8329860307</v>
      </c>
      <c r="CY275" s="108">
        <f t="shared" ref="CY275:CY280" si="446">CW275-CX275</f>
        <v>-110024.83298603073</v>
      </c>
      <c r="CZ275" s="108"/>
      <c r="DA275" s="108"/>
      <c r="DD275" s="108"/>
      <c r="DE275" s="108"/>
      <c r="DF275" s="108"/>
      <c r="DG275" s="108"/>
      <c r="DH275" s="108"/>
      <c r="DI275" s="108"/>
      <c r="DJ275" s="108"/>
    </row>
    <row r="276" spans="1:114">
      <c r="A276" s="13">
        <f t="shared" si="299"/>
        <v>2005</v>
      </c>
      <c r="B276" s="13">
        <f t="shared" si="300"/>
        <v>8</v>
      </c>
      <c r="C276" s="5">
        <f>'[2]FPC wSEB'!$D373</f>
        <v>2215492</v>
      </c>
      <c r="D276" s="5">
        <f>'[2]FPC wSEB'!$X373</f>
        <v>1393912</v>
      </c>
      <c r="E276" s="5">
        <f t="shared" si="370"/>
        <v>2195290</v>
      </c>
      <c r="F276" s="5">
        <f t="shared" si="371"/>
        <v>1337360</v>
      </c>
      <c r="G276" s="349">
        <f t="shared" si="427"/>
        <v>1641.5</v>
      </c>
      <c r="H276" s="190">
        <v>20202.164000000001</v>
      </c>
      <c r="I276" s="170">
        <v>56552</v>
      </c>
      <c r="J276" s="230">
        <f>'[7]RES 62 &amp; 67'!$S361</f>
        <v>540.29999999999995</v>
      </c>
      <c r="K276" s="183">
        <f t="shared" si="301"/>
        <v>481.4</v>
      </c>
      <c r="L276" s="233">
        <f t="shared" si="440"/>
        <v>-58.899999999999977</v>
      </c>
      <c r="M276" s="230">
        <f>'[7]RES 62 &amp; 67'!$J361</f>
        <v>0</v>
      </c>
      <c r="N276" s="183">
        <f t="shared" si="302"/>
        <v>0</v>
      </c>
      <c r="O276" s="236">
        <f t="shared" si="441"/>
        <v>0</v>
      </c>
      <c r="P276" s="206">
        <f t="shared" si="428"/>
        <v>-127.22399999999996</v>
      </c>
      <c r="Q276" s="208">
        <f t="shared" si="429"/>
        <v>0</v>
      </c>
      <c r="R276" s="467">
        <f t="shared" si="430"/>
        <v>-127.22399999999996</v>
      </c>
      <c r="S276" s="470">
        <f t="shared" si="431"/>
        <v>0</v>
      </c>
      <c r="T276" s="425">
        <f t="shared" si="432"/>
        <v>-127.2</v>
      </c>
      <c r="U276" s="579">
        <f>[5]RC!$E156</f>
        <v>1390012</v>
      </c>
      <c r="V276" s="447">
        <v>38565</v>
      </c>
      <c r="W276" s="191">
        <f t="shared" si="421"/>
        <v>1514.3</v>
      </c>
      <c r="X276" s="73">
        <f t="shared" si="422"/>
        <v>2025164</v>
      </c>
      <c r="Y276" s="187">
        <f t="shared" si="364"/>
        <v>18467</v>
      </c>
      <c r="Z276" s="175">
        <f t="shared" si="433"/>
        <v>2043631</v>
      </c>
      <c r="AA276" s="40">
        <f t="shared" si="423"/>
        <v>-171861</v>
      </c>
      <c r="AB276" s="519">
        <f>[9]RMWh!$L156</f>
        <v>2036035</v>
      </c>
      <c r="AC276" s="107">
        <f>'[7]Gov 65 &amp; 70'!$B361</f>
        <v>31.1</v>
      </c>
      <c r="AD276" s="4">
        <f t="shared" si="424"/>
        <v>1991517</v>
      </c>
      <c r="AE276" s="4">
        <f t="shared" ref="AE276:AE281" si="447">AD276-AD264</f>
        <v>-241876</v>
      </c>
      <c r="AF276" s="23">
        <f t="shared" si="425"/>
        <v>1428.7</v>
      </c>
      <c r="AG276" s="75">
        <f t="shared" si="442"/>
        <v>-211</v>
      </c>
      <c r="AI276" s="303">
        <f t="shared" si="377"/>
        <v>0.21762512653760996</v>
      </c>
      <c r="AK276" s="319"/>
      <c r="AU276" s="4">
        <f t="shared" si="304"/>
        <v>2005</v>
      </c>
      <c r="AV276" s="4">
        <f t="shared" si="305"/>
        <v>8</v>
      </c>
      <c r="AW276" s="230">
        <f>'[8]RES 62 &amp; 67'!$S361</f>
        <v>549.79999999999995</v>
      </c>
      <c r="AX276" s="200">
        <f t="shared" si="306"/>
        <v>487.3</v>
      </c>
      <c r="AY276" s="203">
        <f t="shared" si="420"/>
        <v>-62.499999999999943</v>
      </c>
      <c r="AZ276" s="230">
        <f>'[8]RES 62 &amp; 67'!$J361</f>
        <v>0</v>
      </c>
      <c r="BA276" s="183">
        <f t="shared" si="307"/>
        <v>0</v>
      </c>
      <c r="BB276" s="429">
        <f t="shared" si="426"/>
        <v>0</v>
      </c>
      <c r="BC276" s="206">
        <f t="shared" si="434"/>
        <v>-134.99999999999989</v>
      </c>
      <c r="BD276" s="206">
        <f t="shared" si="435"/>
        <v>0</v>
      </c>
      <c r="BE276" s="206">
        <f t="shared" si="436"/>
        <v>-134.99999999999989</v>
      </c>
      <c r="BF276" s="207">
        <f t="shared" si="437"/>
        <v>0</v>
      </c>
      <c r="BG276" s="219">
        <f t="shared" si="438"/>
        <v>-135</v>
      </c>
      <c r="BH276" s="4">
        <f t="shared" si="320"/>
        <v>2005</v>
      </c>
      <c r="BI276" s="4">
        <f t="shared" si="321"/>
        <v>8</v>
      </c>
      <c r="BJ276" s="108">
        <f>C276+[4]MWh!$AJ110</f>
        <v>2290391.648657959</v>
      </c>
      <c r="BK276" s="108">
        <f t="shared" si="409"/>
        <v>20885.143214427524</v>
      </c>
      <c r="BL276" s="108">
        <f t="shared" si="373"/>
        <v>2269506.5054435316</v>
      </c>
      <c r="BM276" s="189">
        <f t="shared" si="410"/>
        <v>1562.0049242115299</v>
      </c>
      <c r="BN276" s="6">
        <f t="shared" si="411"/>
        <v>2088963</v>
      </c>
      <c r="BO276" s="175">
        <f t="shared" si="374"/>
        <v>19224</v>
      </c>
      <c r="BP276" s="108">
        <f t="shared" si="375"/>
        <v>-182204.64865795907</v>
      </c>
      <c r="BQ276" s="76">
        <f t="shared" si="412"/>
        <v>1643.139343558244</v>
      </c>
      <c r="BR276" s="76">
        <f t="shared" si="413"/>
        <v>1512.4247441732332</v>
      </c>
      <c r="BS276" s="76">
        <f t="shared" si="360"/>
        <v>35.659198739511567</v>
      </c>
      <c r="BT276" s="175">
        <f t="shared" si="376"/>
        <v>2108187</v>
      </c>
      <c r="BU276" s="108">
        <f t="shared" si="443"/>
        <v>37373</v>
      </c>
      <c r="BW276" s="529">
        <f>BT276/[9]RMWh!$L156</f>
        <v>1.0354375047580224</v>
      </c>
      <c r="CK276" s="165">
        <v>38565</v>
      </c>
      <c r="CL276" s="40">
        <f>BP276+COML!BV276+SPA!BV276</f>
        <v>-239392.64865795907</v>
      </c>
      <c r="CM276" s="40">
        <f>ROUND('[14]2005'!$D39,0)</f>
        <v>-292570</v>
      </c>
      <c r="CN276" s="2">
        <f t="shared" si="439"/>
        <v>53177.351342040929</v>
      </c>
      <c r="CO276" s="108">
        <f>'[2]FPC wSEB'!$R373</f>
        <v>5031205</v>
      </c>
      <c r="CP276" s="108">
        <f>'[2]FPC wSEB'!$C373-SUM('[2]FPC wSEB'!$K373:$L373)</f>
        <v>4054710</v>
      </c>
      <c r="CQ276" s="108">
        <f>'[2]FPC wSEB'!$T373-'[2]FPC wSEB'!$T372</f>
        <v>100436</v>
      </c>
      <c r="CR276" s="108">
        <f>SUM('[2]FPC wSEB'!$K373:$L373)</f>
        <v>475993</v>
      </c>
      <c r="CS276" s="108">
        <f>('[2]FPC wSEB'!$N373)-CQ276</f>
        <v>61529</v>
      </c>
      <c r="CT276" s="108">
        <f>'[2]FPC wSEB'!$P373</f>
        <v>14039</v>
      </c>
      <c r="CU276" s="108">
        <f>'[2]FPC wSEB'!$Q373</f>
        <v>324498</v>
      </c>
      <c r="CV276" s="115">
        <f t="shared" si="444"/>
        <v>0</v>
      </c>
      <c r="CW276" s="108">
        <f t="shared" si="419"/>
        <v>4400098</v>
      </c>
      <c r="CX276" s="108">
        <f t="shared" si="445"/>
        <v>4453275.351342041</v>
      </c>
      <c r="CY276" s="108">
        <f t="shared" si="446"/>
        <v>-53177.351342041045</v>
      </c>
    </row>
    <row r="277" spans="1:114">
      <c r="A277" s="13">
        <f t="shared" si="299"/>
        <v>2005</v>
      </c>
      <c r="B277" s="13">
        <f t="shared" si="300"/>
        <v>9</v>
      </c>
      <c r="C277" s="5">
        <f>'[2]FPC wSEB'!$D374</f>
        <v>2231616</v>
      </c>
      <c r="D277" s="5">
        <f>'[2]FPC wSEB'!$X374</f>
        <v>1411234</v>
      </c>
      <c r="E277" s="5">
        <f t="shared" si="370"/>
        <v>2211091</v>
      </c>
      <c r="F277" s="5">
        <f t="shared" si="371"/>
        <v>1353106</v>
      </c>
      <c r="G277" s="74">
        <f t="shared" si="427"/>
        <v>1634.1</v>
      </c>
      <c r="H277" s="190">
        <v>20525.003000000001</v>
      </c>
      <c r="I277" s="170">
        <v>58128</v>
      </c>
      <c r="J277" s="230">
        <f>'[7]RES 62 &amp; 67'!$S362</f>
        <v>519.70000000000005</v>
      </c>
      <c r="K277" s="183">
        <f t="shared" si="301"/>
        <v>473.7</v>
      </c>
      <c r="L277" s="233">
        <f t="shared" si="440"/>
        <v>-46.000000000000057</v>
      </c>
      <c r="M277" s="230">
        <f>'[7]RES 62 &amp; 67'!$J362</f>
        <v>0</v>
      </c>
      <c r="N277" s="183">
        <f t="shared" si="302"/>
        <v>0</v>
      </c>
      <c r="O277" s="236">
        <f t="shared" si="441"/>
        <v>0</v>
      </c>
      <c r="P277" s="206">
        <f t="shared" si="428"/>
        <v>-99.360000000000127</v>
      </c>
      <c r="Q277" s="208">
        <f t="shared" si="429"/>
        <v>0</v>
      </c>
      <c r="R277" s="467">
        <f t="shared" si="430"/>
        <v>-99.360000000000127</v>
      </c>
      <c r="S277" s="470">
        <f t="shared" si="431"/>
        <v>0</v>
      </c>
      <c r="T277" s="425">
        <f t="shared" si="432"/>
        <v>-99.4</v>
      </c>
      <c r="U277" s="579">
        <f>[5]RC!$E157</f>
        <v>1393375</v>
      </c>
      <c r="V277" s="447">
        <v>38596</v>
      </c>
      <c r="W277" s="191">
        <f t="shared" si="421"/>
        <v>1534.6999999999998</v>
      </c>
      <c r="X277" s="73">
        <f t="shared" si="422"/>
        <v>2076612</v>
      </c>
      <c r="Y277" s="187">
        <f t="shared" si="364"/>
        <v>19099</v>
      </c>
      <c r="Z277" s="175">
        <f t="shared" si="433"/>
        <v>2095711</v>
      </c>
      <c r="AA277" s="40">
        <f t="shared" si="423"/>
        <v>-135905</v>
      </c>
      <c r="AB277" s="519">
        <f>[9]RMWh!$L157</f>
        <v>2078209</v>
      </c>
      <c r="AC277" s="107">
        <f>'[7]Gov 65 &amp; 70'!$B362</f>
        <v>30.45</v>
      </c>
      <c r="AD277" s="4">
        <f t="shared" si="424"/>
        <v>2076162</v>
      </c>
      <c r="AE277" s="4">
        <f t="shared" si="447"/>
        <v>-52333</v>
      </c>
      <c r="AF277" s="23">
        <f t="shared" si="425"/>
        <v>1471.2</v>
      </c>
      <c r="AG277" s="75">
        <f t="shared" si="442"/>
        <v>-73.399999999999864</v>
      </c>
      <c r="AI277" s="303">
        <f t="shared" si="377"/>
        <v>0.21608231238061418</v>
      </c>
      <c r="AK277" s="319"/>
      <c r="AU277" s="4">
        <f t="shared" si="304"/>
        <v>2005</v>
      </c>
      <c r="AV277" s="4">
        <f t="shared" si="305"/>
        <v>9</v>
      </c>
      <c r="AW277" s="230">
        <f>'[8]RES 62 &amp; 67'!$S362</f>
        <v>455.6</v>
      </c>
      <c r="AX277" s="200">
        <f t="shared" si="306"/>
        <v>428.3</v>
      </c>
      <c r="AY277" s="203">
        <f t="shared" si="420"/>
        <v>-27.300000000000011</v>
      </c>
      <c r="AZ277" s="230">
        <f>'[8]RES 62 &amp; 67'!$J362</f>
        <v>0.3</v>
      </c>
      <c r="BA277" s="183">
        <f t="shared" si="307"/>
        <v>0</v>
      </c>
      <c r="BB277" s="429">
        <f t="shared" si="426"/>
        <v>-0.3</v>
      </c>
      <c r="BC277" s="206">
        <f t="shared" si="434"/>
        <v>-58.968000000000032</v>
      </c>
      <c r="BD277" s="206">
        <f t="shared" si="435"/>
        <v>0</v>
      </c>
      <c r="BE277" s="206">
        <f t="shared" si="436"/>
        <v>-58.968000000000032</v>
      </c>
      <c r="BF277" s="207">
        <f t="shared" si="437"/>
        <v>-0.81299999999999994</v>
      </c>
      <c r="BG277" s="219">
        <f t="shared" si="438"/>
        <v>-59.8</v>
      </c>
      <c r="BH277" s="4">
        <f t="shared" si="320"/>
        <v>2005</v>
      </c>
      <c r="BI277" s="4">
        <f t="shared" si="321"/>
        <v>9</v>
      </c>
      <c r="BJ277" s="108">
        <f>C277+[4]MWh!$AJ111</f>
        <v>2054912.5885160354</v>
      </c>
      <c r="BK277" s="108">
        <f t="shared" si="409"/>
        <v>18899.795952363398</v>
      </c>
      <c r="BL277" s="108">
        <f t="shared" si="373"/>
        <v>2036012.7925636719</v>
      </c>
      <c r="BM277" s="189">
        <f t="shared" si="410"/>
        <v>1444.8957094002037</v>
      </c>
      <c r="BN277" s="6">
        <f t="shared" si="411"/>
        <v>1955097</v>
      </c>
      <c r="BO277" s="175">
        <f t="shared" si="374"/>
        <v>18149</v>
      </c>
      <c r="BP277" s="108">
        <f t="shared" si="375"/>
        <v>-81666.58851603535</v>
      </c>
      <c r="BQ277" s="76">
        <f t="shared" si="412"/>
        <v>1456.1104597225089</v>
      </c>
      <c r="BR277" s="76">
        <f t="shared" si="413"/>
        <v>1398.2415389651894</v>
      </c>
      <c r="BS277" s="76">
        <f t="shared" si="360"/>
        <v>88.817720017695819</v>
      </c>
      <c r="BT277" s="175">
        <f t="shared" si="376"/>
        <v>1973246</v>
      </c>
      <c r="BU277" s="108">
        <f t="shared" si="443"/>
        <v>83501</v>
      </c>
      <c r="BW277" s="529">
        <f>BT277/[9]RMWh!$L157</f>
        <v>0.94949353024647665</v>
      </c>
      <c r="CK277" s="165">
        <v>38596</v>
      </c>
      <c r="CL277" s="40">
        <f>BP277+COML!BV277+SPA!BV277</f>
        <v>-106658.58851603535</v>
      </c>
      <c r="CM277" s="40">
        <f>ROUND('[14]2005'!$D40,0)</f>
        <v>-243723</v>
      </c>
      <c r="CN277" s="2">
        <f t="shared" si="439"/>
        <v>137064.41148396465</v>
      </c>
      <c r="CO277" s="108">
        <f>'[2]FPC wSEB'!$R374</f>
        <v>4461329</v>
      </c>
      <c r="CP277" s="108">
        <f>'[2]FPC wSEB'!$C374-SUM('[2]FPC wSEB'!$K374:$L374)</f>
        <v>4145173</v>
      </c>
      <c r="CQ277" s="108">
        <f>'[2]FPC wSEB'!$T374-'[2]FPC wSEB'!$T373</f>
        <v>-290359</v>
      </c>
      <c r="CR277" s="108">
        <f>SUM('[2]FPC wSEB'!$K374:$L374)</f>
        <v>535502</v>
      </c>
      <c r="CS277" s="108">
        <f>('[2]FPC wSEB'!$N374)-CQ277</f>
        <v>-69129</v>
      </c>
      <c r="CT277" s="108">
        <f>'[2]FPC wSEB'!$P374</f>
        <v>14579</v>
      </c>
      <c r="CU277" s="108">
        <f>'[2]FPC wSEB'!$Q374</f>
        <v>125563</v>
      </c>
      <c r="CV277" s="115">
        <f t="shared" si="444"/>
        <v>0</v>
      </c>
      <c r="CW277" s="108">
        <f t="shared" ref="CW277:CW282" si="448">CO277-CT277-CU277+CM277</f>
        <v>4077464</v>
      </c>
      <c r="CX277" s="108">
        <f t="shared" si="445"/>
        <v>4214528.4114839649</v>
      </c>
      <c r="CY277" s="108">
        <f t="shared" si="446"/>
        <v>-137064.41148396488</v>
      </c>
    </row>
    <row r="278" spans="1:114">
      <c r="A278" s="13">
        <f t="shared" si="299"/>
        <v>2005</v>
      </c>
      <c r="B278" s="13">
        <f t="shared" si="300"/>
        <v>10</v>
      </c>
      <c r="C278" s="5">
        <f>'[2]FPC wSEB'!$D375</f>
        <v>1844495</v>
      </c>
      <c r="D278" s="5">
        <f>'[2]FPC wSEB'!$X375</f>
        <v>1396206</v>
      </c>
      <c r="E278" s="5">
        <f t="shared" si="370"/>
        <v>1826236</v>
      </c>
      <c r="F278" s="5">
        <f t="shared" si="371"/>
        <v>1339754</v>
      </c>
      <c r="G278" s="74">
        <f t="shared" si="427"/>
        <v>1363.1</v>
      </c>
      <c r="H278" s="190">
        <v>18259.113000000001</v>
      </c>
      <c r="I278" s="170">
        <v>56452</v>
      </c>
      <c r="J278" s="230">
        <f>'[7]RES 62 &amp; 67'!$S363</f>
        <v>424.1</v>
      </c>
      <c r="K278" s="183">
        <f t="shared" si="301"/>
        <v>373.2</v>
      </c>
      <c r="L278" s="233">
        <f t="shared" si="440"/>
        <v>-50.900000000000034</v>
      </c>
      <c r="M278" s="230">
        <f>'[7]RES 62 &amp; 67'!$J363</f>
        <v>0.8</v>
      </c>
      <c r="N278" s="183">
        <f t="shared" si="302"/>
        <v>1.3</v>
      </c>
      <c r="O278" s="236">
        <f t="shared" si="441"/>
        <v>0.5</v>
      </c>
      <c r="P278" s="206">
        <f t="shared" si="428"/>
        <v>-109.94400000000009</v>
      </c>
      <c r="Q278" s="208">
        <f t="shared" si="429"/>
        <v>0</v>
      </c>
      <c r="R278" s="467">
        <f t="shared" si="430"/>
        <v>-109.94400000000009</v>
      </c>
      <c r="S278" s="470">
        <f t="shared" si="431"/>
        <v>1.355</v>
      </c>
      <c r="T278" s="425">
        <f t="shared" si="432"/>
        <v>-108.6</v>
      </c>
      <c r="U278" s="579">
        <f>[5]RC!$E158</f>
        <v>1396942</v>
      </c>
      <c r="V278" s="447">
        <v>38626</v>
      </c>
      <c r="W278" s="191">
        <f t="shared" si="421"/>
        <v>1254.5</v>
      </c>
      <c r="X278" s="73">
        <f t="shared" si="422"/>
        <v>1680721</v>
      </c>
      <c r="Y278" s="187">
        <f t="shared" si="364"/>
        <v>16638</v>
      </c>
      <c r="Z278" s="175">
        <f t="shared" si="433"/>
        <v>1697359</v>
      </c>
      <c r="AA278" s="40">
        <f t="shared" si="423"/>
        <v>-147136</v>
      </c>
      <c r="AB278" s="519">
        <f>[9]RMWh!$L158</f>
        <v>1712195</v>
      </c>
      <c r="AC278" s="107">
        <f>'[7]Gov 65 &amp; 70'!$B363</f>
        <v>29.75</v>
      </c>
      <c r="AD278" s="4">
        <f t="shared" si="424"/>
        <v>1750755</v>
      </c>
      <c r="AE278" s="4">
        <f t="shared" si="447"/>
        <v>-51239</v>
      </c>
      <c r="AF278" s="23">
        <f t="shared" si="425"/>
        <v>1253.9000000000001</v>
      </c>
      <c r="AG278" s="75">
        <f t="shared" si="442"/>
        <v>-60.299999999999955</v>
      </c>
      <c r="AI278" s="303">
        <f t="shared" si="377"/>
        <v>0.23728627882280101</v>
      </c>
      <c r="AK278" s="319"/>
      <c r="AU278" s="4">
        <f t="shared" si="304"/>
        <v>2005</v>
      </c>
      <c r="AV278" s="4">
        <f t="shared" si="305"/>
        <v>10</v>
      </c>
      <c r="AW278" s="230">
        <f>'[8]RES 62 &amp; 67'!$S363</f>
        <v>299.60000000000002</v>
      </c>
      <c r="AX278" s="200">
        <f t="shared" si="306"/>
        <v>277.60000000000002</v>
      </c>
      <c r="AY278" s="203">
        <f t="shared" ref="AY278:AY283" si="449">AX278-AW278</f>
        <v>-22</v>
      </c>
      <c r="AZ278" s="230">
        <f>'[8]RES 62 &amp; 67'!$J363</f>
        <v>17.600000000000001</v>
      </c>
      <c r="BA278" s="183">
        <f t="shared" si="307"/>
        <v>8.5</v>
      </c>
      <c r="BB278" s="429">
        <f t="shared" si="426"/>
        <v>-9.1000000000000014</v>
      </c>
      <c r="BC278" s="206">
        <f t="shared" si="434"/>
        <v>-47.52</v>
      </c>
      <c r="BD278" s="206">
        <f t="shared" si="435"/>
        <v>0</v>
      </c>
      <c r="BE278" s="206">
        <f t="shared" si="436"/>
        <v>-47.52</v>
      </c>
      <c r="BF278" s="207">
        <f t="shared" si="437"/>
        <v>-24.661000000000005</v>
      </c>
      <c r="BG278" s="219">
        <f t="shared" si="438"/>
        <v>-72.2</v>
      </c>
      <c r="BH278" s="4">
        <f t="shared" si="320"/>
        <v>2005</v>
      </c>
      <c r="BI278" s="4">
        <f t="shared" si="321"/>
        <v>10</v>
      </c>
      <c r="BJ278" s="108">
        <f>C278+[4]MWh!$AJ112</f>
        <v>1644744.3398523354</v>
      </c>
      <c r="BK278" s="108">
        <f t="shared" si="409"/>
        <v>16281.731724658619</v>
      </c>
      <c r="BL278" s="108">
        <f t="shared" si="373"/>
        <v>1628462.6081276769</v>
      </c>
      <c r="BM278" s="189">
        <f t="shared" si="410"/>
        <v>1143.2937459620773</v>
      </c>
      <c r="BN278" s="6">
        <f t="shared" si="411"/>
        <v>1531732</v>
      </c>
      <c r="BO278" s="175">
        <f t="shared" si="374"/>
        <v>15315</v>
      </c>
      <c r="BP278" s="108">
        <f t="shared" si="375"/>
        <v>-97697.339852335499</v>
      </c>
      <c r="BQ278" s="76">
        <f t="shared" si="412"/>
        <v>1178.0097921455256</v>
      </c>
      <c r="BR278" s="76">
        <f t="shared" si="413"/>
        <v>1108.0363499369005</v>
      </c>
      <c r="BS278" s="76">
        <f t="shared" si="360"/>
        <v>-151.86872701669404</v>
      </c>
      <c r="BT278" s="175">
        <f t="shared" si="376"/>
        <v>1547047</v>
      </c>
      <c r="BU278" s="108">
        <f t="shared" si="443"/>
        <v>-180555</v>
      </c>
      <c r="BW278" s="529">
        <f>BT278/[9]RMWh!$L158</f>
        <v>0.90354603301609926</v>
      </c>
      <c r="CK278" s="165">
        <v>38626</v>
      </c>
      <c r="CL278" s="40">
        <f>BP278+COML!BV278+SPA!BV278</f>
        <v>-118523.3398523355</v>
      </c>
      <c r="CM278" s="40">
        <f>ROUND('[14]2005'!$D41,0)</f>
        <v>-157824</v>
      </c>
      <c r="CN278" s="2">
        <f t="shared" si="439"/>
        <v>39300.660147664501</v>
      </c>
      <c r="CO278" s="108">
        <f>'[2]FPC wSEB'!$R375</f>
        <v>3967625</v>
      </c>
      <c r="CP278" s="108">
        <f>'[2]FPC wSEB'!$C375-SUM('[2]FPC wSEB'!$K375:$L375)</f>
        <v>3555305</v>
      </c>
      <c r="CQ278" s="108">
        <f>'[2]FPC wSEB'!$T375-'[2]FPC wSEB'!$T374</f>
        <v>-300300</v>
      </c>
      <c r="CR278" s="108">
        <f>SUM('[2]FPC wSEB'!$K375:$L375)</f>
        <v>516050</v>
      </c>
      <c r="CS278" s="108">
        <f>('[2]FPC wSEB'!$N375)-CQ278</f>
        <v>-93871</v>
      </c>
      <c r="CT278" s="108">
        <f>'[2]FPC wSEB'!$P375</f>
        <v>9318</v>
      </c>
      <c r="CU278" s="108">
        <f>'[2]FPC wSEB'!$Q375</f>
        <v>281123</v>
      </c>
      <c r="CV278" s="115">
        <f t="shared" si="444"/>
        <v>0</v>
      </c>
      <c r="CW278" s="108">
        <f t="shared" si="448"/>
        <v>3519360</v>
      </c>
      <c r="CX278" s="108">
        <f t="shared" si="445"/>
        <v>3558660.6601476646</v>
      </c>
      <c r="CY278" s="108">
        <f t="shared" si="446"/>
        <v>-39300.660147664603</v>
      </c>
    </row>
    <row r="279" spans="1:114">
      <c r="A279" s="13">
        <f t="shared" si="299"/>
        <v>2005</v>
      </c>
      <c r="B279" s="13">
        <f t="shared" si="300"/>
        <v>11</v>
      </c>
      <c r="C279" s="5">
        <f>'[2]FPC wSEB'!$D376</f>
        <v>1434464</v>
      </c>
      <c r="D279" s="5">
        <f>'[2]FPC wSEB'!$X376</f>
        <v>1447794</v>
      </c>
      <c r="E279" s="5">
        <f t="shared" si="370"/>
        <v>1415686</v>
      </c>
      <c r="F279" s="5">
        <f t="shared" si="371"/>
        <v>1388876</v>
      </c>
      <c r="G279" s="74">
        <f t="shared" si="427"/>
        <v>1019.3</v>
      </c>
      <c r="H279" s="190">
        <v>18777.847000000002</v>
      </c>
      <c r="I279" s="170">
        <v>58918</v>
      </c>
      <c r="J279" s="230">
        <f>'[7]RES 62 &amp; 67'!$S364</f>
        <v>208.3</v>
      </c>
      <c r="K279" s="183">
        <f t="shared" si="301"/>
        <v>204.3</v>
      </c>
      <c r="L279" s="233">
        <f t="shared" si="440"/>
        <v>-4</v>
      </c>
      <c r="M279" s="230">
        <f>'[7]RES 62 &amp; 67'!$J364</f>
        <v>22.1</v>
      </c>
      <c r="N279" s="183">
        <f t="shared" si="302"/>
        <v>24.1</v>
      </c>
      <c r="O279" s="236">
        <f t="shared" si="441"/>
        <v>2</v>
      </c>
      <c r="P279" s="206">
        <f t="shared" si="428"/>
        <v>-8.64</v>
      </c>
      <c r="Q279" s="208">
        <f t="shared" si="429"/>
        <v>0</v>
      </c>
      <c r="R279" s="467">
        <f t="shared" si="430"/>
        <v>-8.64</v>
      </c>
      <c r="S279" s="470">
        <f t="shared" si="431"/>
        <v>5.42</v>
      </c>
      <c r="T279" s="425">
        <f t="shared" si="432"/>
        <v>-3.2</v>
      </c>
      <c r="U279" s="579">
        <f>[5]RC!$E159</f>
        <v>1402357</v>
      </c>
      <c r="V279" s="447">
        <v>38657</v>
      </c>
      <c r="W279" s="191">
        <f t="shared" si="421"/>
        <v>1016.0999999999999</v>
      </c>
      <c r="X279" s="73">
        <f t="shared" si="422"/>
        <v>1411237</v>
      </c>
      <c r="Y279" s="187">
        <f t="shared" si="364"/>
        <v>18474</v>
      </c>
      <c r="Z279" s="175">
        <f t="shared" si="433"/>
        <v>1429711</v>
      </c>
      <c r="AA279" s="40">
        <f t="shared" si="423"/>
        <v>-4753</v>
      </c>
      <c r="AB279" s="519">
        <f>[9]RMWh!$L159</f>
        <v>1399970</v>
      </c>
      <c r="AC279" s="107">
        <f>'[7]Gov 65 &amp; 70'!$B364</f>
        <v>30.25</v>
      </c>
      <c r="AD279" s="4">
        <f t="shared" si="424"/>
        <v>1407838</v>
      </c>
      <c r="AE279" s="4">
        <f t="shared" si="447"/>
        <v>-1251</v>
      </c>
      <c r="AF279" s="23">
        <f t="shared" si="425"/>
        <v>972.4</v>
      </c>
      <c r="AG279" s="75">
        <f t="shared" si="442"/>
        <v>-43.700000000000045</v>
      </c>
      <c r="AI279" s="303">
        <f t="shared" si="377"/>
        <v>0.31267688438487679</v>
      </c>
      <c r="AK279" s="319"/>
      <c r="AU279" s="4">
        <f t="shared" si="304"/>
        <v>2005</v>
      </c>
      <c r="AV279" s="4">
        <f t="shared" si="305"/>
        <v>11</v>
      </c>
      <c r="AW279" s="230">
        <f>'[8]RES 62 &amp; 67'!$S364</f>
        <v>130.30000000000001</v>
      </c>
      <c r="AX279" s="200">
        <f t="shared" si="306"/>
        <v>110.2</v>
      </c>
      <c r="AY279" s="203">
        <f t="shared" si="449"/>
        <v>-20.100000000000009</v>
      </c>
      <c r="AZ279" s="230">
        <f>'[8]RES 62 &amp; 67'!$J364</f>
        <v>28.2</v>
      </c>
      <c r="BA279" s="183">
        <f t="shared" si="307"/>
        <v>45.3</v>
      </c>
      <c r="BB279" s="429">
        <f t="shared" ref="BB279:BB284" si="450">BA279-AZ279</f>
        <v>17.099999999999998</v>
      </c>
      <c r="BC279" s="206">
        <f t="shared" si="434"/>
        <v>-43.416000000000018</v>
      </c>
      <c r="BD279" s="206">
        <f t="shared" si="435"/>
        <v>6.1305000000000023</v>
      </c>
      <c r="BE279" s="206">
        <f t="shared" si="436"/>
        <v>-37.285500000000013</v>
      </c>
      <c r="BF279" s="207">
        <f t="shared" si="437"/>
        <v>46.340999999999994</v>
      </c>
      <c r="BG279" s="219">
        <f t="shared" si="438"/>
        <v>9.1</v>
      </c>
      <c r="BH279" s="4">
        <f t="shared" si="320"/>
        <v>2005</v>
      </c>
      <c r="BI279" s="4">
        <f t="shared" si="321"/>
        <v>11</v>
      </c>
      <c r="BJ279" s="108">
        <f>C279+[4]MWh!$AJ113</f>
        <v>1152130.1349456981</v>
      </c>
      <c r="BK279" s="108">
        <f t="shared" si="409"/>
        <v>15081.956325219506</v>
      </c>
      <c r="BL279" s="108">
        <f t="shared" si="373"/>
        <v>1137048.1786204786</v>
      </c>
      <c r="BM279" s="189">
        <f t="shared" si="410"/>
        <v>827.78228597835846</v>
      </c>
      <c r="BN279" s="6">
        <f t="shared" si="411"/>
        <v>1149687</v>
      </c>
      <c r="BO279" s="175">
        <f t="shared" si="374"/>
        <v>15250</v>
      </c>
      <c r="BP279" s="108">
        <f t="shared" si="375"/>
        <v>12806.86505430189</v>
      </c>
      <c r="BQ279" s="76">
        <f t="shared" si="412"/>
        <v>795.78319494741527</v>
      </c>
      <c r="BR279" s="76">
        <f t="shared" si="413"/>
        <v>804.62897345893134</v>
      </c>
      <c r="BS279" s="76">
        <f t="shared" si="360"/>
        <v>-61.932506159395416</v>
      </c>
      <c r="BT279" s="175">
        <f t="shared" si="376"/>
        <v>1164937</v>
      </c>
      <c r="BU279" s="108">
        <f t="shared" si="443"/>
        <v>-36755</v>
      </c>
      <c r="BW279" s="529">
        <f>BT279/[9]RMWh!$L159</f>
        <v>0.83211568819331838</v>
      </c>
      <c r="CK279" s="165">
        <v>38657</v>
      </c>
      <c r="CL279" s="40">
        <f>BP279+COML!BV279+SPA!BV279</f>
        <v>-2291.1349456981097</v>
      </c>
      <c r="CM279" s="40">
        <f>ROUND('[14]2005'!$D42,0)</f>
        <v>42945</v>
      </c>
      <c r="CN279" s="2">
        <f t="shared" si="439"/>
        <v>-45236.134945698112</v>
      </c>
      <c r="CO279" s="108">
        <f>'[2]FPC wSEB'!$R376</f>
        <v>3215224</v>
      </c>
      <c r="CP279" s="108">
        <f>'[2]FPC wSEB'!$C376-SUM('[2]FPC wSEB'!$K376:$L376)</f>
        <v>3051979</v>
      </c>
      <c r="CQ279" s="108">
        <f>'[2]FPC wSEB'!$T376-'[2]FPC wSEB'!$T375</f>
        <v>-398650</v>
      </c>
      <c r="CR279" s="108">
        <f>SUM('[2]FPC wSEB'!$K376:$L376)</f>
        <v>449094</v>
      </c>
      <c r="CS279" s="108">
        <f>('[2]FPC wSEB'!$N376)-CQ279</f>
        <v>-98363</v>
      </c>
      <c r="CT279" s="108">
        <f>'[2]FPC wSEB'!$P376</f>
        <v>11719</v>
      </c>
      <c r="CU279" s="108">
        <f>'[2]FPC wSEB'!$Q376</f>
        <v>199445</v>
      </c>
      <c r="CV279" s="115">
        <f t="shared" si="444"/>
        <v>0</v>
      </c>
      <c r="CW279" s="108">
        <f t="shared" si="448"/>
        <v>3047005</v>
      </c>
      <c r="CX279" s="108">
        <f t="shared" si="445"/>
        <v>3001768.8650543019</v>
      </c>
      <c r="CY279" s="108">
        <f t="shared" si="446"/>
        <v>45236.134945698082</v>
      </c>
    </row>
    <row r="280" spans="1:114" s="89" customFormat="1" ht="12.75">
      <c r="A280" s="90">
        <f t="shared" si="299"/>
        <v>2005</v>
      </c>
      <c r="B280" s="90">
        <f t="shared" si="300"/>
        <v>12</v>
      </c>
      <c r="C280" s="103">
        <f>'[2]FPC wSEB'!$D377</f>
        <v>1372825</v>
      </c>
      <c r="D280" s="103">
        <f>'[2]FPC wSEB'!$X377</f>
        <v>1411764</v>
      </c>
      <c r="E280" s="103">
        <f t="shared" si="370"/>
        <v>1348156</v>
      </c>
      <c r="F280" s="103">
        <f t="shared" si="371"/>
        <v>1355655</v>
      </c>
      <c r="G280" s="109">
        <f t="shared" si="427"/>
        <v>994.5</v>
      </c>
      <c r="H280" s="196">
        <v>24669.233</v>
      </c>
      <c r="I280" s="197">
        <v>56109</v>
      </c>
      <c r="J280" s="300">
        <f>'[7]RES 62 &amp; 67'!$S365</f>
        <v>83.4</v>
      </c>
      <c r="K280" s="210">
        <f t="shared" si="301"/>
        <v>88</v>
      </c>
      <c r="L280" s="234">
        <f t="shared" si="440"/>
        <v>4.5999999999999943</v>
      </c>
      <c r="M280" s="300">
        <f>'[7]RES 62 &amp; 67'!$J365</f>
        <v>73.5</v>
      </c>
      <c r="N280" s="210">
        <f t="shared" si="302"/>
        <v>83.9</v>
      </c>
      <c r="O280" s="237">
        <f t="shared" si="441"/>
        <v>10.400000000000006</v>
      </c>
      <c r="P280" s="211">
        <f t="shared" si="428"/>
        <v>9.9359999999999875</v>
      </c>
      <c r="Q280" s="211">
        <f t="shared" si="429"/>
        <v>-2.8059999999999965</v>
      </c>
      <c r="R280" s="468">
        <f t="shared" si="430"/>
        <v>7.129999999999991</v>
      </c>
      <c r="S280" s="471">
        <f t="shared" si="431"/>
        <v>28.184000000000015</v>
      </c>
      <c r="T280" s="426">
        <f t="shared" si="432"/>
        <v>35.299999999999997</v>
      </c>
      <c r="U280" s="579">
        <f>[5]RC!$E160</f>
        <v>1407725</v>
      </c>
      <c r="V280" s="447">
        <v>38687</v>
      </c>
      <c r="W280" s="95">
        <f t="shared" si="421"/>
        <v>1029.8</v>
      </c>
      <c r="X280" s="104">
        <f t="shared" si="422"/>
        <v>1396054</v>
      </c>
      <c r="Y280" s="198">
        <f t="shared" si="364"/>
        <v>25087</v>
      </c>
      <c r="Z280" s="176">
        <f t="shared" si="433"/>
        <v>1421141</v>
      </c>
      <c r="AA280" s="116">
        <f t="shared" si="423"/>
        <v>48316</v>
      </c>
      <c r="AB280" s="520">
        <f>[9]RMWh!$L160</f>
        <v>1402983</v>
      </c>
      <c r="AC280" s="110">
        <f>'[7]Gov 65 &amp; 70'!$B365</f>
        <v>31.65</v>
      </c>
      <c r="AD280" s="89">
        <f t="shared" si="424"/>
        <v>1348459</v>
      </c>
      <c r="AE280" s="89">
        <f t="shared" si="447"/>
        <v>10410</v>
      </c>
      <c r="AF280" s="89">
        <f t="shared" si="425"/>
        <v>955.2</v>
      </c>
      <c r="AG280" s="91">
        <f t="shared" si="442"/>
        <v>-7.2999999999999545</v>
      </c>
      <c r="AH280" s="252"/>
      <c r="AI280" s="304">
        <f t="shared" si="377"/>
        <v>0.44209777669964934</v>
      </c>
      <c r="AK280" s="320"/>
      <c r="AU280" s="89">
        <f t="shared" si="304"/>
        <v>2005</v>
      </c>
      <c r="AV280" s="89">
        <f t="shared" si="305"/>
        <v>12</v>
      </c>
      <c r="AW280" s="300">
        <f>'[8]RES 62 &amp; 67'!$S365</f>
        <v>16.8</v>
      </c>
      <c r="AX280" s="210">
        <f t="shared" si="306"/>
        <v>53.2</v>
      </c>
      <c r="AY280" s="204">
        <f t="shared" si="449"/>
        <v>36.400000000000006</v>
      </c>
      <c r="AZ280" s="300">
        <f>'[8]RES 62 &amp; 67'!$J365</f>
        <v>149.4</v>
      </c>
      <c r="BA280" s="210">
        <f t="shared" si="307"/>
        <v>114.1</v>
      </c>
      <c r="BB280" s="430">
        <f t="shared" si="450"/>
        <v>-35.300000000000011</v>
      </c>
      <c r="BC280" s="211">
        <f t="shared" si="434"/>
        <v>78.624000000000024</v>
      </c>
      <c r="BD280" s="211">
        <f t="shared" si="435"/>
        <v>-22.204000000000004</v>
      </c>
      <c r="BE280" s="211">
        <f t="shared" si="436"/>
        <v>56.420000000000016</v>
      </c>
      <c r="BF280" s="212">
        <f t="shared" si="437"/>
        <v>-95.663000000000025</v>
      </c>
      <c r="BG280" s="220">
        <f t="shared" si="438"/>
        <v>-39.200000000000003</v>
      </c>
      <c r="BH280" s="89">
        <f t="shared" si="320"/>
        <v>2005</v>
      </c>
      <c r="BI280" s="89">
        <f t="shared" si="321"/>
        <v>12</v>
      </c>
      <c r="BJ280" s="117">
        <f>C280+[4]MWh!$AJ114</f>
        <v>1450512.8132685372</v>
      </c>
      <c r="BK280" s="117">
        <f t="shared" si="409"/>
        <v>26065.258543519409</v>
      </c>
      <c r="BL280" s="117">
        <f t="shared" si="373"/>
        <v>1424447.5547250179</v>
      </c>
      <c r="BM280" s="199">
        <f t="shared" si="410"/>
        <v>1011.5448832667735</v>
      </c>
      <c r="BN280" s="96">
        <f t="shared" si="411"/>
        <v>1371306</v>
      </c>
      <c r="BO280" s="176">
        <f t="shared" si="374"/>
        <v>25093</v>
      </c>
      <c r="BP280" s="117">
        <f t="shared" si="375"/>
        <v>-54113.813268537269</v>
      </c>
      <c r="BQ280" s="92">
        <f t="shared" si="412"/>
        <v>1027.4470897887586</v>
      </c>
      <c r="BR280" s="92">
        <f t="shared" si="413"/>
        <v>989.11645289155979</v>
      </c>
      <c r="BS280" s="92">
        <f t="shared" si="360"/>
        <v>17.157896453335297</v>
      </c>
      <c r="BT280" s="176">
        <f t="shared" si="376"/>
        <v>1396399</v>
      </c>
      <c r="BU280" s="117">
        <f t="shared" si="443"/>
        <v>45155</v>
      </c>
      <c r="BW280" s="529">
        <f>BT280/[9]RMWh!$L160</f>
        <v>0.9953071419967312</v>
      </c>
      <c r="CK280" s="166">
        <v>38687</v>
      </c>
      <c r="CL280" s="116">
        <f>BP280+COML!BV280+SPA!BV280</f>
        <v>-23499.813268537269</v>
      </c>
      <c r="CM280" s="116">
        <f>ROUND('[14]2005'!$D43,0)</f>
        <v>16435</v>
      </c>
      <c r="CN280" s="1">
        <f t="shared" ref="CN280:CN285" si="451">CL280-CM280</f>
        <v>-39934.813268537269</v>
      </c>
      <c r="CO280" s="117">
        <f>'[2]FPC wSEB'!$R377</f>
        <v>3555755</v>
      </c>
      <c r="CP280" s="117">
        <f>'[2]FPC wSEB'!$C377-SUM('[2]FPC wSEB'!$K377:$L377)</f>
        <v>2856032</v>
      </c>
      <c r="CQ280" s="117">
        <f>'[2]FPC wSEB'!$T377-'[2]FPC wSEB'!$T376</f>
        <v>127283</v>
      </c>
      <c r="CR280" s="117">
        <f>SUM('[2]FPC wSEB'!$K377:$L377)</f>
        <v>358632</v>
      </c>
      <c r="CS280" s="117">
        <f>('[2]FPC wSEB'!$N377)-CQ280</f>
        <v>39808</v>
      </c>
      <c r="CT280" s="117">
        <f>'[2]FPC wSEB'!$P377</f>
        <v>14691</v>
      </c>
      <c r="CU280" s="117">
        <f>'[2]FPC wSEB'!$Q377</f>
        <v>159309</v>
      </c>
      <c r="CV280" s="118">
        <f t="shared" si="444"/>
        <v>0</v>
      </c>
      <c r="CW280" s="117">
        <f t="shared" si="448"/>
        <v>3398190</v>
      </c>
      <c r="CX280" s="117">
        <f t="shared" si="445"/>
        <v>3358255.1867314628</v>
      </c>
      <c r="CY280" s="117">
        <f t="shared" si="446"/>
        <v>39934.813268537167</v>
      </c>
    </row>
    <row r="281" spans="1:114">
      <c r="A281" s="13">
        <f t="shared" si="299"/>
        <v>2006</v>
      </c>
      <c r="B281" s="13">
        <f t="shared" si="300"/>
        <v>1</v>
      </c>
      <c r="C281" s="5">
        <f>'[2]FPC wSEB'!$D378</f>
        <v>1573330</v>
      </c>
      <c r="D281" s="5">
        <f>'[2]FPC wSEB'!$X378</f>
        <v>1396114</v>
      </c>
      <c r="E281" s="5">
        <f t="shared" si="370"/>
        <v>1538808</v>
      </c>
      <c r="F281" s="5">
        <f t="shared" si="371"/>
        <v>1340903</v>
      </c>
      <c r="G281" s="74">
        <f t="shared" si="427"/>
        <v>1147.5999999999999</v>
      </c>
      <c r="H281" s="190">
        <v>34521.661</v>
      </c>
      <c r="I281" s="170">
        <v>55211</v>
      </c>
      <c r="J281" s="230">
        <f>'[7]RES 62 &amp; 67'!$S366</f>
        <v>31.5</v>
      </c>
      <c r="K281" s="183">
        <f t="shared" si="301"/>
        <v>49.5</v>
      </c>
      <c r="L281" s="233">
        <f t="shared" ref="L281:L286" si="452">(K281-J281)</f>
        <v>18</v>
      </c>
      <c r="M281" s="230">
        <f>'[7]RES 62 &amp; 67'!$J366</f>
        <v>148</v>
      </c>
      <c r="N281" s="183">
        <f t="shared" si="302"/>
        <v>131.6</v>
      </c>
      <c r="O281" s="236">
        <f t="shared" ref="O281:O286" si="453">(N281-M281)</f>
        <v>-16.400000000000006</v>
      </c>
      <c r="P281" s="206">
        <f t="shared" si="428"/>
        <v>38.880000000000003</v>
      </c>
      <c r="Q281" s="208">
        <f t="shared" si="429"/>
        <v>-10.98</v>
      </c>
      <c r="R281" s="467">
        <f t="shared" si="430"/>
        <v>27.900000000000002</v>
      </c>
      <c r="S281" s="470">
        <f t="shared" si="431"/>
        <v>-44.444000000000017</v>
      </c>
      <c r="T281" s="425">
        <f t="shared" si="432"/>
        <v>-16.5</v>
      </c>
      <c r="U281" s="579">
        <f>[5]RC!$E161</f>
        <v>1412056</v>
      </c>
      <c r="V281" s="447">
        <v>38718</v>
      </c>
      <c r="W281" s="191">
        <f t="shared" si="421"/>
        <v>1131.0999999999999</v>
      </c>
      <c r="X281" s="73">
        <f t="shared" si="422"/>
        <v>1516695</v>
      </c>
      <c r="Y281" s="187">
        <f t="shared" si="364"/>
        <v>33279</v>
      </c>
      <c r="Z281" s="175">
        <f t="shared" si="433"/>
        <v>1549974</v>
      </c>
      <c r="AA281" s="40">
        <f t="shared" si="423"/>
        <v>-23356</v>
      </c>
      <c r="AB281" s="519">
        <f>[9]RMWh!$L161</f>
        <v>1575219</v>
      </c>
      <c r="AC281" s="107">
        <f>'[7]Gov 65 &amp; 70'!$B366</f>
        <v>31.7</v>
      </c>
      <c r="AD281" s="4">
        <f t="shared" si="424"/>
        <v>1511614</v>
      </c>
      <c r="AE281" s="4">
        <f t="shared" si="447"/>
        <v>21096</v>
      </c>
      <c r="AF281" s="23">
        <f t="shared" si="425"/>
        <v>1082.7</v>
      </c>
      <c r="AG281" s="75">
        <f t="shared" ref="AG281:AG286" si="454">AF281-AF269</f>
        <v>-7.8999999999998636</v>
      </c>
      <c r="AI281" s="303">
        <f t="shared" si="377"/>
        <v>0.54484821274931583</v>
      </c>
      <c r="AK281" s="319"/>
      <c r="AU281" s="4">
        <f t="shared" si="304"/>
        <v>2006</v>
      </c>
      <c r="AV281" s="4">
        <f t="shared" si="305"/>
        <v>1</v>
      </c>
      <c r="AW281" s="230">
        <f>'[8]RES 62 &amp; 67'!$S366</f>
        <v>57.4</v>
      </c>
      <c r="AX281" s="200">
        <f t="shared" si="306"/>
        <v>50.5</v>
      </c>
      <c r="AY281" s="203">
        <f t="shared" si="449"/>
        <v>-6.8999999999999986</v>
      </c>
      <c r="AZ281" s="230">
        <f>'[8]RES 62 &amp; 67'!$J366</f>
        <v>106.1</v>
      </c>
      <c r="BA281" s="183">
        <f t="shared" si="307"/>
        <v>127.9</v>
      </c>
      <c r="BB281" s="429">
        <f t="shared" si="450"/>
        <v>21.800000000000011</v>
      </c>
      <c r="BC281" s="206">
        <f t="shared" si="434"/>
        <v>-14.903999999999998</v>
      </c>
      <c r="BD281" s="206">
        <f t="shared" si="435"/>
        <v>4.2089999999999987</v>
      </c>
      <c r="BE281" s="206">
        <f t="shared" si="436"/>
        <v>-10.695</v>
      </c>
      <c r="BF281" s="207">
        <f t="shared" si="437"/>
        <v>59.078000000000031</v>
      </c>
      <c r="BG281" s="219">
        <f t="shared" si="438"/>
        <v>48.4</v>
      </c>
      <c r="BH281" s="4">
        <f t="shared" si="320"/>
        <v>2006</v>
      </c>
      <c r="BI281" s="4">
        <f t="shared" si="321"/>
        <v>1</v>
      </c>
      <c r="BJ281" s="108">
        <f>C281+[4]MWh!$AJ115</f>
        <v>1617826.0802214108</v>
      </c>
      <c r="BK281" s="108">
        <f t="shared" si="409"/>
        <v>35497.984210790077</v>
      </c>
      <c r="BL281" s="108">
        <f t="shared" si="373"/>
        <v>1582328.0960106207</v>
      </c>
      <c r="BM281" s="189">
        <f t="shared" si="410"/>
        <v>1228.4466521520355</v>
      </c>
      <c r="BN281" s="6">
        <f t="shared" si="411"/>
        <v>1647228</v>
      </c>
      <c r="BO281" s="175">
        <f t="shared" si="374"/>
        <v>36954</v>
      </c>
      <c r="BP281" s="108">
        <f t="shared" si="375"/>
        <v>66355.919778589217</v>
      </c>
      <c r="BQ281" s="76">
        <f t="shared" si="412"/>
        <v>1158.8065732607872</v>
      </c>
      <c r="BR281" s="76">
        <f t="shared" si="413"/>
        <v>1206.3355857759466</v>
      </c>
      <c r="BS281" s="76">
        <f t="shared" ref="BS281:BS286" si="455">BR281-BR269</f>
        <v>31.850432291467769</v>
      </c>
      <c r="BT281" s="175">
        <f t="shared" si="376"/>
        <v>1684182</v>
      </c>
      <c r="BU281" s="108">
        <f t="shared" ref="BU281:BU286" si="456">BT281-BT269</f>
        <v>78992</v>
      </c>
      <c r="BW281" s="529">
        <f>BT281/[9]RMWh!$L161</f>
        <v>1.0691732387687045</v>
      </c>
      <c r="CK281" s="165">
        <v>38718</v>
      </c>
      <c r="CL281" s="40">
        <f>BP281+COML!BV281+SPA!BV281</f>
        <v>67505.919778589217</v>
      </c>
      <c r="CM281" s="180">
        <f>'[14]2006'!$D$32</f>
        <v>149304</v>
      </c>
      <c r="CN281" s="2">
        <f t="shared" si="451"/>
        <v>-81798.080221410783</v>
      </c>
      <c r="CO281" s="108">
        <f>'[2]FPC wSEB'!$R378</f>
        <v>3390324</v>
      </c>
      <c r="CP281" s="108">
        <f>'[2]FPC wSEB'!$C378-SUM('[2]FPC wSEB'!$K378:$L378)</f>
        <v>3020208</v>
      </c>
      <c r="CQ281" s="108">
        <f>'[2]FPC wSEB'!$T378-'[2]FPC wSEB'!$T377</f>
        <v>-44033</v>
      </c>
      <c r="CR281" s="108">
        <f>SUM('[2]FPC wSEB'!$K378:$L378)</f>
        <v>398125</v>
      </c>
      <c r="CS281" s="108">
        <f>('[2]FPC wSEB'!$N378)-CQ281</f>
        <v>-131376</v>
      </c>
      <c r="CT281" s="108">
        <f>'[2]FPC wSEB'!$P378</f>
        <v>16345</v>
      </c>
      <c r="CU281" s="108">
        <f>'[2]FPC wSEB'!$Q378</f>
        <v>131055</v>
      </c>
      <c r="CV281" s="115">
        <f t="shared" ref="CV281:CV286" si="457">CO281-SUM(CP281:CU281)</f>
        <v>0</v>
      </c>
      <c r="CW281" s="108">
        <f t="shared" si="448"/>
        <v>3392228</v>
      </c>
      <c r="CX281" s="108">
        <f t="shared" ref="CX281:CX286" si="458">SUM(CP281:CS281)+CL281</f>
        <v>3310429.9197785892</v>
      </c>
      <c r="CY281" s="108">
        <f t="shared" ref="CY281:CY286" si="459">CW281-CX281</f>
        <v>81798.080221410841</v>
      </c>
    </row>
    <row r="282" spans="1:114">
      <c r="A282" s="13">
        <f t="shared" si="299"/>
        <v>2006</v>
      </c>
      <c r="B282" s="13">
        <f t="shared" si="300"/>
        <v>2</v>
      </c>
      <c r="C282" s="5">
        <f>'[2]FPC wSEB'!$D379</f>
        <v>1424753</v>
      </c>
      <c r="D282" s="5">
        <f>'[2]FPC wSEB'!$X379</f>
        <v>1420710</v>
      </c>
      <c r="E282" s="5">
        <f t="shared" si="370"/>
        <v>1389288</v>
      </c>
      <c r="F282" s="5">
        <f t="shared" si="371"/>
        <v>1364575</v>
      </c>
      <c r="G282" s="74">
        <f t="shared" si="427"/>
        <v>1018.1</v>
      </c>
      <c r="H282" s="190">
        <v>35464.744999999995</v>
      </c>
      <c r="I282" s="170">
        <v>56135</v>
      </c>
      <c r="J282" s="230">
        <f>'[7]RES 62 &amp; 67'!$S367</f>
        <v>41.4</v>
      </c>
      <c r="K282" s="183">
        <f t="shared" si="301"/>
        <v>43.3</v>
      </c>
      <c r="L282" s="233">
        <f t="shared" si="452"/>
        <v>1.8999999999999986</v>
      </c>
      <c r="M282" s="230">
        <f>'[7]RES 62 &amp; 67'!$J367</f>
        <v>122.1</v>
      </c>
      <c r="N282" s="183">
        <f t="shared" si="302"/>
        <v>127.9</v>
      </c>
      <c r="O282" s="236">
        <f t="shared" si="453"/>
        <v>5.8000000000000114</v>
      </c>
      <c r="P282" s="206">
        <f t="shared" si="428"/>
        <v>4.1039999999999974</v>
      </c>
      <c r="Q282" s="208">
        <f t="shared" si="429"/>
        <v>-1.1589999999999991</v>
      </c>
      <c r="R282" s="467">
        <f t="shared" si="430"/>
        <v>2.9449999999999985</v>
      </c>
      <c r="S282" s="470">
        <f t="shared" si="431"/>
        <v>15.71800000000003</v>
      </c>
      <c r="T282" s="425">
        <f t="shared" si="432"/>
        <v>18.7</v>
      </c>
      <c r="U282" s="579">
        <f>[5]RC!$E162</f>
        <v>1416705</v>
      </c>
      <c r="V282" s="447">
        <v>38749</v>
      </c>
      <c r="W282" s="191">
        <f t="shared" si="421"/>
        <v>1036.8</v>
      </c>
      <c r="X282" s="73">
        <f t="shared" si="422"/>
        <v>1414791</v>
      </c>
      <c r="Y282" s="187">
        <f t="shared" si="364"/>
        <v>35217</v>
      </c>
      <c r="Z282" s="175">
        <f t="shared" si="433"/>
        <v>1450008</v>
      </c>
      <c r="AA282" s="40">
        <f t="shared" si="423"/>
        <v>25255</v>
      </c>
      <c r="AB282" s="519">
        <f>[9]RMWh!$L162</f>
        <v>1437543</v>
      </c>
      <c r="AC282" s="107">
        <f>'[7]Gov 65 &amp; 70'!$B367</f>
        <v>29.6</v>
      </c>
      <c r="AD282" s="4">
        <f t="shared" si="424"/>
        <v>1477367</v>
      </c>
      <c r="AE282" s="4">
        <f t="shared" ref="AE282:AE287" si="460">AD282-AD270</f>
        <v>9841</v>
      </c>
      <c r="AF282" s="23">
        <f t="shared" si="425"/>
        <v>1039.9000000000001</v>
      </c>
      <c r="AG282" s="75">
        <f t="shared" si="454"/>
        <v>-27.299999999999955</v>
      </c>
      <c r="AI282" s="303">
        <f t="shared" si="377"/>
        <v>0.62054413757117133</v>
      </c>
      <c r="AK282" s="319"/>
      <c r="AU282" s="4">
        <f t="shared" si="304"/>
        <v>2006</v>
      </c>
      <c r="AV282" s="4">
        <f t="shared" si="305"/>
        <v>2</v>
      </c>
      <c r="AW282" s="230">
        <f>'[8]RES 62 &amp; 67'!$S367</f>
        <v>41.3</v>
      </c>
      <c r="AX282" s="200">
        <f t="shared" si="306"/>
        <v>59.2</v>
      </c>
      <c r="AY282" s="203">
        <f t="shared" si="449"/>
        <v>17.900000000000006</v>
      </c>
      <c r="AZ282" s="230">
        <f>'[8]RES 62 &amp; 67'!$J367</f>
        <v>128.5</v>
      </c>
      <c r="BA282" s="183">
        <f t="shared" si="307"/>
        <v>97.8</v>
      </c>
      <c r="BB282" s="429">
        <f t="shared" si="450"/>
        <v>-30.700000000000003</v>
      </c>
      <c r="BC282" s="206">
        <f t="shared" si="434"/>
        <v>38.664000000000016</v>
      </c>
      <c r="BD282" s="206">
        <f t="shared" si="435"/>
        <v>-10.919000000000004</v>
      </c>
      <c r="BE282" s="206">
        <f t="shared" si="436"/>
        <v>27.745000000000012</v>
      </c>
      <c r="BF282" s="207">
        <f t="shared" si="437"/>
        <v>-83.197000000000003</v>
      </c>
      <c r="BG282" s="219">
        <f t="shared" si="438"/>
        <v>-55.5</v>
      </c>
      <c r="BH282" s="4">
        <f t="shared" si="320"/>
        <v>2006</v>
      </c>
      <c r="BI282" s="4">
        <f t="shared" si="321"/>
        <v>2</v>
      </c>
      <c r="BJ282" s="108">
        <f>C282+[4]MWh!$AJ116</f>
        <v>1363310.2413033773</v>
      </c>
      <c r="BK282" s="108">
        <f t="shared" si="409"/>
        <v>33935.320763467593</v>
      </c>
      <c r="BL282" s="108">
        <f t="shared" si="373"/>
        <v>1329374.9205399097</v>
      </c>
      <c r="BM282" s="189">
        <f t="shared" si="410"/>
        <v>918.70436439177752</v>
      </c>
      <c r="BN282" s="6">
        <f t="shared" si="411"/>
        <v>1253641</v>
      </c>
      <c r="BO282" s="175">
        <f t="shared" si="374"/>
        <v>32002</v>
      </c>
      <c r="BP282" s="108">
        <f t="shared" si="375"/>
        <v>-77667.241303377334</v>
      </c>
      <c r="BQ282" s="76">
        <f t="shared" si="412"/>
        <v>959.5978358027869</v>
      </c>
      <c r="BR282" s="76">
        <f t="shared" si="413"/>
        <v>904.92992940149645</v>
      </c>
      <c r="BS282" s="76">
        <f t="shared" si="455"/>
        <v>-63.219439876025035</v>
      </c>
      <c r="BT282" s="175">
        <f t="shared" si="376"/>
        <v>1285643</v>
      </c>
      <c r="BU282" s="108">
        <f t="shared" si="456"/>
        <v>-45726</v>
      </c>
      <c r="BW282" s="529">
        <f>BT282/[9]RMWh!$L162</f>
        <v>0.89433359558635817</v>
      </c>
      <c r="CK282" s="165">
        <v>38749</v>
      </c>
      <c r="CL282" s="40">
        <f>BP282+COML!BV282+SPA!BV282</f>
        <v>-72810.241303377334</v>
      </c>
      <c r="CM282" s="298">
        <f>'[14]2006'!$D33</f>
        <v>-84675</v>
      </c>
      <c r="CN282" s="2">
        <f t="shared" si="451"/>
        <v>11864.758696622666</v>
      </c>
      <c r="CO282" s="108">
        <f>'[2]FPC wSEB'!$R379</f>
        <v>3190786</v>
      </c>
      <c r="CP282" s="108">
        <f>'[2]FPC wSEB'!$C379-SUM('[2]FPC wSEB'!$K379:$L379)</f>
        <v>2807302</v>
      </c>
      <c r="CQ282" s="108">
        <f>'[2]FPC wSEB'!$T379-'[2]FPC wSEB'!$T378</f>
        <v>-77946</v>
      </c>
      <c r="CR282" s="108">
        <f>SUM('[2]FPC wSEB'!$K379:$L379)</f>
        <v>267233</v>
      </c>
      <c r="CS282" s="108">
        <f>('[2]FPC wSEB'!$N379)-CQ282</f>
        <v>3058</v>
      </c>
      <c r="CT282" s="108">
        <f>'[2]FPC wSEB'!$P379</f>
        <v>9640</v>
      </c>
      <c r="CU282" s="108">
        <f>'[2]FPC wSEB'!$Q379</f>
        <v>181499</v>
      </c>
      <c r="CV282" s="115">
        <f t="shared" si="457"/>
        <v>0</v>
      </c>
      <c r="CW282" s="108">
        <f t="shared" si="448"/>
        <v>2914972</v>
      </c>
      <c r="CX282" s="108">
        <f t="shared" si="458"/>
        <v>2926836.7586966227</v>
      </c>
      <c r="CY282" s="108">
        <f t="shared" si="459"/>
        <v>-11864.758696622681</v>
      </c>
    </row>
    <row r="283" spans="1:114">
      <c r="A283" s="13">
        <f t="shared" si="299"/>
        <v>2006</v>
      </c>
      <c r="B283" s="13">
        <f t="shared" si="300"/>
        <v>3</v>
      </c>
      <c r="C283" s="5">
        <f>'[2]FPC wSEB'!$D380</f>
        <v>1313001</v>
      </c>
      <c r="D283" s="5">
        <f>'[2]FPC wSEB'!$X380</f>
        <v>1437389</v>
      </c>
      <c r="E283" s="5">
        <f t="shared" ref="E283:F285" si="461">ROUND(C283-H283,0)</f>
        <v>1281233</v>
      </c>
      <c r="F283" s="5">
        <f t="shared" si="461"/>
        <v>1381082</v>
      </c>
      <c r="G283" s="74">
        <f t="shared" ref="G283:G288" si="462">ROUND((E283)/F283*1000,1)</f>
        <v>927.7</v>
      </c>
      <c r="H283" s="190">
        <v>31768.154000000002</v>
      </c>
      <c r="I283" s="170">
        <v>56307</v>
      </c>
      <c r="J283" s="230">
        <f>'[7]RES 62 &amp; 67'!$S368</f>
        <v>78.599999999999994</v>
      </c>
      <c r="K283" s="183">
        <f t="shared" si="301"/>
        <v>77.2</v>
      </c>
      <c r="L283" s="233">
        <f t="shared" si="452"/>
        <v>-1.3999999999999915</v>
      </c>
      <c r="M283" s="230">
        <f>'[7]RES 62 &amp; 67'!$J368</f>
        <v>83.4</v>
      </c>
      <c r="N283" s="183">
        <f t="shared" si="302"/>
        <v>82.3</v>
      </c>
      <c r="O283" s="236">
        <f t="shared" si="453"/>
        <v>-1.1000000000000085</v>
      </c>
      <c r="P283" s="206">
        <f t="shared" ref="P283:P288" si="463">L283*$C$10</f>
        <v>-3.0239999999999818</v>
      </c>
      <c r="Q283" s="208">
        <f t="shared" ref="Q283:Q288" si="464">IF($B283=12,L283*$C$11,IF($B283&lt;5,L283*$C$11,0))</f>
        <v>0.85399999999999476</v>
      </c>
      <c r="R283" s="467">
        <f t="shared" ref="R283:R288" si="465">P283+Q283</f>
        <v>-2.1699999999999871</v>
      </c>
      <c r="S283" s="470">
        <f t="shared" ref="S283:S288" si="466">O283*$C$9</f>
        <v>-2.981000000000023</v>
      </c>
      <c r="T283" s="425">
        <f t="shared" si="432"/>
        <v>-5.2</v>
      </c>
      <c r="U283" s="579">
        <f>[5]RC!$E163</f>
        <v>1420537</v>
      </c>
      <c r="V283" s="447">
        <v>38777</v>
      </c>
      <c r="W283" s="191">
        <f t="shared" ref="W283:W288" si="467">(G283+T283)</f>
        <v>922.5</v>
      </c>
      <c r="X283" s="73">
        <f t="shared" ref="X283:X288" si="468">ROUND(W283*F283/1000,0)</f>
        <v>1274048</v>
      </c>
      <c r="Y283" s="187">
        <f t="shared" ref="Y283:Y288" si="469">ROUND((X283/C283)*H283,0)</f>
        <v>30826</v>
      </c>
      <c r="Z283" s="175">
        <f t="shared" ref="Z283:Z288" si="470">Y283+X283</f>
        <v>1304874</v>
      </c>
      <c r="AA283" s="40">
        <f t="shared" ref="AA283:AA288" si="471">Z283-C283</f>
        <v>-8127</v>
      </c>
      <c r="AB283" s="519">
        <f>[9]RMWh!$L163</f>
        <v>1306273</v>
      </c>
      <c r="AC283" s="107">
        <f>'[7]Gov 65 &amp; 70'!$B368</f>
        <v>29.4</v>
      </c>
      <c r="AD283" s="4">
        <f t="shared" si="424"/>
        <v>1351593</v>
      </c>
      <c r="AE283" s="4">
        <f t="shared" si="460"/>
        <v>-12583</v>
      </c>
      <c r="AF283" s="23">
        <f t="shared" ref="AF283:AF288" si="472">ROUND((AD283/(D283)*1000),1)</f>
        <v>940.3</v>
      </c>
      <c r="AG283" s="75">
        <f t="shared" si="454"/>
        <v>-30</v>
      </c>
      <c r="AI283" s="303">
        <f t="shared" si="377"/>
        <v>0.60816585550488489</v>
      </c>
      <c r="AK283" s="319"/>
      <c r="AU283" s="4">
        <f t="shared" si="304"/>
        <v>2006</v>
      </c>
      <c r="AV283" s="4">
        <f t="shared" si="305"/>
        <v>3</v>
      </c>
      <c r="AW283" s="230">
        <f>'[8]RES 62 &amp; 67'!$S368</f>
        <v>112</v>
      </c>
      <c r="AX283" s="200">
        <f t="shared" si="306"/>
        <v>105.8</v>
      </c>
      <c r="AY283" s="203">
        <f t="shared" si="449"/>
        <v>-6.2000000000000028</v>
      </c>
      <c r="AZ283" s="230">
        <f>'[8]RES 62 &amp; 67'!$J368</f>
        <v>54.2</v>
      </c>
      <c r="BA283" s="183">
        <f t="shared" si="307"/>
        <v>49.9</v>
      </c>
      <c r="BB283" s="429">
        <f t="shared" si="450"/>
        <v>-4.3000000000000043</v>
      </c>
      <c r="BC283" s="206">
        <f t="shared" ref="BC283:BC288" si="473">AY283*$C$10</f>
        <v>-13.392000000000007</v>
      </c>
      <c r="BD283" s="206">
        <f t="shared" ref="BD283:BD288" si="474">IF($B283=4,(C$11*0.5*AY283),IF($B283=11,(C$11*0.5*AY283),IF($B283=12,AY283*$C$11,IF($B283&lt;5,AY283*$C$11,0))))</f>
        <v>3.7820000000000018</v>
      </c>
      <c r="BE283" s="206">
        <f t="shared" ref="BE283:BE288" si="475">BC283+BD283</f>
        <v>-9.6100000000000048</v>
      </c>
      <c r="BF283" s="207">
        <f t="shared" ref="BF283:BF288" si="476">BB283*$C$9</f>
        <v>-11.653000000000011</v>
      </c>
      <c r="BG283" s="219">
        <f t="shared" ref="BG283:BG288" si="477">ROUND(BF283+BE283,1)</f>
        <v>-21.3</v>
      </c>
      <c r="BH283" s="4">
        <f t="shared" si="320"/>
        <v>2006</v>
      </c>
      <c r="BI283" s="4">
        <f t="shared" si="321"/>
        <v>3</v>
      </c>
      <c r="BJ283" s="108">
        <f>C283+[4]MWh!$AJ117</f>
        <v>1304767.6283426802</v>
      </c>
      <c r="BK283" s="108">
        <f t="shared" ref="BK283:BK288" si="478">(H283/C283)*BJ283</f>
        <v>31568.946978262036</v>
      </c>
      <c r="BL283" s="108">
        <f t="shared" ref="BL283:BL288" si="479">BJ283-BK283</f>
        <v>1273198.6813644182</v>
      </c>
      <c r="BM283" s="189">
        <f t="shared" ref="BM283:BM288" si="480">(BL283/F283*1000)+BG283</f>
        <v>900.58492889228762</v>
      </c>
      <c r="BN283" s="6">
        <f t="shared" ref="BN283:BN288" si="481">ROUND(BM283*F283/1000,0)</f>
        <v>1243782</v>
      </c>
      <c r="BO283" s="175">
        <f t="shared" ref="BO283:BO288" si="482">ROUND(BN283/BL283*BK283,0)</f>
        <v>30840</v>
      </c>
      <c r="BP283" s="108">
        <f t="shared" ref="BP283:BP288" si="483">(BN283-BL283)+(BO283-BK283)</f>
        <v>-30145.628342680277</v>
      </c>
      <c r="BQ283" s="76">
        <f t="shared" ref="BQ283:BQ288" si="484">BJ283/D283*1000</f>
        <v>907.73453000035499</v>
      </c>
      <c r="BR283" s="76">
        <f t="shared" ref="BR283:BR288" si="485">(BN283+BO283)/D283*1000</f>
        <v>886.76203866872504</v>
      </c>
      <c r="BS283" s="76">
        <f t="shared" si="455"/>
        <v>-37.760170283993375</v>
      </c>
      <c r="BT283" s="175">
        <f t="shared" ref="BT283:BT288" si="486">(BN283+BO283)</f>
        <v>1274622</v>
      </c>
      <c r="BU283" s="108">
        <f t="shared" si="456"/>
        <v>-25161</v>
      </c>
      <c r="BW283" s="529">
        <f>BT283/[9]RMWh!$L163</f>
        <v>0.97576999601155345</v>
      </c>
      <c r="CK283" s="165">
        <v>38777</v>
      </c>
      <c r="CL283" s="40">
        <f>BP283+COML!BV283+SPA!BV283</f>
        <v>-36171.628342680277</v>
      </c>
      <c r="CM283" s="298">
        <f>'[14]2006'!$D34</f>
        <v>22236</v>
      </c>
      <c r="CN283" s="2">
        <f t="shared" si="451"/>
        <v>-58407.628342680277</v>
      </c>
      <c r="CO283" s="108">
        <f>'[2]FPC wSEB'!$R380</f>
        <v>3285515</v>
      </c>
      <c r="CP283" s="108">
        <f>'[2]FPC wSEB'!$C380-SUM('[2]FPC wSEB'!$K380:$L380)</f>
        <v>2760124</v>
      </c>
      <c r="CQ283" s="108">
        <f>'[2]FPC wSEB'!$T380-'[2]FPC wSEB'!$T379</f>
        <v>86554</v>
      </c>
      <c r="CR283" s="108">
        <f>SUM('[2]FPC wSEB'!$K380:$L380)</f>
        <v>258389</v>
      </c>
      <c r="CS283" s="108">
        <f>('[2]FPC wSEB'!$N380)-CQ283</f>
        <v>13464</v>
      </c>
      <c r="CT283" s="108">
        <f>'[2]FPC wSEB'!$P380</f>
        <v>18697</v>
      </c>
      <c r="CU283" s="108">
        <f>'[2]FPC wSEB'!$Q380</f>
        <v>148287</v>
      </c>
      <c r="CV283" s="115">
        <f t="shared" si="457"/>
        <v>0</v>
      </c>
      <c r="CW283" s="108">
        <f t="shared" ref="CW283:CW288" si="487">CO283-CT283-CU283+CM283</f>
        <v>3140767</v>
      </c>
      <c r="CX283" s="108">
        <f t="shared" si="458"/>
        <v>3082359.3716573198</v>
      </c>
      <c r="CY283" s="108">
        <f t="shared" si="459"/>
        <v>58407.628342680167</v>
      </c>
    </row>
    <row r="284" spans="1:114">
      <c r="A284" s="13">
        <f t="shared" si="299"/>
        <v>2006</v>
      </c>
      <c r="B284" s="13">
        <f t="shared" si="300"/>
        <v>4</v>
      </c>
      <c r="C284" s="5">
        <f>'[2]FPC wSEB'!$D381</f>
        <v>1295781</v>
      </c>
      <c r="D284" s="5">
        <f>'[2]FPC wSEB'!$X381</f>
        <v>1411681</v>
      </c>
      <c r="E284" s="5">
        <f t="shared" si="461"/>
        <v>1268453</v>
      </c>
      <c r="F284" s="5">
        <f t="shared" si="461"/>
        <v>1355513</v>
      </c>
      <c r="G284" s="74">
        <f t="shared" si="462"/>
        <v>935.8</v>
      </c>
      <c r="H284" s="190">
        <v>27327.650999999998</v>
      </c>
      <c r="I284" s="170">
        <v>56168</v>
      </c>
      <c r="J284" s="230">
        <f>'[7]RES 62 &amp; 67'!$S369</f>
        <v>144.19999999999999</v>
      </c>
      <c r="K284" s="183">
        <f t="shared" si="301"/>
        <v>138.1</v>
      </c>
      <c r="L284" s="233">
        <f t="shared" si="452"/>
        <v>-6.0999999999999943</v>
      </c>
      <c r="M284" s="230">
        <f>'[7]RES 62 &amp; 67'!$J369</f>
        <v>37.9</v>
      </c>
      <c r="N284" s="183">
        <f t="shared" si="302"/>
        <v>37.299999999999997</v>
      </c>
      <c r="O284" s="236">
        <f t="shared" si="453"/>
        <v>-0.60000000000000142</v>
      </c>
      <c r="P284" s="206">
        <f t="shared" si="463"/>
        <v>-13.175999999999988</v>
      </c>
      <c r="Q284" s="208">
        <f t="shared" si="464"/>
        <v>3.7209999999999965</v>
      </c>
      <c r="R284" s="467">
        <f t="shared" si="465"/>
        <v>-9.4549999999999912</v>
      </c>
      <c r="S284" s="470">
        <f t="shared" si="466"/>
        <v>-1.6260000000000039</v>
      </c>
      <c r="T284" s="425">
        <f t="shared" si="432"/>
        <v>-11.1</v>
      </c>
      <c r="U284" s="579">
        <f>[5]RC!$E164</f>
        <v>1420670</v>
      </c>
      <c r="V284" s="447">
        <v>38808</v>
      </c>
      <c r="W284" s="191">
        <f t="shared" si="467"/>
        <v>924.69999999999993</v>
      </c>
      <c r="X284" s="73">
        <f t="shared" si="468"/>
        <v>1253443</v>
      </c>
      <c r="Y284" s="187">
        <f t="shared" si="469"/>
        <v>26435</v>
      </c>
      <c r="Z284" s="175">
        <f t="shared" si="470"/>
        <v>1279878</v>
      </c>
      <c r="AA284" s="40">
        <f t="shared" si="471"/>
        <v>-15903</v>
      </c>
      <c r="AB284" s="519">
        <f>[9]RMWh!$L164</f>
        <v>1271830</v>
      </c>
      <c r="AC284" s="107">
        <f>'[7]Gov 65 &amp; 70'!$B369</f>
        <v>30</v>
      </c>
      <c r="AD284" s="4">
        <f t="shared" si="424"/>
        <v>1289636</v>
      </c>
      <c r="AE284" s="4">
        <f t="shared" si="460"/>
        <v>-22880</v>
      </c>
      <c r="AF284" s="23">
        <f t="shared" si="472"/>
        <v>913.5</v>
      </c>
      <c r="AG284" s="75">
        <f t="shared" si="454"/>
        <v>-38.100000000000023</v>
      </c>
      <c r="AI284" s="303">
        <f t="shared" si="377"/>
        <v>0.51991255114453905</v>
      </c>
      <c r="AK284" s="319"/>
      <c r="AU284" s="4">
        <f t="shared" si="304"/>
        <v>2006</v>
      </c>
      <c r="AV284" s="4">
        <f t="shared" si="305"/>
        <v>4</v>
      </c>
      <c r="AW284" s="230">
        <f>'[8]RES 62 &amp; 67'!$S369</f>
        <v>229.1</v>
      </c>
      <c r="AX284" s="200">
        <f t="shared" si="306"/>
        <v>181.7</v>
      </c>
      <c r="AY284" s="203">
        <f t="shared" ref="AY284:AY289" si="488">AX284-AW284</f>
        <v>-47.400000000000006</v>
      </c>
      <c r="AZ284" s="230">
        <f>'[8]RES 62 &amp; 67'!$J369</f>
        <v>5.8</v>
      </c>
      <c r="BA284" s="183">
        <f t="shared" si="307"/>
        <v>21.5</v>
      </c>
      <c r="BB284" s="429">
        <f t="shared" si="450"/>
        <v>15.7</v>
      </c>
      <c r="BC284" s="206">
        <f t="shared" si="473"/>
        <v>-102.38400000000001</v>
      </c>
      <c r="BD284" s="206">
        <f t="shared" si="474"/>
        <v>14.457000000000001</v>
      </c>
      <c r="BE284" s="206">
        <f t="shared" si="475"/>
        <v>-87.927000000000021</v>
      </c>
      <c r="BF284" s="207">
        <f t="shared" si="476"/>
        <v>42.546999999999997</v>
      </c>
      <c r="BG284" s="219">
        <f t="shared" si="477"/>
        <v>-45.4</v>
      </c>
      <c r="BH284" s="4">
        <f t="shared" si="320"/>
        <v>2006</v>
      </c>
      <c r="BI284" s="4">
        <f t="shared" si="321"/>
        <v>4</v>
      </c>
      <c r="BJ284" s="108">
        <f>C284+[4]MWh!$AJ118</f>
        <v>1406109.5382954013</v>
      </c>
      <c r="BK284" s="108">
        <f t="shared" si="478"/>
        <v>29654.448344517987</v>
      </c>
      <c r="BL284" s="108">
        <f t="shared" si="479"/>
        <v>1376455.0899508833</v>
      </c>
      <c r="BM284" s="189">
        <f t="shared" si="480"/>
        <v>970.04956776577092</v>
      </c>
      <c r="BN284" s="6">
        <f t="shared" si="481"/>
        <v>1314915</v>
      </c>
      <c r="BO284" s="175">
        <f t="shared" si="482"/>
        <v>28329</v>
      </c>
      <c r="BP284" s="108">
        <f t="shared" si="483"/>
        <v>-62865.538295401282</v>
      </c>
      <c r="BQ284" s="76">
        <f t="shared" si="484"/>
        <v>996.05331395364908</v>
      </c>
      <c r="BR284" s="76">
        <f t="shared" si="485"/>
        <v>951.52091726105255</v>
      </c>
      <c r="BS284" s="76">
        <f t="shared" si="455"/>
        <v>-16.612933037497669</v>
      </c>
      <c r="BT284" s="175">
        <f t="shared" si="486"/>
        <v>1343244</v>
      </c>
      <c r="BU284" s="108">
        <f t="shared" si="456"/>
        <v>7866</v>
      </c>
      <c r="BW284" s="529">
        <f>BT284/[9]RMWh!$L164</f>
        <v>1.0561505861632452</v>
      </c>
      <c r="CK284" s="165">
        <v>38808</v>
      </c>
      <c r="CL284" s="40">
        <f>BP284+COML!BV284+SPA!BV284</f>
        <v>-104249.53829540129</v>
      </c>
      <c r="CM284" s="298">
        <f>'[14]2006'!$D35</f>
        <v>-122016</v>
      </c>
      <c r="CN284" s="2">
        <f t="shared" si="451"/>
        <v>17766.461704598711</v>
      </c>
      <c r="CO284" s="108">
        <f>'[2]FPC wSEB'!$R381</f>
        <v>3581630</v>
      </c>
      <c r="CP284" s="108">
        <f>'[2]FPC wSEB'!$C381-SUM('[2]FPC wSEB'!$K381:$L381)</f>
        <v>2794807</v>
      </c>
      <c r="CQ284" s="108">
        <f>'[2]FPC wSEB'!$T381-'[2]FPC wSEB'!$T380</f>
        <v>280628</v>
      </c>
      <c r="CR284" s="108">
        <f>SUM('[2]FPC wSEB'!$K381:$L381)</f>
        <v>269820</v>
      </c>
      <c r="CS284" s="108">
        <f>('[2]FPC wSEB'!$N381)-CQ284</f>
        <v>-14311</v>
      </c>
      <c r="CT284" s="108">
        <f>'[2]FPC wSEB'!$P381</f>
        <v>13038</v>
      </c>
      <c r="CU284" s="108">
        <f>'[2]FPC wSEB'!$Q381</f>
        <v>237648</v>
      </c>
      <c r="CV284" s="115">
        <f t="shared" si="457"/>
        <v>0</v>
      </c>
      <c r="CW284" s="108">
        <f t="shared" si="487"/>
        <v>3208928</v>
      </c>
      <c r="CX284" s="108">
        <f t="shared" si="458"/>
        <v>3226694.4617045987</v>
      </c>
      <c r="CY284" s="108">
        <f t="shared" si="459"/>
        <v>-17766.46170459874</v>
      </c>
    </row>
    <row r="285" spans="1:114">
      <c r="A285" s="13">
        <f t="shared" si="299"/>
        <v>2006</v>
      </c>
      <c r="B285" s="13">
        <f t="shared" si="300"/>
        <v>5</v>
      </c>
      <c r="C285" s="5">
        <f>'[2]FPC wSEB'!$D382</f>
        <v>1562469</v>
      </c>
      <c r="D285" s="5">
        <f>'[2]FPC wSEB'!$X382</f>
        <v>1430460</v>
      </c>
      <c r="E285" s="5">
        <f t="shared" si="461"/>
        <v>1540369</v>
      </c>
      <c r="F285" s="5">
        <f t="shared" si="461"/>
        <v>1373266</v>
      </c>
      <c r="G285" s="74">
        <f t="shared" si="462"/>
        <v>1121.7</v>
      </c>
      <c r="H285" s="190">
        <v>22099.995999999999</v>
      </c>
      <c r="I285" s="170">
        <v>57194</v>
      </c>
      <c r="J285" s="230">
        <f>'[7]RES 62 &amp; 67'!$S370</f>
        <v>256.8</v>
      </c>
      <c r="K285" s="183">
        <f t="shared" si="301"/>
        <v>224.4</v>
      </c>
      <c r="L285" s="233">
        <f t="shared" si="452"/>
        <v>-32.400000000000006</v>
      </c>
      <c r="M285" s="230">
        <f>'[7]RES 62 &amp; 67'!$J370</f>
        <v>4.5</v>
      </c>
      <c r="N285" s="183">
        <f t="shared" si="302"/>
        <v>11.2</v>
      </c>
      <c r="O285" s="236">
        <f t="shared" si="453"/>
        <v>6.6999999999999993</v>
      </c>
      <c r="P285" s="206">
        <f t="shared" si="463"/>
        <v>-69.984000000000023</v>
      </c>
      <c r="Q285" s="208">
        <f t="shared" si="464"/>
        <v>0</v>
      </c>
      <c r="R285" s="467">
        <f t="shared" si="465"/>
        <v>-69.984000000000023</v>
      </c>
      <c r="S285" s="470">
        <f t="shared" si="466"/>
        <v>18.156999999999996</v>
      </c>
      <c r="T285" s="425">
        <f t="shared" si="432"/>
        <v>-51.8</v>
      </c>
      <c r="U285" s="579">
        <f>[5]RC!$E165</f>
        <v>1421007</v>
      </c>
      <c r="V285" s="447">
        <v>38838</v>
      </c>
      <c r="W285" s="191">
        <f t="shared" si="467"/>
        <v>1069.9000000000001</v>
      </c>
      <c r="X285" s="73">
        <f t="shared" si="468"/>
        <v>1469257</v>
      </c>
      <c r="Y285" s="187">
        <f t="shared" si="469"/>
        <v>20782</v>
      </c>
      <c r="Z285" s="175">
        <f t="shared" si="470"/>
        <v>1490039</v>
      </c>
      <c r="AA285" s="40">
        <f t="shared" si="471"/>
        <v>-72430</v>
      </c>
      <c r="AB285" s="519">
        <f>[9]RMWh!$L165</f>
        <v>1480536</v>
      </c>
      <c r="AC285" s="107">
        <f>'[7]Gov 65 &amp; 70'!$B370</f>
        <v>30.2</v>
      </c>
      <c r="AD285" s="4">
        <f t="shared" si="424"/>
        <v>1491321</v>
      </c>
      <c r="AE285" s="4">
        <f t="shared" si="460"/>
        <v>-6838</v>
      </c>
      <c r="AF285" s="23">
        <f t="shared" si="472"/>
        <v>1042.5</v>
      </c>
      <c r="AG285" s="75">
        <f t="shared" si="454"/>
        <v>-2.7000000000000455</v>
      </c>
      <c r="AI285" s="303">
        <f t="shared" ref="AI285:AI290" si="489">(H285/I285*1000)/G285</f>
        <v>0.344480786602472</v>
      </c>
      <c r="AK285" s="319"/>
      <c r="AU285" s="4">
        <f t="shared" si="304"/>
        <v>2006</v>
      </c>
      <c r="AV285" s="4">
        <f t="shared" si="305"/>
        <v>5</v>
      </c>
      <c r="AW285" s="230">
        <f>'[8]RES 62 &amp; 67'!$S370</f>
        <v>324.5</v>
      </c>
      <c r="AX285" s="200">
        <f t="shared" si="306"/>
        <v>336.7</v>
      </c>
      <c r="AY285" s="203">
        <f t="shared" si="488"/>
        <v>12.199999999999989</v>
      </c>
      <c r="AZ285" s="230">
        <f>'[8]RES 62 &amp; 67'!$J370</f>
        <v>3.1</v>
      </c>
      <c r="BA285" s="183">
        <f t="shared" si="307"/>
        <v>2.1</v>
      </c>
      <c r="BB285" s="429">
        <f t="shared" ref="BB285:BB290" si="490">BA285-AZ285</f>
        <v>-1</v>
      </c>
      <c r="BC285" s="206">
        <f t="shared" si="473"/>
        <v>26.351999999999975</v>
      </c>
      <c r="BD285" s="206">
        <f t="shared" si="474"/>
        <v>0</v>
      </c>
      <c r="BE285" s="206">
        <f t="shared" si="475"/>
        <v>26.351999999999975</v>
      </c>
      <c r="BF285" s="207">
        <f t="shared" si="476"/>
        <v>-2.71</v>
      </c>
      <c r="BG285" s="219">
        <f t="shared" si="477"/>
        <v>23.6</v>
      </c>
      <c r="BH285" s="4">
        <f t="shared" si="320"/>
        <v>2006</v>
      </c>
      <c r="BI285" s="4">
        <f t="shared" si="321"/>
        <v>5</v>
      </c>
      <c r="BJ285" s="108">
        <f>C285+[4]MWh!$AJ119</f>
        <v>1715708.3324595459</v>
      </c>
      <c r="BK285" s="108">
        <f t="shared" si="478"/>
        <v>24267.455728416138</v>
      </c>
      <c r="BL285" s="108">
        <f t="shared" si="479"/>
        <v>1691440.8767311298</v>
      </c>
      <c r="BM285" s="189">
        <f t="shared" si="480"/>
        <v>1255.2920951448079</v>
      </c>
      <c r="BN285" s="6">
        <f t="shared" si="481"/>
        <v>1723850</v>
      </c>
      <c r="BO285" s="175">
        <f t="shared" si="482"/>
        <v>24732</v>
      </c>
      <c r="BP285" s="108">
        <f t="shared" si="483"/>
        <v>32873.667540454029</v>
      </c>
      <c r="BQ285" s="76">
        <f t="shared" si="484"/>
        <v>1199.4102124208619</v>
      </c>
      <c r="BR285" s="76">
        <f t="shared" si="485"/>
        <v>1222.391398571089</v>
      </c>
      <c r="BS285" s="76">
        <f t="shared" si="455"/>
        <v>29.05871636571851</v>
      </c>
      <c r="BT285" s="175">
        <f t="shared" si="486"/>
        <v>1748582</v>
      </c>
      <c r="BU285" s="108">
        <f t="shared" si="456"/>
        <v>38047</v>
      </c>
      <c r="BW285" s="529">
        <f>BT285/[9]RMWh!$L165</f>
        <v>1.1810465939362502</v>
      </c>
      <c r="CK285" s="165">
        <v>38838</v>
      </c>
      <c r="CL285" s="40">
        <f>BP285+COML!BV285+SPA!BV285</f>
        <v>43907.667540454029</v>
      </c>
      <c r="CM285" s="298">
        <f>'[14]2006'!$D36</f>
        <v>34063</v>
      </c>
      <c r="CN285" s="2">
        <f t="shared" si="451"/>
        <v>9844.6675404540292</v>
      </c>
      <c r="CO285" s="108">
        <f>'[2]FPC wSEB'!$R382</f>
        <v>4020268</v>
      </c>
      <c r="CP285" s="108">
        <f>'[2]FPC wSEB'!$C382-SUM('[2]FPC wSEB'!$K382:$L382)</f>
        <v>3207226</v>
      </c>
      <c r="CQ285" s="108">
        <f>'[2]FPC wSEB'!$T382-'[2]FPC wSEB'!$T381</f>
        <v>221793</v>
      </c>
      <c r="CR285" s="108">
        <f>SUM('[2]FPC wSEB'!$K382:$L382)</f>
        <v>276662</v>
      </c>
      <c r="CS285" s="108">
        <f>('[2]FPC wSEB'!$N382)-CQ285</f>
        <v>46214</v>
      </c>
      <c r="CT285" s="108">
        <f>'[2]FPC wSEB'!$P382</f>
        <v>10256</v>
      </c>
      <c r="CU285" s="108">
        <f>'[2]FPC wSEB'!$Q382</f>
        <v>258117</v>
      </c>
      <c r="CV285" s="115">
        <f t="shared" si="457"/>
        <v>0</v>
      </c>
      <c r="CW285" s="108">
        <f t="shared" si="487"/>
        <v>3785958</v>
      </c>
      <c r="CX285" s="108">
        <f t="shared" si="458"/>
        <v>3795802.6675404538</v>
      </c>
      <c r="CY285" s="108">
        <f t="shared" si="459"/>
        <v>-9844.66754045384</v>
      </c>
    </row>
    <row r="286" spans="1:114">
      <c r="A286" s="13">
        <f t="shared" ref="A286:A349" si="491">A274+1</f>
        <v>2006</v>
      </c>
      <c r="B286" s="13">
        <f t="shared" ref="B286:B349" si="492">B274</f>
        <v>6</v>
      </c>
      <c r="C286" s="5">
        <f>'[2]FPC wSEB'!$D383</f>
        <v>1886875</v>
      </c>
      <c r="D286" s="5">
        <f>'[2]FPC wSEB'!$X383</f>
        <v>1433485</v>
      </c>
      <c r="E286" s="5">
        <f t="shared" ref="E286:F288" si="493">ROUND(C286-H286,0)</f>
        <v>1867948</v>
      </c>
      <c r="F286" s="5">
        <f t="shared" si="493"/>
        <v>1375326</v>
      </c>
      <c r="G286" s="74">
        <f t="shared" si="462"/>
        <v>1358.2</v>
      </c>
      <c r="H286" s="190">
        <v>18927</v>
      </c>
      <c r="I286" s="170">
        <v>58159</v>
      </c>
      <c r="J286" s="230">
        <f>'[7]RES 62 &amp; 67'!$S371</f>
        <v>378.6</v>
      </c>
      <c r="K286" s="183">
        <f t="shared" si="301"/>
        <v>382.8</v>
      </c>
      <c r="L286" s="233">
        <f t="shared" si="452"/>
        <v>4.1999999999999886</v>
      </c>
      <c r="M286" s="230">
        <f>'[7]RES 62 &amp; 67'!$J371</f>
        <v>1.2</v>
      </c>
      <c r="N286" s="183">
        <f t="shared" si="302"/>
        <v>0.9</v>
      </c>
      <c r="O286" s="236">
        <f t="shared" si="453"/>
        <v>-0.29999999999999993</v>
      </c>
      <c r="P286" s="206">
        <f t="shared" si="463"/>
        <v>9.0719999999999761</v>
      </c>
      <c r="Q286" s="208">
        <f t="shared" si="464"/>
        <v>0</v>
      </c>
      <c r="R286" s="467">
        <f t="shared" si="465"/>
        <v>9.0719999999999761</v>
      </c>
      <c r="S286" s="470">
        <f t="shared" si="466"/>
        <v>-0.81299999999999983</v>
      </c>
      <c r="T286" s="425">
        <f t="shared" si="432"/>
        <v>8.3000000000000007</v>
      </c>
      <c r="U286" s="579">
        <f>[5]RC!$E166</f>
        <v>1421610</v>
      </c>
      <c r="V286" s="447">
        <v>38869</v>
      </c>
      <c r="W286" s="191">
        <f t="shared" si="467"/>
        <v>1366.5</v>
      </c>
      <c r="X286" s="73">
        <f t="shared" si="468"/>
        <v>1879383</v>
      </c>
      <c r="Y286" s="187">
        <f t="shared" si="469"/>
        <v>18852</v>
      </c>
      <c r="Z286" s="175">
        <f t="shared" si="470"/>
        <v>1898235</v>
      </c>
      <c r="AA286" s="40">
        <f t="shared" si="471"/>
        <v>11360</v>
      </c>
      <c r="AB286" s="519">
        <f>[9]RMWh!$L166</f>
        <v>1834070</v>
      </c>
      <c r="AC286" s="107">
        <f>'[7]Gov 65 &amp; 70'!$B371</f>
        <v>30.8</v>
      </c>
      <c r="AD286" s="4">
        <f t="shared" si="424"/>
        <v>1811442</v>
      </c>
      <c r="AE286" s="4">
        <f t="shared" si="460"/>
        <v>-62079</v>
      </c>
      <c r="AF286" s="23">
        <f t="shared" si="472"/>
        <v>1263.7</v>
      </c>
      <c r="AG286" s="75">
        <f t="shared" si="454"/>
        <v>-157.20000000000005</v>
      </c>
      <c r="AI286" s="303">
        <f t="shared" si="489"/>
        <v>0.23960789590139703</v>
      </c>
      <c r="AK286" s="319"/>
      <c r="AU286" s="4">
        <f t="shared" ref="AU286:AU353" si="494">AU274+1</f>
        <v>2006</v>
      </c>
      <c r="AV286" s="4">
        <f t="shared" ref="AV286:AV353" si="495">AV274</f>
        <v>6</v>
      </c>
      <c r="AW286" s="230">
        <f>'[8]RES 62 &amp; 67'!$S371</f>
        <v>424.4</v>
      </c>
      <c r="AX286" s="200">
        <f t="shared" si="306"/>
        <v>425.2</v>
      </c>
      <c r="AY286" s="203">
        <f t="shared" si="488"/>
        <v>0.80000000000001137</v>
      </c>
      <c r="AZ286" s="230">
        <f>'[8]RES 62 &amp; 67'!$J371</f>
        <v>0</v>
      </c>
      <c r="BA286" s="183">
        <f t="shared" si="307"/>
        <v>0</v>
      </c>
      <c r="BB286" s="429">
        <f t="shared" si="490"/>
        <v>0</v>
      </c>
      <c r="BC286" s="206">
        <f t="shared" si="473"/>
        <v>1.7280000000000246</v>
      </c>
      <c r="BD286" s="206">
        <f t="shared" si="474"/>
        <v>0</v>
      </c>
      <c r="BE286" s="206">
        <f t="shared" si="475"/>
        <v>1.7280000000000246</v>
      </c>
      <c r="BF286" s="207">
        <f t="shared" si="476"/>
        <v>0</v>
      </c>
      <c r="BG286" s="219">
        <f t="shared" si="477"/>
        <v>1.7</v>
      </c>
      <c r="BH286" s="4">
        <f t="shared" si="320"/>
        <v>2006</v>
      </c>
      <c r="BI286" s="4">
        <f t="shared" si="321"/>
        <v>6</v>
      </c>
      <c r="BJ286" s="108">
        <f>C286+[4]MWh!$AJ120</f>
        <v>2023386.4042560186</v>
      </c>
      <c r="BK286" s="108">
        <f t="shared" si="478"/>
        <v>20296.328306514031</v>
      </c>
      <c r="BL286" s="108">
        <f t="shared" si="479"/>
        <v>2003090.0759495045</v>
      </c>
      <c r="BM286" s="189">
        <f t="shared" si="480"/>
        <v>1458.1474720535384</v>
      </c>
      <c r="BN286" s="6">
        <f t="shared" si="481"/>
        <v>2005428</v>
      </c>
      <c r="BO286" s="175">
        <f t="shared" si="482"/>
        <v>20320</v>
      </c>
      <c r="BP286" s="108">
        <f t="shared" si="483"/>
        <v>2361.5957439814629</v>
      </c>
      <c r="BQ286" s="76">
        <f t="shared" si="484"/>
        <v>1411.5155751584557</v>
      </c>
      <c r="BR286" s="76">
        <f t="shared" si="485"/>
        <v>1413.1630257728543</v>
      </c>
      <c r="BS286" s="76">
        <f t="shared" si="455"/>
        <v>-62.739547026038963</v>
      </c>
      <c r="BT286" s="175">
        <f t="shared" si="486"/>
        <v>2025748</v>
      </c>
      <c r="BU286" s="108">
        <f t="shared" si="456"/>
        <v>79676</v>
      </c>
      <c r="BW286" s="529">
        <f>BT286/[9]RMWh!$L166</f>
        <v>1.104509642489109</v>
      </c>
      <c r="CK286" s="165">
        <v>38869</v>
      </c>
      <c r="CL286" s="40">
        <f>BP286+COML!BV286+SPA!BV286</f>
        <v>3151.5957439814629</v>
      </c>
      <c r="CM286" s="298">
        <f>'[14]2006'!$D37</f>
        <v>80662</v>
      </c>
      <c r="CN286" s="2">
        <f t="shared" ref="CN286:CN291" si="496">CL286-CM286</f>
        <v>-77510.404256018533</v>
      </c>
      <c r="CO286" s="108">
        <f>'[2]FPC wSEB'!$R383</f>
        <v>4400886</v>
      </c>
      <c r="CP286" s="108">
        <f>'[2]FPC wSEB'!$C383-SUM('[2]FPC wSEB'!$K383:$L383)</f>
        <v>3658724</v>
      </c>
      <c r="CQ286" s="108">
        <f>'[2]FPC wSEB'!$T383-'[2]FPC wSEB'!$T382</f>
        <v>146128</v>
      </c>
      <c r="CR286" s="108">
        <f>SUM('[2]FPC wSEB'!$K383:$L383)</f>
        <v>299887</v>
      </c>
      <c r="CS286" s="108">
        <f>('[2]FPC wSEB'!$N383)-CQ286</f>
        <v>98330</v>
      </c>
      <c r="CT286" s="108">
        <f>'[2]FPC wSEB'!$P383</f>
        <v>12124</v>
      </c>
      <c r="CU286" s="108">
        <f>'[2]FPC wSEB'!$Q383</f>
        <v>185693</v>
      </c>
      <c r="CV286" s="115">
        <f t="shared" si="457"/>
        <v>0</v>
      </c>
      <c r="CW286" s="108">
        <f t="shared" si="487"/>
        <v>4283731</v>
      </c>
      <c r="CX286" s="108">
        <f t="shared" si="458"/>
        <v>4206220.5957439812</v>
      </c>
      <c r="CY286" s="108">
        <f t="shared" si="459"/>
        <v>77510.40425601881</v>
      </c>
    </row>
    <row r="287" spans="1:114">
      <c r="A287" s="13">
        <f t="shared" si="491"/>
        <v>2006</v>
      </c>
      <c r="B287" s="13">
        <f t="shared" si="492"/>
        <v>7</v>
      </c>
      <c r="C287" s="5">
        <f>'[2]FPC wSEB'!$D384</f>
        <v>1957365</v>
      </c>
      <c r="D287" s="5">
        <f>'[2]FPC wSEB'!$X384</f>
        <v>1353427</v>
      </c>
      <c r="E287" s="5">
        <f t="shared" si="493"/>
        <v>1939091</v>
      </c>
      <c r="F287" s="5">
        <f t="shared" si="493"/>
        <v>1298641</v>
      </c>
      <c r="G287" s="74">
        <f t="shared" si="462"/>
        <v>1493.2</v>
      </c>
      <c r="H287" s="190">
        <v>18274</v>
      </c>
      <c r="I287" s="170">
        <v>54786</v>
      </c>
      <c r="J287" s="230">
        <f>'[7]RES 62 &amp; 67'!$S372</f>
        <v>446</v>
      </c>
      <c r="K287" s="183">
        <f t="shared" si="301"/>
        <v>454.9</v>
      </c>
      <c r="L287" s="233">
        <f t="shared" ref="L287:L292" si="497">(K287-J287)</f>
        <v>8.8999999999999773</v>
      </c>
      <c r="M287" s="230">
        <f>'[7]RES 62 &amp; 67'!$J372</f>
        <v>0</v>
      </c>
      <c r="N287" s="183">
        <f t="shared" si="302"/>
        <v>0</v>
      </c>
      <c r="O287" s="236">
        <f t="shared" ref="O287:O292" si="498">(N287-M287)</f>
        <v>0</v>
      </c>
      <c r="P287" s="206">
        <f t="shared" si="463"/>
        <v>19.22399999999995</v>
      </c>
      <c r="Q287" s="208">
        <f t="shared" si="464"/>
        <v>0</v>
      </c>
      <c r="R287" s="467">
        <f t="shared" si="465"/>
        <v>19.22399999999995</v>
      </c>
      <c r="S287" s="470">
        <f t="shared" si="466"/>
        <v>0</v>
      </c>
      <c r="T287" s="425">
        <f t="shared" si="432"/>
        <v>19.2</v>
      </c>
      <c r="U287" s="579">
        <f>[5]RC!$E167</f>
        <v>1425229</v>
      </c>
      <c r="V287" s="447">
        <v>38899</v>
      </c>
      <c r="W287" s="191">
        <f t="shared" si="467"/>
        <v>1512.4</v>
      </c>
      <c r="X287" s="73">
        <f t="shared" si="468"/>
        <v>1964065</v>
      </c>
      <c r="Y287" s="187">
        <f t="shared" si="469"/>
        <v>18337</v>
      </c>
      <c r="Z287" s="175">
        <f t="shared" si="470"/>
        <v>1982402</v>
      </c>
      <c r="AA287" s="40">
        <f t="shared" si="471"/>
        <v>25037</v>
      </c>
      <c r="AB287" s="519">
        <f>[9]RMWh!$L167</f>
        <v>2087830</v>
      </c>
      <c r="AC287" s="107">
        <f>'[7]Gov 65 &amp; 70'!$B372</f>
        <v>30.5</v>
      </c>
      <c r="AD287" s="4">
        <f t="shared" si="424"/>
        <v>2082354</v>
      </c>
      <c r="AE287" s="4">
        <f t="shared" si="460"/>
        <v>60146</v>
      </c>
      <c r="AF287" s="23">
        <f t="shared" si="472"/>
        <v>1538.6</v>
      </c>
      <c r="AG287" s="75">
        <f t="shared" ref="AG287:AG292" si="499">AF287-AF275</f>
        <v>118.69999999999982</v>
      </c>
      <c r="AI287" s="303">
        <f t="shared" si="489"/>
        <v>0.22338090503156285</v>
      </c>
      <c r="AK287" s="319"/>
      <c r="AU287" s="4">
        <f t="shared" si="494"/>
        <v>2006</v>
      </c>
      <c r="AV287" s="4">
        <f t="shared" si="495"/>
        <v>7</v>
      </c>
      <c r="AW287" s="230">
        <f>'[8]RES 62 &amp; 67'!$S372</f>
        <v>474.8</v>
      </c>
      <c r="AX287" s="200">
        <f t="shared" si="306"/>
        <v>484.1</v>
      </c>
      <c r="AY287" s="203">
        <f t="shared" si="488"/>
        <v>9.3000000000000114</v>
      </c>
      <c r="AZ287" s="230">
        <f>'[8]RES 62 &amp; 67'!$J372</f>
        <v>0</v>
      </c>
      <c r="BA287" s="183">
        <f t="shared" si="307"/>
        <v>0</v>
      </c>
      <c r="BB287" s="429">
        <f t="shared" si="490"/>
        <v>0</v>
      </c>
      <c r="BC287" s="206">
        <f t="shared" si="473"/>
        <v>20.088000000000026</v>
      </c>
      <c r="BD287" s="206">
        <f t="shared" si="474"/>
        <v>0</v>
      </c>
      <c r="BE287" s="206">
        <f t="shared" si="475"/>
        <v>20.088000000000026</v>
      </c>
      <c r="BF287" s="207">
        <f t="shared" si="476"/>
        <v>0</v>
      </c>
      <c r="BG287" s="219">
        <f t="shared" si="477"/>
        <v>20.100000000000001</v>
      </c>
      <c r="BH287" s="4">
        <f t="shared" si="320"/>
        <v>2006</v>
      </c>
      <c r="BI287" s="4">
        <f t="shared" si="321"/>
        <v>7</v>
      </c>
      <c r="BJ287" s="108">
        <f>C287+[4]MWh!$AJ121</f>
        <v>2104455.6913468633</v>
      </c>
      <c r="BK287" s="108">
        <f t="shared" si="478"/>
        <v>19647.241727359269</v>
      </c>
      <c r="BL287" s="108">
        <f t="shared" si="479"/>
        <v>2084808.4496195039</v>
      </c>
      <c r="BM287" s="189">
        <f t="shared" si="480"/>
        <v>1625.4770438631645</v>
      </c>
      <c r="BN287" s="6">
        <f t="shared" si="481"/>
        <v>2110911</v>
      </c>
      <c r="BO287" s="175">
        <f t="shared" si="482"/>
        <v>19893</v>
      </c>
      <c r="BP287" s="108">
        <f t="shared" si="483"/>
        <v>26348.308653136806</v>
      </c>
      <c r="BQ287" s="76">
        <f t="shared" si="484"/>
        <v>1554.9089026204319</v>
      </c>
      <c r="BR287" s="76">
        <f t="shared" si="485"/>
        <v>1574.3767488013759</v>
      </c>
      <c r="BS287" s="76">
        <f t="shared" ref="BS287:BS292" si="500">BR287-BR275</f>
        <v>67.404861048136809</v>
      </c>
      <c r="BT287" s="175">
        <f t="shared" si="486"/>
        <v>2130804</v>
      </c>
      <c r="BU287" s="108">
        <f t="shared" ref="BU287:BU292" si="501">BT287-BT275</f>
        <v>-15347</v>
      </c>
      <c r="BW287" s="529">
        <f>BT287/[9]RMWh!$L167</f>
        <v>1.0205830934510951</v>
      </c>
      <c r="CK287" s="165">
        <v>38899</v>
      </c>
      <c r="CL287" s="40">
        <f>BP287+COML!BV287+SPA!BV287</f>
        <v>34875.308653136803</v>
      </c>
      <c r="CM287" s="298">
        <f>'[14]2006'!$D38</f>
        <v>109075</v>
      </c>
      <c r="CN287" s="2">
        <f t="shared" si="496"/>
        <v>-74199.691346863197</v>
      </c>
      <c r="CO287" s="108">
        <f>'[2]FPC wSEB'!$R384</f>
        <v>4698920</v>
      </c>
      <c r="CP287" s="108">
        <f>'[2]FPC wSEB'!$C384-SUM('[2]FPC wSEB'!$K384:$L384)</f>
        <v>3673280</v>
      </c>
      <c r="CQ287" s="108">
        <f>'[2]FPC wSEB'!$T384-'[2]FPC wSEB'!$T383</f>
        <v>202410</v>
      </c>
      <c r="CR287" s="108">
        <f>SUM('[2]FPC wSEB'!$K384:$L384)</f>
        <v>383309</v>
      </c>
      <c r="CS287" s="108">
        <f>('[2]FPC wSEB'!$N384)-CQ287</f>
        <v>100590</v>
      </c>
      <c r="CT287" s="108">
        <f>'[2]FPC wSEB'!$P384</f>
        <v>16088</v>
      </c>
      <c r="CU287" s="108">
        <f>'[2]FPC wSEB'!$Q384</f>
        <v>323243</v>
      </c>
      <c r="CV287" s="115">
        <f t="shared" ref="CV287:CV292" si="502">CO287-SUM(CP287:CU287)</f>
        <v>0</v>
      </c>
      <c r="CW287" s="108">
        <f t="shared" si="487"/>
        <v>4468664</v>
      </c>
      <c r="CX287" s="108">
        <f t="shared" ref="CX287:CX292" si="503">SUM(CP287:CS287)+CL287</f>
        <v>4394464.3086531367</v>
      </c>
      <c r="CY287" s="108">
        <f t="shared" ref="CY287:CY292" si="504">CW287-CX287</f>
        <v>74199.691346863285</v>
      </c>
    </row>
    <row r="288" spans="1:114">
      <c r="A288" s="13">
        <f t="shared" si="491"/>
        <v>2006</v>
      </c>
      <c r="B288" s="13">
        <f t="shared" si="492"/>
        <v>8</v>
      </c>
      <c r="C288" s="5">
        <f>'[2]FPC wSEB'!$D385</f>
        <v>2319788</v>
      </c>
      <c r="D288" s="5">
        <f>'[2]FPC wSEB'!$X385</f>
        <v>1497088</v>
      </c>
      <c r="E288" s="5">
        <f t="shared" si="493"/>
        <v>2297483</v>
      </c>
      <c r="F288" s="5">
        <f t="shared" si="493"/>
        <v>1436120</v>
      </c>
      <c r="G288" s="74">
        <f t="shared" si="462"/>
        <v>1599.8</v>
      </c>
      <c r="H288" s="190">
        <v>22305</v>
      </c>
      <c r="I288" s="170">
        <v>60968</v>
      </c>
      <c r="J288" s="230">
        <f>'[7]RES 62 &amp; 67'!$S373</f>
        <v>501.7</v>
      </c>
      <c r="K288" s="183">
        <f t="shared" si="301"/>
        <v>481.4</v>
      </c>
      <c r="L288" s="233">
        <f t="shared" si="497"/>
        <v>-20.300000000000011</v>
      </c>
      <c r="M288" s="230">
        <f>'[7]RES 62 &amp; 67'!$J373</f>
        <v>0</v>
      </c>
      <c r="N288" s="183">
        <f t="shared" si="302"/>
        <v>0</v>
      </c>
      <c r="O288" s="236">
        <f t="shared" si="498"/>
        <v>0</v>
      </c>
      <c r="P288" s="206">
        <f t="shared" si="463"/>
        <v>-43.848000000000027</v>
      </c>
      <c r="Q288" s="208">
        <f t="shared" si="464"/>
        <v>0</v>
      </c>
      <c r="R288" s="467">
        <f t="shared" si="465"/>
        <v>-43.848000000000027</v>
      </c>
      <c r="S288" s="470">
        <f t="shared" si="466"/>
        <v>0</v>
      </c>
      <c r="T288" s="425">
        <f t="shared" si="432"/>
        <v>-43.8</v>
      </c>
      <c r="U288" s="579">
        <f>[5]RC!$E168</f>
        <v>1427208</v>
      </c>
      <c r="V288" s="447">
        <v>38930</v>
      </c>
      <c r="W288" s="191">
        <f t="shared" si="467"/>
        <v>1556</v>
      </c>
      <c r="X288" s="73">
        <f t="shared" si="468"/>
        <v>2234603</v>
      </c>
      <c r="Y288" s="187">
        <f t="shared" si="469"/>
        <v>21486</v>
      </c>
      <c r="Z288" s="175">
        <f t="shared" si="470"/>
        <v>2256089</v>
      </c>
      <c r="AA288" s="40">
        <f t="shared" si="471"/>
        <v>-63699</v>
      </c>
      <c r="AB288" s="519">
        <f>[9]RMWh!$L168</f>
        <v>2160096</v>
      </c>
      <c r="AC288" s="107">
        <f>'[7]Gov 65 &amp; 70'!$B373</f>
        <v>31.1</v>
      </c>
      <c r="AD288" s="4">
        <f t="shared" si="424"/>
        <v>2112866</v>
      </c>
      <c r="AE288" s="4">
        <f t="shared" ref="AE288:AE293" si="505">AD288-AD276</f>
        <v>121349</v>
      </c>
      <c r="AF288" s="23">
        <f t="shared" si="472"/>
        <v>1411.3</v>
      </c>
      <c r="AG288" s="75">
        <f t="shared" si="499"/>
        <v>-17.400000000000091</v>
      </c>
      <c r="AI288" s="303">
        <f t="shared" si="489"/>
        <v>0.22868337153874979</v>
      </c>
      <c r="AK288" s="319"/>
      <c r="AU288" s="4">
        <f t="shared" si="494"/>
        <v>2006</v>
      </c>
      <c r="AV288" s="4">
        <f t="shared" si="495"/>
        <v>8</v>
      </c>
      <c r="AW288" s="230">
        <f>'[8]RES 62 &amp; 67'!$S373</f>
        <v>502.8</v>
      </c>
      <c r="AX288" s="200">
        <f t="shared" si="306"/>
        <v>487.3</v>
      </c>
      <c r="AY288" s="203">
        <f t="shared" si="488"/>
        <v>-15.5</v>
      </c>
      <c r="AZ288" s="230">
        <f>'[8]RES 62 &amp; 67'!$J373</f>
        <v>0</v>
      </c>
      <c r="BA288" s="183">
        <f t="shared" si="307"/>
        <v>0</v>
      </c>
      <c r="BB288" s="429">
        <f t="shared" si="490"/>
        <v>0</v>
      </c>
      <c r="BC288" s="206">
        <f t="shared" si="473"/>
        <v>-33.480000000000004</v>
      </c>
      <c r="BD288" s="206">
        <f t="shared" si="474"/>
        <v>0</v>
      </c>
      <c r="BE288" s="206">
        <f t="shared" si="475"/>
        <v>-33.480000000000004</v>
      </c>
      <c r="BF288" s="207">
        <f t="shared" si="476"/>
        <v>0</v>
      </c>
      <c r="BG288" s="219">
        <f t="shared" si="477"/>
        <v>-33.5</v>
      </c>
      <c r="BH288" s="4">
        <f t="shared" si="320"/>
        <v>2006</v>
      </c>
      <c r="BI288" s="4">
        <f t="shared" si="321"/>
        <v>8</v>
      </c>
      <c r="BJ288" s="108">
        <f>C288+[4]MWh!$AJ122</f>
        <v>2365178.4958535694</v>
      </c>
      <c r="BK288" s="108">
        <f t="shared" si="478"/>
        <v>22741.434281931739</v>
      </c>
      <c r="BL288" s="108">
        <f t="shared" si="479"/>
        <v>2342437.0615716376</v>
      </c>
      <c r="BM288" s="189">
        <f t="shared" si="480"/>
        <v>1597.5872779235981</v>
      </c>
      <c r="BN288" s="6">
        <f t="shared" si="481"/>
        <v>2294327</v>
      </c>
      <c r="BO288" s="175">
        <f t="shared" si="482"/>
        <v>22274</v>
      </c>
      <c r="BP288" s="108">
        <f t="shared" si="483"/>
        <v>-48577.495853569373</v>
      </c>
      <c r="BQ288" s="76">
        <f t="shared" si="484"/>
        <v>1579.8526845807121</v>
      </c>
      <c r="BR288" s="76">
        <f t="shared" si="485"/>
        <v>1547.4046949811902</v>
      </c>
      <c r="BS288" s="76">
        <f t="shared" si="500"/>
        <v>34.979950807957039</v>
      </c>
      <c r="BT288" s="175">
        <f t="shared" si="486"/>
        <v>2316601</v>
      </c>
      <c r="BU288" s="108">
        <f t="shared" si="501"/>
        <v>208414</v>
      </c>
      <c r="BW288" s="529">
        <f>BT288/[9]RMWh!$L168</f>
        <v>1.0724527983941454</v>
      </c>
      <c r="CK288" s="165">
        <v>38930</v>
      </c>
      <c r="CL288" s="40">
        <f>BP288+COML!BV288+SPA!BV288</f>
        <v>-62896.495853569373</v>
      </c>
      <c r="CM288" s="298">
        <f>'[14]2006'!$D39</f>
        <v>-65525</v>
      </c>
      <c r="CN288" s="2">
        <f t="shared" si="496"/>
        <v>2628.5041464306269</v>
      </c>
      <c r="CO288" s="108">
        <f>'[2]FPC wSEB'!$R385</f>
        <v>4919525</v>
      </c>
      <c r="CP288" s="108">
        <f>'[2]FPC wSEB'!$C385-SUM('[2]FPC wSEB'!$K385:$L385)</f>
        <v>4197477</v>
      </c>
      <c r="CQ288" s="108">
        <f>'[2]FPC wSEB'!$T385-'[2]FPC wSEB'!$T384</f>
        <v>-7083</v>
      </c>
      <c r="CR288" s="108">
        <f>SUM('[2]FPC wSEB'!$K385:$L385)</f>
        <v>444547</v>
      </c>
      <c r="CS288" s="108">
        <f>('[2]FPC wSEB'!$N385)-CQ288</f>
        <v>50576</v>
      </c>
      <c r="CT288" s="108">
        <f>'[2]FPC wSEB'!$P385</f>
        <v>17685</v>
      </c>
      <c r="CU288" s="108">
        <f>'[2]FPC wSEB'!$Q385</f>
        <v>216323</v>
      </c>
      <c r="CV288" s="115">
        <f t="shared" si="502"/>
        <v>0</v>
      </c>
      <c r="CW288" s="108">
        <f t="shared" si="487"/>
        <v>4619992</v>
      </c>
      <c r="CX288" s="108">
        <f t="shared" si="503"/>
        <v>4622620.5041464306</v>
      </c>
      <c r="CY288" s="108">
        <f t="shared" si="504"/>
        <v>-2628.5041464306414</v>
      </c>
    </row>
    <row r="289" spans="1:103">
      <c r="A289" s="13">
        <f t="shared" si="491"/>
        <v>2006</v>
      </c>
      <c r="B289" s="13">
        <f t="shared" si="492"/>
        <v>9</v>
      </c>
      <c r="C289" s="5">
        <f>'[2]FPC wSEB'!$D386</f>
        <v>2091769</v>
      </c>
      <c r="D289" s="5">
        <f>'[2]FPC wSEB'!$X386</f>
        <v>1439691</v>
      </c>
      <c r="E289" s="5">
        <f t="shared" ref="E289:F291" si="506">ROUND(C289-H289,0)</f>
        <v>2072116</v>
      </c>
      <c r="F289" s="5">
        <f t="shared" si="506"/>
        <v>1381538</v>
      </c>
      <c r="G289" s="74">
        <f t="shared" ref="G289:G294" si="507">ROUND((E289)/F289*1000,1)</f>
        <v>1499.9</v>
      </c>
      <c r="H289" s="190">
        <v>19653</v>
      </c>
      <c r="I289" s="170">
        <v>58153</v>
      </c>
      <c r="J289" s="230">
        <f>'[7]RES 62 &amp; 67'!$S374</f>
        <v>464.4</v>
      </c>
      <c r="K289" s="183">
        <f t="shared" si="301"/>
        <v>473.7</v>
      </c>
      <c r="L289" s="233">
        <f t="shared" si="497"/>
        <v>9.3000000000000114</v>
      </c>
      <c r="M289" s="230">
        <f>'[7]RES 62 &amp; 67'!$J374</f>
        <v>0</v>
      </c>
      <c r="N289" s="183">
        <f t="shared" si="302"/>
        <v>0</v>
      </c>
      <c r="O289" s="236">
        <f t="shared" si="498"/>
        <v>0</v>
      </c>
      <c r="P289" s="206">
        <f>L289*$C$10</f>
        <v>20.088000000000026</v>
      </c>
      <c r="Q289" s="208">
        <f>IF($B289=12,L289*$C$11,IF($B289&lt;5,L289*$C$11,0))</f>
        <v>0</v>
      </c>
      <c r="R289" s="467">
        <f t="shared" ref="R289:R294" si="508">P289+Q289</f>
        <v>20.088000000000026</v>
      </c>
      <c r="S289" s="470">
        <f>O289*$C$9</f>
        <v>0</v>
      </c>
      <c r="T289" s="425">
        <f t="shared" si="432"/>
        <v>20.100000000000001</v>
      </c>
      <c r="U289" s="579">
        <f>[5]RC!$E169</f>
        <v>1429559</v>
      </c>
      <c r="V289" s="447">
        <v>38961</v>
      </c>
      <c r="W289" s="191">
        <f t="shared" ref="W289:W294" si="509">(G289+T289)</f>
        <v>1520</v>
      </c>
      <c r="X289" s="73">
        <f t="shared" ref="X289:X294" si="510">ROUND(W289*F289/1000,0)</f>
        <v>2099938</v>
      </c>
      <c r="Y289" s="187">
        <f t="shared" ref="Y289:Y294" si="511">ROUND((X289/C289)*H289,0)</f>
        <v>19730</v>
      </c>
      <c r="Z289" s="175">
        <f t="shared" ref="Z289:Z294" si="512">Y289+X289</f>
        <v>2119668</v>
      </c>
      <c r="AA289" s="40">
        <f t="shared" ref="AA289:AA294" si="513">Z289-C289</f>
        <v>27899</v>
      </c>
      <c r="AB289" s="519">
        <f>[9]RMWh!$L169</f>
        <v>2114305</v>
      </c>
      <c r="AC289" s="107">
        <f>'[7]Gov 65 &amp; 70'!$B374</f>
        <v>30.5</v>
      </c>
      <c r="AD289" s="4">
        <f t="shared" si="424"/>
        <v>2108759</v>
      </c>
      <c r="AE289" s="4">
        <f t="shared" si="505"/>
        <v>32597</v>
      </c>
      <c r="AF289" s="23">
        <f t="shared" ref="AF289:AF294" si="514">ROUND((AD289/(D289)*1000),1)</f>
        <v>1464.7</v>
      </c>
      <c r="AG289" s="75">
        <f t="shared" si="499"/>
        <v>-6.5</v>
      </c>
      <c r="AI289" s="303">
        <f t="shared" si="489"/>
        <v>0.22531724115525698</v>
      </c>
      <c r="AK289" s="319"/>
      <c r="AU289" s="4">
        <f t="shared" si="494"/>
        <v>2006</v>
      </c>
      <c r="AV289" s="4">
        <f t="shared" si="495"/>
        <v>9</v>
      </c>
      <c r="AW289" s="230">
        <f>'[8]RES 62 &amp; 67'!$S374</f>
        <v>409.8</v>
      </c>
      <c r="AX289" s="200">
        <f t="shared" si="306"/>
        <v>428.3</v>
      </c>
      <c r="AY289" s="203">
        <f t="shared" si="488"/>
        <v>18.5</v>
      </c>
      <c r="AZ289" s="230">
        <f>'[8]RES 62 &amp; 67'!$J374</f>
        <v>0.5</v>
      </c>
      <c r="BA289" s="183">
        <f t="shared" si="307"/>
        <v>0</v>
      </c>
      <c r="BB289" s="429">
        <f t="shared" si="490"/>
        <v>-0.5</v>
      </c>
      <c r="BC289" s="206">
        <f>AY289*$C$10</f>
        <v>39.96</v>
      </c>
      <c r="BD289" s="206">
        <f>IF($B289=4,(C$11*0.5*AY289),IF($B289=11,(C$11*0.5*AY289),IF($B289=12,AY289*$C$11,IF($B289&lt;5,AY289*$C$11,0))))</f>
        <v>0</v>
      </c>
      <c r="BE289" s="206">
        <f t="shared" ref="BE289:BE294" si="515">BC289+BD289</f>
        <v>39.96</v>
      </c>
      <c r="BF289" s="207">
        <f>BB289*$C$9</f>
        <v>-1.355</v>
      </c>
      <c r="BG289" s="219">
        <f t="shared" ref="BG289:BG294" si="516">ROUND(BF289+BE289,1)</f>
        <v>38.6</v>
      </c>
      <c r="BH289" s="4">
        <f t="shared" si="320"/>
        <v>2006</v>
      </c>
      <c r="BI289" s="4">
        <f t="shared" si="321"/>
        <v>9</v>
      </c>
      <c r="BJ289" s="108">
        <f>C289+[4]MWh!$AJ123</f>
        <v>1860266.9709355119</v>
      </c>
      <c r="BK289" s="108">
        <f t="shared" ref="BK289:BK294" si="517">(H289/C289)*BJ289</f>
        <v>17477.946551361845</v>
      </c>
      <c r="BL289" s="108">
        <f t="shared" ref="BL289:BL294" si="518">BJ289-BK289</f>
        <v>1842789.02438415</v>
      </c>
      <c r="BM289" s="189">
        <f t="shared" ref="BM289:BM294" si="519">(BL289/F289*1000)+BG289</f>
        <v>1372.4677795211931</v>
      </c>
      <c r="BN289" s="6">
        <f t="shared" ref="BN289:BN294" si="520">ROUND(BM289*F289/1000,0)</f>
        <v>1896116</v>
      </c>
      <c r="BO289" s="175">
        <f t="shared" ref="BO289:BO294" si="521">ROUND(BN289/BL289*BK289,0)</f>
        <v>17984</v>
      </c>
      <c r="BP289" s="108">
        <f t="shared" ref="BP289:BP294" si="522">(BN289-BL289)+(BO289-BK289)</f>
        <v>53833.029064488102</v>
      </c>
      <c r="BQ289" s="76">
        <f t="shared" ref="BQ289:BQ294" si="523">BJ289/D289*1000</f>
        <v>1292.1293325689414</v>
      </c>
      <c r="BR289" s="76">
        <f t="shared" ref="BR289:BR294" si="524">(BN289+BO289)/D289*1000</f>
        <v>1329.5214042457721</v>
      </c>
      <c r="BS289" s="76">
        <f t="shared" si="500"/>
        <v>-68.720134719417274</v>
      </c>
      <c r="BT289" s="175">
        <f t="shared" ref="BT289:BT294" si="525">(BN289+BO289)</f>
        <v>1914100</v>
      </c>
      <c r="BU289" s="108">
        <f t="shared" si="501"/>
        <v>-59146</v>
      </c>
      <c r="BW289" s="529">
        <f>BT289/[9]RMWh!$L169</f>
        <v>0.90530930967859413</v>
      </c>
      <c r="CK289" s="165">
        <v>38961</v>
      </c>
      <c r="CL289" s="40">
        <f>BP289+COML!BV289+SPA!BV289</f>
        <v>70638.029064488102</v>
      </c>
      <c r="CM289" s="298">
        <f>'[14]2006'!$D40</f>
        <v>87253</v>
      </c>
      <c r="CN289" s="2">
        <f t="shared" si="496"/>
        <v>-16614.970935511898</v>
      </c>
      <c r="CO289" s="108">
        <f>'[2]FPC wSEB'!$R386</f>
        <v>4269722</v>
      </c>
      <c r="CP289" s="108">
        <f>'[2]FPC wSEB'!$C386-SUM('[2]FPC wSEB'!$K386:$L386)</f>
        <v>3950808</v>
      </c>
      <c r="CQ289" s="108">
        <f>'[2]FPC wSEB'!$T386-'[2]FPC wSEB'!$T385</f>
        <v>-328382</v>
      </c>
      <c r="CR289" s="108">
        <f>SUM('[2]FPC wSEB'!$K386:$L386)</f>
        <v>505111</v>
      </c>
      <c r="CS289" s="108">
        <f>('[2]FPC wSEB'!$N386)-CQ289</f>
        <v>-115056</v>
      </c>
      <c r="CT289" s="108">
        <f>'[2]FPC wSEB'!$P386</f>
        <v>15023</v>
      </c>
      <c r="CU289" s="108">
        <f>'[2]FPC wSEB'!$Q386</f>
        <v>242218</v>
      </c>
      <c r="CV289" s="115">
        <f t="shared" si="502"/>
        <v>0</v>
      </c>
      <c r="CW289" s="108">
        <f t="shared" ref="CW289:CW294" si="526">CO289-CT289-CU289+CM289</f>
        <v>4099734</v>
      </c>
      <c r="CX289" s="108">
        <f t="shared" si="503"/>
        <v>4083119.0290644881</v>
      </c>
      <c r="CY289" s="108">
        <f t="shared" si="504"/>
        <v>16614.970935511868</v>
      </c>
    </row>
    <row r="290" spans="1:103">
      <c r="A290" s="13">
        <f t="shared" si="491"/>
        <v>2006</v>
      </c>
      <c r="B290" s="13">
        <f t="shared" si="492"/>
        <v>10</v>
      </c>
      <c r="C290" s="5">
        <f>'[2]FPC wSEB'!$D387</f>
        <v>1714431</v>
      </c>
      <c r="D290" s="5">
        <f>'[2]FPC wSEB'!$X387</f>
        <v>1371835</v>
      </c>
      <c r="E290" s="5">
        <f t="shared" si="506"/>
        <v>1697432</v>
      </c>
      <c r="F290" s="5">
        <f t="shared" si="506"/>
        <v>1317911</v>
      </c>
      <c r="G290" s="74">
        <f t="shared" si="507"/>
        <v>1288</v>
      </c>
      <c r="H290" s="190">
        <v>16999</v>
      </c>
      <c r="I290" s="170">
        <v>53924</v>
      </c>
      <c r="J290" s="230">
        <f>'[7]RES 62 &amp; 67'!$S375</f>
        <v>351.1</v>
      </c>
      <c r="K290" s="183">
        <f t="shared" si="301"/>
        <v>373.2</v>
      </c>
      <c r="L290" s="233">
        <f t="shared" si="497"/>
        <v>22.099999999999966</v>
      </c>
      <c r="M290" s="230">
        <f>'[7]RES 62 &amp; 67'!$J375</f>
        <v>2.5</v>
      </c>
      <c r="N290" s="183">
        <f t="shared" si="302"/>
        <v>1.3</v>
      </c>
      <c r="O290" s="236">
        <f t="shared" si="498"/>
        <v>-1.2</v>
      </c>
      <c r="P290" s="206">
        <f>L290*$C$10</f>
        <v>47.735999999999926</v>
      </c>
      <c r="Q290" s="208">
        <f>IF($B290=12,L290*$C$11,IF($B290&lt;5,L290*$C$11,0))</f>
        <v>0</v>
      </c>
      <c r="R290" s="467">
        <f t="shared" si="508"/>
        <v>47.735999999999926</v>
      </c>
      <c r="S290" s="470">
        <f>O290*$C$9</f>
        <v>-3.2519999999999998</v>
      </c>
      <c r="T290" s="425">
        <f t="shared" si="432"/>
        <v>44.5</v>
      </c>
      <c r="U290" s="579">
        <f>[5]RC!$E170</f>
        <v>1431506</v>
      </c>
      <c r="V290" s="447">
        <v>38991</v>
      </c>
      <c r="W290" s="191">
        <f t="shared" si="509"/>
        <v>1332.5</v>
      </c>
      <c r="X290" s="73">
        <f t="shared" si="510"/>
        <v>1756116</v>
      </c>
      <c r="Y290" s="187">
        <f t="shared" si="511"/>
        <v>17412</v>
      </c>
      <c r="Z290" s="175">
        <f t="shared" si="512"/>
        <v>1773528</v>
      </c>
      <c r="AA290" s="40">
        <f t="shared" si="513"/>
        <v>59097</v>
      </c>
      <c r="AB290" s="519">
        <f>[9]RMWh!$L170</f>
        <v>1872194</v>
      </c>
      <c r="AC290" s="107">
        <f>'[7]Gov 65 &amp; 70'!$B375</f>
        <v>29.7</v>
      </c>
      <c r="AD290" s="4">
        <f t="shared" si="424"/>
        <v>1917581</v>
      </c>
      <c r="AE290" s="4">
        <f t="shared" si="505"/>
        <v>166826</v>
      </c>
      <c r="AF290" s="23">
        <f t="shared" si="514"/>
        <v>1397.8</v>
      </c>
      <c r="AG290" s="75">
        <f t="shared" si="499"/>
        <v>143.89999999999986</v>
      </c>
      <c r="AI290" s="303">
        <f t="shared" si="489"/>
        <v>0.24475152745455878</v>
      </c>
      <c r="AK290" s="319"/>
      <c r="AU290" s="4">
        <f t="shared" si="494"/>
        <v>2006</v>
      </c>
      <c r="AV290" s="4">
        <f t="shared" si="495"/>
        <v>10</v>
      </c>
      <c r="AW290" s="230">
        <f>'[8]RES 62 &amp; 67'!$S375</f>
        <v>256.5</v>
      </c>
      <c r="AX290" s="200">
        <f t="shared" si="306"/>
        <v>277.60000000000002</v>
      </c>
      <c r="AY290" s="203">
        <f t="shared" ref="AY290:AY295" si="527">AX290-AW290</f>
        <v>21.100000000000023</v>
      </c>
      <c r="AZ290" s="230">
        <f>'[8]RES 62 &amp; 67'!$J375</f>
        <v>14.7</v>
      </c>
      <c r="BA290" s="183">
        <f t="shared" si="307"/>
        <v>8.5</v>
      </c>
      <c r="BB290" s="429">
        <f t="shared" si="490"/>
        <v>-6.1999999999999993</v>
      </c>
      <c r="BC290" s="206">
        <f>AY290*$C$10</f>
        <v>45.57600000000005</v>
      </c>
      <c r="BD290" s="206">
        <f>IF($B290=4,(C$11*0.5*AY290),IF($B290=11,(C$11*0.5*AY290),IF($B290=12,AY290*$C$11,IF($B290&lt;5,AY290*$C$11,0))))</f>
        <v>0</v>
      </c>
      <c r="BE290" s="206">
        <f t="shared" si="515"/>
        <v>45.57600000000005</v>
      </c>
      <c r="BF290" s="207">
        <f>BB290*$C$9</f>
        <v>-16.802</v>
      </c>
      <c r="BG290" s="219">
        <f t="shared" si="516"/>
        <v>28.8</v>
      </c>
      <c r="BH290" s="4">
        <f t="shared" si="320"/>
        <v>2006</v>
      </c>
      <c r="BI290" s="4">
        <f t="shared" si="321"/>
        <v>10</v>
      </c>
      <c r="BJ290" s="108">
        <f>C290+[4]MWh!$AJ124</f>
        <v>1581533.1792928372</v>
      </c>
      <c r="BK290" s="108">
        <f t="shared" si="517"/>
        <v>15681.28581132687</v>
      </c>
      <c r="BL290" s="108">
        <f t="shared" si="518"/>
        <v>1565851.8934815102</v>
      </c>
      <c r="BM290" s="189">
        <f t="shared" si="519"/>
        <v>1216.9317429488867</v>
      </c>
      <c r="BN290" s="6">
        <f t="shared" si="520"/>
        <v>1603808</v>
      </c>
      <c r="BO290" s="175">
        <f t="shared" si="521"/>
        <v>16061</v>
      </c>
      <c r="BP290" s="108">
        <f t="shared" si="522"/>
        <v>38335.8207071629</v>
      </c>
      <c r="BQ290" s="76">
        <f t="shared" si="523"/>
        <v>1152.859621815187</v>
      </c>
      <c r="BR290" s="76">
        <f t="shared" si="524"/>
        <v>1180.8045428203827</v>
      </c>
      <c r="BS290" s="76">
        <f t="shared" si="500"/>
        <v>72.768192883482243</v>
      </c>
      <c r="BT290" s="175">
        <f t="shared" si="525"/>
        <v>1619869</v>
      </c>
      <c r="BU290" s="108">
        <f t="shared" si="501"/>
        <v>72822</v>
      </c>
      <c r="BW290" s="529">
        <f>BT290/[9]RMWh!$L170</f>
        <v>0.86522497134378173</v>
      </c>
      <c r="CK290" s="165">
        <v>38991</v>
      </c>
      <c r="CL290" s="40">
        <f>BP290+COML!BV290+SPA!BV290</f>
        <v>56635.8207071629</v>
      </c>
      <c r="CM290" s="298">
        <f>'[14]2006'!$D41</f>
        <v>30442</v>
      </c>
      <c r="CN290" s="2">
        <f t="shared" si="496"/>
        <v>26193.8207071629</v>
      </c>
      <c r="CO290" s="108">
        <f>'[2]FPC wSEB'!$R387</f>
        <v>3763429</v>
      </c>
      <c r="CP290" s="108">
        <f>'[2]FPC wSEB'!$C387-SUM('[2]FPC wSEB'!$K387:$L387)</f>
        <v>3361153</v>
      </c>
      <c r="CQ290" s="108">
        <f>'[2]FPC wSEB'!$T387-'[2]FPC wSEB'!$T386</f>
        <v>-178660</v>
      </c>
      <c r="CR290" s="108">
        <f>SUM('[2]FPC wSEB'!$K387:$L387)</f>
        <v>474649</v>
      </c>
      <c r="CS290" s="108">
        <f>('[2]FPC wSEB'!$N387)-CQ290</f>
        <v>-91924</v>
      </c>
      <c r="CT290" s="108">
        <f>'[2]FPC wSEB'!$P387</f>
        <v>12699</v>
      </c>
      <c r="CU290" s="108">
        <f>'[2]FPC wSEB'!$Q387</f>
        <v>185512</v>
      </c>
      <c r="CV290" s="115">
        <f t="shared" si="502"/>
        <v>0</v>
      </c>
      <c r="CW290" s="108">
        <f t="shared" si="526"/>
        <v>3595660</v>
      </c>
      <c r="CX290" s="108">
        <f t="shared" si="503"/>
        <v>3621853.8207071628</v>
      </c>
      <c r="CY290" s="108">
        <f t="shared" si="504"/>
        <v>-26193.820707162842</v>
      </c>
    </row>
    <row r="291" spans="1:103">
      <c r="A291" s="13">
        <f t="shared" si="491"/>
        <v>2006</v>
      </c>
      <c r="B291" s="13">
        <f t="shared" si="492"/>
        <v>11</v>
      </c>
      <c r="C291" s="5">
        <f>'[2]FPC wSEB'!$D388</f>
        <v>1480520</v>
      </c>
      <c r="D291" s="5">
        <f>'[2]FPC wSEB'!$X388</f>
        <v>1501446</v>
      </c>
      <c r="E291" s="5">
        <f t="shared" si="506"/>
        <v>1459600</v>
      </c>
      <c r="F291" s="5">
        <f t="shared" si="506"/>
        <v>1440273</v>
      </c>
      <c r="G291" s="74">
        <f t="shared" si="507"/>
        <v>1013.4</v>
      </c>
      <c r="H291" s="190">
        <v>20920</v>
      </c>
      <c r="I291" s="170">
        <v>61173</v>
      </c>
      <c r="J291" s="230">
        <f>'[7]RES 62 &amp; 67'!$S376</f>
        <v>179.6</v>
      </c>
      <c r="K291" s="183">
        <f t="shared" si="301"/>
        <v>204.3</v>
      </c>
      <c r="L291" s="233">
        <f t="shared" si="497"/>
        <v>24.700000000000017</v>
      </c>
      <c r="M291" s="230">
        <f>'[7]RES 62 &amp; 67'!$J376</f>
        <v>30.8</v>
      </c>
      <c r="N291" s="183">
        <f t="shared" si="302"/>
        <v>24.1</v>
      </c>
      <c r="O291" s="236">
        <f t="shared" si="498"/>
        <v>-6.6999999999999993</v>
      </c>
      <c r="P291" s="206">
        <f>L291*$C$10</f>
        <v>53.352000000000039</v>
      </c>
      <c r="Q291" s="208">
        <f>IF($B291=12,L291*$C$11,IF($B291&lt;5,L291*$C$11,0))</f>
        <v>0</v>
      </c>
      <c r="R291" s="467">
        <f t="shared" si="508"/>
        <v>53.352000000000039</v>
      </c>
      <c r="S291" s="470">
        <f>O291*$C$9</f>
        <v>-18.156999999999996</v>
      </c>
      <c r="T291" s="425">
        <f t="shared" si="432"/>
        <v>35.200000000000003</v>
      </c>
      <c r="U291" s="579">
        <f>[5]RC!$E171</f>
        <v>1436086</v>
      </c>
      <c r="V291" s="447">
        <v>39022</v>
      </c>
      <c r="W291" s="191">
        <f t="shared" si="509"/>
        <v>1048.5999999999999</v>
      </c>
      <c r="X291" s="73">
        <f t="shared" si="510"/>
        <v>1510270</v>
      </c>
      <c r="Y291" s="187">
        <f t="shared" si="511"/>
        <v>21340</v>
      </c>
      <c r="Z291" s="175">
        <f t="shared" si="512"/>
        <v>1531610</v>
      </c>
      <c r="AA291" s="40">
        <f t="shared" si="513"/>
        <v>51090</v>
      </c>
      <c r="AB291" s="519">
        <f>[9]RMWh!$L171</f>
        <v>1478310</v>
      </c>
      <c r="AC291" s="107">
        <f>'[7]Gov 65 &amp; 70'!$B376</f>
        <v>30.5</v>
      </c>
      <c r="AD291" s="4">
        <f t="shared" si="424"/>
        <v>1474432</v>
      </c>
      <c r="AE291" s="4">
        <f t="shared" si="505"/>
        <v>66594</v>
      </c>
      <c r="AF291" s="23">
        <f t="shared" si="514"/>
        <v>982</v>
      </c>
      <c r="AG291" s="75">
        <f t="shared" si="499"/>
        <v>9.6000000000000227</v>
      </c>
      <c r="AI291" s="303">
        <f t="shared" ref="AI291:AI296" si="528">(H291/I291*1000)/G291</f>
        <v>0.33745898885266168</v>
      </c>
      <c r="AK291" s="319"/>
      <c r="AU291" s="4">
        <f t="shared" si="494"/>
        <v>2006</v>
      </c>
      <c r="AV291" s="4">
        <f t="shared" si="495"/>
        <v>11</v>
      </c>
      <c r="AW291" s="230">
        <f>'[8]RES 62 &amp; 67'!$S376</f>
        <v>84.6</v>
      </c>
      <c r="AX291" s="200">
        <f t="shared" si="306"/>
        <v>110.2</v>
      </c>
      <c r="AY291" s="203">
        <f t="shared" si="527"/>
        <v>25.600000000000009</v>
      </c>
      <c r="AZ291" s="230">
        <f>'[8]RES 62 &amp; 67'!$J376</f>
        <v>70.900000000000006</v>
      </c>
      <c r="BA291" s="183">
        <f t="shared" si="307"/>
        <v>45.3</v>
      </c>
      <c r="BB291" s="429">
        <f t="shared" ref="BB291:BB296" si="529">BA291-AZ291</f>
        <v>-25.600000000000009</v>
      </c>
      <c r="BC291" s="206">
        <f>AY291*$C$10</f>
        <v>55.296000000000021</v>
      </c>
      <c r="BD291" s="206">
        <f>IF($B291=4,(C$11*0.5*AY291),IF($B291=11,(C$11*0.5*AY291),IF($B291=12,AY291*$C$11,IF($B291&lt;5,AY291*$C$11,0))))</f>
        <v>-7.8080000000000025</v>
      </c>
      <c r="BE291" s="206">
        <f t="shared" si="515"/>
        <v>47.488000000000021</v>
      </c>
      <c r="BF291" s="207">
        <f>BB291*$C$9</f>
        <v>-69.376000000000019</v>
      </c>
      <c r="BG291" s="219">
        <f t="shared" si="516"/>
        <v>-21.9</v>
      </c>
      <c r="BH291" s="4">
        <f t="shared" si="320"/>
        <v>2006</v>
      </c>
      <c r="BI291" s="4">
        <f t="shared" si="321"/>
        <v>11</v>
      </c>
      <c r="BJ291" s="108">
        <f>C291+[4]MWh!$AJ125</f>
        <v>1244192.0872874428</v>
      </c>
      <c r="BK291" s="108">
        <f t="shared" si="517"/>
        <v>17580.646304037298</v>
      </c>
      <c r="BL291" s="108">
        <f t="shared" si="518"/>
        <v>1226611.4409834056</v>
      </c>
      <c r="BM291" s="189">
        <f t="shared" si="519"/>
        <v>829.75204165002447</v>
      </c>
      <c r="BN291" s="6">
        <f t="shared" si="520"/>
        <v>1195069</v>
      </c>
      <c r="BO291" s="175">
        <f t="shared" si="521"/>
        <v>17129</v>
      </c>
      <c r="BP291" s="108">
        <f t="shared" si="522"/>
        <v>-31994.087287442868</v>
      </c>
      <c r="BQ291" s="76">
        <f t="shared" si="523"/>
        <v>828.66256081633492</v>
      </c>
      <c r="BR291" s="76">
        <f t="shared" si="524"/>
        <v>807.3537110225742</v>
      </c>
      <c r="BS291" s="76">
        <f t="shared" si="500"/>
        <v>2.7247375636428615</v>
      </c>
      <c r="BT291" s="175">
        <f t="shared" si="525"/>
        <v>1212198</v>
      </c>
      <c r="BU291" s="108">
        <f t="shared" si="501"/>
        <v>47261</v>
      </c>
      <c r="BW291" s="529">
        <f>BT291/[9]RMWh!$L171</f>
        <v>0.8199890415406782</v>
      </c>
      <c r="CK291" s="165">
        <v>39022</v>
      </c>
      <c r="CL291" s="40">
        <f>BP291+COML!BV291+SPA!BV291</f>
        <v>-15453.087287442868</v>
      </c>
      <c r="CM291" s="298">
        <f>'[14]2006'!$D42</f>
        <v>35464</v>
      </c>
      <c r="CN291" s="2">
        <f t="shared" si="496"/>
        <v>-50917.087287442868</v>
      </c>
      <c r="CO291" s="108">
        <f>'[2]FPC wSEB'!$R388</f>
        <v>3192440</v>
      </c>
      <c r="CP291" s="108">
        <f>'[2]FPC wSEB'!$C388-SUM('[2]FPC wSEB'!$K388:$L388)</f>
        <v>3084405</v>
      </c>
      <c r="CQ291" s="108">
        <f>'[2]FPC wSEB'!$T388-'[2]FPC wSEB'!$T387</f>
        <v>-368531</v>
      </c>
      <c r="CR291" s="108">
        <f>SUM('[2]FPC wSEB'!$K388:$L388)</f>
        <v>307901</v>
      </c>
      <c r="CS291" s="108">
        <f>('[2]FPC wSEB'!$N388)-CQ291</f>
        <v>-34534</v>
      </c>
      <c r="CT291" s="108">
        <f>'[2]FPC wSEB'!$P388</f>
        <v>12565</v>
      </c>
      <c r="CU291" s="108">
        <f>'[2]FPC wSEB'!$Q388</f>
        <v>190634</v>
      </c>
      <c r="CV291" s="115">
        <f t="shared" si="502"/>
        <v>0</v>
      </c>
      <c r="CW291" s="108">
        <f t="shared" si="526"/>
        <v>3024705</v>
      </c>
      <c r="CX291" s="108">
        <f t="shared" si="503"/>
        <v>2973787.9127125572</v>
      </c>
      <c r="CY291" s="108">
        <f t="shared" si="504"/>
        <v>50917.087287442759</v>
      </c>
    </row>
    <row r="292" spans="1:103" s="89" customFormat="1" ht="12.75">
      <c r="A292" s="90">
        <f t="shared" si="491"/>
        <v>2006</v>
      </c>
      <c r="B292" s="90">
        <f t="shared" si="492"/>
        <v>12</v>
      </c>
      <c r="C292" s="103">
        <f>'[2]FPC wSEB'!$D389</f>
        <v>1400635</v>
      </c>
      <c r="D292" s="103">
        <f>'[2]FPC wSEB'!$X389</f>
        <v>1487586</v>
      </c>
      <c r="E292" s="103">
        <f t="shared" ref="E292:F294" si="530">ROUND(C292-H292,0)</f>
        <v>1374548</v>
      </c>
      <c r="F292" s="103">
        <f t="shared" si="530"/>
        <v>1428606</v>
      </c>
      <c r="G292" s="109">
        <f t="shared" si="507"/>
        <v>962.2</v>
      </c>
      <c r="H292" s="196">
        <v>26087</v>
      </c>
      <c r="I292" s="197">
        <v>58980</v>
      </c>
      <c r="J292" s="300">
        <f>'[7]RES 62 &amp; 67'!$S377</f>
        <v>81.599999999999994</v>
      </c>
      <c r="K292" s="210">
        <f t="shared" si="301"/>
        <v>88</v>
      </c>
      <c r="L292" s="234">
        <f t="shared" si="497"/>
        <v>6.4000000000000057</v>
      </c>
      <c r="M292" s="300">
        <f>'[7]RES 62 &amp; 67'!$J377</f>
        <v>79.3</v>
      </c>
      <c r="N292" s="210">
        <f t="shared" si="302"/>
        <v>83.9</v>
      </c>
      <c r="O292" s="237">
        <f t="shared" si="498"/>
        <v>4.6000000000000085</v>
      </c>
      <c r="P292" s="211">
        <f>L292*$C$10</f>
        <v>13.824000000000014</v>
      </c>
      <c r="Q292" s="211">
        <f>IF($B292=12,L292*$C$11,IF($B292&lt;5,L292*$C$11,0))</f>
        <v>-3.9040000000000035</v>
      </c>
      <c r="R292" s="468">
        <f t="shared" si="508"/>
        <v>9.9200000000000106</v>
      </c>
      <c r="S292" s="471">
        <f>O292*$C$9</f>
        <v>12.466000000000022</v>
      </c>
      <c r="T292" s="426">
        <f t="shared" si="432"/>
        <v>22.4</v>
      </c>
      <c r="U292" s="579">
        <f>[5]RC!$E172</f>
        <v>1439559</v>
      </c>
      <c r="V292" s="447">
        <v>39052</v>
      </c>
      <c r="W292" s="95">
        <f t="shared" si="509"/>
        <v>984.6</v>
      </c>
      <c r="X292" s="104">
        <f t="shared" si="510"/>
        <v>1406605</v>
      </c>
      <c r="Y292" s="198">
        <f t="shared" si="511"/>
        <v>26198</v>
      </c>
      <c r="Z292" s="176">
        <f t="shared" si="512"/>
        <v>1432803</v>
      </c>
      <c r="AA292" s="116">
        <f t="shared" si="513"/>
        <v>32168</v>
      </c>
      <c r="AB292" s="520">
        <f>[9]RMWh!$L172</f>
        <v>1399237</v>
      </c>
      <c r="AC292" s="110">
        <f>'[7]Gov 65 &amp; 70'!$B377</f>
        <v>31.3</v>
      </c>
      <c r="AD292" s="89">
        <f t="shared" si="424"/>
        <v>1359897</v>
      </c>
      <c r="AE292" s="89">
        <f t="shared" si="505"/>
        <v>11438</v>
      </c>
      <c r="AF292" s="89">
        <f t="shared" si="514"/>
        <v>914.2</v>
      </c>
      <c r="AG292" s="91">
        <f t="shared" si="499"/>
        <v>-41</v>
      </c>
      <c r="AH292" s="252"/>
      <c r="AI292" s="304">
        <f t="shared" si="528"/>
        <v>0.45967831575077428</v>
      </c>
      <c r="AK292" s="320"/>
      <c r="AU292" s="89">
        <f t="shared" si="494"/>
        <v>2006</v>
      </c>
      <c r="AV292" s="89">
        <f t="shared" si="495"/>
        <v>12</v>
      </c>
      <c r="AW292" s="300">
        <f>'[8]RES 62 &amp; 67'!$S377</f>
        <v>91.9</v>
      </c>
      <c r="AX292" s="210">
        <f t="shared" si="306"/>
        <v>53.2</v>
      </c>
      <c r="AY292" s="204">
        <f t="shared" si="527"/>
        <v>-38.700000000000003</v>
      </c>
      <c r="AZ292" s="300">
        <f>'[8]RES 62 &amp; 67'!$J377</f>
        <v>58.5</v>
      </c>
      <c r="BA292" s="210">
        <f t="shared" si="307"/>
        <v>114.1</v>
      </c>
      <c r="BB292" s="430">
        <f t="shared" si="529"/>
        <v>55.599999999999994</v>
      </c>
      <c r="BC292" s="211">
        <f>AY292*$C$10</f>
        <v>-83.592000000000013</v>
      </c>
      <c r="BD292" s="211">
        <f>IF($B292=4,(C$11*0.5*AY292),IF($B292=11,(C$11*0.5*AY292),IF($B292=12,AY292*$C$11,IF($B292&lt;5,AY292*$C$11,0))))</f>
        <v>23.607000000000003</v>
      </c>
      <c r="BE292" s="211">
        <f t="shared" si="515"/>
        <v>-59.985000000000014</v>
      </c>
      <c r="BF292" s="212">
        <f>BB292*$C$9</f>
        <v>150.67599999999999</v>
      </c>
      <c r="BG292" s="220">
        <f t="shared" si="516"/>
        <v>90.7</v>
      </c>
      <c r="BH292" s="89">
        <f t="shared" si="320"/>
        <v>2006</v>
      </c>
      <c r="BI292" s="89">
        <f t="shared" si="321"/>
        <v>12</v>
      </c>
      <c r="BJ292" s="117">
        <f>C292+[4]MWh!$AJ126</f>
        <v>1368881.0289277295</v>
      </c>
      <c r="BK292" s="117">
        <f t="shared" si="517"/>
        <v>25495.578363840454</v>
      </c>
      <c r="BL292" s="117">
        <f t="shared" si="518"/>
        <v>1343385.450563889</v>
      </c>
      <c r="BM292" s="199">
        <f t="shared" si="519"/>
        <v>1031.0470589958945</v>
      </c>
      <c r="BN292" s="96">
        <f t="shared" si="520"/>
        <v>1472960</v>
      </c>
      <c r="BO292" s="176">
        <f t="shared" si="521"/>
        <v>27955</v>
      </c>
      <c r="BP292" s="117">
        <f t="shared" si="522"/>
        <v>132033.97107227053</v>
      </c>
      <c r="BQ292" s="92">
        <f t="shared" si="523"/>
        <v>920.20295225131815</v>
      </c>
      <c r="BR292" s="92">
        <f t="shared" si="524"/>
        <v>1008.960154236461</v>
      </c>
      <c r="BS292" s="92">
        <f t="shared" si="500"/>
        <v>19.843701344901206</v>
      </c>
      <c r="BT292" s="176">
        <f t="shared" si="525"/>
        <v>1500915</v>
      </c>
      <c r="BU292" s="117">
        <f t="shared" si="501"/>
        <v>104516</v>
      </c>
      <c r="BW292" s="529">
        <f>BT292/[9]RMWh!$L172</f>
        <v>1.0726667462338404</v>
      </c>
      <c r="CK292" s="166">
        <v>39052</v>
      </c>
      <c r="CL292" s="116">
        <f>BP292+COML!BV292+SPA!BV292</f>
        <v>110270.97107227053</v>
      </c>
      <c r="CM292" s="326">
        <f>'[14]2006'!$D43</f>
        <v>175249</v>
      </c>
      <c r="CN292" s="1">
        <f t="shared" ref="CN292:CN297" si="531">CL292-CM292</f>
        <v>-64978.028927729465</v>
      </c>
      <c r="CO292" s="117">
        <f>'[2]FPC wSEB'!$R389</f>
        <v>3327393</v>
      </c>
      <c r="CP292" s="117">
        <f>'[2]FPC wSEB'!$C389-SUM('[2]FPC wSEB'!$K389:$L389)</f>
        <v>2916326</v>
      </c>
      <c r="CQ292" s="117">
        <f>'[2]FPC wSEB'!$T389-'[2]FPC wSEB'!$T388</f>
        <v>-67027</v>
      </c>
      <c r="CR292" s="117">
        <f>SUM('[2]FPC wSEB'!$K389:$L389)</f>
        <v>334544</v>
      </c>
      <c r="CS292" s="117">
        <f>('[2]FPC wSEB'!$N389)-CQ292</f>
        <v>-24333</v>
      </c>
      <c r="CT292" s="117">
        <f>'[2]FPC wSEB'!$P389</f>
        <v>10619</v>
      </c>
      <c r="CU292" s="117">
        <f>'[2]FPC wSEB'!$Q389</f>
        <v>157264</v>
      </c>
      <c r="CV292" s="118">
        <f t="shared" si="502"/>
        <v>0</v>
      </c>
      <c r="CW292" s="117">
        <f t="shared" si="526"/>
        <v>3334759</v>
      </c>
      <c r="CX292" s="117">
        <f t="shared" si="503"/>
        <v>3269780.9710722705</v>
      </c>
      <c r="CY292" s="117">
        <f t="shared" si="504"/>
        <v>64978.028927729465</v>
      </c>
    </row>
    <row r="293" spans="1:103">
      <c r="A293" s="13">
        <f t="shared" si="491"/>
        <v>2007</v>
      </c>
      <c r="B293" s="13">
        <f t="shared" si="492"/>
        <v>1</v>
      </c>
      <c r="C293" s="5">
        <f>'[2]FPC wSEB'!$D390</f>
        <v>1304777</v>
      </c>
      <c r="D293" s="5">
        <f>'[2]FPC wSEB'!$X390</f>
        <v>1378957</v>
      </c>
      <c r="E293" s="5">
        <f t="shared" si="530"/>
        <v>1278370</v>
      </c>
      <c r="F293" s="5">
        <f t="shared" si="530"/>
        <v>1324156</v>
      </c>
      <c r="G293" s="74">
        <f t="shared" si="507"/>
        <v>965.4</v>
      </c>
      <c r="H293" s="190">
        <v>26407</v>
      </c>
      <c r="I293" s="170">
        <v>54801</v>
      </c>
      <c r="J293" s="230">
        <f>'[7]RES 62 &amp; 67'!$S378</f>
        <v>96.8</v>
      </c>
      <c r="K293" s="183">
        <f t="shared" si="301"/>
        <v>49.5</v>
      </c>
      <c r="L293" s="233">
        <f t="shared" ref="L293:L298" si="532">(K293-J293)</f>
        <v>-47.3</v>
      </c>
      <c r="M293" s="230">
        <f>'[7]RES 62 &amp; 67'!$J378</f>
        <v>54.1</v>
      </c>
      <c r="N293" s="183">
        <f t="shared" si="302"/>
        <v>131.6</v>
      </c>
      <c r="O293" s="236">
        <f t="shared" ref="O293:O298" si="533">(N293-M293)</f>
        <v>77.5</v>
      </c>
      <c r="P293" s="206">
        <f t="shared" ref="P293:P298" si="534">L293*$D$10</f>
        <v>-103.8708</v>
      </c>
      <c r="Q293" s="208">
        <f t="shared" ref="Q293:Q298" si="535">IF($B293=12,L293*$D$11,IF($B293&lt;5,L293*$D$11,0))</f>
        <v>11.399299999999998</v>
      </c>
      <c r="R293" s="467">
        <f t="shared" si="508"/>
        <v>-92.471500000000006</v>
      </c>
      <c r="S293" s="470">
        <f t="shared" ref="S293:S298" si="536">O293*$D$9</f>
        <v>239.32</v>
      </c>
      <c r="T293" s="425">
        <f t="shared" si="432"/>
        <v>146.80000000000001</v>
      </c>
      <c r="U293" s="579">
        <f>[5]RC!$E173</f>
        <v>1443366</v>
      </c>
      <c r="V293" s="447">
        <v>39083</v>
      </c>
      <c r="W293" s="191">
        <f t="shared" si="509"/>
        <v>1112.2</v>
      </c>
      <c r="X293" s="350">
        <f>ROUND(W293*F293/1000,0)+168966</f>
        <v>1641692</v>
      </c>
      <c r="Y293" s="187">
        <f t="shared" si="511"/>
        <v>33226</v>
      </c>
      <c r="Z293" s="175">
        <f t="shared" si="512"/>
        <v>1674918</v>
      </c>
      <c r="AA293" s="40">
        <f t="shared" si="513"/>
        <v>370141</v>
      </c>
      <c r="AB293" s="519">
        <f>[9]RMWh!$L173</f>
        <v>1745211</v>
      </c>
      <c r="AC293" s="107">
        <f>'[7]Gov 65 &amp; 70'!$B378</f>
        <v>31.85</v>
      </c>
      <c r="AD293" s="4">
        <f t="shared" si="424"/>
        <v>1666855</v>
      </c>
      <c r="AE293" s="4">
        <f t="shared" si="505"/>
        <v>155241</v>
      </c>
      <c r="AF293" s="23">
        <f t="shared" si="514"/>
        <v>1208.8</v>
      </c>
      <c r="AG293" s="75">
        <f t="shared" ref="AG293:AG298" si="537">AF293-AF281</f>
        <v>126.09999999999991</v>
      </c>
      <c r="AI293" s="303">
        <f t="shared" si="528"/>
        <v>0.49914104907975093</v>
      </c>
      <c r="AK293" s="319"/>
      <c r="AU293" s="4">
        <f t="shared" si="494"/>
        <v>2007</v>
      </c>
      <c r="AV293" s="4">
        <f t="shared" si="495"/>
        <v>1</v>
      </c>
      <c r="AW293" s="230">
        <f>'[8]RES 62 &amp; 67'!$S378</f>
        <v>62.4</v>
      </c>
      <c r="AX293" s="200">
        <f t="shared" si="306"/>
        <v>50.5</v>
      </c>
      <c r="AY293" s="203">
        <f t="shared" si="527"/>
        <v>-11.899999999999999</v>
      </c>
      <c r="AZ293" s="230">
        <f>'[8]RES 62 &amp; 67'!$J378</f>
        <v>105.3</v>
      </c>
      <c r="BA293" s="183">
        <f t="shared" si="307"/>
        <v>127.9</v>
      </c>
      <c r="BB293" s="429">
        <f t="shared" si="529"/>
        <v>22.600000000000009</v>
      </c>
      <c r="BC293" s="206">
        <f t="shared" ref="BC293:BC298" si="538">AY293*$D$10</f>
        <v>-26.132400000000001</v>
      </c>
      <c r="BD293" s="206">
        <f t="shared" ref="BD293:BD298" si="539">IF($B293=4,($D$11*0.5*AY293),IF($B293=11,($D$11*0.5*AY293),IF($B293=12,AY293*$D$11,IF($B293&lt;5,AY293*$D$11,0))))</f>
        <v>2.8678999999999997</v>
      </c>
      <c r="BE293" s="206">
        <f t="shared" si="515"/>
        <v>-23.264500000000002</v>
      </c>
      <c r="BF293" s="207">
        <f t="shared" ref="BF293:BF298" si="540">BB293*$D$9</f>
        <v>69.788800000000023</v>
      </c>
      <c r="BG293" s="219">
        <f t="shared" si="516"/>
        <v>46.5</v>
      </c>
      <c r="BH293" s="4">
        <f t="shared" si="320"/>
        <v>2007</v>
      </c>
      <c r="BI293" s="4">
        <f t="shared" si="321"/>
        <v>1</v>
      </c>
      <c r="BJ293" s="108">
        <f>C293+[4]MWh!$AJ127</f>
        <v>1349228.3421342075</v>
      </c>
      <c r="BK293" s="108">
        <f t="shared" si="517"/>
        <v>27306.637709538118</v>
      </c>
      <c r="BL293" s="108">
        <f t="shared" si="518"/>
        <v>1321921.7044246693</v>
      </c>
      <c r="BM293" s="189">
        <f t="shared" si="519"/>
        <v>1044.8126643874812</v>
      </c>
      <c r="BN293" s="378">
        <f>ROUND(BM293*F293/1000,0)+168966</f>
        <v>1552461</v>
      </c>
      <c r="BO293" s="175">
        <f t="shared" si="521"/>
        <v>32069</v>
      </c>
      <c r="BP293" s="108">
        <f t="shared" si="522"/>
        <v>235301.65786579263</v>
      </c>
      <c r="BQ293" s="76">
        <f t="shared" si="523"/>
        <v>978.4412002217673</v>
      </c>
      <c r="BR293" s="76">
        <f t="shared" si="524"/>
        <v>1149.0786152142525</v>
      </c>
      <c r="BS293" s="76">
        <f t="shared" ref="BS293:BS298" si="541">BR293-BR281</f>
        <v>-57.256970561694061</v>
      </c>
      <c r="BT293" s="175">
        <f>(BN293+BO293)</f>
        <v>1584530</v>
      </c>
      <c r="BU293" s="108">
        <f t="shared" ref="BU293:BU298" si="542">BT293-BT281</f>
        <v>-99652</v>
      </c>
      <c r="BW293" s="529">
        <f>BT293/[9]RMWh!$L173</f>
        <v>0.90793033048725913</v>
      </c>
      <c r="CK293" s="165">
        <v>39083</v>
      </c>
      <c r="CL293" s="108">
        <f>BP293+COML!BV293+SPA!BV293</f>
        <v>234634.65786579263</v>
      </c>
      <c r="CM293" s="325">
        <f>'[14]2007'!$D32</f>
        <v>181540</v>
      </c>
      <c r="CN293" s="2">
        <f t="shared" si="531"/>
        <v>53094.657865792629</v>
      </c>
      <c r="CO293" s="108">
        <f>'[2]FPC wSEB'!$R390</f>
        <v>3386720</v>
      </c>
      <c r="CP293" s="108">
        <f>'[2]FPC wSEB'!$C390-SUM('[2]FPC wSEB'!$K390:$L390)</f>
        <v>2762442</v>
      </c>
      <c r="CQ293" s="108">
        <f>'[2]FPC wSEB'!$T390-'[2]FPC wSEB'!$T389</f>
        <v>120035</v>
      </c>
      <c r="CR293" s="108">
        <f>SUM('[2]FPC wSEB'!$K390:$L390)</f>
        <v>309173</v>
      </c>
      <c r="CS293" s="108">
        <f>('[2]FPC wSEB'!$N390)-CQ293</f>
        <v>25515</v>
      </c>
      <c r="CT293" s="108">
        <f>'[2]FPC wSEB'!$P390</f>
        <v>11185</v>
      </c>
      <c r="CU293" s="108">
        <f>'[2]FPC wSEB'!$Q390</f>
        <v>158370</v>
      </c>
      <c r="CV293" s="115">
        <f t="shared" ref="CV293:CV298" si="543">CO293-SUM(CP293:CU293)</f>
        <v>0</v>
      </c>
      <c r="CW293" s="108">
        <f t="shared" si="526"/>
        <v>3398705</v>
      </c>
      <c r="CX293" s="108">
        <f t="shared" ref="CX293:CX298" si="544">SUM(CP293:CS293)+CL293</f>
        <v>3451799.6578657925</v>
      </c>
      <c r="CY293" s="108">
        <f t="shared" ref="CY293:CY298" si="545">CW293-CX293</f>
        <v>-53094.657865792513</v>
      </c>
    </row>
    <row r="294" spans="1:103">
      <c r="A294" s="13">
        <f t="shared" si="491"/>
        <v>2007</v>
      </c>
      <c r="B294" s="13">
        <f t="shared" si="492"/>
        <v>2</v>
      </c>
      <c r="C294" s="5">
        <f>'[2]FPC wSEB'!$D391</f>
        <v>1482149</v>
      </c>
      <c r="D294" s="5">
        <f>'[2]FPC wSEB'!$X391</f>
        <v>1453907</v>
      </c>
      <c r="E294" s="5">
        <f t="shared" si="530"/>
        <v>1444775</v>
      </c>
      <c r="F294" s="5">
        <f t="shared" si="530"/>
        <v>1397164</v>
      </c>
      <c r="G294" s="74">
        <f t="shared" si="507"/>
        <v>1034.0999999999999</v>
      </c>
      <c r="H294" s="190">
        <v>37374</v>
      </c>
      <c r="I294" s="170">
        <v>56743</v>
      </c>
      <c r="J294" s="230">
        <f>'[7]RES 62 &amp; 67'!$S379</f>
        <v>31</v>
      </c>
      <c r="K294" s="183">
        <f t="shared" si="301"/>
        <v>43.3</v>
      </c>
      <c r="L294" s="233">
        <f t="shared" si="532"/>
        <v>12.299999999999997</v>
      </c>
      <c r="M294" s="230">
        <f>'[7]RES 62 &amp; 67'!$J379</f>
        <v>150</v>
      </c>
      <c r="N294" s="183">
        <f t="shared" si="302"/>
        <v>127.9</v>
      </c>
      <c r="O294" s="236">
        <f t="shared" si="533"/>
        <v>-22.099999999999994</v>
      </c>
      <c r="P294" s="206">
        <f t="shared" si="534"/>
        <v>27.010799999999996</v>
      </c>
      <c r="Q294" s="208">
        <f t="shared" si="535"/>
        <v>-2.9642999999999993</v>
      </c>
      <c r="R294" s="467">
        <f t="shared" si="508"/>
        <v>24.046499999999998</v>
      </c>
      <c r="S294" s="470">
        <f t="shared" si="536"/>
        <v>-68.244799999999984</v>
      </c>
      <c r="T294" s="425">
        <f t="shared" si="432"/>
        <v>-44.2</v>
      </c>
      <c r="U294" s="579">
        <f>[5]RC!$E174</f>
        <v>1446822</v>
      </c>
      <c r="V294" s="447">
        <v>39114</v>
      </c>
      <c r="W294" s="191">
        <f t="shared" si="509"/>
        <v>989.89999999999986</v>
      </c>
      <c r="X294" s="73">
        <f t="shared" si="510"/>
        <v>1383053</v>
      </c>
      <c r="Y294" s="187">
        <f t="shared" si="511"/>
        <v>34875</v>
      </c>
      <c r="Z294" s="175">
        <f t="shared" si="512"/>
        <v>1417928</v>
      </c>
      <c r="AA294" s="40">
        <f t="shared" si="513"/>
        <v>-64221</v>
      </c>
      <c r="AB294" s="519">
        <f>[9]RMWh!$L174</f>
        <v>1389646</v>
      </c>
      <c r="AC294" s="107">
        <f>'[7]Gov 65 &amp; 70'!$B379</f>
        <v>29.55</v>
      </c>
      <c r="AD294" s="4">
        <f t="shared" si="424"/>
        <v>1430559</v>
      </c>
      <c r="AE294" s="4">
        <f t="shared" ref="AE294:AE299" si="546">AD294-AD282</f>
        <v>-46808</v>
      </c>
      <c r="AF294" s="23">
        <f t="shared" si="514"/>
        <v>983.9</v>
      </c>
      <c r="AG294" s="75">
        <f t="shared" si="537"/>
        <v>-56.000000000000114</v>
      </c>
      <c r="AI294" s="303">
        <f t="shared" si="528"/>
        <v>0.63693446560423772</v>
      </c>
      <c r="AK294" s="319"/>
      <c r="AU294" s="4">
        <f t="shared" si="494"/>
        <v>2007</v>
      </c>
      <c r="AV294" s="4">
        <f t="shared" si="495"/>
        <v>2</v>
      </c>
      <c r="AW294" s="230">
        <f>'[8]RES 62 &amp; 67'!$S379</f>
        <v>32.200000000000003</v>
      </c>
      <c r="AX294" s="200">
        <f t="shared" si="306"/>
        <v>59.2</v>
      </c>
      <c r="AY294" s="203">
        <f t="shared" si="527"/>
        <v>27</v>
      </c>
      <c r="AZ294" s="230">
        <f>'[8]RES 62 &amp; 67'!$J379</f>
        <v>143.80000000000001</v>
      </c>
      <c r="BA294" s="183">
        <f t="shared" si="307"/>
        <v>97.8</v>
      </c>
      <c r="BB294" s="429">
        <f t="shared" si="529"/>
        <v>-46.000000000000014</v>
      </c>
      <c r="BC294" s="206">
        <f t="shared" si="538"/>
        <v>59.292000000000002</v>
      </c>
      <c r="BD294" s="206">
        <f t="shared" si="539"/>
        <v>-6.5069999999999997</v>
      </c>
      <c r="BE294" s="206">
        <f t="shared" si="515"/>
        <v>52.785000000000004</v>
      </c>
      <c r="BF294" s="207">
        <f t="shared" si="540"/>
        <v>-142.04800000000006</v>
      </c>
      <c r="BG294" s="219">
        <f t="shared" si="516"/>
        <v>-89.3</v>
      </c>
      <c r="BH294" s="4">
        <f t="shared" si="320"/>
        <v>2007</v>
      </c>
      <c r="BI294" s="4">
        <f t="shared" si="321"/>
        <v>2</v>
      </c>
      <c r="BJ294" s="108">
        <f>C294+[4]MWh!$AJ128</f>
        <v>1447406.1011722977</v>
      </c>
      <c r="BK294" s="108">
        <f t="shared" si="517"/>
        <v>36497.919996716562</v>
      </c>
      <c r="BL294" s="108">
        <f t="shared" si="518"/>
        <v>1410908.1811755812</v>
      </c>
      <c r="BM294" s="189">
        <f t="shared" si="519"/>
        <v>920.53719962408229</v>
      </c>
      <c r="BN294" s="6">
        <f t="shared" si="520"/>
        <v>1286141</v>
      </c>
      <c r="BO294" s="175">
        <f t="shared" si="521"/>
        <v>33270</v>
      </c>
      <c r="BP294" s="108">
        <f t="shared" si="522"/>
        <v>-127995.10117229774</v>
      </c>
      <c r="BQ294" s="76">
        <f t="shared" si="523"/>
        <v>995.52866942128878</v>
      </c>
      <c r="BR294" s="76">
        <f t="shared" si="524"/>
        <v>907.49339538223558</v>
      </c>
      <c r="BS294" s="76">
        <f t="shared" si="541"/>
        <v>2.5634659807391245</v>
      </c>
      <c r="BT294" s="175">
        <f t="shared" si="525"/>
        <v>1319411</v>
      </c>
      <c r="BU294" s="108">
        <f t="shared" si="542"/>
        <v>33768</v>
      </c>
      <c r="BW294" s="529">
        <f>BT294/[9]RMWh!$L174</f>
        <v>0.94945835126355926</v>
      </c>
      <c r="CK294" s="165">
        <v>39114</v>
      </c>
      <c r="CL294" s="108">
        <f>BP294+COML!BV294+SPA!BV294</f>
        <v>-118091.10117229774</v>
      </c>
      <c r="CM294" s="346">
        <f>'[14]2007'!$D33</f>
        <v>-117596</v>
      </c>
      <c r="CN294" s="2">
        <f t="shared" si="531"/>
        <v>-495.10117229774187</v>
      </c>
      <c r="CO294" s="108">
        <f>'[2]FPC wSEB'!$R391</f>
        <v>3308801</v>
      </c>
      <c r="CP294" s="108">
        <f>'[2]FPC wSEB'!$C391-SUM('[2]FPC wSEB'!$K391:$L391)</f>
        <v>2885029</v>
      </c>
      <c r="CQ294" s="108">
        <f>'[2]FPC wSEB'!$T391-'[2]FPC wSEB'!$T390</f>
        <v>-201508</v>
      </c>
      <c r="CR294" s="108">
        <f>SUM('[2]FPC wSEB'!$K391:$L391)</f>
        <v>328125</v>
      </c>
      <c r="CS294" s="108">
        <f>('[2]FPC wSEB'!$N391)-CQ294</f>
        <v>63858</v>
      </c>
      <c r="CT294" s="108">
        <f>'[2]FPC wSEB'!$P391</f>
        <v>19584</v>
      </c>
      <c r="CU294" s="108">
        <f>'[2]FPC wSEB'!$Q391</f>
        <v>213713</v>
      </c>
      <c r="CV294" s="115">
        <f t="shared" si="543"/>
        <v>0</v>
      </c>
      <c r="CW294" s="108">
        <f t="shared" si="526"/>
        <v>2957908</v>
      </c>
      <c r="CX294" s="108">
        <f t="shared" si="544"/>
        <v>2957412.8988277023</v>
      </c>
      <c r="CY294" s="108">
        <f t="shared" si="545"/>
        <v>495.10117229772732</v>
      </c>
    </row>
    <row r="295" spans="1:103">
      <c r="A295" s="13">
        <f t="shared" si="491"/>
        <v>2007</v>
      </c>
      <c r="B295" s="13">
        <f t="shared" si="492"/>
        <v>3</v>
      </c>
      <c r="C295" s="5">
        <f>'[2]FPC wSEB'!$D392</f>
        <v>1368113</v>
      </c>
      <c r="D295" s="5">
        <f>'[2]FPC wSEB'!$X392</f>
        <v>1441633</v>
      </c>
      <c r="E295" s="5">
        <f t="shared" ref="E295:F297" si="547">ROUND(C295-H295,0)</f>
        <v>1333603</v>
      </c>
      <c r="F295" s="5">
        <f t="shared" si="547"/>
        <v>1385035</v>
      </c>
      <c r="G295" s="74">
        <f t="shared" ref="G295:G300" si="548">ROUND((E295)/F295*1000,1)</f>
        <v>962.9</v>
      </c>
      <c r="H295" s="190">
        <v>34510</v>
      </c>
      <c r="I295" s="170">
        <v>56598</v>
      </c>
      <c r="J295" s="230">
        <f>'[7]RES 62 &amp; 67'!$S380</f>
        <v>66.400000000000006</v>
      </c>
      <c r="K295" s="183">
        <f t="shared" si="301"/>
        <v>77.2</v>
      </c>
      <c r="L295" s="233">
        <f t="shared" si="532"/>
        <v>10.799999999999997</v>
      </c>
      <c r="M295" s="230">
        <f>'[7]RES 62 &amp; 67'!$J380</f>
        <v>103.5</v>
      </c>
      <c r="N295" s="183">
        <f t="shared" si="302"/>
        <v>82.3</v>
      </c>
      <c r="O295" s="236">
        <f t="shared" si="533"/>
        <v>-21.200000000000003</v>
      </c>
      <c r="P295" s="206">
        <f t="shared" si="534"/>
        <v>23.716799999999996</v>
      </c>
      <c r="Q295" s="208">
        <f t="shared" si="535"/>
        <v>-2.6027999999999993</v>
      </c>
      <c r="R295" s="467">
        <f t="shared" ref="R295:R300" si="549">P295+Q295</f>
        <v>21.113999999999997</v>
      </c>
      <c r="S295" s="470">
        <f t="shared" si="536"/>
        <v>-65.465600000000009</v>
      </c>
      <c r="T295" s="425">
        <f t="shared" si="432"/>
        <v>-44.4</v>
      </c>
      <c r="U295" s="579">
        <f>[5]RC!$E175</f>
        <v>1448975</v>
      </c>
      <c r="V295" s="447">
        <v>39142</v>
      </c>
      <c r="W295" s="191">
        <f t="shared" ref="W295:W300" si="550">(G295+T295)</f>
        <v>918.5</v>
      </c>
      <c r="X295" s="73">
        <f t="shared" ref="X295:X300" si="551">ROUND(W295*F295/1000,0)</f>
        <v>1272155</v>
      </c>
      <c r="Y295" s="187">
        <f t="shared" ref="Y295:Y300" si="552">ROUND((X295/C295)*H295,0)</f>
        <v>32090</v>
      </c>
      <c r="Z295" s="175">
        <f t="shared" ref="Z295:Z300" si="553">Y295+X295</f>
        <v>1304245</v>
      </c>
      <c r="AA295" s="40">
        <f t="shared" ref="AA295:AA300" si="554">Z295-C295</f>
        <v>-63868</v>
      </c>
      <c r="AB295" s="519">
        <f>[9]RMWh!$L175</f>
        <v>1344955</v>
      </c>
      <c r="AC295" s="107">
        <f>'[7]Gov 65 &amp; 70'!$B380</f>
        <v>29.4</v>
      </c>
      <c r="AD295" s="4">
        <f t="shared" si="424"/>
        <v>1391617</v>
      </c>
      <c r="AE295" s="4">
        <f t="shared" si="546"/>
        <v>40024</v>
      </c>
      <c r="AF295" s="23">
        <f t="shared" ref="AF295:AF300" si="555">ROUND((AD295/(D295)*1000),1)</f>
        <v>965.3</v>
      </c>
      <c r="AG295" s="75">
        <f t="shared" si="537"/>
        <v>25</v>
      </c>
      <c r="AI295" s="303">
        <f t="shared" si="528"/>
        <v>0.63323175826190659</v>
      </c>
      <c r="AK295" s="319"/>
      <c r="AU295" s="4">
        <f t="shared" si="494"/>
        <v>2007</v>
      </c>
      <c r="AV295" s="4">
        <f t="shared" si="495"/>
        <v>3</v>
      </c>
      <c r="AW295" s="230">
        <f>'[8]RES 62 &amp; 67'!$S380</f>
        <v>117.6</v>
      </c>
      <c r="AX295" s="200">
        <f t="shared" si="306"/>
        <v>105.8</v>
      </c>
      <c r="AY295" s="203">
        <f t="shared" si="527"/>
        <v>-11.799999999999997</v>
      </c>
      <c r="AZ295" s="230">
        <f>'[8]RES 62 &amp; 67'!$J380</f>
        <v>44.2</v>
      </c>
      <c r="BA295" s="183">
        <f t="shared" si="307"/>
        <v>49.9</v>
      </c>
      <c r="BB295" s="429">
        <f t="shared" si="529"/>
        <v>5.6999999999999957</v>
      </c>
      <c r="BC295" s="206">
        <f t="shared" si="538"/>
        <v>-25.912799999999997</v>
      </c>
      <c r="BD295" s="206">
        <f t="shared" si="539"/>
        <v>2.8437999999999994</v>
      </c>
      <c r="BE295" s="206">
        <f t="shared" ref="BE295:BE300" si="556">BC295+BD295</f>
        <v>-23.068999999999999</v>
      </c>
      <c r="BF295" s="207">
        <f t="shared" si="540"/>
        <v>17.601599999999987</v>
      </c>
      <c r="BG295" s="219">
        <f t="shared" ref="BG295:BG300" si="557">ROUND(BF295+BE295,1)</f>
        <v>-5.5</v>
      </c>
      <c r="BH295" s="4">
        <f t="shared" si="320"/>
        <v>2007</v>
      </c>
      <c r="BI295" s="4">
        <f t="shared" si="321"/>
        <v>3</v>
      </c>
      <c r="BJ295" s="108">
        <f>C295+[4]MWh!$AJ129</f>
        <v>1412465.674536773</v>
      </c>
      <c r="BK295" s="108">
        <f t="shared" ref="BK295:BK300" si="558">(H295/C295)*BJ295</f>
        <v>35628.775129147987</v>
      </c>
      <c r="BL295" s="108">
        <f t="shared" ref="BL295:BL300" si="559">BJ295-BK295</f>
        <v>1376836.899407625</v>
      </c>
      <c r="BM295" s="189">
        <f t="shared" ref="BM295:BM300" si="560">(BL295/F295*1000)+BG295</f>
        <v>988.58094337516741</v>
      </c>
      <c r="BN295" s="6">
        <f t="shared" ref="BN295:BN300" si="561">ROUND(BM295*F295/1000,0)</f>
        <v>1369219</v>
      </c>
      <c r="BO295" s="175">
        <f t="shared" ref="BO295:BO300" si="562">ROUND(BN295/BL295*BK295,0)</f>
        <v>35432</v>
      </c>
      <c r="BP295" s="108">
        <f t="shared" ref="BP295:BP300" si="563">(BN295-BL295)+(BO295-BK295)</f>
        <v>-7814.6745367729527</v>
      </c>
      <c r="BQ295" s="76">
        <f t="shared" ref="BQ295:BQ300" si="564">BJ295/D295*1000</f>
        <v>979.76785668528191</v>
      </c>
      <c r="BR295" s="76">
        <f t="shared" ref="BR295:BR300" si="565">(BN295+BO295)/D295*1000</f>
        <v>974.34714660388602</v>
      </c>
      <c r="BS295" s="76">
        <f t="shared" si="541"/>
        <v>87.585107935160977</v>
      </c>
      <c r="BT295" s="175">
        <f t="shared" ref="BT295:BT300" si="566">(BN295+BO295)</f>
        <v>1404651</v>
      </c>
      <c r="BU295" s="108">
        <f t="shared" si="542"/>
        <v>130029</v>
      </c>
      <c r="BW295" s="529">
        <f>BT295/[9]RMWh!$L175</f>
        <v>1.0443851281269634</v>
      </c>
      <c r="CK295" s="165">
        <v>39142</v>
      </c>
      <c r="CL295" s="108">
        <f>BP295+COML!BV295+SPA!BV295</f>
        <v>-16963.674536772953</v>
      </c>
      <c r="CM295" s="346">
        <f>'[14]2007'!$D34</f>
        <v>35096</v>
      </c>
      <c r="CN295" s="2">
        <f t="shared" si="531"/>
        <v>-52059.674536772953</v>
      </c>
      <c r="CO295" s="108">
        <f>'[2]FPC wSEB'!$R392</f>
        <v>3459314</v>
      </c>
      <c r="CP295" s="108">
        <f>'[2]FPC wSEB'!$C392-SUM('[2]FPC wSEB'!$K392:$L392)</f>
        <v>2774163</v>
      </c>
      <c r="CQ295" s="108">
        <f>'[2]FPC wSEB'!$T392-'[2]FPC wSEB'!$T391</f>
        <v>150824</v>
      </c>
      <c r="CR295" s="108">
        <f>SUM('[2]FPC wSEB'!$K392:$L392)</f>
        <v>389752</v>
      </c>
      <c r="CS295" s="108">
        <f>('[2]FPC wSEB'!$N392)-CQ295</f>
        <v>31099</v>
      </c>
      <c r="CT295" s="108">
        <f>'[2]FPC wSEB'!$P392</f>
        <v>3388</v>
      </c>
      <c r="CU295" s="108">
        <f>'[2]FPC wSEB'!$Q392</f>
        <v>110088</v>
      </c>
      <c r="CV295" s="115">
        <f t="shared" si="543"/>
        <v>0</v>
      </c>
      <c r="CW295" s="108">
        <f t="shared" ref="CW295:CW300" si="567">CO295-CT295-CU295+CM295</f>
        <v>3380934</v>
      </c>
      <c r="CX295" s="108">
        <f t="shared" si="544"/>
        <v>3328874.325463227</v>
      </c>
      <c r="CY295" s="108">
        <f t="shared" si="545"/>
        <v>52059.674536773004</v>
      </c>
    </row>
    <row r="296" spans="1:103">
      <c r="A296" s="13">
        <f t="shared" si="491"/>
        <v>2007</v>
      </c>
      <c r="B296" s="13">
        <f t="shared" si="492"/>
        <v>4</v>
      </c>
      <c r="C296" s="5">
        <f>'[2]FPC wSEB'!$D393</f>
        <v>1321163</v>
      </c>
      <c r="D296" s="5">
        <f>'[2]FPC wSEB'!$X393</f>
        <v>1446571</v>
      </c>
      <c r="E296" s="5">
        <f t="shared" si="547"/>
        <v>1293523</v>
      </c>
      <c r="F296" s="5">
        <f t="shared" si="547"/>
        <v>1389828</v>
      </c>
      <c r="G296" s="74">
        <f t="shared" si="548"/>
        <v>930.7</v>
      </c>
      <c r="H296" s="190">
        <v>27640</v>
      </c>
      <c r="I296" s="170">
        <v>56743</v>
      </c>
      <c r="J296" s="230">
        <f>'[7]RES 62 &amp; 67'!$S381</f>
        <v>130</v>
      </c>
      <c r="K296" s="183">
        <f t="shared" si="301"/>
        <v>138.1</v>
      </c>
      <c r="L296" s="233">
        <f t="shared" si="532"/>
        <v>8.0999999999999943</v>
      </c>
      <c r="M296" s="230">
        <f>'[7]RES 62 &amp; 67'!$J381</f>
        <v>33.299999999999997</v>
      </c>
      <c r="N296" s="183">
        <f t="shared" si="302"/>
        <v>37.299999999999997</v>
      </c>
      <c r="O296" s="236">
        <f t="shared" si="533"/>
        <v>4</v>
      </c>
      <c r="P296" s="206">
        <f t="shared" si="534"/>
        <v>17.787599999999991</v>
      </c>
      <c r="Q296" s="208">
        <f t="shared" si="535"/>
        <v>-1.9520999999999986</v>
      </c>
      <c r="R296" s="467">
        <f t="shared" si="549"/>
        <v>15.835499999999993</v>
      </c>
      <c r="S296" s="470">
        <f t="shared" si="536"/>
        <v>12.352</v>
      </c>
      <c r="T296" s="425">
        <f t="shared" si="432"/>
        <v>28.2</v>
      </c>
      <c r="U296" s="579">
        <f>[5]RC!$E176</f>
        <v>1448322</v>
      </c>
      <c r="V296" s="447">
        <v>39173</v>
      </c>
      <c r="W296" s="191">
        <f t="shared" si="550"/>
        <v>958.90000000000009</v>
      </c>
      <c r="X296" s="73">
        <f t="shared" si="551"/>
        <v>1332706</v>
      </c>
      <c r="Y296" s="187">
        <f t="shared" si="552"/>
        <v>27881</v>
      </c>
      <c r="Z296" s="175">
        <f t="shared" si="553"/>
        <v>1360587</v>
      </c>
      <c r="AA296" s="40">
        <f t="shared" si="554"/>
        <v>39424</v>
      </c>
      <c r="AB296" s="519">
        <f>[9]RMWh!$L176</f>
        <v>1354307</v>
      </c>
      <c r="AC296" s="107">
        <f>'[7]Gov 65 &amp; 70'!$B381</f>
        <v>30.4</v>
      </c>
      <c r="AD296" s="4">
        <f t="shared" si="424"/>
        <v>1355198</v>
      </c>
      <c r="AE296" s="4">
        <f t="shared" si="546"/>
        <v>65562</v>
      </c>
      <c r="AF296" s="23">
        <f t="shared" si="555"/>
        <v>936.8</v>
      </c>
      <c r="AG296" s="75">
        <f t="shared" si="537"/>
        <v>23.299999999999955</v>
      </c>
      <c r="AI296" s="303">
        <f t="shared" si="528"/>
        <v>0.52337868488535999</v>
      </c>
      <c r="AK296" s="319"/>
      <c r="AU296" s="4">
        <f t="shared" si="494"/>
        <v>2007</v>
      </c>
      <c r="AV296" s="4">
        <f t="shared" si="495"/>
        <v>4</v>
      </c>
      <c r="AW296" s="230">
        <f>'[8]RES 62 &amp; 67'!$S381</f>
        <v>152.80000000000001</v>
      </c>
      <c r="AX296" s="200">
        <f t="shared" si="306"/>
        <v>181.7</v>
      </c>
      <c r="AY296" s="203">
        <f t="shared" ref="AY296:AY301" si="568">AX296-AW296</f>
        <v>28.899999999999977</v>
      </c>
      <c r="AZ296" s="230">
        <f>'[8]RES 62 &amp; 67'!$J381</f>
        <v>27.1</v>
      </c>
      <c r="BA296" s="183">
        <f t="shared" si="307"/>
        <v>21.5</v>
      </c>
      <c r="BB296" s="429">
        <f t="shared" si="529"/>
        <v>-5.6000000000000014</v>
      </c>
      <c r="BC296" s="206">
        <f t="shared" si="538"/>
        <v>63.464399999999955</v>
      </c>
      <c r="BD296" s="206">
        <f t="shared" si="539"/>
        <v>-3.4824499999999969</v>
      </c>
      <c r="BE296" s="206">
        <f t="shared" si="556"/>
        <v>59.981949999999955</v>
      </c>
      <c r="BF296" s="207">
        <f t="shared" si="540"/>
        <v>-17.292800000000003</v>
      </c>
      <c r="BG296" s="219">
        <f t="shared" si="557"/>
        <v>42.7</v>
      </c>
      <c r="BH296" s="4">
        <f t="shared" ref="BH296:BH364" si="569">BH284+1</f>
        <v>2007</v>
      </c>
      <c r="BI296" s="4">
        <f t="shared" ref="BI296:BI364" si="570">BI284</f>
        <v>4</v>
      </c>
      <c r="BJ296" s="108">
        <f>C296+[4]MWh!$AJ130</f>
        <v>1309874.6992032724</v>
      </c>
      <c r="BK296" s="108">
        <f t="shared" si="558"/>
        <v>27403.837895837565</v>
      </c>
      <c r="BL296" s="108">
        <f t="shared" si="559"/>
        <v>1282470.8613074347</v>
      </c>
      <c r="BM296" s="189">
        <f t="shared" si="560"/>
        <v>965.45509005965835</v>
      </c>
      <c r="BN296" s="6">
        <f t="shared" si="561"/>
        <v>1341817</v>
      </c>
      <c r="BO296" s="175">
        <f t="shared" si="562"/>
        <v>28672</v>
      </c>
      <c r="BP296" s="108">
        <f t="shared" si="563"/>
        <v>60614.300796727694</v>
      </c>
      <c r="BQ296" s="76">
        <f t="shared" si="564"/>
        <v>905.50322051477076</v>
      </c>
      <c r="BR296" s="76">
        <f t="shared" si="565"/>
        <v>947.40527772228256</v>
      </c>
      <c r="BS296" s="76">
        <f t="shared" si="541"/>
        <v>-4.1156395387699831</v>
      </c>
      <c r="BT296" s="175">
        <f t="shared" si="566"/>
        <v>1370489</v>
      </c>
      <c r="BU296" s="108">
        <f t="shared" si="542"/>
        <v>27245</v>
      </c>
      <c r="BW296" s="529">
        <f>BT296/[9]RMWh!$L176</f>
        <v>1.0119485463783322</v>
      </c>
      <c r="CK296" s="165">
        <v>39173</v>
      </c>
      <c r="CL296" s="108">
        <f>BP296+COML!BV296+SPA!BV296</f>
        <v>86801.300796727694</v>
      </c>
      <c r="CM296" s="346">
        <f>'[14]2007'!$D35</f>
        <v>63627</v>
      </c>
      <c r="CN296" s="2">
        <f t="shared" si="531"/>
        <v>23174.300796727694</v>
      </c>
      <c r="CO296" s="108">
        <f>'[2]FPC wSEB'!$R393</f>
        <v>3491403</v>
      </c>
      <c r="CP296" s="108">
        <f>'[2]FPC wSEB'!$C393-SUM('[2]FPC wSEB'!$K393:$L393)</f>
        <v>2798985</v>
      </c>
      <c r="CQ296" s="108">
        <f>'[2]FPC wSEB'!$T393-'[2]FPC wSEB'!$T392</f>
        <v>48227</v>
      </c>
      <c r="CR296" s="108">
        <f>SUM('[2]FPC wSEB'!$K393:$L393)</f>
        <v>426804</v>
      </c>
      <c r="CS296" s="108">
        <f>('[2]FPC wSEB'!$N393)-CQ296</f>
        <v>23460</v>
      </c>
      <c r="CT296" s="108">
        <f>'[2]FPC wSEB'!$P393</f>
        <v>8737</v>
      </c>
      <c r="CU296" s="108">
        <f>'[2]FPC wSEB'!$Q393</f>
        <v>185190</v>
      </c>
      <c r="CV296" s="115">
        <f t="shared" si="543"/>
        <v>0</v>
      </c>
      <c r="CW296" s="108">
        <f t="shared" si="567"/>
        <v>3361103</v>
      </c>
      <c r="CX296" s="108">
        <f t="shared" si="544"/>
        <v>3384277.3007967276</v>
      </c>
      <c r="CY296" s="108">
        <f t="shared" si="545"/>
        <v>-23174.30079672765</v>
      </c>
    </row>
    <row r="297" spans="1:103">
      <c r="A297" s="13">
        <f t="shared" si="491"/>
        <v>2007</v>
      </c>
      <c r="B297" s="13">
        <f t="shared" si="492"/>
        <v>5</v>
      </c>
      <c r="C297" s="5">
        <f>'[2]FPC wSEB'!$D394</f>
        <v>1471813</v>
      </c>
      <c r="D297" s="5">
        <f>'[2]FPC wSEB'!$X394</f>
        <v>1457136</v>
      </c>
      <c r="E297" s="5">
        <f t="shared" si="547"/>
        <v>1450068</v>
      </c>
      <c r="F297" s="5">
        <f t="shared" si="547"/>
        <v>1397700</v>
      </c>
      <c r="G297" s="74">
        <f t="shared" si="548"/>
        <v>1037.5</v>
      </c>
      <c r="H297" s="190">
        <v>21745</v>
      </c>
      <c r="I297" s="170">
        <v>59436</v>
      </c>
      <c r="J297" s="230">
        <f>'[7]RES 62 &amp; 67'!$S382</f>
        <v>213.9</v>
      </c>
      <c r="K297" s="183">
        <f t="shared" si="301"/>
        <v>224.4</v>
      </c>
      <c r="L297" s="233">
        <f t="shared" si="532"/>
        <v>10.5</v>
      </c>
      <c r="M297" s="230">
        <f>'[7]RES 62 &amp; 67'!$J382</f>
        <v>12.4</v>
      </c>
      <c r="N297" s="183">
        <f t="shared" si="302"/>
        <v>11.2</v>
      </c>
      <c r="O297" s="236">
        <f t="shared" si="533"/>
        <v>-1.2000000000000011</v>
      </c>
      <c r="P297" s="206">
        <f t="shared" si="534"/>
        <v>23.058000000000003</v>
      </c>
      <c r="Q297" s="208">
        <f t="shared" si="535"/>
        <v>0</v>
      </c>
      <c r="R297" s="467">
        <f t="shared" si="549"/>
        <v>23.058000000000003</v>
      </c>
      <c r="S297" s="470">
        <f t="shared" si="536"/>
        <v>-3.7056000000000036</v>
      </c>
      <c r="T297" s="425">
        <f t="shared" si="432"/>
        <v>19.399999999999999</v>
      </c>
      <c r="U297" s="579">
        <f>[5]RC!$E177</f>
        <v>1447045</v>
      </c>
      <c r="V297" s="447">
        <v>39203</v>
      </c>
      <c r="W297" s="191">
        <f t="shared" si="550"/>
        <v>1056.9000000000001</v>
      </c>
      <c r="X297" s="73">
        <f t="shared" si="551"/>
        <v>1477229</v>
      </c>
      <c r="Y297" s="187">
        <f t="shared" si="552"/>
        <v>21825</v>
      </c>
      <c r="Z297" s="175">
        <f t="shared" si="553"/>
        <v>1499054</v>
      </c>
      <c r="AA297" s="40">
        <f t="shared" si="554"/>
        <v>27241</v>
      </c>
      <c r="AB297" s="519">
        <f>[9]RMWh!$L177</f>
        <v>1467205</v>
      </c>
      <c r="AC297" s="107">
        <f>'[7]Gov 65 &amp; 70'!$B382</f>
        <v>29.8</v>
      </c>
      <c r="AD297" s="4">
        <f t="shared" si="424"/>
        <v>1497731</v>
      </c>
      <c r="AE297" s="4">
        <f t="shared" si="546"/>
        <v>6410</v>
      </c>
      <c r="AF297" s="23">
        <f t="shared" si="555"/>
        <v>1027.9000000000001</v>
      </c>
      <c r="AG297" s="75">
        <f t="shared" si="537"/>
        <v>-14.599999999999909</v>
      </c>
      <c r="AI297" s="303">
        <f t="shared" ref="AI297:AI302" si="571">(H297/I297*1000)/G297</f>
        <v>0.35263200997002342</v>
      </c>
      <c r="AK297" s="319"/>
      <c r="AU297" s="4">
        <f t="shared" si="494"/>
        <v>2007</v>
      </c>
      <c r="AV297" s="4">
        <f t="shared" si="495"/>
        <v>5</v>
      </c>
      <c r="AW297" s="230">
        <f>'[8]RES 62 &amp; 67'!$S382</f>
        <v>290.2</v>
      </c>
      <c r="AX297" s="200">
        <f t="shared" si="306"/>
        <v>336.7</v>
      </c>
      <c r="AY297" s="203">
        <f t="shared" si="568"/>
        <v>46.5</v>
      </c>
      <c r="AZ297" s="230">
        <f>'[8]RES 62 &amp; 67'!$J382</f>
        <v>2</v>
      </c>
      <c r="BA297" s="183">
        <f t="shared" si="307"/>
        <v>2.1</v>
      </c>
      <c r="BB297" s="429">
        <f t="shared" ref="BB297:BB302" si="572">BA297-AZ297</f>
        <v>0.10000000000000009</v>
      </c>
      <c r="BC297" s="206">
        <f t="shared" si="538"/>
        <v>102.114</v>
      </c>
      <c r="BD297" s="206">
        <f t="shared" si="539"/>
        <v>0</v>
      </c>
      <c r="BE297" s="206">
        <f t="shared" si="556"/>
        <v>102.114</v>
      </c>
      <c r="BF297" s="207">
        <f t="shared" si="540"/>
        <v>0.3088000000000003</v>
      </c>
      <c r="BG297" s="219">
        <f t="shared" si="557"/>
        <v>102.4</v>
      </c>
      <c r="BH297" s="4">
        <f t="shared" si="569"/>
        <v>2007</v>
      </c>
      <c r="BI297" s="4">
        <f t="shared" si="570"/>
        <v>5</v>
      </c>
      <c r="BJ297" s="108">
        <f>C297+[4]MWh!$AJ131</f>
        <v>1661808.6034531663</v>
      </c>
      <c r="BK297" s="108">
        <f t="shared" si="558"/>
        <v>24552.05116552789</v>
      </c>
      <c r="BL297" s="108">
        <f t="shared" si="559"/>
        <v>1637256.5522876384</v>
      </c>
      <c r="BM297" s="189">
        <f t="shared" si="560"/>
        <v>1273.7933979306279</v>
      </c>
      <c r="BN297" s="6">
        <f t="shared" si="561"/>
        <v>1780381</v>
      </c>
      <c r="BO297" s="175">
        <f t="shared" si="562"/>
        <v>26698</v>
      </c>
      <c r="BP297" s="108">
        <f t="shared" si="563"/>
        <v>145270.39654683368</v>
      </c>
      <c r="BQ297" s="76">
        <f t="shared" si="564"/>
        <v>1140.4622516039453</v>
      </c>
      <c r="BR297" s="76">
        <f t="shared" si="565"/>
        <v>1240.1580909400359</v>
      </c>
      <c r="BS297" s="76">
        <f t="shared" si="541"/>
        <v>17.766692368946906</v>
      </c>
      <c r="BT297" s="175">
        <f t="shared" si="566"/>
        <v>1807079</v>
      </c>
      <c r="BU297" s="108">
        <f t="shared" si="542"/>
        <v>58497</v>
      </c>
      <c r="BW297" s="529">
        <f>BT297/[9]RMWh!$L177</f>
        <v>1.2316472476579619</v>
      </c>
      <c r="CK297" s="165">
        <v>39203</v>
      </c>
      <c r="CL297" s="108">
        <f>BP297+COML!BV297+SPA!BV297</f>
        <v>186554.39654683368</v>
      </c>
      <c r="CM297" s="346">
        <f>'[14]2007'!$D36</f>
        <v>197208</v>
      </c>
      <c r="CN297" s="2">
        <f t="shared" si="531"/>
        <v>-10653.603453166317</v>
      </c>
      <c r="CO297" s="108">
        <f>'[2]FPC wSEB'!$R394</f>
        <v>4034814</v>
      </c>
      <c r="CP297" s="108">
        <f>'[2]FPC wSEB'!$C394-SUM('[2]FPC wSEB'!$K394:$L394)</f>
        <v>3042929</v>
      </c>
      <c r="CQ297" s="108">
        <f>'[2]FPC wSEB'!$T394-'[2]FPC wSEB'!$T393</f>
        <v>352803</v>
      </c>
      <c r="CR297" s="108">
        <f>SUM('[2]FPC wSEB'!$K394:$L394)</f>
        <v>452746</v>
      </c>
      <c r="CS297" s="108">
        <f>('[2]FPC wSEB'!$N394)-CQ297</f>
        <v>-988</v>
      </c>
      <c r="CT297" s="108">
        <f>'[2]FPC wSEB'!$P394</f>
        <v>9511</v>
      </c>
      <c r="CU297" s="108">
        <f>'[2]FPC wSEB'!$Q394</f>
        <v>177813</v>
      </c>
      <c r="CV297" s="115">
        <f t="shared" si="543"/>
        <v>0</v>
      </c>
      <c r="CW297" s="108">
        <f t="shared" si="567"/>
        <v>4044698</v>
      </c>
      <c r="CX297" s="108">
        <f t="shared" si="544"/>
        <v>4034044.3965468337</v>
      </c>
      <c r="CY297" s="108">
        <f t="shared" si="545"/>
        <v>10653.603453166317</v>
      </c>
    </row>
    <row r="298" spans="1:103">
      <c r="A298" s="13">
        <f t="shared" si="491"/>
        <v>2007</v>
      </c>
      <c r="B298" s="13">
        <f t="shared" si="492"/>
        <v>6</v>
      </c>
      <c r="C298" s="5">
        <f>'[2]FPC wSEB'!$D395</f>
        <v>1709203</v>
      </c>
      <c r="D298" s="5">
        <f>'[2]FPC wSEB'!$X395</f>
        <v>1439464</v>
      </c>
      <c r="E298" s="5">
        <f t="shared" ref="E298:F300" si="573">ROUND(C298-H298,0)</f>
        <v>1691878</v>
      </c>
      <c r="F298" s="5">
        <f t="shared" si="573"/>
        <v>1381437</v>
      </c>
      <c r="G298" s="74">
        <f t="shared" si="548"/>
        <v>1224.7</v>
      </c>
      <c r="H298" s="190">
        <v>17325</v>
      </c>
      <c r="I298" s="170">
        <v>58027</v>
      </c>
      <c r="J298" s="230">
        <f>'[7]RES 62 &amp; 67'!$S383</f>
        <v>331.7</v>
      </c>
      <c r="K298" s="183">
        <f t="shared" si="301"/>
        <v>382.8</v>
      </c>
      <c r="L298" s="233">
        <f t="shared" si="532"/>
        <v>51.100000000000023</v>
      </c>
      <c r="M298" s="230">
        <f>'[7]RES 62 &amp; 67'!$J383</f>
        <v>1</v>
      </c>
      <c r="N298" s="183">
        <f t="shared" si="302"/>
        <v>0.9</v>
      </c>
      <c r="O298" s="236">
        <f t="shared" si="533"/>
        <v>-9.9999999999999978E-2</v>
      </c>
      <c r="P298" s="206">
        <f t="shared" si="534"/>
        <v>112.21560000000005</v>
      </c>
      <c r="Q298" s="208">
        <f t="shared" si="535"/>
        <v>0</v>
      </c>
      <c r="R298" s="467">
        <f t="shared" si="549"/>
        <v>112.21560000000005</v>
      </c>
      <c r="S298" s="470">
        <f t="shared" si="536"/>
        <v>-0.30879999999999996</v>
      </c>
      <c r="T298" s="425">
        <f t="shared" si="432"/>
        <v>111.9</v>
      </c>
      <c r="U298" s="579">
        <f>[5]RC!$E178</f>
        <v>1446743</v>
      </c>
      <c r="V298" s="447">
        <v>39234</v>
      </c>
      <c r="W298" s="191">
        <f t="shared" si="550"/>
        <v>1336.6000000000001</v>
      </c>
      <c r="X298" s="73">
        <f t="shared" si="551"/>
        <v>1846429</v>
      </c>
      <c r="Y298" s="187">
        <f t="shared" si="552"/>
        <v>18716</v>
      </c>
      <c r="Z298" s="175">
        <f t="shared" si="553"/>
        <v>1865145</v>
      </c>
      <c r="AA298" s="40">
        <f t="shared" si="554"/>
        <v>155942</v>
      </c>
      <c r="AB298" s="519">
        <f>[9]RMWh!$L178</f>
        <v>1843567</v>
      </c>
      <c r="AC298" s="107">
        <f>'[7]Gov 65 &amp; 70'!$B383</f>
        <v>30.8</v>
      </c>
      <c r="AD298" s="4">
        <f t="shared" si="424"/>
        <v>1820822</v>
      </c>
      <c r="AE298" s="4">
        <f t="shared" si="546"/>
        <v>9380</v>
      </c>
      <c r="AF298" s="23">
        <f t="shared" si="555"/>
        <v>1264.9000000000001</v>
      </c>
      <c r="AG298" s="75">
        <f t="shared" si="537"/>
        <v>1.2000000000000455</v>
      </c>
      <c r="AI298" s="303">
        <f t="shared" si="571"/>
        <v>0.24378860785727738</v>
      </c>
      <c r="AJ298" s="361"/>
      <c r="AK298" s="319"/>
      <c r="AU298" s="4">
        <f t="shared" si="494"/>
        <v>2007</v>
      </c>
      <c r="AV298" s="4">
        <f t="shared" si="495"/>
        <v>6</v>
      </c>
      <c r="AW298" s="230">
        <f>'[8]RES 62 &amp; 67'!$S383</f>
        <v>411.4</v>
      </c>
      <c r="AX298" s="200">
        <f t="shared" si="306"/>
        <v>425.2</v>
      </c>
      <c r="AY298" s="203">
        <f t="shared" si="568"/>
        <v>13.800000000000011</v>
      </c>
      <c r="AZ298" s="230">
        <f>'[8]RES 62 &amp; 67'!$J383</f>
        <v>0</v>
      </c>
      <c r="BA298" s="183">
        <f t="shared" si="307"/>
        <v>0</v>
      </c>
      <c r="BB298" s="429">
        <f t="shared" si="572"/>
        <v>0</v>
      </c>
      <c r="BC298" s="206">
        <f t="shared" si="538"/>
        <v>30.304800000000029</v>
      </c>
      <c r="BD298" s="206">
        <f t="shared" si="539"/>
        <v>0</v>
      </c>
      <c r="BE298" s="206">
        <f t="shared" si="556"/>
        <v>30.304800000000029</v>
      </c>
      <c r="BF298" s="207">
        <f t="shared" si="540"/>
        <v>0</v>
      </c>
      <c r="BG298" s="219">
        <f t="shared" si="557"/>
        <v>30.3</v>
      </c>
      <c r="BH298" s="4">
        <f t="shared" si="569"/>
        <v>2007</v>
      </c>
      <c r="BI298" s="4">
        <f t="shared" si="570"/>
        <v>6</v>
      </c>
      <c r="BJ298" s="108">
        <f>C298+[4]MWh!$AJ132</f>
        <v>1896212.5901056055</v>
      </c>
      <c r="BK298" s="108">
        <f t="shared" si="558"/>
        <v>19220.585924304847</v>
      </c>
      <c r="BL298" s="108">
        <f t="shared" si="559"/>
        <v>1876992.0041813008</v>
      </c>
      <c r="BM298" s="189">
        <f t="shared" si="560"/>
        <v>1389.0242879561649</v>
      </c>
      <c r="BN298" s="6">
        <f t="shared" si="561"/>
        <v>1918850</v>
      </c>
      <c r="BO298" s="175">
        <f t="shared" si="562"/>
        <v>19649</v>
      </c>
      <c r="BP298" s="108">
        <f t="shared" si="563"/>
        <v>42286.409894394397</v>
      </c>
      <c r="BQ298" s="76">
        <f t="shared" si="564"/>
        <v>1317.3046287407017</v>
      </c>
      <c r="BR298" s="76">
        <f t="shared" si="565"/>
        <v>1346.6811257523634</v>
      </c>
      <c r="BS298" s="76">
        <f t="shared" si="541"/>
        <v>-66.481900020490912</v>
      </c>
      <c r="BT298" s="175">
        <f t="shared" si="566"/>
        <v>1938499</v>
      </c>
      <c r="BU298" s="108">
        <f t="shared" si="542"/>
        <v>-87249</v>
      </c>
      <c r="BW298" s="529">
        <f>BT298/[9]RMWh!$L178</f>
        <v>1.0514936533361685</v>
      </c>
      <c r="CK298" s="165">
        <v>39234</v>
      </c>
      <c r="CL298" s="108">
        <f>BP298+COML!BV298+SPA!BV298</f>
        <v>54415.409894394397</v>
      </c>
      <c r="CM298" s="346">
        <f>'[14]2007'!$D37</f>
        <v>169125</v>
      </c>
      <c r="CN298" s="2">
        <f t="shared" ref="CN298:CN303" si="574">CL298-CM298</f>
        <v>-114709.5901056056</v>
      </c>
      <c r="CO298" s="108">
        <f>'[2]FPC wSEB'!$R395</f>
        <v>4430181</v>
      </c>
      <c r="CP298" s="108">
        <f>'[2]FPC wSEB'!$C395-SUM('[2]FPC wSEB'!$K395:$L395)</f>
        <v>3356677</v>
      </c>
      <c r="CQ298" s="108">
        <f>'[2]FPC wSEB'!$T395-'[2]FPC wSEB'!$T394</f>
        <v>266496</v>
      </c>
      <c r="CR298" s="108">
        <f>SUM('[2]FPC wSEB'!$K395:$L395)</f>
        <v>477673</v>
      </c>
      <c r="CS298" s="108">
        <f>('[2]FPC wSEB'!$N395)-CQ298</f>
        <v>61226</v>
      </c>
      <c r="CT298" s="108">
        <f>'[2]FPC wSEB'!$P395</f>
        <v>7243</v>
      </c>
      <c r="CU298" s="108">
        <f>'[2]FPC wSEB'!$Q395</f>
        <v>260866</v>
      </c>
      <c r="CV298" s="115">
        <f t="shared" si="543"/>
        <v>0</v>
      </c>
      <c r="CW298" s="108">
        <f t="shared" si="567"/>
        <v>4331197</v>
      </c>
      <c r="CX298" s="108">
        <f t="shared" si="544"/>
        <v>4216487.4098943947</v>
      </c>
      <c r="CY298" s="108">
        <f t="shared" si="545"/>
        <v>114709.59010560531</v>
      </c>
    </row>
    <row r="299" spans="1:103">
      <c r="A299" s="13">
        <f t="shared" si="491"/>
        <v>2007</v>
      </c>
      <c r="B299" s="13">
        <f t="shared" si="492"/>
        <v>7</v>
      </c>
      <c r="C299" s="5">
        <f>'[2]FPC wSEB'!$D396</f>
        <v>2005177</v>
      </c>
      <c r="D299" s="5">
        <f>'[2]FPC wSEB'!$X396</f>
        <v>1367356</v>
      </c>
      <c r="E299" s="5">
        <f t="shared" si="573"/>
        <v>1985042</v>
      </c>
      <c r="F299" s="5">
        <f t="shared" si="573"/>
        <v>1312093</v>
      </c>
      <c r="G299" s="74">
        <f t="shared" si="548"/>
        <v>1512.9</v>
      </c>
      <c r="H299" s="190">
        <v>20135</v>
      </c>
      <c r="I299" s="170">
        <v>55263</v>
      </c>
      <c r="J299" s="230">
        <f>'[7]RES 62 &amp; 67'!$S384</f>
        <v>460</v>
      </c>
      <c r="K299" s="183">
        <f t="shared" si="301"/>
        <v>454.9</v>
      </c>
      <c r="L299" s="233">
        <f t="shared" ref="L299:L304" si="575">(K299-J299)</f>
        <v>-5.1000000000000227</v>
      </c>
      <c r="M299" s="230">
        <f>'[7]RES 62 &amp; 67'!$J384</f>
        <v>0</v>
      </c>
      <c r="N299" s="183">
        <f t="shared" si="302"/>
        <v>0</v>
      </c>
      <c r="O299" s="236">
        <f t="shared" ref="O299:O304" si="576">(N299-M299)</f>
        <v>0</v>
      </c>
      <c r="P299" s="206">
        <f t="shared" ref="P299:P304" si="577">L299*$D$10</f>
        <v>-11.19960000000005</v>
      </c>
      <c r="Q299" s="208">
        <f t="shared" ref="Q299:Q304" si="578">IF($B299=12,L299*$D$11,IF($B299&lt;5,L299*$D$11,0))</f>
        <v>0</v>
      </c>
      <c r="R299" s="467">
        <f t="shared" si="549"/>
        <v>-11.19960000000005</v>
      </c>
      <c r="S299" s="470">
        <f t="shared" ref="S299:S304" si="579">O299*$D$9</f>
        <v>0</v>
      </c>
      <c r="T299" s="425">
        <f t="shared" si="432"/>
        <v>-11.2</v>
      </c>
      <c r="U299" s="579">
        <f>[5]RC!$E179</f>
        <v>1447072</v>
      </c>
      <c r="V299" s="447">
        <v>39264</v>
      </c>
      <c r="W299" s="191">
        <f t="shared" si="550"/>
        <v>1501.7</v>
      </c>
      <c r="X299" s="73">
        <f t="shared" si="551"/>
        <v>1970370</v>
      </c>
      <c r="Y299" s="187">
        <f t="shared" si="552"/>
        <v>19785</v>
      </c>
      <c r="Z299" s="175">
        <f t="shared" si="553"/>
        <v>1990155</v>
      </c>
      <c r="AA299" s="40">
        <f t="shared" si="554"/>
        <v>-15022</v>
      </c>
      <c r="AB299" s="519">
        <f>[9]RMWh!$L179</f>
        <v>2087428</v>
      </c>
      <c r="AC299" s="107">
        <f>'[7]Gov 65 &amp; 70'!$B384</f>
        <v>30.5</v>
      </c>
      <c r="AD299" s="4">
        <f t="shared" si="424"/>
        <v>2081953</v>
      </c>
      <c r="AE299" s="4">
        <f t="shared" si="546"/>
        <v>-401</v>
      </c>
      <c r="AF299" s="23">
        <f t="shared" si="555"/>
        <v>1522.6</v>
      </c>
      <c r="AG299" s="75">
        <f t="shared" ref="AG299:AG304" si="580">AF299-AF287</f>
        <v>-16</v>
      </c>
      <c r="AI299" s="303">
        <f t="shared" si="571"/>
        <v>0.24082798601612176</v>
      </c>
      <c r="AK299" s="319"/>
      <c r="AU299" s="4">
        <f t="shared" si="494"/>
        <v>2007</v>
      </c>
      <c r="AV299" s="4">
        <f t="shared" si="495"/>
        <v>7</v>
      </c>
      <c r="AW299" s="230">
        <f>'[8]RES 62 &amp; 67'!$S384</f>
        <v>492.3</v>
      </c>
      <c r="AX299" s="200">
        <f t="shared" si="306"/>
        <v>484.1</v>
      </c>
      <c r="AY299" s="203">
        <f t="shared" si="568"/>
        <v>-8.1999999999999886</v>
      </c>
      <c r="AZ299" s="230">
        <f>'[8]RES 62 &amp; 67'!$J384</f>
        <v>0</v>
      </c>
      <c r="BA299" s="183">
        <f t="shared" si="307"/>
        <v>0</v>
      </c>
      <c r="BB299" s="429">
        <f t="shared" si="572"/>
        <v>0</v>
      </c>
      <c r="BC299" s="206">
        <f t="shared" ref="BC299:BC304" si="581">AY299*$D$10</f>
        <v>-18.007199999999976</v>
      </c>
      <c r="BD299" s="206">
        <f t="shared" ref="BD299:BD304" si="582">IF($B299=4,($D$11*0.5*AY299),IF($B299=11,($D$11*0.5*AY299),IF($B299=12,AY299*$D$11,IF($B299&lt;5,AY299*$D$11,0))))</f>
        <v>0</v>
      </c>
      <c r="BE299" s="206">
        <f t="shared" si="556"/>
        <v>-18.007199999999976</v>
      </c>
      <c r="BF299" s="207">
        <f t="shared" ref="BF299:BF304" si="583">BB299*$D$9</f>
        <v>0</v>
      </c>
      <c r="BG299" s="219">
        <f t="shared" si="557"/>
        <v>-18</v>
      </c>
      <c r="BH299" s="4">
        <f t="shared" si="569"/>
        <v>2007</v>
      </c>
      <c r="BI299" s="4">
        <f t="shared" si="570"/>
        <v>7</v>
      </c>
      <c r="BJ299" s="108">
        <f>C299+[4]MWh!$AJ133</f>
        <v>2211243.3072920386</v>
      </c>
      <c r="BK299" s="108">
        <f t="shared" si="558"/>
        <v>22204.216382057642</v>
      </c>
      <c r="BL299" s="108">
        <f t="shared" si="559"/>
        <v>2189039.0909099807</v>
      </c>
      <c r="BM299" s="189">
        <f t="shared" si="560"/>
        <v>1650.3566568147082</v>
      </c>
      <c r="BN299" s="6">
        <f t="shared" si="561"/>
        <v>2165421</v>
      </c>
      <c r="BO299" s="175">
        <f t="shared" si="562"/>
        <v>21965</v>
      </c>
      <c r="BP299" s="108">
        <f t="shared" si="563"/>
        <v>-23857.307292038346</v>
      </c>
      <c r="BQ299" s="76">
        <f t="shared" si="564"/>
        <v>1617.1672244039144</v>
      </c>
      <c r="BR299" s="76">
        <f t="shared" si="565"/>
        <v>1599.7194585755283</v>
      </c>
      <c r="BS299" s="76">
        <f t="shared" ref="BS299:BS304" si="584">BR299-BR287</f>
        <v>25.342709774152354</v>
      </c>
      <c r="BT299" s="175">
        <f t="shared" si="566"/>
        <v>2187386</v>
      </c>
      <c r="BU299" s="108">
        <f t="shared" ref="BU299:BU304" si="585">BT299-BT287</f>
        <v>56582</v>
      </c>
      <c r="BW299" s="529">
        <f>BT299/[9]RMWh!$L179</f>
        <v>1.0478857234836363</v>
      </c>
      <c r="CK299" s="165">
        <v>39264</v>
      </c>
      <c r="CL299" s="108">
        <f>BP299+COML!BV299+SPA!BV299</f>
        <v>-31069.307292038346</v>
      </c>
      <c r="CM299" s="346">
        <f>'[14]2007'!$D38</f>
        <v>43956</v>
      </c>
      <c r="CN299" s="2">
        <f t="shared" si="574"/>
        <v>-75025.307292038342</v>
      </c>
      <c r="CO299" s="108">
        <f>'[2]FPC wSEB'!$R396</f>
        <v>4901837</v>
      </c>
      <c r="CP299" s="108">
        <f>'[2]FPC wSEB'!$C396-SUM('[2]FPC wSEB'!$K396:$L396)</f>
        <v>3735974</v>
      </c>
      <c r="CQ299" s="108">
        <f>'[2]FPC wSEB'!$T396-'[2]FPC wSEB'!$T395</f>
        <v>267118</v>
      </c>
      <c r="CR299" s="108">
        <f>SUM('[2]FPC wSEB'!$K396:$L396)</f>
        <v>487252</v>
      </c>
      <c r="CS299" s="108">
        <f>('[2]FPC wSEB'!$N396)-CQ299</f>
        <v>89119</v>
      </c>
      <c r="CT299" s="108">
        <f>'[2]FPC wSEB'!$P396</f>
        <v>9654</v>
      </c>
      <c r="CU299" s="108">
        <f>'[2]FPC wSEB'!$Q396</f>
        <v>312720</v>
      </c>
      <c r="CV299" s="115">
        <f t="shared" ref="CV299:CV304" si="586">CO299-SUM(CP299:CU299)</f>
        <v>0</v>
      </c>
      <c r="CW299" s="108">
        <f t="shared" si="567"/>
        <v>4623419</v>
      </c>
      <c r="CX299" s="108">
        <f t="shared" ref="CX299:CX304" si="587">SUM(CP299:CS299)+CL299</f>
        <v>4548393.6927079614</v>
      </c>
      <c r="CY299" s="108">
        <f t="shared" ref="CY299:CY304" si="588">CW299-CX299</f>
        <v>75025.307292038575</v>
      </c>
    </row>
    <row r="300" spans="1:103">
      <c r="A300" s="13">
        <f t="shared" si="491"/>
        <v>2007</v>
      </c>
      <c r="B300" s="13">
        <f t="shared" si="492"/>
        <v>8</v>
      </c>
      <c r="C300" s="5">
        <f>'[2]FPC wSEB'!$D397</f>
        <v>2382297</v>
      </c>
      <c r="D300" s="5">
        <f>'[2]FPC wSEB'!$X397</f>
        <v>1544281</v>
      </c>
      <c r="E300" s="5">
        <f t="shared" si="573"/>
        <v>2358051</v>
      </c>
      <c r="F300" s="5">
        <f t="shared" si="573"/>
        <v>1480280</v>
      </c>
      <c r="G300" s="74">
        <f t="shared" si="548"/>
        <v>1593</v>
      </c>
      <c r="H300" s="190">
        <v>24246</v>
      </c>
      <c r="I300" s="170">
        <v>64001</v>
      </c>
      <c r="J300" s="230">
        <f>'[7]RES 62 &amp; 67'!$S385</f>
        <v>509.9</v>
      </c>
      <c r="K300" s="183">
        <f t="shared" si="301"/>
        <v>481.4</v>
      </c>
      <c r="L300" s="233">
        <f t="shared" si="575"/>
        <v>-28.5</v>
      </c>
      <c r="M300" s="230">
        <f>'[7]RES 62 &amp; 67'!$J385</f>
        <v>0</v>
      </c>
      <c r="N300" s="183">
        <f t="shared" si="302"/>
        <v>0</v>
      </c>
      <c r="O300" s="236">
        <f t="shared" si="576"/>
        <v>0</v>
      </c>
      <c r="P300" s="206">
        <f t="shared" si="577"/>
        <v>-62.586000000000006</v>
      </c>
      <c r="Q300" s="208">
        <f t="shared" si="578"/>
        <v>0</v>
      </c>
      <c r="R300" s="467">
        <f t="shared" si="549"/>
        <v>-62.586000000000006</v>
      </c>
      <c r="S300" s="470">
        <f t="shared" si="579"/>
        <v>0</v>
      </c>
      <c r="T300" s="425">
        <f t="shared" si="432"/>
        <v>-62.6</v>
      </c>
      <c r="U300" s="579">
        <f>[5]RC!$E180</f>
        <v>1447084</v>
      </c>
      <c r="V300" s="447">
        <v>39295</v>
      </c>
      <c r="W300" s="191">
        <f t="shared" si="550"/>
        <v>1530.4</v>
      </c>
      <c r="X300" s="73">
        <f t="shared" si="551"/>
        <v>2265421</v>
      </c>
      <c r="Y300" s="187">
        <f t="shared" si="552"/>
        <v>23056</v>
      </c>
      <c r="Z300" s="175">
        <f t="shared" si="553"/>
        <v>2288477</v>
      </c>
      <c r="AA300" s="40">
        <f t="shared" si="554"/>
        <v>-93820</v>
      </c>
      <c r="AB300" s="519">
        <f>[9]RMWh!$L180</f>
        <v>2148204</v>
      </c>
      <c r="AC300" s="107">
        <f>'[7]Gov 65 &amp; 70'!$B385</f>
        <v>31.1</v>
      </c>
      <c r="AD300" s="4">
        <f t="shared" si="424"/>
        <v>2101234</v>
      </c>
      <c r="AE300" s="4">
        <f t="shared" ref="AE300:AE305" si="589">AD300-AD288</f>
        <v>-11632</v>
      </c>
      <c r="AF300" s="23">
        <f t="shared" si="555"/>
        <v>1360.7</v>
      </c>
      <c r="AG300" s="75">
        <f t="shared" si="580"/>
        <v>-50.599999999999909</v>
      </c>
      <c r="AI300" s="303">
        <f t="shared" si="571"/>
        <v>0.23781408076515756</v>
      </c>
      <c r="AK300" s="319"/>
      <c r="AU300" s="4">
        <f t="shared" si="494"/>
        <v>2007</v>
      </c>
      <c r="AV300" s="4">
        <f t="shared" si="495"/>
        <v>8</v>
      </c>
      <c r="AW300" s="230">
        <f>'[8]RES 62 &amp; 67'!$S385</f>
        <v>537</v>
      </c>
      <c r="AX300" s="200">
        <f t="shared" si="306"/>
        <v>487.3</v>
      </c>
      <c r="AY300" s="203">
        <f t="shared" si="568"/>
        <v>-49.699999999999989</v>
      </c>
      <c r="AZ300" s="230">
        <f>'[8]RES 62 &amp; 67'!$J385</f>
        <v>0</v>
      </c>
      <c r="BA300" s="183">
        <f t="shared" si="307"/>
        <v>0</v>
      </c>
      <c r="BB300" s="429">
        <f t="shared" si="572"/>
        <v>0</v>
      </c>
      <c r="BC300" s="206">
        <f t="shared" si="581"/>
        <v>-109.14119999999998</v>
      </c>
      <c r="BD300" s="206">
        <f t="shared" si="582"/>
        <v>0</v>
      </c>
      <c r="BE300" s="206">
        <f t="shared" si="556"/>
        <v>-109.14119999999998</v>
      </c>
      <c r="BF300" s="207">
        <f t="shared" si="583"/>
        <v>0</v>
      </c>
      <c r="BG300" s="219">
        <f t="shared" si="557"/>
        <v>-109.1</v>
      </c>
      <c r="BH300" s="4">
        <f t="shared" si="569"/>
        <v>2007</v>
      </c>
      <c r="BI300" s="4">
        <f t="shared" si="570"/>
        <v>8</v>
      </c>
      <c r="BJ300" s="108">
        <f>C300+[4]MWh!$AJ134</f>
        <v>2426209.1267644353</v>
      </c>
      <c r="BK300" s="108">
        <f t="shared" si="558"/>
        <v>24692.918845773846</v>
      </c>
      <c r="BL300" s="108">
        <f t="shared" si="559"/>
        <v>2401516.2079186616</v>
      </c>
      <c r="BM300" s="189">
        <f t="shared" si="560"/>
        <v>1513.2391574017495</v>
      </c>
      <c r="BN300" s="6">
        <f t="shared" si="561"/>
        <v>2240018</v>
      </c>
      <c r="BO300" s="175">
        <f t="shared" si="562"/>
        <v>23032</v>
      </c>
      <c r="BP300" s="108">
        <f t="shared" si="563"/>
        <v>-163159.1267644355</v>
      </c>
      <c r="BQ300" s="76">
        <f t="shared" si="564"/>
        <v>1571.0930373192673</v>
      </c>
      <c r="BR300" s="76">
        <f t="shared" si="565"/>
        <v>1465.4392561975444</v>
      </c>
      <c r="BS300" s="76">
        <f t="shared" si="584"/>
        <v>-81.965438783645823</v>
      </c>
      <c r="BT300" s="175">
        <f t="shared" si="566"/>
        <v>2263050</v>
      </c>
      <c r="BU300" s="108">
        <f t="shared" si="585"/>
        <v>-53551</v>
      </c>
      <c r="BW300" s="529">
        <f>BT300/[9]RMWh!$L180</f>
        <v>1.0534614031069676</v>
      </c>
      <c r="CK300" s="165">
        <v>39264</v>
      </c>
      <c r="CL300" s="108">
        <f>BP300+COML!BV300+SPA!BV300</f>
        <v>-207982.1267644355</v>
      </c>
      <c r="CM300" s="346">
        <f>'[14]2007'!$D39</f>
        <v>-295658</v>
      </c>
      <c r="CN300" s="2">
        <f t="shared" si="574"/>
        <v>87675.873235564504</v>
      </c>
      <c r="CO300" s="108">
        <f>'[2]FPC wSEB'!$R397</f>
        <v>5228788</v>
      </c>
      <c r="CP300" s="108">
        <f>'[2]FPC wSEB'!$C397-SUM('[2]FPC wSEB'!$K397:$L397)</f>
        <v>4287145</v>
      </c>
      <c r="CQ300" s="108">
        <f>'[2]FPC wSEB'!$T397-'[2]FPC wSEB'!$T396</f>
        <v>-7819</v>
      </c>
      <c r="CR300" s="108">
        <f>SUM('[2]FPC wSEB'!$K397:$L397)</f>
        <v>578725</v>
      </c>
      <c r="CS300" s="108">
        <f>('[2]FPC wSEB'!$N397)-CQ300</f>
        <v>94178</v>
      </c>
      <c r="CT300" s="108">
        <f>'[2]FPC wSEB'!$P397</f>
        <v>16720</v>
      </c>
      <c r="CU300" s="108">
        <f>'[2]FPC wSEB'!$Q397</f>
        <v>259839</v>
      </c>
      <c r="CV300" s="115">
        <f t="shared" si="586"/>
        <v>0</v>
      </c>
      <c r="CW300" s="108">
        <f t="shared" si="567"/>
        <v>4656571</v>
      </c>
      <c r="CX300" s="108">
        <f t="shared" si="587"/>
        <v>4744246.8732355647</v>
      </c>
      <c r="CY300" s="108">
        <f t="shared" si="588"/>
        <v>-87675.873235564679</v>
      </c>
    </row>
    <row r="301" spans="1:103">
      <c r="A301" s="13">
        <f t="shared" si="491"/>
        <v>2007</v>
      </c>
      <c r="B301" s="13">
        <f t="shared" si="492"/>
        <v>9</v>
      </c>
      <c r="C301" s="5">
        <f>'[2]FPC wSEB'!$D398</f>
        <v>2102360</v>
      </c>
      <c r="D301" s="5">
        <f>'[2]FPC wSEB'!$X398</f>
        <v>1377525</v>
      </c>
      <c r="E301" s="5">
        <f t="shared" ref="E301:F303" si="590">ROUND(C301-H301,0)</f>
        <v>2080513</v>
      </c>
      <c r="F301" s="5">
        <f t="shared" si="590"/>
        <v>1322202</v>
      </c>
      <c r="G301" s="74">
        <f t="shared" ref="G301:G306" si="591">ROUND((E301)/F301*1000,1)</f>
        <v>1573.5</v>
      </c>
      <c r="H301" s="190">
        <v>21847</v>
      </c>
      <c r="I301" s="170">
        <v>55323</v>
      </c>
      <c r="J301" s="230">
        <f>'[7]RES 62 &amp; 67'!$S386</f>
        <v>505.1</v>
      </c>
      <c r="K301" s="183">
        <f t="shared" si="301"/>
        <v>473.7</v>
      </c>
      <c r="L301" s="233">
        <f t="shared" si="575"/>
        <v>-31.400000000000034</v>
      </c>
      <c r="M301" s="230">
        <f>'[7]RES 62 &amp; 67'!$J386</f>
        <v>0</v>
      </c>
      <c r="N301" s="183">
        <f t="shared" si="302"/>
        <v>0</v>
      </c>
      <c r="O301" s="236">
        <f t="shared" si="576"/>
        <v>0</v>
      </c>
      <c r="P301" s="206">
        <f t="shared" si="577"/>
        <v>-68.954400000000078</v>
      </c>
      <c r="Q301" s="208">
        <f t="shared" si="578"/>
        <v>0</v>
      </c>
      <c r="R301" s="467">
        <f t="shared" ref="R301:R306" si="592">P301+Q301</f>
        <v>-68.954400000000078</v>
      </c>
      <c r="S301" s="470">
        <f t="shared" si="579"/>
        <v>0</v>
      </c>
      <c r="T301" s="425">
        <f t="shared" si="432"/>
        <v>-69</v>
      </c>
      <c r="U301" s="579">
        <f>[5]RC!$E181</f>
        <v>1447870</v>
      </c>
      <c r="V301" s="447">
        <v>39326</v>
      </c>
      <c r="W301" s="191">
        <f t="shared" ref="W301:W306" si="593">(G301+T301)</f>
        <v>1504.5</v>
      </c>
      <c r="X301" s="73">
        <f t="shared" ref="X301:X306" si="594">ROUND(W301*F301/1000,0)</f>
        <v>1989253</v>
      </c>
      <c r="Y301" s="187">
        <f t="shared" ref="Y301:Y306" si="595">ROUND((X301/C301)*H301,0)</f>
        <v>20672</v>
      </c>
      <c r="Z301" s="175">
        <f t="shared" ref="Z301:Z306" si="596">Y301+X301</f>
        <v>2009925</v>
      </c>
      <c r="AA301" s="40">
        <f t="shared" ref="AA301:AA306" si="597">Z301-C301</f>
        <v>-92435</v>
      </c>
      <c r="AB301" s="519">
        <f>[9]RMWh!$L181</f>
        <v>2112908</v>
      </c>
      <c r="AC301" s="107">
        <f>'[7]Gov 65 &amp; 70'!$B386</f>
        <v>30.55</v>
      </c>
      <c r="AD301" s="4">
        <f t="shared" si="424"/>
        <v>2103917</v>
      </c>
      <c r="AE301" s="4">
        <f t="shared" si="589"/>
        <v>-4842</v>
      </c>
      <c r="AF301" s="23">
        <f t="shared" ref="AF301:AF306" si="598">ROUND((AD301/(D301)*1000),1)</f>
        <v>1527.3</v>
      </c>
      <c r="AG301" s="75">
        <f t="shared" si="580"/>
        <v>62.599999999999909</v>
      </c>
      <c r="AI301" s="303">
        <f t="shared" si="571"/>
        <v>0.25096857159991653</v>
      </c>
      <c r="AK301" s="319"/>
      <c r="AU301" s="4">
        <f t="shared" si="494"/>
        <v>2007</v>
      </c>
      <c r="AV301" s="4">
        <f t="shared" si="495"/>
        <v>9</v>
      </c>
      <c r="AW301" s="230">
        <f>'[8]RES 62 &amp; 67'!$S386</f>
        <v>438.6</v>
      </c>
      <c r="AX301" s="200">
        <f t="shared" si="306"/>
        <v>428.3</v>
      </c>
      <c r="AY301" s="203">
        <f t="shared" si="568"/>
        <v>-10.300000000000011</v>
      </c>
      <c r="AZ301" s="230">
        <f>'[8]RES 62 &amp; 67'!$J386</f>
        <v>0</v>
      </c>
      <c r="BA301" s="183">
        <f t="shared" si="307"/>
        <v>0</v>
      </c>
      <c r="BB301" s="429">
        <f t="shared" si="572"/>
        <v>0</v>
      </c>
      <c r="BC301" s="206">
        <f t="shared" si="581"/>
        <v>-22.618800000000025</v>
      </c>
      <c r="BD301" s="206">
        <f t="shared" si="582"/>
        <v>0</v>
      </c>
      <c r="BE301" s="206">
        <f t="shared" ref="BE301:BE306" si="599">BC301+BD301</f>
        <v>-22.618800000000025</v>
      </c>
      <c r="BF301" s="207">
        <f t="shared" si="583"/>
        <v>0</v>
      </c>
      <c r="BG301" s="219">
        <f t="shared" ref="BG301:BG306" si="600">ROUND(BF301+BE301,1)</f>
        <v>-22.6</v>
      </c>
      <c r="BH301" s="4">
        <f t="shared" si="569"/>
        <v>2007</v>
      </c>
      <c r="BI301" s="4">
        <f t="shared" si="570"/>
        <v>9</v>
      </c>
      <c r="BJ301" s="108">
        <f>C301+[4]MWh!$AJ135</f>
        <v>1865563.6629386321</v>
      </c>
      <c r="BK301" s="108">
        <f t="shared" ref="BK301:BK306" si="601">(H301/C301)*BJ301</f>
        <v>19386.294138121109</v>
      </c>
      <c r="BL301" s="108">
        <f t="shared" ref="BL301:BL306" si="602">BJ301-BK301</f>
        <v>1846177.3688005109</v>
      </c>
      <c r="BM301" s="189">
        <f t="shared" ref="BM301:BM306" si="603">(BL301/F301*1000)+BG301</f>
        <v>1373.6899532753021</v>
      </c>
      <c r="BN301" s="6">
        <f t="shared" ref="BN301:BN306" si="604">ROUND(BM301*F301/1000,0)</f>
        <v>1816296</v>
      </c>
      <c r="BO301" s="175">
        <f t="shared" ref="BO301:BO306" si="605">ROUND(BN301/BL301*BK301,0)</f>
        <v>19073</v>
      </c>
      <c r="BP301" s="108">
        <f t="shared" ref="BP301:BP306" si="606">(BN301-BL301)+(BO301-BK301)</f>
        <v>-30194.662938631995</v>
      </c>
      <c r="BQ301" s="76">
        <f t="shared" ref="BQ301:BQ306" si="607">BJ301/D301*1000</f>
        <v>1354.2866103617953</v>
      </c>
      <c r="BR301" s="76">
        <f t="shared" ref="BR301:BR306" si="608">(BN301+BO301)/D301*1000</f>
        <v>1332.3671076749968</v>
      </c>
      <c r="BS301" s="76">
        <f t="shared" si="584"/>
        <v>2.8457034292246135</v>
      </c>
      <c r="BT301" s="175">
        <f t="shared" ref="BT301:BT306" si="609">(BN301+BO301)</f>
        <v>1835369</v>
      </c>
      <c r="BU301" s="108">
        <f t="shared" si="585"/>
        <v>-78731</v>
      </c>
      <c r="BW301" s="529">
        <f>BT301/[9]RMWh!$L181</f>
        <v>0.86864596092210355</v>
      </c>
      <c r="CK301" s="165">
        <v>39326</v>
      </c>
      <c r="CL301" s="108">
        <f>BP301+COML!BV301+SPA!BV301</f>
        <v>-39383.662938631998</v>
      </c>
      <c r="CM301" s="346">
        <f>'[14]2007'!$D40</f>
        <v>-1740</v>
      </c>
      <c r="CN301" s="2">
        <f t="shared" si="574"/>
        <v>-37643.662938631998</v>
      </c>
      <c r="CO301" s="108">
        <f>'[2]FPC wSEB'!$R398</f>
        <v>4448175</v>
      </c>
      <c r="CP301" s="108">
        <f>'[2]FPC wSEB'!$C398-SUM('[2]FPC wSEB'!$K398:$L398)</f>
        <v>3956784</v>
      </c>
      <c r="CQ301" s="108">
        <f>'[2]FPC wSEB'!$T398-'[2]FPC wSEB'!$T397</f>
        <v>-329382</v>
      </c>
      <c r="CR301" s="108">
        <f>SUM('[2]FPC wSEB'!$K398:$L398)</f>
        <v>627424</v>
      </c>
      <c r="CS301" s="108">
        <f>('[2]FPC wSEB'!$N398)-CQ301</f>
        <v>-134923</v>
      </c>
      <c r="CT301" s="108">
        <f>'[2]FPC wSEB'!$P398</f>
        <v>14173</v>
      </c>
      <c r="CU301" s="108">
        <f>'[2]FPC wSEB'!$Q398</f>
        <v>314099</v>
      </c>
      <c r="CV301" s="115">
        <f t="shared" si="586"/>
        <v>0</v>
      </c>
      <c r="CW301" s="108">
        <f t="shared" ref="CW301:CW306" si="610">CO301-CT301-CU301+CM301</f>
        <v>4118163</v>
      </c>
      <c r="CX301" s="108">
        <f t="shared" si="587"/>
        <v>4080519.3370613679</v>
      </c>
      <c r="CY301" s="108">
        <f t="shared" si="588"/>
        <v>37643.662938632071</v>
      </c>
    </row>
    <row r="302" spans="1:103">
      <c r="A302" s="13">
        <f t="shared" si="491"/>
        <v>2007</v>
      </c>
      <c r="B302" s="13">
        <f t="shared" si="492"/>
        <v>10</v>
      </c>
      <c r="C302" s="5">
        <f>'[2]FPC wSEB'!$D399</f>
        <v>1913594</v>
      </c>
      <c r="D302" s="5">
        <f>'[2]FPC wSEB'!$X399</f>
        <v>1443420</v>
      </c>
      <c r="E302" s="5">
        <f t="shared" si="590"/>
        <v>1892716</v>
      </c>
      <c r="F302" s="5">
        <f t="shared" si="590"/>
        <v>1384611</v>
      </c>
      <c r="G302" s="74">
        <f t="shared" si="591"/>
        <v>1367</v>
      </c>
      <c r="H302" s="190">
        <v>20878</v>
      </c>
      <c r="I302" s="170">
        <v>58809</v>
      </c>
      <c r="J302" s="230">
        <f>'[7]RES 62 &amp; 67'!$S387</f>
        <v>402.4</v>
      </c>
      <c r="K302" s="183">
        <f t="shared" si="301"/>
        <v>373.2</v>
      </c>
      <c r="L302" s="233">
        <f t="shared" si="575"/>
        <v>-29.199999999999989</v>
      </c>
      <c r="M302" s="230">
        <f>'[7]RES 62 &amp; 67'!$J387</f>
        <v>0.3</v>
      </c>
      <c r="N302" s="183">
        <f t="shared" si="302"/>
        <v>1.3</v>
      </c>
      <c r="O302" s="236">
        <f t="shared" si="576"/>
        <v>1</v>
      </c>
      <c r="P302" s="206">
        <f t="shared" si="577"/>
        <v>-64.123199999999983</v>
      </c>
      <c r="Q302" s="208">
        <f t="shared" si="578"/>
        <v>0</v>
      </c>
      <c r="R302" s="467">
        <f t="shared" si="592"/>
        <v>-64.123199999999983</v>
      </c>
      <c r="S302" s="470">
        <f t="shared" si="579"/>
        <v>3.0880000000000001</v>
      </c>
      <c r="T302" s="425">
        <f t="shared" si="432"/>
        <v>-61</v>
      </c>
      <c r="U302" s="579">
        <f>[5]RC!$E182</f>
        <v>1447612</v>
      </c>
      <c r="V302" s="447">
        <v>39356</v>
      </c>
      <c r="W302" s="191">
        <f t="shared" si="593"/>
        <v>1306</v>
      </c>
      <c r="X302" s="73">
        <f t="shared" si="594"/>
        <v>1808302</v>
      </c>
      <c r="Y302" s="187">
        <f t="shared" si="595"/>
        <v>19729</v>
      </c>
      <c r="Z302" s="175">
        <f t="shared" si="596"/>
        <v>1828031</v>
      </c>
      <c r="AA302" s="40">
        <f t="shared" si="597"/>
        <v>-85563</v>
      </c>
      <c r="AB302" s="519">
        <f>[9]RMWh!$L182</f>
        <v>1852725</v>
      </c>
      <c r="AC302" s="107">
        <f>'[7]Gov 65 &amp; 70'!$B387</f>
        <v>29.65</v>
      </c>
      <c r="AD302" s="4">
        <f t="shared" si="424"/>
        <v>1900840</v>
      </c>
      <c r="AE302" s="4">
        <f t="shared" si="589"/>
        <v>-16741</v>
      </c>
      <c r="AF302" s="23">
        <f t="shared" si="598"/>
        <v>1316.9</v>
      </c>
      <c r="AG302" s="75">
        <f t="shared" si="580"/>
        <v>-80.899999999999864</v>
      </c>
      <c r="AI302" s="303">
        <f t="shared" si="571"/>
        <v>0.25970277131019026</v>
      </c>
      <c r="AK302" s="319"/>
      <c r="AU302" s="4">
        <f t="shared" si="494"/>
        <v>2007</v>
      </c>
      <c r="AV302" s="4">
        <f t="shared" si="495"/>
        <v>10</v>
      </c>
      <c r="AW302" s="230">
        <f>'[8]RES 62 &amp; 67'!$S387</f>
        <v>347.9</v>
      </c>
      <c r="AX302" s="200">
        <f t="shared" si="306"/>
        <v>277.60000000000002</v>
      </c>
      <c r="AY302" s="203">
        <f t="shared" ref="AY302:AY307" si="611">AX302-AW302</f>
        <v>-70.299999999999955</v>
      </c>
      <c r="AZ302" s="230">
        <f>'[8]RES 62 &amp; 67'!$J387</f>
        <v>1</v>
      </c>
      <c r="BA302" s="183">
        <f t="shared" si="307"/>
        <v>8.5</v>
      </c>
      <c r="BB302" s="429">
        <f t="shared" si="572"/>
        <v>7.5</v>
      </c>
      <c r="BC302" s="206">
        <f t="shared" si="581"/>
        <v>-154.3787999999999</v>
      </c>
      <c r="BD302" s="206">
        <f t="shared" si="582"/>
        <v>0</v>
      </c>
      <c r="BE302" s="206">
        <f t="shared" si="599"/>
        <v>-154.3787999999999</v>
      </c>
      <c r="BF302" s="207">
        <f t="shared" si="583"/>
        <v>23.16</v>
      </c>
      <c r="BG302" s="219">
        <f t="shared" si="600"/>
        <v>-131.19999999999999</v>
      </c>
      <c r="BH302" s="4">
        <f t="shared" si="569"/>
        <v>2007</v>
      </c>
      <c r="BI302" s="4">
        <f t="shared" si="570"/>
        <v>10</v>
      </c>
      <c r="BJ302" s="108">
        <f>C302+[4]MWh!$AJ136</f>
        <v>1845522.5142601545</v>
      </c>
      <c r="BK302" s="108">
        <f t="shared" si="601"/>
        <v>20135.315564703644</v>
      </c>
      <c r="BL302" s="108">
        <f t="shared" si="602"/>
        <v>1825387.1986954508</v>
      </c>
      <c r="BM302" s="189">
        <f t="shared" si="603"/>
        <v>1187.1393737991759</v>
      </c>
      <c r="BN302" s="6">
        <f t="shared" si="604"/>
        <v>1643726</v>
      </c>
      <c r="BO302" s="175">
        <f t="shared" si="605"/>
        <v>18131</v>
      </c>
      <c r="BP302" s="108">
        <f t="shared" si="606"/>
        <v>-183665.51426015442</v>
      </c>
      <c r="BQ302" s="76">
        <f t="shared" si="607"/>
        <v>1278.5762385585306</v>
      </c>
      <c r="BR302" s="76">
        <f t="shared" si="608"/>
        <v>1151.3329453658671</v>
      </c>
      <c r="BS302" s="76">
        <f t="shared" si="584"/>
        <v>-29.471597454515631</v>
      </c>
      <c r="BT302" s="175">
        <f t="shared" si="609"/>
        <v>1661857</v>
      </c>
      <c r="BU302" s="108">
        <f t="shared" si="585"/>
        <v>41988</v>
      </c>
      <c r="BW302" s="529">
        <f>BT302/[9]RMWh!$L182</f>
        <v>0.8969798539988395</v>
      </c>
      <c r="CK302" s="165">
        <v>39356</v>
      </c>
      <c r="CL302" s="108">
        <f>BP302+COML!BV302+SPA!BV302</f>
        <v>-245298.51426015442</v>
      </c>
      <c r="CM302" s="346">
        <f>'[14]2007'!$D41</f>
        <v>-204823</v>
      </c>
      <c r="CN302" s="2">
        <f t="shared" si="574"/>
        <v>-40475.514260154421</v>
      </c>
      <c r="CO302" s="108">
        <f>'[2]FPC wSEB'!$R399</f>
        <v>4242167</v>
      </c>
      <c r="CP302" s="108">
        <f>'[2]FPC wSEB'!$C399-SUM('[2]FPC wSEB'!$K399:$L399)</f>
        <v>3626283</v>
      </c>
      <c r="CQ302" s="108">
        <f>'[2]FPC wSEB'!$T399-'[2]FPC wSEB'!$T398</f>
        <v>-113813</v>
      </c>
      <c r="CR302" s="108">
        <f>SUM('[2]FPC wSEB'!$K399:$L399)</f>
        <v>554801</v>
      </c>
      <c r="CS302" s="108">
        <f>('[2]FPC wSEB'!$N399)-CQ302</f>
        <v>-38919</v>
      </c>
      <c r="CT302" s="108">
        <f>'[2]FPC wSEB'!$P399</f>
        <v>17203</v>
      </c>
      <c r="CU302" s="108">
        <f>'[2]FPC wSEB'!$Q399</f>
        <v>196612</v>
      </c>
      <c r="CV302" s="115">
        <f t="shared" si="586"/>
        <v>0</v>
      </c>
      <c r="CW302" s="108">
        <f t="shared" si="610"/>
        <v>3823529</v>
      </c>
      <c r="CX302" s="108">
        <f t="shared" si="587"/>
        <v>3783053.4857398458</v>
      </c>
      <c r="CY302" s="108">
        <f t="shared" si="588"/>
        <v>40475.514260154217</v>
      </c>
    </row>
    <row r="303" spans="1:103">
      <c r="A303" s="13">
        <f t="shared" si="491"/>
        <v>2007</v>
      </c>
      <c r="B303" s="13">
        <f t="shared" si="492"/>
        <v>11</v>
      </c>
      <c r="C303" s="5">
        <f>'[2]FPC wSEB'!$D400</f>
        <v>1543393</v>
      </c>
      <c r="D303" s="5">
        <f>'[2]FPC wSEB'!$X400</f>
        <v>1514795</v>
      </c>
      <c r="E303" s="5">
        <f t="shared" si="590"/>
        <v>1520926</v>
      </c>
      <c r="F303" s="5">
        <f t="shared" si="590"/>
        <v>1452868</v>
      </c>
      <c r="G303" s="74">
        <f t="shared" si="591"/>
        <v>1046.8</v>
      </c>
      <c r="H303" s="190">
        <v>22467</v>
      </c>
      <c r="I303" s="170">
        <v>61927</v>
      </c>
      <c r="J303" s="230">
        <f>'[7]RES 62 &amp; 67'!$S388</f>
        <v>228.3</v>
      </c>
      <c r="K303" s="183">
        <f t="shared" si="301"/>
        <v>204.3</v>
      </c>
      <c r="L303" s="233">
        <f t="shared" si="575"/>
        <v>-24</v>
      </c>
      <c r="M303" s="230">
        <f>'[7]RES 62 &amp; 67'!$J388</f>
        <v>21</v>
      </c>
      <c r="N303" s="183">
        <f t="shared" si="302"/>
        <v>24.1</v>
      </c>
      <c r="O303" s="236">
        <f t="shared" si="576"/>
        <v>3.1000000000000014</v>
      </c>
      <c r="P303" s="206">
        <f t="shared" si="577"/>
        <v>-52.704000000000008</v>
      </c>
      <c r="Q303" s="208">
        <f t="shared" si="578"/>
        <v>0</v>
      </c>
      <c r="R303" s="467">
        <f t="shared" si="592"/>
        <v>-52.704000000000008</v>
      </c>
      <c r="S303" s="470">
        <f t="shared" si="579"/>
        <v>9.5728000000000044</v>
      </c>
      <c r="T303" s="425">
        <f t="shared" si="432"/>
        <v>-43.1</v>
      </c>
      <c r="U303" s="579">
        <f>[5]RC!$E183</f>
        <v>1448446</v>
      </c>
      <c r="V303" s="447">
        <v>39387</v>
      </c>
      <c r="W303" s="191">
        <f t="shared" si="593"/>
        <v>1003.6999999999999</v>
      </c>
      <c r="X303" s="73">
        <f t="shared" si="594"/>
        <v>1458244</v>
      </c>
      <c r="Y303" s="187">
        <f t="shared" si="595"/>
        <v>21227</v>
      </c>
      <c r="Z303" s="175">
        <f t="shared" si="596"/>
        <v>1479471</v>
      </c>
      <c r="AA303" s="40">
        <f t="shared" si="597"/>
        <v>-63922</v>
      </c>
      <c r="AB303" s="519">
        <f>[9]RMWh!$L183</f>
        <v>1443280</v>
      </c>
      <c r="AC303" s="107">
        <f>'[7]Gov 65 &amp; 70'!$B388</f>
        <v>30.55</v>
      </c>
      <c r="AD303" s="4">
        <f t="shared" si="424"/>
        <v>1437138</v>
      </c>
      <c r="AE303" s="4">
        <f t="shared" si="589"/>
        <v>-37294</v>
      </c>
      <c r="AF303" s="23">
        <f t="shared" si="598"/>
        <v>948.7</v>
      </c>
      <c r="AG303" s="75">
        <f t="shared" si="580"/>
        <v>-33.299999999999955</v>
      </c>
      <c r="AI303" s="303">
        <f t="shared" ref="AI303:AI308" si="612">(H303/I303*1000)/G303</f>
        <v>0.34657827023879034</v>
      </c>
      <c r="AK303" s="319"/>
      <c r="AU303" s="4">
        <f t="shared" si="494"/>
        <v>2007</v>
      </c>
      <c r="AV303" s="4">
        <f t="shared" si="495"/>
        <v>11</v>
      </c>
      <c r="AW303" s="230">
        <f>'[8]RES 62 &amp; 67'!$S388</f>
        <v>97.7</v>
      </c>
      <c r="AX303" s="200">
        <f t="shared" si="306"/>
        <v>110.2</v>
      </c>
      <c r="AY303" s="203">
        <f t="shared" si="611"/>
        <v>12.5</v>
      </c>
      <c r="AZ303" s="230">
        <f>'[8]RES 62 &amp; 67'!$J388</f>
        <v>46</v>
      </c>
      <c r="BA303" s="183">
        <f t="shared" si="307"/>
        <v>45.3</v>
      </c>
      <c r="BB303" s="429">
        <f t="shared" ref="BB303:BB308" si="613">BA303-AZ303</f>
        <v>-0.70000000000000284</v>
      </c>
      <c r="BC303" s="206">
        <f t="shared" si="581"/>
        <v>27.450000000000003</v>
      </c>
      <c r="BD303" s="206">
        <f t="shared" si="582"/>
        <v>-1.5062499999999999</v>
      </c>
      <c r="BE303" s="206">
        <f t="shared" si="599"/>
        <v>25.943750000000001</v>
      </c>
      <c r="BF303" s="207">
        <f t="shared" si="583"/>
        <v>-2.1616000000000088</v>
      </c>
      <c r="BG303" s="219">
        <f t="shared" si="600"/>
        <v>23.8</v>
      </c>
      <c r="BH303" s="4">
        <f t="shared" si="569"/>
        <v>2007</v>
      </c>
      <c r="BI303" s="4">
        <f t="shared" si="570"/>
        <v>11</v>
      </c>
      <c r="BJ303" s="108">
        <f>C303+[4]MWh!$AJ137</f>
        <v>1214318.1813685659</v>
      </c>
      <c r="BK303" s="108">
        <f t="shared" si="601"/>
        <v>17676.694517085129</v>
      </c>
      <c r="BL303" s="108">
        <f t="shared" si="602"/>
        <v>1196641.4868514808</v>
      </c>
      <c r="BM303" s="189">
        <f t="shared" si="603"/>
        <v>847.4408860622442</v>
      </c>
      <c r="BN303" s="6">
        <f t="shared" si="604"/>
        <v>1231220</v>
      </c>
      <c r="BO303" s="175">
        <f t="shared" si="605"/>
        <v>18187</v>
      </c>
      <c r="BP303" s="108">
        <f t="shared" si="606"/>
        <v>35088.818631434086</v>
      </c>
      <c r="BQ303" s="76">
        <f t="shared" si="607"/>
        <v>801.63862527178003</v>
      </c>
      <c r="BR303" s="76">
        <f t="shared" si="608"/>
        <v>824.80269607438629</v>
      </c>
      <c r="BS303" s="76">
        <f t="shared" si="584"/>
        <v>17.448985051812087</v>
      </c>
      <c r="BT303" s="175">
        <f t="shared" si="609"/>
        <v>1249407</v>
      </c>
      <c r="BU303" s="108">
        <f t="shared" si="585"/>
        <v>37209</v>
      </c>
      <c r="BW303" s="529">
        <f>BT303/[9]RMWh!$L183</f>
        <v>0.86567194168837647</v>
      </c>
      <c r="CK303" s="165">
        <v>39387</v>
      </c>
      <c r="CL303" s="108">
        <f>BP303+COML!BV303+SPA!BV303</f>
        <v>46007.818631434086</v>
      </c>
      <c r="CM303" s="346">
        <f>'[14]2007'!$D42</f>
        <v>104515</v>
      </c>
      <c r="CN303" s="2">
        <f t="shared" si="574"/>
        <v>-58507.181368565914</v>
      </c>
      <c r="CO303" s="108">
        <f>'[2]FPC wSEB'!$R400</f>
        <v>3270427</v>
      </c>
      <c r="CP303" s="108">
        <f>'[2]FPC wSEB'!$C400-SUM('[2]FPC wSEB'!$K400:$L400)</f>
        <v>3187572</v>
      </c>
      <c r="CQ303" s="108">
        <f>'[2]FPC wSEB'!$T400-'[2]FPC wSEB'!$T399</f>
        <v>-491480</v>
      </c>
      <c r="CR303" s="108">
        <f>SUM('[2]FPC wSEB'!$K400:$L400)</f>
        <v>524238</v>
      </c>
      <c r="CS303" s="108">
        <f>('[2]FPC wSEB'!$N400)-CQ303</f>
        <v>-85971</v>
      </c>
      <c r="CT303" s="108">
        <f>'[2]FPC wSEB'!$P400</f>
        <v>15914</v>
      </c>
      <c r="CU303" s="108">
        <f>'[2]FPC wSEB'!$Q400</f>
        <v>120154</v>
      </c>
      <c r="CV303" s="115">
        <f t="shared" si="586"/>
        <v>0</v>
      </c>
      <c r="CW303" s="108">
        <f t="shared" si="610"/>
        <v>3238874</v>
      </c>
      <c r="CX303" s="108">
        <f t="shared" si="587"/>
        <v>3180366.8186314339</v>
      </c>
      <c r="CY303" s="108">
        <f t="shared" si="588"/>
        <v>58507.181368566118</v>
      </c>
    </row>
    <row r="304" spans="1:103" s="89" customFormat="1" ht="12.75">
      <c r="A304" s="90">
        <f t="shared" si="491"/>
        <v>2007</v>
      </c>
      <c r="B304" s="90">
        <f t="shared" si="492"/>
        <v>12</v>
      </c>
      <c r="C304" s="103">
        <f>'[2]FPC wSEB'!$D401</f>
        <v>1307845</v>
      </c>
      <c r="D304" s="103">
        <f>'[2]FPC wSEB'!$X401</f>
        <v>1449195</v>
      </c>
      <c r="E304" s="103">
        <f t="shared" ref="E304:F306" si="614">ROUND(C304-H304,0)</f>
        <v>1284959</v>
      </c>
      <c r="F304" s="103">
        <f t="shared" si="614"/>
        <v>1393086</v>
      </c>
      <c r="G304" s="109">
        <f t="shared" si="591"/>
        <v>922.4</v>
      </c>
      <c r="H304" s="196">
        <v>22886</v>
      </c>
      <c r="I304" s="197">
        <v>56109</v>
      </c>
      <c r="J304" s="300">
        <f>'[7]RES 62 &amp; 67'!$S389</f>
        <v>110.7</v>
      </c>
      <c r="K304" s="210">
        <f t="shared" si="301"/>
        <v>88</v>
      </c>
      <c r="L304" s="234">
        <f t="shared" si="575"/>
        <v>-22.700000000000003</v>
      </c>
      <c r="M304" s="300">
        <f>'[7]RES 62 &amp; 67'!$J389</f>
        <v>50.6</v>
      </c>
      <c r="N304" s="210">
        <f t="shared" si="302"/>
        <v>83.9</v>
      </c>
      <c r="O304" s="237">
        <f t="shared" si="576"/>
        <v>33.300000000000004</v>
      </c>
      <c r="P304" s="211">
        <f t="shared" si="577"/>
        <v>-49.84920000000001</v>
      </c>
      <c r="Q304" s="211">
        <f t="shared" si="578"/>
        <v>5.4707000000000008</v>
      </c>
      <c r="R304" s="468">
        <f t="shared" si="592"/>
        <v>-44.37850000000001</v>
      </c>
      <c r="S304" s="471">
        <f t="shared" si="579"/>
        <v>102.83040000000001</v>
      </c>
      <c r="T304" s="426">
        <f t="shared" si="432"/>
        <v>58.5</v>
      </c>
      <c r="U304" s="579">
        <f>[5]RC!$E184</f>
        <v>1447909</v>
      </c>
      <c r="V304" s="447">
        <v>39417</v>
      </c>
      <c r="W304" s="95">
        <f t="shared" si="593"/>
        <v>980.9</v>
      </c>
      <c r="X304" s="104">
        <f t="shared" si="594"/>
        <v>1366478</v>
      </c>
      <c r="Y304" s="198">
        <f t="shared" si="595"/>
        <v>23912</v>
      </c>
      <c r="Z304" s="176">
        <f t="shared" si="596"/>
        <v>1390390</v>
      </c>
      <c r="AA304" s="116">
        <f t="shared" si="597"/>
        <v>82545</v>
      </c>
      <c r="AB304" s="520">
        <f>[9]RMWh!$L184</f>
        <v>1386319</v>
      </c>
      <c r="AC304" s="110">
        <f>'[7]Gov 65 &amp; 70'!$B389</f>
        <v>31.35</v>
      </c>
      <c r="AD304" s="89">
        <f t="shared" si="424"/>
        <v>1345194</v>
      </c>
      <c r="AE304" s="89">
        <f t="shared" si="589"/>
        <v>-14703</v>
      </c>
      <c r="AF304" s="89">
        <f t="shared" si="598"/>
        <v>928.2</v>
      </c>
      <c r="AG304" s="91">
        <f t="shared" si="580"/>
        <v>14</v>
      </c>
      <c r="AH304" s="252"/>
      <c r="AI304" s="304">
        <f t="shared" si="612"/>
        <v>0.44219932034470694</v>
      </c>
      <c r="AK304" s="320"/>
      <c r="AU304" s="89">
        <f t="shared" si="494"/>
        <v>2007</v>
      </c>
      <c r="AV304" s="89">
        <f t="shared" si="495"/>
        <v>12</v>
      </c>
      <c r="AW304" s="300">
        <f>'[8]RES 62 &amp; 67'!$S389</f>
        <v>106.9</v>
      </c>
      <c r="AX304" s="210">
        <f t="shared" si="306"/>
        <v>53.2</v>
      </c>
      <c r="AY304" s="204">
        <f t="shared" si="611"/>
        <v>-53.7</v>
      </c>
      <c r="AZ304" s="300">
        <f>'[8]RES 62 &amp; 67'!$J389</f>
        <v>55.9</v>
      </c>
      <c r="BA304" s="210">
        <f t="shared" si="307"/>
        <v>114.1</v>
      </c>
      <c r="BB304" s="430">
        <f t="shared" si="613"/>
        <v>58.199999999999996</v>
      </c>
      <c r="BC304" s="211">
        <f t="shared" si="581"/>
        <v>-117.92520000000002</v>
      </c>
      <c r="BD304" s="211">
        <f t="shared" si="582"/>
        <v>12.941700000000001</v>
      </c>
      <c r="BE304" s="211">
        <f t="shared" si="599"/>
        <v>-104.98350000000002</v>
      </c>
      <c r="BF304" s="212">
        <f t="shared" si="583"/>
        <v>179.7216</v>
      </c>
      <c r="BG304" s="220">
        <f t="shared" si="600"/>
        <v>74.7</v>
      </c>
      <c r="BH304" s="89">
        <f t="shared" si="569"/>
        <v>2007</v>
      </c>
      <c r="BI304" s="89">
        <f t="shared" si="570"/>
        <v>12</v>
      </c>
      <c r="BJ304" s="117">
        <f>C304+[4]MWh!$AJ138</f>
        <v>1232204.3705108808</v>
      </c>
      <c r="BK304" s="117">
        <f t="shared" si="601"/>
        <v>21562.363447894833</v>
      </c>
      <c r="BL304" s="117">
        <f t="shared" si="602"/>
        <v>1210642.007062986</v>
      </c>
      <c r="BM304" s="199">
        <f t="shared" si="603"/>
        <v>943.73608755165594</v>
      </c>
      <c r="BN304" s="96">
        <f t="shared" si="604"/>
        <v>1314706</v>
      </c>
      <c r="BO304" s="176">
        <f t="shared" si="605"/>
        <v>23416</v>
      </c>
      <c r="BP304" s="117">
        <f t="shared" si="606"/>
        <v>105917.62948911914</v>
      </c>
      <c r="BQ304" s="92">
        <f t="shared" si="607"/>
        <v>850.26816302214741</v>
      </c>
      <c r="BR304" s="92">
        <f t="shared" si="608"/>
        <v>923.35538005582407</v>
      </c>
      <c r="BS304" s="92">
        <f t="shared" si="584"/>
        <v>-85.604774180636923</v>
      </c>
      <c r="BT304" s="176">
        <f t="shared" si="609"/>
        <v>1338122</v>
      </c>
      <c r="BU304" s="117">
        <f t="shared" si="585"/>
        <v>-162793</v>
      </c>
      <c r="BW304" s="529">
        <f>BT304/[9]RMWh!$L184</f>
        <v>0.96523383146303265</v>
      </c>
      <c r="CK304" s="166">
        <v>39417</v>
      </c>
      <c r="CL304" s="117">
        <f>BP304+COML!BV304+SPA!BV304</f>
        <v>74989.629489119136</v>
      </c>
      <c r="CM304" s="359">
        <f>'[14]2007'!$D43</f>
        <v>147138</v>
      </c>
      <c r="CN304" s="1">
        <f t="shared" ref="CN304:CN309" si="615">CL304-CM304</f>
        <v>-72148.370510880864</v>
      </c>
      <c r="CO304" s="117">
        <f>'[2]FPC wSEB'!$R401</f>
        <v>3430449</v>
      </c>
      <c r="CP304" s="117">
        <f>'[2]FPC wSEB'!$C401-SUM('[2]FPC wSEB'!$K401:$L401)</f>
        <v>2867658</v>
      </c>
      <c r="CQ304" s="117">
        <f>'[2]FPC wSEB'!$T401-'[2]FPC wSEB'!$T400</f>
        <v>-67043</v>
      </c>
      <c r="CR304" s="117">
        <f>SUM('[2]FPC wSEB'!$K401:$L401)</f>
        <v>441218</v>
      </c>
      <c r="CS304" s="117">
        <f>('[2]FPC wSEB'!$N401)-CQ304</f>
        <v>-34087</v>
      </c>
      <c r="CT304" s="117">
        <f>'[2]FPC wSEB'!$P401</f>
        <v>15896</v>
      </c>
      <c r="CU304" s="117">
        <f>'[2]FPC wSEB'!$Q401</f>
        <v>206807</v>
      </c>
      <c r="CV304" s="118">
        <f t="shared" si="586"/>
        <v>0</v>
      </c>
      <c r="CW304" s="117">
        <f t="shared" si="610"/>
        <v>3354884</v>
      </c>
      <c r="CX304" s="117">
        <f t="shared" si="587"/>
        <v>3282735.6294891192</v>
      </c>
      <c r="CY304" s="117">
        <f t="shared" si="588"/>
        <v>72148.370510880835</v>
      </c>
    </row>
    <row r="305" spans="1:114">
      <c r="A305" s="13">
        <f t="shared" si="491"/>
        <v>2008</v>
      </c>
      <c r="B305" s="13">
        <f t="shared" si="492"/>
        <v>1</v>
      </c>
      <c r="C305" s="5">
        <f>'[2]FPC wSEB'!$D402</f>
        <v>1456377</v>
      </c>
      <c r="D305" s="5">
        <f>'[2]FPC wSEB'!$X402</f>
        <v>1442333</v>
      </c>
      <c r="E305" s="5">
        <f t="shared" si="614"/>
        <v>1423312</v>
      </c>
      <c r="F305" s="5">
        <f t="shared" si="614"/>
        <v>1382809</v>
      </c>
      <c r="G305" s="74">
        <f t="shared" si="591"/>
        <v>1029.3</v>
      </c>
      <c r="H305" s="190">
        <v>33065</v>
      </c>
      <c r="I305" s="170">
        <v>59524</v>
      </c>
      <c r="J305" s="230">
        <f>'[7]RES 62 &amp; 67'!$S390</f>
        <v>82.1</v>
      </c>
      <c r="K305" s="183">
        <f t="shared" si="301"/>
        <v>49.5</v>
      </c>
      <c r="L305" s="233">
        <f t="shared" ref="L305:L310" si="616">(K305-J305)</f>
        <v>-32.599999999999994</v>
      </c>
      <c r="M305" s="230">
        <f>'[7]RES 62 &amp; 67'!$J390</f>
        <v>100.1</v>
      </c>
      <c r="N305" s="183">
        <f t="shared" si="302"/>
        <v>131.6</v>
      </c>
      <c r="O305" s="236">
        <f t="shared" ref="O305:O310" si="617">(N305-M305)</f>
        <v>31.5</v>
      </c>
      <c r="P305" s="206">
        <f t="shared" ref="P305:P310" si="618">L305*$E$10</f>
        <v>-70.709399999999988</v>
      </c>
      <c r="Q305" s="208">
        <f t="shared" ref="Q305:Q310" si="619">IF($B305=12,L305*$E$11,IF($B305&lt;5,L305*$E$11,0))</f>
        <v>5.3137999999999996</v>
      </c>
      <c r="R305" s="467">
        <f t="shared" si="592"/>
        <v>-65.395599999999988</v>
      </c>
      <c r="S305" s="470">
        <f t="shared" ref="S305:S310" si="620">O305*$E$9</f>
        <v>94.531499999999994</v>
      </c>
      <c r="T305" s="425">
        <f t="shared" si="432"/>
        <v>29.1</v>
      </c>
      <c r="U305" s="579">
        <f>[5]RC!$E185</f>
        <v>1450881</v>
      </c>
      <c r="V305" s="447">
        <v>39448</v>
      </c>
      <c r="W305" s="191">
        <f t="shared" si="593"/>
        <v>1058.3999999999999</v>
      </c>
      <c r="X305" s="73">
        <f t="shared" si="594"/>
        <v>1463565</v>
      </c>
      <c r="Y305" s="187">
        <f t="shared" si="595"/>
        <v>33228</v>
      </c>
      <c r="Z305" s="175">
        <f t="shared" si="596"/>
        <v>1496793</v>
      </c>
      <c r="AA305" s="40">
        <f t="shared" si="597"/>
        <v>40416</v>
      </c>
      <c r="AB305" s="519">
        <f>[9]RMWh!$L185</f>
        <v>1496973</v>
      </c>
      <c r="AC305" s="107">
        <f>'[7]Gov 65 &amp; 70'!$B390</f>
        <v>31.85</v>
      </c>
      <c r="AD305" s="4">
        <f t="shared" si="424"/>
        <v>1429762</v>
      </c>
      <c r="AE305" s="4">
        <f t="shared" si="589"/>
        <v>-237093</v>
      </c>
      <c r="AF305" s="23">
        <f t="shared" si="598"/>
        <v>991.3</v>
      </c>
      <c r="AG305" s="75">
        <f t="shared" ref="AG305:AG310" si="621">AF305-AF293</f>
        <v>-217.5</v>
      </c>
      <c r="AI305" s="303">
        <f t="shared" si="612"/>
        <v>0.53967766679421769</v>
      </c>
      <c r="AK305" s="319"/>
      <c r="AU305" s="4">
        <f t="shared" si="494"/>
        <v>2008</v>
      </c>
      <c r="AV305" s="4">
        <f t="shared" si="495"/>
        <v>1</v>
      </c>
      <c r="AW305" s="230">
        <f>'[8]RES 62 &amp; 67'!$S390</f>
        <v>39.5</v>
      </c>
      <c r="AX305" s="200">
        <f t="shared" si="306"/>
        <v>50.5</v>
      </c>
      <c r="AY305" s="203">
        <f t="shared" si="611"/>
        <v>11</v>
      </c>
      <c r="AZ305" s="230">
        <f>'[8]RES 62 &amp; 67'!$J390</f>
        <v>143.1</v>
      </c>
      <c r="BA305" s="183">
        <f t="shared" si="307"/>
        <v>127.9</v>
      </c>
      <c r="BB305" s="429">
        <f t="shared" si="613"/>
        <v>-15.199999999999989</v>
      </c>
      <c r="BC305" s="206">
        <f t="shared" ref="BC305:BC310" si="622">AY305*$E$10</f>
        <v>23.859000000000002</v>
      </c>
      <c r="BD305" s="206">
        <f t="shared" ref="BD305:BD310" si="623">IF($B305=4,($E$11*0.5*AY305),IF($B305=11,($E$11*0.5*AY305),IF($B305=12,AY305*$E$11,IF($B305&lt;5,AY305*$E$11,0))))</f>
        <v>-1.7930000000000001</v>
      </c>
      <c r="BE305" s="206">
        <f t="shared" si="599"/>
        <v>22.066000000000003</v>
      </c>
      <c r="BF305" s="207">
        <f t="shared" ref="BF305:BF310" si="624">BB305*$E$9</f>
        <v>-45.615199999999966</v>
      </c>
      <c r="BG305" s="219">
        <f t="shared" si="600"/>
        <v>-23.5</v>
      </c>
      <c r="BH305" s="4">
        <f t="shared" si="569"/>
        <v>2008</v>
      </c>
      <c r="BI305" s="4">
        <f t="shared" si="570"/>
        <v>1</v>
      </c>
      <c r="BJ305" s="108">
        <f>C305+[4]MWh!$AJ139</f>
        <v>1593152.4458533349</v>
      </c>
      <c r="BK305" s="108">
        <f t="shared" si="601"/>
        <v>36170.294931971956</v>
      </c>
      <c r="BL305" s="108">
        <f t="shared" si="602"/>
        <v>1556982.1509213629</v>
      </c>
      <c r="BM305" s="189">
        <f t="shared" si="603"/>
        <v>1102.4560437640794</v>
      </c>
      <c r="BN305" s="6">
        <f t="shared" si="604"/>
        <v>1524486</v>
      </c>
      <c r="BO305" s="175">
        <f t="shared" si="605"/>
        <v>35415</v>
      </c>
      <c r="BP305" s="108">
        <f t="shared" si="606"/>
        <v>-33251.445853334873</v>
      </c>
      <c r="BQ305" s="76">
        <f t="shared" si="607"/>
        <v>1104.5663143347167</v>
      </c>
      <c r="BR305" s="76">
        <f t="shared" si="608"/>
        <v>1081.5123830627185</v>
      </c>
      <c r="BS305" s="76">
        <f t="shared" ref="BS305:BS310" si="625">BR305-BR293</f>
        <v>-67.566232151533995</v>
      </c>
      <c r="BT305" s="175">
        <f t="shared" si="609"/>
        <v>1559901</v>
      </c>
      <c r="BU305" s="108">
        <f t="shared" ref="BU305:BU310" si="626">BT305-BT293</f>
        <v>-24629</v>
      </c>
      <c r="BW305" s="529">
        <f>BT305/[9]RMWh!$L185</f>
        <v>1.042036830323593</v>
      </c>
      <c r="CK305" s="165">
        <v>39448</v>
      </c>
      <c r="CL305" s="108">
        <f>BP305+COML!BV305+SPA!BV305</f>
        <v>-30083.445853334873</v>
      </c>
      <c r="CM305" s="346">
        <f>'[14]2008'!$D32</f>
        <v>46488</v>
      </c>
      <c r="CN305" s="2">
        <f t="shared" si="615"/>
        <v>-76571.445853334881</v>
      </c>
      <c r="CO305" s="108">
        <f>'[2]FPC wSEB'!$R402</f>
        <v>3637092</v>
      </c>
      <c r="CP305" s="108">
        <f>'[2]FPC wSEB'!$C402-SUM('[2]FPC wSEB'!$K402:$L402)</f>
        <v>2908505</v>
      </c>
      <c r="CQ305" s="108">
        <f>'[2]FPC wSEB'!$T402-'[2]FPC wSEB'!$T401</f>
        <v>136206</v>
      </c>
      <c r="CR305" s="108">
        <f>SUM('[2]FPC wSEB'!$K402:$L402)</f>
        <v>414712</v>
      </c>
      <c r="CS305" s="108">
        <f>('[2]FPC wSEB'!$N402)-CQ305</f>
        <v>62778</v>
      </c>
      <c r="CT305" s="108">
        <f>'[2]FPC wSEB'!$P402</f>
        <v>11939</v>
      </c>
      <c r="CU305" s="108">
        <f>'[2]FPC wSEB'!$Q402</f>
        <v>102952</v>
      </c>
      <c r="CV305" s="115">
        <f t="shared" ref="CV305:CV311" si="627">CO305-SUM(CP305:CU305)</f>
        <v>0</v>
      </c>
      <c r="CW305" s="108">
        <f t="shared" si="610"/>
        <v>3568689</v>
      </c>
      <c r="CX305" s="108">
        <f t="shared" ref="CX305:CX311" si="628">SUM(CP305:CS305)+CL305</f>
        <v>3492117.5541466651</v>
      </c>
      <c r="CY305" s="108">
        <f t="shared" ref="CY305:CY311" si="629">CW305-CX305</f>
        <v>76571.445853334852</v>
      </c>
    </row>
    <row r="306" spans="1:114">
      <c r="A306" s="13">
        <f t="shared" si="491"/>
        <v>2008</v>
      </c>
      <c r="B306" s="13">
        <f t="shared" si="492"/>
        <v>2</v>
      </c>
      <c r="C306" s="5">
        <f>'[2]FPC wSEB'!$D403</f>
        <v>1301126</v>
      </c>
      <c r="D306" s="5">
        <f>'[2]FPC wSEB'!$X403</f>
        <v>1466010</v>
      </c>
      <c r="E306" s="5">
        <f t="shared" si="614"/>
        <v>1269095</v>
      </c>
      <c r="F306" s="5">
        <f t="shared" si="614"/>
        <v>1407583</v>
      </c>
      <c r="G306" s="74">
        <f t="shared" si="591"/>
        <v>901.6</v>
      </c>
      <c r="H306" s="190">
        <v>32031</v>
      </c>
      <c r="I306" s="170">
        <v>58427</v>
      </c>
      <c r="J306" s="230">
        <f>'[7]RES 62 &amp; 67'!$S391</f>
        <v>53.1</v>
      </c>
      <c r="K306" s="183">
        <f t="shared" si="301"/>
        <v>43.3</v>
      </c>
      <c r="L306" s="233">
        <f t="shared" si="616"/>
        <v>-9.8000000000000043</v>
      </c>
      <c r="M306" s="230">
        <f>'[7]RES 62 &amp; 67'!$J391</f>
        <v>97.8</v>
      </c>
      <c r="N306" s="183">
        <f t="shared" si="302"/>
        <v>127.9</v>
      </c>
      <c r="O306" s="236">
        <f t="shared" si="617"/>
        <v>30.100000000000009</v>
      </c>
      <c r="P306" s="206">
        <f t="shared" si="618"/>
        <v>-21.25620000000001</v>
      </c>
      <c r="Q306" s="208">
        <f t="shared" si="619"/>
        <v>1.5974000000000008</v>
      </c>
      <c r="R306" s="467">
        <f t="shared" si="592"/>
        <v>-19.65880000000001</v>
      </c>
      <c r="S306" s="470">
        <f t="shared" si="620"/>
        <v>90.330100000000016</v>
      </c>
      <c r="T306" s="425">
        <f t="shared" si="432"/>
        <v>70.7</v>
      </c>
      <c r="U306" s="579">
        <f>[5]RC!$E186</f>
        <v>1451349</v>
      </c>
      <c r="V306" s="447">
        <v>39479</v>
      </c>
      <c r="W306" s="191">
        <f t="shared" si="593"/>
        <v>972.30000000000007</v>
      </c>
      <c r="X306" s="73">
        <f t="shared" si="594"/>
        <v>1368593</v>
      </c>
      <c r="Y306" s="187">
        <f t="shared" si="595"/>
        <v>33692</v>
      </c>
      <c r="Z306" s="175">
        <f t="shared" si="596"/>
        <v>1402285</v>
      </c>
      <c r="AA306" s="40">
        <f t="shared" si="597"/>
        <v>101159</v>
      </c>
      <c r="AB306" s="519">
        <f>[9]RMWh!$L186</f>
        <v>1408687</v>
      </c>
      <c r="AC306" s="107">
        <f>'[7]Gov 65 &amp; 70'!$B391</f>
        <v>29.65</v>
      </c>
      <c r="AD306" s="4">
        <f t="shared" si="424"/>
        <v>1445270</v>
      </c>
      <c r="AE306" s="4">
        <f t="shared" ref="AE306:AE311" si="630">AD306-AD294</f>
        <v>14711</v>
      </c>
      <c r="AF306" s="23">
        <f t="shared" si="598"/>
        <v>985.9</v>
      </c>
      <c r="AG306" s="75">
        <f t="shared" si="621"/>
        <v>2</v>
      </c>
      <c r="AI306" s="303">
        <f t="shared" si="612"/>
        <v>0.60805520001456703</v>
      </c>
      <c r="AK306" s="587" t="s">
        <v>270</v>
      </c>
      <c r="AU306" s="4">
        <f t="shared" si="494"/>
        <v>2008</v>
      </c>
      <c r="AV306" s="4">
        <f t="shared" si="495"/>
        <v>2</v>
      </c>
      <c r="AW306" s="230">
        <f>'[8]RES 62 &amp; 67'!$S391</f>
        <v>75.8</v>
      </c>
      <c r="AX306" s="200">
        <f t="shared" si="306"/>
        <v>59.2</v>
      </c>
      <c r="AY306" s="203">
        <f t="shared" si="611"/>
        <v>-16.599999999999994</v>
      </c>
      <c r="AZ306" s="230">
        <f>'[8]RES 62 &amp; 67'!$J391</f>
        <v>73.400000000000006</v>
      </c>
      <c r="BA306" s="183">
        <f t="shared" si="307"/>
        <v>97.8</v>
      </c>
      <c r="BB306" s="429">
        <f t="shared" si="613"/>
        <v>24.399999999999991</v>
      </c>
      <c r="BC306" s="206">
        <f t="shared" si="622"/>
        <v>-36.005399999999987</v>
      </c>
      <c r="BD306" s="206">
        <f t="shared" si="623"/>
        <v>2.7057999999999991</v>
      </c>
      <c r="BE306" s="206">
        <f t="shared" si="599"/>
        <v>-33.299599999999991</v>
      </c>
      <c r="BF306" s="207">
        <f t="shared" si="624"/>
        <v>73.224399999999974</v>
      </c>
      <c r="BG306" s="219">
        <f t="shared" si="600"/>
        <v>39.9</v>
      </c>
      <c r="BH306" s="4">
        <f t="shared" si="569"/>
        <v>2008</v>
      </c>
      <c r="BI306" s="4">
        <f t="shared" si="570"/>
        <v>2</v>
      </c>
      <c r="BJ306" s="108">
        <f>C306+[4]MWh!$AJ140</f>
        <v>1208464.2280526552</v>
      </c>
      <c r="BK306" s="108">
        <f t="shared" si="601"/>
        <v>29749.861034791866</v>
      </c>
      <c r="BL306" s="108">
        <f t="shared" si="602"/>
        <v>1178714.3670178633</v>
      </c>
      <c r="BM306" s="189">
        <f t="shared" si="603"/>
        <v>877.30309951019819</v>
      </c>
      <c r="BN306" s="6">
        <f t="shared" si="604"/>
        <v>1234877</v>
      </c>
      <c r="BO306" s="175">
        <f t="shared" si="605"/>
        <v>31167</v>
      </c>
      <c r="BP306" s="108">
        <f t="shared" si="606"/>
        <v>57579.771947344816</v>
      </c>
      <c r="BQ306" s="76">
        <f t="shared" si="607"/>
        <v>824.3219541835698</v>
      </c>
      <c r="BR306" s="76">
        <f t="shared" si="608"/>
        <v>863.59847477165908</v>
      </c>
      <c r="BS306" s="76">
        <f t="shared" si="625"/>
        <v>-43.894920610576492</v>
      </c>
      <c r="BT306" s="175">
        <f t="shared" si="609"/>
        <v>1266044</v>
      </c>
      <c r="BU306" s="108">
        <f t="shared" si="626"/>
        <v>-53367</v>
      </c>
      <c r="BW306" s="529">
        <f>BT306/[9]RMWh!$L186</f>
        <v>0.89874045831330873</v>
      </c>
      <c r="CK306" s="165">
        <v>39479</v>
      </c>
      <c r="CL306" s="108">
        <f>BP306+COML!BV306+SPA!BV306</f>
        <v>44767.771947344816</v>
      </c>
      <c r="CM306" s="346">
        <f>'[14]2008'!$D33</f>
        <v>114345</v>
      </c>
      <c r="CN306" s="2">
        <f t="shared" si="615"/>
        <v>-69577.228052655177</v>
      </c>
      <c r="CO306" s="108">
        <f>'[2]FPC wSEB'!$R403</f>
        <v>3251089</v>
      </c>
      <c r="CP306" s="108">
        <f>'[2]FPC wSEB'!$C403-SUM('[2]FPC wSEB'!$K403:$L403)</f>
        <v>2697978</v>
      </c>
      <c r="CQ306" s="108">
        <f>'[2]FPC wSEB'!$T403-'[2]FPC wSEB'!$T402</f>
        <v>-128120</v>
      </c>
      <c r="CR306" s="108">
        <f>SUM('[2]FPC wSEB'!$K403:$L403)</f>
        <v>448893</v>
      </c>
      <c r="CS306" s="108">
        <f>('[2]FPC wSEB'!$N403)-CQ306</f>
        <v>-25339</v>
      </c>
      <c r="CT306" s="108">
        <f>'[2]FPC wSEB'!$P403</f>
        <v>13006</v>
      </c>
      <c r="CU306" s="108">
        <f>'[2]FPC wSEB'!$Q403</f>
        <v>244671</v>
      </c>
      <c r="CV306" s="115">
        <f t="shared" si="627"/>
        <v>0</v>
      </c>
      <c r="CW306" s="108">
        <f t="shared" si="610"/>
        <v>3107757</v>
      </c>
      <c r="CX306" s="108">
        <f t="shared" si="628"/>
        <v>3038179.7719473448</v>
      </c>
      <c r="CY306" s="108">
        <f t="shared" si="629"/>
        <v>69577.228052655235</v>
      </c>
    </row>
    <row r="307" spans="1:114">
      <c r="A307" s="13">
        <f t="shared" si="491"/>
        <v>2008</v>
      </c>
      <c r="B307" s="13">
        <f t="shared" si="492"/>
        <v>3</v>
      </c>
      <c r="C307" s="5">
        <f>'[2]FPC wSEB'!$D404</f>
        <v>1247505</v>
      </c>
      <c r="D307" s="5">
        <f>'[2]FPC wSEB'!$X404</f>
        <v>1406139</v>
      </c>
      <c r="E307" s="5">
        <f t="shared" ref="E307:F309" si="631">ROUND(C307-H307,0)</f>
        <v>1215621</v>
      </c>
      <c r="F307" s="5">
        <f t="shared" si="631"/>
        <v>1348434</v>
      </c>
      <c r="G307" s="74">
        <f t="shared" ref="G307:G312" si="632">ROUND((E307)/F307*1000,1)</f>
        <v>901.5</v>
      </c>
      <c r="H307" s="190">
        <v>31884</v>
      </c>
      <c r="I307" s="170">
        <v>57705</v>
      </c>
      <c r="J307" s="230">
        <f>'[7]RES 62 &amp; 67'!$S392</f>
        <v>75.5</v>
      </c>
      <c r="K307" s="183">
        <f t="shared" si="301"/>
        <v>77.2</v>
      </c>
      <c r="L307" s="233">
        <f t="shared" si="616"/>
        <v>1.7000000000000028</v>
      </c>
      <c r="M307" s="230">
        <f>'[7]RES 62 &amp; 67'!$J392</f>
        <v>70.400000000000006</v>
      </c>
      <c r="N307" s="183">
        <f t="shared" si="302"/>
        <v>82.3</v>
      </c>
      <c r="O307" s="236">
        <f t="shared" si="617"/>
        <v>11.899999999999991</v>
      </c>
      <c r="P307" s="206">
        <f t="shared" si="618"/>
        <v>3.6873000000000062</v>
      </c>
      <c r="Q307" s="208">
        <f t="shared" si="619"/>
        <v>-0.27710000000000046</v>
      </c>
      <c r="R307" s="467">
        <f t="shared" ref="R307:R312" si="633">P307+Q307</f>
        <v>3.4102000000000059</v>
      </c>
      <c r="S307" s="470">
        <f t="shared" si="620"/>
        <v>35.711899999999972</v>
      </c>
      <c r="T307" s="425">
        <f t="shared" si="432"/>
        <v>39.1</v>
      </c>
      <c r="U307" s="579">
        <f>[5]RC!$E187</f>
        <v>1452491</v>
      </c>
      <c r="V307" s="447">
        <v>39508</v>
      </c>
      <c r="W307" s="191">
        <f t="shared" ref="W307:W312" si="634">(G307+T307)</f>
        <v>940.6</v>
      </c>
      <c r="X307" s="73">
        <f t="shared" ref="X307:X312" si="635">ROUND(W307*F307/1000,0)</f>
        <v>1268337</v>
      </c>
      <c r="Y307" s="187">
        <f t="shared" ref="Y307:Y312" si="636">ROUND((X307/C307)*H307,0)</f>
        <v>32416</v>
      </c>
      <c r="Z307" s="175">
        <f t="shared" ref="Z307:Z312" si="637">Y307+X307</f>
        <v>1300753</v>
      </c>
      <c r="AA307" s="40">
        <f t="shared" ref="AA307:AA312" si="638">Z307-C307</f>
        <v>53248</v>
      </c>
      <c r="AB307" s="519">
        <f>[9]RMWh!$L187</f>
        <v>1337529</v>
      </c>
      <c r="AC307" s="107">
        <f>'[7]Gov 65 &amp; 70'!$B392</f>
        <v>29.6</v>
      </c>
      <c r="AD307" s="4">
        <f t="shared" si="424"/>
        <v>1374582</v>
      </c>
      <c r="AE307" s="4">
        <f t="shared" si="630"/>
        <v>-17035</v>
      </c>
      <c r="AF307" s="23">
        <f t="shared" ref="AF307:AF312" si="639">ROUND((AD307/(D307)*1000),1)</f>
        <v>977.6</v>
      </c>
      <c r="AG307" s="75">
        <f t="shared" si="621"/>
        <v>12.300000000000068</v>
      </c>
      <c r="AI307" s="303">
        <f t="shared" si="612"/>
        <v>0.61290564883268661</v>
      </c>
      <c r="AU307" s="4">
        <f t="shared" si="494"/>
        <v>2008</v>
      </c>
      <c r="AV307" s="4">
        <f t="shared" si="495"/>
        <v>3</v>
      </c>
      <c r="AW307" s="230">
        <f>'[8]RES 62 &amp; 67'!$S392</f>
        <v>92.7</v>
      </c>
      <c r="AX307" s="200">
        <f t="shared" si="306"/>
        <v>105.8</v>
      </c>
      <c r="AY307" s="203">
        <f t="shared" si="611"/>
        <v>13.099999999999994</v>
      </c>
      <c r="AZ307" s="230">
        <f>'[8]RES 62 &amp; 67'!$J392</f>
        <v>48.1</v>
      </c>
      <c r="BA307" s="183">
        <f t="shared" si="307"/>
        <v>49.9</v>
      </c>
      <c r="BB307" s="429">
        <f t="shared" si="613"/>
        <v>1.7999999999999972</v>
      </c>
      <c r="BC307" s="206">
        <f t="shared" si="622"/>
        <v>28.413899999999988</v>
      </c>
      <c r="BD307" s="206">
        <f t="shared" si="623"/>
        <v>-2.1352999999999991</v>
      </c>
      <c r="BE307" s="206">
        <f t="shared" ref="BE307:BE312" si="640">BC307+BD307</f>
        <v>26.27859999999999</v>
      </c>
      <c r="BF307" s="207">
        <f t="shared" si="624"/>
        <v>5.4017999999999908</v>
      </c>
      <c r="BG307" s="219">
        <f t="shared" ref="BG307:BG312" si="641">ROUND(BF307+BE307,1)</f>
        <v>31.7</v>
      </c>
      <c r="BH307" s="4">
        <f t="shared" si="569"/>
        <v>2008</v>
      </c>
      <c r="BI307" s="4">
        <f t="shared" si="570"/>
        <v>3</v>
      </c>
      <c r="BJ307" s="108">
        <f>C307+[4]MWh!$AJ141</f>
        <v>1246543.562984884</v>
      </c>
      <c r="BK307" s="108">
        <f t="shared" ref="BK307:BK312" si="642">(H307/C307)*BJ307</f>
        <v>31859.427386832151</v>
      </c>
      <c r="BL307" s="108">
        <f t="shared" ref="BL307:BL312" si="643">BJ307-BK307</f>
        <v>1214684.1355980518</v>
      </c>
      <c r="BM307" s="189">
        <f t="shared" ref="BM307:BM312" si="644">(BL307/F307*1000)+BG307</f>
        <v>932.51096709075262</v>
      </c>
      <c r="BN307" s="6">
        <f t="shared" ref="BN307:BN312" si="645">ROUND(BM307*F307/1000,0)</f>
        <v>1257429</v>
      </c>
      <c r="BO307" s="175">
        <f t="shared" ref="BO307:BO312" si="646">ROUND(BN307/BL307*BK307,0)</f>
        <v>32981</v>
      </c>
      <c r="BP307" s="108">
        <f t="shared" ref="BP307:BP312" si="647">(BN307-BL307)+(BO307-BK307)</f>
        <v>43866.437015116026</v>
      </c>
      <c r="BQ307" s="76">
        <f t="shared" ref="BQ307:BQ312" si="648">BJ307/D307*1000</f>
        <v>886.50095259777595</v>
      </c>
      <c r="BR307" s="76">
        <f t="shared" ref="BR307:BR312" si="649">(BN307+BO307)/D307*1000</f>
        <v>917.69732579780521</v>
      </c>
      <c r="BS307" s="76">
        <f t="shared" si="625"/>
        <v>-56.649820806080811</v>
      </c>
      <c r="BT307" s="175">
        <f t="shared" ref="BT307:BT312" si="650">(BN307+BO307)</f>
        <v>1290410</v>
      </c>
      <c r="BU307" s="108">
        <f t="shared" si="626"/>
        <v>-114241</v>
      </c>
      <c r="BW307" s="529">
        <f>BT307/[9]RMWh!$L187</f>
        <v>0.96477160495211689</v>
      </c>
      <c r="CK307" s="165">
        <v>39508</v>
      </c>
      <c r="CL307" s="108">
        <f>BP307+COML!BV307+SPA!BV307</f>
        <v>58107.437015116026</v>
      </c>
      <c r="CM307" s="346">
        <f>'[14]2008'!$D34</f>
        <v>108703</v>
      </c>
      <c r="CN307" s="2">
        <f t="shared" si="615"/>
        <v>-50595.562984883974</v>
      </c>
      <c r="CO307" s="108">
        <f>'[2]FPC wSEB'!$R404</f>
        <v>3510911</v>
      </c>
      <c r="CP307" s="108">
        <f>'[2]FPC wSEB'!$C404-SUM('[2]FPC wSEB'!$K404:$L404)</f>
        <v>2691413</v>
      </c>
      <c r="CQ307" s="108">
        <f>'[2]FPC wSEB'!$T404-'[2]FPC wSEB'!$T403</f>
        <v>60349</v>
      </c>
      <c r="CR307" s="108">
        <f>SUM('[2]FPC wSEB'!$K404:$L404)</f>
        <v>429941</v>
      </c>
      <c r="CS307" s="108">
        <f>('[2]FPC wSEB'!$N404)-CQ307</f>
        <v>114101</v>
      </c>
      <c r="CT307" s="108">
        <f>'[2]FPC wSEB'!$P404</f>
        <v>15657</v>
      </c>
      <c r="CU307" s="108">
        <f>'[2]FPC wSEB'!$Q404</f>
        <v>199450</v>
      </c>
      <c r="CV307" s="115">
        <f t="shared" si="627"/>
        <v>0</v>
      </c>
      <c r="CW307" s="108">
        <f t="shared" ref="CW307:CW312" si="651">CO307-CT307-CU307+CM307</f>
        <v>3404507</v>
      </c>
      <c r="CX307" s="108">
        <f t="shared" si="628"/>
        <v>3353911.4370151162</v>
      </c>
      <c r="CY307" s="108">
        <f t="shared" si="629"/>
        <v>50595.562984883785</v>
      </c>
    </row>
    <row r="308" spans="1:114">
      <c r="A308" s="13">
        <f t="shared" si="491"/>
        <v>2008</v>
      </c>
      <c r="B308" s="13">
        <f t="shared" si="492"/>
        <v>4</v>
      </c>
      <c r="C308" s="5">
        <f>'[2]FPC wSEB'!$D405</f>
        <v>1354417</v>
      </c>
      <c r="D308" s="5">
        <f>'[2]FPC wSEB'!$X405</f>
        <v>1477927</v>
      </c>
      <c r="E308" s="5">
        <f t="shared" si="631"/>
        <v>1324718</v>
      </c>
      <c r="F308" s="5">
        <f t="shared" si="631"/>
        <v>1419231</v>
      </c>
      <c r="G308" s="74">
        <f t="shared" si="632"/>
        <v>933.4</v>
      </c>
      <c r="H308" s="190">
        <v>29699</v>
      </c>
      <c r="I308" s="170">
        <v>58696</v>
      </c>
      <c r="J308" s="230">
        <f>'[7]RES 62 &amp; 67'!$S393</f>
        <v>128.4</v>
      </c>
      <c r="K308" s="183">
        <f t="shared" si="301"/>
        <v>138.1</v>
      </c>
      <c r="L308" s="233">
        <f t="shared" si="616"/>
        <v>9.6999999999999886</v>
      </c>
      <c r="M308" s="230">
        <f>'[7]RES 62 &amp; 67'!$J393</f>
        <v>38.6</v>
      </c>
      <c r="N308" s="183">
        <f t="shared" si="302"/>
        <v>37.299999999999997</v>
      </c>
      <c r="O308" s="236">
        <f t="shared" si="617"/>
        <v>-1.3000000000000043</v>
      </c>
      <c r="P308" s="206">
        <f t="shared" si="618"/>
        <v>21.039299999999976</v>
      </c>
      <c r="Q308" s="208">
        <f t="shared" si="619"/>
        <v>-1.5810999999999982</v>
      </c>
      <c r="R308" s="467">
        <f t="shared" si="633"/>
        <v>19.458199999999977</v>
      </c>
      <c r="S308" s="470">
        <f t="shared" si="620"/>
        <v>-3.9013000000000129</v>
      </c>
      <c r="T308" s="425">
        <f t="shared" ref="T308:T313" si="652">ROUND((R308+S308),1)</f>
        <v>15.6</v>
      </c>
      <c r="U308" s="579">
        <f>[5]RC!$E188</f>
        <v>1451218</v>
      </c>
      <c r="V308" s="447">
        <v>39539</v>
      </c>
      <c r="W308" s="191">
        <f t="shared" si="634"/>
        <v>949</v>
      </c>
      <c r="X308" s="73">
        <f t="shared" si="635"/>
        <v>1346850</v>
      </c>
      <c r="Y308" s="187">
        <f t="shared" si="636"/>
        <v>29533</v>
      </c>
      <c r="Z308" s="175">
        <f t="shared" si="637"/>
        <v>1376383</v>
      </c>
      <c r="AA308" s="40">
        <f t="shared" si="638"/>
        <v>21966</v>
      </c>
      <c r="AB308" s="519">
        <f>[9]RMWh!$L188</f>
        <v>1350991</v>
      </c>
      <c r="AC308" s="107">
        <f>'[7]Gov 65 &amp; 70'!$B393</f>
        <v>30.6</v>
      </c>
      <c r="AD308" s="4">
        <f t="shared" si="424"/>
        <v>1343044</v>
      </c>
      <c r="AE308" s="4">
        <f t="shared" si="630"/>
        <v>-12154</v>
      </c>
      <c r="AF308" s="23">
        <f t="shared" si="639"/>
        <v>908.7</v>
      </c>
      <c r="AG308" s="75">
        <f t="shared" si="621"/>
        <v>-28.099999999999909</v>
      </c>
      <c r="AI308" s="303">
        <f t="shared" si="612"/>
        <v>0.5420826704126559</v>
      </c>
      <c r="AK308" s="418">
        <f>AVERAGE(AI308,AI296,AI284,AI272,AI260,AI248,AI236,AI224,AI200,AI188)</f>
        <v>0.51158695593394055</v>
      </c>
      <c r="AL308" s="417" t="s">
        <v>245</v>
      </c>
      <c r="AU308" s="4">
        <f t="shared" si="494"/>
        <v>2008</v>
      </c>
      <c r="AV308" s="4">
        <f t="shared" si="495"/>
        <v>4</v>
      </c>
      <c r="AW308" s="230">
        <f>'[8]RES 62 &amp; 67'!$S393</f>
        <v>179.9</v>
      </c>
      <c r="AX308" s="200">
        <f t="shared" si="306"/>
        <v>181.7</v>
      </c>
      <c r="AY308" s="203">
        <f t="shared" ref="AY308:AY313" si="653">AX308-AW308</f>
        <v>1.7999999999999829</v>
      </c>
      <c r="AZ308" s="230">
        <f>'[8]RES 62 &amp; 67'!$J393</f>
        <v>19.600000000000001</v>
      </c>
      <c r="BA308" s="183">
        <f t="shared" si="307"/>
        <v>21.5</v>
      </c>
      <c r="BB308" s="429">
        <f t="shared" si="613"/>
        <v>1.8999999999999986</v>
      </c>
      <c r="BC308" s="206">
        <f t="shared" si="622"/>
        <v>3.904199999999963</v>
      </c>
      <c r="BD308" s="206">
        <f t="shared" si="623"/>
        <v>-0.14669999999999861</v>
      </c>
      <c r="BE308" s="206">
        <f t="shared" si="640"/>
        <v>3.7574999999999643</v>
      </c>
      <c r="BF308" s="207">
        <f t="shared" si="624"/>
        <v>5.7018999999999957</v>
      </c>
      <c r="BG308" s="219">
        <f t="shared" si="641"/>
        <v>9.5</v>
      </c>
      <c r="BH308" s="4">
        <f t="shared" si="569"/>
        <v>2008</v>
      </c>
      <c r="BI308" s="4">
        <f t="shared" si="570"/>
        <v>4</v>
      </c>
      <c r="BJ308" s="108">
        <f>C308+[4]MWh!$AJ142</f>
        <v>1437729.1110209227</v>
      </c>
      <c r="BK308" s="108">
        <f t="shared" si="642"/>
        <v>31525.827620452477</v>
      </c>
      <c r="BL308" s="108">
        <f t="shared" si="643"/>
        <v>1406203.2834004702</v>
      </c>
      <c r="BM308" s="189">
        <f t="shared" si="644"/>
        <v>1000.3205805823507</v>
      </c>
      <c r="BN308" s="6">
        <f t="shared" si="645"/>
        <v>1419686</v>
      </c>
      <c r="BO308" s="175">
        <f t="shared" si="646"/>
        <v>31828</v>
      </c>
      <c r="BP308" s="108">
        <f t="shared" si="647"/>
        <v>13784.888979077365</v>
      </c>
      <c r="BQ308" s="76">
        <f t="shared" si="648"/>
        <v>972.80116746018086</v>
      </c>
      <c r="BR308" s="76">
        <f t="shared" si="649"/>
        <v>982.12834598731865</v>
      </c>
      <c r="BS308" s="76">
        <f t="shared" si="625"/>
        <v>34.72306826503609</v>
      </c>
      <c r="BT308" s="175">
        <f t="shared" si="650"/>
        <v>1451514</v>
      </c>
      <c r="BU308" s="108">
        <f t="shared" si="626"/>
        <v>81025</v>
      </c>
      <c r="BW308" s="529">
        <f>BT308/[9]RMWh!$L188</f>
        <v>1.0744068613336433</v>
      </c>
      <c r="CK308" s="165">
        <v>39539</v>
      </c>
      <c r="CL308" s="108">
        <f>BP308+COML!BV308+SPA!BV308</f>
        <v>15128.888979077365</v>
      </c>
      <c r="CM308" s="346">
        <f>'[14]2008'!$D35</f>
        <v>52636</v>
      </c>
      <c r="CN308" s="2">
        <f t="shared" si="615"/>
        <v>-37507.111020922632</v>
      </c>
      <c r="CO308" s="108">
        <f>'[2]FPC wSEB'!$R405</f>
        <v>3813294</v>
      </c>
      <c r="CP308" s="108">
        <f>'[2]FPC wSEB'!$C405-SUM('[2]FPC wSEB'!$K405:$L405)</f>
        <v>2852712</v>
      </c>
      <c r="CQ308" s="108">
        <f>'[2]FPC wSEB'!$T405-'[2]FPC wSEB'!$T404</f>
        <v>137408</v>
      </c>
      <c r="CR308" s="108">
        <f>SUM('[2]FPC wSEB'!$K405:$L405)</f>
        <v>552008</v>
      </c>
      <c r="CS308" s="108">
        <f>('[2]FPC wSEB'!$N405)-CQ308</f>
        <v>174303</v>
      </c>
      <c r="CT308" s="108">
        <f>'[2]FPC wSEB'!$P405</f>
        <v>11389</v>
      </c>
      <c r="CU308" s="108">
        <f>'[2]FPC wSEB'!$Q405</f>
        <v>85474</v>
      </c>
      <c r="CV308" s="115">
        <f t="shared" si="627"/>
        <v>0</v>
      </c>
      <c r="CW308" s="108">
        <f t="shared" si="651"/>
        <v>3769067</v>
      </c>
      <c r="CX308" s="108">
        <f t="shared" si="628"/>
        <v>3731559.8889790773</v>
      </c>
      <c r="CY308" s="108">
        <f t="shared" si="629"/>
        <v>37507.111020922661</v>
      </c>
    </row>
    <row r="309" spans="1:114">
      <c r="A309" s="13">
        <f t="shared" si="491"/>
        <v>2008</v>
      </c>
      <c r="B309" s="13">
        <f t="shared" si="492"/>
        <v>5</v>
      </c>
      <c r="C309" s="5">
        <f>'[2]FPC wSEB'!$D406</f>
        <v>1452026</v>
      </c>
      <c r="D309" s="5">
        <f>'[2]FPC wSEB'!$X406</f>
        <v>1446369</v>
      </c>
      <c r="E309" s="5">
        <f t="shared" si="631"/>
        <v>1430989</v>
      </c>
      <c r="F309" s="5">
        <f t="shared" si="631"/>
        <v>1388698</v>
      </c>
      <c r="G309" s="74">
        <f t="shared" si="632"/>
        <v>1030.5</v>
      </c>
      <c r="H309" s="190">
        <v>21037</v>
      </c>
      <c r="I309" s="170">
        <v>57671</v>
      </c>
      <c r="J309" s="230">
        <f>'[7]RES 62 &amp; 67'!$S394</f>
        <v>211.1</v>
      </c>
      <c r="K309" s="183">
        <f t="shared" si="301"/>
        <v>224.4</v>
      </c>
      <c r="L309" s="233">
        <f t="shared" si="616"/>
        <v>13.300000000000011</v>
      </c>
      <c r="M309" s="230">
        <f>'[7]RES 62 &amp; 67'!$J394</f>
        <v>14.9</v>
      </c>
      <c r="N309" s="183">
        <f t="shared" si="302"/>
        <v>11.2</v>
      </c>
      <c r="O309" s="236">
        <f t="shared" si="617"/>
        <v>-3.7000000000000011</v>
      </c>
      <c r="P309" s="206">
        <f t="shared" si="618"/>
        <v>28.847700000000025</v>
      </c>
      <c r="Q309" s="208">
        <f t="shared" si="619"/>
        <v>0</v>
      </c>
      <c r="R309" s="467">
        <f t="shared" si="633"/>
        <v>28.847700000000025</v>
      </c>
      <c r="S309" s="470">
        <f t="shared" si="620"/>
        <v>-11.103700000000003</v>
      </c>
      <c r="T309" s="425">
        <f t="shared" si="652"/>
        <v>17.7</v>
      </c>
      <c r="U309" s="579">
        <f>[5]RC!$E189</f>
        <v>1448766</v>
      </c>
      <c r="V309" s="447">
        <v>39569</v>
      </c>
      <c r="W309" s="191">
        <f t="shared" si="634"/>
        <v>1048.2</v>
      </c>
      <c r="X309" s="73">
        <f t="shared" si="635"/>
        <v>1455633</v>
      </c>
      <c r="Y309" s="187">
        <f t="shared" si="636"/>
        <v>21089</v>
      </c>
      <c r="Z309" s="175">
        <f t="shared" si="637"/>
        <v>1476722</v>
      </c>
      <c r="AA309" s="40">
        <f t="shared" si="638"/>
        <v>24696</v>
      </c>
      <c r="AB309" s="519">
        <f>[9]RMWh!$L189</f>
        <v>1442476</v>
      </c>
      <c r="AC309" s="107">
        <f>'[7]Gov 65 &amp; 70'!$B394</f>
        <v>29.35</v>
      </c>
      <c r="AD309" s="4">
        <f t="shared" si="424"/>
        <v>1495064</v>
      </c>
      <c r="AE309" s="4">
        <f t="shared" si="630"/>
        <v>-2667</v>
      </c>
      <c r="AF309" s="23">
        <f t="shared" si="639"/>
        <v>1033.7</v>
      </c>
      <c r="AG309" s="75">
        <f t="shared" si="621"/>
        <v>5.7999999999999545</v>
      </c>
      <c r="AI309" s="303">
        <f t="shared" ref="AI309:AI314" si="654">(H309/I309*1000)/G309</f>
        <v>0.35397967713779005</v>
      </c>
      <c r="AK309" s="418">
        <f t="shared" ref="AK309:AK327" si="655">AVERAGE(AI309,AI297,AI285,AI273,AI261,AI249,AI237,AI225,AI201,AI189)</f>
        <v>0.31853525946790462</v>
      </c>
      <c r="AU309" s="4">
        <f t="shared" si="494"/>
        <v>2008</v>
      </c>
      <c r="AV309" s="4">
        <f t="shared" si="495"/>
        <v>5</v>
      </c>
      <c r="AW309" s="230">
        <f>'[8]RES 62 &amp; 67'!$S394</f>
        <v>355</v>
      </c>
      <c r="AX309" s="200">
        <f t="shared" si="306"/>
        <v>336.7</v>
      </c>
      <c r="AY309" s="203">
        <f t="shared" si="653"/>
        <v>-18.300000000000011</v>
      </c>
      <c r="AZ309" s="230">
        <f>'[8]RES 62 &amp; 67'!$J394</f>
        <v>1.7</v>
      </c>
      <c r="BA309" s="183">
        <f t="shared" si="307"/>
        <v>2.1</v>
      </c>
      <c r="BB309" s="429">
        <f t="shared" ref="BB309:BB314" si="656">BA309-AZ309</f>
        <v>0.40000000000000013</v>
      </c>
      <c r="BC309" s="206">
        <f t="shared" si="622"/>
        <v>-39.692700000000023</v>
      </c>
      <c r="BD309" s="206">
        <f t="shared" si="623"/>
        <v>0</v>
      </c>
      <c r="BE309" s="206">
        <f t="shared" si="640"/>
        <v>-39.692700000000023</v>
      </c>
      <c r="BF309" s="207">
        <f t="shared" si="624"/>
        <v>1.2004000000000004</v>
      </c>
      <c r="BG309" s="219">
        <f t="shared" si="641"/>
        <v>-38.5</v>
      </c>
      <c r="BH309" s="4">
        <f t="shared" si="569"/>
        <v>2008</v>
      </c>
      <c r="BI309" s="4">
        <f t="shared" si="570"/>
        <v>5</v>
      </c>
      <c r="BJ309" s="108">
        <f>C309+[4]MWh!$AJ143</f>
        <v>1673935.7092557214</v>
      </c>
      <c r="BK309" s="108">
        <f t="shared" si="642"/>
        <v>24252.035098278277</v>
      </c>
      <c r="BL309" s="108">
        <f t="shared" si="643"/>
        <v>1649683.6741574432</v>
      </c>
      <c r="BM309" s="189">
        <f t="shared" si="644"/>
        <v>1149.435515250575</v>
      </c>
      <c r="BN309" s="6">
        <f t="shared" si="645"/>
        <v>1596219</v>
      </c>
      <c r="BO309" s="175">
        <f t="shared" si="646"/>
        <v>23466</v>
      </c>
      <c r="BP309" s="108">
        <f t="shared" si="647"/>
        <v>-54250.7092557215</v>
      </c>
      <c r="BQ309" s="76">
        <f t="shared" si="648"/>
        <v>1157.336550531518</v>
      </c>
      <c r="BR309" s="76">
        <f t="shared" si="649"/>
        <v>1119.8283425598863</v>
      </c>
      <c r="BS309" s="76">
        <f t="shared" si="625"/>
        <v>-120.32974838014957</v>
      </c>
      <c r="BT309" s="175">
        <f t="shared" si="650"/>
        <v>1619685</v>
      </c>
      <c r="BU309" s="108">
        <f t="shared" si="626"/>
        <v>-187394</v>
      </c>
      <c r="BW309" s="529">
        <f>BT309/[9]RMWh!$L189</f>
        <v>1.1228505708240553</v>
      </c>
      <c r="CK309" s="165">
        <v>39569</v>
      </c>
      <c r="CL309" s="108">
        <f>BP309+COML!BV309+SPA!BV309</f>
        <v>-73302.709255721507</v>
      </c>
      <c r="CM309" s="346">
        <f>'[14]2008'!$D36</f>
        <v>-68383</v>
      </c>
      <c r="CN309" s="2">
        <f t="shared" si="615"/>
        <v>-4919.7092557215074</v>
      </c>
      <c r="CO309" s="108">
        <f>'[2]FPC wSEB'!$R406</f>
        <v>4419885</v>
      </c>
      <c r="CP309" s="108">
        <f>'[2]FPC wSEB'!$C406-SUM('[2]FPC wSEB'!$K406:$L406)</f>
        <v>3059536</v>
      </c>
      <c r="CQ309" s="108">
        <f>'[2]FPC wSEB'!$T406-'[2]FPC wSEB'!$T405</f>
        <v>468286</v>
      </c>
      <c r="CR309" s="108">
        <f>SUM('[2]FPC wSEB'!$K406:$L406)</f>
        <v>716545</v>
      </c>
      <c r="CS309" s="108">
        <f>('[2]FPC wSEB'!$N406)-CQ309</f>
        <v>-73964</v>
      </c>
      <c r="CT309" s="108">
        <f>'[2]FPC wSEB'!$P406</f>
        <v>10061</v>
      </c>
      <c r="CU309" s="108">
        <f>'[2]FPC wSEB'!$Q406</f>
        <v>239421</v>
      </c>
      <c r="CV309" s="115">
        <f t="shared" si="627"/>
        <v>0</v>
      </c>
      <c r="CW309" s="108">
        <f t="shared" si="651"/>
        <v>4102020</v>
      </c>
      <c r="CX309" s="108">
        <f t="shared" si="628"/>
        <v>4097100.2907442786</v>
      </c>
      <c r="CY309" s="108">
        <f t="shared" si="629"/>
        <v>4919.70925572142</v>
      </c>
    </row>
    <row r="310" spans="1:114">
      <c r="A310" s="13">
        <f t="shared" si="491"/>
        <v>2008</v>
      </c>
      <c r="B310" s="13">
        <f t="shared" si="492"/>
        <v>6</v>
      </c>
      <c r="C310" s="5">
        <f>'[2]FPC wSEB'!$D407</f>
        <v>1948538</v>
      </c>
      <c r="D310" s="5">
        <f>'[2]FPC wSEB'!$X407</f>
        <v>1481381</v>
      </c>
      <c r="E310" s="5">
        <f t="shared" ref="E310:F312" si="657">ROUND(C310-H310,0)</f>
        <v>1926663</v>
      </c>
      <c r="F310" s="5">
        <f t="shared" si="657"/>
        <v>1420900</v>
      </c>
      <c r="G310" s="74">
        <f t="shared" si="632"/>
        <v>1355.9</v>
      </c>
      <c r="H310" s="190">
        <v>21875</v>
      </c>
      <c r="I310" s="170">
        <v>60481</v>
      </c>
      <c r="J310" s="230">
        <f>'[7]RES 62 &amp; 67'!$S395</f>
        <v>400.2</v>
      </c>
      <c r="K310" s="183">
        <f t="shared" si="301"/>
        <v>382.8</v>
      </c>
      <c r="L310" s="233">
        <f t="shared" si="616"/>
        <v>-17.399999999999977</v>
      </c>
      <c r="M310" s="230">
        <f>'[7]RES 62 &amp; 67'!$J395</f>
        <v>0.9</v>
      </c>
      <c r="N310" s="183">
        <f t="shared" si="302"/>
        <v>0.9</v>
      </c>
      <c r="O310" s="236">
        <f t="shared" si="617"/>
        <v>0</v>
      </c>
      <c r="P310" s="206">
        <f t="shared" si="618"/>
        <v>-37.740599999999951</v>
      </c>
      <c r="Q310" s="208">
        <f t="shared" si="619"/>
        <v>0</v>
      </c>
      <c r="R310" s="467">
        <f t="shared" si="633"/>
        <v>-37.740599999999951</v>
      </c>
      <c r="S310" s="470">
        <f t="shared" si="620"/>
        <v>0</v>
      </c>
      <c r="T310" s="425">
        <f t="shared" si="652"/>
        <v>-37.700000000000003</v>
      </c>
      <c r="U310" s="579">
        <f>[5]RC!$E190</f>
        <v>1447578</v>
      </c>
      <c r="V310" s="447">
        <v>39600</v>
      </c>
      <c r="W310" s="191">
        <f t="shared" si="634"/>
        <v>1318.2</v>
      </c>
      <c r="X310" s="73">
        <f t="shared" si="635"/>
        <v>1873030</v>
      </c>
      <c r="Y310" s="187">
        <f t="shared" si="636"/>
        <v>21027</v>
      </c>
      <c r="Z310" s="175">
        <f t="shared" si="637"/>
        <v>1894057</v>
      </c>
      <c r="AA310" s="40">
        <f t="shared" si="638"/>
        <v>-54481</v>
      </c>
      <c r="AB310" s="519">
        <f>[9]RMWh!$L190</f>
        <v>1840526</v>
      </c>
      <c r="AC310" s="107">
        <f>'[7]Gov 65 &amp; 70'!$B395</f>
        <v>30.85</v>
      </c>
      <c r="AD310" s="4">
        <f t="shared" si="424"/>
        <v>1814872</v>
      </c>
      <c r="AE310" s="4">
        <f t="shared" si="630"/>
        <v>-5950</v>
      </c>
      <c r="AF310" s="23">
        <f t="shared" si="639"/>
        <v>1225.0999999999999</v>
      </c>
      <c r="AG310" s="75">
        <f t="shared" si="621"/>
        <v>-39.800000000000182</v>
      </c>
      <c r="AI310" s="303">
        <f t="shared" si="654"/>
        <v>0.26674816328098089</v>
      </c>
      <c r="AK310" s="418">
        <f t="shared" si="655"/>
        <v>0.20100245676868717</v>
      </c>
      <c r="AU310" s="4">
        <f t="shared" si="494"/>
        <v>2008</v>
      </c>
      <c r="AV310" s="4">
        <f t="shared" si="495"/>
        <v>6</v>
      </c>
      <c r="AW310" s="230">
        <f>'[8]RES 62 &amp; 67'!$S395</f>
        <v>441.7</v>
      </c>
      <c r="AX310" s="200">
        <f t="shared" si="306"/>
        <v>425.2</v>
      </c>
      <c r="AY310" s="203">
        <f t="shared" si="653"/>
        <v>-16.5</v>
      </c>
      <c r="AZ310" s="230">
        <f>'[8]RES 62 &amp; 67'!$J395</f>
        <v>0</v>
      </c>
      <c r="BA310" s="183">
        <f t="shared" si="307"/>
        <v>0</v>
      </c>
      <c r="BB310" s="429">
        <f t="shared" si="656"/>
        <v>0</v>
      </c>
      <c r="BC310" s="206">
        <f t="shared" si="622"/>
        <v>-35.788499999999999</v>
      </c>
      <c r="BD310" s="206">
        <f t="shared" si="623"/>
        <v>0</v>
      </c>
      <c r="BE310" s="206">
        <f t="shared" si="640"/>
        <v>-35.788499999999999</v>
      </c>
      <c r="BF310" s="207">
        <f t="shared" si="624"/>
        <v>0</v>
      </c>
      <c r="BG310" s="219">
        <f t="shared" si="641"/>
        <v>-35.799999999999997</v>
      </c>
      <c r="BH310" s="4">
        <f t="shared" si="569"/>
        <v>2008</v>
      </c>
      <c r="BI310" s="4">
        <f t="shared" si="570"/>
        <v>6</v>
      </c>
      <c r="BJ310" s="108">
        <f>C310+[4]MWh!$AJ144</f>
        <v>2068604.8994944992</v>
      </c>
      <c r="BK310" s="108">
        <f t="shared" si="642"/>
        <v>23222.91491181705</v>
      </c>
      <c r="BL310" s="108">
        <f t="shared" si="643"/>
        <v>2045381.9845826821</v>
      </c>
      <c r="BM310" s="189">
        <f t="shared" si="644"/>
        <v>1403.6974907331144</v>
      </c>
      <c r="BN310" s="6">
        <f t="shared" si="645"/>
        <v>1994514</v>
      </c>
      <c r="BO310" s="175">
        <f t="shared" si="646"/>
        <v>22645</v>
      </c>
      <c r="BP310" s="108">
        <f t="shared" si="647"/>
        <v>-51445.899494499186</v>
      </c>
      <c r="BQ310" s="76">
        <f t="shared" si="648"/>
        <v>1396.4030181934959</v>
      </c>
      <c r="BR310" s="76">
        <f t="shared" si="649"/>
        <v>1361.6746805852106</v>
      </c>
      <c r="BS310" s="76">
        <f t="shared" si="625"/>
        <v>14.993554832847167</v>
      </c>
      <c r="BT310" s="175">
        <f t="shared" si="650"/>
        <v>2017159</v>
      </c>
      <c r="BU310" s="108">
        <f t="shared" si="626"/>
        <v>78660</v>
      </c>
      <c r="BW310" s="529">
        <f>BT310/[9]RMWh!$L190</f>
        <v>1.0959687611041626</v>
      </c>
      <c r="CK310" s="165">
        <v>39600</v>
      </c>
      <c r="CL310" s="108">
        <f>BP310+COML!BV310+SPA!BV310</f>
        <v>-68659.899494499186</v>
      </c>
      <c r="CM310" s="346">
        <f>'[14]2008'!$D37</f>
        <v>78250</v>
      </c>
      <c r="CN310" s="2">
        <f t="shared" ref="CN310:CN315" si="658">CL310-CM310</f>
        <v>-146909.8994944992</v>
      </c>
      <c r="CO310" s="108">
        <f>'[2]FPC wSEB'!$R407</f>
        <v>4628131</v>
      </c>
      <c r="CP310" s="108">
        <f>'[2]FPC wSEB'!$C407-SUM('[2]FPC wSEB'!$K407:$L407)</f>
        <v>3720184</v>
      </c>
      <c r="CQ310" s="108">
        <f>'[2]FPC wSEB'!$T407-'[2]FPC wSEB'!$T406</f>
        <v>21757</v>
      </c>
      <c r="CR310" s="108">
        <f>SUM('[2]FPC wSEB'!$K407:$L407)</f>
        <v>648256</v>
      </c>
      <c r="CS310" s="108">
        <f>('[2]FPC wSEB'!$N407)-CQ310</f>
        <v>-12866</v>
      </c>
      <c r="CT310" s="108">
        <f>'[2]FPC wSEB'!$P407</f>
        <v>8370</v>
      </c>
      <c r="CU310" s="108">
        <f>'[2]FPC wSEB'!$Q407</f>
        <v>242430</v>
      </c>
      <c r="CV310" s="115">
        <f t="shared" si="627"/>
        <v>0</v>
      </c>
      <c r="CW310" s="108">
        <f t="shared" si="651"/>
        <v>4455581</v>
      </c>
      <c r="CX310" s="108">
        <f t="shared" si="628"/>
        <v>4308671.100505501</v>
      </c>
      <c r="CY310" s="108">
        <f t="shared" si="629"/>
        <v>146909.89949449897</v>
      </c>
    </row>
    <row r="311" spans="1:114">
      <c r="A311" s="13">
        <f t="shared" si="491"/>
        <v>2008</v>
      </c>
      <c r="B311" s="13">
        <f t="shared" si="492"/>
        <v>7</v>
      </c>
      <c r="C311" s="5">
        <f>'[2]FPC wSEB'!$D408</f>
        <v>1830180</v>
      </c>
      <c r="D311" s="5">
        <f>'[2]FPC wSEB'!$X408</f>
        <v>1354056</v>
      </c>
      <c r="E311" s="5">
        <f t="shared" si="657"/>
        <v>1811403</v>
      </c>
      <c r="F311" s="5">
        <f t="shared" si="657"/>
        <v>1298800</v>
      </c>
      <c r="G311" s="74">
        <f t="shared" si="632"/>
        <v>1394.7</v>
      </c>
      <c r="H311" s="190">
        <v>18777</v>
      </c>
      <c r="I311" s="170">
        <v>55256</v>
      </c>
      <c r="J311" s="230">
        <f>'[7]RES 62 &amp; 67'!$S396</f>
        <v>433.6</v>
      </c>
      <c r="K311" s="183">
        <f t="shared" si="301"/>
        <v>454.9</v>
      </c>
      <c r="L311" s="233">
        <f t="shared" ref="L311:L316" si="659">(K311-J311)</f>
        <v>21.299999999999955</v>
      </c>
      <c r="M311" s="230">
        <f>'[7]RES 62 &amp; 67'!$J396</f>
        <v>0</v>
      </c>
      <c r="N311" s="183">
        <f t="shared" si="302"/>
        <v>0</v>
      </c>
      <c r="O311" s="236">
        <f t="shared" ref="O311:O316" si="660">(N311-M311)</f>
        <v>0</v>
      </c>
      <c r="P311" s="206">
        <f t="shared" ref="P311:P316" si="661">L311*$E$10</f>
        <v>46.199699999999901</v>
      </c>
      <c r="Q311" s="208">
        <f t="shared" ref="Q311:Q316" si="662">IF($B311=12,L311*$E$11,IF($B311&lt;5,L311*$E$11,0))</f>
        <v>0</v>
      </c>
      <c r="R311" s="467">
        <f t="shared" si="633"/>
        <v>46.199699999999901</v>
      </c>
      <c r="S311" s="470">
        <f t="shared" ref="S311:S316" si="663">O311*$E$9</f>
        <v>0</v>
      </c>
      <c r="T311" s="425">
        <f t="shared" si="652"/>
        <v>46.2</v>
      </c>
      <c r="U311" s="579">
        <f>[5]RC!$E191</f>
        <v>1446797</v>
      </c>
      <c r="V311" s="447">
        <v>39630</v>
      </c>
      <c r="W311" s="191">
        <f t="shared" si="634"/>
        <v>1440.9</v>
      </c>
      <c r="X311" s="73">
        <f t="shared" si="635"/>
        <v>1871441</v>
      </c>
      <c r="Y311" s="187">
        <f t="shared" si="636"/>
        <v>19200</v>
      </c>
      <c r="Z311" s="175">
        <f t="shared" si="637"/>
        <v>1890641</v>
      </c>
      <c r="AA311" s="40">
        <f t="shared" si="638"/>
        <v>60461</v>
      </c>
      <c r="AB311" s="519">
        <f>[9]RMWh!$L191</f>
        <v>2000634</v>
      </c>
      <c r="AC311" s="107">
        <f>'[7]Gov 65 &amp; 70'!$B396</f>
        <v>30.35</v>
      </c>
      <c r="AD311" s="4">
        <f t="shared" si="424"/>
        <v>2005248</v>
      </c>
      <c r="AE311" s="4">
        <f t="shared" si="630"/>
        <v>-76705</v>
      </c>
      <c r="AF311" s="23">
        <f t="shared" si="639"/>
        <v>1480.9</v>
      </c>
      <c r="AG311" s="75">
        <f t="shared" ref="AG311:AG316" si="664">AF311-AF299</f>
        <v>-41.699999999999818</v>
      </c>
      <c r="AI311" s="303">
        <f t="shared" si="654"/>
        <v>0.24364974566220923</v>
      </c>
      <c r="AK311" s="418">
        <f t="shared" si="655"/>
        <v>0.17979946591615095</v>
      </c>
      <c r="AU311" s="4">
        <f t="shared" si="494"/>
        <v>2008</v>
      </c>
      <c r="AV311" s="4">
        <f t="shared" si="495"/>
        <v>7</v>
      </c>
      <c r="AW311" s="230">
        <f>'[8]RES 62 &amp; 67'!$S396</f>
        <v>453.1</v>
      </c>
      <c r="AX311" s="200">
        <f t="shared" si="306"/>
        <v>484.1</v>
      </c>
      <c r="AY311" s="203">
        <f t="shared" si="653"/>
        <v>31</v>
      </c>
      <c r="AZ311" s="230">
        <f>'[8]RES 62 &amp; 67'!$J396</f>
        <v>0</v>
      </c>
      <c r="BA311" s="183">
        <f t="shared" si="307"/>
        <v>0</v>
      </c>
      <c r="BB311" s="429">
        <f t="shared" si="656"/>
        <v>0</v>
      </c>
      <c r="BC311" s="206">
        <f t="shared" ref="BC311:BC316" si="665">AY311*$E$10</f>
        <v>67.239000000000004</v>
      </c>
      <c r="BD311" s="206">
        <f t="shared" ref="BD311:BD316" si="666">IF($B311=4,($E$11*0.5*AY311),IF($B311=11,($E$11*0.5*AY311),IF($B311=12,AY311*$E$11,IF($B311&lt;5,AY311*$E$11,0))))</f>
        <v>0</v>
      </c>
      <c r="BE311" s="206">
        <f t="shared" si="640"/>
        <v>67.239000000000004</v>
      </c>
      <c r="BF311" s="207">
        <f t="shared" ref="BF311:BF316" si="667">BB311*$E$9</f>
        <v>0</v>
      </c>
      <c r="BG311" s="219">
        <f t="shared" si="641"/>
        <v>67.2</v>
      </c>
      <c r="BH311" s="4">
        <f t="shared" si="569"/>
        <v>2008</v>
      </c>
      <c r="BI311" s="4">
        <f t="shared" si="570"/>
        <v>7</v>
      </c>
      <c r="BJ311" s="108">
        <f>C311+[4]MWh!$AJ145</f>
        <v>1932002.5577482702</v>
      </c>
      <c r="BK311" s="108">
        <f t="shared" si="642"/>
        <v>19821.663457604864</v>
      </c>
      <c r="BL311" s="108">
        <f t="shared" si="643"/>
        <v>1912180.8942906654</v>
      </c>
      <c r="BM311" s="189">
        <f t="shared" si="644"/>
        <v>1539.4673962816951</v>
      </c>
      <c r="BN311" s="6">
        <f t="shared" si="645"/>
        <v>1999460</v>
      </c>
      <c r="BO311" s="175">
        <f t="shared" si="646"/>
        <v>20726</v>
      </c>
      <c r="BP311" s="108">
        <f t="shared" si="647"/>
        <v>88183.442251729735</v>
      </c>
      <c r="BQ311" s="76">
        <f t="shared" si="648"/>
        <v>1426.8261857325474</v>
      </c>
      <c r="BR311" s="76">
        <f t="shared" si="649"/>
        <v>1491.9515884128868</v>
      </c>
      <c r="BS311" s="76">
        <f t="shared" ref="BS311:BS316" si="668">BR311-BR299</f>
        <v>-107.76787016264143</v>
      </c>
      <c r="BT311" s="175">
        <f t="shared" si="650"/>
        <v>2020186</v>
      </c>
      <c r="BU311" s="108">
        <f t="shared" ref="BU311:BU316" si="669">BT311-BT299</f>
        <v>-167200</v>
      </c>
      <c r="BW311" s="529">
        <f>BT311/[9]RMWh!$L191</f>
        <v>1.0097729019900692</v>
      </c>
      <c r="CK311" s="165">
        <v>39630</v>
      </c>
      <c r="CL311" s="108">
        <f>BP311+COML!BV311+SPA!BV311</f>
        <v>120311.44225172974</v>
      </c>
      <c r="CM311" s="346">
        <f>'[14]2008'!$D38</f>
        <v>250929</v>
      </c>
      <c r="CN311" s="2">
        <f t="shared" si="658"/>
        <v>-130617.55774827026</v>
      </c>
      <c r="CO311" s="108">
        <f>'[2]FPC wSEB'!$R408</f>
        <v>4723237</v>
      </c>
      <c r="CP311" s="108">
        <f>'[2]FPC wSEB'!$C408-SUM('[2]FPC wSEB'!$K408:$L408)</f>
        <v>3541168</v>
      </c>
      <c r="CQ311" s="108">
        <f>'[2]FPC wSEB'!$T408-'[2]FPC wSEB'!$T407</f>
        <v>226997</v>
      </c>
      <c r="CR311" s="108">
        <f>SUM('[2]FPC wSEB'!$K408:$L408)</f>
        <v>624059</v>
      </c>
      <c r="CS311" s="108">
        <f>('[2]FPC wSEB'!$N408)-CQ311</f>
        <v>49416</v>
      </c>
      <c r="CT311" s="108">
        <f>'[2]FPC wSEB'!$P408</f>
        <v>10197</v>
      </c>
      <c r="CU311" s="108">
        <f>'[2]FPC wSEB'!$Q408</f>
        <v>271400</v>
      </c>
      <c r="CV311" s="115">
        <f t="shared" si="627"/>
        <v>0</v>
      </c>
      <c r="CW311" s="108">
        <f t="shared" si="651"/>
        <v>4692569</v>
      </c>
      <c r="CX311" s="108">
        <f t="shared" si="628"/>
        <v>4561951.4422517298</v>
      </c>
      <c r="CY311" s="108">
        <f t="shared" si="629"/>
        <v>130617.55774827022</v>
      </c>
    </row>
    <row r="312" spans="1:114">
      <c r="A312" s="13">
        <f t="shared" si="491"/>
        <v>2008</v>
      </c>
      <c r="B312" s="13">
        <f t="shared" si="492"/>
        <v>8</v>
      </c>
      <c r="C312" s="5">
        <f>'[2]FPC wSEB'!$D409</f>
        <v>2027718</v>
      </c>
      <c r="D312" s="5">
        <f>'[2]FPC wSEB'!$X409</f>
        <v>1456247</v>
      </c>
      <c r="E312" s="5">
        <f t="shared" si="657"/>
        <v>2007123</v>
      </c>
      <c r="F312" s="5">
        <f t="shared" si="657"/>
        <v>1395817</v>
      </c>
      <c r="G312" s="74">
        <f t="shared" si="632"/>
        <v>1438</v>
      </c>
      <c r="H312" s="190">
        <v>20595</v>
      </c>
      <c r="I312" s="170">
        <v>60430</v>
      </c>
      <c r="J312" s="230">
        <f>'[7]RES 62 &amp; 67'!$S397</f>
        <v>465.4</v>
      </c>
      <c r="K312" s="183">
        <f t="shared" si="301"/>
        <v>481.4</v>
      </c>
      <c r="L312" s="233">
        <f t="shared" si="659"/>
        <v>16</v>
      </c>
      <c r="M312" s="230">
        <f>'[7]RES 62 &amp; 67'!$J397</f>
        <v>0</v>
      </c>
      <c r="N312" s="183">
        <f t="shared" si="302"/>
        <v>0</v>
      </c>
      <c r="O312" s="236">
        <f t="shared" si="660"/>
        <v>0</v>
      </c>
      <c r="P312" s="206">
        <f t="shared" si="661"/>
        <v>34.704000000000001</v>
      </c>
      <c r="Q312" s="208">
        <f t="shared" si="662"/>
        <v>0</v>
      </c>
      <c r="R312" s="467">
        <f t="shared" si="633"/>
        <v>34.704000000000001</v>
      </c>
      <c r="S312" s="470">
        <f t="shared" si="663"/>
        <v>0</v>
      </c>
      <c r="T312" s="425">
        <f t="shared" si="652"/>
        <v>34.700000000000003</v>
      </c>
      <c r="U312" s="579">
        <f>[5]RC!$E192</f>
        <v>1446304</v>
      </c>
      <c r="V312" s="447">
        <v>39661</v>
      </c>
      <c r="W312" s="191">
        <f t="shared" si="634"/>
        <v>1472.7</v>
      </c>
      <c r="X312" s="73">
        <f t="shared" si="635"/>
        <v>2055620</v>
      </c>
      <c r="Y312" s="187">
        <f t="shared" si="636"/>
        <v>20878</v>
      </c>
      <c r="Z312" s="175">
        <f t="shared" si="637"/>
        <v>2076498</v>
      </c>
      <c r="AA312" s="40">
        <f t="shared" si="638"/>
        <v>48780</v>
      </c>
      <c r="AB312" s="519">
        <f>[9]RMWh!$L192</f>
        <v>2072125</v>
      </c>
      <c r="AC312" s="107">
        <f>'[7]Gov 65 &amp; 70'!$B397</f>
        <v>31.25</v>
      </c>
      <c r="AD312" s="4">
        <f t="shared" si="424"/>
        <v>2017089</v>
      </c>
      <c r="AE312" s="4">
        <f t="shared" ref="AE312:AE317" si="670">AD312-AD300</f>
        <v>-84145</v>
      </c>
      <c r="AF312" s="23">
        <f t="shared" si="639"/>
        <v>1385.1</v>
      </c>
      <c r="AG312" s="75">
        <f t="shared" si="664"/>
        <v>24.399999999999864</v>
      </c>
      <c r="AI312" s="303">
        <f t="shared" si="654"/>
        <v>0.23700107504930473</v>
      </c>
      <c r="AK312" s="418">
        <f t="shared" si="655"/>
        <v>0.17794698450073426</v>
      </c>
      <c r="AU312" s="4">
        <f t="shared" si="494"/>
        <v>2008</v>
      </c>
      <c r="AV312" s="4">
        <f t="shared" si="495"/>
        <v>8</v>
      </c>
      <c r="AW312" s="230">
        <f>'[8]RES 62 &amp; 67'!$S397</f>
        <v>459.9</v>
      </c>
      <c r="AX312" s="200">
        <f t="shared" si="306"/>
        <v>487.3</v>
      </c>
      <c r="AY312" s="203">
        <f t="shared" si="653"/>
        <v>27.400000000000034</v>
      </c>
      <c r="AZ312" s="230">
        <f>'[8]RES 62 &amp; 67'!$J397</f>
        <v>0</v>
      </c>
      <c r="BA312" s="183">
        <f t="shared" si="307"/>
        <v>0</v>
      </c>
      <c r="BB312" s="429">
        <f t="shared" si="656"/>
        <v>0</v>
      </c>
      <c r="BC312" s="206">
        <f t="shared" si="665"/>
        <v>59.430600000000076</v>
      </c>
      <c r="BD312" s="206">
        <f t="shared" si="666"/>
        <v>0</v>
      </c>
      <c r="BE312" s="206">
        <f t="shared" si="640"/>
        <v>59.430600000000076</v>
      </c>
      <c r="BF312" s="207">
        <f t="shared" si="667"/>
        <v>0</v>
      </c>
      <c r="BG312" s="219">
        <f t="shared" si="641"/>
        <v>59.4</v>
      </c>
      <c r="BH312" s="4">
        <f t="shared" si="569"/>
        <v>2008</v>
      </c>
      <c r="BI312" s="4">
        <f t="shared" si="570"/>
        <v>8</v>
      </c>
      <c r="BJ312" s="108">
        <f>C312+[4]MWh!$AJ146</f>
        <v>2031245.8047111451</v>
      </c>
      <c r="BK312" s="108">
        <f t="shared" si="642"/>
        <v>20630.830987359204</v>
      </c>
      <c r="BL312" s="108">
        <f t="shared" si="643"/>
        <v>2010614.973723786</v>
      </c>
      <c r="BM312" s="189">
        <f t="shared" si="644"/>
        <v>1499.8574336920858</v>
      </c>
      <c r="BN312" s="6">
        <f t="shared" si="645"/>
        <v>2093527</v>
      </c>
      <c r="BO312" s="175">
        <f t="shared" si="646"/>
        <v>21482</v>
      </c>
      <c r="BP312" s="108">
        <f t="shared" si="647"/>
        <v>83763.19528885484</v>
      </c>
      <c r="BQ312" s="76">
        <f t="shared" si="648"/>
        <v>1394.8497780329471</v>
      </c>
      <c r="BR312" s="76">
        <f t="shared" si="649"/>
        <v>1452.3696872851929</v>
      </c>
      <c r="BS312" s="76">
        <f t="shared" si="668"/>
        <v>-13.069568912351542</v>
      </c>
      <c r="BT312" s="175">
        <f t="shared" si="650"/>
        <v>2115009</v>
      </c>
      <c r="BU312" s="108">
        <f t="shared" si="669"/>
        <v>-148041</v>
      </c>
      <c r="BW312" s="529">
        <f>BT312/[9]RMWh!$L192</f>
        <v>1.0206956626651384</v>
      </c>
      <c r="CK312" s="165">
        <v>39661</v>
      </c>
      <c r="CL312" s="108">
        <f>BP312+COML!BV312+SPA!BV312</f>
        <v>112167.19528885484</v>
      </c>
      <c r="CM312" s="346">
        <f>'[14]2008'!$D39</f>
        <v>110293</v>
      </c>
      <c r="CN312" s="2">
        <f t="shared" si="658"/>
        <v>1874.1952888548403</v>
      </c>
      <c r="CO312" s="108">
        <f>'[2]FPC wSEB'!$R409</f>
        <v>4730326</v>
      </c>
      <c r="CP312" s="108">
        <f>'[2]FPC wSEB'!$C409-SUM('[2]FPC wSEB'!$K409:$L409)</f>
        <v>3819325</v>
      </c>
      <c r="CQ312" s="108">
        <f>'[2]FPC wSEB'!$T409-'[2]FPC wSEB'!$T408</f>
        <v>-58551</v>
      </c>
      <c r="CR312" s="108">
        <f>SUM('[2]FPC wSEB'!$K409:$L409)</f>
        <v>666734</v>
      </c>
      <c r="CS312" s="108">
        <f>('[2]FPC wSEB'!$N409)-CQ312</f>
        <v>-53346</v>
      </c>
      <c r="CT312" s="108">
        <f>'[2]FPC wSEB'!$P409</f>
        <v>14230</v>
      </c>
      <c r="CU312" s="108">
        <f>'[2]FPC wSEB'!$Q409</f>
        <v>341934</v>
      </c>
      <c r="CV312" s="115">
        <f t="shared" ref="CV312:CV317" si="671">CO312-SUM(CP312:CU312)</f>
        <v>0</v>
      </c>
      <c r="CW312" s="108">
        <f t="shared" si="651"/>
        <v>4484455</v>
      </c>
      <c r="CX312" s="108">
        <f t="shared" ref="CX312:CX317" si="672">SUM(CP312:CS312)+CL312</f>
        <v>4486329.1952888547</v>
      </c>
      <c r="CY312" s="108">
        <f t="shared" ref="CY312:CY317" si="673">CW312-CX312</f>
        <v>-1874.1952888546512</v>
      </c>
    </row>
    <row r="313" spans="1:114">
      <c r="A313" s="13">
        <f t="shared" si="491"/>
        <v>2008</v>
      </c>
      <c r="B313" s="13">
        <f t="shared" si="492"/>
        <v>9</v>
      </c>
      <c r="C313" s="5">
        <f>'[2]FPC wSEB'!$D410</f>
        <v>2235722</v>
      </c>
      <c r="D313" s="5">
        <f>'[2]FPC wSEB'!$X410</f>
        <v>1523982</v>
      </c>
      <c r="E313" s="5">
        <f t="shared" ref="E313:F315" si="674">ROUND(C313-H313,0)</f>
        <v>2212640</v>
      </c>
      <c r="F313" s="5">
        <f t="shared" si="674"/>
        <v>1460929</v>
      </c>
      <c r="G313" s="74">
        <f t="shared" ref="G313:G318" si="675">ROUND((E313)/F313*1000,1)</f>
        <v>1514.5</v>
      </c>
      <c r="H313" s="190">
        <v>23082</v>
      </c>
      <c r="I313" s="170">
        <v>63053</v>
      </c>
      <c r="J313" s="230">
        <f>'[7]RES 62 &amp; 67'!$S398</f>
        <v>486.9</v>
      </c>
      <c r="K313" s="183">
        <f t="shared" si="301"/>
        <v>473.7</v>
      </c>
      <c r="L313" s="233">
        <f t="shared" si="659"/>
        <v>-13.199999999999989</v>
      </c>
      <c r="M313" s="230">
        <f>'[7]RES 62 &amp; 67'!$J398</f>
        <v>0</v>
      </c>
      <c r="N313" s="183">
        <f t="shared" si="302"/>
        <v>0</v>
      </c>
      <c r="O313" s="236">
        <f t="shared" si="660"/>
        <v>0</v>
      </c>
      <c r="P313" s="206">
        <f t="shared" si="661"/>
        <v>-28.630799999999976</v>
      </c>
      <c r="Q313" s="208">
        <f t="shared" si="662"/>
        <v>0</v>
      </c>
      <c r="R313" s="467">
        <f t="shared" ref="R313:R318" si="676">P313+Q313</f>
        <v>-28.630799999999976</v>
      </c>
      <c r="S313" s="470">
        <f t="shared" si="663"/>
        <v>0</v>
      </c>
      <c r="T313" s="425">
        <f t="shared" si="652"/>
        <v>-28.6</v>
      </c>
      <c r="U313" s="579">
        <f>[5]RC!$E193</f>
        <v>1445067</v>
      </c>
      <c r="V313" s="447">
        <v>39692</v>
      </c>
      <c r="W313" s="191">
        <f t="shared" ref="W313:W318" si="677">(G313+T313)</f>
        <v>1485.9</v>
      </c>
      <c r="X313" s="73">
        <f t="shared" ref="X313:X318" si="678">ROUND(W313*F313/1000,0)</f>
        <v>2170794</v>
      </c>
      <c r="Y313" s="187">
        <f t="shared" ref="Y313:Y318" si="679">ROUND((X313/C313)*H313,0)</f>
        <v>22412</v>
      </c>
      <c r="Z313" s="175">
        <f t="shared" ref="Z313:Z318" si="680">Y313+X313</f>
        <v>2193206</v>
      </c>
      <c r="AA313" s="40">
        <f t="shared" ref="AA313:AA318" si="681">Z313-C313</f>
        <v>-42516</v>
      </c>
      <c r="AB313" s="519">
        <f>[9]RMWh!$L193</f>
        <v>2084131</v>
      </c>
      <c r="AC313" s="107">
        <f>'[7]Gov 65 &amp; 70'!$B398</f>
        <v>31.95</v>
      </c>
      <c r="AD313" s="4">
        <f t="shared" si="424"/>
        <v>1984328</v>
      </c>
      <c r="AE313" s="4">
        <f t="shared" si="670"/>
        <v>-119589</v>
      </c>
      <c r="AF313" s="23">
        <f t="shared" ref="AF313:AF318" si="682">ROUND((AD313/(D313)*1000),1)</f>
        <v>1302.0999999999999</v>
      </c>
      <c r="AG313" s="75">
        <f t="shared" si="664"/>
        <v>-225.20000000000005</v>
      </c>
      <c r="AI313" s="303">
        <f t="shared" si="654"/>
        <v>0.24171210710990007</v>
      </c>
      <c r="AK313" s="418">
        <f t="shared" si="655"/>
        <v>0.18346507952075336</v>
      </c>
      <c r="AU313" s="4">
        <f t="shared" si="494"/>
        <v>2008</v>
      </c>
      <c r="AV313" s="4">
        <f t="shared" si="495"/>
        <v>9</v>
      </c>
      <c r="AW313" s="230">
        <f>'[8]RES 62 &amp; 67'!$S398</f>
        <v>435.2</v>
      </c>
      <c r="AX313" s="200">
        <f t="shared" si="306"/>
        <v>428.3</v>
      </c>
      <c r="AY313" s="203">
        <f t="shared" si="653"/>
        <v>-6.8999999999999773</v>
      </c>
      <c r="AZ313" s="230">
        <f>'[8]RES 62 &amp; 67'!$J398</f>
        <v>0.5</v>
      </c>
      <c r="BA313" s="183">
        <f t="shared" si="307"/>
        <v>0</v>
      </c>
      <c r="BB313" s="429">
        <f t="shared" si="656"/>
        <v>-0.5</v>
      </c>
      <c r="BC313" s="206">
        <f t="shared" si="665"/>
        <v>-14.966099999999951</v>
      </c>
      <c r="BD313" s="206">
        <f t="shared" si="666"/>
        <v>0</v>
      </c>
      <c r="BE313" s="206">
        <f t="shared" ref="BE313:BE318" si="683">BC313+BD313</f>
        <v>-14.966099999999951</v>
      </c>
      <c r="BF313" s="207">
        <f t="shared" si="667"/>
        <v>-1.5004999999999999</v>
      </c>
      <c r="BG313" s="219">
        <f t="shared" ref="BG313:BG318" si="684">ROUND(BF313+BE313,1)</f>
        <v>-16.5</v>
      </c>
      <c r="BH313" s="4">
        <f t="shared" si="569"/>
        <v>2008</v>
      </c>
      <c r="BI313" s="4">
        <f t="shared" si="570"/>
        <v>9</v>
      </c>
      <c r="BJ313" s="108">
        <f>C313+[4]MWh!$AJ147</f>
        <v>2056929.7810206253</v>
      </c>
      <c r="BK313" s="108">
        <f t="shared" ref="BK313:BK318" si="685">(H313/C313)*BJ313</f>
        <v>21236.116657401086</v>
      </c>
      <c r="BL313" s="108">
        <f t="shared" ref="BL313:BL318" si="686">BJ313-BK313</f>
        <v>2035693.6643632241</v>
      </c>
      <c r="BM313" s="189">
        <f t="shared" ref="BM313:BM318" si="687">(BL313/F313*1000)+BG313</f>
        <v>1376.9240913577758</v>
      </c>
      <c r="BN313" s="6">
        <f t="shared" ref="BN313:BN318" si="688">ROUND(BM313*F313/1000,0)</f>
        <v>2011588</v>
      </c>
      <c r="BO313" s="175">
        <f t="shared" ref="BO313:BO318" si="689">ROUND(BN313/BL313*BK313,0)</f>
        <v>20985</v>
      </c>
      <c r="BP313" s="108">
        <f t="shared" ref="BP313:BP318" si="690">(BN313-BL313)+(BO313-BK313)</f>
        <v>-24356.781020625145</v>
      </c>
      <c r="BQ313" s="76">
        <f t="shared" ref="BQ313:BQ318" si="691">BJ313/D313*1000</f>
        <v>1349.7073987885851</v>
      </c>
      <c r="BR313" s="76">
        <f t="shared" ref="BR313:BR318" si="692">(BN313+BO313)/D313*1000</f>
        <v>1333.7250702436118</v>
      </c>
      <c r="BS313" s="76">
        <f t="shared" si="668"/>
        <v>1.3579625686149939</v>
      </c>
      <c r="BT313" s="175">
        <f t="shared" ref="BT313:BT318" si="693">(BN313+BO313)</f>
        <v>2032573</v>
      </c>
      <c r="BU313" s="108">
        <f t="shared" si="669"/>
        <v>197204</v>
      </c>
      <c r="BW313" s="529">
        <f>BT313/[9]RMWh!$L193</f>
        <v>0.97526163182640635</v>
      </c>
      <c r="CK313" s="165">
        <v>39692</v>
      </c>
      <c r="CL313" s="108">
        <f>BP313+COML!BV313+SPA!BV313</f>
        <v>-31714.781020625145</v>
      </c>
      <c r="CM313" s="346">
        <f>'[14]2008'!$D40</f>
        <v>-43187</v>
      </c>
      <c r="CN313" s="2">
        <f t="shared" si="658"/>
        <v>11472.218979374855</v>
      </c>
      <c r="CO313" s="108">
        <f>'[2]FPC wSEB'!$R410</f>
        <v>4574744</v>
      </c>
      <c r="CP313" s="108">
        <f>'[2]FPC wSEB'!$C410-SUM('[2]FPC wSEB'!$K410:$L410)</f>
        <v>4137621</v>
      </c>
      <c r="CQ313" s="108">
        <f>'[2]FPC wSEB'!$T410-'[2]FPC wSEB'!$T409</f>
        <v>-372767</v>
      </c>
      <c r="CR313" s="108">
        <f>SUM('[2]FPC wSEB'!$K410:$L410)</f>
        <v>624200</v>
      </c>
      <c r="CS313" s="108">
        <f>('[2]FPC wSEB'!$N410)-CQ313</f>
        <v>24095</v>
      </c>
      <c r="CT313" s="108">
        <f>'[2]FPC wSEB'!$P410</f>
        <v>11075</v>
      </c>
      <c r="CU313" s="108">
        <f>'[2]FPC wSEB'!$Q410</f>
        <v>150520</v>
      </c>
      <c r="CV313" s="115">
        <f t="shared" si="671"/>
        <v>0</v>
      </c>
      <c r="CW313" s="108">
        <f t="shared" ref="CW313:CW318" si="694">CO313-CT313-CU313+CM313</f>
        <v>4369962</v>
      </c>
      <c r="CX313" s="108">
        <f t="shared" si="672"/>
        <v>4381434.2189793745</v>
      </c>
      <c r="CY313" s="108">
        <f t="shared" si="673"/>
        <v>-11472.218979374506</v>
      </c>
    </row>
    <row r="314" spans="1:114">
      <c r="A314" s="13">
        <f t="shared" si="491"/>
        <v>2008</v>
      </c>
      <c r="B314" s="13">
        <f t="shared" si="492"/>
        <v>10</v>
      </c>
      <c r="C314" s="5">
        <f>'[2]FPC wSEB'!$D411</f>
        <v>1641316</v>
      </c>
      <c r="D314" s="5">
        <f>'[2]FPC wSEB'!$X411</f>
        <v>1382150</v>
      </c>
      <c r="E314" s="5">
        <f t="shared" si="674"/>
        <v>1623157</v>
      </c>
      <c r="F314" s="5">
        <f t="shared" si="674"/>
        <v>1325415</v>
      </c>
      <c r="G314" s="74">
        <f t="shared" si="675"/>
        <v>1224.5999999999999</v>
      </c>
      <c r="H314" s="190">
        <v>18159</v>
      </c>
      <c r="I314" s="170">
        <v>56735</v>
      </c>
      <c r="J314" s="230">
        <f>'[7]RES 62 &amp; 67'!$S399</f>
        <v>376.9</v>
      </c>
      <c r="K314" s="183">
        <f t="shared" si="301"/>
        <v>373.2</v>
      </c>
      <c r="L314" s="233">
        <f t="shared" si="659"/>
        <v>-3.6999999999999886</v>
      </c>
      <c r="M314" s="230">
        <f>'[7]RES 62 &amp; 67'!$J399</f>
        <v>1.2</v>
      </c>
      <c r="N314" s="183">
        <f t="shared" si="302"/>
        <v>1.3</v>
      </c>
      <c r="O314" s="236">
        <f t="shared" si="660"/>
        <v>0.10000000000000009</v>
      </c>
      <c r="P314" s="206">
        <f t="shared" si="661"/>
        <v>-8.0252999999999748</v>
      </c>
      <c r="Q314" s="208">
        <f t="shared" si="662"/>
        <v>0</v>
      </c>
      <c r="R314" s="467">
        <f t="shared" si="676"/>
        <v>-8.0252999999999748</v>
      </c>
      <c r="S314" s="470">
        <f t="shared" si="663"/>
        <v>0.30010000000000026</v>
      </c>
      <c r="T314" s="425">
        <f t="shared" ref="T314:T319" si="695">ROUND((R314+S314),1)</f>
        <v>-7.7</v>
      </c>
      <c r="U314" s="579">
        <f>[5]RC!$E194</f>
        <v>1442971</v>
      </c>
      <c r="V314" s="447">
        <v>39722</v>
      </c>
      <c r="W314" s="191">
        <f t="shared" si="677"/>
        <v>1216.8999999999999</v>
      </c>
      <c r="X314" s="73">
        <f t="shared" si="678"/>
        <v>1612898</v>
      </c>
      <c r="Y314" s="187">
        <f t="shared" si="679"/>
        <v>17845</v>
      </c>
      <c r="Z314" s="175">
        <f t="shared" si="680"/>
        <v>1630743</v>
      </c>
      <c r="AA314" s="40">
        <f t="shared" si="681"/>
        <v>-10573</v>
      </c>
      <c r="AB314" s="519">
        <f>[9]RMWh!$L194</f>
        <v>1747155</v>
      </c>
      <c r="AC314" s="107">
        <f>'[7]Gov 65 &amp; 70'!$B399</f>
        <v>29.65</v>
      </c>
      <c r="AD314" s="4">
        <f t="shared" si="424"/>
        <v>1792528</v>
      </c>
      <c r="AE314" s="4">
        <f t="shared" si="670"/>
        <v>-108312</v>
      </c>
      <c r="AF314" s="23">
        <f t="shared" si="682"/>
        <v>1296.9000000000001</v>
      </c>
      <c r="AG314" s="75">
        <f t="shared" si="664"/>
        <v>-20</v>
      </c>
      <c r="AI314" s="303">
        <f t="shared" si="654"/>
        <v>0.26136450927312904</v>
      </c>
      <c r="AK314" s="418">
        <f t="shared" si="655"/>
        <v>0.21062100031435932</v>
      </c>
      <c r="AU314" s="4">
        <f t="shared" si="494"/>
        <v>2008</v>
      </c>
      <c r="AV314" s="4">
        <f t="shared" si="495"/>
        <v>10</v>
      </c>
      <c r="AW314" s="230">
        <f>'[8]RES 62 &amp; 67'!$S399</f>
        <v>257.8</v>
      </c>
      <c r="AX314" s="200">
        <f t="shared" si="306"/>
        <v>277.60000000000002</v>
      </c>
      <c r="AY314" s="203">
        <f t="shared" ref="AY314:AY319" si="696">AX314-AW314</f>
        <v>19.800000000000011</v>
      </c>
      <c r="AZ314" s="230">
        <f>'[8]RES 62 &amp; 67'!$J399</f>
        <v>24.1</v>
      </c>
      <c r="BA314" s="183">
        <f t="shared" si="307"/>
        <v>8.5</v>
      </c>
      <c r="BB314" s="429">
        <f t="shared" si="656"/>
        <v>-15.600000000000001</v>
      </c>
      <c r="BC314" s="206">
        <f t="shared" si="665"/>
        <v>42.946200000000026</v>
      </c>
      <c r="BD314" s="206">
        <f t="shared" si="666"/>
        <v>0</v>
      </c>
      <c r="BE314" s="206">
        <f t="shared" si="683"/>
        <v>42.946200000000026</v>
      </c>
      <c r="BF314" s="207">
        <f t="shared" si="667"/>
        <v>-46.815600000000003</v>
      </c>
      <c r="BG314" s="219">
        <f t="shared" si="684"/>
        <v>-3.9</v>
      </c>
      <c r="BH314" s="4">
        <f t="shared" si="569"/>
        <v>2008</v>
      </c>
      <c r="BI314" s="4">
        <f t="shared" si="570"/>
        <v>10</v>
      </c>
      <c r="BJ314" s="108">
        <f>C314+[4]MWh!$AJ148</f>
        <v>1430428.1900096876</v>
      </c>
      <c r="BK314" s="108">
        <f t="shared" si="685"/>
        <v>15825.804112301299</v>
      </c>
      <c r="BL314" s="108">
        <f t="shared" si="686"/>
        <v>1414602.3858973864</v>
      </c>
      <c r="BM314" s="189">
        <f t="shared" si="687"/>
        <v>1063.3901588539336</v>
      </c>
      <c r="BN314" s="6">
        <f t="shared" si="688"/>
        <v>1409433</v>
      </c>
      <c r="BO314" s="175">
        <f t="shared" si="689"/>
        <v>15768</v>
      </c>
      <c r="BP314" s="108">
        <f t="shared" si="690"/>
        <v>-5227.1900096876525</v>
      </c>
      <c r="BQ314" s="76">
        <f t="shared" si="691"/>
        <v>1034.9297760805175</v>
      </c>
      <c r="BR314" s="76">
        <f t="shared" si="692"/>
        <v>1031.1478493651196</v>
      </c>
      <c r="BS314" s="76">
        <f t="shared" si="668"/>
        <v>-120.18509600074754</v>
      </c>
      <c r="BT314" s="175">
        <f t="shared" si="693"/>
        <v>1425201</v>
      </c>
      <c r="BU314" s="108">
        <f t="shared" si="669"/>
        <v>-236656</v>
      </c>
      <c r="BW314" s="529">
        <f>BT314/[9]RMWh!$L194</f>
        <v>0.81572670999424779</v>
      </c>
      <c r="CK314" s="165">
        <v>39722</v>
      </c>
      <c r="CL314" s="108">
        <f>BP314+COML!BV314+SPA!BV314</f>
        <v>11520.809990312348</v>
      </c>
      <c r="CM314" s="346">
        <f>'[14]2008'!$D41</f>
        <v>75938</v>
      </c>
      <c r="CN314" s="2">
        <f t="shared" si="658"/>
        <v>-64417.190009687649</v>
      </c>
      <c r="CO314" s="108">
        <f>'[2]FPC wSEB'!$R411</f>
        <v>3780177</v>
      </c>
      <c r="CP314" s="108">
        <f>'[2]FPC wSEB'!$C411-SUM('[2]FPC wSEB'!$K411:$L411)</f>
        <v>3300300</v>
      </c>
      <c r="CQ314" s="108">
        <f>'[2]FPC wSEB'!$T411-'[2]FPC wSEB'!$T410</f>
        <v>-248726</v>
      </c>
      <c r="CR314" s="108">
        <f>SUM('[2]FPC wSEB'!$K411:$L411)</f>
        <v>647284</v>
      </c>
      <c r="CS314" s="108">
        <f>('[2]FPC wSEB'!$N411)-CQ314</f>
        <v>-237617</v>
      </c>
      <c r="CT314" s="108">
        <f>'[2]FPC wSEB'!$P411</f>
        <v>12546</v>
      </c>
      <c r="CU314" s="108">
        <f>'[2]FPC wSEB'!$Q411</f>
        <v>306390</v>
      </c>
      <c r="CV314" s="115">
        <f t="shared" si="671"/>
        <v>0</v>
      </c>
      <c r="CW314" s="108">
        <f t="shared" si="694"/>
        <v>3537179</v>
      </c>
      <c r="CX314" s="108">
        <f t="shared" si="672"/>
        <v>3472761.8099903124</v>
      </c>
      <c r="CY314" s="108">
        <f t="shared" si="673"/>
        <v>64417.190009687562</v>
      </c>
    </row>
    <row r="315" spans="1:114">
      <c r="A315" s="13">
        <f t="shared" si="491"/>
        <v>2008</v>
      </c>
      <c r="B315" s="13">
        <f t="shared" si="492"/>
        <v>11</v>
      </c>
      <c r="C315" s="5">
        <f>'[2]FPC wSEB'!$D412</f>
        <v>1399229</v>
      </c>
      <c r="D315" s="5">
        <f>'[2]FPC wSEB'!$X412</f>
        <v>1502965</v>
      </c>
      <c r="E315" s="5">
        <f t="shared" si="674"/>
        <v>1378222</v>
      </c>
      <c r="F315" s="5">
        <f t="shared" si="674"/>
        <v>1441696</v>
      </c>
      <c r="G315" s="74">
        <f t="shared" si="675"/>
        <v>956</v>
      </c>
      <c r="H315" s="190">
        <v>21007</v>
      </c>
      <c r="I315" s="170">
        <v>61269</v>
      </c>
      <c r="J315" s="230">
        <f>'[7]RES 62 &amp; 67'!$S400</f>
        <v>179.4</v>
      </c>
      <c r="K315" s="183">
        <f t="shared" si="301"/>
        <v>204.3</v>
      </c>
      <c r="L315" s="233">
        <f t="shared" si="659"/>
        <v>24.900000000000006</v>
      </c>
      <c r="M315" s="230">
        <f>'[7]RES 62 &amp; 67'!$J400</f>
        <v>37.5</v>
      </c>
      <c r="N315" s="183">
        <f t="shared" si="302"/>
        <v>24.1</v>
      </c>
      <c r="O315" s="236">
        <f t="shared" si="660"/>
        <v>-13.399999999999999</v>
      </c>
      <c r="P315" s="206">
        <f t="shared" si="661"/>
        <v>54.008100000000013</v>
      </c>
      <c r="Q315" s="208">
        <f t="shared" si="662"/>
        <v>0</v>
      </c>
      <c r="R315" s="467">
        <f t="shared" si="676"/>
        <v>54.008100000000013</v>
      </c>
      <c r="S315" s="470">
        <f t="shared" si="663"/>
        <v>-40.213399999999993</v>
      </c>
      <c r="T315" s="425">
        <f t="shared" si="695"/>
        <v>13.8</v>
      </c>
      <c r="U315" s="579">
        <f>[5]RC!$E195</f>
        <v>1442571</v>
      </c>
      <c r="V315" s="447">
        <v>39753</v>
      </c>
      <c r="W315" s="191">
        <f t="shared" si="677"/>
        <v>969.8</v>
      </c>
      <c r="X315" s="73">
        <f t="shared" si="678"/>
        <v>1398157</v>
      </c>
      <c r="Y315" s="187">
        <f t="shared" si="679"/>
        <v>20991</v>
      </c>
      <c r="Z315" s="175">
        <f t="shared" si="680"/>
        <v>1419148</v>
      </c>
      <c r="AA315" s="40">
        <f t="shared" si="681"/>
        <v>19919</v>
      </c>
      <c r="AB315" s="519">
        <f>[9]RMWh!$L195</f>
        <v>1363998</v>
      </c>
      <c r="AC315" s="107">
        <f>'[7]Gov 65 &amp; 70'!$B400</f>
        <v>30.05</v>
      </c>
      <c r="AD315" s="4">
        <f t="shared" si="424"/>
        <v>1380793</v>
      </c>
      <c r="AE315" s="4">
        <f t="shared" si="670"/>
        <v>-56345</v>
      </c>
      <c r="AF315" s="23">
        <f t="shared" si="682"/>
        <v>918.7</v>
      </c>
      <c r="AG315" s="75">
        <f t="shared" si="664"/>
        <v>-30</v>
      </c>
      <c r="AI315" s="303">
        <f t="shared" ref="AI315:AI320" si="697">(H315/I315*1000)/G315</f>
        <v>0.3586454711580887</v>
      </c>
      <c r="AK315" s="418">
        <f t="shared" si="655"/>
        <v>0.31544285926191656</v>
      </c>
      <c r="AU315" s="4">
        <f t="shared" si="494"/>
        <v>2008</v>
      </c>
      <c r="AV315" s="4">
        <f t="shared" si="495"/>
        <v>11</v>
      </c>
      <c r="AW315" s="230">
        <f>'[8]RES 62 &amp; 67'!$S400</f>
        <v>76.599999999999994</v>
      </c>
      <c r="AX315" s="200">
        <f t="shared" si="306"/>
        <v>110.2</v>
      </c>
      <c r="AY315" s="203">
        <f t="shared" si="696"/>
        <v>33.600000000000009</v>
      </c>
      <c r="AZ315" s="230">
        <f>'[8]RES 62 &amp; 67'!$J400</f>
        <v>94.8</v>
      </c>
      <c r="BA315" s="183">
        <f t="shared" si="307"/>
        <v>45.3</v>
      </c>
      <c r="BB315" s="429">
        <f t="shared" ref="BB315:BB320" si="698">BA315-AZ315</f>
        <v>-49.5</v>
      </c>
      <c r="BC315" s="206">
        <f t="shared" si="665"/>
        <v>72.878400000000013</v>
      </c>
      <c r="BD315" s="206">
        <f t="shared" si="666"/>
        <v>-2.7384000000000008</v>
      </c>
      <c r="BE315" s="206">
        <f t="shared" si="683"/>
        <v>70.140000000000015</v>
      </c>
      <c r="BF315" s="207">
        <f t="shared" si="667"/>
        <v>-148.54949999999999</v>
      </c>
      <c r="BG315" s="219">
        <f t="shared" si="684"/>
        <v>-78.400000000000006</v>
      </c>
      <c r="BH315" s="4">
        <f t="shared" si="569"/>
        <v>2008</v>
      </c>
      <c r="BI315" s="4">
        <f t="shared" si="570"/>
        <v>11</v>
      </c>
      <c r="BJ315" s="108">
        <f>C315+[4]MWh!$AJ149</f>
        <v>1175825.2783312274</v>
      </c>
      <c r="BK315" s="108">
        <f t="shared" si="685"/>
        <v>17652.980049658843</v>
      </c>
      <c r="BL315" s="108">
        <f t="shared" si="686"/>
        <v>1158172.2982815686</v>
      </c>
      <c r="BM315" s="189">
        <f t="shared" si="687"/>
        <v>724.94016206021843</v>
      </c>
      <c r="BN315" s="6">
        <f t="shared" si="688"/>
        <v>1045143</v>
      </c>
      <c r="BO315" s="175">
        <f t="shared" si="689"/>
        <v>15930</v>
      </c>
      <c r="BP315" s="108">
        <f t="shared" si="690"/>
        <v>-114752.27833122741</v>
      </c>
      <c r="BQ315" s="76">
        <f t="shared" si="691"/>
        <v>782.33709922135745</v>
      </c>
      <c r="BR315" s="76">
        <f t="shared" si="692"/>
        <v>705.98650001829719</v>
      </c>
      <c r="BS315" s="76">
        <f t="shared" si="668"/>
        <v>-118.8161960560891</v>
      </c>
      <c r="BT315" s="175">
        <f t="shared" si="693"/>
        <v>1061073</v>
      </c>
      <c r="BU315" s="108">
        <f t="shared" si="669"/>
        <v>-188334</v>
      </c>
      <c r="BW315" s="529">
        <f>BT315/[9]RMWh!$L195</f>
        <v>0.77791389723445348</v>
      </c>
      <c r="CK315" s="165">
        <v>39753</v>
      </c>
      <c r="CL315" s="108">
        <f>BP315+COML!BV315+SPA!BV315</f>
        <v>-94102.278331227411</v>
      </c>
      <c r="CM315" s="346">
        <f>'[14]2008'!$D42</f>
        <v>16929</v>
      </c>
      <c r="CN315" s="2">
        <f t="shared" si="658"/>
        <v>-111031.27833122741</v>
      </c>
      <c r="CO315" s="108">
        <f>'[2]FPC wSEB'!$R412</f>
        <v>3277565</v>
      </c>
      <c r="CP315" s="108">
        <f>'[2]FPC wSEB'!$C412-SUM('[2]FPC wSEB'!$K412:$L412)</f>
        <v>3066590</v>
      </c>
      <c r="CQ315" s="108">
        <f>'[2]FPC wSEB'!$T412-'[2]FPC wSEB'!$T411</f>
        <v>-329675</v>
      </c>
      <c r="CR315" s="108">
        <f>SUM('[2]FPC wSEB'!$K412:$L412)</f>
        <v>428728</v>
      </c>
      <c r="CS315" s="108">
        <f>('[2]FPC wSEB'!$N412)-CQ315</f>
        <v>-4844</v>
      </c>
      <c r="CT315" s="108">
        <f>'[2]FPC wSEB'!$P412</f>
        <v>12883</v>
      </c>
      <c r="CU315" s="108">
        <f>'[2]FPC wSEB'!$Q412</f>
        <v>103883</v>
      </c>
      <c r="CV315" s="115">
        <f t="shared" si="671"/>
        <v>0</v>
      </c>
      <c r="CW315" s="108">
        <f t="shared" si="694"/>
        <v>3177728</v>
      </c>
      <c r="CX315" s="108">
        <f t="shared" si="672"/>
        <v>3066696.7216687724</v>
      </c>
      <c r="CY315" s="108">
        <f t="shared" si="673"/>
        <v>111031.2783312276</v>
      </c>
    </row>
    <row r="316" spans="1:114" s="89" customFormat="1" ht="12.75">
      <c r="A316" s="90">
        <f t="shared" si="491"/>
        <v>2008</v>
      </c>
      <c r="B316" s="90">
        <f t="shared" si="492"/>
        <v>12</v>
      </c>
      <c r="C316" s="103">
        <f>'[2]FPC wSEB'!$D413</f>
        <v>1434253</v>
      </c>
      <c r="D316" s="103">
        <f>'[2]FPC wSEB'!$X413</f>
        <v>1448933</v>
      </c>
      <c r="E316" s="103">
        <f t="shared" ref="E316:F318" si="699">ROUND(C316-H316,0)</f>
        <v>1403754</v>
      </c>
      <c r="F316" s="103">
        <f t="shared" si="699"/>
        <v>1388082</v>
      </c>
      <c r="G316" s="109">
        <f t="shared" si="675"/>
        <v>1011.3</v>
      </c>
      <c r="H316" s="196">
        <v>30499</v>
      </c>
      <c r="I316" s="197">
        <v>60851</v>
      </c>
      <c r="J316" s="300">
        <f>'[7]RES 62 &amp; 67'!$S401</f>
        <v>58.7</v>
      </c>
      <c r="K316" s="210">
        <f t="shared" si="301"/>
        <v>88</v>
      </c>
      <c r="L316" s="234">
        <f t="shared" si="659"/>
        <v>29.299999999999997</v>
      </c>
      <c r="M316" s="300">
        <f>'[7]RES 62 &amp; 67'!$J401</f>
        <v>118.3</v>
      </c>
      <c r="N316" s="210">
        <f t="shared" si="302"/>
        <v>83.9</v>
      </c>
      <c r="O316" s="237">
        <f t="shared" si="660"/>
        <v>-34.399999999999991</v>
      </c>
      <c r="P316" s="211">
        <f t="shared" si="661"/>
        <v>63.551699999999997</v>
      </c>
      <c r="Q316" s="211">
        <f t="shared" si="662"/>
        <v>-4.7759</v>
      </c>
      <c r="R316" s="468">
        <f t="shared" si="676"/>
        <v>58.775799999999997</v>
      </c>
      <c r="S316" s="471">
        <f t="shared" si="663"/>
        <v>-103.23439999999997</v>
      </c>
      <c r="T316" s="426">
        <f t="shared" si="695"/>
        <v>-44.5</v>
      </c>
      <c r="U316" s="579">
        <f>[5]RC!$E196</f>
        <v>1442516</v>
      </c>
      <c r="V316" s="447">
        <v>39783</v>
      </c>
      <c r="W316" s="95">
        <f t="shared" si="677"/>
        <v>966.8</v>
      </c>
      <c r="X316" s="104">
        <f t="shared" si="678"/>
        <v>1341998</v>
      </c>
      <c r="Y316" s="198">
        <f t="shared" si="679"/>
        <v>28537</v>
      </c>
      <c r="Z316" s="176">
        <f t="shared" si="680"/>
        <v>1370535</v>
      </c>
      <c r="AA316" s="116">
        <f t="shared" si="681"/>
        <v>-63718</v>
      </c>
      <c r="AB316" s="520">
        <f>[9]RMWh!$L196</f>
        <v>1367038</v>
      </c>
      <c r="AC316" s="110">
        <f>'[7]Gov 65 &amp; 70'!$B401</f>
        <v>31.45</v>
      </c>
      <c r="AD316" s="89">
        <f t="shared" si="424"/>
        <v>1322267</v>
      </c>
      <c r="AE316" s="89">
        <f t="shared" si="670"/>
        <v>-22927</v>
      </c>
      <c r="AF316" s="89">
        <f t="shared" si="682"/>
        <v>912.6</v>
      </c>
      <c r="AG316" s="91">
        <f t="shared" si="664"/>
        <v>-15.600000000000023</v>
      </c>
      <c r="AH316" s="252"/>
      <c r="AI316" s="304">
        <f t="shared" si="697"/>
        <v>0.4956075036090794</v>
      </c>
      <c r="AK316" s="419">
        <f t="shared" si="655"/>
        <v>0.44364053718989027</v>
      </c>
      <c r="AU316" s="89">
        <f t="shared" si="494"/>
        <v>2008</v>
      </c>
      <c r="AV316" s="89">
        <f t="shared" si="495"/>
        <v>12</v>
      </c>
      <c r="AW316" s="300">
        <f>'[8]RES 62 &amp; 67'!$S401</f>
        <v>64.7</v>
      </c>
      <c r="AX316" s="210">
        <f t="shared" si="306"/>
        <v>53.2</v>
      </c>
      <c r="AY316" s="204">
        <f t="shared" si="696"/>
        <v>-11.5</v>
      </c>
      <c r="AZ316" s="300">
        <f>'[8]RES 62 &amp; 67'!$J401</f>
        <v>81.099999999999994</v>
      </c>
      <c r="BA316" s="210">
        <f t="shared" si="307"/>
        <v>114.1</v>
      </c>
      <c r="BB316" s="430">
        <f t="shared" si="698"/>
        <v>33</v>
      </c>
      <c r="BC316" s="211">
        <f t="shared" si="665"/>
        <v>-24.9435</v>
      </c>
      <c r="BD316" s="211">
        <f t="shared" si="666"/>
        <v>1.8745000000000001</v>
      </c>
      <c r="BE316" s="211">
        <f t="shared" si="683"/>
        <v>-23.068999999999999</v>
      </c>
      <c r="BF316" s="212">
        <f t="shared" si="667"/>
        <v>99.033000000000001</v>
      </c>
      <c r="BG316" s="220">
        <f t="shared" si="684"/>
        <v>76</v>
      </c>
      <c r="BH316" s="89">
        <f t="shared" si="569"/>
        <v>2008</v>
      </c>
      <c r="BI316" s="89">
        <f t="shared" si="570"/>
        <v>12</v>
      </c>
      <c r="BJ316" s="117">
        <f>C316+[4]MWh!$AJ150</f>
        <v>1519228.7575349193</v>
      </c>
      <c r="BK316" s="117">
        <f t="shared" si="685"/>
        <v>32305.986374828921</v>
      </c>
      <c r="BL316" s="117">
        <f t="shared" si="686"/>
        <v>1486922.7711600903</v>
      </c>
      <c r="BM316" s="199">
        <f t="shared" si="687"/>
        <v>1147.2067234933459</v>
      </c>
      <c r="BN316" s="96">
        <f t="shared" si="688"/>
        <v>1592417</v>
      </c>
      <c r="BO316" s="176">
        <f t="shared" si="689"/>
        <v>34598</v>
      </c>
      <c r="BP316" s="117">
        <f t="shared" si="690"/>
        <v>107786.24246508074</v>
      </c>
      <c r="BQ316" s="92">
        <f t="shared" si="691"/>
        <v>1048.5155335235786</v>
      </c>
      <c r="BR316" s="92">
        <f t="shared" si="692"/>
        <v>1122.9056139931936</v>
      </c>
      <c r="BS316" s="92">
        <f t="shared" si="668"/>
        <v>199.55023393736951</v>
      </c>
      <c r="BT316" s="176">
        <f t="shared" si="693"/>
        <v>1627015</v>
      </c>
      <c r="BU316" s="117">
        <f t="shared" si="669"/>
        <v>288893</v>
      </c>
      <c r="BW316" s="529">
        <f>BT316/[9]RMWh!$L196</f>
        <v>1.1901754011227192</v>
      </c>
      <c r="CK316" s="166">
        <v>39783</v>
      </c>
      <c r="CL316" s="117">
        <f>BP316+COML!BV316+SPA!BV316</f>
        <v>107289.24246508074</v>
      </c>
      <c r="CM316" s="359">
        <f>'[14]2008'!$D43</f>
        <v>135266</v>
      </c>
      <c r="CN316" s="1">
        <f t="shared" ref="CN316:CN321" si="700">CL316-CM316</f>
        <v>-27976.757534919263</v>
      </c>
      <c r="CO316" s="117">
        <f>'[2]FPC wSEB'!$R413</f>
        <v>3311690</v>
      </c>
      <c r="CP316" s="117">
        <f>'[2]FPC wSEB'!$C413-SUM('[2]FPC wSEB'!$K413:$L413)</f>
        <v>2760379</v>
      </c>
      <c r="CQ316" s="117">
        <f>'[2]FPC wSEB'!$T413-'[2]FPC wSEB'!$T412</f>
        <v>-12933</v>
      </c>
      <c r="CR316" s="117">
        <f>SUM('[2]FPC wSEB'!$K413:$L413)</f>
        <v>418112</v>
      </c>
      <c r="CS316" s="117">
        <f>('[2]FPC wSEB'!$N413)-CQ316</f>
        <v>-40442</v>
      </c>
      <c r="CT316" s="117">
        <f>'[2]FPC wSEB'!$P413</f>
        <v>12179</v>
      </c>
      <c r="CU316" s="117">
        <f>'[2]FPC wSEB'!$Q413</f>
        <v>174395</v>
      </c>
      <c r="CV316" s="118">
        <f t="shared" si="671"/>
        <v>0</v>
      </c>
      <c r="CW316" s="117">
        <f t="shared" si="694"/>
        <v>3260382</v>
      </c>
      <c r="CX316" s="117">
        <f t="shared" si="672"/>
        <v>3232405.2424650807</v>
      </c>
      <c r="CY316" s="117">
        <f t="shared" si="673"/>
        <v>27976.757534919307</v>
      </c>
    </row>
    <row r="317" spans="1:114">
      <c r="A317" s="13">
        <f t="shared" si="491"/>
        <v>2009</v>
      </c>
      <c r="B317" s="13">
        <f t="shared" si="492"/>
        <v>1</v>
      </c>
      <c r="C317" s="5">
        <f>'[2]FPC wSEB'!$D414</f>
        <v>1376272</v>
      </c>
      <c r="D317" s="5">
        <f>'[2]FPC wSEB'!$X414</f>
        <v>1427104</v>
      </c>
      <c r="E317" s="5">
        <f t="shared" si="699"/>
        <v>1345969</v>
      </c>
      <c r="F317" s="5">
        <f t="shared" si="699"/>
        <v>1370260</v>
      </c>
      <c r="G317" s="74">
        <f t="shared" si="675"/>
        <v>982.3</v>
      </c>
      <c r="H317" s="190">
        <v>30303</v>
      </c>
      <c r="I317" s="190">
        <v>56844</v>
      </c>
      <c r="J317" s="230">
        <f>'[7]RES 62 &amp; 67'!$S402</f>
        <v>65.599999999999994</v>
      </c>
      <c r="K317" s="183">
        <f t="shared" si="301"/>
        <v>49.5</v>
      </c>
      <c r="L317" s="233">
        <f t="shared" ref="L317" si="701">(K317-J317)</f>
        <v>-16.099999999999994</v>
      </c>
      <c r="M317" s="230">
        <f>'[7]RES 62 &amp; 67'!$J402</f>
        <v>90.9</v>
      </c>
      <c r="N317" s="183">
        <f t="shared" si="302"/>
        <v>131.6</v>
      </c>
      <c r="O317" s="236">
        <f t="shared" ref="O317" si="702">(N317-M317)</f>
        <v>40.699999999999989</v>
      </c>
      <c r="P317" s="206">
        <f t="shared" ref="P317:P322" si="703">L317*$F$10</f>
        <v>-36.063999999999993</v>
      </c>
      <c r="Q317" s="208">
        <f t="shared" ref="Q317:Q322" si="704">IF($B317=12,L317*$F$11,IF($B317&lt;5,L317*$F$11,0))</f>
        <v>2.3666999999999989</v>
      </c>
      <c r="R317" s="467">
        <f t="shared" si="676"/>
        <v>-33.697299999999991</v>
      </c>
      <c r="S317" s="470">
        <f t="shared" ref="S317:S322" si="705">O317*$F$9</f>
        <v>125.31529999999998</v>
      </c>
      <c r="T317" s="425">
        <f t="shared" si="695"/>
        <v>91.6</v>
      </c>
      <c r="U317" s="579">
        <f>[5]RC!$E197</f>
        <v>1443753</v>
      </c>
      <c r="V317" s="447">
        <v>39814</v>
      </c>
      <c r="W317" s="191">
        <f t="shared" si="677"/>
        <v>1073.8999999999999</v>
      </c>
      <c r="X317" s="73">
        <f t="shared" si="678"/>
        <v>1471522</v>
      </c>
      <c r="Y317" s="187">
        <f t="shared" si="679"/>
        <v>32400</v>
      </c>
      <c r="Z317" s="175">
        <f t="shared" si="680"/>
        <v>1503922</v>
      </c>
      <c r="AA317" s="40">
        <f t="shared" si="681"/>
        <v>127650</v>
      </c>
      <c r="AB317" s="519">
        <f>[9]RMWh!$L197</f>
        <v>1508554</v>
      </c>
      <c r="AC317" s="107">
        <f>'[7]Gov 65 &amp; 70'!$B402</f>
        <v>32.15</v>
      </c>
      <c r="AD317" s="4">
        <f t="shared" si="424"/>
        <v>1427378</v>
      </c>
      <c r="AE317" s="4">
        <f t="shared" si="670"/>
        <v>-2384</v>
      </c>
      <c r="AF317" s="50">
        <f t="shared" si="682"/>
        <v>1000.2</v>
      </c>
      <c r="AG317" s="75">
        <f t="shared" ref="AG317" si="706">AF317-AF305</f>
        <v>8.9000000000000909</v>
      </c>
      <c r="AI317" s="303">
        <f t="shared" si="697"/>
        <v>0.54269628794449598</v>
      </c>
      <c r="AK317" s="418">
        <f>AVERAGE(AI317,AI305,AI293,AI281,AI269,AI257,AI245,AI233,AI209,AI197)</f>
        <v>0.52901943208632496</v>
      </c>
      <c r="AU317" s="4">
        <f t="shared" si="494"/>
        <v>2009</v>
      </c>
      <c r="AV317" s="4">
        <f t="shared" si="495"/>
        <v>1</v>
      </c>
      <c r="AW317" s="230">
        <f>'[8]RES 62 &amp; 67'!$S402</f>
        <v>36.1</v>
      </c>
      <c r="AX317" s="200">
        <f t="shared" si="306"/>
        <v>50.5</v>
      </c>
      <c r="AY317" s="203">
        <f t="shared" si="696"/>
        <v>14.399999999999999</v>
      </c>
      <c r="AZ317" s="230">
        <f>'[8]RES 62 &amp; 67'!$J402</f>
        <v>172.2</v>
      </c>
      <c r="BA317" s="183">
        <f t="shared" si="307"/>
        <v>127.9</v>
      </c>
      <c r="BB317" s="429">
        <f t="shared" si="698"/>
        <v>-44.299999999999983</v>
      </c>
      <c r="BC317" s="206">
        <f t="shared" ref="BC317:BC322" si="707">AY317*$F$10</f>
        <v>32.256</v>
      </c>
      <c r="BD317" s="206">
        <f t="shared" ref="BD317:BD322" si="708">IF($B317=4,($F$11*0.5*AY317),IF($B317=11,($F$11*0.5*AY317),IF($B317=12,AY317*$F$11,IF($B317&lt;5,AY317*$F$11,0))))</f>
        <v>-2.1167999999999996</v>
      </c>
      <c r="BE317" s="206">
        <f t="shared" si="683"/>
        <v>30.139200000000002</v>
      </c>
      <c r="BF317" s="207">
        <f t="shared" ref="BF317:BF322" si="709">BB317*$F$9</f>
        <v>-136.39969999999997</v>
      </c>
      <c r="BG317" s="219">
        <f t="shared" si="684"/>
        <v>-106.3</v>
      </c>
      <c r="BH317" s="4">
        <f t="shared" si="569"/>
        <v>2009</v>
      </c>
      <c r="BI317" s="4">
        <f t="shared" si="570"/>
        <v>1</v>
      </c>
      <c r="BJ317" s="108">
        <f>C317+[4]MWh!$AJ151</f>
        <v>1412673.5316080377</v>
      </c>
      <c r="BK317" s="108">
        <f t="shared" si="685"/>
        <v>31104.49535289417</v>
      </c>
      <c r="BL317" s="108">
        <f t="shared" si="686"/>
        <v>1381569.0362551436</v>
      </c>
      <c r="BM317" s="189">
        <f t="shared" si="687"/>
        <v>901.95320468753641</v>
      </c>
      <c r="BN317" s="6">
        <f t="shared" si="688"/>
        <v>1235910</v>
      </c>
      <c r="BO317" s="175">
        <f t="shared" si="689"/>
        <v>27825</v>
      </c>
      <c r="BP317" s="108">
        <f t="shared" si="690"/>
        <v>-148938.53160803777</v>
      </c>
      <c r="BQ317" s="76">
        <f t="shared" si="691"/>
        <v>989.88828537236088</v>
      </c>
      <c r="BR317" s="76">
        <f t="shared" si="692"/>
        <v>885.5241103661682</v>
      </c>
      <c r="BS317" s="76">
        <f t="shared" ref="BS317" si="710">BR317-BR305</f>
        <v>-195.98827269655033</v>
      </c>
      <c r="BT317" s="175">
        <f t="shared" si="693"/>
        <v>1263735</v>
      </c>
      <c r="BU317" s="108">
        <f t="shared" ref="BU317" si="711">BT317-BT305</f>
        <v>-296166</v>
      </c>
      <c r="BW317" s="529">
        <f>BT317/[9]RMWh!$L197</f>
        <v>0.83771280312139973</v>
      </c>
      <c r="CK317" s="406">
        <v>39814</v>
      </c>
      <c r="CL317" s="50">
        <f>BP317+COML!BV317+SPA!BV317</f>
        <v>-153686.53160803777</v>
      </c>
      <c r="CM317" s="181">
        <f>'[14]2009'!$D32</f>
        <v>-37454</v>
      </c>
      <c r="CN317" s="407">
        <f t="shared" si="700"/>
        <v>-116232.53160803777</v>
      </c>
      <c r="CO317" s="50">
        <f>'[2]FPC wSEB'!$R414</f>
        <v>3597748</v>
      </c>
      <c r="CP317" s="50">
        <f>'[2]FPC wSEB'!$C414-SUM('[2]FPC wSEB'!$K414:$L414)</f>
        <v>2779630</v>
      </c>
      <c r="CQ317" s="50">
        <f>'[2]FPC wSEB'!$T414-'[2]FPC wSEB'!$T413</f>
        <v>144432</v>
      </c>
      <c r="CR317" s="50">
        <f>SUM('[2]FPC wSEB'!$K414:$L414)</f>
        <v>384764</v>
      </c>
      <c r="CS317" s="50">
        <f>('[2]FPC wSEB'!$N414)-CQ317</f>
        <v>76699</v>
      </c>
      <c r="CT317" s="50">
        <f>'[2]FPC wSEB'!$P414</f>
        <v>11395</v>
      </c>
      <c r="CU317" s="50">
        <f>'[2]FPC wSEB'!$Q414</f>
        <v>200828</v>
      </c>
      <c r="CV317" s="115">
        <f t="shared" si="671"/>
        <v>0</v>
      </c>
      <c r="CW317" s="50">
        <f t="shared" si="694"/>
        <v>3348071</v>
      </c>
      <c r="CX317" s="50">
        <f t="shared" si="672"/>
        <v>3231838.4683919623</v>
      </c>
      <c r="CY317" s="50">
        <f t="shared" si="673"/>
        <v>116232.53160803765</v>
      </c>
      <c r="CZ317" s="23"/>
      <c r="DA317" s="23"/>
      <c r="DD317" s="23"/>
      <c r="DE317" s="23"/>
      <c r="DF317" s="23"/>
      <c r="DG317" s="23"/>
      <c r="DH317" s="23"/>
      <c r="DI317" s="23"/>
      <c r="DJ317" s="23"/>
    </row>
    <row r="318" spans="1:114">
      <c r="A318" s="13">
        <f t="shared" si="491"/>
        <v>2009</v>
      </c>
      <c r="B318" s="13">
        <f t="shared" si="492"/>
        <v>2</v>
      </c>
      <c r="C318" s="5">
        <f>'[2]FPC wSEB'!$D415</f>
        <v>1618774</v>
      </c>
      <c r="D318" s="5">
        <f>'[2]FPC wSEB'!$X415</f>
        <v>1469790</v>
      </c>
      <c r="E318" s="5">
        <f t="shared" si="699"/>
        <v>1572709</v>
      </c>
      <c r="F318" s="5">
        <f t="shared" si="699"/>
        <v>1408392</v>
      </c>
      <c r="G318" s="74">
        <f t="shared" si="675"/>
        <v>1116.7</v>
      </c>
      <c r="H318" s="190">
        <v>46065</v>
      </c>
      <c r="I318" s="190">
        <v>61398</v>
      </c>
      <c r="J318" s="230">
        <f>'[7]RES 62 &amp; 67'!$S403</f>
        <v>29.7</v>
      </c>
      <c r="K318" s="183">
        <f t="shared" si="301"/>
        <v>43.3</v>
      </c>
      <c r="L318" s="233">
        <f t="shared" ref="L318" si="712">(K318-J318)</f>
        <v>13.599999999999998</v>
      </c>
      <c r="M318" s="230">
        <f>'[7]RES 62 &amp; 67'!$J403</f>
        <v>195.6</v>
      </c>
      <c r="N318" s="183">
        <f t="shared" si="302"/>
        <v>127.9</v>
      </c>
      <c r="O318" s="236">
        <f t="shared" ref="O318" si="713">(N318-M318)</f>
        <v>-67.699999999999989</v>
      </c>
      <c r="P318" s="206">
        <f t="shared" si="703"/>
        <v>30.463999999999999</v>
      </c>
      <c r="Q318" s="208">
        <f t="shared" si="704"/>
        <v>-1.9991999999999996</v>
      </c>
      <c r="R318" s="467">
        <f t="shared" si="676"/>
        <v>28.4648</v>
      </c>
      <c r="S318" s="470">
        <f t="shared" si="705"/>
        <v>-208.44829999999999</v>
      </c>
      <c r="T318" s="425">
        <f t="shared" si="695"/>
        <v>-180</v>
      </c>
      <c r="U318" s="579">
        <f>[5]RC!$E198</f>
        <v>1444924</v>
      </c>
      <c r="V318" s="447">
        <v>39845</v>
      </c>
      <c r="W318" s="191">
        <f t="shared" si="677"/>
        <v>936.7</v>
      </c>
      <c r="X318" s="73">
        <f t="shared" si="678"/>
        <v>1319241</v>
      </c>
      <c r="Y318" s="187">
        <f t="shared" si="679"/>
        <v>37541</v>
      </c>
      <c r="Z318" s="175">
        <f t="shared" si="680"/>
        <v>1356782</v>
      </c>
      <c r="AA318" s="40">
        <f t="shared" si="681"/>
        <v>-261992</v>
      </c>
      <c r="AB318" s="519">
        <f>[9]RMWh!$L198</f>
        <v>1340659</v>
      </c>
      <c r="AC318" s="107">
        <f>'[7]Gov 65 &amp; 70'!$B403</f>
        <v>29.55</v>
      </c>
      <c r="AD318" s="4">
        <f t="shared" si="424"/>
        <v>1380130</v>
      </c>
      <c r="AE318" s="4">
        <f t="shared" ref="AE318" si="714">AD318-AD306</f>
        <v>-65140</v>
      </c>
      <c r="AF318" s="50">
        <f t="shared" si="682"/>
        <v>939</v>
      </c>
      <c r="AG318" s="75">
        <f t="shared" ref="AG318" si="715">AF318-AF306</f>
        <v>-46.899999999999977</v>
      </c>
      <c r="AI318" s="303">
        <f t="shared" si="697"/>
        <v>0.67186239670044545</v>
      </c>
      <c r="AK318" s="418">
        <f t="shared" si="655"/>
        <v>0.61335344899317068</v>
      </c>
      <c r="AU318" s="4">
        <f t="shared" si="494"/>
        <v>2009</v>
      </c>
      <c r="AV318" s="4">
        <f t="shared" si="495"/>
        <v>2</v>
      </c>
      <c r="AW318" s="230">
        <f>'[8]RES 62 &amp; 67'!$S403</f>
        <v>33</v>
      </c>
      <c r="AX318" s="200">
        <f t="shared" si="306"/>
        <v>59.2</v>
      </c>
      <c r="AY318" s="203">
        <f t="shared" si="696"/>
        <v>26.200000000000003</v>
      </c>
      <c r="AZ318" s="230">
        <f>'[8]RES 62 &amp; 67'!$J403</f>
        <v>144.5</v>
      </c>
      <c r="BA318" s="183">
        <f t="shared" si="307"/>
        <v>97.8</v>
      </c>
      <c r="BB318" s="429">
        <f t="shared" si="698"/>
        <v>-46.7</v>
      </c>
      <c r="BC318" s="206">
        <f t="shared" si="707"/>
        <v>58.688000000000009</v>
      </c>
      <c r="BD318" s="206">
        <f t="shared" si="708"/>
        <v>-3.8514000000000004</v>
      </c>
      <c r="BE318" s="206">
        <f t="shared" si="683"/>
        <v>54.836600000000011</v>
      </c>
      <c r="BF318" s="207">
        <f t="shared" si="709"/>
        <v>-143.78930000000003</v>
      </c>
      <c r="BG318" s="219">
        <f t="shared" si="684"/>
        <v>-89</v>
      </c>
      <c r="BH318" s="4">
        <f t="shared" si="569"/>
        <v>2009</v>
      </c>
      <c r="BI318" s="4">
        <f t="shared" si="570"/>
        <v>2</v>
      </c>
      <c r="BJ318" s="108">
        <f>C318+[4]MWh!$AJ152</f>
        <v>1547258.515091286</v>
      </c>
      <c r="BK318" s="108">
        <f t="shared" si="685"/>
        <v>44029.903802309709</v>
      </c>
      <c r="BL318" s="108">
        <f t="shared" si="686"/>
        <v>1503228.6112889764</v>
      </c>
      <c r="BM318" s="189">
        <f t="shared" si="687"/>
        <v>978.33680061302289</v>
      </c>
      <c r="BN318" s="6">
        <f t="shared" si="688"/>
        <v>1377882</v>
      </c>
      <c r="BO318" s="175">
        <f t="shared" si="689"/>
        <v>40358</v>
      </c>
      <c r="BP318" s="108">
        <f t="shared" si="690"/>
        <v>-129018.5150912861</v>
      </c>
      <c r="BQ318" s="76">
        <f t="shared" si="691"/>
        <v>1052.7071997300882</v>
      </c>
      <c r="BR318" s="76">
        <f t="shared" si="692"/>
        <v>964.92696235516644</v>
      </c>
      <c r="BS318" s="76">
        <f t="shared" ref="BS318" si="716">BR318-BR306</f>
        <v>101.32848758350735</v>
      </c>
      <c r="BT318" s="175">
        <f t="shared" si="693"/>
        <v>1418240</v>
      </c>
      <c r="BU318" s="108">
        <f t="shared" ref="BU318" si="717">BT318-BT306</f>
        <v>152196</v>
      </c>
      <c r="BW318" s="529">
        <f>BT318/[9]RMWh!$L198</f>
        <v>1.0578678097860827</v>
      </c>
      <c r="CK318" s="406">
        <v>39845</v>
      </c>
      <c r="CL318" s="50">
        <f>BP318+COML!BV318+SPA!BV318</f>
        <v>-121078.5150912861</v>
      </c>
      <c r="CM318" s="181">
        <f>'[14]2009'!$D33</f>
        <v>-107170</v>
      </c>
      <c r="CN318" s="407">
        <f t="shared" si="700"/>
        <v>-13908.515091286099</v>
      </c>
      <c r="CO318" s="50">
        <f>'[2]FPC wSEB'!$R415</f>
        <v>3174733</v>
      </c>
      <c r="CP318" s="50">
        <f>'[2]FPC wSEB'!$C415-SUM('[2]FPC wSEB'!$K415:$L415)</f>
        <v>2944576</v>
      </c>
      <c r="CQ318" s="50">
        <f>'[2]FPC wSEB'!$T415-'[2]FPC wSEB'!$T414</f>
        <v>-287068</v>
      </c>
      <c r="CR318" s="50">
        <f>SUM('[2]FPC wSEB'!$K415:$L415)</f>
        <v>452753</v>
      </c>
      <c r="CS318" s="50">
        <f>('[2]FPC wSEB'!$N415)-CQ318</f>
        <v>-141890</v>
      </c>
      <c r="CT318" s="50">
        <f>'[2]FPC wSEB'!$P415</f>
        <v>12070</v>
      </c>
      <c r="CU318" s="50">
        <f>'[2]FPC wSEB'!$Q415</f>
        <v>194292</v>
      </c>
      <c r="CV318" s="115">
        <f t="shared" ref="CV318" si="718">CO318-SUM(CP318:CU318)</f>
        <v>0</v>
      </c>
      <c r="CW318" s="50">
        <f t="shared" si="694"/>
        <v>2861201</v>
      </c>
      <c r="CX318" s="50">
        <f t="shared" ref="CX318" si="719">SUM(CP318:CS318)+CL318</f>
        <v>2847292.484908714</v>
      </c>
      <c r="CY318" s="50">
        <f t="shared" ref="CY318" si="720">CW318-CX318</f>
        <v>13908.515091286041</v>
      </c>
      <c r="CZ318" s="23"/>
      <c r="DA318" s="23"/>
      <c r="DD318" s="23"/>
      <c r="DE318" s="23"/>
      <c r="DF318" s="23"/>
      <c r="DG318" s="23"/>
      <c r="DH318" s="23"/>
      <c r="DI318" s="23"/>
      <c r="DJ318" s="23"/>
    </row>
    <row r="319" spans="1:114" ht="12.75">
      <c r="A319" s="13">
        <f t="shared" si="491"/>
        <v>2009</v>
      </c>
      <c r="B319" s="13">
        <f t="shared" si="492"/>
        <v>3</v>
      </c>
      <c r="C319" s="5">
        <f>'[2]FPC wSEB'!$D416</f>
        <v>1291802</v>
      </c>
      <c r="D319" s="5">
        <f>'[2]FPC wSEB'!$X416</f>
        <v>1431072</v>
      </c>
      <c r="E319" s="5">
        <f t="shared" ref="E319" si="721">ROUND(C319-H319,0)</f>
        <v>1257737</v>
      </c>
      <c r="F319" s="5">
        <f t="shared" ref="F319" si="722">ROUND(D319-I319,0)</f>
        <v>1372408</v>
      </c>
      <c r="G319" s="74">
        <f t="shared" ref="G319" si="723">ROUND((E319)/F319*1000,1)</f>
        <v>916.4</v>
      </c>
      <c r="H319" s="190">
        <v>34065</v>
      </c>
      <c r="I319" s="190">
        <v>58664</v>
      </c>
      <c r="J319" s="230">
        <f>'[7]RES 62 &amp; 67'!$S404</f>
        <v>57.7</v>
      </c>
      <c r="K319" s="183">
        <f t="shared" si="301"/>
        <v>77.2</v>
      </c>
      <c r="L319" s="233">
        <f t="shared" ref="L319" si="724">(K319-J319)</f>
        <v>19.5</v>
      </c>
      <c r="M319" s="230">
        <f>'[7]RES 62 &amp; 67'!$J404</f>
        <v>114.2</v>
      </c>
      <c r="N319" s="183">
        <f t="shared" si="302"/>
        <v>82.3</v>
      </c>
      <c r="O319" s="236">
        <f t="shared" ref="O319" si="725">(N319-M319)</f>
        <v>-31.900000000000006</v>
      </c>
      <c r="P319" s="206">
        <f t="shared" si="703"/>
        <v>43.680000000000007</v>
      </c>
      <c r="Q319" s="208">
        <f t="shared" si="704"/>
        <v>-2.8664999999999998</v>
      </c>
      <c r="R319" s="467">
        <f t="shared" ref="R319" si="726">P319+Q319</f>
        <v>40.813500000000005</v>
      </c>
      <c r="S319" s="470">
        <f t="shared" si="705"/>
        <v>-98.220100000000016</v>
      </c>
      <c r="T319" s="425">
        <f t="shared" si="695"/>
        <v>-57.4</v>
      </c>
      <c r="U319" s="579">
        <f>[5]RC!$E199</f>
        <v>1445738</v>
      </c>
      <c r="V319" s="447">
        <v>39873</v>
      </c>
      <c r="W319" s="191">
        <f t="shared" ref="W319" si="727">(G319+T319)</f>
        <v>859</v>
      </c>
      <c r="X319" s="73">
        <f t="shared" ref="X319" si="728">ROUND(W319*F319/1000,0)</f>
        <v>1178898</v>
      </c>
      <c r="Y319" s="187">
        <f t="shared" ref="Y319" si="729">ROUND((X319/C319)*H319,0)</f>
        <v>31088</v>
      </c>
      <c r="Z319" s="175">
        <f t="shared" ref="Z319" si="730">Y319+X319</f>
        <v>1209986</v>
      </c>
      <c r="AA319" s="40">
        <f t="shared" ref="AA319" si="731">Z319-C319</f>
        <v>-81816</v>
      </c>
      <c r="AB319" s="519">
        <f>[9]RMWh!$L199</f>
        <v>1245392</v>
      </c>
      <c r="AC319" s="107">
        <f>'[7]Gov 65 &amp; 70'!$B404</f>
        <v>29.45</v>
      </c>
      <c r="AD319" s="4">
        <f t="shared" si="424"/>
        <v>1286412</v>
      </c>
      <c r="AE319" s="4">
        <f t="shared" ref="AE319" si="732">AD319-AD307</f>
        <v>-88170</v>
      </c>
      <c r="AF319" s="50">
        <f t="shared" ref="AF319" si="733">ROUND((AD319/(D319)*1000),1)</f>
        <v>898.9</v>
      </c>
      <c r="AG319" s="75">
        <f t="shared" ref="AG319" si="734">AF319-AF307</f>
        <v>-78.700000000000045</v>
      </c>
      <c r="AI319" s="303">
        <f t="shared" si="697"/>
        <v>0.63365321216437986</v>
      </c>
      <c r="AK319" s="418">
        <f t="shared" si="655"/>
        <v>0.60343940178546884</v>
      </c>
      <c r="AU319" s="4">
        <f t="shared" si="494"/>
        <v>2009</v>
      </c>
      <c r="AV319" s="4">
        <f t="shared" si="495"/>
        <v>3</v>
      </c>
      <c r="AW319" s="230">
        <f>'[8]RES 62 &amp; 67'!$S404</f>
        <v>123.9</v>
      </c>
      <c r="AX319" s="200">
        <f t="shared" si="306"/>
        <v>105.8</v>
      </c>
      <c r="AY319" s="203">
        <f t="shared" si="696"/>
        <v>-18.100000000000009</v>
      </c>
      <c r="AZ319" s="230">
        <f>'[8]RES 62 &amp; 67'!$J404</f>
        <v>56.2</v>
      </c>
      <c r="BA319" s="183">
        <f t="shared" si="307"/>
        <v>49.9</v>
      </c>
      <c r="BB319" s="429">
        <f t="shared" si="698"/>
        <v>-6.3000000000000043</v>
      </c>
      <c r="BC319" s="206">
        <f t="shared" si="707"/>
        <v>-40.544000000000025</v>
      </c>
      <c r="BD319" s="206">
        <f t="shared" si="708"/>
        <v>2.6607000000000012</v>
      </c>
      <c r="BE319" s="206">
        <f t="shared" ref="BE319" si="735">BC319+BD319</f>
        <v>-37.883300000000027</v>
      </c>
      <c r="BF319" s="207">
        <f t="shared" si="709"/>
        <v>-19.397700000000015</v>
      </c>
      <c r="BG319" s="219">
        <f t="shared" ref="BG319" si="736">ROUND(BF319+BE319,1)</f>
        <v>-57.3</v>
      </c>
      <c r="BH319" s="4">
        <f t="shared" si="569"/>
        <v>2009</v>
      </c>
      <c r="BI319" s="4">
        <f t="shared" si="570"/>
        <v>3</v>
      </c>
      <c r="BJ319" s="108">
        <f>C319+[4]MWh!$AJ153</f>
        <v>1276246.4798546657</v>
      </c>
      <c r="BK319" s="108">
        <f t="shared" ref="BK319" si="737">(H319/C319)*BJ319</f>
        <v>33654.798751085058</v>
      </c>
      <c r="BL319" s="108">
        <f t="shared" ref="BL319" si="738">BJ319-BK319</f>
        <v>1242591.6811035806</v>
      </c>
      <c r="BM319" s="189">
        <f t="shared" ref="BM319" si="739">(BL319/F319*1000)+BG319</f>
        <v>848.10982062446499</v>
      </c>
      <c r="BN319" s="6">
        <f t="shared" ref="BN319" si="740">ROUND(BM319*F319/1000,0)</f>
        <v>1163953</v>
      </c>
      <c r="BO319" s="175">
        <f t="shared" ref="BO319" si="741">ROUND(BN319/BL319*BK319,0)</f>
        <v>31525</v>
      </c>
      <c r="BP319" s="108">
        <f t="shared" ref="BP319" si="742">(BN319-BL319)+(BO319-BK319)</f>
        <v>-80768.479854665697</v>
      </c>
      <c r="BQ319" s="76">
        <f t="shared" ref="BQ319" si="743">BJ319/D319*1000</f>
        <v>891.81150903285493</v>
      </c>
      <c r="BR319" s="76">
        <f t="shared" ref="BR319" si="744">(BN319+BO319)/D319*1000</f>
        <v>835.37236421368038</v>
      </c>
      <c r="BS319" s="76">
        <f t="shared" ref="BS319" si="745">BR319-BR307</f>
        <v>-82.324961584124821</v>
      </c>
      <c r="BT319" s="175">
        <f t="shared" ref="BT319" si="746">(BN319+BO319)</f>
        <v>1195478</v>
      </c>
      <c r="BU319" s="108">
        <f t="shared" ref="BU319" si="747">BT319-BT307</f>
        <v>-94932</v>
      </c>
      <c r="BW319" s="529">
        <f>BT319/[9]RMWh!$L199</f>
        <v>0.95992105296966734</v>
      </c>
      <c r="CK319" s="406">
        <v>39873</v>
      </c>
      <c r="CL319" s="50">
        <f>BP319+COML!BV319+SPA!BV319</f>
        <v>-104252.4798546657</v>
      </c>
      <c r="CM319" s="181">
        <f>'[14]2009'!$D34</f>
        <v>-28743</v>
      </c>
      <c r="CN319" s="407">
        <f t="shared" si="700"/>
        <v>-75509.479854665697</v>
      </c>
      <c r="CO319" s="50">
        <f>'[2]FPC wSEB'!$R416</f>
        <v>3146675</v>
      </c>
      <c r="CP319" s="50">
        <f>'[2]FPC wSEB'!$C416-SUM('[2]FPC wSEB'!$K416:$L416)</f>
        <v>2639743</v>
      </c>
      <c r="CQ319" s="50">
        <f>'[2]FPC wSEB'!$T416-'[2]FPC wSEB'!$T415</f>
        <v>127743</v>
      </c>
      <c r="CR319" s="50">
        <f>SUM('[2]FPC wSEB'!$K416:$L416)</f>
        <v>308344</v>
      </c>
      <c r="CS319" s="50">
        <f>('[2]FPC wSEB'!$N416)-CQ319</f>
        <v>-90091</v>
      </c>
      <c r="CT319" s="50">
        <f>'[2]FPC wSEB'!$P416</f>
        <v>20213</v>
      </c>
      <c r="CU319" s="50">
        <f>'[2]FPC wSEB'!$Q416</f>
        <v>140723</v>
      </c>
      <c r="CV319" s="115">
        <f t="shared" ref="CV319" si="748">CO319-SUM(CP319:CU319)</f>
        <v>0</v>
      </c>
      <c r="CW319" s="50">
        <f t="shared" ref="CW319" si="749">CO319-CT319-CU319+CM319</f>
        <v>2956996</v>
      </c>
      <c r="CX319" s="50">
        <f t="shared" ref="CX319" si="750">SUM(CP319:CS319)+CL319</f>
        <v>2881486.5201453343</v>
      </c>
      <c r="CY319" s="50">
        <f t="shared" ref="CY319" si="751">CW319-CX319</f>
        <v>75509.479854665697</v>
      </c>
      <c r="DB319" s="593" t="s">
        <v>288</v>
      </c>
      <c r="DC319" s="594"/>
      <c r="DD319" s="594"/>
      <c r="DE319" s="594"/>
      <c r="DF319" s="594"/>
      <c r="DG319" s="594"/>
      <c r="DH319" s="595"/>
    </row>
    <row r="320" spans="1:114" ht="12.75">
      <c r="A320" s="13">
        <f t="shared" si="491"/>
        <v>2009</v>
      </c>
      <c r="B320" s="13">
        <f t="shared" si="492"/>
        <v>4</v>
      </c>
      <c r="C320" s="5">
        <f>'[2]FPC wSEB'!$D417</f>
        <v>1224077</v>
      </c>
      <c r="D320" s="5">
        <f>'[2]FPC wSEB'!$X417</f>
        <v>1420220</v>
      </c>
      <c r="E320" s="5">
        <f t="shared" ref="E320" si="752">ROUND(C320-H320,0)</f>
        <v>1196335</v>
      </c>
      <c r="F320" s="5">
        <f t="shared" ref="F320" si="753">ROUND(D320-I320,0)</f>
        <v>1361245</v>
      </c>
      <c r="G320" s="74">
        <f t="shared" ref="G320" si="754">ROUND((E320)/F320*1000,1)</f>
        <v>878.9</v>
      </c>
      <c r="H320" s="190">
        <v>27742</v>
      </c>
      <c r="I320" s="190">
        <v>58975</v>
      </c>
      <c r="J320" s="230">
        <f>'[7]RES 62 &amp; 67'!$S405</f>
        <v>152.6</v>
      </c>
      <c r="K320" s="183">
        <f t="shared" si="301"/>
        <v>138.1</v>
      </c>
      <c r="L320" s="233">
        <f t="shared" ref="L320" si="755">(K320-J320)</f>
        <v>-14.5</v>
      </c>
      <c r="M320" s="230">
        <f>'[7]RES 62 &amp; 67'!$J405</f>
        <v>24.5</v>
      </c>
      <c r="N320" s="183">
        <f t="shared" si="302"/>
        <v>37.299999999999997</v>
      </c>
      <c r="O320" s="236">
        <f t="shared" ref="O320" si="756">(N320-M320)</f>
        <v>12.799999999999997</v>
      </c>
      <c r="P320" s="206">
        <f t="shared" si="703"/>
        <v>-32.480000000000004</v>
      </c>
      <c r="Q320" s="208">
        <f t="shared" si="704"/>
        <v>2.1315</v>
      </c>
      <c r="R320" s="467">
        <f t="shared" ref="R320" si="757">P320+Q320</f>
        <v>-30.348500000000005</v>
      </c>
      <c r="S320" s="470">
        <f t="shared" si="705"/>
        <v>39.411199999999994</v>
      </c>
      <c r="T320" s="425">
        <f t="shared" ref="T320" si="758">ROUND((R320+S320),1)</f>
        <v>9.1</v>
      </c>
      <c r="U320" s="579">
        <f>[5]RC!$E200</f>
        <v>1443326</v>
      </c>
      <c r="V320" s="447">
        <v>39904</v>
      </c>
      <c r="W320" s="191">
        <f t="shared" ref="W320" si="759">(G320+T320)</f>
        <v>888</v>
      </c>
      <c r="X320" s="73">
        <f t="shared" ref="X320" si="760">ROUND(W320*F320/1000,0)</f>
        <v>1208786</v>
      </c>
      <c r="Y320" s="187">
        <f t="shared" ref="Y320" si="761">ROUND((X320/C320)*H320,0)</f>
        <v>27395</v>
      </c>
      <c r="Z320" s="175">
        <f t="shared" ref="Z320" si="762">Y320+X320</f>
        <v>1236181</v>
      </c>
      <c r="AA320" s="40">
        <f t="shared" ref="AA320" si="763">Z320-C320</f>
        <v>12104</v>
      </c>
      <c r="AB320" s="519">
        <f>[9]RMWh!$L200</f>
        <v>1251269</v>
      </c>
      <c r="AC320" s="107">
        <f>'[7]Gov 65 &amp; 70'!$B405</f>
        <v>28.65</v>
      </c>
      <c r="AD320" s="4">
        <f t="shared" si="424"/>
        <v>1328573</v>
      </c>
      <c r="AE320" s="4">
        <f t="shared" ref="AE320" si="764">AD320-AD308</f>
        <v>-14471</v>
      </c>
      <c r="AF320" s="50">
        <f t="shared" ref="AF320" si="765">ROUND((AD320/(D320)*1000),1)</f>
        <v>935.5</v>
      </c>
      <c r="AG320" s="75">
        <f t="shared" ref="AG320" si="766">AF320-AF308</f>
        <v>26.799999999999955</v>
      </c>
      <c r="AI320" s="303">
        <f t="shared" si="697"/>
        <v>0.53521755946522809</v>
      </c>
      <c r="AK320" s="418">
        <f t="shared" si="655"/>
        <v>0.5151494911605291</v>
      </c>
      <c r="AU320" s="4">
        <f t="shared" si="494"/>
        <v>2009</v>
      </c>
      <c r="AV320" s="4">
        <f t="shared" si="495"/>
        <v>4</v>
      </c>
      <c r="AW320" s="230">
        <f>'[8]RES 62 &amp; 67'!$S405</f>
        <v>189.3</v>
      </c>
      <c r="AX320" s="200">
        <f t="shared" si="306"/>
        <v>181.7</v>
      </c>
      <c r="AY320" s="203">
        <f t="shared" ref="AY320" si="767">AX320-AW320</f>
        <v>-7.6000000000000227</v>
      </c>
      <c r="AZ320" s="230">
        <f>'[8]RES 62 &amp; 67'!$J405</f>
        <v>17.3</v>
      </c>
      <c r="BA320" s="183">
        <f t="shared" si="307"/>
        <v>21.5</v>
      </c>
      <c r="BB320" s="429">
        <f t="shared" si="698"/>
        <v>4.1999999999999993</v>
      </c>
      <c r="BC320" s="206">
        <f t="shared" si="707"/>
        <v>-17.024000000000054</v>
      </c>
      <c r="BD320" s="206">
        <f t="shared" si="708"/>
        <v>0.55860000000000165</v>
      </c>
      <c r="BE320" s="206">
        <f t="shared" ref="BE320" si="768">BC320+BD320</f>
        <v>-16.465400000000052</v>
      </c>
      <c r="BF320" s="207">
        <f t="shared" si="709"/>
        <v>12.931799999999999</v>
      </c>
      <c r="BG320" s="219">
        <f t="shared" ref="BG320" si="769">ROUND(BF320+BE320,1)</f>
        <v>-3.5</v>
      </c>
      <c r="BH320" s="4">
        <f t="shared" si="569"/>
        <v>2009</v>
      </c>
      <c r="BI320" s="4">
        <f t="shared" si="570"/>
        <v>4</v>
      </c>
      <c r="BJ320" s="108">
        <f>C320+[4]MWh!$AJ154</f>
        <v>1206525.0431617303</v>
      </c>
      <c r="BK320" s="108">
        <f t="shared" ref="BK320" si="770">(H320/C320)*BJ320</f>
        <v>27344.209349079119</v>
      </c>
      <c r="BL320" s="108">
        <f t="shared" ref="BL320" si="771">BJ320-BK320</f>
        <v>1179180.8338126512</v>
      </c>
      <c r="BM320" s="189">
        <f t="shared" ref="BM320" si="772">(BL320/F320*1000)+BG320</f>
        <v>862.75172824337369</v>
      </c>
      <c r="BN320" s="6">
        <f t="shared" ref="BN320" si="773">ROUND(BM320*F320/1000,0)</f>
        <v>1174416</v>
      </c>
      <c r="BO320" s="175">
        <f t="shared" ref="BO320" si="774">ROUND(BN320/BL320*BK320,0)</f>
        <v>27234</v>
      </c>
      <c r="BP320" s="108">
        <f t="shared" ref="BP320" si="775">(BN320-BL320)+(BO320-BK320)</f>
        <v>-4875.0431617303439</v>
      </c>
      <c r="BQ320" s="76">
        <f t="shared" ref="BQ320" si="776">BJ320/D320*1000</f>
        <v>849.5339054243218</v>
      </c>
      <c r="BR320" s="76">
        <f t="shared" ref="BR320" si="777">(BN320+BO320)/D320*1000</f>
        <v>846.10130824801786</v>
      </c>
      <c r="BS320" s="76">
        <f t="shared" ref="BS320" si="778">BR320-BR308</f>
        <v>-136.02703773930079</v>
      </c>
      <c r="BT320" s="175">
        <f t="shared" ref="BT320" si="779">(BN320+BO320)</f>
        <v>1201650</v>
      </c>
      <c r="BU320" s="108">
        <f t="shared" ref="BU320" si="780">BT320-BT308</f>
        <v>-249864</v>
      </c>
      <c r="BW320" s="529">
        <f>BT320/[9]RMWh!$L200</f>
        <v>0.96034505769742562</v>
      </c>
      <c r="CK320" s="406">
        <v>39904</v>
      </c>
      <c r="CL320" s="50">
        <f>BP320+COML!BV320+SPA!BV320</f>
        <v>-12652.043161730344</v>
      </c>
      <c r="CM320" s="181">
        <f>'[14]2009'!$D35</f>
        <v>-13282</v>
      </c>
      <c r="CN320" s="407">
        <f t="shared" si="700"/>
        <v>629.95683826965615</v>
      </c>
      <c r="CO320" s="50">
        <f>'[2]FPC wSEB'!$R417</f>
        <v>3130605</v>
      </c>
      <c r="CP320" s="50">
        <f>'[2]FPC wSEB'!$C417-SUM('[2]FPC wSEB'!$K417:$L417)</f>
        <v>2680180</v>
      </c>
      <c r="CQ320" s="50">
        <f>'[2]FPC wSEB'!$T417-'[2]FPC wSEB'!$T416</f>
        <v>63138</v>
      </c>
      <c r="CR320" s="50">
        <f>SUM('[2]FPC wSEB'!$K417:$L417)</f>
        <v>227746</v>
      </c>
      <c r="CS320" s="50">
        <f>('[2]FPC wSEB'!$N417)-CQ320</f>
        <v>-10587</v>
      </c>
      <c r="CT320" s="50">
        <f>'[2]FPC wSEB'!$P417</f>
        <v>9909</v>
      </c>
      <c r="CU320" s="50">
        <f>'[2]FPC wSEB'!$Q417</f>
        <v>160219</v>
      </c>
      <c r="CV320" s="115">
        <f t="shared" ref="CV320" si="781">CO320-SUM(CP320:CU320)</f>
        <v>0</v>
      </c>
      <c r="CW320" s="50">
        <f t="shared" ref="CW320" si="782">CO320-CT320-CU320+CM320</f>
        <v>2947195</v>
      </c>
      <c r="CX320" s="50">
        <f t="shared" ref="CX320" si="783">SUM(CP320:CS320)+CL320</f>
        <v>2947824.9568382697</v>
      </c>
      <c r="CY320" s="50">
        <f t="shared" ref="CY320" si="784">CW320-CX320</f>
        <v>-629.95683826971799</v>
      </c>
      <c r="DB320" s="596" t="s">
        <v>289</v>
      </c>
      <c r="DC320" s="596"/>
      <c r="DD320" s="596"/>
      <c r="DE320" s="596"/>
      <c r="DF320" s="596"/>
      <c r="DG320" s="596"/>
      <c r="DH320" s="596"/>
    </row>
    <row r="321" spans="1:118">
      <c r="A321" s="13">
        <f t="shared" si="491"/>
        <v>2009</v>
      </c>
      <c r="B321" s="13">
        <f t="shared" si="492"/>
        <v>5</v>
      </c>
      <c r="C321" s="5">
        <f>'[2]FPC wSEB'!$D418</f>
        <v>1462910</v>
      </c>
      <c r="D321" s="5">
        <f>'[2]FPC wSEB'!$X418</f>
        <v>1430327</v>
      </c>
      <c r="E321" s="5">
        <f t="shared" ref="E321" si="785">ROUND(C321-H321,0)</f>
        <v>1440176</v>
      </c>
      <c r="F321" s="5">
        <f t="shared" ref="F321" si="786">ROUND(D321-I321,0)</f>
        <v>1370907</v>
      </c>
      <c r="G321" s="74">
        <f t="shared" ref="G321" si="787">ROUND((E321)/F321*1000,1)</f>
        <v>1050.5</v>
      </c>
      <c r="H321" s="190">
        <v>22734</v>
      </c>
      <c r="I321" s="190">
        <v>59420</v>
      </c>
      <c r="J321" s="230">
        <f>'[7]RES 62 &amp; 67'!$S406</f>
        <v>252.5</v>
      </c>
      <c r="K321" s="183">
        <f t="shared" si="301"/>
        <v>224.4</v>
      </c>
      <c r="L321" s="233">
        <f t="shared" ref="L321" si="788">(K321-J321)</f>
        <v>-28.099999999999994</v>
      </c>
      <c r="M321" s="230">
        <f>'[7]RES 62 &amp; 67'!$J406</f>
        <v>8.6</v>
      </c>
      <c r="N321" s="183">
        <f t="shared" si="302"/>
        <v>11.2</v>
      </c>
      <c r="O321" s="236">
        <f t="shared" ref="O321" si="789">(N321-M321)</f>
        <v>2.5999999999999996</v>
      </c>
      <c r="P321" s="206">
        <f t="shared" si="703"/>
        <v>-62.943999999999996</v>
      </c>
      <c r="Q321" s="208">
        <f t="shared" si="704"/>
        <v>0</v>
      </c>
      <c r="R321" s="467">
        <f t="shared" ref="R321" si="790">P321+Q321</f>
        <v>-62.943999999999996</v>
      </c>
      <c r="S321" s="470">
        <f t="shared" si="705"/>
        <v>8.0053999999999998</v>
      </c>
      <c r="T321" s="425">
        <f t="shared" ref="T321" si="791">ROUND((R321+S321),1)</f>
        <v>-54.9</v>
      </c>
      <c r="U321" s="579">
        <f>[5]RC!$E201</f>
        <v>1441770</v>
      </c>
      <c r="V321" s="447">
        <v>39934</v>
      </c>
      <c r="W321" s="191">
        <f t="shared" ref="W321" si="792">(G321+T321)</f>
        <v>995.6</v>
      </c>
      <c r="X321" s="73">
        <f t="shared" ref="X321" si="793">ROUND(W321*F321/1000,0)</f>
        <v>1364875</v>
      </c>
      <c r="Y321" s="187">
        <f t="shared" ref="Y321" si="794">ROUND((X321/C321)*H321,0)</f>
        <v>21211</v>
      </c>
      <c r="Z321" s="175">
        <f t="shared" ref="Z321" si="795">Y321+X321</f>
        <v>1386086</v>
      </c>
      <c r="AA321" s="40">
        <f t="shared" ref="AA321" si="796">Z321-C321</f>
        <v>-76824</v>
      </c>
      <c r="AB321" s="519">
        <f>[9]RMWh!$L201</f>
        <v>1374448</v>
      </c>
      <c r="AC321" s="107">
        <f>'[7]Gov 65 &amp; 70'!$B406</f>
        <v>30.15</v>
      </c>
      <c r="AD321" s="4">
        <f t="shared" si="424"/>
        <v>1386756</v>
      </c>
      <c r="AE321" s="4">
        <f t="shared" ref="AE321" si="797">AD321-AD309</f>
        <v>-108308</v>
      </c>
      <c r="AF321" s="50">
        <f t="shared" ref="AF321" si="798">ROUND((AD321/(D321)*1000),1)</f>
        <v>969.5</v>
      </c>
      <c r="AG321" s="75">
        <f t="shared" ref="AG321" si="799">AF321-AF309</f>
        <v>-64.200000000000045</v>
      </c>
      <c r="AI321" s="303">
        <f t="shared" ref="AI321" si="800">(H321/I321*1000)/G321</f>
        <v>0.36420604635865245</v>
      </c>
      <c r="AK321" s="418">
        <f t="shared" si="655"/>
        <v>0.32698982394047638</v>
      </c>
      <c r="AU321" s="4">
        <f t="shared" si="494"/>
        <v>2009</v>
      </c>
      <c r="AV321" s="4">
        <f t="shared" si="495"/>
        <v>5</v>
      </c>
      <c r="AW321" s="230">
        <f>'[8]RES 62 &amp; 67'!$S406</f>
        <v>342</v>
      </c>
      <c r="AX321" s="200">
        <f t="shared" si="306"/>
        <v>336.7</v>
      </c>
      <c r="AY321" s="203">
        <f t="shared" ref="AY321" si="801">AX321-AW321</f>
        <v>-5.3000000000000114</v>
      </c>
      <c r="AZ321" s="230">
        <f>'[8]RES 62 &amp; 67'!$J406</f>
        <v>0.5</v>
      </c>
      <c r="BA321" s="183">
        <f t="shared" si="307"/>
        <v>2.1</v>
      </c>
      <c r="BB321" s="429">
        <f t="shared" ref="BB321" si="802">BA321-AZ321</f>
        <v>1.6</v>
      </c>
      <c r="BC321" s="206">
        <f t="shared" si="707"/>
        <v>-11.872000000000027</v>
      </c>
      <c r="BD321" s="206">
        <f t="shared" si="708"/>
        <v>0</v>
      </c>
      <c r="BE321" s="206">
        <f t="shared" ref="BE321" si="803">BC321+BD321</f>
        <v>-11.872000000000027</v>
      </c>
      <c r="BF321" s="207">
        <f t="shared" si="709"/>
        <v>4.926400000000001</v>
      </c>
      <c r="BG321" s="219">
        <f t="shared" ref="BG321" si="804">ROUND(BF321+BE321,1)</f>
        <v>-6.9</v>
      </c>
      <c r="BH321" s="4">
        <f t="shared" si="569"/>
        <v>2009</v>
      </c>
      <c r="BI321" s="4">
        <f t="shared" si="570"/>
        <v>5</v>
      </c>
      <c r="BJ321" s="108">
        <f>C321+[4]MWh!$AJ155</f>
        <v>1696430.6011342658</v>
      </c>
      <c r="BK321" s="108">
        <f t="shared" ref="BK321" si="805">(H321/C321)*BJ321</f>
        <v>26362.970576581196</v>
      </c>
      <c r="BL321" s="108">
        <f t="shared" ref="BL321" si="806">BJ321-BK321</f>
        <v>1670067.6305576847</v>
      </c>
      <c r="BM321" s="189">
        <f t="shared" ref="BM321" si="807">(BL321/F321*1000)+BG321</f>
        <v>1211.3209519374286</v>
      </c>
      <c r="BN321" s="6">
        <f t="shared" ref="BN321" si="808">ROUND(BM321*F321/1000,0)</f>
        <v>1660608</v>
      </c>
      <c r="BO321" s="175">
        <f t="shared" ref="BO321" si="809">ROUND(BN321/BL321*BK321,0)</f>
        <v>26214</v>
      </c>
      <c r="BP321" s="108">
        <f t="shared" ref="BP321" si="810">(BN321-BL321)+(BO321-BK321)</f>
        <v>-9608.6011342658894</v>
      </c>
      <c r="BQ321" s="76">
        <f t="shared" ref="BQ321" si="811">BJ321/D321*1000</f>
        <v>1186.043891455776</v>
      </c>
      <c r="BR321" s="76">
        <f t="shared" ref="BR321" si="812">(BN321+BO321)/D321*1000</f>
        <v>1179.3261261236069</v>
      </c>
      <c r="BS321" s="76">
        <f t="shared" ref="BS321" si="813">BR321-BR309</f>
        <v>59.497783563720532</v>
      </c>
      <c r="BT321" s="175">
        <f t="shared" ref="BT321" si="814">(BN321+BO321)</f>
        <v>1686822</v>
      </c>
      <c r="BU321" s="108">
        <f t="shared" ref="BU321" si="815">BT321-BT309</f>
        <v>67137</v>
      </c>
      <c r="BW321" s="529">
        <f>BT321/[9]RMWh!$L201</f>
        <v>1.2272723304191937</v>
      </c>
      <c r="CK321" s="406">
        <v>39934</v>
      </c>
      <c r="CL321" s="50">
        <f>BP321+COML!BV321+SPA!BV321</f>
        <v>-15591.601134265889</v>
      </c>
      <c r="CM321" s="181">
        <f>'[14]2009'!$D36</f>
        <v>84381</v>
      </c>
      <c r="CN321" s="407">
        <f t="shared" si="700"/>
        <v>-99972.601134265889</v>
      </c>
      <c r="CO321" s="50">
        <f>'[2]FPC wSEB'!$R418</f>
        <v>3821875</v>
      </c>
      <c r="CP321" s="50">
        <f>'[2]FPC wSEB'!$C418-SUM('[2]FPC wSEB'!$K418:$L418)</f>
        <v>2968744</v>
      </c>
      <c r="CQ321" s="50">
        <f>'[2]FPC wSEB'!$T418-'[2]FPC wSEB'!$T417</f>
        <v>365322</v>
      </c>
      <c r="CR321" s="50">
        <f>SUM('[2]FPC wSEB'!$K418:$L418)</f>
        <v>223258</v>
      </c>
      <c r="CS321" s="50">
        <f>('[2]FPC wSEB'!$N418)-CQ321</f>
        <v>59667</v>
      </c>
      <c r="CT321" s="50">
        <f>'[2]FPC wSEB'!$P418</f>
        <v>11085</v>
      </c>
      <c r="CU321" s="50">
        <f>'[2]FPC wSEB'!$Q418</f>
        <v>193799</v>
      </c>
      <c r="CV321" s="115">
        <f t="shared" ref="CV321" si="816">CO321-SUM(CP321:CU321)</f>
        <v>0</v>
      </c>
      <c r="CW321" s="50">
        <f t="shared" ref="CW321" si="817">CO321-CT321-CU321+CM321</f>
        <v>3701372</v>
      </c>
      <c r="CX321" s="50">
        <f t="shared" ref="CX321" si="818">SUM(CP321:CS321)+CL321</f>
        <v>3601399.3988657342</v>
      </c>
      <c r="CY321" s="50">
        <f t="shared" ref="CY321" si="819">CW321-CX321</f>
        <v>99972.601134265773</v>
      </c>
    </row>
    <row r="322" spans="1:118">
      <c r="A322" s="13">
        <f t="shared" si="491"/>
        <v>2009</v>
      </c>
      <c r="B322" s="13">
        <f t="shared" si="492"/>
        <v>6</v>
      </c>
      <c r="C322" s="5">
        <f>'[2]FPC wSEB'!$D419</f>
        <v>1821182</v>
      </c>
      <c r="D322" s="5">
        <f>'[2]FPC wSEB'!$X419</f>
        <v>1472777</v>
      </c>
      <c r="E322" s="5">
        <f t="shared" ref="E322" si="820">ROUND(C322-H322,0)</f>
        <v>1800133</v>
      </c>
      <c r="F322" s="5">
        <f t="shared" ref="F322" si="821">ROUND(D322-I322,0)</f>
        <v>1410546</v>
      </c>
      <c r="G322" s="74">
        <f t="shared" ref="G322" si="822">ROUND((E322)/F322*1000,1)</f>
        <v>1276.2</v>
      </c>
      <c r="H322" s="190">
        <v>21049</v>
      </c>
      <c r="I322" s="190">
        <v>62231</v>
      </c>
      <c r="J322" s="230">
        <f>'[7]RES 62 &amp; 67'!$S407</f>
        <v>365.8</v>
      </c>
      <c r="K322" s="183">
        <f t="shared" si="301"/>
        <v>382.8</v>
      </c>
      <c r="L322" s="233">
        <f t="shared" ref="L322" si="823">(K322-J322)</f>
        <v>17</v>
      </c>
      <c r="M322" s="230">
        <f>'[7]RES 62 &amp; 67'!$J407</f>
        <v>0.3</v>
      </c>
      <c r="N322" s="183">
        <f t="shared" si="302"/>
        <v>0.9</v>
      </c>
      <c r="O322" s="236">
        <f t="shared" ref="O322" si="824">(N322-M322)</f>
        <v>0.60000000000000009</v>
      </c>
      <c r="P322" s="206">
        <f t="shared" si="703"/>
        <v>38.080000000000005</v>
      </c>
      <c r="Q322" s="208">
        <f t="shared" si="704"/>
        <v>0</v>
      </c>
      <c r="R322" s="467">
        <f t="shared" ref="R322" si="825">P322+Q322</f>
        <v>38.080000000000005</v>
      </c>
      <c r="S322" s="470">
        <f t="shared" si="705"/>
        <v>1.8474000000000004</v>
      </c>
      <c r="T322" s="425">
        <f t="shared" ref="T322" si="826">ROUND((R322+S322),1)</f>
        <v>39.9</v>
      </c>
      <c r="U322" s="579">
        <f>[5]RC!$E202</f>
        <v>1440419</v>
      </c>
      <c r="V322" s="447">
        <v>39965</v>
      </c>
      <c r="W322" s="191">
        <f t="shared" ref="W322" si="827">(G322+T322)</f>
        <v>1316.1000000000001</v>
      </c>
      <c r="X322" s="73">
        <f t="shared" ref="X322" si="828">ROUND(W322*F322/1000,0)</f>
        <v>1856420</v>
      </c>
      <c r="Y322" s="187">
        <f t="shared" ref="Y322" si="829">ROUND((X322/C322)*H322,0)</f>
        <v>21456</v>
      </c>
      <c r="Z322" s="175">
        <f t="shared" ref="Z322" si="830">Y322+X322</f>
        <v>1877876</v>
      </c>
      <c r="AA322" s="40">
        <f t="shared" ref="AA322" si="831">Z322-C322</f>
        <v>56694</v>
      </c>
      <c r="AB322" s="519">
        <f>[9]RMWh!$L202</f>
        <v>1802939</v>
      </c>
      <c r="AC322" s="107">
        <f>'[7]Gov 65 &amp; 70'!$B407</f>
        <v>30.75</v>
      </c>
      <c r="AD322" s="4">
        <f t="shared" si="424"/>
        <v>1783590</v>
      </c>
      <c r="AE322" s="4">
        <f t="shared" ref="AE322" si="832">AD322-AD310</f>
        <v>-31282</v>
      </c>
      <c r="AF322" s="50">
        <f t="shared" ref="AF322" si="833">ROUND((AD322/(D322)*1000),1)</f>
        <v>1211</v>
      </c>
      <c r="AG322" s="75">
        <f t="shared" ref="AG322" si="834">AF322-AF310</f>
        <v>-14.099999999999909</v>
      </c>
      <c r="AI322" s="303">
        <f t="shared" ref="AI322" si="835">(H322/I322*1000)/G322</f>
        <v>0.26503665885477751</v>
      </c>
      <c r="AK322" s="418">
        <f t="shared" si="655"/>
        <v>0.21423578912070754</v>
      </c>
      <c r="AU322" s="4">
        <f t="shared" si="494"/>
        <v>2009</v>
      </c>
      <c r="AV322" s="4">
        <f t="shared" si="495"/>
        <v>6</v>
      </c>
      <c r="AW322" s="230">
        <f>'[8]RES 62 &amp; 67'!$S407</f>
        <v>461.6</v>
      </c>
      <c r="AX322" s="200">
        <f t="shared" si="306"/>
        <v>425.2</v>
      </c>
      <c r="AY322" s="203">
        <f t="shared" ref="AY322" si="836">AX322-AW322</f>
        <v>-36.400000000000034</v>
      </c>
      <c r="AZ322" s="230">
        <f>'[8]RES 62 &amp; 67'!$J407</f>
        <v>0</v>
      </c>
      <c r="BA322" s="183">
        <f t="shared" si="307"/>
        <v>0</v>
      </c>
      <c r="BB322" s="429">
        <f t="shared" ref="BB322" si="837">BA322-AZ322</f>
        <v>0</v>
      </c>
      <c r="BC322" s="206">
        <f t="shared" si="707"/>
        <v>-81.536000000000087</v>
      </c>
      <c r="BD322" s="206">
        <f t="shared" si="708"/>
        <v>0</v>
      </c>
      <c r="BE322" s="206">
        <f t="shared" ref="BE322" si="838">BC322+BD322</f>
        <v>-81.536000000000087</v>
      </c>
      <c r="BF322" s="207">
        <f t="shared" si="709"/>
        <v>0</v>
      </c>
      <c r="BG322" s="219">
        <f t="shared" ref="BG322" si="839">ROUND(BF322+BE322,1)</f>
        <v>-81.5</v>
      </c>
      <c r="BH322" s="4">
        <f t="shared" si="569"/>
        <v>2009</v>
      </c>
      <c r="BI322" s="4">
        <f t="shared" si="570"/>
        <v>6</v>
      </c>
      <c r="BJ322" s="108">
        <f>C322+[4]MWh!$AJ156</f>
        <v>2033149.7249630555</v>
      </c>
      <c r="BK322" s="108">
        <f t="shared" ref="BK322" si="840">(H322/C322)*BJ322</f>
        <v>23498.897178177333</v>
      </c>
      <c r="BL322" s="108">
        <f t="shared" ref="BL322" si="841">BJ322-BK322</f>
        <v>2009650.8277848782</v>
      </c>
      <c r="BM322" s="189">
        <f t="shared" ref="BM322" si="842">(BL322/F322*1000)+BG322</f>
        <v>1343.2325700720701</v>
      </c>
      <c r="BN322" s="6">
        <f t="shared" ref="BN322" si="843">ROUND(BM322*F322/1000,0)</f>
        <v>1894691</v>
      </c>
      <c r="BO322" s="175">
        <f t="shared" ref="BO322" si="844">ROUND(BN322/BL322*BK322,0)</f>
        <v>22155</v>
      </c>
      <c r="BP322" s="108">
        <f t="shared" ref="BP322" si="845">(BN322-BL322)+(BO322-BK322)</f>
        <v>-116303.72496305553</v>
      </c>
      <c r="BQ322" s="76">
        <f t="shared" ref="BQ322" si="846">BJ322/D322*1000</f>
        <v>1380.4871511186386</v>
      </c>
      <c r="BR322" s="76">
        <f t="shared" ref="BR322" si="847">(BN322+BO322)/D322*1000</f>
        <v>1301.5181524426305</v>
      </c>
      <c r="BS322" s="76">
        <f t="shared" ref="BS322" si="848">BR322-BR310</f>
        <v>-60.1565281425801</v>
      </c>
      <c r="BT322" s="175">
        <f t="shared" ref="BT322" si="849">(BN322+BO322)</f>
        <v>1916846</v>
      </c>
      <c r="BU322" s="108">
        <f t="shared" ref="BU322" si="850">BT322-BT310</f>
        <v>-100313</v>
      </c>
      <c r="BW322" s="529">
        <f>BT322/[9]RMWh!$L202</f>
        <v>1.0631785101991804</v>
      </c>
      <c r="CK322" s="406">
        <v>39965</v>
      </c>
      <c r="CL322" s="50">
        <f>BP322+COML!BV322+SPA!BV322</f>
        <v>-154545.72496305552</v>
      </c>
      <c r="CM322" s="181">
        <f>'[14]2009'!$D37</f>
        <v>-99834</v>
      </c>
      <c r="CN322" s="407">
        <f t="shared" ref="CN322" si="851">CL322-CM322</f>
        <v>-54711.724963055516</v>
      </c>
      <c r="CO322" s="50">
        <f>'[2]FPC wSEB'!$R419</f>
        <v>4377790</v>
      </c>
      <c r="CP322" s="50">
        <f>'[2]FPC wSEB'!$C419-SUM('[2]FPC wSEB'!$K419:$L419)</f>
        <v>3443926</v>
      </c>
      <c r="CQ322" s="50">
        <f>'[2]FPC wSEB'!$T419-'[2]FPC wSEB'!$T418</f>
        <v>274818</v>
      </c>
      <c r="CR322" s="50">
        <f>SUM('[2]FPC wSEB'!$K419:$L419)</f>
        <v>283417</v>
      </c>
      <c r="CS322" s="50">
        <f>('[2]FPC wSEB'!$N419)-CQ322</f>
        <v>100606</v>
      </c>
      <c r="CT322" s="50">
        <f>'[2]FPC wSEB'!$P419</f>
        <v>10268</v>
      </c>
      <c r="CU322" s="50">
        <f>'[2]FPC wSEB'!$Q419</f>
        <v>264755</v>
      </c>
      <c r="CV322" s="115">
        <f t="shared" ref="CV322" si="852">CO322-SUM(CP322:CU322)</f>
        <v>0</v>
      </c>
      <c r="CW322" s="50">
        <f t="shared" ref="CW322" si="853">CO322-CT322-CU322+CM322</f>
        <v>4002933</v>
      </c>
      <c r="CX322" s="50">
        <f t="shared" ref="CX322" si="854">SUM(CP322:CS322)+CL322</f>
        <v>3948221.2750369445</v>
      </c>
      <c r="CY322" s="50">
        <f t="shared" ref="CY322" si="855">CW322-CX322</f>
        <v>54711.724963055458</v>
      </c>
    </row>
    <row r="323" spans="1:118">
      <c r="A323" s="13">
        <f t="shared" si="491"/>
        <v>2009</v>
      </c>
      <c r="B323" s="13">
        <f t="shared" si="492"/>
        <v>7</v>
      </c>
      <c r="C323" s="5">
        <f>'[2]FPC wSEB'!$D420</f>
        <v>2046571</v>
      </c>
      <c r="D323" s="5">
        <f>'[2]FPC wSEB'!$X420</f>
        <v>1437857</v>
      </c>
      <c r="E323" s="5">
        <f t="shared" ref="E323:E324" si="856">ROUND(C323-H323,0)</f>
        <v>2023373</v>
      </c>
      <c r="F323" s="5">
        <f t="shared" ref="F323" si="857">ROUND(D323-I323,0)</f>
        <v>1376111</v>
      </c>
      <c r="G323" s="74">
        <f t="shared" ref="G323" si="858">ROUND((E323)/F323*1000,1)</f>
        <v>1470.4</v>
      </c>
      <c r="H323" s="190">
        <v>23198</v>
      </c>
      <c r="I323" s="190">
        <v>61746</v>
      </c>
      <c r="J323" s="230">
        <f>'[7]RES 62 &amp; 67'!$S408</f>
        <v>477.6</v>
      </c>
      <c r="K323" s="183">
        <f t="shared" si="301"/>
        <v>454.9</v>
      </c>
      <c r="L323" s="233">
        <f t="shared" ref="L323" si="859">(K323-J323)</f>
        <v>-22.700000000000045</v>
      </c>
      <c r="M323" s="230">
        <f>'[7]RES 62 &amp; 67'!$J408</f>
        <v>0</v>
      </c>
      <c r="N323" s="183">
        <f t="shared" si="302"/>
        <v>0</v>
      </c>
      <c r="O323" s="236">
        <f t="shared" ref="O323" si="860">(N323-M323)</f>
        <v>0</v>
      </c>
      <c r="P323" s="206">
        <f t="shared" ref="P323" si="861">L323*$F$10</f>
        <v>-50.848000000000106</v>
      </c>
      <c r="Q323" s="208">
        <f t="shared" ref="Q323" si="862">IF($B323=12,L323*$F$11,IF($B323&lt;5,L323*$F$11,0))</f>
        <v>0</v>
      </c>
      <c r="R323" s="467">
        <f t="shared" ref="R323" si="863">P323+Q323</f>
        <v>-50.848000000000106</v>
      </c>
      <c r="S323" s="470">
        <f t="shared" ref="S323" si="864">O323*$F$9</f>
        <v>0</v>
      </c>
      <c r="T323" s="425">
        <f t="shared" ref="T323" si="865">ROUND((R323+S323),1)</f>
        <v>-50.8</v>
      </c>
      <c r="U323" s="579">
        <f>[5]RC!$E203</f>
        <v>1439991</v>
      </c>
      <c r="V323" s="447">
        <v>39995</v>
      </c>
      <c r="W323" s="191">
        <f t="shared" ref="W323" si="866">(G323+T323)</f>
        <v>1419.6000000000001</v>
      </c>
      <c r="X323" s="73">
        <f t="shared" ref="X323" si="867">ROUND(W323*F323/1000,0)</f>
        <v>1953527</v>
      </c>
      <c r="Y323" s="187">
        <f t="shared" ref="Y323" si="868">ROUND((X323/C323)*H323,0)</f>
        <v>22143</v>
      </c>
      <c r="Z323" s="175">
        <f t="shared" ref="Z323" si="869">Y323+X323</f>
        <v>1975670</v>
      </c>
      <c r="AA323" s="40">
        <f t="shared" ref="AA323" si="870">Z323-C323</f>
        <v>-70901</v>
      </c>
      <c r="AB323" s="519">
        <f>[9]RMWh!$L203</f>
        <v>1979687</v>
      </c>
      <c r="AC323" s="107">
        <f>'[7]Gov 65 &amp; 70'!$B408</f>
        <v>30.45</v>
      </c>
      <c r="AD323" s="4">
        <f t="shared" si="424"/>
        <v>1977737</v>
      </c>
      <c r="AE323" s="4">
        <f t="shared" ref="AE323" si="871">AD323-AD311</f>
        <v>-27511</v>
      </c>
      <c r="AF323" s="50">
        <f t="shared" ref="AF323" si="872">ROUND((AD323/(D323)*1000),1)</f>
        <v>1375.5</v>
      </c>
      <c r="AG323" s="75">
        <f t="shared" ref="AG323" si="873">AF323-AF311</f>
        <v>-105.40000000000009</v>
      </c>
      <c r="AI323" s="303">
        <f t="shared" ref="AI323" si="874">(H323/I323*1000)/G323</f>
        <v>0.25550901131093168</v>
      </c>
      <c r="AK323" s="418">
        <f t="shared" si="655"/>
        <v>0.19405614748701333</v>
      </c>
      <c r="AU323" s="4">
        <f t="shared" si="494"/>
        <v>2009</v>
      </c>
      <c r="AV323" s="4">
        <f t="shared" si="495"/>
        <v>7</v>
      </c>
      <c r="AW323" s="230">
        <f>'[8]RES 62 &amp; 67'!$S408</f>
        <v>473.2</v>
      </c>
      <c r="AX323" s="200">
        <f t="shared" si="306"/>
        <v>484.1</v>
      </c>
      <c r="AY323" s="203">
        <f t="shared" ref="AY323" si="875">AX323-AW323</f>
        <v>10.900000000000034</v>
      </c>
      <c r="AZ323" s="230">
        <f>'[8]RES 62 &amp; 67'!$J408</f>
        <v>0</v>
      </c>
      <c r="BA323" s="183">
        <f t="shared" si="307"/>
        <v>0</v>
      </c>
      <c r="BB323" s="429">
        <f t="shared" ref="BB323" si="876">BA323-AZ323</f>
        <v>0</v>
      </c>
      <c r="BC323" s="206">
        <f t="shared" ref="BC323" si="877">AY323*$F$10</f>
        <v>24.416000000000079</v>
      </c>
      <c r="BD323" s="206">
        <f t="shared" ref="BD323" si="878">IF($B323=4,($F$11*0.5*AY323),IF($B323=11,($F$11*0.5*AY323),IF($B323=12,AY323*$F$11,IF($B323&lt;5,AY323*$F$11,0))))</f>
        <v>0</v>
      </c>
      <c r="BE323" s="206">
        <f t="shared" ref="BE323" si="879">BC323+BD323</f>
        <v>24.416000000000079</v>
      </c>
      <c r="BF323" s="207">
        <f t="shared" ref="BF323" si="880">BB323*$F$9</f>
        <v>0</v>
      </c>
      <c r="BG323" s="219">
        <f t="shared" ref="BG323" si="881">ROUND(BF323+BE323,1)</f>
        <v>24.4</v>
      </c>
      <c r="BH323" s="4">
        <f t="shared" si="569"/>
        <v>2009</v>
      </c>
      <c r="BI323" s="4">
        <f t="shared" si="570"/>
        <v>7</v>
      </c>
      <c r="BJ323" s="108">
        <f>C323+[4]MWh!$AJ157</f>
        <v>2100174.9687309349</v>
      </c>
      <c r="BK323" s="108">
        <f t="shared" ref="BK323" si="882">(H323/C323)*BJ323</f>
        <v>23805.604068766846</v>
      </c>
      <c r="BL323" s="108">
        <f t="shared" ref="BL323" si="883">BJ323-BK323</f>
        <v>2076369.3646621681</v>
      </c>
      <c r="BM323" s="189">
        <f t="shared" ref="BM323" si="884">(BL323/F323*1000)+BG323</f>
        <v>1533.2676456057457</v>
      </c>
      <c r="BN323" s="6">
        <f t="shared" ref="BN323" si="885">ROUND(BM323*F323/1000,0)</f>
        <v>2109946</v>
      </c>
      <c r="BO323" s="175">
        <f t="shared" ref="BO323" si="886">ROUND(BN323/BL323*BK323,0)</f>
        <v>24191</v>
      </c>
      <c r="BP323" s="108">
        <f t="shared" ref="BP323" si="887">(BN323-BL323)+(BO323-BK323)</f>
        <v>33962.031269065075</v>
      </c>
      <c r="BQ323" s="76">
        <f t="shared" ref="BQ323" si="888">BJ323/D323*1000</f>
        <v>1460.6285386731331</v>
      </c>
      <c r="BR323" s="76">
        <f t="shared" ref="BR323" si="889">(BN323+BO323)/D323*1000</f>
        <v>1484.2484336064017</v>
      </c>
      <c r="BS323" s="76">
        <f t="shared" ref="BS323" si="890">BR323-BR311</f>
        <v>-7.7031548064851449</v>
      </c>
      <c r="BT323" s="175">
        <f t="shared" ref="BT323" si="891">(BN323+BO323)</f>
        <v>2134137</v>
      </c>
      <c r="BU323" s="108">
        <f t="shared" ref="BU323" si="892">BT323-BT311</f>
        <v>113951</v>
      </c>
      <c r="BW323" s="529">
        <f>BT323/[9]RMWh!$L203</f>
        <v>1.0780173835560873</v>
      </c>
      <c r="CK323" s="406">
        <v>39995</v>
      </c>
      <c r="CL323" s="50">
        <f>BP323+COML!BV323+SPA!BV323</f>
        <v>45519.031269065075</v>
      </c>
      <c r="CM323" s="181">
        <f>'[14]2009'!$D38</f>
        <v>96203</v>
      </c>
      <c r="CN323" s="407">
        <f t="shared" ref="CN323" si="893">CL323-CM323</f>
        <v>-50683.968730934925</v>
      </c>
      <c r="CO323" s="50">
        <f>'[2]FPC wSEB'!$R420</f>
        <v>4449989</v>
      </c>
      <c r="CP323" s="50">
        <f>'[2]FPC wSEB'!$C420-SUM('[2]FPC wSEB'!$K420:$L420)</f>
        <v>3783981</v>
      </c>
      <c r="CQ323" s="50">
        <f>'[2]FPC wSEB'!$T420-'[2]FPC wSEB'!$T419</f>
        <v>51823</v>
      </c>
      <c r="CR323" s="50">
        <f>SUM('[2]FPC wSEB'!$K420:$L420)</f>
        <v>380912</v>
      </c>
      <c r="CS323" s="50">
        <f>('[2]FPC wSEB'!$N420)-CQ323</f>
        <v>-16447</v>
      </c>
      <c r="CT323" s="50">
        <f>'[2]FPC wSEB'!$P420</f>
        <v>10729</v>
      </c>
      <c r="CU323" s="50">
        <f>'[2]FPC wSEB'!$Q420</f>
        <v>238991</v>
      </c>
      <c r="CV323" s="115">
        <f t="shared" ref="CV323" si="894">CO323-SUM(CP323:CU323)</f>
        <v>0</v>
      </c>
      <c r="CW323" s="50">
        <f t="shared" ref="CW323" si="895">CO323-CT323-CU323+CM323</f>
        <v>4296472</v>
      </c>
      <c r="CX323" s="50">
        <f t="shared" ref="CX323" si="896">SUM(CP323:CS323)+CL323</f>
        <v>4245788.0312690651</v>
      </c>
      <c r="CY323" s="50">
        <f t="shared" ref="CY323" si="897">CW323-CX323</f>
        <v>50683.968730934896</v>
      </c>
    </row>
    <row r="324" spans="1:118">
      <c r="A324" s="13">
        <f t="shared" si="491"/>
        <v>2009</v>
      </c>
      <c r="B324" s="13">
        <f t="shared" si="492"/>
        <v>8</v>
      </c>
      <c r="C324" s="5">
        <f>'[2]FPC wSEB'!$D421</f>
        <v>1895960</v>
      </c>
      <c r="D324" s="5">
        <f>'[2]FPC wSEB'!$X421</f>
        <v>1364658</v>
      </c>
      <c r="E324" s="5">
        <f t="shared" si="856"/>
        <v>1874720</v>
      </c>
      <c r="F324" s="5">
        <f t="shared" ref="F324" si="898">ROUND(D324-I324,0)</f>
        <v>1305575</v>
      </c>
      <c r="G324" s="74">
        <f t="shared" ref="G324" si="899">ROUND((E324)/F324*1000,1)</f>
        <v>1435.9</v>
      </c>
      <c r="H324" s="190">
        <v>21240</v>
      </c>
      <c r="I324" s="190">
        <v>59083</v>
      </c>
      <c r="J324" s="230">
        <f>'[7]RES 62 &amp; 67'!$S409</f>
        <v>471.2</v>
      </c>
      <c r="K324" s="183">
        <f t="shared" si="301"/>
        <v>481.4</v>
      </c>
      <c r="L324" s="233">
        <f t="shared" ref="L324" si="900">(K324-J324)</f>
        <v>10.199999999999989</v>
      </c>
      <c r="M324" s="230">
        <f>'[7]RES 62 &amp; 67'!$J409</f>
        <v>0</v>
      </c>
      <c r="N324" s="183">
        <f t="shared" si="302"/>
        <v>0</v>
      </c>
      <c r="O324" s="236">
        <f t="shared" ref="O324" si="901">(N324-M324)</f>
        <v>0</v>
      </c>
      <c r="P324" s="206">
        <f t="shared" ref="P324" si="902">L324*$F$10</f>
        <v>22.847999999999978</v>
      </c>
      <c r="Q324" s="208">
        <f t="shared" ref="Q324" si="903">IF($B324=12,L324*$F$11,IF($B324&lt;5,L324*$F$11,0))</f>
        <v>0</v>
      </c>
      <c r="R324" s="467">
        <f t="shared" ref="R324" si="904">P324+Q324</f>
        <v>22.847999999999978</v>
      </c>
      <c r="S324" s="470">
        <f t="shared" ref="S324" si="905">O324*$F$9</f>
        <v>0</v>
      </c>
      <c r="T324" s="425">
        <f t="shared" ref="T324" si="906">ROUND((R324+S324),1)</f>
        <v>22.8</v>
      </c>
      <c r="U324" s="579">
        <f>[5]RC!$E204</f>
        <v>1439775</v>
      </c>
      <c r="V324" s="447">
        <v>40026</v>
      </c>
      <c r="W324" s="191">
        <f t="shared" ref="W324" si="907">(G324+T324)</f>
        <v>1458.7</v>
      </c>
      <c r="X324" s="73">
        <f t="shared" ref="X324" si="908">ROUND(W324*F324/1000,0)</f>
        <v>1904442</v>
      </c>
      <c r="Y324" s="187">
        <f t="shared" ref="Y324" si="909">ROUND((X324/C324)*H324,0)</f>
        <v>21335</v>
      </c>
      <c r="Z324" s="175">
        <f t="shared" ref="Z324" si="910">Y324+X324</f>
        <v>1925777</v>
      </c>
      <c r="AA324" s="40">
        <f t="shared" ref="AA324" si="911">Z324-C324</f>
        <v>29817</v>
      </c>
      <c r="AB324" s="519">
        <f>[9]RMWh!$L204</f>
        <v>2041015</v>
      </c>
      <c r="AC324" s="107">
        <f>'[7]Gov 65 &amp; 70'!$B409</f>
        <v>29.75</v>
      </c>
      <c r="AD324" s="4">
        <f t="shared" si="424"/>
        <v>2086981</v>
      </c>
      <c r="AE324" s="4">
        <f t="shared" ref="AE324" si="912">AD324-AD312</f>
        <v>69892</v>
      </c>
      <c r="AF324" s="50">
        <f t="shared" ref="AF324" si="913">ROUND((AD324/(D324)*1000),1)</f>
        <v>1529.3</v>
      </c>
      <c r="AG324" s="75">
        <f t="shared" ref="AG324" si="914">AF324-AF312</f>
        <v>144.20000000000005</v>
      </c>
      <c r="AI324" s="303">
        <f t="shared" ref="AI324" si="915">(H324/I324*1000)/G324</f>
        <v>0.2503616343558927</v>
      </c>
      <c r="AK324" s="418">
        <f t="shared" si="655"/>
        <v>0.19298385828920611</v>
      </c>
      <c r="AU324" s="4">
        <f t="shared" si="494"/>
        <v>2009</v>
      </c>
      <c r="AV324" s="4">
        <f t="shared" si="495"/>
        <v>8</v>
      </c>
      <c r="AW324" s="230">
        <f>'[8]RES 62 &amp; 67'!$S409</f>
        <v>495.7</v>
      </c>
      <c r="AX324" s="200">
        <f t="shared" si="306"/>
        <v>487.3</v>
      </c>
      <c r="AY324" s="203">
        <f t="shared" ref="AY324" si="916">AX324-AW324</f>
        <v>-8.3999999999999773</v>
      </c>
      <c r="AZ324" s="230">
        <f>'[8]RES 62 &amp; 67'!$J409</f>
        <v>0</v>
      </c>
      <c r="BA324" s="183">
        <f t="shared" si="307"/>
        <v>0</v>
      </c>
      <c r="BB324" s="429">
        <f t="shared" ref="BB324" si="917">BA324-AZ324</f>
        <v>0</v>
      </c>
      <c r="BC324" s="206">
        <f t="shared" ref="BC324" si="918">AY324*$F$10</f>
        <v>-18.815999999999949</v>
      </c>
      <c r="BD324" s="206">
        <f t="shared" ref="BD324" si="919">IF($B324=4,($F$11*0.5*AY324),IF($B324=11,($F$11*0.5*AY324),IF($B324=12,AY324*$F$11,IF($B324&lt;5,AY324*$F$11,0))))</f>
        <v>0</v>
      </c>
      <c r="BE324" s="206">
        <f t="shared" ref="BE324" si="920">BC324+BD324</f>
        <v>-18.815999999999949</v>
      </c>
      <c r="BF324" s="207">
        <f t="shared" ref="BF324" si="921">BB324*$F$9</f>
        <v>0</v>
      </c>
      <c r="BG324" s="219">
        <f t="shared" ref="BG324" si="922">ROUND(BF324+BE324,1)</f>
        <v>-18.8</v>
      </c>
      <c r="BH324" s="4">
        <f t="shared" si="569"/>
        <v>2009</v>
      </c>
      <c r="BI324" s="4">
        <f t="shared" si="570"/>
        <v>8</v>
      </c>
      <c r="BJ324" s="108">
        <f>C324+[4]MWh!$AJ158</f>
        <v>2001126.4679346241</v>
      </c>
      <c r="BK324" s="108">
        <f t="shared" ref="BK324" si="923">(H324/C324)*BJ324</f>
        <v>22418.155540692536</v>
      </c>
      <c r="BL324" s="108">
        <f t="shared" ref="BL324" si="924">BJ324-BK324</f>
        <v>1978708.3123939314</v>
      </c>
      <c r="BM324" s="189">
        <f t="shared" ref="BM324" si="925">(BL324/F324*1000)+BG324</f>
        <v>1496.7837944154348</v>
      </c>
      <c r="BN324" s="6">
        <f t="shared" ref="BN324" si="926">ROUND(BM324*F324/1000,0)</f>
        <v>1954164</v>
      </c>
      <c r="BO324" s="175">
        <f t="shared" ref="BO324" si="927">ROUND(BN324/BL324*BK324,0)</f>
        <v>22140</v>
      </c>
      <c r="BP324" s="108">
        <f t="shared" ref="BP324" si="928">(BN324-BL324)+(BO324-BK324)</f>
        <v>-24822.467934623975</v>
      </c>
      <c r="BQ324" s="76">
        <f t="shared" ref="BQ324" si="929">BJ324/D324*1000</f>
        <v>1466.3941206768466</v>
      </c>
      <c r="BR324" s="76">
        <f t="shared" ref="BR324" si="930">(BN324+BO324)/D324*1000</f>
        <v>1448.2046051098516</v>
      </c>
      <c r="BS324" s="76">
        <f t="shared" ref="BS324" si="931">BR324-BR312</f>
        <v>-4.1650821753412401</v>
      </c>
      <c r="BT324" s="175">
        <f t="shared" ref="BT324" si="932">(BN324+BO324)</f>
        <v>1976304</v>
      </c>
      <c r="BU324" s="108">
        <f t="shared" ref="BU324" si="933">BT324-BT312</f>
        <v>-138705</v>
      </c>
      <c r="BW324" s="529">
        <f>BT324/[9]RMWh!$L204</f>
        <v>0.96829469651129463</v>
      </c>
      <c r="CK324" s="406">
        <v>40026</v>
      </c>
      <c r="CL324" s="50">
        <f>BP324+COML!BV324+SPA!BV324</f>
        <v>-33766.467934623972</v>
      </c>
      <c r="CM324" s="181">
        <f>'[14]2009'!$D39</f>
        <v>-15947</v>
      </c>
      <c r="CN324" s="407">
        <f t="shared" ref="CN324" si="934">CL324-CM324</f>
        <v>-17819.467934623972</v>
      </c>
      <c r="CO324" s="50">
        <f>'[2]FPC wSEB'!$R421</f>
        <v>4497958</v>
      </c>
      <c r="CP324" s="50">
        <f>'[2]FPC wSEB'!$C421-SUM('[2]FPC wSEB'!$K421:$L421)</f>
        <v>3552088</v>
      </c>
      <c r="CQ324" s="50">
        <f>'[2]FPC wSEB'!$T421-'[2]FPC wSEB'!$T420</f>
        <v>225939</v>
      </c>
      <c r="CR324" s="50">
        <f>SUM('[2]FPC wSEB'!$K421:$L421)</f>
        <v>365202</v>
      </c>
      <c r="CS324" s="50">
        <f>('[2]FPC wSEB'!$N421)-CQ324</f>
        <v>6848</v>
      </c>
      <c r="CT324" s="50">
        <f>'[2]FPC wSEB'!$P421</f>
        <v>11962</v>
      </c>
      <c r="CU324" s="50">
        <f>'[2]FPC wSEB'!$Q421</f>
        <v>335919</v>
      </c>
      <c r="CV324" s="115">
        <f t="shared" ref="CV324" si="935">CO324-SUM(CP324:CU324)</f>
        <v>0</v>
      </c>
      <c r="CW324" s="50">
        <f t="shared" ref="CW324" si="936">CO324-CT324-CU324+CM324</f>
        <v>4134130</v>
      </c>
      <c r="CX324" s="50">
        <f t="shared" ref="CX324" si="937">SUM(CP324:CS324)+CL324</f>
        <v>4116310.5320653762</v>
      </c>
      <c r="CY324" s="50">
        <f t="shared" ref="CY324" si="938">CW324-CX324</f>
        <v>17819.467934623826</v>
      </c>
      <c r="DC324" s="170" t="s">
        <v>4</v>
      </c>
      <c r="DD324" s="171" t="s">
        <v>4</v>
      </c>
      <c r="DE324" s="171" t="s">
        <v>4</v>
      </c>
      <c r="DF324" s="171"/>
    </row>
    <row r="325" spans="1:118" ht="12.75">
      <c r="A325" s="13">
        <f t="shared" si="491"/>
        <v>2009</v>
      </c>
      <c r="B325" s="13">
        <f t="shared" si="492"/>
        <v>9</v>
      </c>
      <c r="C325" s="5">
        <f>'[2]FPC wSEB'!$D422</f>
        <v>1962189</v>
      </c>
      <c r="D325" s="5">
        <f>'[2]FPC wSEB'!$X422</f>
        <v>1423116</v>
      </c>
      <c r="E325" s="5">
        <f t="shared" ref="E325" si="939">ROUND(C325-H325,0)</f>
        <v>1940975</v>
      </c>
      <c r="F325" s="5">
        <f t="shared" ref="F325" si="940">ROUND(D325-I325,0)</f>
        <v>1364167</v>
      </c>
      <c r="G325" s="74">
        <f t="shared" ref="G325" si="941">ROUND((E325)/F325*1000,1)</f>
        <v>1422.8</v>
      </c>
      <c r="H325" s="190">
        <v>21214</v>
      </c>
      <c r="I325" s="190">
        <v>58949</v>
      </c>
      <c r="J325" s="230">
        <f>'[7]RES 62 &amp; 67'!$S410</f>
        <v>459.2</v>
      </c>
      <c r="K325" s="183">
        <f t="shared" si="301"/>
        <v>473.7</v>
      </c>
      <c r="L325" s="233">
        <f t="shared" ref="L325" si="942">(K325-J325)</f>
        <v>14.5</v>
      </c>
      <c r="M325" s="230">
        <f>'[7]RES 62 &amp; 67'!$J410</f>
        <v>0</v>
      </c>
      <c r="N325" s="183">
        <f t="shared" si="302"/>
        <v>0</v>
      </c>
      <c r="O325" s="236">
        <f t="shared" ref="O325" si="943">(N325-M325)</f>
        <v>0</v>
      </c>
      <c r="P325" s="206">
        <f t="shared" ref="P325" si="944">L325*$F$10</f>
        <v>32.480000000000004</v>
      </c>
      <c r="Q325" s="208">
        <f t="shared" ref="Q325" si="945">IF($B325=12,L325*$F$11,IF($B325&lt;5,L325*$F$11,0))</f>
        <v>0</v>
      </c>
      <c r="R325" s="467">
        <f t="shared" ref="R325" si="946">P325+Q325</f>
        <v>32.480000000000004</v>
      </c>
      <c r="S325" s="470">
        <f t="shared" ref="S325" si="947">O325*$F$9</f>
        <v>0</v>
      </c>
      <c r="T325" s="425">
        <f t="shared" ref="T325" si="948">ROUND((R325+S325),1)</f>
        <v>32.5</v>
      </c>
      <c r="U325" s="579">
        <f>[5]RC!$E205</f>
        <v>1437863</v>
      </c>
      <c r="V325" s="447">
        <v>40057</v>
      </c>
      <c r="W325" s="191">
        <f t="shared" ref="W325" si="949">(G325+T325)</f>
        <v>1455.3</v>
      </c>
      <c r="X325" s="73">
        <f t="shared" ref="X325" si="950">ROUND(W325*F325/1000,0)</f>
        <v>1985272</v>
      </c>
      <c r="Y325" s="187">
        <f t="shared" ref="Y325" si="951">ROUND((X325/C325)*H325,0)</f>
        <v>21464</v>
      </c>
      <c r="Z325" s="175">
        <f t="shared" ref="Z325" si="952">Y325+X325</f>
        <v>2006736</v>
      </c>
      <c r="AA325" s="40">
        <f t="shared" ref="AA325" si="953">Z325-C325</f>
        <v>44547</v>
      </c>
      <c r="AB325" s="519">
        <f>[9]RMWh!$L205</f>
        <v>2020555</v>
      </c>
      <c r="AC325" s="107">
        <f>'[7]Gov 65 &amp; 70'!$B410</f>
        <v>30.2</v>
      </c>
      <c r="AD325" s="4">
        <f t="shared" si="424"/>
        <v>2035274</v>
      </c>
      <c r="AE325" s="4">
        <f t="shared" ref="AE325" si="954">AD325-AD313</f>
        <v>50946</v>
      </c>
      <c r="AF325" s="50">
        <f t="shared" ref="AF325" si="955">ROUND((AD325/(D325)*1000),1)</f>
        <v>1430.2</v>
      </c>
      <c r="AG325" s="75">
        <f t="shared" ref="AG325" si="956">AF325-AF313</f>
        <v>128.10000000000014</v>
      </c>
      <c r="AI325" s="303">
        <f t="shared" ref="AI325" si="957">(H325/I325*1000)/G325</f>
        <v>0.25293111923276929</v>
      </c>
      <c r="AK325" s="418">
        <f t="shared" si="655"/>
        <v>0.19736320552922501</v>
      </c>
      <c r="AU325" s="4">
        <f t="shared" si="494"/>
        <v>2009</v>
      </c>
      <c r="AV325" s="4">
        <f t="shared" si="495"/>
        <v>9</v>
      </c>
      <c r="AW325" s="230">
        <f>'[8]RES 62 &amp; 67'!$S410</f>
        <v>433.6</v>
      </c>
      <c r="AX325" s="200">
        <f t="shared" si="306"/>
        <v>428.3</v>
      </c>
      <c r="AY325" s="203">
        <f t="shared" ref="AY325" si="958">AX325-AW325</f>
        <v>-5.3000000000000114</v>
      </c>
      <c r="AZ325" s="230">
        <f>'[8]RES 62 &amp; 67'!$J410</f>
        <v>0.3</v>
      </c>
      <c r="BA325" s="183">
        <f t="shared" si="307"/>
        <v>0</v>
      </c>
      <c r="BB325" s="429">
        <f t="shared" ref="BB325" si="959">BA325-AZ325</f>
        <v>-0.3</v>
      </c>
      <c r="BC325" s="206">
        <f t="shared" ref="BC325" si="960">AY325*$F$10</f>
        <v>-11.872000000000027</v>
      </c>
      <c r="BD325" s="206">
        <f t="shared" ref="BD325" si="961">IF($B325=4,($F$11*0.5*AY325),IF($B325=11,($F$11*0.5*AY325),IF($B325=12,AY325*$F$11,IF($B325&lt;5,AY325*$F$11,0))))</f>
        <v>0</v>
      </c>
      <c r="BE325" s="206">
        <f t="shared" ref="BE325" si="962">BC325+BD325</f>
        <v>-11.872000000000027</v>
      </c>
      <c r="BF325" s="207">
        <f t="shared" ref="BF325" si="963">BB325*$F$9</f>
        <v>-0.92369999999999997</v>
      </c>
      <c r="BG325" s="219">
        <f t="shared" ref="BG325" si="964">ROUND(BF325+BE325,1)</f>
        <v>-12.8</v>
      </c>
      <c r="BH325" s="4">
        <f t="shared" si="569"/>
        <v>2009</v>
      </c>
      <c r="BI325" s="4">
        <f t="shared" si="570"/>
        <v>9</v>
      </c>
      <c r="BJ325" s="108">
        <f>C325+[4]MWh!$AJ159</f>
        <v>1831520.7149212761</v>
      </c>
      <c r="BK325" s="108">
        <f t="shared" ref="BK325" si="965">(H325/C325)*BJ325</f>
        <v>19801.293578926368</v>
      </c>
      <c r="BL325" s="108">
        <f t="shared" ref="BL325" si="966">BJ325-BK325</f>
        <v>1811719.4213423496</v>
      </c>
      <c r="BM325" s="189">
        <f t="shared" ref="BM325" si="967">(BL325/F325*1000)+BG325</f>
        <v>1315.2774431153589</v>
      </c>
      <c r="BN325" s="6">
        <f t="shared" ref="BN325" si="968">ROUND(BM325*F325/1000,0)</f>
        <v>1794258</v>
      </c>
      <c r="BO325" s="175">
        <f t="shared" ref="BO325" si="969">ROUND(BN325/BL325*BK325,0)</f>
        <v>19610</v>
      </c>
      <c r="BP325" s="108">
        <f t="shared" ref="BP325" si="970">(BN325-BL325)+(BO325-BK325)</f>
        <v>-17652.71492127598</v>
      </c>
      <c r="BQ325" s="76">
        <f t="shared" ref="BQ325" si="971">BJ325/D325*1000</f>
        <v>1286.9792166775417</v>
      </c>
      <c r="BR325" s="76">
        <f t="shared" ref="BR325" si="972">(BN325+BO325)/D325*1000</f>
        <v>1274.5749468068661</v>
      </c>
      <c r="BS325" s="76">
        <f t="shared" ref="BS325" si="973">BR325-BR313</f>
        <v>-59.150123436745616</v>
      </c>
      <c r="BT325" s="175">
        <f t="shared" ref="BT325" si="974">(BN325+BO325)</f>
        <v>1813868</v>
      </c>
      <c r="BU325" s="108">
        <f t="shared" ref="BU325" si="975">BT325-BT313</f>
        <v>-218705</v>
      </c>
      <c r="BW325" s="529">
        <f>BT325/[9]RMWh!$L205</f>
        <v>0.89770780800324668</v>
      </c>
      <c r="CK325" s="406">
        <v>40057</v>
      </c>
      <c r="CL325" s="50">
        <f>BP325+COML!BV325+SPA!BV325</f>
        <v>-23275.71492127598</v>
      </c>
      <c r="CM325" s="181">
        <f>'[14]2009'!$D40</f>
        <v>-18723</v>
      </c>
      <c r="CN325" s="407">
        <f t="shared" ref="CN325" si="976">CL325-CM325</f>
        <v>-4552.7149212759796</v>
      </c>
      <c r="CO325" s="50">
        <f>'[2]FPC wSEB'!$R422</f>
        <v>4028758</v>
      </c>
      <c r="CP325" s="50">
        <f>'[2]FPC wSEB'!$C422-SUM('[2]FPC wSEB'!$K422:$L422)</f>
        <v>3708830</v>
      </c>
      <c r="CQ325" s="50">
        <f>'[2]FPC wSEB'!$T422-'[2]FPC wSEB'!$T421</f>
        <v>-225644</v>
      </c>
      <c r="CR325" s="50">
        <f>SUM('[2]FPC wSEB'!$K422:$L422)</f>
        <v>372082</v>
      </c>
      <c r="CS325" s="50">
        <f>('[2]FPC wSEB'!$N422)-CQ325</f>
        <v>-117987</v>
      </c>
      <c r="CT325" s="50">
        <f>'[2]FPC wSEB'!$P422</f>
        <v>14108</v>
      </c>
      <c r="CU325" s="50">
        <f>'[2]FPC wSEB'!$Q422</f>
        <v>277369</v>
      </c>
      <c r="CV325" s="115">
        <f t="shared" ref="CV325" si="977">CO325-SUM(CP325:CU325)</f>
        <v>0</v>
      </c>
      <c r="CW325" s="50">
        <f t="shared" ref="CW325" si="978">CO325-CT325-CU325+CM325</f>
        <v>3718558</v>
      </c>
      <c r="CX325" s="50">
        <f t="shared" ref="CX325" si="979">SUM(CP325:CS325)+CL325</f>
        <v>3714005.2850787239</v>
      </c>
      <c r="CY325" s="50">
        <f t="shared" ref="CY325" si="980">CW325-CX325</f>
        <v>4552.7149212760851</v>
      </c>
      <c r="DB325" s="4"/>
      <c r="DC325" s="170" t="s">
        <v>161</v>
      </c>
      <c r="DD325" s="171" t="s">
        <v>161</v>
      </c>
      <c r="DE325" s="205" t="s">
        <v>166</v>
      </c>
      <c r="DF325" s="171" t="s">
        <v>168</v>
      </c>
      <c r="DG325" s="374" t="s">
        <v>292</v>
      </c>
      <c r="DH325" s="491" t="s">
        <v>294</v>
      </c>
    </row>
    <row r="326" spans="1:118" ht="12.75">
      <c r="A326" s="13">
        <f t="shared" si="491"/>
        <v>2009</v>
      </c>
      <c r="B326" s="13">
        <f t="shared" si="492"/>
        <v>10</v>
      </c>
      <c r="C326" s="5">
        <f>'[2]FPC wSEB'!$D423</f>
        <v>1831805</v>
      </c>
      <c r="D326" s="5">
        <f>'[2]FPC wSEB'!$X423</f>
        <v>1388677</v>
      </c>
      <c r="E326" s="5">
        <f t="shared" ref="E326" si="981">ROUND(C326-H326,0)</f>
        <v>1809823</v>
      </c>
      <c r="F326" s="5">
        <f t="shared" ref="F326" si="982">ROUND(D326-I326,0)</f>
        <v>1331242</v>
      </c>
      <c r="G326" s="74">
        <f t="shared" ref="G326" si="983">ROUND((E326)/F326*1000,1)</f>
        <v>1359.5</v>
      </c>
      <c r="H326" s="190">
        <v>21982</v>
      </c>
      <c r="I326" s="190">
        <v>57435</v>
      </c>
      <c r="J326" s="230">
        <f>'[7]RES 62 &amp; 67'!$S411</f>
        <v>423.2</v>
      </c>
      <c r="K326" s="183">
        <f t="shared" si="301"/>
        <v>373.2</v>
      </c>
      <c r="L326" s="233">
        <f t="shared" ref="L326" si="984">(K326-J326)</f>
        <v>-50</v>
      </c>
      <c r="M326" s="230">
        <f>'[7]RES 62 &amp; 67'!$J411</f>
        <v>2.6</v>
      </c>
      <c r="N326" s="183">
        <f t="shared" si="302"/>
        <v>1.3</v>
      </c>
      <c r="O326" s="236">
        <f t="shared" ref="O326" si="985">(N326-M326)</f>
        <v>-1.3</v>
      </c>
      <c r="P326" s="206">
        <f t="shared" ref="P326" si="986">L326*$F$10</f>
        <v>-112.00000000000001</v>
      </c>
      <c r="Q326" s="208">
        <f t="shared" ref="Q326" si="987">IF($B326=12,L326*$F$11,IF($B326&lt;5,L326*$F$11,0))</f>
        <v>0</v>
      </c>
      <c r="R326" s="467">
        <f t="shared" ref="R326" si="988">P326+Q326</f>
        <v>-112.00000000000001</v>
      </c>
      <c r="S326" s="470">
        <f t="shared" ref="S326" si="989">O326*$F$9</f>
        <v>-4.0027000000000008</v>
      </c>
      <c r="T326" s="425">
        <f t="shared" ref="T326" si="990">ROUND((R326+S326),1)</f>
        <v>-116</v>
      </c>
      <c r="U326" s="579">
        <f>[5]RC!$E206</f>
        <v>1436780</v>
      </c>
      <c r="V326" s="447">
        <v>40087</v>
      </c>
      <c r="W326" s="191">
        <f t="shared" ref="W326" si="991">(G326+T326)</f>
        <v>1243.5</v>
      </c>
      <c r="X326" s="73">
        <f t="shared" ref="X326" si="992">ROUND(W326*F326/1000,0)</f>
        <v>1655399</v>
      </c>
      <c r="Y326" s="187">
        <f t="shared" ref="Y326" si="993">ROUND((X326/C326)*H326,0)</f>
        <v>19865</v>
      </c>
      <c r="Z326" s="175">
        <f t="shared" ref="Z326" si="994">Y326+X326</f>
        <v>1675264</v>
      </c>
      <c r="AA326" s="40">
        <f t="shared" ref="AA326" si="995">Z326-C326</f>
        <v>-156541</v>
      </c>
      <c r="AB326" s="519">
        <f>[9]RMWh!$L206</f>
        <v>1724923</v>
      </c>
      <c r="AC326" s="107">
        <f>'[7]Gov 65 &amp; 70'!$B411</f>
        <v>30</v>
      </c>
      <c r="AD326" s="4">
        <f t="shared" si="424"/>
        <v>1749072</v>
      </c>
      <c r="AE326" s="4">
        <f t="shared" ref="AE326" si="996">AD326-AD314</f>
        <v>-43456</v>
      </c>
      <c r="AF326" s="50">
        <f t="shared" ref="AF326" si="997">ROUND((AD326/(D326)*1000),1)</f>
        <v>1259.5</v>
      </c>
      <c r="AG326" s="75">
        <f t="shared" ref="AG326" si="998">AF326-AF314</f>
        <v>-37.400000000000091</v>
      </c>
      <c r="AI326" s="303">
        <f t="shared" ref="AI326" si="999">(H326/I326*1000)/G326</f>
        <v>0.28152136929627314</v>
      </c>
      <c r="AK326" s="418">
        <f t="shared" si="655"/>
        <v>0.22280440201718074</v>
      </c>
      <c r="AU326" s="4">
        <f t="shared" si="494"/>
        <v>2009</v>
      </c>
      <c r="AV326" s="4">
        <f t="shared" si="495"/>
        <v>10</v>
      </c>
      <c r="AW326" s="230">
        <f>'[8]RES 62 &amp; 67'!$S411</f>
        <v>346.2</v>
      </c>
      <c r="AX326" s="200">
        <f t="shared" si="306"/>
        <v>277.60000000000002</v>
      </c>
      <c r="AY326" s="203">
        <f t="shared" ref="AY326" si="1000">AX326-AW326</f>
        <v>-68.599999999999966</v>
      </c>
      <c r="AZ326" s="230">
        <f>'[8]RES 62 &amp; 67'!$J411</f>
        <v>11.6</v>
      </c>
      <c r="BA326" s="183">
        <f t="shared" si="307"/>
        <v>8.5</v>
      </c>
      <c r="BB326" s="429">
        <f t="shared" ref="BB326" si="1001">BA326-AZ326</f>
        <v>-3.0999999999999996</v>
      </c>
      <c r="BC326" s="206">
        <f t="shared" ref="BC326" si="1002">AY326*$F$10</f>
        <v>-153.66399999999993</v>
      </c>
      <c r="BD326" s="206">
        <f t="shared" ref="BD326" si="1003">IF($B326=4,($F$11*0.5*AY326),IF($B326=11,($F$11*0.5*AY326),IF($B326=12,AY326*$F$11,IF($B326&lt;5,AY326*$F$11,0))))</f>
        <v>0</v>
      </c>
      <c r="BE326" s="206">
        <f t="shared" ref="BE326" si="1004">BC326+BD326</f>
        <v>-153.66399999999993</v>
      </c>
      <c r="BF326" s="207">
        <f t="shared" ref="BF326" si="1005">BB326*$F$9</f>
        <v>-9.5449000000000002</v>
      </c>
      <c r="BG326" s="219">
        <f t="shared" ref="BG326" si="1006">ROUND(BF326+BE326,1)</f>
        <v>-163.19999999999999</v>
      </c>
      <c r="BH326" s="4">
        <f t="shared" si="569"/>
        <v>2009</v>
      </c>
      <c r="BI326" s="4">
        <f t="shared" si="570"/>
        <v>10</v>
      </c>
      <c r="BJ326" s="108">
        <f>C326+[4]MWh!$AJ160</f>
        <v>1757360.6348171663</v>
      </c>
      <c r="BK326" s="108">
        <f t="shared" ref="BK326" si="1007">(H326/C326)*BJ326</f>
        <v>21088.653800241264</v>
      </c>
      <c r="BL326" s="108">
        <f t="shared" ref="BL326" si="1008">BJ326-BK326</f>
        <v>1736271.9810169251</v>
      </c>
      <c r="BM326" s="189">
        <f t="shared" ref="BM326" si="1009">(BL326/F326*1000)+BG326</f>
        <v>1141.0497014193702</v>
      </c>
      <c r="BN326" s="6">
        <f t="shared" ref="BN326" si="1010">ROUND(BM326*F326/1000,0)</f>
        <v>1519013</v>
      </c>
      <c r="BO326" s="175">
        <f t="shared" ref="BO326" si="1011">ROUND(BN326/BL326*BK326,0)</f>
        <v>18450</v>
      </c>
      <c r="BP326" s="108">
        <f t="shared" ref="BP326" si="1012">(BN326-BL326)+(BO326-BK326)</f>
        <v>-219897.63481716634</v>
      </c>
      <c r="BQ326" s="76">
        <f t="shared" ref="BQ326" si="1013">BJ326/D326*1000</f>
        <v>1265.4927206378202</v>
      </c>
      <c r="BR326" s="76">
        <f t="shared" ref="BR326" si="1014">(BN326+BO326)/D326*1000</f>
        <v>1107.1422656240436</v>
      </c>
      <c r="BS326" s="76">
        <f t="shared" ref="BS326" si="1015">BR326-BR314</f>
        <v>75.994416258924048</v>
      </c>
      <c r="BT326" s="175">
        <f t="shared" ref="BT326" si="1016">(BN326+BO326)</f>
        <v>1537463</v>
      </c>
      <c r="BU326" s="108">
        <f t="shared" ref="BU326" si="1017">BT326-BT314</f>
        <v>112262</v>
      </c>
      <c r="BW326" s="529">
        <f>BT326/[9]RMWh!$L206</f>
        <v>0.89132268512855362</v>
      </c>
      <c r="CK326" s="406">
        <v>40087</v>
      </c>
      <c r="CL326" s="50">
        <f>BP326+COML!BV326+SPA!BV326</f>
        <v>-292161.63481716637</v>
      </c>
      <c r="CM326" s="181">
        <f>'[14]2009'!$D41</f>
        <v>-308845</v>
      </c>
      <c r="CN326" s="407">
        <f t="shared" ref="CN326" si="1018">CL326-CM326</f>
        <v>16683.36518283363</v>
      </c>
      <c r="CO326" s="50">
        <f>'[2]FPC wSEB'!$R423</f>
        <v>3819361</v>
      </c>
      <c r="CP326" s="50">
        <f>'[2]FPC wSEB'!$C423-SUM('[2]FPC wSEB'!$K423:$L423)</f>
        <v>3440442</v>
      </c>
      <c r="CQ326" s="50">
        <f>'[2]FPC wSEB'!$T423-'[2]FPC wSEB'!$T422</f>
        <v>-153610</v>
      </c>
      <c r="CR326" s="50">
        <f>SUM('[2]FPC wSEB'!$K423:$L423)</f>
        <v>248218</v>
      </c>
      <c r="CS326" s="50">
        <f>('[2]FPC wSEB'!$N423)-CQ326</f>
        <v>51941</v>
      </c>
      <c r="CT326" s="50">
        <f>'[2]FPC wSEB'!$P423</f>
        <v>12320</v>
      </c>
      <c r="CU326" s="50">
        <f>'[2]FPC wSEB'!$Q423</f>
        <v>220050</v>
      </c>
      <c r="CV326" s="115">
        <f t="shared" ref="CV326" si="1019">CO326-SUM(CP326:CU326)</f>
        <v>0</v>
      </c>
      <c r="CW326" s="50">
        <f t="shared" ref="CW326" si="1020">CO326-CT326-CU326+CM326</f>
        <v>3278146</v>
      </c>
      <c r="CX326" s="50">
        <f t="shared" ref="CX326" si="1021">SUM(CP326:CS326)+CL326</f>
        <v>3294829.3651828337</v>
      </c>
      <c r="CY326" s="50">
        <f t="shared" ref="CY326" si="1022">CW326-CX326</f>
        <v>-16683.365182833746</v>
      </c>
      <c r="DB326" s="505" t="s">
        <v>290</v>
      </c>
      <c r="DC326" s="170" t="s">
        <v>25</v>
      </c>
      <c r="DD326" s="171" t="s">
        <v>25</v>
      </c>
      <c r="DE326" s="171" t="s">
        <v>25</v>
      </c>
      <c r="DF326" s="205" t="s">
        <v>169</v>
      </c>
      <c r="DG326" s="356" t="s">
        <v>293</v>
      </c>
      <c r="DH326" s="492" t="s">
        <v>295</v>
      </c>
      <c r="DK326" s="23"/>
      <c r="DL326" s="23"/>
      <c r="DM326" s="23"/>
      <c r="DN326" s="23"/>
    </row>
    <row r="327" spans="1:118" ht="12.75">
      <c r="A327" s="13">
        <f t="shared" si="491"/>
        <v>2009</v>
      </c>
      <c r="B327" s="13">
        <f t="shared" si="492"/>
        <v>11</v>
      </c>
      <c r="C327" s="5">
        <f>'[2]FPC wSEB'!$D424</f>
        <v>1620816</v>
      </c>
      <c r="D327" s="5">
        <f>'[2]FPC wSEB'!$X424</f>
        <v>1598157</v>
      </c>
      <c r="E327" s="5">
        <f t="shared" ref="E327" si="1023">ROUND(C327-H327,0)</f>
        <v>1594700</v>
      </c>
      <c r="F327" s="5">
        <f t="shared" ref="F327" si="1024">ROUND(D327-I327,0)</f>
        <v>1529197</v>
      </c>
      <c r="G327" s="74">
        <f t="shared" ref="G327" si="1025">ROUND((E327)/F327*1000,1)</f>
        <v>1042.8</v>
      </c>
      <c r="H327" s="190">
        <v>26116</v>
      </c>
      <c r="I327" s="190">
        <v>68960</v>
      </c>
      <c r="J327" s="230">
        <f>'[7]RES 62 &amp; 67'!$S412</f>
        <v>264.8</v>
      </c>
      <c r="K327" s="183">
        <f t="shared" si="301"/>
        <v>204.3</v>
      </c>
      <c r="L327" s="233">
        <f t="shared" ref="L327" si="1026">(K327-J327)</f>
        <v>-60.5</v>
      </c>
      <c r="M327" s="230">
        <f>'[7]RES 62 &amp; 67'!$J412</f>
        <v>14.6</v>
      </c>
      <c r="N327" s="183">
        <f t="shared" si="302"/>
        <v>24.1</v>
      </c>
      <c r="O327" s="236">
        <f t="shared" ref="O327" si="1027">(N327-M327)</f>
        <v>9.5000000000000018</v>
      </c>
      <c r="P327" s="206">
        <f t="shared" ref="P327" si="1028">L327*$F$10</f>
        <v>-135.52000000000001</v>
      </c>
      <c r="Q327" s="208">
        <f t="shared" ref="Q327" si="1029">IF($B327=12,L327*$F$11,IF($B327&lt;5,L327*$F$11,0))</f>
        <v>0</v>
      </c>
      <c r="R327" s="467">
        <f t="shared" ref="R327" si="1030">P327+Q327</f>
        <v>-135.52000000000001</v>
      </c>
      <c r="S327" s="470">
        <f t="shared" ref="S327" si="1031">O327*$F$9</f>
        <v>29.250500000000006</v>
      </c>
      <c r="T327" s="425">
        <f t="shared" ref="T327" si="1032">ROUND((R327+S327),1)</f>
        <v>-106.3</v>
      </c>
      <c r="U327" s="579">
        <f>[5]RC!$E207</f>
        <v>1438125</v>
      </c>
      <c r="V327" s="447">
        <v>40118</v>
      </c>
      <c r="W327" s="191">
        <f t="shared" ref="W327" si="1033">(G327+T327)</f>
        <v>936.5</v>
      </c>
      <c r="X327" s="73">
        <f t="shared" ref="X327" si="1034">ROUND(W327*F327/1000,0)</f>
        <v>1432093</v>
      </c>
      <c r="Y327" s="187">
        <f t="shared" ref="Y327" si="1035">ROUND((X327/C327)*H327,0)</f>
        <v>23075</v>
      </c>
      <c r="Z327" s="175">
        <f t="shared" ref="Z327" si="1036">Y327+X327</f>
        <v>1455168</v>
      </c>
      <c r="AA327" s="40">
        <f t="shared" ref="AA327" si="1037">Z327-C327</f>
        <v>-165648</v>
      </c>
      <c r="AB327" s="519">
        <f>[9]RMWh!$L207</f>
        <v>1337712</v>
      </c>
      <c r="AC327" s="107">
        <f>'[7]Gov 65 &amp; 70'!$B412</f>
        <v>30</v>
      </c>
      <c r="AD327" s="4">
        <f t="shared" si="424"/>
        <v>1356440</v>
      </c>
      <c r="AE327" s="4">
        <f t="shared" ref="AE327" si="1038">AD327-AD315</f>
        <v>-24353</v>
      </c>
      <c r="AF327" s="50">
        <f t="shared" ref="AF327" si="1039">ROUND((AD327/(D327)*1000),1)</f>
        <v>848.8</v>
      </c>
      <c r="AG327" s="75">
        <f t="shared" ref="AG327" si="1040">AF327-AF315</f>
        <v>-69.900000000000091</v>
      </c>
      <c r="AI327" s="303">
        <f t="shared" ref="AI327" si="1041">(H327/I327*1000)/G327</f>
        <v>0.36316867758319782</v>
      </c>
      <c r="AK327" s="418">
        <f t="shared" si="655"/>
        <v>0.32335830401513826</v>
      </c>
      <c r="AU327" s="4">
        <f t="shared" si="494"/>
        <v>2009</v>
      </c>
      <c r="AV327" s="4">
        <f t="shared" si="495"/>
        <v>11</v>
      </c>
      <c r="AW327" s="230">
        <f>'[8]RES 62 &amp; 67'!$S412</f>
        <v>117.4</v>
      </c>
      <c r="AX327" s="200">
        <f t="shared" si="306"/>
        <v>110.2</v>
      </c>
      <c r="AY327" s="203">
        <f t="shared" ref="AY327" si="1042">AX327-AW327</f>
        <v>-7.2000000000000028</v>
      </c>
      <c r="AZ327" s="230">
        <f>'[8]RES 62 &amp; 67'!$J412</f>
        <v>35.6</v>
      </c>
      <c r="BA327" s="183">
        <f t="shared" si="307"/>
        <v>45.3</v>
      </c>
      <c r="BB327" s="429">
        <f t="shared" ref="BB327" si="1043">BA327-AZ327</f>
        <v>9.6999999999999957</v>
      </c>
      <c r="BC327" s="206">
        <f t="shared" ref="BC327" si="1044">AY327*$F$10</f>
        <v>-16.128000000000007</v>
      </c>
      <c r="BD327" s="206">
        <f t="shared" ref="BD327" si="1045">IF($B327=4,($F$11*0.5*AY327),IF($B327=11,($F$11*0.5*AY327),IF($B327=12,AY327*$F$11,IF($B327&lt;5,AY327*$F$11,0))))</f>
        <v>0.52920000000000023</v>
      </c>
      <c r="BE327" s="206">
        <f t="shared" ref="BE327" si="1046">BC327+BD327</f>
        <v>-15.598800000000008</v>
      </c>
      <c r="BF327" s="207">
        <f t="shared" ref="BF327" si="1047">BB327*$F$9</f>
        <v>29.866299999999988</v>
      </c>
      <c r="BG327" s="219">
        <f t="shared" ref="BG327" si="1048">ROUND(BF327+BE327,1)</f>
        <v>14.3</v>
      </c>
      <c r="BH327" s="4">
        <f t="shared" si="569"/>
        <v>2009</v>
      </c>
      <c r="BI327" s="4">
        <f t="shared" si="570"/>
        <v>11</v>
      </c>
      <c r="BJ327" s="108">
        <f>C327+[4]MWh!$AJ161</f>
        <v>1284114.4728782536</v>
      </c>
      <c r="BK327" s="108">
        <f t="shared" ref="BK327" si="1049">(H327/C327)*BJ327</f>
        <v>20690.771545745149</v>
      </c>
      <c r="BL327" s="108">
        <f t="shared" ref="BL327" si="1050">BJ327-BK327</f>
        <v>1263423.7013325084</v>
      </c>
      <c r="BM327" s="189">
        <f t="shared" ref="BM327" si="1051">(BL327/F327*1000)+BG327</f>
        <v>840.50074544516394</v>
      </c>
      <c r="BN327" s="6">
        <f t="shared" ref="BN327" si="1052">ROUND(BM327*F327/1000,0)</f>
        <v>1285291</v>
      </c>
      <c r="BO327" s="175">
        <f t="shared" ref="BO327" si="1053">ROUND(BN327/BL327*BK327,0)</f>
        <v>21049</v>
      </c>
      <c r="BP327" s="108">
        <f t="shared" ref="BP327" si="1054">(BN327-BL327)+(BO327-BK327)</f>
        <v>22225.527121746498</v>
      </c>
      <c r="BQ327" s="76">
        <f t="shared" ref="BQ327" si="1055">BJ327/D327*1000</f>
        <v>803.49707374072352</v>
      </c>
      <c r="BR327" s="76">
        <f t="shared" ref="BR327" si="1056">(BN327+BO327)/D327*1000</f>
        <v>817.40404728696865</v>
      </c>
      <c r="BS327" s="76">
        <f t="shared" ref="BS327" si="1057">BR327-BR315</f>
        <v>111.41754726867146</v>
      </c>
      <c r="BT327" s="175">
        <f t="shared" ref="BT327" si="1058">(BN327+BO327)</f>
        <v>1306340</v>
      </c>
      <c r="BU327" s="108">
        <f t="shared" ref="BU327" si="1059">BT327-BT315</f>
        <v>245267</v>
      </c>
      <c r="BW327" s="529">
        <f>BT327/[9]RMWh!$L207</f>
        <v>0.97654801631442345</v>
      </c>
      <c r="CK327" s="406">
        <v>40118</v>
      </c>
      <c r="CL327" s="50">
        <f>BP327+COML!BV327+SPA!BV327</f>
        <v>17127.527121746498</v>
      </c>
      <c r="CM327" s="181">
        <f>'[14]2009'!$D42</f>
        <v>77806</v>
      </c>
      <c r="CN327" s="407">
        <f t="shared" ref="CN327" si="1060">CL327-CM327</f>
        <v>-60678.472878253502</v>
      </c>
      <c r="CO327" s="50">
        <f>'[2]FPC wSEB'!$R424</f>
        <v>2927539</v>
      </c>
      <c r="CP327" s="50">
        <f>'[2]FPC wSEB'!$C424-SUM('[2]FPC wSEB'!$K424:$L424)</f>
        <v>3253370</v>
      </c>
      <c r="CQ327" s="50">
        <f>'[2]FPC wSEB'!$T424-'[2]FPC wSEB'!$T423</f>
        <v>-536854</v>
      </c>
      <c r="CR327" s="50">
        <f>SUM('[2]FPC wSEB'!$K424:$L424)</f>
        <v>291106</v>
      </c>
      <c r="CS327" s="50">
        <f>('[2]FPC wSEB'!$N424)-CQ327</f>
        <v>-165642</v>
      </c>
      <c r="CT327" s="50">
        <f>'[2]FPC wSEB'!$P424</f>
        <v>16666</v>
      </c>
      <c r="CU327" s="50">
        <f>'[2]FPC wSEB'!$Q424</f>
        <v>68893</v>
      </c>
      <c r="CV327" s="115">
        <f t="shared" ref="CV327" si="1061">CO327-SUM(CP327:CU327)</f>
        <v>0</v>
      </c>
      <c r="CW327" s="50">
        <f t="shared" ref="CW327" si="1062">CO327-CT327-CU327+CM327</f>
        <v>2919786</v>
      </c>
      <c r="CX327" s="50">
        <f t="shared" ref="CX327" si="1063">SUM(CP327:CS327)+CL327</f>
        <v>2859107.5271217464</v>
      </c>
      <c r="CY327" s="50">
        <f t="shared" ref="CY327" si="1064">CW327-CX327</f>
        <v>60678.472878253553</v>
      </c>
      <c r="CZ327" s="23"/>
      <c r="DA327" s="23"/>
      <c r="DB327" s="493" t="s">
        <v>291</v>
      </c>
      <c r="DC327" s="185" t="s">
        <v>60</v>
      </c>
      <c r="DD327" s="202" t="s">
        <v>73</v>
      </c>
      <c r="DE327" s="202" t="s">
        <v>73</v>
      </c>
      <c r="DF327" s="202" t="s">
        <v>73</v>
      </c>
      <c r="DG327" s="36" t="s">
        <v>143</v>
      </c>
      <c r="DH327" s="492" t="s">
        <v>296</v>
      </c>
      <c r="DI327" s="23"/>
      <c r="DJ327" s="23"/>
      <c r="DK327" s="23"/>
      <c r="DL327" s="23"/>
      <c r="DM327" s="23"/>
      <c r="DN327" s="23"/>
    </row>
    <row r="328" spans="1:118" s="89" customFormat="1" ht="12.75">
      <c r="A328" s="90">
        <f t="shared" si="491"/>
        <v>2009</v>
      </c>
      <c r="B328" s="90">
        <f t="shared" si="492"/>
        <v>12</v>
      </c>
      <c r="C328" s="103">
        <f>'[2]FPC wSEB'!$D425</f>
        <v>1246838</v>
      </c>
      <c r="D328" s="103">
        <f>'[2]FPC wSEB'!$X425</f>
        <v>1432141</v>
      </c>
      <c r="E328" s="103">
        <f t="shared" ref="E328" si="1065">ROUND(C328-H328,0)</f>
        <v>1220970</v>
      </c>
      <c r="F328" s="103">
        <f t="shared" ref="F328" si="1066">ROUND(D328-I328,0)</f>
        <v>1372036</v>
      </c>
      <c r="G328" s="109">
        <f t="shared" ref="G328" si="1067">ROUND((E328)/F328*1000,1)</f>
        <v>889.9</v>
      </c>
      <c r="H328" s="196">
        <v>25868</v>
      </c>
      <c r="I328" s="196">
        <v>60105</v>
      </c>
      <c r="J328" s="300">
        <f>'[7]RES 62 &amp; 67'!$S413</f>
        <v>110.2</v>
      </c>
      <c r="K328" s="210">
        <f t="shared" si="301"/>
        <v>88</v>
      </c>
      <c r="L328" s="234">
        <f t="shared" ref="L328" si="1068">(K328-J328)</f>
        <v>-22.200000000000003</v>
      </c>
      <c r="M328" s="300">
        <f>'[7]RES 62 &amp; 67'!$J413</f>
        <v>52.5</v>
      </c>
      <c r="N328" s="210">
        <f t="shared" si="302"/>
        <v>83.9</v>
      </c>
      <c r="O328" s="237">
        <f t="shared" ref="O328" si="1069">(N328-M328)</f>
        <v>31.400000000000006</v>
      </c>
      <c r="P328" s="211">
        <f t="shared" ref="P328" si="1070">L328*$F$10</f>
        <v>-49.728000000000009</v>
      </c>
      <c r="Q328" s="211">
        <f t="shared" ref="Q328" si="1071">IF($B328=12,L328*$F$11,IF($B328&lt;5,L328*$F$11,0))</f>
        <v>3.2634000000000003</v>
      </c>
      <c r="R328" s="468">
        <f t="shared" ref="R328" si="1072">P328+Q328</f>
        <v>-46.464600000000011</v>
      </c>
      <c r="S328" s="471">
        <f t="shared" ref="S328" si="1073">O328*$F$9</f>
        <v>96.680600000000027</v>
      </c>
      <c r="T328" s="426">
        <f t="shared" ref="T328" si="1074">ROUND((R328+S328),1)</f>
        <v>50.2</v>
      </c>
      <c r="U328" s="579">
        <f>[5]RC!$E208</f>
        <v>1439249</v>
      </c>
      <c r="V328" s="447">
        <v>40148</v>
      </c>
      <c r="W328" s="95">
        <f t="shared" ref="W328" si="1075">(G328+T328)</f>
        <v>940.1</v>
      </c>
      <c r="X328" s="104">
        <f t="shared" ref="X328" si="1076">ROUND(W328*F328/1000,0)</f>
        <v>1289851</v>
      </c>
      <c r="Y328" s="198">
        <f t="shared" ref="Y328" si="1077">ROUND((X328/C328)*H328,0)</f>
        <v>26760</v>
      </c>
      <c r="Z328" s="176">
        <f t="shared" ref="Z328" si="1078">Y328+X328</f>
        <v>1316611</v>
      </c>
      <c r="AA328" s="116">
        <f t="shared" ref="AA328" si="1079">Z328-C328</f>
        <v>69773</v>
      </c>
      <c r="AB328" s="520">
        <f>[9]RMWh!$L208</f>
        <v>1309558</v>
      </c>
      <c r="AC328" s="110">
        <f>'[7]Gov 65 &amp; 70'!$B413</f>
        <v>31.4</v>
      </c>
      <c r="AD328" s="89">
        <f t="shared" si="424"/>
        <v>1268686</v>
      </c>
      <c r="AE328" s="89">
        <f t="shared" ref="AE328" si="1080">AD328-AD316</f>
        <v>-53581</v>
      </c>
      <c r="AF328" s="117">
        <f t="shared" ref="AF328" si="1081">ROUND((AD328/(D328)*1000),1)</f>
        <v>885.9</v>
      </c>
      <c r="AG328" s="91">
        <f t="shared" ref="AG328" si="1082">AF328-AF316</f>
        <v>-26.700000000000045</v>
      </c>
      <c r="AH328" s="252"/>
      <c r="AI328" s="304">
        <f t="shared" ref="AI328" si="1083">(H328/I328*1000)/G328</f>
        <v>0.483627562691611</v>
      </c>
      <c r="AK328" s="432">
        <f t="shared" ref="AK328" si="1084">AVERAGE(AI328,AI316,AI304,AI292,AI280,AI268,AI256,AI244,AI220,AI208)</f>
        <v>0.45240259730049076</v>
      </c>
      <c r="AU328" s="89">
        <f t="shared" si="494"/>
        <v>2009</v>
      </c>
      <c r="AV328" s="89">
        <f t="shared" si="495"/>
        <v>12</v>
      </c>
      <c r="AW328" s="300">
        <f>'[8]RES 62 &amp; 67'!$S413</f>
        <v>61.8</v>
      </c>
      <c r="AX328" s="210">
        <f t="shared" si="306"/>
        <v>53.2</v>
      </c>
      <c r="AY328" s="204">
        <f t="shared" ref="AY328" si="1085">AX328-AW328</f>
        <v>-8.5999999999999943</v>
      </c>
      <c r="AZ328" s="300">
        <f>'[8]RES 62 &amp; 67'!$J413</f>
        <v>115.5</v>
      </c>
      <c r="BA328" s="210">
        <f t="shared" si="307"/>
        <v>114.1</v>
      </c>
      <c r="BB328" s="430">
        <f t="shared" ref="BB328" si="1086">BA328-AZ328</f>
        <v>-1.4000000000000057</v>
      </c>
      <c r="BC328" s="211">
        <f t="shared" ref="BC328" si="1087">AY328*$F$10</f>
        <v>-19.263999999999989</v>
      </c>
      <c r="BD328" s="211">
        <f t="shared" ref="BD328" si="1088">IF($B328=4,($F$11*0.5*AY328),IF($B328=11,($F$11*0.5*AY328),IF($B328=12,AY328*$F$11,IF($B328&lt;5,AY328*$F$11,0))))</f>
        <v>1.2641999999999991</v>
      </c>
      <c r="BE328" s="211">
        <f t="shared" ref="BE328" si="1089">BC328+BD328</f>
        <v>-17.99979999999999</v>
      </c>
      <c r="BF328" s="212">
        <f t="shared" ref="BF328" si="1090">BB328*$F$9</f>
        <v>-4.3106000000000178</v>
      </c>
      <c r="BG328" s="220">
        <f t="shared" ref="BG328" si="1091">ROUND(BF328+BE328,1)</f>
        <v>-22.3</v>
      </c>
      <c r="BH328" s="89">
        <f t="shared" si="569"/>
        <v>2009</v>
      </c>
      <c r="BI328" s="89">
        <f t="shared" si="570"/>
        <v>12</v>
      </c>
      <c r="BJ328" s="117">
        <f>C328+[4]MWh!$AJ162</f>
        <v>1249724.9374488159</v>
      </c>
      <c r="BK328" s="117">
        <f t="shared" ref="BK328" si="1092">(H328/C328)*BJ328</f>
        <v>25927.89494860276</v>
      </c>
      <c r="BL328" s="117">
        <f t="shared" ref="BL328" si="1093">BJ328-BK328</f>
        <v>1223797.0425002133</v>
      </c>
      <c r="BM328" s="199">
        <f t="shared" ref="BM328" si="1094">(BL328/F328*1000)+BG328</f>
        <v>869.65694755838274</v>
      </c>
      <c r="BN328" s="96">
        <f t="shared" ref="BN328" si="1095">ROUND(BM328*F328/1000,0)</f>
        <v>1193201</v>
      </c>
      <c r="BO328" s="176">
        <f t="shared" ref="BO328" si="1096">ROUND(BN328/BL328*BK328,0)</f>
        <v>25280</v>
      </c>
      <c r="BP328" s="117">
        <f t="shared" ref="BP328" si="1097">(BN328-BL328)+(BO328-BK328)</f>
        <v>-31243.937448816014</v>
      </c>
      <c r="BQ328" s="92">
        <f t="shared" ref="BQ328" si="1098">BJ328/D328*1000</f>
        <v>872.62702307162215</v>
      </c>
      <c r="BR328" s="92">
        <f t="shared" ref="BR328" si="1099">(BN328+BO328)/D328*1000</f>
        <v>850.8107791062472</v>
      </c>
      <c r="BS328" s="92">
        <f t="shared" ref="BS328" si="1100">BR328-BR316</f>
        <v>-272.09483488694639</v>
      </c>
      <c r="BT328" s="176">
        <f t="shared" ref="BT328" si="1101">(BN328+BO328)</f>
        <v>1218481</v>
      </c>
      <c r="BU328" s="117">
        <f t="shared" ref="BU328" si="1102">BT328-BT316</f>
        <v>-408534</v>
      </c>
      <c r="BW328" s="529">
        <f>BT328/[9]RMWh!$L208</f>
        <v>0.93045210674135859</v>
      </c>
      <c r="CK328" s="166">
        <v>40148</v>
      </c>
      <c r="CL328" s="117">
        <f>BP328+COML!BV328+SPA!BV328</f>
        <v>-37723.93744881601</v>
      </c>
      <c r="CM328" s="359">
        <f>'[14]2009'!$D43</f>
        <v>43833</v>
      </c>
      <c r="CN328" s="1">
        <f t="shared" ref="CN328:CN329" si="1103">CL328-CM328</f>
        <v>-81556.93744881601</v>
      </c>
      <c r="CO328" s="117">
        <f>'[2]FPC wSEB'!$R425</f>
        <v>3150857</v>
      </c>
      <c r="CP328" s="117">
        <f>'[2]FPC wSEB'!$C425-SUM('[2]FPC wSEB'!$K425:$L425)</f>
        <v>2628739</v>
      </c>
      <c r="CQ328" s="117">
        <f>'[2]FPC wSEB'!$T425-'[2]FPC wSEB'!$T424</f>
        <v>80900</v>
      </c>
      <c r="CR328" s="117">
        <f>SUM('[2]FPC wSEB'!$K425:$L425)</f>
        <v>158368</v>
      </c>
      <c r="CS328" s="117">
        <f>('[2]FPC wSEB'!$N425)-CQ328</f>
        <v>39874</v>
      </c>
      <c r="CT328" s="117">
        <f>'[2]FPC wSEB'!$P425</f>
        <v>13991</v>
      </c>
      <c r="CU328" s="117">
        <f>'[2]FPC wSEB'!$Q425</f>
        <v>228985</v>
      </c>
      <c r="CV328" s="118">
        <f t="shared" ref="CV328:CV329" si="1104">CO328-SUM(CP328:CU328)</f>
        <v>0</v>
      </c>
      <c r="CW328" s="117">
        <f t="shared" ref="CW328:CW329" si="1105">CO328-CT328-CU328+CM328</f>
        <v>2951714</v>
      </c>
      <c r="CX328" s="117">
        <f t="shared" ref="CX328:CX329" si="1106">SUM(CP328:CS328)+CL328</f>
        <v>2870157.0625511841</v>
      </c>
      <c r="CY328" s="117">
        <f t="shared" ref="CY328:CY329" si="1107">CW328-CX328</f>
        <v>81556.937448815908</v>
      </c>
    </row>
    <row r="329" spans="1:118" ht="12.75">
      <c r="A329" s="13">
        <f t="shared" si="491"/>
        <v>2010</v>
      </c>
      <c r="B329" s="13">
        <f t="shared" si="492"/>
        <v>1</v>
      </c>
      <c r="C329" s="5">
        <f>'[2]FPC wSEB'!$D426</f>
        <v>1898161</v>
      </c>
      <c r="D329" s="5">
        <f>'[2]FPC wSEB'!$X426</f>
        <v>1436475</v>
      </c>
      <c r="E329" s="5">
        <f t="shared" ref="E329" si="1108">ROUND(C329-H329,0)</f>
        <v>1847209</v>
      </c>
      <c r="F329" s="5">
        <f t="shared" ref="F329" si="1109">ROUND(D329-I329,0)</f>
        <v>1376189</v>
      </c>
      <c r="G329" s="74">
        <f t="shared" ref="G329" si="1110">ROUND((E329)/F329*1000,1)</f>
        <v>1342.3</v>
      </c>
      <c r="H329" s="190">
        <v>50952</v>
      </c>
      <c r="I329" s="190">
        <v>60286</v>
      </c>
      <c r="J329" s="230">
        <f>'[7]RES 62 &amp; 67'!$S414</f>
        <v>35.299999999999997</v>
      </c>
      <c r="K329" s="183">
        <f t="shared" si="301"/>
        <v>49.5</v>
      </c>
      <c r="L329" s="233">
        <f t="shared" ref="L329" si="1111">(K329-J329)</f>
        <v>14.200000000000003</v>
      </c>
      <c r="M329" s="230">
        <f>'[7]RES 62 &amp; 67'!$J414</f>
        <v>256.8</v>
      </c>
      <c r="N329" s="183">
        <f t="shared" si="302"/>
        <v>131.6</v>
      </c>
      <c r="O329" s="236">
        <f t="shared" ref="O329" si="1112">(N329-M329)</f>
        <v>-125.20000000000002</v>
      </c>
      <c r="P329" s="206">
        <f t="shared" ref="P329:P334" si="1113">L329*$G$10</f>
        <v>31.623400000000004</v>
      </c>
      <c r="Q329" s="208">
        <f t="shared" ref="Q329:Q334" si="1114">IF($B329=12,L329*$G$11,IF($B329&lt;5,L329*$G$11,0))</f>
        <v>-2.3998000000000008</v>
      </c>
      <c r="R329" s="467">
        <f t="shared" ref="R329:R334" si="1115">P329+Q329</f>
        <v>29.223600000000005</v>
      </c>
      <c r="S329" s="470">
        <f t="shared" ref="S329:S334" si="1116">O329*$G$9</f>
        <v>-387.99480000000005</v>
      </c>
      <c r="T329" s="425">
        <f t="shared" ref="T329" si="1117">ROUND((R329+S329),1)</f>
        <v>-358.8</v>
      </c>
      <c r="U329" s="579">
        <f>[5]RC!$E209</f>
        <v>1442215</v>
      </c>
      <c r="V329" s="447">
        <v>40179</v>
      </c>
      <c r="W329" s="191">
        <f t="shared" ref="W329" si="1118">(G329+T329)</f>
        <v>983.5</v>
      </c>
      <c r="X329" s="73">
        <f t="shared" ref="X329" si="1119">ROUND(W329*F329/1000,0)</f>
        <v>1353482</v>
      </c>
      <c r="Y329" s="187">
        <f t="shared" ref="Y329" si="1120">ROUND((X329/C329)*H329,0)</f>
        <v>36331</v>
      </c>
      <c r="Z329" s="175">
        <f t="shared" ref="Z329" si="1121">Y329+X329</f>
        <v>1389813</v>
      </c>
      <c r="AA329" s="40">
        <f t="shared" ref="AA329" si="1122">Z329-C329</f>
        <v>-508348</v>
      </c>
      <c r="AB329" s="519">
        <f>[9]RMWh!$L209</f>
        <v>1332298</v>
      </c>
      <c r="AC329" s="107">
        <f>'[7]Gov 65 &amp; 70'!$B414</f>
        <v>32.200000000000003</v>
      </c>
      <c r="AD329" s="4">
        <f t="shared" si="424"/>
        <v>1258649</v>
      </c>
      <c r="AE329" s="4">
        <f t="shared" ref="AE329" si="1123">AD329-AD317</f>
        <v>-168729</v>
      </c>
      <c r="AF329" s="50">
        <f t="shared" ref="AF329" si="1124">ROUND((AD329/(D329)*1000),1)</f>
        <v>876.2</v>
      </c>
      <c r="AG329" s="75">
        <f t="shared" ref="AG329" si="1125">AF329-AF317</f>
        <v>-124</v>
      </c>
      <c r="AI329" s="487">
        <f t="shared" ref="AI329" si="1126">(H329/I329*1000)/G329</f>
        <v>0.62964415547851871</v>
      </c>
      <c r="AK329" s="442">
        <f>AVERAGE(AI329,AI317,AI305,AI293,AI281,AI269,AI257,AI245,AI221,AI209)</f>
        <v>0.54286728740846468</v>
      </c>
      <c r="AL329" s="417" t="s">
        <v>279</v>
      </c>
      <c r="AU329" s="4">
        <f t="shared" si="494"/>
        <v>2010</v>
      </c>
      <c r="AV329" s="4">
        <f t="shared" si="495"/>
        <v>1</v>
      </c>
      <c r="AW329" s="230">
        <f>'[8]RES 62 &amp; 67'!$S414</f>
        <v>18.5</v>
      </c>
      <c r="AX329" s="200">
        <f t="shared" si="306"/>
        <v>50.5</v>
      </c>
      <c r="AY329" s="203">
        <f t="shared" ref="AY329" si="1127">AX329-AW329</f>
        <v>32</v>
      </c>
      <c r="AZ329" s="230">
        <f>'[8]RES 62 &amp; 67'!$J414</f>
        <v>306.5</v>
      </c>
      <c r="BA329" s="183">
        <f t="shared" si="307"/>
        <v>127.9</v>
      </c>
      <c r="BB329" s="429">
        <f t="shared" ref="BB329" si="1128">BA329-AZ329</f>
        <v>-178.6</v>
      </c>
      <c r="BC329" s="206">
        <f t="shared" ref="BC329:BC334" si="1129">AY329*$G$10</f>
        <v>71.263999999999996</v>
      </c>
      <c r="BD329" s="206">
        <f t="shared" ref="BD329:BD334" si="1130">IF($B329=4,($G$11*0.5*AY329),IF($B329=11,($G$11*0.5*AY329),IF($B329=12,AY329*$G$11,IF($B329&lt;5,AY329*$G$11,0))))</f>
        <v>-5.4080000000000004</v>
      </c>
      <c r="BE329" s="206">
        <f t="shared" ref="BE329" si="1131">BC329+BD329</f>
        <v>65.855999999999995</v>
      </c>
      <c r="BF329" s="207">
        <f t="shared" ref="BF329:BF334" si="1132">BB329*$G$9</f>
        <v>-553.48140000000001</v>
      </c>
      <c r="BG329" s="219">
        <f t="shared" ref="BG329" si="1133">ROUND(BF329+BE329,1)</f>
        <v>-487.6</v>
      </c>
      <c r="BH329" s="4">
        <f t="shared" si="569"/>
        <v>2010</v>
      </c>
      <c r="BI329" s="4">
        <f t="shared" si="570"/>
        <v>1</v>
      </c>
      <c r="BJ329" s="108">
        <f>C329+[4]MWh!$AJ163</f>
        <v>2166617.5780004826</v>
      </c>
      <c r="BK329" s="108">
        <f t="shared" ref="BK329" si="1134">(H329/C329)*BJ329</f>
        <v>58158.132442021822</v>
      </c>
      <c r="BL329" s="108">
        <f t="shared" ref="BL329" si="1135">BJ329-BK329</f>
        <v>2108459.4455584609</v>
      </c>
      <c r="BM329" s="189">
        <f t="shared" ref="BM329" si="1136">(BL329/F329*1000)+BG329</f>
        <v>1044.5002024856039</v>
      </c>
      <c r="BN329" s="6">
        <f t="shared" ref="BN329" si="1137">ROUND(BM329*F329/1000,0)</f>
        <v>1437430</v>
      </c>
      <c r="BO329" s="175">
        <f t="shared" ref="BO329" si="1138">ROUND(BN329/BL329*BK329,0)</f>
        <v>39649</v>
      </c>
      <c r="BP329" s="108">
        <f t="shared" ref="BP329" si="1139">(BN329-BL329)+(BO329-BK329)</f>
        <v>-689538.57800048275</v>
      </c>
      <c r="BQ329" s="76">
        <f t="shared" ref="BQ329" si="1140">BJ329/D329*1000</f>
        <v>1508.2877028841315</v>
      </c>
      <c r="BR329" s="76">
        <f t="shared" ref="BR329" si="1141">(BN329+BO329)/D329*1000</f>
        <v>1028.2664160531858</v>
      </c>
      <c r="BS329" s="76">
        <f t="shared" ref="BS329" si="1142">BR329-BR317</f>
        <v>142.74230568701762</v>
      </c>
      <c r="BT329" s="175">
        <f t="shared" ref="BT329" si="1143">(BN329+BO329)</f>
        <v>1477079</v>
      </c>
      <c r="BU329" s="108">
        <f t="shared" ref="BU329" si="1144">BT329-BT317</f>
        <v>213344</v>
      </c>
      <c r="BW329" s="529">
        <f>BT329/[9]RMWh!$L209</f>
        <v>1.1086701323577759</v>
      </c>
      <c r="CK329" s="406">
        <v>40179</v>
      </c>
      <c r="CL329" s="50">
        <f>BP329+COML!BV329+SPA!BV329</f>
        <v>-736406.57800048275</v>
      </c>
      <c r="CM329" s="181">
        <f>'[14]2010'!$D32</f>
        <v>-581898</v>
      </c>
      <c r="CN329" s="407">
        <f t="shared" si="1103"/>
        <v>-154508.57800048275</v>
      </c>
      <c r="CO329" s="50">
        <f>'[2]FPC wSEB'!$R426</f>
        <v>4151866</v>
      </c>
      <c r="CP329" s="50">
        <f>'[2]FPC wSEB'!$C426-SUM('[2]FPC wSEB'!$K426:$L426)</f>
        <v>3308515</v>
      </c>
      <c r="CQ329" s="50">
        <f>'[2]FPC wSEB'!$T426-'[2]FPC wSEB'!$T425</f>
        <v>196491</v>
      </c>
      <c r="CR329" s="50">
        <f>SUM('[2]FPC wSEB'!$K426:$L426)</f>
        <v>178626</v>
      </c>
      <c r="CS329" s="50">
        <f>('[2]FPC wSEB'!$N426)-CQ329</f>
        <v>225964</v>
      </c>
      <c r="CT329" s="50">
        <f>'[2]FPC wSEB'!$P426</f>
        <v>11404</v>
      </c>
      <c r="CU329" s="50">
        <f>'[2]FPC wSEB'!$Q426</f>
        <v>230866</v>
      </c>
      <c r="CV329" s="115">
        <f t="shared" si="1104"/>
        <v>0</v>
      </c>
      <c r="CW329" s="50">
        <f t="shared" si="1105"/>
        <v>3327698</v>
      </c>
      <c r="CX329" s="50">
        <f t="shared" si="1106"/>
        <v>3173189.4219995174</v>
      </c>
      <c r="CY329" s="50">
        <f t="shared" si="1107"/>
        <v>154508.57800048264</v>
      </c>
      <c r="CZ329" s="23"/>
      <c r="DA329" s="23"/>
      <c r="DB329" s="50">
        <f>(1.926*L329)+(2.859*O329)</f>
        <v>-330.59760000000006</v>
      </c>
      <c r="DC329" s="108">
        <f>G329+DB329</f>
        <v>1011.7023999999999</v>
      </c>
      <c r="DD329" s="50">
        <f>ROUND(DC329*F329/1000,0)</f>
        <v>1392294</v>
      </c>
      <c r="DE329" s="108">
        <f>ROUND((DD329/C329)*H329,0)</f>
        <v>37373</v>
      </c>
      <c r="DF329" s="50">
        <f>DE329+DD329</f>
        <v>1429667</v>
      </c>
      <c r="DG329" s="23">
        <f>ROUND((DF329-C329)/D329*1000,0)</f>
        <v>-326</v>
      </c>
      <c r="DH329" s="500">
        <f>ROUND((([13]RUPC!$E209+DG329)*[5]RC!$E$209)/1000,0)</f>
        <v>1372515</v>
      </c>
      <c r="DI329" s="23"/>
      <c r="DJ329" s="23"/>
      <c r="DK329" s="23"/>
      <c r="DL329" s="23"/>
      <c r="DM329" s="23"/>
      <c r="DN329" s="23"/>
    </row>
    <row r="330" spans="1:118" ht="12.75">
      <c r="A330" s="13">
        <f t="shared" si="491"/>
        <v>2010</v>
      </c>
      <c r="B330" s="13">
        <f t="shared" si="492"/>
        <v>2</v>
      </c>
      <c r="C330" s="5">
        <f>'[2]FPC wSEB'!$D427</f>
        <v>1581544</v>
      </c>
      <c r="D330" s="5">
        <f>'[2]FPC wSEB'!$X427</f>
        <v>1408114</v>
      </c>
      <c r="E330" s="5">
        <f t="shared" ref="E330" si="1145">ROUND(C330-H330,0)</f>
        <v>1536034</v>
      </c>
      <c r="F330" s="5">
        <f t="shared" ref="F330" si="1146">ROUND(D330-I330,0)</f>
        <v>1350347</v>
      </c>
      <c r="G330" s="74">
        <f t="shared" ref="G330" si="1147">ROUND((E330)/F330*1000,1)</f>
        <v>1137.5</v>
      </c>
      <c r="H330" s="190">
        <v>45510</v>
      </c>
      <c r="I330" s="190">
        <v>57767</v>
      </c>
      <c r="J330" s="230">
        <f>'[7]RES 62 &amp; 67'!$S415</f>
        <v>18.600000000000001</v>
      </c>
      <c r="K330" s="183">
        <f t="shared" si="301"/>
        <v>43.3</v>
      </c>
      <c r="L330" s="233">
        <f t="shared" ref="L330" si="1148">(K330-J330)</f>
        <v>24.699999999999996</v>
      </c>
      <c r="M330" s="230">
        <f>'[7]RES 62 &amp; 67'!$J415</f>
        <v>218.6</v>
      </c>
      <c r="N330" s="183">
        <f t="shared" si="302"/>
        <v>127.9</v>
      </c>
      <c r="O330" s="236">
        <f t="shared" ref="O330" si="1149">(N330-M330)</f>
        <v>-90.699999999999989</v>
      </c>
      <c r="P330" s="206">
        <f t="shared" si="1113"/>
        <v>55.006899999999987</v>
      </c>
      <c r="Q330" s="208">
        <f t="shared" si="1114"/>
        <v>-4.1742999999999997</v>
      </c>
      <c r="R330" s="467">
        <f t="shared" si="1115"/>
        <v>50.832599999999985</v>
      </c>
      <c r="S330" s="470">
        <f t="shared" si="1116"/>
        <v>-281.07929999999999</v>
      </c>
      <c r="T330" s="425">
        <f t="shared" ref="T330" si="1150">ROUND((R330+S330),1)</f>
        <v>-230.2</v>
      </c>
      <c r="U330" s="579">
        <f>[5]RC!$E210</f>
        <v>1444106</v>
      </c>
      <c r="V330" s="447">
        <v>40210</v>
      </c>
      <c r="W330" s="191">
        <f t="shared" ref="W330" si="1151">(G330+T330)</f>
        <v>907.3</v>
      </c>
      <c r="X330" s="73">
        <f t="shared" ref="X330" si="1152">ROUND(W330*F330/1000,0)</f>
        <v>1225170</v>
      </c>
      <c r="Y330" s="187">
        <f t="shared" ref="Y330" si="1153">ROUND((X330/C330)*H330,0)</f>
        <v>35255</v>
      </c>
      <c r="Z330" s="175">
        <f t="shared" ref="Z330" si="1154">Y330+X330</f>
        <v>1260425</v>
      </c>
      <c r="AA330" s="40">
        <f t="shared" ref="AA330" si="1155">Z330-C330</f>
        <v>-321119</v>
      </c>
      <c r="AB330" s="519">
        <f>[9]RMWh!$L210</f>
        <v>1326517</v>
      </c>
      <c r="AC330" s="107">
        <f>'[7]Gov 65 &amp; 70'!$B415</f>
        <v>29.6</v>
      </c>
      <c r="AD330" s="4">
        <f t="shared" si="424"/>
        <v>1363265</v>
      </c>
      <c r="AE330" s="4">
        <f t="shared" ref="AE330" si="1156">AD330-AD318</f>
        <v>-16865</v>
      </c>
      <c r="AF330" s="50">
        <f t="shared" ref="AF330" si="1157">ROUND((AD330/(D330)*1000),1)</f>
        <v>968.1</v>
      </c>
      <c r="AG330" s="75">
        <f t="shared" ref="AG330" si="1158">AF330-AF318</f>
        <v>29.100000000000023</v>
      </c>
      <c r="AI330" s="487">
        <f t="shared" ref="AI330" si="1159">(H330/I330*1000)/G330</f>
        <v>0.69258904233889951</v>
      </c>
      <c r="AK330" s="442">
        <f t="shared" ref="AK330" si="1160">AVERAGE(AI330,AI318,AI306,AI294,AI282,AI270,AI258,AI246,AI222,AI210)</f>
        <v>0.62809996627264364</v>
      </c>
      <c r="AU330" s="4">
        <f t="shared" si="494"/>
        <v>2010</v>
      </c>
      <c r="AV330" s="4">
        <f t="shared" si="495"/>
        <v>2</v>
      </c>
      <c r="AW330" s="230">
        <f>'[8]RES 62 &amp; 67'!$S415</f>
        <v>7.4</v>
      </c>
      <c r="AX330" s="200">
        <f t="shared" si="306"/>
        <v>59.2</v>
      </c>
      <c r="AY330" s="203">
        <f t="shared" ref="AY330" si="1161">AX330-AW330</f>
        <v>51.800000000000004</v>
      </c>
      <c r="AZ330" s="230">
        <f>'[8]RES 62 &amp; 67'!$J415</f>
        <v>247.7</v>
      </c>
      <c r="BA330" s="183">
        <f t="shared" si="307"/>
        <v>97.8</v>
      </c>
      <c r="BB330" s="429">
        <f t="shared" ref="BB330" si="1162">BA330-AZ330</f>
        <v>-149.89999999999998</v>
      </c>
      <c r="BC330" s="206">
        <f t="shared" si="1129"/>
        <v>115.3586</v>
      </c>
      <c r="BD330" s="206">
        <f t="shared" si="1130"/>
        <v>-8.7542000000000009</v>
      </c>
      <c r="BE330" s="206">
        <f t="shared" ref="BE330" si="1163">BC330+BD330</f>
        <v>106.6044</v>
      </c>
      <c r="BF330" s="207">
        <f t="shared" si="1132"/>
        <v>-464.54009999999994</v>
      </c>
      <c r="BG330" s="219">
        <f t="shared" ref="BG330" si="1164">ROUND(BF330+BE330,1)</f>
        <v>-357.9</v>
      </c>
      <c r="BH330" s="4">
        <f t="shared" si="569"/>
        <v>2010</v>
      </c>
      <c r="BI330" s="4">
        <f t="shared" si="570"/>
        <v>2</v>
      </c>
      <c r="BJ330" s="108">
        <f>C330+[4]MWh!$AJ164</f>
        <v>1517583.4116458246</v>
      </c>
      <c r="BK330" s="108">
        <f t="shared" ref="BK330" si="1165">(H330/C330)*BJ330</f>
        <v>43669.49074069484</v>
      </c>
      <c r="BL330" s="108">
        <f t="shared" ref="BL330" si="1166">BJ330-BK330</f>
        <v>1473913.9209051298</v>
      </c>
      <c r="BM330" s="189">
        <f t="shared" ref="BM330" si="1167">(BL330/F330*1000)+BG330</f>
        <v>733.60753169750421</v>
      </c>
      <c r="BN330" s="6">
        <f t="shared" ref="BN330" si="1168">ROUND(BM330*F330/1000,0)</f>
        <v>990625</v>
      </c>
      <c r="BO330" s="175">
        <f t="shared" ref="BO330" si="1169">ROUND(BN330/BL330*BK330,0)</f>
        <v>29350</v>
      </c>
      <c r="BP330" s="108">
        <f t="shared" ref="BP330" si="1170">(BN330-BL330)+(BO330-BK330)</f>
        <v>-497608.41164582461</v>
      </c>
      <c r="BQ330" s="76">
        <f t="shared" ref="BQ330" si="1171">BJ330/D330*1000</f>
        <v>1077.7418672393178</v>
      </c>
      <c r="BR330" s="76">
        <f t="shared" ref="BR330" si="1172">(BN330+BO330)/D330*1000</f>
        <v>724.35541440536781</v>
      </c>
      <c r="BS330" s="76">
        <f t="shared" ref="BS330" si="1173">BR330-BR318</f>
        <v>-240.57154794979863</v>
      </c>
      <c r="BT330" s="175">
        <f t="shared" ref="BT330" si="1174">(BN330+BO330)</f>
        <v>1019975</v>
      </c>
      <c r="BU330" s="108">
        <f t="shared" ref="BU330" si="1175">BT330-BT318</f>
        <v>-398265</v>
      </c>
      <c r="BW330" s="529">
        <f>BT330/[9]RMWh!$L210</f>
        <v>0.76891212099053385</v>
      </c>
      <c r="CK330" s="406">
        <v>40210</v>
      </c>
      <c r="CL330" s="50">
        <f>BP330+COML!BV330+SPA!BV330</f>
        <v>-493350.41164582461</v>
      </c>
      <c r="CM330" s="181">
        <f>'[14]2010'!$D33</f>
        <v>-465093</v>
      </c>
      <c r="CN330" s="407">
        <f t="shared" ref="CN330" si="1176">CL330-CM330</f>
        <v>-28257.411645824614</v>
      </c>
      <c r="CO330" s="50">
        <f>'[2]FPC wSEB'!$R427</f>
        <v>3424819</v>
      </c>
      <c r="CP330" s="50">
        <f>'[2]FPC wSEB'!$C427-SUM('[2]FPC wSEB'!$K427:$L427)</f>
        <v>2925334</v>
      </c>
      <c r="CQ330" s="50">
        <f>'[2]FPC wSEB'!$T427-'[2]FPC wSEB'!$T426</f>
        <v>-10424</v>
      </c>
      <c r="CR330" s="50">
        <f>SUM('[2]FPC wSEB'!$K427:$L427)</f>
        <v>375167</v>
      </c>
      <c r="CS330" s="50">
        <f>('[2]FPC wSEB'!$N427)-CQ330</f>
        <v>-99419</v>
      </c>
      <c r="CT330" s="50">
        <f>'[2]FPC wSEB'!$P427</f>
        <v>12241</v>
      </c>
      <c r="CU330" s="50">
        <f>'[2]FPC wSEB'!$Q427</f>
        <v>221920</v>
      </c>
      <c r="CV330" s="115">
        <f t="shared" ref="CV330" si="1177">CO330-SUM(CP330:CU330)</f>
        <v>0</v>
      </c>
      <c r="CW330" s="50">
        <f t="shared" ref="CW330" si="1178">CO330-CT330-CU330+CM330</f>
        <v>2725565</v>
      </c>
      <c r="CX330" s="50">
        <f t="shared" ref="CX330" si="1179">SUM(CP330:CS330)+CL330</f>
        <v>2697307.5883541754</v>
      </c>
      <c r="CY330" s="50">
        <f t="shared" ref="CY330" si="1180">CW330-CX330</f>
        <v>28257.411645824555</v>
      </c>
      <c r="CZ330" s="23"/>
      <c r="DA330" s="23"/>
      <c r="DB330" s="50">
        <f t="shared" ref="DB330:DB364" si="1181">(1.926*L330)+(2.859*O330)</f>
        <v>-211.73909999999998</v>
      </c>
      <c r="DC330" s="108">
        <f t="shared" ref="DC330:DC364" si="1182">G330+DB330</f>
        <v>925.76089999999999</v>
      </c>
      <c r="DD330" s="50">
        <f t="shared" ref="DD330:DD364" si="1183">ROUND(DC330*F330/1000,0)</f>
        <v>1250098</v>
      </c>
      <c r="DE330" s="108">
        <f t="shared" ref="DE330:DE364" si="1184">ROUND((DD330/C330)*H330,0)</f>
        <v>35972</v>
      </c>
      <c r="DF330" s="50">
        <f t="shared" ref="DF330:DF364" si="1185">DE330+DD330</f>
        <v>1286070</v>
      </c>
      <c r="DG330" s="23">
        <f t="shared" ref="DG330:DG364" si="1186">ROUND((DF330-C330)/D330*1000,0)</f>
        <v>-210</v>
      </c>
      <c r="DH330" s="500">
        <f>ROUND((([13]RUPC!$E210+DG330)*[5]RC!$E$209)/1000,0)</f>
        <v>1350811</v>
      </c>
      <c r="DI330" s="23"/>
      <c r="DJ330" s="23"/>
      <c r="DK330" s="23"/>
      <c r="DL330" s="23"/>
      <c r="DM330" s="23"/>
      <c r="DN330" s="23"/>
    </row>
    <row r="331" spans="1:118" ht="12.75">
      <c r="A331" s="13">
        <f t="shared" si="491"/>
        <v>2010</v>
      </c>
      <c r="B331" s="13">
        <f t="shared" si="492"/>
        <v>3</v>
      </c>
      <c r="C331" s="5">
        <f>'[2]FPC wSEB'!$D428</f>
        <v>1646028</v>
      </c>
      <c r="D331" s="5">
        <f>'[2]FPC wSEB'!$X428</f>
        <v>1460638</v>
      </c>
      <c r="E331" s="5">
        <f t="shared" ref="E331" si="1187">ROUND(C331-H331,0)</f>
        <v>1595830</v>
      </c>
      <c r="F331" s="5">
        <f t="shared" ref="F331" si="1188">ROUND(D331-I331,0)</f>
        <v>1399561</v>
      </c>
      <c r="G331" s="74">
        <f t="shared" ref="G331" si="1189">ROUND((E331)/F331*1000,1)</f>
        <v>1140.2</v>
      </c>
      <c r="H331" s="190">
        <v>50198</v>
      </c>
      <c r="I331" s="190">
        <v>61077</v>
      </c>
      <c r="J331" s="230">
        <f>'[7]RES 62 &amp; 67'!$S416</f>
        <v>8.6</v>
      </c>
      <c r="K331" s="183">
        <f t="shared" si="301"/>
        <v>77.2</v>
      </c>
      <c r="L331" s="233">
        <f t="shared" ref="L331" si="1190">(K331-J331)</f>
        <v>68.600000000000009</v>
      </c>
      <c r="M331" s="230">
        <f>'[7]RES 62 &amp; 67'!$J416</f>
        <v>231.4</v>
      </c>
      <c r="N331" s="183">
        <f t="shared" si="302"/>
        <v>82.3</v>
      </c>
      <c r="O331" s="236">
        <f t="shared" ref="O331" si="1191">(N331-M331)</f>
        <v>-149.10000000000002</v>
      </c>
      <c r="P331" s="206">
        <f t="shared" si="1113"/>
        <v>152.7722</v>
      </c>
      <c r="Q331" s="208">
        <f t="shared" si="1114"/>
        <v>-11.593400000000003</v>
      </c>
      <c r="R331" s="467">
        <f t="shared" si="1115"/>
        <v>141.1788</v>
      </c>
      <c r="S331" s="470">
        <f t="shared" si="1116"/>
        <v>-462.06090000000012</v>
      </c>
      <c r="T331" s="425">
        <f t="shared" ref="T331" si="1192">ROUND((R331+S331),1)</f>
        <v>-320.89999999999998</v>
      </c>
      <c r="U331" s="579">
        <f>[5]RC!$E211</f>
        <v>1445891</v>
      </c>
      <c r="V331" s="447">
        <v>40238</v>
      </c>
      <c r="W331" s="191">
        <f t="shared" ref="W331" si="1193">(G331+T331)</f>
        <v>819.30000000000007</v>
      </c>
      <c r="X331" s="73">
        <f t="shared" ref="X331" si="1194">ROUND(W331*F331/1000,0)</f>
        <v>1146660</v>
      </c>
      <c r="Y331" s="187">
        <f t="shared" ref="Y331" si="1195">ROUND((X331/C331)*H331,0)</f>
        <v>34969</v>
      </c>
      <c r="Z331" s="175">
        <f t="shared" ref="Z331" si="1196">Y331+X331</f>
        <v>1181629</v>
      </c>
      <c r="AA331" s="40">
        <f t="shared" ref="AA331" si="1197">Z331-C331</f>
        <v>-464399</v>
      </c>
      <c r="AB331" s="519">
        <f>[9]RMWh!$L211</f>
        <v>1190677</v>
      </c>
      <c r="AC331" s="107">
        <f>'[7]Gov 65 &amp; 70'!$B416</f>
        <v>29.4</v>
      </c>
      <c r="AD331" s="4">
        <f t="shared" si="424"/>
        <v>1231986</v>
      </c>
      <c r="AE331" s="4">
        <f t="shared" ref="AE331" si="1198">AD331-AD319</f>
        <v>-54426</v>
      </c>
      <c r="AF331" s="50">
        <f t="shared" ref="AF331" si="1199">ROUND((AD331/(D331)*1000),1)</f>
        <v>843.5</v>
      </c>
      <c r="AG331" s="75">
        <f t="shared" ref="AG331" si="1200">AF331-AF319</f>
        <v>-55.399999999999977</v>
      </c>
      <c r="AI331" s="303">
        <f t="shared" ref="AI331" si="1201">(H331/I331*1000)/G331</f>
        <v>0.72082141464357419</v>
      </c>
      <c r="AK331" s="442">
        <f t="shared" ref="AK331" si="1202">AVERAGE(AI331,AI319,AI307,AI295,AI283,AI271,AI259,AI247,AI223,AI211)</f>
        <v>0.61139332372933497</v>
      </c>
      <c r="AU331" s="4">
        <f t="shared" si="494"/>
        <v>2010</v>
      </c>
      <c r="AV331" s="4">
        <f t="shared" si="495"/>
        <v>3</v>
      </c>
      <c r="AW331" s="230">
        <f>'[8]RES 62 &amp; 67'!$S416</f>
        <v>22.2</v>
      </c>
      <c r="AX331" s="200">
        <f t="shared" si="306"/>
        <v>105.8</v>
      </c>
      <c r="AY331" s="203">
        <f t="shared" ref="AY331" si="1203">AX331-AW331</f>
        <v>83.6</v>
      </c>
      <c r="AZ331" s="230">
        <f>'[8]RES 62 &amp; 67'!$J416</f>
        <v>117</v>
      </c>
      <c r="BA331" s="183">
        <f t="shared" si="307"/>
        <v>49.9</v>
      </c>
      <c r="BB331" s="429">
        <f t="shared" ref="BB331" si="1204">BA331-AZ331</f>
        <v>-67.099999999999994</v>
      </c>
      <c r="BC331" s="206">
        <f t="shared" si="1129"/>
        <v>186.17719999999997</v>
      </c>
      <c r="BD331" s="206">
        <f t="shared" si="1130"/>
        <v>-14.128399999999999</v>
      </c>
      <c r="BE331" s="206">
        <f t="shared" ref="BE331" si="1205">BC331+BD331</f>
        <v>172.04879999999997</v>
      </c>
      <c r="BF331" s="207">
        <f t="shared" si="1132"/>
        <v>-207.94290000000001</v>
      </c>
      <c r="BG331" s="219">
        <f t="shared" ref="BG331" si="1206">ROUND(BF331+BE331,1)</f>
        <v>-35.9</v>
      </c>
      <c r="BH331" s="4">
        <f t="shared" si="569"/>
        <v>2010</v>
      </c>
      <c r="BI331" s="4">
        <f t="shared" si="570"/>
        <v>3</v>
      </c>
      <c r="BJ331" s="108">
        <f>C331+[4]MWh!$AJ165</f>
        <v>1522031.6845184295</v>
      </c>
      <c r="BK331" s="108">
        <f t="shared" ref="BK331" si="1207">(H331/C331)*BJ331</f>
        <v>46416.553363281862</v>
      </c>
      <c r="BL331" s="108">
        <f t="shared" ref="BL331" si="1208">BJ331-BK331</f>
        <v>1475615.1311551477</v>
      </c>
      <c r="BM331" s="189">
        <f t="shared" ref="BM331" si="1209">(BL331/F331*1000)+BG331</f>
        <v>1018.4414193130189</v>
      </c>
      <c r="BN331" s="6">
        <f t="shared" ref="BN331" si="1210">ROUND(BM331*F331/1000,0)</f>
        <v>1425371</v>
      </c>
      <c r="BO331" s="175">
        <f t="shared" ref="BO331" si="1211">ROUND(BN331/BL331*BK331,0)</f>
        <v>44836</v>
      </c>
      <c r="BP331" s="108">
        <f t="shared" ref="BP331" si="1212">(BN331-BL331)+(BO331-BK331)</f>
        <v>-51824.684518429545</v>
      </c>
      <c r="BQ331" s="76">
        <f t="shared" ref="BQ331" si="1213">BJ331/D331*1000</f>
        <v>1042.0321013957116</v>
      </c>
      <c r="BR331" s="76">
        <f t="shared" ref="BR331" si="1214">(BN331+BO331)/D331*1000</f>
        <v>1006.5512467839397</v>
      </c>
      <c r="BS331" s="76">
        <f t="shared" ref="BS331" si="1215">BR331-BR319</f>
        <v>171.17888257025936</v>
      </c>
      <c r="BT331" s="175">
        <f t="shared" ref="BT331" si="1216">(BN331+BO331)</f>
        <v>1470207</v>
      </c>
      <c r="BU331" s="108">
        <f t="shared" ref="BU331" si="1217">BT331-BT319</f>
        <v>274729</v>
      </c>
      <c r="BW331" s="529">
        <f>BT331/[9]RMWh!$L211</f>
        <v>1.234765599738636</v>
      </c>
      <c r="CK331" s="406">
        <v>40238</v>
      </c>
      <c r="CL331" s="50">
        <f>BP331+COML!BV331+SPA!BV331</f>
        <v>15812.315481570455</v>
      </c>
      <c r="CM331" s="181">
        <f>'[14]2010'!$D34</f>
        <v>-98244</v>
      </c>
      <c r="CN331" s="407">
        <f t="shared" ref="CN331" si="1218">CL331-CM331</f>
        <v>114056.31548157046</v>
      </c>
      <c r="CO331" s="50">
        <f>'[2]FPC wSEB'!$R428</f>
        <v>3172867</v>
      </c>
      <c r="CP331" s="50">
        <f>'[2]FPC wSEB'!$C428-SUM('[2]FPC wSEB'!$K428:$L428)</f>
        <v>2990727</v>
      </c>
      <c r="CQ331" s="50">
        <f>'[2]FPC wSEB'!$T428-'[2]FPC wSEB'!$T427</f>
        <v>-256309</v>
      </c>
      <c r="CR331" s="50">
        <f>SUM('[2]FPC wSEB'!$K428:$L428)</f>
        <v>307251</v>
      </c>
      <c r="CS331" s="50">
        <f>('[2]FPC wSEB'!$N428)-CQ331</f>
        <v>-73180</v>
      </c>
      <c r="CT331" s="50">
        <f>'[2]FPC wSEB'!$P428</f>
        <v>11598</v>
      </c>
      <c r="CU331" s="50">
        <f>'[2]FPC wSEB'!$Q428</f>
        <v>192780</v>
      </c>
      <c r="CV331" s="115">
        <f t="shared" ref="CV331" si="1219">CO331-SUM(CP331:CU331)</f>
        <v>0</v>
      </c>
      <c r="CW331" s="50">
        <f t="shared" ref="CW331" si="1220">CO331-CT331-CU331+CM331</f>
        <v>2870245</v>
      </c>
      <c r="CX331" s="50">
        <f t="shared" ref="CX331" si="1221">SUM(CP331:CS331)+CL331</f>
        <v>2984301.3154815705</v>
      </c>
      <c r="CY331" s="50">
        <f t="shared" ref="CY331" si="1222">CW331-CX331</f>
        <v>-114056.31548157055</v>
      </c>
      <c r="CZ331" s="23"/>
      <c r="DA331" s="23"/>
      <c r="DB331" s="50">
        <f t="shared" si="1181"/>
        <v>-294.15330000000006</v>
      </c>
      <c r="DC331" s="108">
        <f t="shared" si="1182"/>
        <v>846.04669999999999</v>
      </c>
      <c r="DD331" s="50">
        <f t="shared" si="1183"/>
        <v>1184094</v>
      </c>
      <c r="DE331" s="108">
        <f t="shared" si="1184"/>
        <v>36111</v>
      </c>
      <c r="DF331" s="50">
        <f t="shared" si="1185"/>
        <v>1220205</v>
      </c>
      <c r="DG331" s="23">
        <f t="shared" si="1186"/>
        <v>-292</v>
      </c>
      <c r="DH331" s="500">
        <f>ROUND((([13]RUPC!$E211+DG331)*[5]RC!$E$209)/1000,0)</f>
        <v>1225064</v>
      </c>
      <c r="DI331" s="23"/>
      <c r="DJ331" s="23"/>
      <c r="DK331" s="23"/>
      <c r="DL331" s="23"/>
      <c r="DM331" s="23"/>
      <c r="DN331" s="23"/>
    </row>
    <row r="332" spans="1:118" ht="12.75">
      <c r="A332" s="13">
        <f t="shared" si="491"/>
        <v>2010</v>
      </c>
      <c r="B332" s="13">
        <f t="shared" si="492"/>
        <v>4</v>
      </c>
      <c r="C332" s="5">
        <f>'[2]FPC wSEB'!$D429</f>
        <v>1202071</v>
      </c>
      <c r="D332" s="5">
        <f>'[2]FPC wSEB'!$X429</f>
        <v>1445768</v>
      </c>
      <c r="E332" s="5">
        <f t="shared" ref="E332" si="1223">ROUND(C332-H332,0)</f>
        <v>1172835</v>
      </c>
      <c r="F332" s="5">
        <f t="shared" ref="F332" si="1224">ROUND(D332-I332,0)</f>
        <v>1384960</v>
      </c>
      <c r="G332" s="74">
        <f t="shared" ref="G332" si="1225">ROUND((E332)/F332*1000,1)</f>
        <v>846.8</v>
      </c>
      <c r="H332" s="190">
        <v>29236</v>
      </c>
      <c r="I332" s="190">
        <v>60808</v>
      </c>
      <c r="J332" s="230">
        <f>'[7]RES 62 &amp; 67'!$S417</f>
        <v>70.8</v>
      </c>
      <c r="K332" s="183">
        <f t="shared" si="301"/>
        <v>138.1</v>
      </c>
      <c r="L332" s="233">
        <f t="shared" ref="L332" si="1226">(K332-J332)</f>
        <v>67.3</v>
      </c>
      <c r="M332" s="230">
        <f>'[7]RES 62 &amp; 67'!$J417</f>
        <v>60.7</v>
      </c>
      <c r="N332" s="183">
        <f t="shared" si="302"/>
        <v>37.299999999999997</v>
      </c>
      <c r="O332" s="236">
        <f t="shared" ref="O332" si="1227">(N332-M332)</f>
        <v>-23.400000000000006</v>
      </c>
      <c r="P332" s="206">
        <f t="shared" si="1113"/>
        <v>149.87709999999998</v>
      </c>
      <c r="Q332" s="208">
        <f t="shared" si="1114"/>
        <v>-11.373699999999999</v>
      </c>
      <c r="R332" s="467">
        <f t="shared" si="1115"/>
        <v>138.5034</v>
      </c>
      <c r="S332" s="470">
        <f t="shared" si="1116"/>
        <v>-72.516600000000025</v>
      </c>
      <c r="T332" s="425">
        <f t="shared" ref="T332" si="1228">ROUND((R332+S332),1)</f>
        <v>66</v>
      </c>
      <c r="U332" s="579">
        <f>[5]RC!$E212</f>
        <v>1445769</v>
      </c>
      <c r="V332" s="447">
        <v>40269</v>
      </c>
      <c r="W332" s="191">
        <f t="shared" ref="W332" si="1229">(G332+T332)</f>
        <v>912.8</v>
      </c>
      <c r="X332" s="73">
        <f t="shared" ref="X332" si="1230">ROUND(W332*F332/1000,0)</f>
        <v>1264191</v>
      </c>
      <c r="Y332" s="187">
        <f t="shared" ref="Y332" si="1231">ROUND((X332/C332)*H332,0)</f>
        <v>30747</v>
      </c>
      <c r="Z332" s="175">
        <f t="shared" ref="Z332" si="1232">Y332+X332</f>
        <v>1294938</v>
      </c>
      <c r="AA332" s="40">
        <f t="shared" ref="AA332" si="1233">Z332-C332</f>
        <v>92867</v>
      </c>
      <c r="AB332" s="519">
        <f>[9]RMWh!$L212</f>
        <v>1309509</v>
      </c>
      <c r="AC332" s="107">
        <f>'[7]Gov 65 &amp; 70'!$B417</f>
        <v>30.45</v>
      </c>
      <c r="AD332" s="4">
        <f t="shared" si="424"/>
        <v>1308219</v>
      </c>
      <c r="AE332" s="4">
        <f t="shared" ref="AE332" si="1234">AD332-AD320</f>
        <v>-20354</v>
      </c>
      <c r="AF332" s="50">
        <f t="shared" ref="AF332" si="1235">ROUND((AD332/(D332)*1000),1)</f>
        <v>904.9</v>
      </c>
      <c r="AG332" s="75">
        <f t="shared" ref="AG332" si="1236">AF332-AF320</f>
        <v>-30.600000000000023</v>
      </c>
      <c r="AI332" s="303">
        <f t="shared" ref="AI332" si="1237">(H332/I332*1000)/G332</f>
        <v>0.56777515476203722</v>
      </c>
      <c r="AK332" s="442">
        <f t="shared" ref="AK332" si="1238">AVERAGE(AI332,AI320,AI308,AI296,AI284,AI272,AI260,AI248,AI224,AI212)</f>
        <v>0.52246800554898709</v>
      </c>
      <c r="AU332" s="4">
        <f t="shared" si="494"/>
        <v>2010</v>
      </c>
      <c r="AV332" s="4">
        <f t="shared" si="495"/>
        <v>4</v>
      </c>
      <c r="AW332" s="230">
        <f>'[8]RES 62 &amp; 67'!$S417</f>
        <v>163.9</v>
      </c>
      <c r="AX332" s="200">
        <f t="shared" si="306"/>
        <v>181.7</v>
      </c>
      <c r="AY332" s="203">
        <f t="shared" ref="AY332" si="1239">AX332-AW332</f>
        <v>17.799999999999983</v>
      </c>
      <c r="AZ332" s="230">
        <f>'[8]RES 62 &amp; 67'!$J417</f>
        <v>8.6999999999999993</v>
      </c>
      <c r="BA332" s="183">
        <f t="shared" si="307"/>
        <v>21.5</v>
      </c>
      <c r="BB332" s="429">
        <f t="shared" ref="BB332" si="1240">BA332-AZ332</f>
        <v>12.8</v>
      </c>
      <c r="BC332" s="206">
        <f t="shared" si="1129"/>
        <v>39.640599999999957</v>
      </c>
      <c r="BD332" s="206">
        <f t="shared" si="1130"/>
        <v>-1.5040999999999987</v>
      </c>
      <c r="BE332" s="206">
        <f t="shared" ref="BE332" si="1241">BC332+BD332</f>
        <v>38.136499999999955</v>
      </c>
      <c r="BF332" s="207">
        <f t="shared" si="1132"/>
        <v>39.667200000000008</v>
      </c>
      <c r="BG332" s="219">
        <f t="shared" ref="BG332" si="1242">ROUND(BF332+BE332,1)</f>
        <v>77.8</v>
      </c>
      <c r="BH332" s="4">
        <f t="shared" si="569"/>
        <v>2010</v>
      </c>
      <c r="BI332" s="4">
        <f t="shared" si="570"/>
        <v>4</v>
      </c>
      <c r="BJ332" s="108">
        <f>C332+[4]MWh!$AJ166</f>
        <v>1092953.9803036598</v>
      </c>
      <c r="BK332" s="108">
        <f t="shared" ref="BK332" si="1243">(H332/C332)*BJ332</f>
        <v>26582.125821318208</v>
      </c>
      <c r="BL332" s="108">
        <f t="shared" ref="BL332" si="1244">BJ332-BK332</f>
        <v>1066371.8544823416</v>
      </c>
      <c r="BM332" s="189">
        <f t="shared" ref="BM332" si="1245">(BL332/F332*1000)+BG332</f>
        <v>847.76581452340963</v>
      </c>
      <c r="BN332" s="6">
        <f t="shared" ref="BN332" si="1246">ROUND(BM332*F332/1000,0)</f>
        <v>1174122</v>
      </c>
      <c r="BO332" s="175">
        <f t="shared" ref="BO332" si="1247">ROUND(BN332/BL332*BK332,0)</f>
        <v>29268</v>
      </c>
      <c r="BP332" s="108">
        <f t="shared" ref="BP332" si="1248">(BN332-BL332)+(BO332-BK332)</f>
        <v>110436.01969634023</v>
      </c>
      <c r="BQ332" s="76">
        <f t="shared" ref="BQ332" si="1249">BJ332/D332*1000</f>
        <v>755.96774883913588</v>
      </c>
      <c r="BR332" s="76">
        <f t="shared" ref="BR332" si="1250">(BN332+BO332)/D332*1000</f>
        <v>832.35346196623527</v>
      </c>
      <c r="BS332" s="76">
        <f t="shared" ref="BS332" si="1251">BR332-BR320</f>
        <v>-13.747846281782586</v>
      </c>
      <c r="BT332" s="175">
        <f t="shared" ref="BT332" si="1252">(BN332+BO332)</f>
        <v>1203390</v>
      </c>
      <c r="BU332" s="108">
        <f t="shared" ref="BU332" si="1253">BT332-BT320</f>
        <v>1740</v>
      </c>
      <c r="BW332" s="529">
        <f>BT332/[9]RMWh!$L212</f>
        <v>0.91896275626971635</v>
      </c>
      <c r="CK332" s="406">
        <v>40269</v>
      </c>
      <c r="CL332" s="50">
        <f>BP332+COML!BV332+SPA!BV332</f>
        <v>127882.01969634023</v>
      </c>
      <c r="CM332" s="181">
        <f>'[14]2010'!$D35</f>
        <v>84043</v>
      </c>
      <c r="CN332" s="407">
        <f t="shared" ref="CN332" si="1254">CL332-CM332</f>
        <v>43839.019696340227</v>
      </c>
      <c r="CO332" s="50">
        <f>'[2]FPC wSEB'!$R429</f>
        <v>3083586</v>
      </c>
      <c r="CP332" s="50">
        <f>'[2]FPC wSEB'!$C429-SUM('[2]FPC wSEB'!$K429:$L429)</f>
        <v>2615494</v>
      </c>
      <c r="CQ332" s="50">
        <f>'[2]FPC wSEB'!$T429-'[2]FPC wSEB'!$T428</f>
        <v>58128</v>
      </c>
      <c r="CR332" s="50">
        <f>SUM('[2]FPC wSEB'!$K429:$L429)</f>
        <v>228403</v>
      </c>
      <c r="CS332" s="50">
        <f>('[2]FPC wSEB'!$N429)-CQ332</f>
        <v>-49834</v>
      </c>
      <c r="CT332" s="50">
        <f>'[2]FPC wSEB'!$P429</f>
        <v>10041</v>
      </c>
      <c r="CU332" s="50">
        <f>'[2]FPC wSEB'!$Q429</f>
        <v>221354</v>
      </c>
      <c r="CV332" s="115">
        <f t="shared" ref="CV332" si="1255">CO332-SUM(CP332:CU332)</f>
        <v>0</v>
      </c>
      <c r="CW332" s="50">
        <f t="shared" ref="CW332" si="1256">CO332-CT332-CU332+CM332</f>
        <v>2936234</v>
      </c>
      <c r="CX332" s="50">
        <f t="shared" ref="CX332" si="1257">SUM(CP332:CS332)+CL332</f>
        <v>2980073.0196963404</v>
      </c>
      <c r="CY332" s="50">
        <f t="shared" ref="CY332" si="1258">CW332-CX332</f>
        <v>-43839.019696340431</v>
      </c>
      <c r="CZ332" s="23"/>
      <c r="DA332" s="23"/>
      <c r="DB332" s="50">
        <f t="shared" si="1181"/>
        <v>62.719199999999987</v>
      </c>
      <c r="DC332" s="108">
        <f t="shared" si="1182"/>
        <v>909.51919999999996</v>
      </c>
      <c r="DD332" s="50">
        <f t="shared" si="1183"/>
        <v>1259648</v>
      </c>
      <c r="DE332" s="108">
        <f t="shared" si="1184"/>
        <v>30636</v>
      </c>
      <c r="DF332" s="50">
        <f t="shared" si="1185"/>
        <v>1290284</v>
      </c>
      <c r="DG332" s="23">
        <f t="shared" si="1186"/>
        <v>61</v>
      </c>
      <c r="DH332" s="500">
        <f>ROUND((([13]RUPC!$E212+DG332)*[5]RC!$E$209)/1000,0)</f>
        <v>1301626</v>
      </c>
      <c r="DI332" s="23"/>
      <c r="DJ332" s="23"/>
      <c r="DK332" s="23"/>
      <c r="DL332" s="23"/>
      <c r="DM332" s="23"/>
      <c r="DN332" s="23"/>
    </row>
    <row r="333" spans="1:118" ht="12.75">
      <c r="A333" s="13">
        <f t="shared" si="491"/>
        <v>2010</v>
      </c>
      <c r="B333" s="13">
        <f t="shared" si="492"/>
        <v>5</v>
      </c>
      <c r="C333" s="5">
        <f>'[2]FPC wSEB'!$D430</f>
        <v>1462500</v>
      </c>
      <c r="D333" s="5">
        <f>'[2]FPC wSEB'!$X430</f>
        <v>1436418</v>
      </c>
      <c r="E333" s="5">
        <f t="shared" ref="E333" si="1259">ROUND(C333-H333,0)</f>
        <v>1439095</v>
      </c>
      <c r="F333" s="5">
        <f t="shared" ref="F333" si="1260">ROUND(D333-I333,0)</f>
        <v>1376476</v>
      </c>
      <c r="G333" s="74">
        <f t="shared" ref="G333" si="1261">ROUND((E333)/F333*1000,1)</f>
        <v>1045.5</v>
      </c>
      <c r="H333" s="190">
        <v>23405</v>
      </c>
      <c r="I333" s="190">
        <v>59942</v>
      </c>
      <c r="J333" s="230">
        <f>'[7]RES 62 &amp; 67'!$S418</f>
        <v>242.3</v>
      </c>
      <c r="K333" s="183">
        <f t="shared" si="301"/>
        <v>224.4</v>
      </c>
      <c r="L333" s="233">
        <f t="shared" ref="L333" si="1262">(K333-J333)</f>
        <v>-17.900000000000006</v>
      </c>
      <c r="M333" s="230">
        <f>'[7]RES 62 &amp; 67'!$J418</f>
        <v>5.6</v>
      </c>
      <c r="N333" s="183">
        <f t="shared" si="302"/>
        <v>11.2</v>
      </c>
      <c r="O333" s="236">
        <f t="shared" ref="O333" si="1263">(N333-M333)</f>
        <v>5.6</v>
      </c>
      <c r="P333" s="206">
        <f t="shared" si="1113"/>
        <v>-39.86330000000001</v>
      </c>
      <c r="Q333" s="208">
        <f t="shared" si="1114"/>
        <v>0</v>
      </c>
      <c r="R333" s="467">
        <f t="shared" si="1115"/>
        <v>-39.86330000000001</v>
      </c>
      <c r="S333" s="470">
        <f t="shared" si="1116"/>
        <v>17.354399999999998</v>
      </c>
      <c r="T333" s="425">
        <f t="shared" ref="T333" si="1264">ROUND((R333+S333),1)</f>
        <v>-22.5</v>
      </c>
      <c r="U333" s="579">
        <f>[5]RC!$E213</f>
        <v>1444735</v>
      </c>
      <c r="V333" s="447">
        <v>40299</v>
      </c>
      <c r="W333" s="191">
        <f t="shared" ref="W333" si="1265">(G333+T333)</f>
        <v>1023</v>
      </c>
      <c r="X333" s="73">
        <f t="shared" ref="X333" si="1266">ROUND(W333*F333/1000,0)</f>
        <v>1408135</v>
      </c>
      <c r="Y333" s="187">
        <f t="shared" ref="Y333" si="1267">ROUND((X333/C333)*H333,0)</f>
        <v>22535</v>
      </c>
      <c r="Z333" s="175">
        <f t="shared" ref="Z333" si="1268">Y333+X333</f>
        <v>1430670</v>
      </c>
      <c r="AA333" s="40">
        <f t="shared" ref="AA333" si="1269">Z333-C333</f>
        <v>-31830</v>
      </c>
      <c r="AB333" s="519">
        <f>[9]RMWh!$L213</f>
        <v>1399456</v>
      </c>
      <c r="AC333" s="107">
        <f>'[7]Gov 65 &amp; 70'!$B418</f>
        <v>29.75</v>
      </c>
      <c r="AD333" s="4">
        <f t="shared" si="424"/>
        <v>1430973</v>
      </c>
      <c r="AE333" s="4">
        <f t="shared" ref="AE333" si="1270">AD333-AD321</f>
        <v>44217</v>
      </c>
      <c r="AF333" s="50">
        <f t="shared" ref="AF333" si="1271">ROUND((AD333/(D333)*1000),1)</f>
        <v>996.2</v>
      </c>
      <c r="AG333" s="75">
        <f t="shared" ref="AG333" si="1272">AF333-AF321</f>
        <v>26.700000000000045</v>
      </c>
      <c r="AI333" s="303">
        <f t="shared" ref="AI333" si="1273">(H333/I333*1000)/G333</f>
        <v>0.37346798541635046</v>
      </c>
      <c r="AK333" s="442">
        <f t="shared" ref="AK333" si="1274">AVERAGE(AI333,AI321,AI309,AI297,AI285,AI273,AI261,AI249,AI225,AI213)</f>
        <v>0.33533404883834556</v>
      </c>
      <c r="AU333" s="4">
        <f t="shared" si="494"/>
        <v>2010</v>
      </c>
      <c r="AV333" s="4">
        <f t="shared" si="495"/>
        <v>5</v>
      </c>
      <c r="AW333" s="230">
        <f>'[8]RES 62 &amp; 67'!$S418</f>
        <v>400.9</v>
      </c>
      <c r="AX333" s="200">
        <f t="shared" si="306"/>
        <v>336.7</v>
      </c>
      <c r="AY333" s="203">
        <f t="shared" ref="AY333" si="1275">AX333-AW333</f>
        <v>-64.199999999999989</v>
      </c>
      <c r="AZ333" s="230">
        <f>'[8]RES 62 &amp; 67'!$J418</f>
        <v>0.1</v>
      </c>
      <c r="BA333" s="183">
        <f t="shared" si="307"/>
        <v>2.1</v>
      </c>
      <c r="BB333" s="429">
        <f t="shared" ref="BB333" si="1276">BA333-AZ333</f>
        <v>2</v>
      </c>
      <c r="BC333" s="206">
        <f t="shared" si="1129"/>
        <v>-142.97339999999997</v>
      </c>
      <c r="BD333" s="206">
        <f t="shared" si="1130"/>
        <v>0</v>
      </c>
      <c r="BE333" s="206">
        <f t="shared" ref="BE333" si="1277">BC333+BD333</f>
        <v>-142.97339999999997</v>
      </c>
      <c r="BF333" s="207">
        <f t="shared" si="1132"/>
        <v>6.1980000000000004</v>
      </c>
      <c r="BG333" s="219">
        <f t="shared" ref="BG333" si="1278">ROUND(BF333+BE333,1)</f>
        <v>-136.80000000000001</v>
      </c>
      <c r="BH333" s="4">
        <f t="shared" si="569"/>
        <v>2010</v>
      </c>
      <c r="BI333" s="4">
        <f t="shared" si="570"/>
        <v>5</v>
      </c>
      <c r="BJ333" s="108">
        <f>C333+[4]MWh!$AJ167</f>
        <v>1781587.5704270764</v>
      </c>
      <c r="BK333" s="108">
        <f t="shared" ref="BK333" si="1279">(H333/C333)*BJ333</f>
        <v>28511.492024509895</v>
      </c>
      <c r="BL333" s="108">
        <f t="shared" ref="BL333" si="1280">BJ333-BK333</f>
        <v>1753076.0784025665</v>
      </c>
      <c r="BM333" s="189">
        <f t="shared" ref="BM333" si="1281">(BL333/F333*1000)+BG333</f>
        <v>1136.7972718758385</v>
      </c>
      <c r="BN333" s="6">
        <f t="shared" ref="BN333" si="1282">ROUND(BM333*F333/1000,0)</f>
        <v>1564774</v>
      </c>
      <c r="BO333" s="175">
        <f t="shared" ref="BO333" si="1283">ROUND(BN333/BL333*BK333,0)</f>
        <v>25449</v>
      </c>
      <c r="BP333" s="108">
        <f t="shared" ref="BP333" si="1284">(BN333-BL333)+(BO333-BK333)</f>
        <v>-191364.5704270764</v>
      </c>
      <c r="BQ333" s="76">
        <f t="shared" ref="BQ333" si="1285">BJ333/D333*1000</f>
        <v>1240.298833923744</v>
      </c>
      <c r="BR333" s="76">
        <f t="shared" ref="BR333" si="1286">(BN333+BO333)/D333*1000</f>
        <v>1107.0753777800055</v>
      </c>
      <c r="BS333" s="76">
        <f t="shared" ref="BS333" si="1287">BR333-BR321</f>
        <v>-72.250748343601344</v>
      </c>
      <c r="BT333" s="175">
        <f t="shared" ref="BT333" si="1288">(BN333+BO333)</f>
        <v>1590223</v>
      </c>
      <c r="BU333" s="108">
        <f t="shared" ref="BU333" si="1289">BT333-BT321</f>
        <v>-96599</v>
      </c>
      <c r="BW333" s="529">
        <f>BT333/[9]RMWh!$L213</f>
        <v>1.1363151110145657</v>
      </c>
      <c r="CK333" s="406">
        <v>40299</v>
      </c>
      <c r="CL333" s="50">
        <f>BP333+COML!BV333+SPA!BV333</f>
        <v>-250177.5704270764</v>
      </c>
      <c r="CM333" s="181">
        <f>'[14]2010'!$D36</f>
        <v>-218382</v>
      </c>
      <c r="CN333" s="407">
        <f t="shared" ref="CN333:CN334" si="1290">CL333-CM333</f>
        <v>-31795.570427076396</v>
      </c>
      <c r="CO333" s="50">
        <f>'[2]FPC wSEB'!$R430</f>
        <v>4221300</v>
      </c>
      <c r="CP333" s="50">
        <f>'[2]FPC wSEB'!$C430-SUM('[2]FPC wSEB'!$K430:$L430)</f>
        <v>2968073</v>
      </c>
      <c r="CQ333" s="50">
        <f>'[2]FPC wSEB'!$T430-'[2]FPC wSEB'!$T429</f>
        <v>543006</v>
      </c>
      <c r="CR333" s="50">
        <f>SUM('[2]FPC wSEB'!$K430:$L430)</f>
        <v>172089</v>
      </c>
      <c r="CS333" s="50">
        <f>('[2]FPC wSEB'!$N430)-CQ333</f>
        <v>198493</v>
      </c>
      <c r="CT333" s="50">
        <f>'[2]FPC wSEB'!$P430</f>
        <v>13105</v>
      </c>
      <c r="CU333" s="50">
        <f>'[2]FPC wSEB'!$Q430</f>
        <v>326534</v>
      </c>
      <c r="CV333" s="115">
        <f t="shared" ref="CV333:CV334" si="1291">CO333-SUM(CP333:CU333)</f>
        <v>0</v>
      </c>
      <c r="CW333" s="50">
        <f t="shared" ref="CW333:CW334" si="1292">CO333-CT333-CU333+CM333</f>
        <v>3663279</v>
      </c>
      <c r="CX333" s="50">
        <f t="shared" ref="CX333:CX334" si="1293">SUM(CP333:CS333)+CL333</f>
        <v>3631483.4295729236</v>
      </c>
      <c r="CY333" s="50">
        <f t="shared" ref="CY333:CY334" si="1294">CW333-CX333</f>
        <v>31795.570427076425</v>
      </c>
      <c r="CZ333" s="23"/>
      <c r="DA333" s="23"/>
      <c r="DB333" s="50">
        <f t="shared" si="1181"/>
        <v>-18.465000000000007</v>
      </c>
      <c r="DC333" s="108">
        <f t="shared" si="1182"/>
        <v>1027.0350000000001</v>
      </c>
      <c r="DD333" s="50">
        <f t="shared" si="1183"/>
        <v>1413689</v>
      </c>
      <c r="DE333" s="108">
        <f t="shared" si="1184"/>
        <v>22624</v>
      </c>
      <c r="DF333" s="50">
        <f t="shared" si="1185"/>
        <v>1436313</v>
      </c>
      <c r="DG333" s="23">
        <f t="shared" si="1186"/>
        <v>-18</v>
      </c>
      <c r="DH333" s="500">
        <f>ROUND((([13]RUPC!$E213+DG333)*[5]RC!$E$209)/1000,0)</f>
        <v>1403013</v>
      </c>
      <c r="DI333" s="23"/>
      <c r="DJ333" s="23"/>
      <c r="DK333" s="23"/>
      <c r="DL333" s="23"/>
      <c r="DM333" s="23"/>
      <c r="DN333" s="23"/>
    </row>
    <row r="334" spans="1:118" ht="12.75">
      <c r="A334" s="13">
        <f t="shared" si="491"/>
        <v>2010</v>
      </c>
      <c r="B334" s="13">
        <f t="shared" si="492"/>
        <v>6</v>
      </c>
      <c r="C334" s="5">
        <f>'[2]FPC wSEB'!$D431</f>
        <v>1933927</v>
      </c>
      <c r="D334" s="5">
        <f>'[2]FPC wSEB'!$X431</f>
        <v>1468050</v>
      </c>
      <c r="E334" s="5">
        <f t="shared" ref="E334" si="1295">ROUND(C334-H334,0)</f>
        <v>1908858</v>
      </c>
      <c r="F334" s="5">
        <f t="shared" ref="F334" si="1296">ROUND(D334-I334,0)</f>
        <v>1404174</v>
      </c>
      <c r="G334" s="74">
        <f t="shared" ref="G334" si="1297">ROUND((E334)/F334*1000,1)</f>
        <v>1359.4</v>
      </c>
      <c r="H334" s="190">
        <v>25069</v>
      </c>
      <c r="I334" s="190">
        <v>63876</v>
      </c>
      <c r="J334" s="230">
        <f>'[7]RES 62 &amp; 67'!$S419</f>
        <v>429.1</v>
      </c>
      <c r="K334" s="183">
        <f t="shared" si="301"/>
        <v>382.8</v>
      </c>
      <c r="L334" s="233">
        <f t="shared" ref="L334" si="1298">(K334-J334)</f>
        <v>-46.300000000000011</v>
      </c>
      <c r="M334" s="230">
        <f>'[7]RES 62 &amp; 67'!$J419</f>
        <v>0.2</v>
      </c>
      <c r="N334" s="183">
        <f t="shared" si="302"/>
        <v>0.9</v>
      </c>
      <c r="O334" s="236">
        <f t="shared" ref="O334" si="1299">(N334-M334)</f>
        <v>0.7</v>
      </c>
      <c r="P334" s="206">
        <f t="shared" si="1113"/>
        <v>-103.11010000000002</v>
      </c>
      <c r="Q334" s="208">
        <f t="shared" si="1114"/>
        <v>0</v>
      </c>
      <c r="R334" s="467">
        <f t="shared" si="1115"/>
        <v>-103.11010000000002</v>
      </c>
      <c r="S334" s="470">
        <f t="shared" si="1116"/>
        <v>2.1692999999999998</v>
      </c>
      <c r="T334" s="425">
        <f t="shared" ref="T334" si="1300">ROUND((R334+S334),1)</f>
        <v>-100.9</v>
      </c>
      <c r="U334" s="579">
        <f>[5]RC!$E214</f>
        <v>1445527</v>
      </c>
      <c r="V334" s="447">
        <v>40330</v>
      </c>
      <c r="W334" s="191">
        <f t="shared" ref="W334" si="1301">(G334+T334)</f>
        <v>1258.5</v>
      </c>
      <c r="X334" s="73">
        <f t="shared" ref="X334" si="1302">ROUND(W334*F334/1000,0)</f>
        <v>1767153</v>
      </c>
      <c r="Y334" s="187">
        <f t="shared" ref="Y334" si="1303">ROUND((X334/C334)*H334,0)</f>
        <v>22907</v>
      </c>
      <c r="Z334" s="175">
        <f t="shared" ref="Z334" si="1304">Y334+X334</f>
        <v>1790060</v>
      </c>
      <c r="AA334" s="40">
        <f t="shared" ref="AA334" si="1305">Z334-C334</f>
        <v>-143867</v>
      </c>
      <c r="AB334" s="519">
        <f>[9]RMWh!$L214</f>
        <v>1721441</v>
      </c>
      <c r="AC334" s="107">
        <f>'[7]Gov 65 &amp; 70'!$B419</f>
        <v>30.55</v>
      </c>
      <c r="AD334" s="4">
        <f t="shared" si="424"/>
        <v>1714116</v>
      </c>
      <c r="AE334" s="4">
        <f t="shared" ref="AE334" si="1306">AD334-AD322</f>
        <v>-69474</v>
      </c>
      <c r="AF334" s="50">
        <f t="shared" ref="AF334" si="1307">ROUND((AD334/(D334)*1000),1)</f>
        <v>1167.5999999999999</v>
      </c>
      <c r="AG334" s="75">
        <f t="shared" ref="AG334" si="1308">AF334-AF322</f>
        <v>-43.400000000000091</v>
      </c>
      <c r="AI334" s="303">
        <f t="shared" ref="AI334" si="1309">(H334/I334*1000)/G334</f>
        <v>0.28870348909515936</v>
      </c>
      <c r="AK334" s="442">
        <f t="shared" ref="AK334" si="1310">AVERAGE(AI334,AI322,AI310,AI298,AI286,AI274,AI262,AI250,AI226,AI214)</f>
        <v>0.22915233684671948</v>
      </c>
      <c r="AU334" s="4">
        <f t="shared" si="494"/>
        <v>2010</v>
      </c>
      <c r="AV334" s="4">
        <f t="shared" si="495"/>
        <v>6</v>
      </c>
      <c r="AW334" s="230">
        <f>'[8]RES 62 &amp; 67'!$S419</f>
        <v>516.29999999999995</v>
      </c>
      <c r="AX334" s="200">
        <f t="shared" si="306"/>
        <v>425.2</v>
      </c>
      <c r="AY334" s="203">
        <f t="shared" ref="AY334" si="1311">AX334-AW334</f>
        <v>-91.099999999999966</v>
      </c>
      <c r="AZ334" s="230">
        <f>'[8]RES 62 &amp; 67'!$J419</f>
        <v>0</v>
      </c>
      <c r="BA334" s="183">
        <f t="shared" si="307"/>
        <v>0</v>
      </c>
      <c r="BB334" s="429">
        <f t="shared" ref="BB334" si="1312">BA334-AZ334</f>
        <v>0</v>
      </c>
      <c r="BC334" s="206">
        <f t="shared" si="1129"/>
        <v>-202.8796999999999</v>
      </c>
      <c r="BD334" s="206">
        <f t="shared" si="1130"/>
        <v>0</v>
      </c>
      <c r="BE334" s="206">
        <f t="shared" ref="BE334" si="1313">BC334+BD334</f>
        <v>-202.8796999999999</v>
      </c>
      <c r="BF334" s="207">
        <f t="shared" si="1132"/>
        <v>0</v>
      </c>
      <c r="BG334" s="219">
        <f t="shared" ref="BG334" si="1314">ROUND(BF334+BE334,1)</f>
        <v>-202.9</v>
      </c>
      <c r="BH334" s="4">
        <f t="shared" si="569"/>
        <v>2010</v>
      </c>
      <c r="BI334" s="4">
        <f t="shared" si="570"/>
        <v>6</v>
      </c>
      <c r="BJ334" s="108">
        <f>C334+[4]MWh!$AJ168</f>
        <v>2119020.0506785698</v>
      </c>
      <c r="BK334" s="108">
        <f t="shared" ref="BK334" si="1315">(H334/C334)*BJ334</f>
        <v>27468.313773198817</v>
      </c>
      <c r="BL334" s="108">
        <f t="shared" ref="BL334" si="1316">BJ334-BK334</f>
        <v>2091551.7369053711</v>
      </c>
      <c r="BM334" s="189">
        <f t="shared" ref="BM334" si="1317">(BL334/F334*1000)+BG334</f>
        <v>1286.6246151156272</v>
      </c>
      <c r="BN334" s="6">
        <f t="shared" ref="BN334" si="1318">ROUND(BM334*F334/1000,0)</f>
        <v>1806645</v>
      </c>
      <c r="BO334" s="175">
        <f t="shared" ref="BO334" si="1319">ROUND(BN334/BL334*BK334,0)</f>
        <v>23727</v>
      </c>
      <c r="BP334" s="108">
        <f t="shared" ref="BP334" si="1320">(BN334-BL334)+(BO334-BK334)</f>
        <v>-288648.05067856988</v>
      </c>
      <c r="BQ334" s="76">
        <f t="shared" ref="BQ334" si="1321">BJ334/D334*1000</f>
        <v>1443.4249859872414</v>
      </c>
      <c r="BR334" s="76">
        <f t="shared" ref="BR334" si="1322">(BN334+BO334)/D334*1000</f>
        <v>1246.8049453356493</v>
      </c>
      <c r="BS334" s="76">
        <f t="shared" ref="BS334" si="1323">BR334-BR322</f>
        <v>-54.713207106981145</v>
      </c>
      <c r="BT334" s="175">
        <f t="shared" ref="BT334" si="1324">(BN334+BO334)</f>
        <v>1830372</v>
      </c>
      <c r="BU334" s="108">
        <f t="shared" ref="BU334" si="1325">BT334-BT322</f>
        <v>-86474</v>
      </c>
      <c r="BW334" s="529">
        <f>BT334/[9]RMWh!$L214</f>
        <v>1.063278962218281</v>
      </c>
      <c r="CK334" s="406">
        <v>40330</v>
      </c>
      <c r="CL334" s="50">
        <f>BP334+COML!BV334+SPA!BV334</f>
        <v>-371677.05067856988</v>
      </c>
      <c r="CM334" s="181">
        <f>'[14]2010'!$D37</f>
        <v>-290726</v>
      </c>
      <c r="CN334" s="407">
        <f t="shared" si="1290"/>
        <v>-80951.050678569882</v>
      </c>
      <c r="CO334" s="50">
        <f>'[2]FPC wSEB'!$R431</f>
        <v>4643542</v>
      </c>
      <c r="CP334" s="50">
        <f>'[2]FPC wSEB'!$C431-SUM('[2]FPC wSEB'!$K431:$L431)</f>
        <v>3644739</v>
      </c>
      <c r="CQ334" s="50">
        <f>'[2]FPC wSEB'!$T431-'[2]FPC wSEB'!$T430</f>
        <v>199163</v>
      </c>
      <c r="CR334" s="50">
        <f>SUM('[2]FPC wSEB'!$K431:$L431)</f>
        <v>357803</v>
      </c>
      <c r="CS334" s="50">
        <f>('[2]FPC wSEB'!$N431)-CQ334</f>
        <v>93137</v>
      </c>
      <c r="CT334" s="50">
        <f>'[2]FPC wSEB'!$P431</f>
        <v>16398</v>
      </c>
      <c r="CU334" s="50">
        <f>'[2]FPC wSEB'!$Q431</f>
        <v>332302</v>
      </c>
      <c r="CV334" s="115">
        <f t="shared" si="1291"/>
        <v>0</v>
      </c>
      <c r="CW334" s="50">
        <f t="shared" si="1292"/>
        <v>4004116</v>
      </c>
      <c r="CX334" s="50">
        <f t="shared" si="1293"/>
        <v>3923164.9493214302</v>
      </c>
      <c r="CY334" s="50">
        <f t="shared" si="1294"/>
        <v>80951.050678569824</v>
      </c>
      <c r="CZ334" s="23"/>
      <c r="DA334" s="23"/>
      <c r="DB334" s="50">
        <f t="shared" si="1181"/>
        <v>-87.172500000000014</v>
      </c>
      <c r="DC334" s="108">
        <f t="shared" si="1182"/>
        <v>1272.2275</v>
      </c>
      <c r="DD334" s="50">
        <f t="shared" si="1183"/>
        <v>1786429</v>
      </c>
      <c r="DE334" s="108">
        <f t="shared" si="1184"/>
        <v>23157</v>
      </c>
      <c r="DF334" s="50">
        <f t="shared" si="1185"/>
        <v>1809586</v>
      </c>
      <c r="DG334" s="23">
        <f t="shared" si="1186"/>
        <v>-85</v>
      </c>
      <c r="DH334" s="500">
        <f>ROUND((([13]RUPC!$E214+DG334)*[5]RC!$E$209)/1000,0)</f>
        <v>1736244</v>
      </c>
      <c r="DI334" s="23"/>
      <c r="DJ334" s="23"/>
      <c r="DK334" s="23"/>
      <c r="DL334" s="23"/>
      <c r="DM334" s="23"/>
      <c r="DN334" s="23"/>
    </row>
    <row r="335" spans="1:118" ht="12.75">
      <c r="A335" s="13">
        <f t="shared" si="491"/>
        <v>2010</v>
      </c>
      <c r="B335" s="13">
        <f t="shared" si="492"/>
        <v>7</v>
      </c>
      <c r="C335" s="5">
        <f>'[2]FPC wSEB'!$D432</f>
        <v>2055318</v>
      </c>
      <c r="D335" s="5">
        <f>'[2]FPC wSEB'!$X432</f>
        <v>1422561</v>
      </c>
      <c r="E335" s="5">
        <f t="shared" ref="E335" si="1326">ROUND(C335-H335,0)</f>
        <v>2031145</v>
      </c>
      <c r="F335" s="5">
        <f t="shared" ref="F335" si="1327">ROUND(D335-I335,0)</f>
        <v>1362167</v>
      </c>
      <c r="G335" s="74">
        <f t="shared" ref="G335" si="1328">ROUND((E335)/F335*1000,1)</f>
        <v>1491.1</v>
      </c>
      <c r="H335" s="190">
        <v>24173</v>
      </c>
      <c r="I335" s="190">
        <v>60394</v>
      </c>
      <c r="J335" s="230">
        <f>'[7]RES 62 &amp; 67'!$S420</f>
        <v>511.2</v>
      </c>
      <c r="K335" s="183">
        <f t="shared" si="301"/>
        <v>454.9</v>
      </c>
      <c r="L335" s="233">
        <f t="shared" ref="L335" si="1329">(K335-J335)</f>
        <v>-56.300000000000011</v>
      </c>
      <c r="M335" s="230">
        <f>'[7]RES 62 &amp; 67'!$J420</f>
        <v>0</v>
      </c>
      <c r="N335" s="183">
        <f t="shared" si="302"/>
        <v>0</v>
      </c>
      <c r="O335" s="236">
        <f t="shared" ref="O335" si="1330">(N335-M335)</f>
        <v>0</v>
      </c>
      <c r="P335" s="206">
        <f t="shared" ref="P335" si="1331">L335*$G$10</f>
        <v>-125.38010000000001</v>
      </c>
      <c r="Q335" s="208">
        <f t="shared" ref="Q335" si="1332">IF($B335=12,L335*$G$11,IF($B335&lt;5,L335*$G$11,0))</f>
        <v>0</v>
      </c>
      <c r="R335" s="467">
        <f t="shared" ref="R335" si="1333">P335+Q335</f>
        <v>-125.38010000000001</v>
      </c>
      <c r="S335" s="470">
        <f t="shared" ref="S335" si="1334">O335*$G$9</f>
        <v>0</v>
      </c>
      <c r="T335" s="425">
        <f t="shared" ref="T335" si="1335">ROUND((R335+S335),1)</f>
        <v>-125.4</v>
      </c>
      <c r="U335" s="579">
        <f>[5]RC!$E215</f>
        <v>1445544</v>
      </c>
      <c r="V335" s="447">
        <v>40360</v>
      </c>
      <c r="W335" s="191">
        <f t="shared" ref="W335" si="1336">(G335+T335)</f>
        <v>1365.6999999999998</v>
      </c>
      <c r="X335" s="73">
        <f t="shared" ref="X335" si="1337">ROUND(W335*F335/1000,0)</f>
        <v>1860311</v>
      </c>
      <c r="Y335" s="187">
        <f t="shared" ref="Y335" si="1338">ROUND((X335/C335)*H335,0)</f>
        <v>21879</v>
      </c>
      <c r="Z335" s="175">
        <f t="shared" ref="Z335" si="1339">Y335+X335</f>
        <v>1882190</v>
      </c>
      <c r="AA335" s="40">
        <f t="shared" ref="AA335" si="1340">Z335-C335</f>
        <v>-173128</v>
      </c>
      <c r="AB335" s="519">
        <f>[9]RMWh!$L215</f>
        <v>1910694</v>
      </c>
      <c r="AC335" s="107">
        <f>'[7]Gov 65 &amp; 70'!$B420</f>
        <v>30.55</v>
      </c>
      <c r="AD335" s="4">
        <f t="shared" si="424"/>
        <v>1902563</v>
      </c>
      <c r="AE335" s="4">
        <f t="shared" ref="AE335" si="1341">AD335-AD323</f>
        <v>-75174</v>
      </c>
      <c r="AF335" s="50">
        <f t="shared" ref="AF335" si="1342">ROUND((AD335/(D335)*1000),1)</f>
        <v>1337.4</v>
      </c>
      <c r="AG335" s="75">
        <f t="shared" ref="AG335" si="1343">AF335-AF323</f>
        <v>-38.099999999999909</v>
      </c>
      <c r="AI335" s="303">
        <f t="shared" ref="AI335" si="1344">(H335/I335*1000)/G335</f>
        <v>0.26842934224248544</v>
      </c>
      <c r="AK335" s="442">
        <f t="shared" ref="AK335" si="1345">AVERAGE(AI335,AI323,AI311,AI299,AI287,AI275,AI263,AI251,AI227,AI215)</f>
        <v>0.20985982537060957</v>
      </c>
      <c r="AU335" s="4">
        <f t="shared" si="494"/>
        <v>2010</v>
      </c>
      <c r="AV335" s="4">
        <f t="shared" si="495"/>
        <v>7</v>
      </c>
      <c r="AW335" s="230">
        <f>'[8]RES 62 &amp; 67'!$S420</f>
        <v>533.79999999999995</v>
      </c>
      <c r="AX335" s="200">
        <f t="shared" si="306"/>
        <v>484.1</v>
      </c>
      <c r="AY335" s="203">
        <f t="shared" ref="AY335" si="1346">AX335-AW335</f>
        <v>-49.699999999999932</v>
      </c>
      <c r="AZ335" s="230">
        <f>'[8]RES 62 &amp; 67'!$J420</f>
        <v>0</v>
      </c>
      <c r="BA335" s="183">
        <f t="shared" si="307"/>
        <v>0</v>
      </c>
      <c r="BB335" s="429">
        <f t="shared" ref="BB335" si="1347">BA335-AZ335</f>
        <v>0</v>
      </c>
      <c r="BC335" s="206">
        <f t="shared" ref="BC335" si="1348">AY335*$G$10</f>
        <v>-110.68189999999984</v>
      </c>
      <c r="BD335" s="206">
        <f t="shared" ref="BD335" si="1349">IF($B335=4,($G$11*0.5*AY335),IF($B335=11,($G$11*0.5*AY335),IF($B335=12,AY335*$G$11,IF($B335&lt;5,AY335*$G$11,0))))</f>
        <v>0</v>
      </c>
      <c r="BE335" s="206">
        <f t="shared" ref="BE335" si="1350">BC335+BD335</f>
        <v>-110.68189999999984</v>
      </c>
      <c r="BF335" s="207">
        <f t="shared" ref="BF335" si="1351">BB335*$G$9</f>
        <v>0</v>
      </c>
      <c r="BG335" s="219">
        <f t="shared" ref="BG335" si="1352">ROUND(BF335+BE335,1)</f>
        <v>-110.7</v>
      </c>
      <c r="BH335" s="4">
        <f t="shared" si="569"/>
        <v>2010</v>
      </c>
      <c r="BI335" s="4">
        <f t="shared" si="570"/>
        <v>7</v>
      </c>
      <c r="BJ335" s="108">
        <f>C335+[4]MWh!$AJ169</f>
        <v>2144720.4661067943</v>
      </c>
      <c r="BK335" s="108">
        <f t="shared" ref="BK335" si="1353">(H335/C335)*BJ335</f>
        <v>25224.480020707033</v>
      </c>
      <c r="BL335" s="108">
        <f t="shared" ref="BL335" si="1354">BJ335-BK335</f>
        <v>2119495.9860860873</v>
      </c>
      <c r="BM335" s="189">
        <f t="shared" ref="BM335" si="1355">(BL335/F335*1000)+BG335</f>
        <v>1445.2736699582997</v>
      </c>
      <c r="BN335" s="6">
        <f t="shared" ref="BN335" si="1356">ROUND(BM335*F335/1000,0)</f>
        <v>1968704</v>
      </c>
      <c r="BO335" s="175">
        <f t="shared" ref="BO335" si="1357">ROUND(BN335/BL335*BK335,0)</f>
        <v>23430</v>
      </c>
      <c r="BP335" s="108">
        <f t="shared" ref="BP335" si="1358">(BN335-BL335)+(BO335-BK335)</f>
        <v>-152586.46610679434</v>
      </c>
      <c r="BQ335" s="76">
        <f t="shared" ref="BQ335" si="1359">BJ335/D335*1000</f>
        <v>1507.6474513970186</v>
      </c>
      <c r="BR335" s="76">
        <f t="shared" ref="BR335" si="1360">(BN335+BO335)/D335*1000</f>
        <v>1400.3856425137483</v>
      </c>
      <c r="BS335" s="76">
        <f t="shared" ref="BS335" si="1361">BR335-BR323</f>
        <v>-83.862791092653424</v>
      </c>
      <c r="BT335" s="175">
        <f t="shared" ref="BT335" si="1362">(BN335+BO335)</f>
        <v>1992134</v>
      </c>
      <c r="BU335" s="108">
        <f t="shared" ref="BU335" si="1363">BT335-BT323</f>
        <v>-142003</v>
      </c>
      <c r="BW335" s="529">
        <f>BT335/[9]RMWh!$L215</f>
        <v>1.0426232562618609</v>
      </c>
      <c r="CK335" s="406">
        <v>40360</v>
      </c>
      <c r="CL335" s="50">
        <f>BP335+COML!BV335+SPA!BV335</f>
        <v>-197776.46610679434</v>
      </c>
      <c r="CM335" s="181">
        <f>'[14]2010'!$D38</f>
        <v>-218571</v>
      </c>
      <c r="CN335" s="407">
        <f t="shared" ref="CN335" si="1364">CL335-CM335</f>
        <v>20794.533893205662</v>
      </c>
      <c r="CO335" s="50">
        <f>'[2]FPC wSEB'!$R432</f>
        <v>4681968</v>
      </c>
      <c r="CP335" s="50">
        <f>'[2]FPC wSEB'!$C432-SUM('[2]FPC wSEB'!$K432:$L432)</f>
        <v>3785974</v>
      </c>
      <c r="CQ335" s="50">
        <f>'[2]FPC wSEB'!$T432-'[2]FPC wSEB'!$T431</f>
        <v>112780</v>
      </c>
      <c r="CR335" s="50">
        <f>SUM('[2]FPC wSEB'!$K432:$L432)</f>
        <v>458929</v>
      </c>
      <c r="CS335" s="50">
        <f>('[2]FPC wSEB'!$N432)-CQ335</f>
        <v>-25526</v>
      </c>
      <c r="CT335" s="50">
        <f>'[2]FPC wSEB'!$P432</f>
        <v>18991</v>
      </c>
      <c r="CU335" s="50">
        <f>'[2]FPC wSEB'!$Q432</f>
        <v>330820</v>
      </c>
      <c r="CV335" s="115">
        <f t="shared" ref="CV335" si="1365">CO335-SUM(CP335:CU335)</f>
        <v>0</v>
      </c>
      <c r="CW335" s="50">
        <f t="shared" ref="CW335" si="1366">CO335-CT335-CU335+CM335</f>
        <v>4113586</v>
      </c>
      <c r="CX335" s="50">
        <f t="shared" ref="CX335" si="1367">SUM(CP335:CS335)+CL335</f>
        <v>4134380.5338932057</v>
      </c>
      <c r="CY335" s="50">
        <f t="shared" ref="CY335" si="1368">CW335-CX335</f>
        <v>-20794.533893205691</v>
      </c>
      <c r="CZ335" s="23"/>
      <c r="DA335" s="23"/>
      <c r="DB335" s="50">
        <f t="shared" si="1181"/>
        <v>-108.43380000000002</v>
      </c>
      <c r="DC335" s="108">
        <f t="shared" si="1182"/>
        <v>1382.6661999999999</v>
      </c>
      <c r="DD335" s="50">
        <f t="shared" si="1183"/>
        <v>1883422</v>
      </c>
      <c r="DE335" s="108">
        <f t="shared" si="1184"/>
        <v>22151</v>
      </c>
      <c r="DF335" s="50">
        <f t="shared" si="1185"/>
        <v>1905573</v>
      </c>
      <c r="DG335" s="23">
        <f t="shared" si="1186"/>
        <v>-105</v>
      </c>
      <c r="DH335" s="500">
        <f>ROUND((([13]RUPC!$E215+DG335)*[5]RC!$E$209)/1000,0)</f>
        <v>1930381</v>
      </c>
      <c r="DI335" s="23"/>
      <c r="DJ335" s="23"/>
      <c r="DK335" s="23"/>
      <c r="DL335" s="23"/>
      <c r="DM335" s="23"/>
      <c r="DN335" s="23"/>
    </row>
    <row r="336" spans="1:118" ht="12.75">
      <c r="A336" s="13">
        <f t="shared" si="491"/>
        <v>2010</v>
      </c>
      <c r="B336" s="13">
        <f t="shared" si="492"/>
        <v>8</v>
      </c>
      <c r="C336" s="5">
        <f>'[2]FPC wSEB'!$D433</f>
        <v>2135860</v>
      </c>
      <c r="D336" s="5">
        <f>'[2]FPC wSEB'!$X433</f>
        <v>1402438</v>
      </c>
      <c r="E336" s="5">
        <f t="shared" ref="E336" si="1369">ROUND(C336-H336,0)</f>
        <v>2110038</v>
      </c>
      <c r="F336" s="5">
        <f t="shared" ref="F336" si="1370">ROUND(D336-I336,0)</f>
        <v>1341193</v>
      </c>
      <c r="G336" s="74">
        <f t="shared" ref="G336" si="1371">ROUND((E336)/F336*1000,1)</f>
        <v>1573.3</v>
      </c>
      <c r="H336" s="190">
        <v>25822</v>
      </c>
      <c r="I336" s="190">
        <v>61245</v>
      </c>
      <c r="J336" s="230">
        <f>'[7]RES 62 &amp; 67'!$S421</f>
        <v>537.20000000000005</v>
      </c>
      <c r="K336" s="183">
        <f t="shared" si="301"/>
        <v>481.4</v>
      </c>
      <c r="L336" s="233">
        <f t="shared" ref="L336" si="1372">(K336-J336)</f>
        <v>-55.800000000000068</v>
      </c>
      <c r="M336" s="230">
        <f>'[7]RES 62 &amp; 67'!$J421</f>
        <v>0</v>
      </c>
      <c r="N336" s="183">
        <f t="shared" si="302"/>
        <v>0</v>
      </c>
      <c r="O336" s="236">
        <f t="shared" ref="O336" si="1373">(N336-M336)</f>
        <v>0</v>
      </c>
      <c r="P336" s="206">
        <f t="shared" ref="P336" si="1374">L336*$G$10</f>
        <v>-124.26660000000014</v>
      </c>
      <c r="Q336" s="208">
        <f t="shared" ref="Q336" si="1375">IF($B336=12,L336*$G$11,IF($B336&lt;5,L336*$G$11,0))</f>
        <v>0</v>
      </c>
      <c r="R336" s="467">
        <f t="shared" ref="R336" si="1376">P336+Q336</f>
        <v>-124.26660000000014</v>
      </c>
      <c r="S336" s="470">
        <f t="shared" ref="S336" si="1377">O336*$G$9</f>
        <v>0</v>
      </c>
      <c r="T336" s="425">
        <f t="shared" ref="T336" si="1378">ROUND((R336+S336),1)</f>
        <v>-124.3</v>
      </c>
      <c r="U336" s="579">
        <f>[5]RC!$E216</f>
        <v>1445607</v>
      </c>
      <c r="V336" s="447">
        <v>40391</v>
      </c>
      <c r="W336" s="191">
        <f t="shared" ref="W336" si="1379">(G336+T336)</f>
        <v>1449</v>
      </c>
      <c r="X336" s="73">
        <f t="shared" ref="X336" si="1380">ROUND(W336*F336/1000,0)</f>
        <v>1943389</v>
      </c>
      <c r="Y336" s="187">
        <f t="shared" ref="Y336" si="1381">ROUND((X336/C336)*H336,0)</f>
        <v>23495</v>
      </c>
      <c r="Z336" s="175">
        <f t="shared" ref="Z336" si="1382">Y336+X336</f>
        <v>1966884</v>
      </c>
      <c r="AA336" s="40">
        <f t="shared" ref="AA336" si="1383">Z336-C336</f>
        <v>-168976</v>
      </c>
      <c r="AB336" s="519">
        <f>[9]RMWh!$L216</f>
        <v>2029848</v>
      </c>
      <c r="AC336" s="107">
        <f>'[7]Gov 65 &amp; 70'!$B421</f>
        <v>29.9</v>
      </c>
      <c r="AD336" s="4">
        <f t="shared" si="424"/>
        <v>2065150</v>
      </c>
      <c r="AE336" s="4">
        <f t="shared" ref="AE336" si="1384">AD336-AD324</f>
        <v>-21831</v>
      </c>
      <c r="AF336" s="50">
        <f t="shared" ref="AF336" si="1385">ROUND((AD336/(D336)*1000),1)</f>
        <v>1472.5</v>
      </c>
      <c r="AG336" s="75">
        <f t="shared" ref="AG336" si="1386">AF336-AF324</f>
        <v>-56.799999999999955</v>
      </c>
      <c r="AI336" s="303">
        <f t="shared" ref="AI336" si="1387">(H336/I336*1000)/G336</f>
        <v>0.26798327799704885</v>
      </c>
      <c r="AK336" s="442">
        <f t="shared" ref="AK336" si="1388">AVERAGE(AI336,AI324,AI312,AI300,AI288,AI276,AI264,AI252,AI228,AI216)</f>
        <v>0.20772553280143433</v>
      </c>
      <c r="AU336" s="4">
        <f t="shared" si="494"/>
        <v>2010</v>
      </c>
      <c r="AV336" s="4">
        <f t="shared" si="495"/>
        <v>8</v>
      </c>
      <c r="AW336" s="230">
        <f>'[8]RES 62 &amp; 67'!$S421</f>
        <v>527.1</v>
      </c>
      <c r="AX336" s="200">
        <f t="shared" si="306"/>
        <v>487.3</v>
      </c>
      <c r="AY336" s="203">
        <f t="shared" ref="AY336" si="1389">AX336-AW336</f>
        <v>-39.800000000000011</v>
      </c>
      <c r="AZ336" s="230">
        <f>'[8]RES 62 &amp; 67'!$J421</f>
        <v>0</v>
      </c>
      <c r="BA336" s="183">
        <f t="shared" si="307"/>
        <v>0</v>
      </c>
      <c r="BB336" s="429">
        <f t="shared" ref="BB336" si="1390">BA336-AZ336</f>
        <v>0</v>
      </c>
      <c r="BC336" s="206">
        <f t="shared" ref="BC336" si="1391">AY336*$G$10</f>
        <v>-88.63460000000002</v>
      </c>
      <c r="BD336" s="206">
        <f t="shared" ref="BD336" si="1392">IF($B336=4,($G$11*0.5*AY336),IF($B336=11,($G$11*0.5*AY336),IF($B336=12,AY336*$G$11,IF($B336&lt;5,AY336*$G$11,0))))</f>
        <v>0</v>
      </c>
      <c r="BE336" s="206">
        <f t="shared" ref="BE336" si="1393">BC336+BD336</f>
        <v>-88.63460000000002</v>
      </c>
      <c r="BF336" s="207">
        <f t="shared" ref="BF336" si="1394">BB336*$G$9</f>
        <v>0</v>
      </c>
      <c r="BG336" s="219">
        <f t="shared" ref="BG336" si="1395">ROUND(BF336+BE336,1)</f>
        <v>-88.6</v>
      </c>
      <c r="BH336" s="4">
        <f t="shared" si="569"/>
        <v>2010</v>
      </c>
      <c r="BI336" s="4">
        <f t="shared" si="570"/>
        <v>8</v>
      </c>
      <c r="BJ336" s="108">
        <f>C336+[4]MWh!$AJ170</f>
        <v>2107943.0495295851</v>
      </c>
      <c r="BK336" s="108">
        <f t="shared" ref="BK336" si="1396">(H336/C336)*BJ336</f>
        <v>25484.49122365368</v>
      </c>
      <c r="BL336" s="108">
        <f t="shared" ref="BL336" si="1397">BJ336-BK336</f>
        <v>2082458.5583059313</v>
      </c>
      <c r="BM336" s="189">
        <f t="shared" ref="BM336" si="1398">(BL336/F336*1000)+BG336</f>
        <v>1464.0911923234996</v>
      </c>
      <c r="BN336" s="6">
        <f t="shared" ref="BN336" si="1399">ROUND(BM336*F336/1000,0)</f>
        <v>1963629</v>
      </c>
      <c r="BO336" s="175">
        <f t="shared" ref="BO336" si="1400">ROUND(BN336/BL336*BK336,0)</f>
        <v>24030</v>
      </c>
      <c r="BP336" s="108">
        <f t="shared" ref="BP336" si="1401">(BN336-BL336)+(BO336-BK336)</f>
        <v>-120284.04952958495</v>
      </c>
      <c r="BQ336" s="76">
        <f t="shared" ref="BQ336" si="1402">BJ336/D336*1000</f>
        <v>1503.0561418968859</v>
      </c>
      <c r="BR336" s="76">
        <f t="shared" ref="BR336" si="1403">(BN336+BO336)/D336*1000</f>
        <v>1417.2883221932093</v>
      </c>
      <c r="BS336" s="76">
        <f t="shared" ref="BS336" si="1404">BR336-BR324</f>
        <v>-30.916282916642331</v>
      </c>
      <c r="BT336" s="175">
        <f t="shared" ref="BT336" si="1405">(BN336+BO336)</f>
        <v>1987659</v>
      </c>
      <c r="BU336" s="108">
        <f t="shared" ref="BU336" si="1406">BT336-BT324</f>
        <v>11355</v>
      </c>
      <c r="BW336" s="529">
        <f>BT336/[9]RMWh!$L216</f>
        <v>0.97921568511533874</v>
      </c>
      <c r="CK336" s="406">
        <v>40391</v>
      </c>
      <c r="CL336" s="50">
        <f>BP336+COML!BV336+SPA!BV336</f>
        <v>-156736.04952958494</v>
      </c>
      <c r="CM336" s="181">
        <f>'[14]2010'!$D39</f>
        <v>-233810</v>
      </c>
      <c r="CN336" s="407">
        <f t="shared" ref="CN336" si="1407">CL336-CM336</f>
        <v>77073.95047041506</v>
      </c>
      <c r="CO336" s="50">
        <f>'[2]FPC wSEB'!$R433</f>
        <v>4553897</v>
      </c>
      <c r="CP336" s="50">
        <f>'[2]FPC wSEB'!$C433-SUM('[2]FPC wSEB'!$K433:$L433)</f>
        <v>3869929</v>
      </c>
      <c r="CQ336" s="50">
        <f>'[2]FPC wSEB'!$T433-'[2]FPC wSEB'!$T432</f>
        <v>-90024</v>
      </c>
      <c r="CR336" s="50">
        <f>SUM('[2]FPC wSEB'!$K433:$L433)</f>
        <v>421649</v>
      </c>
      <c r="CS336" s="50">
        <f>('[2]FPC wSEB'!$N433)-CQ336</f>
        <v>-9271</v>
      </c>
      <c r="CT336" s="50">
        <f>'[2]FPC wSEB'!$P433</f>
        <v>15145</v>
      </c>
      <c r="CU336" s="50">
        <f>'[2]FPC wSEB'!$Q433</f>
        <v>346469</v>
      </c>
      <c r="CV336" s="115">
        <f t="shared" ref="CV336" si="1408">CO336-SUM(CP336:CU336)</f>
        <v>0</v>
      </c>
      <c r="CW336" s="50">
        <f t="shared" ref="CW336" si="1409">CO336-CT336-CU336+CM336</f>
        <v>3958473</v>
      </c>
      <c r="CX336" s="50">
        <f t="shared" ref="CX336" si="1410">SUM(CP336:CS336)+CL336</f>
        <v>4035546.9504704149</v>
      </c>
      <c r="CY336" s="50">
        <f t="shared" ref="CY336" si="1411">CW336-CX336</f>
        <v>-77073.950470414944</v>
      </c>
      <c r="CZ336" s="23"/>
      <c r="DA336" s="23"/>
      <c r="DB336" s="50">
        <f t="shared" si="1181"/>
        <v>-107.47080000000012</v>
      </c>
      <c r="DC336" s="108">
        <f t="shared" si="1182"/>
        <v>1465.8291999999999</v>
      </c>
      <c r="DD336" s="50">
        <f t="shared" si="1183"/>
        <v>1965960</v>
      </c>
      <c r="DE336" s="108">
        <f t="shared" si="1184"/>
        <v>23768</v>
      </c>
      <c r="DF336" s="50">
        <f t="shared" si="1185"/>
        <v>1989728</v>
      </c>
      <c r="DG336" s="23">
        <f t="shared" si="1186"/>
        <v>-104</v>
      </c>
      <c r="DH336" s="500">
        <f>ROUND((([13]RUPC!$E216+DG336)*[5]RC!$E$209)/1000,0)</f>
        <v>2048863</v>
      </c>
      <c r="DI336" s="23"/>
      <c r="DJ336" s="23"/>
      <c r="DK336" s="23"/>
      <c r="DL336" s="23"/>
      <c r="DM336" s="23"/>
      <c r="DN336" s="23"/>
    </row>
    <row r="337" spans="1:118" ht="12.75">
      <c r="A337" s="13">
        <f t="shared" si="491"/>
        <v>2010</v>
      </c>
      <c r="B337" s="13">
        <f t="shared" si="492"/>
        <v>9</v>
      </c>
      <c r="C337" s="5">
        <f>'[2]FPC wSEB'!$D434</f>
        <v>1990903</v>
      </c>
      <c r="D337" s="5">
        <f>'[2]FPC wSEB'!$X434</f>
        <v>1451630</v>
      </c>
      <c r="E337" s="5">
        <f t="shared" ref="E337" si="1412">ROUND(C337-H337,0)</f>
        <v>1967794</v>
      </c>
      <c r="F337" s="5">
        <f t="shared" ref="F337" si="1413">ROUND(D337-I337,0)</f>
        <v>1389153</v>
      </c>
      <c r="G337" s="74">
        <f t="shared" ref="G337" si="1414">ROUND((E337)/F337*1000,1)</f>
        <v>1416.5</v>
      </c>
      <c r="H337" s="190">
        <v>23109</v>
      </c>
      <c r="I337" s="190">
        <v>62477</v>
      </c>
      <c r="J337" s="230">
        <f>'[7]RES 62 &amp; 67'!$S422</f>
        <v>500.3</v>
      </c>
      <c r="K337" s="183">
        <f t="shared" si="301"/>
        <v>473.7</v>
      </c>
      <c r="L337" s="233">
        <f t="shared" ref="L337" si="1415">(K337-J337)</f>
        <v>-26.600000000000023</v>
      </c>
      <c r="M337" s="230">
        <f>'[7]RES 62 &amp; 67'!$J422</f>
        <v>0</v>
      </c>
      <c r="N337" s="183">
        <f t="shared" si="302"/>
        <v>0</v>
      </c>
      <c r="O337" s="236">
        <f t="shared" ref="O337" si="1416">(N337-M337)</f>
        <v>0</v>
      </c>
      <c r="P337" s="206">
        <f t="shared" ref="P337" si="1417">L337*$G$10</f>
        <v>-59.238200000000049</v>
      </c>
      <c r="Q337" s="208">
        <f t="shared" ref="Q337" si="1418">IF($B337=12,L337*$G$11,IF($B337&lt;5,L337*$G$11,0))</f>
        <v>0</v>
      </c>
      <c r="R337" s="467">
        <f t="shared" ref="R337" si="1419">P337+Q337</f>
        <v>-59.238200000000049</v>
      </c>
      <c r="S337" s="470">
        <f t="shared" ref="S337" si="1420">O337*$G$9</f>
        <v>0</v>
      </c>
      <c r="T337" s="425">
        <f t="shared" ref="T337" si="1421">ROUND((R337+S337),1)</f>
        <v>-59.2</v>
      </c>
      <c r="U337" s="579">
        <f>[5]RC!$E217</f>
        <v>1444908</v>
      </c>
      <c r="V337" s="447">
        <v>40422</v>
      </c>
      <c r="W337" s="191">
        <f t="shared" ref="W337" si="1422">(G337+T337)</f>
        <v>1357.3</v>
      </c>
      <c r="X337" s="73">
        <f t="shared" ref="X337" si="1423">ROUND(W337*F337/1000,0)</f>
        <v>1885497</v>
      </c>
      <c r="Y337" s="187">
        <f t="shared" ref="Y337" si="1424">ROUND((X337/C337)*H337,0)</f>
        <v>21886</v>
      </c>
      <c r="Z337" s="175">
        <f t="shared" ref="Z337" si="1425">Y337+X337</f>
        <v>1907383</v>
      </c>
      <c r="AA337" s="40">
        <f t="shared" ref="AA337" si="1426">Z337-C337</f>
        <v>-83520</v>
      </c>
      <c r="AB337" s="519">
        <f>[9]RMWh!$L217</f>
        <v>1904295</v>
      </c>
      <c r="AC337" s="107">
        <f>'[7]Gov 65 &amp; 70'!$B422</f>
        <v>30.2</v>
      </c>
      <c r="AD337" s="4">
        <f t="shared" ref="AD337:AD371" si="1427">ROUND(AB337/(AC337/30.42),0)</f>
        <v>1918167</v>
      </c>
      <c r="AE337" s="4">
        <f t="shared" ref="AE337" si="1428">AD337-AD325</f>
        <v>-117107</v>
      </c>
      <c r="AF337" s="50">
        <f t="shared" ref="AF337" si="1429">ROUND((AD337/(D337)*1000),1)</f>
        <v>1321.4</v>
      </c>
      <c r="AG337" s="75">
        <f t="shared" ref="AG337" si="1430">AF337-AF325</f>
        <v>-108.79999999999995</v>
      </c>
      <c r="AI337" s="303">
        <f t="shared" ref="AI337" si="1431">(H337/I337*1000)/G337</f>
        <v>0.26112256680737367</v>
      </c>
      <c r="AK337" s="442">
        <f t="shared" ref="AK337" si="1432">AVERAGE(AI337,AI325,AI313,AI301,AI289,AI277,AI265,AI253,AI229,AI217)</f>
        <v>0.21118668822238157</v>
      </c>
      <c r="AU337" s="4">
        <f t="shared" si="494"/>
        <v>2010</v>
      </c>
      <c r="AV337" s="4">
        <f t="shared" si="495"/>
        <v>9</v>
      </c>
      <c r="AW337" s="230">
        <f>'[8]RES 62 &amp; 67'!$S422</f>
        <v>459.1</v>
      </c>
      <c r="AX337" s="200">
        <f t="shared" si="306"/>
        <v>428.3</v>
      </c>
      <c r="AY337" s="203">
        <f t="shared" ref="AY337" si="1433">AX337-AW337</f>
        <v>-30.800000000000011</v>
      </c>
      <c r="AZ337" s="230">
        <f>'[8]RES 62 &amp; 67'!$J422</f>
        <v>0</v>
      </c>
      <c r="BA337" s="183">
        <f t="shared" si="307"/>
        <v>0</v>
      </c>
      <c r="BB337" s="429">
        <f t="shared" ref="BB337" si="1434">BA337-AZ337</f>
        <v>0</v>
      </c>
      <c r="BC337" s="206">
        <f t="shared" ref="BC337" si="1435">AY337*$G$10</f>
        <v>-68.591600000000028</v>
      </c>
      <c r="BD337" s="206">
        <f t="shared" ref="BD337" si="1436">IF($B337=4,($G$11*0.5*AY337),IF($B337=11,($G$11*0.5*AY337),IF($B337=12,AY337*$G$11,IF($B337&lt;5,AY337*$G$11,0))))</f>
        <v>0</v>
      </c>
      <c r="BE337" s="206">
        <f t="shared" ref="BE337" si="1437">BC337+BD337</f>
        <v>-68.591600000000028</v>
      </c>
      <c r="BF337" s="207">
        <f t="shared" ref="BF337" si="1438">BB337*$G$9</f>
        <v>0</v>
      </c>
      <c r="BG337" s="219">
        <f t="shared" ref="BG337" si="1439">ROUND(BF337+BE337,1)</f>
        <v>-68.599999999999994</v>
      </c>
      <c r="BH337" s="4">
        <f t="shared" si="569"/>
        <v>2010</v>
      </c>
      <c r="BI337" s="4">
        <f t="shared" si="570"/>
        <v>9</v>
      </c>
      <c r="BJ337" s="108">
        <f>C337+[4]MWh!$AJ171</f>
        <v>1877506.7204079707</v>
      </c>
      <c r="BK337" s="108">
        <f t="shared" ref="BK337" si="1440">(H337/C337)*BJ337</f>
        <v>21792.775841870647</v>
      </c>
      <c r="BL337" s="108">
        <f t="shared" ref="BL337" si="1441">BJ337-BK337</f>
        <v>1855713.9445661001</v>
      </c>
      <c r="BM337" s="189">
        <f t="shared" ref="BM337" si="1442">(BL337/F337*1000)+BG337</f>
        <v>1267.2600129475302</v>
      </c>
      <c r="BN337" s="6">
        <f t="shared" ref="BN337" si="1443">ROUND(BM337*F337/1000,0)</f>
        <v>1760418</v>
      </c>
      <c r="BO337" s="175">
        <f t="shared" ref="BO337" si="1444">ROUND(BN337/BL337*BK337,0)</f>
        <v>20674</v>
      </c>
      <c r="BP337" s="108">
        <f t="shared" ref="BP337" si="1445">(BN337-BL337)+(BO337-BK337)</f>
        <v>-96414.720407970788</v>
      </c>
      <c r="BQ337" s="76">
        <f t="shared" ref="BQ337" si="1446">BJ337/D337*1000</f>
        <v>1293.3782853812411</v>
      </c>
      <c r="BR337" s="76">
        <f t="shared" ref="BR337" si="1447">(BN337+BO337)/D337*1000</f>
        <v>1226.9600380262189</v>
      </c>
      <c r="BS337" s="76">
        <f t="shared" ref="BS337" si="1448">BR337-BR325</f>
        <v>-47.614908780647283</v>
      </c>
      <c r="BT337" s="175">
        <f t="shared" ref="BT337" si="1449">(BN337+BO337)</f>
        <v>1781092</v>
      </c>
      <c r="BU337" s="108">
        <f t="shared" ref="BU337" si="1450">BT337-BT325</f>
        <v>-32776</v>
      </c>
      <c r="BW337" s="529">
        <f>BT337/[9]RMWh!$L217</f>
        <v>0.93530256604150097</v>
      </c>
      <c r="CK337" s="406">
        <v>40422</v>
      </c>
      <c r="CL337" s="50">
        <f>BP337+COML!BV337+SPA!BV337</f>
        <v>-124591.72040797079</v>
      </c>
      <c r="CM337" s="181">
        <f>'[14]2010'!$D40</f>
        <v>-140313</v>
      </c>
      <c r="CN337" s="407">
        <f t="shared" ref="CN337" si="1451">CL337-CM337</f>
        <v>15721.279592029212</v>
      </c>
      <c r="CO337" s="50">
        <f>'[2]FPC wSEB'!$R434</f>
        <v>4030092</v>
      </c>
      <c r="CP337" s="50">
        <f>'[2]FPC wSEB'!$C434-SUM('[2]FPC wSEB'!$K434:$L434)</f>
        <v>3709936</v>
      </c>
      <c r="CQ337" s="50">
        <f>'[2]FPC wSEB'!$T434-'[2]FPC wSEB'!$T433</f>
        <v>-145307</v>
      </c>
      <c r="CR337" s="50">
        <f>SUM('[2]FPC wSEB'!$K434:$L434)</f>
        <v>421559</v>
      </c>
      <c r="CS337" s="50">
        <f>('[2]FPC wSEB'!$N434)-CQ337</f>
        <v>-141410</v>
      </c>
      <c r="CT337" s="50">
        <f>'[2]FPC wSEB'!$P434</f>
        <v>20629</v>
      </c>
      <c r="CU337" s="50">
        <f>'[2]FPC wSEB'!$Q434</f>
        <v>164685</v>
      </c>
      <c r="CV337" s="115">
        <f t="shared" ref="CV337" si="1452">CO337-SUM(CP337:CU337)</f>
        <v>0</v>
      </c>
      <c r="CW337" s="50">
        <f t="shared" ref="CW337" si="1453">CO337-CT337-CU337+CM337</f>
        <v>3704465</v>
      </c>
      <c r="CX337" s="50">
        <f t="shared" ref="CX337" si="1454">SUM(CP337:CS337)+CL337</f>
        <v>3720186.2795920293</v>
      </c>
      <c r="CY337" s="50">
        <f t="shared" ref="CY337" si="1455">CW337-CX337</f>
        <v>-15721.279592029285</v>
      </c>
      <c r="CZ337" s="23"/>
      <c r="DA337" s="23"/>
      <c r="DB337" s="50">
        <f t="shared" si="1181"/>
        <v>-51.231600000000043</v>
      </c>
      <c r="DC337" s="108">
        <f t="shared" si="1182"/>
        <v>1365.2683999999999</v>
      </c>
      <c r="DD337" s="50">
        <f t="shared" si="1183"/>
        <v>1896567</v>
      </c>
      <c r="DE337" s="108">
        <f t="shared" si="1184"/>
        <v>22014</v>
      </c>
      <c r="DF337" s="50">
        <f t="shared" si="1185"/>
        <v>1918581</v>
      </c>
      <c r="DG337" s="23">
        <f t="shared" si="1186"/>
        <v>-50</v>
      </c>
      <c r="DH337" s="500">
        <f>ROUND((([13]RUPC!$E217+DG337)*[5]RC!$E$209)/1000,0)</f>
        <v>1911613</v>
      </c>
      <c r="DI337" s="23"/>
      <c r="DJ337" s="23"/>
      <c r="DK337" s="23"/>
      <c r="DL337" s="23"/>
      <c r="DM337" s="23"/>
      <c r="DN337" s="23"/>
    </row>
    <row r="338" spans="1:118" ht="12.75">
      <c r="A338" s="13">
        <f t="shared" si="491"/>
        <v>2010</v>
      </c>
      <c r="B338" s="13">
        <f t="shared" si="492"/>
        <v>10</v>
      </c>
      <c r="C338" s="5">
        <f>'[2]FPC wSEB'!$D435</f>
        <v>1589268</v>
      </c>
      <c r="D338" s="5">
        <f>'[2]FPC wSEB'!$X435</f>
        <v>1361733</v>
      </c>
      <c r="E338" s="5">
        <f t="shared" ref="E338" si="1456">ROUND(C338-H338,0)</f>
        <v>1570433</v>
      </c>
      <c r="F338" s="5">
        <f t="shared" ref="F338" si="1457">ROUND(D338-I338,0)</f>
        <v>1305009</v>
      </c>
      <c r="G338" s="74">
        <f t="shared" ref="G338" si="1458">ROUND((E338)/F338*1000,1)</f>
        <v>1203.4000000000001</v>
      </c>
      <c r="H338" s="190">
        <v>18835</v>
      </c>
      <c r="I338" s="190">
        <v>56724</v>
      </c>
      <c r="J338" s="230">
        <f>'[7]RES 62 &amp; 67'!$S423</f>
        <v>391</v>
      </c>
      <c r="K338" s="183">
        <f t="shared" si="301"/>
        <v>373.2</v>
      </c>
      <c r="L338" s="233">
        <f t="shared" ref="L338" si="1459">(K338-J338)</f>
        <v>-17.800000000000011</v>
      </c>
      <c r="M338" s="230">
        <f>'[7]RES 62 &amp; 67'!$J423</f>
        <v>1.9</v>
      </c>
      <c r="N338" s="183">
        <f t="shared" si="302"/>
        <v>1.3</v>
      </c>
      <c r="O338" s="236">
        <f t="shared" ref="O338" si="1460">(N338-M338)</f>
        <v>-0.59999999999999987</v>
      </c>
      <c r="P338" s="206">
        <f t="shared" ref="P338" si="1461">L338*$G$10</f>
        <v>-39.64060000000002</v>
      </c>
      <c r="Q338" s="208">
        <f t="shared" ref="Q338" si="1462">IF($B338=12,L338*$G$11,IF($B338&lt;5,L338*$G$11,0))</f>
        <v>0</v>
      </c>
      <c r="R338" s="467">
        <f t="shared" ref="R338" si="1463">P338+Q338</f>
        <v>-39.64060000000002</v>
      </c>
      <c r="S338" s="470">
        <f t="shared" ref="S338" si="1464">O338*$G$9</f>
        <v>-1.8593999999999997</v>
      </c>
      <c r="T338" s="425">
        <f t="shared" ref="T338" si="1465">ROUND((R338+S338),1)</f>
        <v>-41.5</v>
      </c>
      <c r="U338" s="579">
        <f>[5]RC!$E218</f>
        <v>1444610</v>
      </c>
      <c r="V338" s="447">
        <v>40452</v>
      </c>
      <c r="W338" s="191">
        <f t="shared" ref="W338" si="1466">(G338+T338)</f>
        <v>1161.9000000000001</v>
      </c>
      <c r="X338" s="73">
        <f t="shared" ref="X338" si="1467">ROUND(W338*F338/1000,0)</f>
        <v>1516290</v>
      </c>
      <c r="Y338" s="187">
        <f t="shared" ref="Y338" si="1468">ROUND((X338/C338)*H338,0)</f>
        <v>17970</v>
      </c>
      <c r="Z338" s="175">
        <f t="shared" ref="Z338" si="1469">Y338+X338</f>
        <v>1534260</v>
      </c>
      <c r="AA338" s="40">
        <f t="shared" ref="AA338" si="1470">Z338-C338</f>
        <v>-55008</v>
      </c>
      <c r="AB338" s="519">
        <f>[9]RMWh!$L218</f>
        <v>1644216</v>
      </c>
      <c r="AC338" s="107">
        <f>'[7]Gov 65 &amp; 70'!$B423</f>
        <v>30</v>
      </c>
      <c r="AD338" s="4">
        <f t="shared" si="1427"/>
        <v>1667235</v>
      </c>
      <c r="AE338" s="4">
        <f t="shared" ref="AE338" si="1471">AD338-AD326</f>
        <v>-81837</v>
      </c>
      <c r="AF338" s="50">
        <f t="shared" ref="AF338" si="1472">ROUND((AD338/(D338)*1000),1)</f>
        <v>1224.3</v>
      </c>
      <c r="AG338" s="75">
        <f t="shared" ref="AG338" si="1473">AF338-AF326</f>
        <v>-35.200000000000045</v>
      </c>
      <c r="AI338" s="303">
        <f t="shared" ref="AI338" si="1474">(H338/I338*1000)/G338</f>
        <v>0.27592355003558833</v>
      </c>
      <c r="AK338" s="442">
        <f t="shared" ref="AK338" si="1475">AVERAGE(AI338,AI326,AI314,AI302,AI290,AI278,AI266,AI254,AI230,AI218)</f>
        <v>0.23434140203823781</v>
      </c>
      <c r="AU338" s="4">
        <f t="shared" si="494"/>
        <v>2010</v>
      </c>
      <c r="AV338" s="4">
        <f t="shared" si="495"/>
        <v>10</v>
      </c>
      <c r="AW338" s="230">
        <f>'[8]RES 62 &amp; 67'!$S423</f>
        <v>272.10000000000002</v>
      </c>
      <c r="AX338" s="200">
        <f t="shared" si="306"/>
        <v>277.60000000000002</v>
      </c>
      <c r="AY338" s="203">
        <f t="shared" ref="AY338" si="1476">AX338-AW338</f>
        <v>5.5</v>
      </c>
      <c r="AZ338" s="230">
        <f>'[8]RES 62 &amp; 67'!$J423</f>
        <v>6.7</v>
      </c>
      <c r="BA338" s="183">
        <f t="shared" si="307"/>
        <v>8.5</v>
      </c>
      <c r="BB338" s="429">
        <f t="shared" ref="BB338" si="1477">BA338-AZ338</f>
        <v>1.7999999999999998</v>
      </c>
      <c r="BC338" s="206">
        <f t="shared" ref="BC338" si="1478">AY338*$G$10</f>
        <v>12.2485</v>
      </c>
      <c r="BD338" s="206">
        <f t="shared" ref="BD338" si="1479">IF($B338=4,($G$11*0.5*AY338),IF($B338=11,($G$11*0.5*AY338),IF($B338=12,AY338*$G$11,IF($B338&lt;5,AY338*$G$11,0))))</f>
        <v>0</v>
      </c>
      <c r="BE338" s="206">
        <f t="shared" ref="BE338" si="1480">BC338+BD338</f>
        <v>12.2485</v>
      </c>
      <c r="BF338" s="207">
        <f t="shared" ref="BF338" si="1481">BB338*$G$9</f>
        <v>5.5781999999999998</v>
      </c>
      <c r="BG338" s="219">
        <f t="shared" ref="BG338" si="1482">ROUND(BF338+BE338,1)</f>
        <v>17.8</v>
      </c>
      <c r="BH338" s="4">
        <f t="shared" si="569"/>
        <v>2010</v>
      </c>
      <c r="BI338" s="4">
        <f t="shared" si="570"/>
        <v>10</v>
      </c>
      <c r="BJ338" s="108">
        <f>C338+[4]MWh!$AJ172</f>
        <v>1420637.6887904406</v>
      </c>
      <c r="BK338" s="108">
        <f t="shared" ref="BK338" si="1483">(H338/C338)*BJ338</f>
        <v>16836.500117266532</v>
      </c>
      <c r="BL338" s="108">
        <f t="shared" ref="BL338" si="1484">BJ338-BK338</f>
        <v>1403801.188673174</v>
      </c>
      <c r="BM338" s="189">
        <f t="shared" ref="BM338" si="1485">(BL338/F338*1000)+BG338</f>
        <v>1093.5023044846234</v>
      </c>
      <c r="BN338" s="6">
        <f t="shared" ref="BN338" si="1486">ROUND(BM338*F338/1000,0)</f>
        <v>1427030</v>
      </c>
      <c r="BO338" s="175">
        <f t="shared" ref="BO338" si="1487">ROUND(BN338/BL338*BK338,0)</f>
        <v>17115</v>
      </c>
      <c r="BP338" s="108">
        <f t="shared" ref="BP338" si="1488">(BN338-BL338)+(BO338-BK338)</f>
        <v>23507.311209559459</v>
      </c>
      <c r="BQ338" s="76">
        <f t="shared" ref="BQ338" si="1489">BJ338/D338*1000</f>
        <v>1043.2571501097796</v>
      </c>
      <c r="BR338" s="76">
        <f t="shared" ref="BR338" si="1490">(BN338+BO338)/D338*1000</f>
        <v>1060.5199403994764</v>
      </c>
      <c r="BS338" s="76">
        <f t="shared" ref="BS338" si="1491">BR338-BR326</f>
        <v>-46.622325224567248</v>
      </c>
      <c r="BT338" s="175">
        <f t="shared" ref="BT338" si="1492">(BN338+BO338)</f>
        <v>1444145</v>
      </c>
      <c r="BU338" s="108">
        <f t="shared" ref="BU338" si="1493">BT338-BT326</f>
        <v>-93318</v>
      </c>
      <c r="BW338" s="529">
        <f>BT338/[9]RMWh!$L218</f>
        <v>0.87831829881232149</v>
      </c>
      <c r="CK338" s="406">
        <v>40452</v>
      </c>
      <c r="CL338" s="50">
        <f>BP338+COML!BV338+SPA!BV338</f>
        <v>28910.311209559459</v>
      </c>
      <c r="CM338" s="181">
        <f>'[14]2010'!$D41</f>
        <v>-32895</v>
      </c>
      <c r="CN338" s="407">
        <f t="shared" ref="CN338" si="1494">CL338-CM338</f>
        <v>61805.311209559455</v>
      </c>
      <c r="CO338" s="50">
        <f>'[2]FPC wSEB'!$R435</f>
        <v>3355443</v>
      </c>
      <c r="CP338" s="50">
        <f>'[2]FPC wSEB'!$C435-SUM('[2]FPC wSEB'!$K435:$L435)</f>
        <v>3184058</v>
      </c>
      <c r="CQ338" s="50">
        <f>'[2]FPC wSEB'!$T435-'[2]FPC wSEB'!$T434</f>
        <v>-174478</v>
      </c>
      <c r="CR338" s="50">
        <f>SUM('[2]FPC wSEB'!$K435:$L435)</f>
        <v>286499</v>
      </c>
      <c r="CS338" s="50">
        <f>('[2]FPC wSEB'!$N435)-CQ338</f>
        <v>-123545</v>
      </c>
      <c r="CT338" s="50">
        <f>'[2]FPC wSEB'!$P435</f>
        <v>12256</v>
      </c>
      <c r="CU338" s="50">
        <f>'[2]FPC wSEB'!$Q435</f>
        <v>170653</v>
      </c>
      <c r="CV338" s="115">
        <f t="shared" ref="CV338" si="1495">CO338-SUM(CP338:CU338)</f>
        <v>0</v>
      </c>
      <c r="CW338" s="50">
        <f t="shared" ref="CW338" si="1496">CO338-CT338-CU338+CM338</f>
        <v>3139639</v>
      </c>
      <c r="CX338" s="50">
        <f t="shared" ref="CX338" si="1497">SUM(CP338:CS338)+CL338</f>
        <v>3201444.3112095594</v>
      </c>
      <c r="CY338" s="50">
        <f t="shared" ref="CY338" si="1498">CW338-CX338</f>
        <v>-61805.311209559441</v>
      </c>
      <c r="CZ338" s="23"/>
      <c r="DA338" s="23"/>
      <c r="DB338" s="50">
        <f t="shared" si="1181"/>
        <v>-35.998200000000026</v>
      </c>
      <c r="DC338" s="108">
        <f t="shared" si="1182"/>
        <v>1167.4018000000001</v>
      </c>
      <c r="DD338" s="50">
        <f t="shared" si="1183"/>
        <v>1523470</v>
      </c>
      <c r="DE338" s="108">
        <f t="shared" si="1184"/>
        <v>18055</v>
      </c>
      <c r="DF338" s="50">
        <f t="shared" si="1185"/>
        <v>1541525</v>
      </c>
      <c r="DG338" s="23">
        <f t="shared" si="1186"/>
        <v>-35</v>
      </c>
      <c r="DH338" s="500">
        <f>ROUND((([13]RUPC!$E218+DG338)*[5]RC!$E$209)/1000,0)</f>
        <v>1649272</v>
      </c>
      <c r="DI338" s="23"/>
      <c r="DJ338" s="23"/>
      <c r="DK338" s="23"/>
      <c r="DL338" s="23"/>
      <c r="DM338" s="23"/>
      <c r="DN338" s="23"/>
    </row>
    <row r="339" spans="1:118" ht="12.75">
      <c r="A339" s="13">
        <f t="shared" si="491"/>
        <v>2010</v>
      </c>
      <c r="B339" s="13">
        <f t="shared" si="492"/>
        <v>11</v>
      </c>
      <c r="C339" s="5">
        <f>'[2]FPC wSEB'!$D436</f>
        <v>1485374</v>
      </c>
      <c r="D339" s="5">
        <f>'[2]FPC wSEB'!$X436</f>
        <v>1609285</v>
      </c>
      <c r="E339" s="5">
        <f t="shared" ref="E339" si="1499">ROUND(C339-H339,0)</f>
        <v>1461626</v>
      </c>
      <c r="F339" s="5">
        <f t="shared" ref="F339" si="1500">ROUND(D339-I339,0)</f>
        <v>1539548</v>
      </c>
      <c r="G339" s="74">
        <f t="shared" ref="G339" si="1501">ROUND((E339)/F339*1000,1)</f>
        <v>949.4</v>
      </c>
      <c r="H339" s="190">
        <v>23748</v>
      </c>
      <c r="I339" s="190">
        <v>69737</v>
      </c>
      <c r="J339" s="230">
        <f>'[7]RES 62 &amp; 67'!$S424</f>
        <v>230.3</v>
      </c>
      <c r="K339" s="183">
        <f t="shared" si="301"/>
        <v>204.3</v>
      </c>
      <c r="L339" s="233">
        <f t="shared" ref="L339" si="1502">(K339-J339)</f>
        <v>-26</v>
      </c>
      <c r="M339" s="230">
        <f>'[7]RES 62 &amp; 67'!$J424</f>
        <v>20.5</v>
      </c>
      <c r="N339" s="183">
        <f t="shared" si="302"/>
        <v>24.1</v>
      </c>
      <c r="O339" s="236">
        <f t="shared" ref="O339" si="1503">(N339-M339)</f>
        <v>3.6000000000000014</v>
      </c>
      <c r="P339" s="206">
        <f t="shared" ref="P339" si="1504">L339*$G$10</f>
        <v>-57.901999999999994</v>
      </c>
      <c r="Q339" s="208">
        <f t="shared" ref="Q339" si="1505">IF($B339=12,L339*$G$11,IF($B339&lt;5,L339*$G$11,0))</f>
        <v>0</v>
      </c>
      <c r="R339" s="467">
        <f t="shared" ref="R339" si="1506">P339+Q339</f>
        <v>-57.901999999999994</v>
      </c>
      <c r="S339" s="470">
        <f t="shared" ref="S339" si="1507">O339*$G$9</f>
        <v>11.156400000000005</v>
      </c>
      <c r="T339" s="425">
        <f t="shared" ref="T339" si="1508">ROUND((R339+S339),1)</f>
        <v>-46.7</v>
      </c>
      <c r="U339" s="579">
        <f>[5]RC!$E219</f>
        <v>1445980</v>
      </c>
      <c r="V339" s="447">
        <v>40483</v>
      </c>
      <c r="W339" s="191">
        <f t="shared" ref="W339" si="1509">(G339+T339)</f>
        <v>902.69999999999993</v>
      </c>
      <c r="X339" s="73">
        <f t="shared" ref="X339" si="1510">ROUND(W339*F339/1000,0)</f>
        <v>1389750</v>
      </c>
      <c r="Y339" s="187">
        <f t="shared" ref="Y339" si="1511">ROUND((X339/C339)*H339,0)</f>
        <v>22219</v>
      </c>
      <c r="Z339" s="175">
        <f t="shared" ref="Z339" si="1512">Y339+X339</f>
        <v>1411969</v>
      </c>
      <c r="AA339" s="40">
        <f t="shared" ref="AA339" si="1513">Z339-C339</f>
        <v>-73405</v>
      </c>
      <c r="AB339" s="519">
        <f>[9]RMWh!$L219</f>
        <v>1288936</v>
      </c>
      <c r="AC339" s="107">
        <f>'[7]Gov 65 &amp; 70'!$B424</f>
        <v>30.05</v>
      </c>
      <c r="AD339" s="4">
        <f t="shared" si="1427"/>
        <v>1304806</v>
      </c>
      <c r="AE339" s="4">
        <f t="shared" ref="AE339" si="1514">AD339-AD327</f>
        <v>-51634</v>
      </c>
      <c r="AF339" s="50">
        <f t="shared" ref="AF339" si="1515">ROUND((AD339/(D339)*1000),1)</f>
        <v>810.8</v>
      </c>
      <c r="AG339" s="75">
        <f t="shared" ref="AG339" si="1516">AF339-AF327</f>
        <v>-38</v>
      </c>
      <c r="AI339" s="303">
        <f t="shared" ref="AI339" si="1517">(H339/I339*1000)/G339</f>
        <v>0.35868610434414394</v>
      </c>
      <c r="AK339" s="442">
        <f t="shared" ref="AK339" si="1518">AVERAGE(AI339,AI327,AI315,AI303,AI291,AI279,AI267,AI255,AI231,AI219)</f>
        <v>0.33147487730909508</v>
      </c>
      <c r="AU339" s="4">
        <f t="shared" si="494"/>
        <v>2010</v>
      </c>
      <c r="AV339" s="4">
        <f t="shared" si="495"/>
        <v>11</v>
      </c>
      <c r="AW339" s="230">
        <f>'[8]RES 62 &amp; 67'!$S424</f>
        <v>117.1</v>
      </c>
      <c r="AX339" s="200">
        <f t="shared" si="306"/>
        <v>110.2</v>
      </c>
      <c r="AY339" s="203">
        <f t="shared" ref="AY339" si="1519">AX339-AW339</f>
        <v>-6.8999999999999915</v>
      </c>
      <c r="AZ339" s="230">
        <f>'[8]RES 62 &amp; 67'!$J424</f>
        <v>43.8</v>
      </c>
      <c r="BA339" s="183">
        <f t="shared" si="307"/>
        <v>45.3</v>
      </c>
      <c r="BB339" s="429">
        <f t="shared" ref="BB339" si="1520">BA339-AZ339</f>
        <v>1.5</v>
      </c>
      <c r="BC339" s="206">
        <f t="shared" ref="BC339" si="1521">AY339*$G$10</f>
        <v>-15.366299999999979</v>
      </c>
      <c r="BD339" s="206">
        <f t="shared" ref="BD339" si="1522">IF($B339=4,($G$11*0.5*AY339),IF($B339=11,($G$11*0.5*AY339),IF($B339=12,AY339*$G$11,IF($B339&lt;5,AY339*$G$11,0))))</f>
        <v>0.58304999999999929</v>
      </c>
      <c r="BE339" s="206">
        <f t="shared" ref="BE339" si="1523">BC339+BD339</f>
        <v>-14.783249999999979</v>
      </c>
      <c r="BF339" s="207">
        <f t="shared" ref="BF339" si="1524">BB339*$G$9</f>
        <v>4.6485000000000003</v>
      </c>
      <c r="BG339" s="219">
        <f t="shared" ref="BG339" si="1525">ROUND(BF339+BE339,1)</f>
        <v>-10.1</v>
      </c>
      <c r="BH339" s="4">
        <f t="shared" si="569"/>
        <v>2010</v>
      </c>
      <c r="BI339" s="4">
        <f t="shared" si="570"/>
        <v>11</v>
      </c>
      <c r="BJ339" s="108">
        <f>C339+[4]MWh!$AJ173</f>
        <v>1255229.3964572833</v>
      </c>
      <c r="BK339" s="108">
        <f t="shared" ref="BK339" si="1526">(H339/C339)*BJ339</f>
        <v>20068.472793429508</v>
      </c>
      <c r="BL339" s="108">
        <f t="shared" ref="BL339" si="1527">BJ339-BK339</f>
        <v>1235160.9236638537</v>
      </c>
      <c r="BM339" s="189">
        <f t="shared" ref="BM339" si="1528">(BL339/F339*1000)+BG339</f>
        <v>792.18802457854747</v>
      </c>
      <c r="BN339" s="6">
        <f t="shared" ref="BN339" si="1529">ROUND(BM339*F339/1000,0)</f>
        <v>1219611</v>
      </c>
      <c r="BO339" s="175">
        <f t="shared" ref="BO339" si="1530">ROUND(BN339/BL339*BK339,0)</f>
        <v>19816</v>
      </c>
      <c r="BP339" s="108">
        <f t="shared" ref="BP339" si="1531">(BN339-BL339)+(BO339-BK339)</f>
        <v>-15802.396457283176</v>
      </c>
      <c r="BQ339" s="76">
        <f t="shared" ref="BQ339" si="1532">BJ339/D339*1000</f>
        <v>779.99198181632426</v>
      </c>
      <c r="BR339" s="76">
        <f t="shared" ref="BR339" si="1533">(BN339+BO339)/D339*1000</f>
        <v>770.17246789723379</v>
      </c>
      <c r="BS339" s="76">
        <f t="shared" ref="BS339" si="1534">BR339-BR327</f>
        <v>-47.231579389734861</v>
      </c>
      <c r="BT339" s="175">
        <f t="shared" ref="BT339" si="1535">(BN339+BO339)</f>
        <v>1239427</v>
      </c>
      <c r="BU339" s="108">
        <f t="shared" ref="BU339" si="1536">BT339-BT327</f>
        <v>-66913</v>
      </c>
      <c r="BW339" s="529">
        <f>BT339/[9]RMWh!$L219</f>
        <v>0.96158924880676777</v>
      </c>
      <c r="CK339" s="406">
        <v>40483</v>
      </c>
      <c r="CL339" s="50">
        <f>BP339+COML!BV339+SPA!BV339</f>
        <v>-22382.396457283176</v>
      </c>
      <c r="CM339" s="181">
        <f>'[14]2010'!$D42</f>
        <v>56385</v>
      </c>
      <c r="CN339" s="407">
        <f t="shared" ref="CN339" si="1537">CL339-CM339</f>
        <v>-78767.396457283176</v>
      </c>
      <c r="CO339" s="50">
        <f>'[2]FPC wSEB'!$R436</f>
        <v>2812428</v>
      </c>
      <c r="CP339" s="50">
        <f>'[2]FPC wSEB'!$C436-SUM('[2]FPC wSEB'!$K436:$L436)</f>
        <v>2988161</v>
      </c>
      <c r="CQ339" s="50">
        <f>'[2]FPC wSEB'!$T436-'[2]FPC wSEB'!$T435</f>
        <v>-454755</v>
      </c>
      <c r="CR339" s="50">
        <f>SUM('[2]FPC wSEB'!$K436:$L436)</f>
        <v>159235</v>
      </c>
      <c r="CS339" s="50">
        <f>('[2]FPC wSEB'!$N436)-CQ339</f>
        <v>-42520</v>
      </c>
      <c r="CT339" s="50">
        <f>'[2]FPC wSEB'!$P436</f>
        <v>15836</v>
      </c>
      <c r="CU339" s="50">
        <f>'[2]FPC wSEB'!$Q436</f>
        <v>146471</v>
      </c>
      <c r="CV339" s="115">
        <f t="shared" ref="CV339" si="1538">CO339-SUM(CP339:CU339)</f>
        <v>0</v>
      </c>
      <c r="CW339" s="50">
        <f t="shared" ref="CW339" si="1539">CO339-CT339-CU339+CM339</f>
        <v>2706506</v>
      </c>
      <c r="CX339" s="50">
        <f t="shared" ref="CX339" si="1540">SUM(CP339:CS339)+CL339</f>
        <v>2627738.6035427167</v>
      </c>
      <c r="CY339" s="50">
        <f t="shared" ref="CY339" si="1541">CW339-CX339</f>
        <v>78767.396457283292</v>
      </c>
      <c r="CZ339" s="23"/>
      <c r="DA339" s="23"/>
      <c r="DB339" s="50">
        <f t="shared" si="1181"/>
        <v>-39.783599999999993</v>
      </c>
      <c r="DC339" s="108">
        <f t="shared" si="1182"/>
        <v>909.6164</v>
      </c>
      <c r="DD339" s="50">
        <f t="shared" si="1183"/>
        <v>1400398</v>
      </c>
      <c r="DE339" s="108">
        <f t="shared" si="1184"/>
        <v>22389</v>
      </c>
      <c r="DF339" s="50">
        <f t="shared" si="1185"/>
        <v>1422787</v>
      </c>
      <c r="DG339" s="23">
        <f t="shared" si="1186"/>
        <v>-39</v>
      </c>
      <c r="DH339" s="500">
        <f>ROUND((([13]RUPC!$E219+DG339)*[5]RC!$E$209)/1000,0)</f>
        <v>1295118</v>
      </c>
      <c r="DI339" s="23"/>
      <c r="DJ339" s="23"/>
      <c r="DK339" s="23"/>
      <c r="DL339" s="23"/>
      <c r="DM339" s="23"/>
      <c r="DN339" s="23"/>
    </row>
    <row r="340" spans="1:118" s="89" customFormat="1" ht="12.75">
      <c r="A340" s="90">
        <f t="shared" si="491"/>
        <v>2010</v>
      </c>
      <c r="B340" s="90">
        <f t="shared" si="492"/>
        <v>12</v>
      </c>
      <c r="C340" s="103">
        <f>'[2]FPC wSEB'!$D437</f>
        <v>1543107</v>
      </c>
      <c r="D340" s="103">
        <f>'[2]FPC wSEB'!$X437</f>
        <v>1514485</v>
      </c>
      <c r="E340" s="103">
        <f t="shared" ref="E340" si="1542">ROUND(C340-H340,0)</f>
        <v>1507878</v>
      </c>
      <c r="F340" s="103">
        <f t="shared" ref="F340" si="1543">ROUND(D340-I340,0)</f>
        <v>1450286</v>
      </c>
      <c r="G340" s="109">
        <f t="shared" ref="G340" si="1544">ROUND((E340)/F340*1000,1)</f>
        <v>1039.7</v>
      </c>
      <c r="H340" s="196">
        <v>35229</v>
      </c>
      <c r="I340" s="196">
        <v>64199</v>
      </c>
      <c r="J340" s="300">
        <f>'[7]RES 62 &amp; 67'!$S425</f>
        <v>94.7</v>
      </c>
      <c r="K340" s="210">
        <f t="shared" si="301"/>
        <v>88</v>
      </c>
      <c r="L340" s="234">
        <f t="shared" ref="L340" si="1545">(K340-J340)</f>
        <v>-6.7000000000000028</v>
      </c>
      <c r="M340" s="300">
        <f>'[7]RES 62 &amp; 67'!$J425</f>
        <v>122.8</v>
      </c>
      <c r="N340" s="210">
        <f t="shared" si="302"/>
        <v>83.9</v>
      </c>
      <c r="O340" s="237">
        <f t="shared" ref="O340" si="1546">(N340-M340)</f>
        <v>-38.899999999999991</v>
      </c>
      <c r="P340" s="211">
        <f t="shared" ref="P340" si="1547">L340*$G$10</f>
        <v>-14.920900000000005</v>
      </c>
      <c r="Q340" s="211">
        <f t="shared" ref="Q340" si="1548">IF($B340=12,L340*$G$11,IF($B340&lt;5,L340*$G$11,0))</f>
        <v>1.1323000000000005</v>
      </c>
      <c r="R340" s="468">
        <f t="shared" ref="R340" si="1549">P340+Q340</f>
        <v>-13.788600000000004</v>
      </c>
      <c r="S340" s="471">
        <f t="shared" ref="S340" si="1550">O340*$G$9</f>
        <v>-120.55109999999998</v>
      </c>
      <c r="T340" s="426">
        <f t="shared" ref="T340" si="1551">ROUND((R340+S340),1)</f>
        <v>-134.30000000000001</v>
      </c>
      <c r="U340" s="579">
        <f>[5]RC!$E220</f>
        <v>1447656</v>
      </c>
      <c r="V340" s="447">
        <v>40513</v>
      </c>
      <c r="W340" s="95">
        <f t="shared" ref="W340" si="1552">(G340+T340)</f>
        <v>905.40000000000009</v>
      </c>
      <c r="X340" s="104">
        <f t="shared" ref="X340" si="1553">ROUND(W340*F340/1000,0)</f>
        <v>1313089</v>
      </c>
      <c r="Y340" s="198">
        <f t="shared" ref="Y340" si="1554">ROUND((X340/C340)*H340,0)</f>
        <v>29978</v>
      </c>
      <c r="Z340" s="176">
        <f t="shared" ref="Z340" si="1555">Y340+X340</f>
        <v>1343067</v>
      </c>
      <c r="AA340" s="116">
        <f t="shared" ref="AA340" si="1556">Z340-C340</f>
        <v>-200040</v>
      </c>
      <c r="AB340" s="520">
        <f>[9]RMWh!$L220</f>
        <v>1199467</v>
      </c>
      <c r="AC340" s="110">
        <f>'[7]Gov 65 &amp; 70'!$B425</f>
        <v>31.35</v>
      </c>
      <c r="AD340" s="89">
        <f t="shared" si="1427"/>
        <v>1163885</v>
      </c>
      <c r="AE340" s="89">
        <f t="shared" ref="AE340" si="1557">AD340-AD328</f>
        <v>-104801</v>
      </c>
      <c r="AF340" s="117">
        <f t="shared" ref="AF340" si="1558">ROUND((AD340/(D340)*1000),1)</f>
        <v>768.5</v>
      </c>
      <c r="AG340" s="91">
        <f t="shared" ref="AG340" si="1559">AF340-AF328</f>
        <v>-117.39999999999998</v>
      </c>
      <c r="AH340" s="252"/>
      <c r="AI340" s="488">
        <f t="shared" ref="AI340" si="1560">(H340/I340*1000)/G340</f>
        <v>0.52779346466862465</v>
      </c>
      <c r="AK340" s="443">
        <f>AVERAGE(AI340,AI328,AI316,AI304,AI292,AI280,AI268,AI256,AI232,AI220)</f>
        <v>0.45843154029594502</v>
      </c>
      <c r="AU340" s="89">
        <f t="shared" si="494"/>
        <v>2010</v>
      </c>
      <c r="AV340" s="89">
        <f t="shared" si="495"/>
        <v>12</v>
      </c>
      <c r="AW340" s="300">
        <f>'[8]RES 62 &amp; 67'!$S425</f>
        <v>6.1</v>
      </c>
      <c r="AX340" s="210">
        <f t="shared" si="306"/>
        <v>53.2</v>
      </c>
      <c r="AY340" s="204">
        <f t="shared" ref="AY340" si="1561">AX340-AW340</f>
        <v>47.1</v>
      </c>
      <c r="AZ340" s="300">
        <f>'[8]RES 62 &amp; 67'!$J425</f>
        <v>315.89999999999998</v>
      </c>
      <c r="BA340" s="210">
        <f t="shared" si="307"/>
        <v>114.1</v>
      </c>
      <c r="BB340" s="430">
        <f t="shared" ref="BB340" si="1562">BA340-AZ340</f>
        <v>-201.79999999999998</v>
      </c>
      <c r="BC340" s="211">
        <f t="shared" ref="BC340" si="1563">AY340*$G$10</f>
        <v>104.8917</v>
      </c>
      <c r="BD340" s="211">
        <f t="shared" ref="BD340" si="1564">IF($B340=4,($G$11*0.5*AY340),IF($B340=11,($G$11*0.5*AY340),IF($B340=12,AY340*$G$11,IF($B340&lt;5,AY340*$G$11,0))))</f>
        <v>-7.9599000000000011</v>
      </c>
      <c r="BE340" s="211">
        <f t="shared" ref="BE340" si="1565">BC340+BD340</f>
        <v>96.931799999999996</v>
      </c>
      <c r="BF340" s="212">
        <f t="shared" ref="BF340" si="1566">BB340*$G$9</f>
        <v>-625.37819999999999</v>
      </c>
      <c r="BG340" s="220">
        <f t="shared" ref="BG340" si="1567">ROUND(BF340+BE340,1)</f>
        <v>-528.4</v>
      </c>
      <c r="BH340" s="89">
        <f t="shared" si="569"/>
        <v>2010</v>
      </c>
      <c r="BI340" s="89">
        <f t="shared" si="570"/>
        <v>12</v>
      </c>
      <c r="BJ340" s="117">
        <f>C340+[4]MWh!$AJ174</f>
        <v>1839974.3684294962</v>
      </c>
      <c r="BK340" s="117">
        <f t="shared" ref="BK340" si="1568">(H340/C340)*BJ340</f>
        <v>42006.456470875135</v>
      </c>
      <c r="BL340" s="117">
        <f t="shared" ref="BL340" si="1569">BJ340-BK340</f>
        <v>1797967.9119586211</v>
      </c>
      <c r="BM340" s="199">
        <f t="shared" ref="BM340" si="1570">(BL340/F340*1000)+BG340</f>
        <v>711.33334360162132</v>
      </c>
      <c r="BN340" s="96">
        <f t="shared" ref="BN340" si="1571">ROUND(BM340*F340/1000,0)</f>
        <v>1031637</v>
      </c>
      <c r="BO340" s="176">
        <f t="shared" ref="BO340" si="1572">ROUND(BN340/BL340*BK340,0)</f>
        <v>24102</v>
      </c>
      <c r="BP340" s="117">
        <f t="shared" ref="BP340" si="1573">(BN340-BL340)+(BO340-BK340)</f>
        <v>-784235.3684294963</v>
      </c>
      <c r="BQ340" s="92">
        <f t="shared" ref="BQ340" si="1574">BJ340/D340*1000</f>
        <v>1214.9175253828835</v>
      </c>
      <c r="BR340" s="92">
        <f t="shared" ref="BR340" si="1575">(BN340+BO340)/D340*1000</f>
        <v>697.09439182296296</v>
      </c>
      <c r="BS340" s="92">
        <f t="shared" ref="BS340" si="1576">BR340-BR328</f>
        <v>-153.71638728328423</v>
      </c>
      <c r="BT340" s="176">
        <f t="shared" ref="BT340" si="1577">(BN340+BO340)</f>
        <v>1055739</v>
      </c>
      <c r="BU340" s="117">
        <f t="shared" ref="BU340" si="1578">BT340-BT328</f>
        <v>-162742</v>
      </c>
      <c r="BW340" s="529">
        <f>BT340/[9]RMWh!$L220</f>
        <v>0.88017344370457873</v>
      </c>
      <c r="CK340" s="166">
        <v>40513</v>
      </c>
      <c r="CL340" s="117">
        <f>BP340+COML!BV340+SPA!BV340</f>
        <v>-812007.3684294963</v>
      </c>
      <c r="CM340" s="359">
        <f>'[14]2010'!$D43</f>
        <v>-822131</v>
      </c>
      <c r="CN340" s="1">
        <f t="shared" ref="CN340" si="1579">CL340-CM340</f>
        <v>10123.631570503698</v>
      </c>
      <c r="CO340" s="117">
        <f>'[2]FPC wSEB'!$R437</f>
        <v>4028128</v>
      </c>
      <c r="CP340" s="117">
        <f>'[2]FPC wSEB'!$C437-SUM('[2]FPC wSEB'!$K437:$L437)</f>
        <v>2934126</v>
      </c>
      <c r="CQ340" s="117">
        <f>'[2]FPC wSEB'!$T437-'[2]FPC wSEB'!$T436</f>
        <v>479791</v>
      </c>
      <c r="CR340" s="117">
        <f>SUM('[2]FPC wSEB'!$K437:$L437)</f>
        <v>125822</v>
      </c>
      <c r="CS340" s="117">
        <f>('[2]FPC wSEB'!$N437)-CQ340</f>
        <v>213405</v>
      </c>
      <c r="CT340" s="117">
        <f>'[2]FPC wSEB'!$P437</f>
        <v>13463</v>
      </c>
      <c r="CU340" s="117">
        <f>'[2]FPC wSEB'!$Q437</f>
        <v>261521</v>
      </c>
      <c r="CV340" s="118">
        <f t="shared" ref="CV340" si="1580">CO340-SUM(CP340:CU340)</f>
        <v>0</v>
      </c>
      <c r="CW340" s="117">
        <f t="shared" ref="CW340" si="1581">CO340-CT340-CU340+CM340</f>
        <v>2931013</v>
      </c>
      <c r="CX340" s="117">
        <f t="shared" ref="CX340" si="1582">SUM(CP340:CS340)+CL340</f>
        <v>2941136.6315705036</v>
      </c>
      <c r="CY340" s="117">
        <f t="shared" ref="CY340" si="1583">CW340-CX340</f>
        <v>-10123.631570503581</v>
      </c>
      <c r="DB340" s="117">
        <f t="shared" si="1181"/>
        <v>-124.11929999999998</v>
      </c>
      <c r="DC340" s="117">
        <f t="shared" si="1182"/>
        <v>915.58070000000009</v>
      </c>
      <c r="DD340" s="117">
        <f t="shared" si="1183"/>
        <v>1327854</v>
      </c>
      <c r="DE340" s="117">
        <f t="shared" si="1184"/>
        <v>30315</v>
      </c>
      <c r="DF340" s="117">
        <f t="shared" si="1185"/>
        <v>1358169</v>
      </c>
      <c r="DG340" s="89">
        <f t="shared" si="1186"/>
        <v>-122</v>
      </c>
      <c r="DH340" s="501">
        <f>ROUND((([13]RUPC!$E220+DG340)*[5]RC!$E$209)/1000,0)</f>
        <v>1209503</v>
      </c>
    </row>
    <row r="341" spans="1:118" ht="12.75">
      <c r="A341" s="13">
        <f t="shared" si="491"/>
        <v>2011</v>
      </c>
      <c r="B341" s="13">
        <f t="shared" si="492"/>
        <v>1</v>
      </c>
      <c r="C341" s="5">
        <f>'[2]FPC wSEB'!$D438</f>
        <v>1739591</v>
      </c>
      <c r="D341" s="5">
        <f>'[2]FPC wSEB'!$X438</f>
        <v>1375237</v>
      </c>
      <c r="E341" s="5">
        <f t="shared" ref="E341" si="1584">ROUND(C341-H341,0)</f>
        <v>1694106</v>
      </c>
      <c r="F341" s="5">
        <f t="shared" ref="F341" si="1585">ROUND(D341-I341,0)</f>
        <v>1316955</v>
      </c>
      <c r="G341" s="74">
        <f t="shared" ref="G341" si="1586">ROUND((E341)/F341*1000,1)</f>
        <v>1286.4000000000001</v>
      </c>
      <c r="H341" s="190">
        <v>45485</v>
      </c>
      <c r="I341" s="190">
        <v>58282</v>
      </c>
      <c r="J341" s="230">
        <f>'[7]RES 62 &amp; 67'!$S426</f>
        <v>14.5</v>
      </c>
      <c r="K341" s="183">
        <f t="shared" si="301"/>
        <v>49.5</v>
      </c>
      <c r="L341" s="233">
        <f t="shared" ref="L341" si="1587">(K341-J341)</f>
        <v>35</v>
      </c>
      <c r="M341" s="230">
        <f>'[7]RES 62 &amp; 67'!$J426</f>
        <v>270.2</v>
      </c>
      <c r="N341" s="183">
        <f t="shared" si="302"/>
        <v>131.6</v>
      </c>
      <c r="O341" s="236">
        <f t="shared" ref="O341" si="1588">(N341-M341)</f>
        <v>-138.6</v>
      </c>
      <c r="P341" s="206">
        <f t="shared" ref="P341" si="1589">L341*$G$10</f>
        <v>77.944999999999993</v>
      </c>
      <c r="Q341" s="208">
        <f t="shared" ref="Q341" si="1590">IF($B341=12,L341*$G$11,IF($B341&lt;5,L341*$G$11,0))</f>
        <v>-5.915</v>
      </c>
      <c r="R341" s="467">
        <f t="shared" ref="R341" si="1591">P341+Q341</f>
        <v>72.029999999999987</v>
      </c>
      <c r="S341" s="470">
        <f t="shared" ref="S341" si="1592">O341*$G$9</f>
        <v>-429.52140000000003</v>
      </c>
      <c r="T341" s="425">
        <f t="shared" ref="T341" si="1593">ROUND((R341+S341),1)</f>
        <v>-357.5</v>
      </c>
      <c r="U341" s="579">
        <f>[5]RC!$E221</f>
        <v>1449209</v>
      </c>
      <c r="V341" s="447">
        <v>40544</v>
      </c>
      <c r="W341" s="191">
        <f t="shared" ref="W341" si="1594">(G341+T341)</f>
        <v>928.90000000000009</v>
      </c>
      <c r="X341" s="73">
        <f t="shared" ref="X341" si="1595">ROUND(W341*F341/1000,0)</f>
        <v>1223319</v>
      </c>
      <c r="Y341" s="187">
        <f t="shared" ref="Y341" si="1596">ROUND((X341/C341)*H341,0)</f>
        <v>31986</v>
      </c>
      <c r="Z341" s="175">
        <f t="shared" ref="Z341" si="1597">Y341+X341</f>
        <v>1255305</v>
      </c>
      <c r="AA341" s="40">
        <f t="shared" ref="AA341" si="1598">Z341-C341</f>
        <v>-484286</v>
      </c>
      <c r="AB341" s="519">
        <f>[9]RMWh!$L221</f>
        <v>1333256</v>
      </c>
      <c r="AC341" s="107">
        <f>'[7]Gov 65 &amp; 70'!$B426</f>
        <v>31.85</v>
      </c>
      <c r="AD341" s="4">
        <f t="shared" si="1427"/>
        <v>1273396</v>
      </c>
      <c r="AE341" s="4">
        <f t="shared" ref="AE341" si="1599">AD341-AD329</f>
        <v>14747</v>
      </c>
      <c r="AF341" s="50">
        <f t="shared" ref="AF341" si="1600">ROUND((AD341/(D341)*1000),1)</f>
        <v>925.9</v>
      </c>
      <c r="AG341" s="75">
        <f t="shared" ref="AG341" si="1601">AF341-AF329</f>
        <v>49.699999999999932</v>
      </c>
      <c r="AI341" s="303">
        <f t="shared" ref="AI341" si="1602">(H341/I341*1000)/G341</f>
        <v>0.60667726618614148</v>
      </c>
      <c r="AK341" s="418">
        <f>AVERAGE(AI341,AI317,AI305,AI293,AI281,AI269,AI257)</f>
        <v>0.54497556512018275</v>
      </c>
      <c r="AL341" s="417" t="s">
        <v>284</v>
      </c>
      <c r="AU341" s="4">
        <f t="shared" si="494"/>
        <v>2011</v>
      </c>
      <c r="AV341" s="4">
        <f t="shared" si="495"/>
        <v>1</v>
      </c>
      <c r="AW341" s="230">
        <f>'[8]RES 62 &amp; 67'!$S426</f>
        <v>17.600000000000001</v>
      </c>
      <c r="AX341" s="200">
        <f t="shared" si="306"/>
        <v>50.5</v>
      </c>
      <c r="AY341" s="203">
        <f t="shared" ref="AY341" si="1603">AX341-AW341</f>
        <v>32.9</v>
      </c>
      <c r="AZ341" s="230">
        <f>'[8]RES 62 &amp; 67'!$J426</f>
        <v>184.8</v>
      </c>
      <c r="BA341" s="183">
        <f t="shared" si="307"/>
        <v>127.9</v>
      </c>
      <c r="BB341" s="429">
        <f t="shared" ref="BB341" si="1604">BA341-AZ341</f>
        <v>-56.900000000000006</v>
      </c>
      <c r="BC341" s="206">
        <f t="shared" ref="BC341" si="1605">AY341*$G$10</f>
        <v>73.268299999999996</v>
      </c>
      <c r="BD341" s="206">
        <f t="shared" ref="BD341" si="1606">IF($B341=4,($G$11*0.5*AY341),IF($B341=11,($G$11*0.5*AY341),IF($B341=12,AY341*$G$11,IF($B341&lt;5,AY341*$G$11,0))))</f>
        <v>-5.5601000000000003</v>
      </c>
      <c r="BE341" s="206">
        <f t="shared" ref="BE341" si="1607">BC341+BD341</f>
        <v>67.708199999999991</v>
      </c>
      <c r="BF341" s="207">
        <f t="shared" ref="BF341" si="1608">BB341*$G$9</f>
        <v>-176.33310000000003</v>
      </c>
      <c r="BG341" s="219">
        <f t="shared" ref="BG341" si="1609">ROUND(BF341+BE341,1)</f>
        <v>-108.6</v>
      </c>
      <c r="BH341" s="4">
        <f t="shared" si="569"/>
        <v>2011</v>
      </c>
      <c r="BI341" s="4">
        <f t="shared" si="570"/>
        <v>1</v>
      </c>
      <c r="BJ341" s="108">
        <f>C341+[4]MWh!$AJ175</f>
        <v>1606422.3632843439</v>
      </c>
      <c r="BK341" s="108">
        <f t="shared" ref="BK341" si="1610">(H341/C341)*BJ341</f>
        <v>42003.046229825508</v>
      </c>
      <c r="BL341" s="108">
        <f t="shared" ref="BL341" si="1611">BJ341-BK341</f>
        <v>1564419.3170545183</v>
      </c>
      <c r="BM341" s="189">
        <f t="shared" ref="BM341" si="1612">(BL341/F341*1000)+BG341</f>
        <v>1079.3064334426904</v>
      </c>
      <c r="BN341" s="6">
        <f t="shared" ref="BN341" si="1613">ROUND(BM341*F341/1000,0)</f>
        <v>1421398</v>
      </c>
      <c r="BO341" s="175">
        <f t="shared" ref="BO341" si="1614">ROUND(BN341/BL341*BK341,0)</f>
        <v>38163</v>
      </c>
      <c r="BP341" s="108">
        <f t="shared" ref="BP341" si="1615">(BN341-BL341)+(BO341-BK341)</f>
        <v>-146861.36328434377</v>
      </c>
      <c r="BQ341" s="76">
        <f t="shared" ref="BQ341" si="1616">BJ341/D341*1000</f>
        <v>1168.1058343284424</v>
      </c>
      <c r="BR341" s="76">
        <f t="shared" ref="BR341" si="1617">(BN341+BO341)/D341*1000</f>
        <v>1061.3159768098153</v>
      </c>
      <c r="BS341" s="76">
        <f t="shared" ref="BS341" si="1618">BR341-BR329</f>
        <v>33.049560756629489</v>
      </c>
      <c r="BT341" s="175">
        <f t="shared" ref="BT341" si="1619">(BN341+BO341)</f>
        <v>1459561</v>
      </c>
      <c r="BU341" s="108">
        <f t="shared" ref="BU341" si="1620">BT341-BT329</f>
        <v>-17518</v>
      </c>
      <c r="BW341" s="529">
        <f>BT341/[9]RMWh!$L221</f>
        <v>1.0947342445861861</v>
      </c>
      <c r="CK341" s="406">
        <v>40544</v>
      </c>
      <c r="CL341" s="50">
        <f>BP341+COML!BV341+SPA!BV341</f>
        <v>-131521.36328434377</v>
      </c>
      <c r="CM341" s="181">
        <f>'[14]2011'!$D32</f>
        <v>-84700</v>
      </c>
      <c r="CN341" s="407">
        <f t="shared" ref="CN341" si="1621">CL341-CM341</f>
        <v>-46821.363284343766</v>
      </c>
      <c r="CO341" s="50">
        <f>'[2]FPC wSEB'!$R438</f>
        <v>3295606</v>
      </c>
      <c r="CP341" s="50">
        <f>'[2]FPC wSEB'!$C438-SUM('[2]FPC wSEB'!$K438:$L438)</f>
        <v>3147089</v>
      </c>
      <c r="CQ341" s="50">
        <f>'[2]FPC wSEB'!$T438-'[2]FPC wSEB'!$T437</f>
        <v>-339238</v>
      </c>
      <c r="CR341" s="50">
        <f>SUM('[2]FPC wSEB'!$K438:$L438)</f>
        <v>323187</v>
      </c>
      <c r="CS341" s="50">
        <f>('[2]FPC wSEB'!$N438)-CQ341</f>
        <v>-79938</v>
      </c>
      <c r="CT341" s="50">
        <f>'[2]FPC wSEB'!$P438</f>
        <v>11542</v>
      </c>
      <c r="CU341" s="50">
        <f>'[2]FPC wSEB'!$Q438</f>
        <v>232964</v>
      </c>
      <c r="CV341" s="115">
        <f t="shared" ref="CV341" si="1622">CO341-SUM(CP341:CU341)</f>
        <v>0</v>
      </c>
      <c r="CW341" s="50">
        <f t="shared" ref="CW341" si="1623">CO341-CT341-CU341+CM341</f>
        <v>2966400</v>
      </c>
      <c r="CX341" s="50">
        <f t="shared" ref="CX341" si="1624">SUM(CP341:CS341)+CL341</f>
        <v>2919578.6367156561</v>
      </c>
      <c r="CY341" s="50">
        <f t="shared" ref="CY341" si="1625">CW341-CX341</f>
        <v>46821.363284343854</v>
      </c>
      <c r="CZ341" s="23"/>
      <c r="DA341" s="23"/>
      <c r="DB341" s="50">
        <f t="shared" si="1181"/>
        <v>-328.84739999999999</v>
      </c>
      <c r="DC341" s="108">
        <f t="shared" si="1182"/>
        <v>957.5526000000001</v>
      </c>
      <c r="DD341" s="50">
        <f t="shared" si="1183"/>
        <v>1261054</v>
      </c>
      <c r="DE341" s="108">
        <f t="shared" si="1184"/>
        <v>32973</v>
      </c>
      <c r="DF341" s="50">
        <f t="shared" si="1185"/>
        <v>1294027</v>
      </c>
      <c r="DG341" s="23">
        <f t="shared" si="1186"/>
        <v>-324</v>
      </c>
      <c r="DH341" s="500">
        <f>ROUND((([13]RUPC!$E221+DG341)*[5]RC!$E$209)/1000,0)</f>
        <v>1367416</v>
      </c>
      <c r="DI341" s="50">
        <f t="shared" ref="DI341:DI370" si="1626">DH341-DH329</f>
        <v>-5099</v>
      </c>
      <c r="DJ341" s="23"/>
      <c r="DK341" s="23"/>
      <c r="DL341" s="23"/>
      <c r="DM341" s="23"/>
      <c r="DN341" s="23"/>
    </row>
    <row r="342" spans="1:118" ht="12.75">
      <c r="A342" s="13">
        <f t="shared" si="491"/>
        <v>2011</v>
      </c>
      <c r="B342" s="13">
        <f t="shared" si="492"/>
        <v>2</v>
      </c>
      <c r="C342" s="5">
        <f>'[2]FPC wSEB'!$D439</f>
        <v>1414735</v>
      </c>
      <c r="D342" s="5">
        <f>'[2]FPC wSEB'!$X439</f>
        <v>1453415</v>
      </c>
      <c r="E342" s="5">
        <f t="shared" ref="E342" si="1627">ROUND(C342-H342,0)</f>
        <v>1375056</v>
      </c>
      <c r="F342" s="5">
        <f t="shared" ref="F342" si="1628">ROUND(D342-I342,0)</f>
        <v>1392304</v>
      </c>
      <c r="G342" s="74">
        <f t="shared" ref="G342" si="1629">ROUND((E342)/F342*1000,1)</f>
        <v>987.6</v>
      </c>
      <c r="H342" s="190">
        <v>39679</v>
      </c>
      <c r="I342" s="190">
        <v>61111</v>
      </c>
      <c r="J342" s="230">
        <f>'[7]RES 62 &amp; 67'!$S427</f>
        <v>27</v>
      </c>
      <c r="K342" s="183">
        <f t="shared" si="301"/>
        <v>43.3</v>
      </c>
      <c r="L342" s="233">
        <f t="shared" ref="L342" si="1630">(K342-J342)</f>
        <v>16.299999999999997</v>
      </c>
      <c r="M342" s="230">
        <f>'[7]RES 62 &amp; 67'!$J427</f>
        <v>164.2</v>
      </c>
      <c r="N342" s="183">
        <f t="shared" si="302"/>
        <v>127.9</v>
      </c>
      <c r="O342" s="236">
        <f t="shared" ref="O342" si="1631">(N342-M342)</f>
        <v>-36.299999999999983</v>
      </c>
      <c r="P342" s="206">
        <f t="shared" ref="P342" si="1632">L342*$G$10</f>
        <v>36.300099999999993</v>
      </c>
      <c r="Q342" s="208">
        <f t="shared" ref="Q342" si="1633">IF($B342=12,L342*$G$11,IF($B342&lt;5,L342*$G$11,0))</f>
        <v>-2.7546999999999997</v>
      </c>
      <c r="R342" s="467">
        <f t="shared" ref="R342" si="1634">P342+Q342</f>
        <v>33.545399999999994</v>
      </c>
      <c r="S342" s="470">
        <f t="shared" ref="S342" si="1635">O342*$G$9</f>
        <v>-112.49369999999996</v>
      </c>
      <c r="T342" s="425">
        <f t="shared" ref="T342" si="1636">ROUND((R342+S342),1)</f>
        <v>-78.900000000000006</v>
      </c>
      <c r="U342" s="579">
        <f>[5]RC!$E222</f>
        <v>1451589</v>
      </c>
      <c r="V342" s="447">
        <v>40575</v>
      </c>
      <c r="W342" s="191">
        <f t="shared" ref="W342" si="1637">(G342+T342)</f>
        <v>908.7</v>
      </c>
      <c r="X342" s="73">
        <f t="shared" ref="X342" si="1638">ROUND(W342*F342/1000,0)</f>
        <v>1265187</v>
      </c>
      <c r="Y342" s="187">
        <f t="shared" ref="Y342" si="1639">ROUND((X342/C342)*H342,0)</f>
        <v>35485</v>
      </c>
      <c r="Z342" s="175">
        <f t="shared" ref="Z342" si="1640">Y342+X342</f>
        <v>1300672</v>
      </c>
      <c r="AA342" s="40">
        <f t="shared" ref="AA342" si="1641">Z342-C342</f>
        <v>-114063</v>
      </c>
      <c r="AB342" s="519">
        <f>[9]RMWh!$L222</f>
        <v>1345452</v>
      </c>
      <c r="AC342" s="107">
        <f>'[7]Gov 65 &amp; 70'!$B427</f>
        <v>29.95</v>
      </c>
      <c r="AD342" s="4">
        <f t="shared" si="1427"/>
        <v>1366566</v>
      </c>
      <c r="AE342" s="4">
        <f t="shared" ref="AE342" si="1642">AD342-AD330</f>
        <v>3301</v>
      </c>
      <c r="AF342" s="50">
        <f t="shared" ref="AF342" si="1643">ROUND((AD342/(D342)*1000),1)</f>
        <v>940.2</v>
      </c>
      <c r="AG342" s="75">
        <f t="shared" ref="AG342" si="1644">AF342-AF330</f>
        <v>-27.899999999999977</v>
      </c>
      <c r="AI342" s="303">
        <f t="shared" ref="AI342" si="1645">(H342/I342*1000)/G342</f>
        <v>0.65744624119795969</v>
      </c>
      <c r="AK342" s="418">
        <f>AVERAGE(AI342,AI318,AI306,AI294,AI282,AI270,AI258)</f>
        <v>0.63345209927083623</v>
      </c>
      <c r="AL342" s="446" t="s">
        <v>285</v>
      </c>
      <c r="AU342" s="4">
        <f t="shared" si="494"/>
        <v>2011</v>
      </c>
      <c r="AV342" s="4">
        <f t="shared" si="495"/>
        <v>2</v>
      </c>
      <c r="AW342" s="230">
        <f>'[8]RES 62 &amp; 67'!$S427</f>
        <v>76.599999999999994</v>
      </c>
      <c r="AX342" s="200">
        <f t="shared" si="306"/>
        <v>59.2</v>
      </c>
      <c r="AY342" s="203">
        <f t="shared" ref="AY342" si="1646">AX342-AW342</f>
        <v>-17.399999999999991</v>
      </c>
      <c r="AZ342" s="230">
        <f>'[8]RES 62 &amp; 67'!$J427</f>
        <v>75.900000000000006</v>
      </c>
      <c r="BA342" s="183">
        <f t="shared" si="307"/>
        <v>97.8</v>
      </c>
      <c r="BB342" s="429">
        <f t="shared" ref="BB342" si="1647">BA342-AZ342</f>
        <v>21.899999999999991</v>
      </c>
      <c r="BC342" s="206">
        <f t="shared" ref="BC342" si="1648">AY342*$G$10</f>
        <v>-38.749799999999979</v>
      </c>
      <c r="BD342" s="206">
        <f t="shared" ref="BD342" si="1649">IF($B342=4,($G$11*0.5*AY342),IF($B342=11,($G$11*0.5*AY342),IF($B342=12,AY342*$G$11,IF($B342&lt;5,AY342*$G$11,0))))</f>
        <v>2.9405999999999985</v>
      </c>
      <c r="BE342" s="206">
        <f t="shared" ref="BE342" si="1650">BC342+BD342</f>
        <v>-35.809199999999983</v>
      </c>
      <c r="BF342" s="207">
        <f t="shared" ref="BF342" si="1651">BB342*$G$9</f>
        <v>67.868099999999984</v>
      </c>
      <c r="BG342" s="219">
        <f t="shared" ref="BG342" si="1652">ROUND(BF342+BE342,1)</f>
        <v>32.1</v>
      </c>
      <c r="BH342" s="4">
        <f t="shared" si="569"/>
        <v>2011</v>
      </c>
      <c r="BI342" s="4">
        <f t="shared" si="570"/>
        <v>2</v>
      </c>
      <c r="BJ342" s="108">
        <f>C342+[4]MWh!$AJ176</f>
        <v>1240420.5869905832</v>
      </c>
      <c r="BK342" s="108">
        <f t="shared" ref="BK342" si="1653">(H342/C342)*BJ342</f>
        <v>34790.012596846296</v>
      </c>
      <c r="BL342" s="108">
        <f t="shared" ref="BL342" si="1654">BJ342-BK342</f>
        <v>1205630.5743937369</v>
      </c>
      <c r="BM342" s="189">
        <f t="shared" ref="BM342" si="1655">(BL342/F342*1000)+BG342</f>
        <v>898.02480837068413</v>
      </c>
      <c r="BN342" s="6">
        <f t="shared" ref="BN342" si="1656">ROUND(BM342*F342/1000,0)</f>
        <v>1250324</v>
      </c>
      <c r="BO342" s="175">
        <f t="shared" ref="BO342" si="1657">ROUND(BN342/BL342*BK342,0)</f>
        <v>36080</v>
      </c>
      <c r="BP342" s="108">
        <f t="shared" ref="BP342" si="1658">(BN342-BL342)+(BO342-BK342)</f>
        <v>45983.413009416807</v>
      </c>
      <c r="BQ342" s="76">
        <f t="shared" ref="BQ342" si="1659">BJ342/D342*1000</f>
        <v>853.45244612900183</v>
      </c>
      <c r="BR342" s="76">
        <f t="shared" ref="BR342" si="1660">(BN342+BO342)/D342*1000</f>
        <v>885.09063137507178</v>
      </c>
      <c r="BS342" s="76">
        <f t="shared" ref="BS342" si="1661">BR342-BR330</f>
        <v>160.73521696970397</v>
      </c>
      <c r="BT342" s="175">
        <f t="shared" ref="BT342" si="1662">(BN342+BO342)</f>
        <v>1286404</v>
      </c>
      <c r="BU342" s="108">
        <f t="shared" ref="BU342" si="1663">BT342-BT330</f>
        <v>266429</v>
      </c>
      <c r="BW342" s="529">
        <f>BT342/[9]RMWh!$L222</f>
        <v>0.95611288994330534</v>
      </c>
      <c r="CK342" s="406">
        <v>40575</v>
      </c>
      <c r="CL342" s="50">
        <f>BP342+COML!BV342+SPA!BV342</f>
        <v>35300.413009416807</v>
      </c>
      <c r="CM342" s="181">
        <f>'[14]2011'!$D33</f>
        <v>68797</v>
      </c>
      <c r="CN342" s="407">
        <f t="shared" ref="CN342" si="1664">CL342-CM342</f>
        <v>-33496.586990583193</v>
      </c>
      <c r="CO342" s="50">
        <f>'[2]FPC wSEB'!$R439</f>
        <v>2753674</v>
      </c>
      <c r="CP342" s="50">
        <f>'[2]FPC wSEB'!$C439-SUM('[2]FPC wSEB'!$K439:$L439)</f>
        <v>2732539</v>
      </c>
      <c r="CQ342" s="50">
        <f>'[2]FPC wSEB'!$T439-'[2]FPC wSEB'!$T438</f>
        <v>-222671</v>
      </c>
      <c r="CR342" s="50">
        <f>SUM('[2]FPC wSEB'!$K439:$L439)</f>
        <v>229201</v>
      </c>
      <c r="CS342" s="50">
        <f>('[2]FPC wSEB'!$N439)-CQ342</f>
        <v>-145668</v>
      </c>
      <c r="CT342" s="50">
        <f>'[2]FPC wSEB'!$P439</f>
        <v>11851</v>
      </c>
      <c r="CU342" s="50">
        <f>'[2]FPC wSEB'!$Q439</f>
        <v>148422</v>
      </c>
      <c r="CV342" s="115">
        <f t="shared" ref="CV342" si="1665">CO342-SUM(CP342:CU342)</f>
        <v>0</v>
      </c>
      <c r="CW342" s="50">
        <f t="shared" ref="CW342" si="1666">CO342-CT342-CU342+CM342</f>
        <v>2662198</v>
      </c>
      <c r="CX342" s="50">
        <f t="shared" ref="CX342" si="1667">SUM(CP342:CS342)+CL342</f>
        <v>2628701.4130094168</v>
      </c>
      <c r="CY342" s="50">
        <f t="shared" ref="CY342" si="1668">CW342-CX342</f>
        <v>33496.586990583222</v>
      </c>
      <c r="CZ342" s="23"/>
      <c r="DA342" s="23"/>
      <c r="DB342" s="50">
        <f t="shared" si="1181"/>
        <v>-72.387899999999945</v>
      </c>
      <c r="DC342" s="108">
        <f t="shared" si="1182"/>
        <v>915.21210000000008</v>
      </c>
      <c r="DD342" s="50">
        <f t="shared" si="1183"/>
        <v>1274253</v>
      </c>
      <c r="DE342" s="108">
        <f t="shared" si="1184"/>
        <v>35739</v>
      </c>
      <c r="DF342" s="50">
        <f t="shared" si="1185"/>
        <v>1309992</v>
      </c>
      <c r="DG342" s="23">
        <f t="shared" si="1186"/>
        <v>-72</v>
      </c>
      <c r="DH342" s="500">
        <f>ROUND((([13]RUPC!$E222+DG342)*[5]RC!$E$209)/1000,0)</f>
        <v>1346108</v>
      </c>
      <c r="DI342" s="50">
        <f t="shared" si="1626"/>
        <v>-4703</v>
      </c>
      <c r="DJ342" s="23"/>
      <c r="DK342" s="23"/>
      <c r="DL342" s="23"/>
      <c r="DM342" s="23"/>
      <c r="DN342" s="23"/>
    </row>
    <row r="343" spans="1:118" ht="12.75">
      <c r="A343" s="13">
        <f t="shared" si="491"/>
        <v>2011</v>
      </c>
      <c r="B343" s="13">
        <f t="shared" si="492"/>
        <v>3</v>
      </c>
      <c r="C343" s="5">
        <f>'[2]FPC wSEB'!$D440</f>
        <v>1126721</v>
      </c>
      <c r="D343" s="5">
        <f>'[2]FPC wSEB'!$X440</f>
        <v>1375808</v>
      </c>
      <c r="E343" s="5">
        <f t="shared" ref="E343" si="1669">ROUND(C343-H343,0)</f>
        <v>1096634</v>
      </c>
      <c r="F343" s="5">
        <f t="shared" ref="F343" si="1670">ROUND(D343-I343,0)</f>
        <v>1317910</v>
      </c>
      <c r="G343" s="74">
        <f t="shared" ref="G343" si="1671">ROUND((E343)/F343*1000,1)</f>
        <v>832.1</v>
      </c>
      <c r="H343" s="190">
        <v>30087</v>
      </c>
      <c r="I343" s="190">
        <v>57898</v>
      </c>
      <c r="J343" s="230">
        <f>'[7]RES 62 &amp; 67'!$S428</f>
        <v>84.6</v>
      </c>
      <c r="K343" s="183">
        <f t="shared" si="301"/>
        <v>77.2</v>
      </c>
      <c r="L343" s="233">
        <f t="shared" ref="L343" si="1672">(K343-J343)</f>
        <v>-7.3999999999999915</v>
      </c>
      <c r="M343" s="230">
        <f>'[7]RES 62 &amp; 67'!$J428</f>
        <v>62.7</v>
      </c>
      <c r="N343" s="183">
        <f t="shared" si="302"/>
        <v>82.3</v>
      </c>
      <c r="O343" s="236">
        <f t="shared" ref="O343" si="1673">(N343-M343)</f>
        <v>19.599999999999994</v>
      </c>
      <c r="P343" s="206">
        <f t="shared" ref="P343" si="1674">L343*$G$10</f>
        <v>-16.47979999999998</v>
      </c>
      <c r="Q343" s="208">
        <f t="shared" ref="Q343" si="1675">IF($B343=12,L343*$G$11,IF($B343&lt;5,L343*$G$11,0))</f>
        <v>1.2505999999999986</v>
      </c>
      <c r="R343" s="467">
        <f t="shared" ref="R343" si="1676">P343+Q343</f>
        <v>-15.229199999999981</v>
      </c>
      <c r="S343" s="470">
        <f t="shared" ref="S343" si="1677">O343*$G$9</f>
        <v>60.740399999999987</v>
      </c>
      <c r="T343" s="425">
        <f t="shared" ref="T343" si="1678">ROUND((R343+S343),1)</f>
        <v>45.5</v>
      </c>
      <c r="U343" s="579">
        <f>[5]RC!$E223</f>
        <v>1453156</v>
      </c>
      <c r="V343" s="447">
        <v>40603</v>
      </c>
      <c r="W343" s="191">
        <f t="shared" ref="W343" si="1679">(G343+T343)</f>
        <v>877.6</v>
      </c>
      <c r="X343" s="73">
        <f t="shared" ref="X343" si="1680">ROUND(W343*F343/1000,0)</f>
        <v>1156598</v>
      </c>
      <c r="Y343" s="187">
        <f t="shared" ref="Y343" si="1681">ROUND((X343/C343)*H343,0)</f>
        <v>30885</v>
      </c>
      <c r="Z343" s="175">
        <f t="shared" ref="Z343" si="1682">Y343+X343</f>
        <v>1187483</v>
      </c>
      <c r="AA343" s="40">
        <f t="shared" ref="AA343" si="1683">Z343-C343</f>
        <v>60762</v>
      </c>
      <c r="AB343" s="519">
        <f>[9]RMWh!$L223</f>
        <v>1260652</v>
      </c>
      <c r="AC343" s="107">
        <f>'[7]Gov 65 &amp; 70'!$B428</f>
        <v>29.4</v>
      </c>
      <c r="AD343" s="4">
        <f t="shared" si="1427"/>
        <v>1304389</v>
      </c>
      <c r="AE343" s="4">
        <f t="shared" ref="AE343" si="1684">AD343-AD331</f>
        <v>72403</v>
      </c>
      <c r="AF343" s="50">
        <f t="shared" ref="AF343" si="1685">ROUND((AD343/(D343)*1000),1)</f>
        <v>948.1</v>
      </c>
      <c r="AG343" s="75">
        <f t="shared" ref="AG343" si="1686">AF343-AF331</f>
        <v>104.60000000000002</v>
      </c>
      <c r="AI343" s="303">
        <f t="shared" ref="AI343" si="1687">(H343/I343*1000)/G343</f>
        <v>0.62451058261587955</v>
      </c>
      <c r="AK343" s="418">
        <f>AVERAGE(AI343,AI319,AI307,AI295,AI283,AI271,AI259)</f>
        <v>0.61862420981121002</v>
      </c>
      <c r="AU343" s="4">
        <f t="shared" si="494"/>
        <v>2011</v>
      </c>
      <c r="AV343" s="4">
        <f t="shared" si="495"/>
        <v>3</v>
      </c>
      <c r="AW343" s="230">
        <f>'[8]RES 62 &amp; 67'!$S428</f>
        <v>123.2</v>
      </c>
      <c r="AX343" s="200">
        <f t="shared" si="306"/>
        <v>105.8</v>
      </c>
      <c r="AY343" s="203">
        <f t="shared" ref="AY343" si="1688">AX343-AW343</f>
        <v>-17.400000000000006</v>
      </c>
      <c r="AZ343" s="230">
        <f>'[8]RES 62 &amp; 67'!$J428</f>
        <v>34.700000000000003</v>
      </c>
      <c r="BA343" s="183">
        <f t="shared" si="307"/>
        <v>49.9</v>
      </c>
      <c r="BB343" s="429">
        <f t="shared" ref="BB343" si="1689">BA343-AZ343</f>
        <v>15.199999999999996</v>
      </c>
      <c r="BC343" s="206">
        <f t="shared" ref="BC343" si="1690">AY343*$G$10</f>
        <v>-38.749800000000008</v>
      </c>
      <c r="BD343" s="206">
        <f t="shared" ref="BD343" si="1691">IF($B343=4,($G$11*0.5*AY343),IF($B343=11,($G$11*0.5*AY343),IF($B343=12,AY343*$G$11,IF($B343&lt;5,AY343*$G$11,0))))</f>
        <v>2.9406000000000012</v>
      </c>
      <c r="BE343" s="206">
        <f t="shared" ref="BE343" si="1692">BC343+BD343</f>
        <v>-35.809200000000004</v>
      </c>
      <c r="BF343" s="207">
        <f t="shared" ref="BF343" si="1693">BB343*$G$9</f>
        <v>47.10479999999999</v>
      </c>
      <c r="BG343" s="219">
        <f t="shared" ref="BG343" si="1694">ROUND(BF343+BE343,1)</f>
        <v>11.3</v>
      </c>
      <c r="BH343" s="4">
        <f t="shared" si="569"/>
        <v>2011</v>
      </c>
      <c r="BI343" s="4">
        <f t="shared" si="570"/>
        <v>3</v>
      </c>
      <c r="BJ343" s="108">
        <f>C343+[4]MWh!$AJ177</f>
        <v>1137889.9594288282</v>
      </c>
      <c r="BK343" s="108">
        <f t="shared" ref="BK343" si="1695">(H343/C343)*BJ343</f>
        <v>30385.246400249176</v>
      </c>
      <c r="BL343" s="108">
        <f t="shared" ref="BL343" si="1696">BJ343-BK343</f>
        <v>1107504.713028579</v>
      </c>
      <c r="BM343" s="189">
        <f t="shared" ref="BM343" si="1697">(BL343/F343*1000)+BG343</f>
        <v>851.6492750101138</v>
      </c>
      <c r="BN343" s="6">
        <f t="shared" ref="BN343" si="1698">ROUND(BM343*F343/1000,0)</f>
        <v>1122397</v>
      </c>
      <c r="BO343" s="175">
        <f t="shared" ref="BO343" si="1699">ROUND(BN343/BL343*BK343,0)</f>
        <v>30794</v>
      </c>
      <c r="BP343" s="108">
        <f t="shared" ref="BP343" si="1700">(BN343-BL343)+(BO343-BK343)</f>
        <v>15301.040571171805</v>
      </c>
      <c r="BQ343" s="76">
        <f t="shared" ref="BQ343" si="1701">BJ343/D343*1000</f>
        <v>827.07031753618833</v>
      </c>
      <c r="BR343" s="76">
        <f t="shared" ref="BR343" si="1702">(BN343+BO343)/D343*1000</f>
        <v>838.19181164813699</v>
      </c>
      <c r="BS343" s="76">
        <f t="shared" ref="BS343" si="1703">BR343-BR331</f>
        <v>-168.35943513580276</v>
      </c>
      <c r="BT343" s="175">
        <f t="shared" ref="BT343" si="1704">(BN343+BO343)</f>
        <v>1153191</v>
      </c>
      <c r="BU343" s="108">
        <f t="shared" ref="BU343" si="1705">BT343-BT331</f>
        <v>-317016</v>
      </c>
      <c r="BW343" s="529">
        <f>BT343/[9]RMWh!$L223</f>
        <v>0.9147576016220178</v>
      </c>
      <c r="CK343" s="406">
        <v>40603</v>
      </c>
      <c r="CL343" s="50">
        <f>BP343+COML!BV343+SPA!BV343</f>
        <v>1681.0405711718049</v>
      </c>
      <c r="CM343" s="181">
        <f>'[14]2011'!$D34</f>
        <v>58866</v>
      </c>
      <c r="CN343" s="407">
        <f t="shared" ref="CN343" si="1706">CL343-CM343</f>
        <v>-57184.959428828195</v>
      </c>
      <c r="CO343" s="50">
        <f>'[2]FPC wSEB'!$R440</f>
        <v>2987457</v>
      </c>
      <c r="CP343" s="50">
        <f>'[2]FPC wSEB'!$C440-SUM('[2]FPC wSEB'!$K440:$L440)</f>
        <v>2447296</v>
      </c>
      <c r="CQ343" s="50">
        <f>'[2]FPC wSEB'!$T440-'[2]FPC wSEB'!$T439</f>
        <v>206434</v>
      </c>
      <c r="CR343" s="50">
        <f>SUM('[2]FPC wSEB'!$K440:$L440)</f>
        <v>106762</v>
      </c>
      <c r="CS343" s="50">
        <f>('[2]FPC wSEB'!$N440)-CQ343</f>
        <v>24693</v>
      </c>
      <c r="CT343" s="50">
        <f>'[2]FPC wSEB'!$P440</f>
        <v>19690</v>
      </c>
      <c r="CU343" s="50">
        <f>'[2]FPC wSEB'!$Q440</f>
        <v>182582</v>
      </c>
      <c r="CV343" s="115">
        <f t="shared" ref="CV343" si="1707">CO343-SUM(CP343:CU343)</f>
        <v>0</v>
      </c>
      <c r="CW343" s="50">
        <f t="shared" ref="CW343" si="1708">CO343-CT343-CU343+CM343</f>
        <v>2844051</v>
      </c>
      <c r="CX343" s="50">
        <f t="shared" ref="CX343" si="1709">SUM(CP343:CS343)+CL343</f>
        <v>2786866.0405711718</v>
      </c>
      <c r="CY343" s="50">
        <f t="shared" ref="CY343" si="1710">CW343-CX343</f>
        <v>57184.95942882821</v>
      </c>
      <c r="CZ343" s="23"/>
      <c r="DA343" s="23"/>
      <c r="DB343" s="50">
        <f t="shared" si="1181"/>
        <v>41.784000000000006</v>
      </c>
      <c r="DC343" s="108">
        <f t="shared" si="1182"/>
        <v>873.88400000000001</v>
      </c>
      <c r="DD343" s="50">
        <f t="shared" si="1183"/>
        <v>1151700</v>
      </c>
      <c r="DE343" s="108">
        <f t="shared" si="1184"/>
        <v>30754</v>
      </c>
      <c r="DF343" s="50">
        <f t="shared" si="1185"/>
        <v>1182454</v>
      </c>
      <c r="DG343" s="23">
        <f t="shared" si="1186"/>
        <v>41</v>
      </c>
      <c r="DH343" s="500">
        <f>ROUND((([13]RUPC!$E223+DG343)*[5]RC!$E$209)/1000,0)</f>
        <v>1246596</v>
      </c>
      <c r="DI343" s="50">
        <f t="shared" si="1626"/>
        <v>21532</v>
      </c>
      <c r="DJ343" s="23"/>
      <c r="DK343" s="23"/>
      <c r="DL343" s="23"/>
      <c r="DM343" s="23"/>
      <c r="DN343" s="23"/>
    </row>
    <row r="344" spans="1:118" ht="12.75">
      <c r="A344" s="13">
        <f t="shared" si="491"/>
        <v>2011</v>
      </c>
      <c r="B344" s="13">
        <f t="shared" si="492"/>
        <v>4</v>
      </c>
      <c r="C344" s="5">
        <f>'[2]FPC wSEB'!$D441</f>
        <v>1258745</v>
      </c>
      <c r="D344" s="5">
        <f>'[2]FPC wSEB'!$X441</f>
        <v>1444384</v>
      </c>
      <c r="E344" s="5">
        <f t="shared" ref="E344" si="1711">ROUND(C344-H344,0)</f>
        <v>1229068</v>
      </c>
      <c r="F344" s="5">
        <f t="shared" ref="F344" si="1712">ROUND(D344-I344,0)</f>
        <v>1384191</v>
      </c>
      <c r="G344" s="74">
        <f t="shared" ref="G344" si="1713">ROUND((E344)/F344*1000,1)</f>
        <v>887.9</v>
      </c>
      <c r="H344" s="190">
        <v>29677</v>
      </c>
      <c r="I344" s="190">
        <v>60193</v>
      </c>
      <c r="J344" s="230">
        <f>'[7]RES 62 &amp; 67'!$S429</f>
        <v>154.80000000000001</v>
      </c>
      <c r="K344" s="183">
        <f t="shared" si="301"/>
        <v>138.1</v>
      </c>
      <c r="L344" s="233">
        <f t="shared" ref="L344" si="1714">(K344-J344)</f>
        <v>-16.700000000000017</v>
      </c>
      <c r="M344" s="230">
        <f>'[7]RES 62 &amp; 67'!$J429</f>
        <v>23.4</v>
      </c>
      <c r="N344" s="183">
        <f t="shared" si="302"/>
        <v>37.299999999999997</v>
      </c>
      <c r="O344" s="236">
        <f t="shared" ref="O344" si="1715">(N344-M344)</f>
        <v>13.899999999999999</v>
      </c>
      <c r="P344" s="206">
        <f t="shared" ref="P344" si="1716">L344*$G$10</f>
        <v>-37.190900000000035</v>
      </c>
      <c r="Q344" s="208">
        <f t="shared" ref="Q344" si="1717">IF($B344=12,L344*$G$11,IF($B344&lt;5,L344*$G$11,0))</f>
        <v>2.8223000000000029</v>
      </c>
      <c r="R344" s="467">
        <f t="shared" ref="R344" si="1718">P344+Q344</f>
        <v>-34.368600000000029</v>
      </c>
      <c r="S344" s="470">
        <f t="shared" ref="S344" si="1719">O344*$G$9</f>
        <v>43.076099999999997</v>
      </c>
      <c r="T344" s="425">
        <f t="shared" ref="T344" si="1720">ROUND((R344+S344),1)</f>
        <v>8.6999999999999993</v>
      </c>
      <c r="U344" s="579">
        <f>[5]RC!$E224</f>
        <v>1453324</v>
      </c>
      <c r="V344" s="447">
        <v>40634</v>
      </c>
      <c r="W344" s="191">
        <f t="shared" ref="W344" si="1721">(G344+T344)</f>
        <v>896.6</v>
      </c>
      <c r="X344" s="73">
        <f t="shared" ref="X344" si="1722">ROUND(W344*F344/1000,0)</f>
        <v>1241066</v>
      </c>
      <c r="Y344" s="187">
        <f t="shared" ref="Y344" si="1723">ROUND((X344/C344)*H344,0)</f>
        <v>29260</v>
      </c>
      <c r="Z344" s="175">
        <f t="shared" ref="Z344" si="1724">Y344+X344</f>
        <v>1270326</v>
      </c>
      <c r="AA344" s="40">
        <f t="shared" ref="AA344" si="1725">Z344-C344</f>
        <v>11581</v>
      </c>
      <c r="AB344" s="519">
        <f>[9]RMWh!$L224</f>
        <v>1264850</v>
      </c>
      <c r="AC344" s="107">
        <f>'[7]Gov 65 &amp; 70'!$B429</f>
        <v>29.4</v>
      </c>
      <c r="AD344" s="4">
        <f t="shared" si="1427"/>
        <v>1308733</v>
      </c>
      <c r="AE344" s="4">
        <f t="shared" ref="AE344" si="1726">AD344-AD332</f>
        <v>514</v>
      </c>
      <c r="AF344" s="50">
        <f t="shared" ref="AF344" si="1727">ROUND((AD344/(D344)*1000),1)</f>
        <v>906.1</v>
      </c>
      <c r="AG344" s="75">
        <f t="shared" ref="AG344" si="1728">AF344-AF332</f>
        <v>1.2000000000000455</v>
      </c>
      <c r="AI344" s="303">
        <f t="shared" ref="AI344" si="1729">(H344/I344*1000)/G344</f>
        <v>0.55527734101138981</v>
      </c>
      <c r="AK344" s="418">
        <f>AVERAGE(AI344,AI332,AI320,AI308,AI296,AI284,AI272)</f>
        <v>0.5393950099187298</v>
      </c>
      <c r="AU344" s="4">
        <f t="shared" si="494"/>
        <v>2011</v>
      </c>
      <c r="AV344" s="4">
        <f t="shared" si="495"/>
        <v>4</v>
      </c>
      <c r="AW344" s="230">
        <f>'[8]RES 62 &amp; 67'!$S429</f>
        <v>270.3</v>
      </c>
      <c r="AX344" s="200">
        <f t="shared" si="306"/>
        <v>181.7</v>
      </c>
      <c r="AY344" s="203">
        <f t="shared" ref="AY344" si="1730">AX344-AW344</f>
        <v>-88.600000000000023</v>
      </c>
      <c r="AZ344" s="230">
        <f>'[8]RES 62 &amp; 67'!$J429</f>
        <v>7.7</v>
      </c>
      <c r="BA344" s="183">
        <f t="shared" si="307"/>
        <v>21.5</v>
      </c>
      <c r="BB344" s="429">
        <f t="shared" ref="BB344" si="1731">BA344-AZ344</f>
        <v>13.8</v>
      </c>
      <c r="BC344" s="206">
        <f t="shared" ref="BC344" si="1732">AY344*$G$10</f>
        <v>-197.31220000000005</v>
      </c>
      <c r="BD344" s="206">
        <f t="shared" ref="BD344" si="1733">IF($B344=4,($G$11*0.5*AY344),IF($B344=11,($G$11*0.5*AY344),IF($B344=12,AY344*$G$11,IF($B344&lt;5,AY344*$G$11,0))))</f>
        <v>7.4867000000000026</v>
      </c>
      <c r="BE344" s="206">
        <f t="shared" ref="BE344" si="1734">BC344+BD344</f>
        <v>-189.82550000000003</v>
      </c>
      <c r="BF344" s="207">
        <f t="shared" ref="BF344" si="1735">BB344*$G$9</f>
        <v>42.766200000000005</v>
      </c>
      <c r="BG344" s="219">
        <f t="shared" ref="BG344" si="1736">ROUND(BF344+BE344,1)</f>
        <v>-147.1</v>
      </c>
      <c r="BH344" s="4">
        <f t="shared" si="569"/>
        <v>2011</v>
      </c>
      <c r="BI344" s="4">
        <f t="shared" si="570"/>
        <v>4</v>
      </c>
      <c r="BJ344" s="108">
        <f>C344+[4]MWh!$AJ178</f>
        <v>1421873.9836067013</v>
      </c>
      <c r="BK344" s="108">
        <f t="shared" ref="BK344" si="1737">(H344/C344)*BJ344</f>
        <v>33523.036207886485</v>
      </c>
      <c r="BL344" s="108">
        <f t="shared" ref="BL344" si="1738">BJ344-BK344</f>
        <v>1388350.9473988148</v>
      </c>
      <c r="BM344" s="189">
        <f t="shared" ref="BM344" si="1739">(BL344/F344*1000)+BG344</f>
        <v>855.90532758760514</v>
      </c>
      <c r="BN344" s="6">
        <f t="shared" ref="BN344" si="1740">ROUND(BM344*F344/1000,0)</f>
        <v>1184736</v>
      </c>
      <c r="BO344" s="175">
        <f t="shared" ref="BO344" si="1741">ROUND(BN344/BL344*BK344,0)</f>
        <v>28607</v>
      </c>
      <c r="BP344" s="108">
        <f t="shared" ref="BP344" si="1742">(BN344-BL344)+(BO344-BK344)</f>
        <v>-208530.98360670131</v>
      </c>
      <c r="BQ344" s="76">
        <f t="shared" ref="BQ344" si="1743">BJ344/D344*1000</f>
        <v>984.41549034515845</v>
      </c>
      <c r="BR344" s="76">
        <f t="shared" ref="BR344" si="1744">(BN344+BO344)/D344*1000</f>
        <v>840.04184482796813</v>
      </c>
      <c r="BS344" s="76">
        <f t="shared" ref="BS344" si="1745">BR344-BR332</f>
        <v>7.6883828617328618</v>
      </c>
      <c r="BT344" s="175">
        <f t="shared" ref="BT344" si="1746">(BN344+BO344)</f>
        <v>1213343</v>
      </c>
      <c r="BU344" s="108">
        <f t="shared" ref="BU344" si="1747">BT344-BT332</f>
        <v>9953</v>
      </c>
      <c r="BW344" s="529">
        <f>BT344/[9]RMWh!$L224</f>
        <v>0.95927817527770087</v>
      </c>
      <c r="CK344" s="406">
        <v>40634</v>
      </c>
      <c r="CL344" s="50">
        <f>BP344+COML!BV344+SPA!BV344</f>
        <v>-288901.98360670131</v>
      </c>
      <c r="CM344" s="181">
        <f>'[14]2011'!$D35</f>
        <v>-299006</v>
      </c>
      <c r="CN344" s="407">
        <f t="shared" ref="CN344" si="1748">CL344-CM344</f>
        <v>10104.016393298691</v>
      </c>
      <c r="CO344" s="50">
        <f>'[2]FPC wSEB'!$R441</f>
        <v>3534738</v>
      </c>
      <c r="CP344" s="50">
        <f>'[2]FPC wSEB'!$C441-SUM('[2]FPC wSEB'!$K441:$L441)</f>
        <v>2687732</v>
      </c>
      <c r="CQ344" s="50">
        <f>'[2]FPC wSEB'!$T441-'[2]FPC wSEB'!$T440</f>
        <v>320039</v>
      </c>
      <c r="CR344" s="50">
        <f>SUM('[2]FPC wSEB'!$K441:$L441)</f>
        <v>129682</v>
      </c>
      <c r="CS344" s="50">
        <f>('[2]FPC wSEB'!$N441)-CQ344</f>
        <v>124342</v>
      </c>
      <c r="CT344" s="50">
        <f>'[2]FPC wSEB'!$P441</f>
        <v>13846</v>
      </c>
      <c r="CU344" s="50">
        <f>'[2]FPC wSEB'!$Q441</f>
        <v>259097</v>
      </c>
      <c r="CV344" s="115">
        <f t="shared" ref="CV344" si="1749">CO344-SUM(CP344:CU344)</f>
        <v>0</v>
      </c>
      <c r="CW344" s="50">
        <f t="shared" ref="CW344" si="1750">CO344-CT344-CU344+CM344</f>
        <v>2962789</v>
      </c>
      <c r="CX344" s="50">
        <f t="shared" ref="CX344" si="1751">SUM(CP344:CS344)+CL344</f>
        <v>2972893.0163932987</v>
      </c>
      <c r="CY344" s="50">
        <f t="shared" ref="CY344" si="1752">CW344-CX344</f>
        <v>-10104.016393298749</v>
      </c>
      <c r="CZ344" s="23"/>
      <c r="DA344" s="23"/>
      <c r="DB344" s="50">
        <f t="shared" si="1181"/>
        <v>7.5758999999999688</v>
      </c>
      <c r="DC344" s="108">
        <f t="shared" si="1182"/>
        <v>895.47589999999991</v>
      </c>
      <c r="DD344" s="50">
        <f t="shared" si="1183"/>
        <v>1239510</v>
      </c>
      <c r="DE344" s="108">
        <f t="shared" si="1184"/>
        <v>29224</v>
      </c>
      <c r="DF344" s="50">
        <f t="shared" si="1185"/>
        <v>1268734</v>
      </c>
      <c r="DG344" s="23">
        <f t="shared" si="1186"/>
        <v>7</v>
      </c>
      <c r="DH344" s="500">
        <f>ROUND((([13]RUPC!$E224+DG344)*[5]RC!$E$209)/1000,0)</f>
        <v>1253713</v>
      </c>
      <c r="DI344" s="50">
        <f t="shared" si="1626"/>
        <v>-47913</v>
      </c>
      <c r="DJ344" s="23"/>
      <c r="DK344" s="23"/>
      <c r="DL344" s="23"/>
      <c r="DM344" s="23"/>
      <c r="DN344" s="23"/>
    </row>
    <row r="345" spans="1:118" ht="12.75">
      <c r="A345" s="13">
        <f t="shared" si="491"/>
        <v>2011</v>
      </c>
      <c r="B345" s="13">
        <f t="shared" si="492"/>
        <v>5</v>
      </c>
      <c r="C345" s="5">
        <f>'[2]FPC wSEB'!$D442</f>
        <v>1589560</v>
      </c>
      <c r="D345" s="5">
        <f>'[2]FPC wSEB'!$X442</f>
        <v>1453925</v>
      </c>
      <c r="E345" s="5">
        <f t="shared" ref="E345" si="1753">ROUND(C345-H345,0)</f>
        <v>1561574</v>
      </c>
      <c r="F345" s="5">
        <f t="shared" ref="F345" si="1754">ROUND(D345-I345,0)</f>
        <v>1392105</v>
      </c>
      <c r="G345" s="74">
        <f t="shared" ref="G345" si="1755">ROUND((E345)/F345*1000,1)</f>
        <v>1121.7</v>
      </c>
      <c r="H345" s="190">
        <v>27986</v>
      </c>
      <c r="I345" s="190">
        <v>61820</v>
      </c>
      <c r="J345" s="230">
        <f>'[7]RES 62 &amp; 67'!$S430</f>
        <v>303.5</v>
      </c>
      <c r="K345" s="183">
        <f t="shared" si="301"/>
        <v>224.4</v>
      </c>
      <c r="L345" s="233">
        <f t="shared" ref="L345" si="1756">(K345-J345)</f>
        <v>-79.099999999999994</v>
      </c>
      <c r="M345" s="230">
        <f>'[7]RES 62 &amp; 67'!$J430</f>
        <v>4.5999999999999996</v>
      </c>
      <c r="N345" s="183">
        <f t="shared" si="302"/>
        <v>11.2</v>
      </c>
      <c r="O345" s="236">
        <f t="shared" ref="O345" si="1757">(N345-M345)</f>
        <v>6.6</v>
      </c>
      <c r="P345" s="206">
        <f t="shared" ref="P345" si="1758">L345*$G$10</f>
        <v>-176.15569999999997</v>
      </c>
      <c r="Q345" s="208">
        <f t="shared" ref="Q345" si="1759">IF($B345=12,L345*$G$11,IF($B345&lt;5,L345*$G$11,0))</f>
        <v>0</v>
      </c>
      <c r="R345" s="467">
        <f t="shared" ref="R345" si="1760">P345+Q345</f>
        <v>-176.15569999999997</v>
      </c>
      <c r="S345" s="470">
        <f t="shared" ref="S345" si="1761">O345*$G$9</f>
        <v>20.453399999999998</v>
      </c>
      <c r="T345" s="425">
        <f t="shared" ref="T345" si="1762">ROUND((R345+S345),1)</f>
        <v>-155.69999999999999</v>
      </c>
      <c r="U345" s="579">
        <f>[5]RC!$E225</f>
        <v>1452344</v>
      </c>
      <c r="V345" s="447">
        <v>40664</v>
      </c>
      <c r="W345" s="191">
        <f t="shared" ref="W345" si="1763">(G345+T345)</f>
        <v>966</v>
      </c>
      <c r="X345" s="73">
        <f t="shared" ref="X345" si="1764">ROUND(W345*F345/1000,0)</f>
        <v>1344773</v>
      </c>
      <c r="Y345" s="187">
        <f t="shared" ref="Y345" si="1765">ROUND((X345/C345)*H345,0)</f>
        <v>23676</v>
      </c>
      <c r="Z345" s="175">
        <f t="shared" ref="Z345" si="1766">Y345+X345</f>
        <v>1368449</v>
      </c>
      <c r="AA345" s="40">
        <f t="shared" ref="AA345" si="1767">Z345-C345</f>
        <v>-221111</v>
      </c>
      <c r="AB345" s="519">
        <f>[9]RMWh!$L225</f>
        <v>1360510</v>
      </c>
      <c r="AC345" s="107">
        <f>'[7]Gov 65 &amp; 70'!$B430</f>
        <v>30.8</v>
      </c>
      <c r="AD345" s="4">
        <f t="shared" si="1427"/>
        <v>1343724</v>
      </c>
      <c r="AE345" s="4">
        <f t="shared" ref="AE345" si="1768">AD345-AD333</f>
        <v>-87249</v>
      </c>
      <c r="AF345" s="50">
        <f t="shared" ref="AF345" si="1769">ROUND((AD345/(D345)*1000),1)</f>
        <v>924.2</v>
      </c>
      <c r="AG345" s="75">
        <f t="shared" ref="AG345" si="1770">AF345-AF333</f>
        <v>-72</v>
      </c>
      <c r="AI345" s="303">
        <f t="shared" ref="AI345" si="1771">(H345/I345*1000)/G345</f>
        <v>0.40358508615098049</v>
      </c>
      <c r="AK345" s="418">
        <f>AVERAGE(AI345,AI333,AI321,AI309,AI297,AI285)</f>
        <v>0.36539193193937813</v>
      </c>
      <c r="AU345" s="4">
        <f t="shared" si="494"/>
        <v>2011</v>
      </c>
      <c r="AV345" s="4">
        <f t="shared" si="495"/>
        <v>5</v>
      </c>
      <c r="AW345" s="230">
        <f>'[8]RES 62 &amp; 67'!$S430</f>
        <v>356.3</v>
      </c>
      <c r="AX345" s="200">
        <f t="shared" si="306"/>
        <v>336.7</v>
      </c>
      <c r="AY345" s="203">
        <f t="shared" ref="AY345" si="1772">AX345-AW345</f>
        <v>-19.600000000000023</v>
      </c>
      <c r="AZ345" s="230">
        <f>'[8]RES 62 &amp; 67'!$J430</f>
        <v>2</v>
      </c>
      <c r="BA345" s="183">
        <f t="shared" si="307"/>
        <v>2.1</v>
      </c>
      <c r="BB345" s="429">
        <f t="shared" ref="BB345" si="1773">BA345-AZ345</f>
        <v>0.10000000000000009</v>
      </c>
      <c r="BC345" s="206">
        <f t="shared" ref="BC345" si="1774">AY345*$G$10</f>
        <v>-43.64920000000005</v>
      </c>
      <c r="BD345" s="206">
        <f t="shared" ref="BD345" si="1775">IF($B345=4,($G$11*0.5*AY345),IF($B345=11,($G$11*0.5*AY345),IF($B345=12,AY345*$G$11,IF($B345&lt;5,AY345*$G$11,0))))</f>
        <v>0</v>
      </c>
      <c r="BE345" s="206">
        <f t="shared" ref="BE345" si="1776">BC345+BD345</f>
        <v>-43.64920000000005</v>
      </c>
      <c r="BF345" s="207">
        <f t="shared" ref="BF345" si="1777">BB345*$G$9</f>
        <v>0.30990000000000029</v>
      </c>
      <c r="BG345" s="219">
        <f t="shared" ref="BG345" si="1778">ROUND(BF345+BE345,1)</f>
        <v>-43.3</v>
      </c>
      <c r="BH345" s="4">
        <f t="shared" si="569"/>
        <v>2011</v>
      </c>
      <c r="BI345" s="4">
        <f t="shared" si="570"/>
        <v>5</v>
      </c>
      <c r="BJ345" s="108">
        <f>C345+[4]MWh!$AJ179</f>
        <v>1733742.4799437872</v>
      </c>
      <c r="BK345" s="108">
        <f t="shared" ref="BK345" si="1779">(H345/C345)*BJ345</f>
        <v>30524.495485358737</v>
      </c>
      <c r="BL345" s="108">
        <f t="shared" ref="BL345" si="1780">BJ345-BK345</f>
        <v>1703217.9844584286</v>
      </c>
      <c r="BM345" s="189">
        <f t="shared" ref="BM345" si="1781">(BL345/F345*1000)+BG345</f>
        <v>1180.1838496079165</v>
      </c>
      <c r="BN345" s="6">
        <f t="shared" ref="BN345" si="1782">ROUND(BM345*F345/1000,0)</f>
        <v>1642940</v>
      </c>
      <c r="BO345" s="175">
        <f t="shared" ref="BO345" si="1783">ROUND(BN345/BL345*BK345,0)</f>
        <v>29444</v>
      </c>
      <c r="BP345" s="108">
        <f t="shared" ref="BP345" si="1784">(BN345-BL345)+(BO345-BK345)</f>
        <v>-61358.479943787315</v>
      </c>
      <c r="BQ345" s="76">
        <f t="shared" ref="BQ345" si="1785">BJ345/D345*1000</f>
        <v>1192.4566122350102</v>
      </c>
      <c r="BR345" s="76">
        <f t="shared" ref="BR345" si="1786">(BN345+BO345)/D345*1000</f>
        <v>1150.2546555014874</v>
      </c>
      <c r="BS345" s="76">
        <f t="shared" ref="BS345" si="1787">BR345-BR333</f>
        <v>43.179277721481867</v>
      </c>
      <c r="BT345" s="175">
        <f t="shared" ref="BT345" si="1788">(BN345+BO345)</f>
        <v>1672384</v>
      </c>
      <c r="BU345" s="108">
        <f t="shared" ref="BU345" si="1789">BT345-BT333</f>
        <v>82161</v>
      </c>
      <c r="BW345" s="529">
        <f>BT345/[9]RMWh!$L225</f>
        <v>1.2292331552138536</v>
      </c>
      <c r="CK345" s="406">
        <v>40664</v>
      </c>
      <c r="CL345" s="50">
        <f>BP345+COML!BV345+SPA!BV345</f>
        <v>-79362.479943787315</v>
      </c>
      <c r="CM345" s="181">
        <f>'[14]2011'!$D36</f>
        <v>-87116</v>
      </c>
      <c r="CN345" s="407">
        <f t="shared" ref="CN345" si="1790">CL345-CM345</f>
        <v>7753.5200562126847</v>
      </c>
      <c r="CO345" s="50">
        <f>'[2]FPC wSEB'!$R442</f>
        <v>3883821</v>
      </c>
      <c r="CP345" s="50">
        <f>'[2]FPC wSEB'!$C442-SUM('[2]FPC wSEB'!$K442:$L442)</f>
        <v>3188641</v>
      </c>
      <c r="CQ345" s="50">
        <f>'[2]FPC wSEB'!$T442-'[2]FPC wSEB'!$T441</f>
        <v>168816</v>
      </c>
      <c r="CR345" s="50">
        <f>SUM('[2]FPC wSEB'!$K442:$L442)</f>
        <v>255050</v>
      </c>
      <c r="CS345" s="50">
        <f>('[2]FPC wSEB'!$N442)-CQ345</f>
        <v>5534</v>
      </c>
      <c r="CT345" s="50">
        <f>'[2]FPC wSEB'!$P442</f>
        <v>12941</v>
      </c>
      <c r="CU345" s="50">
        <f>'[2]FPC wSEB'!$Q442</f>
        <v>252839</v>
      </c>
      <c r="CV345" s="115">
        <f t="shared" ref="CV345" si="1791">CO345-SUM(CP345:CU345)</f>
        <v>0</v>
      </c>
      <c r="CW345" s="50">
        <f t="shared" ref="CW345" si="1792">CO345-CT345-CU345+CM345</f>
        <v>3530925</v>
      </c>
      <c r="CX345" s="50">
        <f t="shared" ref="CX345" si="1793">SUM(CP345:CS345)+CL345</f>
        <v>3538678.5200562128</v>
      </c>
      <c r="CY345" s="50">
        <f t="shared" ref="CY345" si="1794">CW345-CX345</f>
        <v>-7753.5200562127866</v>
      </c>
      <c r="CZ345" s="23"/>
      <c r="DA345" s="23"/>
      <c r="DB345" s="50">
        <f t="shared" si="1181"/>
        <v>-133.47719999999998</v>
      </c>
      <c r="DC345" s="108">
        <f t="shared" si="1182"/>
        <v>988.22280000000001</v>
      </c>
      <c r="DD345" s="50">
        <f t="shared" si="1183"/>
        <v>1375710</v>
      </c>
      <c r="DE345" s="108">
        <f t="shared" si="1184"/>
        <v>24221</v>
      </c>
      <c r="DF345" s="50">
        <f t="shared" si="1185"/>
        <v>1399931</v>
      </c>
      <c r="DG345" s="23">
        <f t="shared" si="1186"/>
        <v>-130</v>
      </c>
      <c r="DH345" s="500">
        <f>ROUND((([13]RUPC!$E225+DG345)*[5]RC!$E$209)/1000,0)</f>
        <v>1382864</v>
      </c>
      <c r="DI345" s="50">
        <f t="shared" si="1626"/>
        <v>-20149</v>
      </c>
      <c r="DJ345" s="23"/>
      <c r="DK345" s="23"/>
      <c r="DL345" s="23"/>
      <c r="DM345" s="23"/>
      <c r="DN345" s="23"/>
    </row>
    <row r="346" spans="1:118" ht="12.75">
      <c r="A346" s="13">
        <f t="shared" si="491"/>
        <v>2011</v>
      </c>
      <c r="B346" s="13">
        <f t="shared" si="492"/>
        <v>6</v>
      </c>
      <c r="C346" s="5">
        <f>'[2]FPC wSEB'!$D443</f>
        <v>1833100</v>
      </c>
      <c r="D346" s="5">
        <f>'[2]FPC wSEB'!$X443</f>
        <v>1453806</v>
      </c>
      <c r="E346" s="5">
        <f t="shared" ref="E346" si="1795">ROUND(C346-H346,0)</f>
        <v>1809916</v>
      </c>
      <c r="F346" s="5">
        <f t="shared" ref="F346" si="1796">ROUND(D346-I346,0)</f>
        <v>1391907</v>
      </c>
      <c r="G346" s="74">
        <f t="shared" ref="G346" si="1797">ROUND((E346)/F346*1000,1)</f>
        <v>1300.3</v>
      </c>
      <c r="H346" s="190">
        <v>23184</v>
      </c>
      <c r="I346" s="190">
        <v>61899</v>
      </c>
      <c r="J346" s="230">
        <f>'[7]RES 62 &amp; 67'!$S431</f>
        <v>391.5</v>
      </c>
      <c r="K346" s="183">
        <f t="shared" si="301"/>
        <v>382.8</v>
      </c>
      <c r="L346" s="233">
        <f t="shared" ref="L346" si="1798">(K346-J346)</f>
        <v>-8.6999999999999886</v>
      </c>
      <c r="M346" s="230">
        <f>'[7]RES 62 &amp; 67'!$J431</f>
        <v>1.5</v>
      </c>
      <c r="N346" s="183">
        <f t="shared" si="302"/>
        <v>0.9</v>
      </c>
      <c r="O346" s="236">
        <f t="shared" ref="O346" si="1799">(N346-M346)</f>
        <v>-0.6</v>
      </c>
      <c r="P346" s="206">
        <f t="shared" ref="P346" si="1800">L346*$G$10</f>
        <v>-19.374899999999972</v>
      </c>
      <c r="Q346" s="208">
        <f t="shared" ref="Q346" si="1801">IF($B346=12,L346*$G$11,IF($B346&lt;5,L346*$G$11,0))</f>
        <v>0</v>
      </c>
      <c r="R346" s="467">
        <f t="shared" ref="R346" si="1802">P346+Q346</f>
        <v>-19.374899999999972</v>
      </c>
      <c r="S346" s="470">
        <f t="shared" ref="S346" si="1803">O346*$G$9</f>
        <v>-1.8593999999999999</v>
      </c>
      <c r="T346" s="425">
        <f t="shared" ref="T346" si="1804">ROUND((R346+S346),1)</f>
        <v>-21.2</v>
      </c>
      <c r="U346" s="579">
        <f>[5]RC!$E226</f>
        <v>1452304</v>
      </c>
      <c r="V346" s="447">
        <v>40695</v>
      </c>
      <c r="W346" s="191">
        <f t="shared" ref="W346" si="1805">(G346+T346)</f>
        <v>1279.0999999999999</v>
      </c>
      <c r="X346" s="73">
        <f t="shared" ref="X346" si="1806">ROUND(W346*F346/1000,0)</f>
        <v>1780388</v>
      </c>
      <c r="Y346" s="187">
        <f t="shared" ref="Y346" si="1807">ROUND((X346/C346)*H346,0)</f>
        <v>22517</v>
      </c>
      <c r="Z346" s="175">
        <f t="shared" ref="Z346" si="1808">Y346+X346</f>
        <v>1802905</v>
      </c>
      <c r="AA346" s="40">
        <f t="shared" ref="AA346" si="1809">Z346-C346</f>
        <v>-30195</v>
      </c>
      <c r="AB346" s="519">
        <f>[9]RMWh!$L226</f>
        <v>1772402</v>
      </c>
      <c r="AC346" s="107">
        <f>'[7]Gov 65 &amp; 70'!$B431</f>
        <v>30.55</v>
      </c>
      <c r="AD346" s="4">
        <f t="shared" si="1427"/>
        <v>1764860</v>
      </c>
      <c r="AE346" s="4">
        <f t="shared" ref="AE346" si="1810">AD346-AD334</f>
        <v>50744</v>
      </c>
      <c r="AF346" s="50">
        <f t="shared" ref="AF346" si="1811">ROUND((AD346/(D346)*1000),1)</f>
        <v>1214</v>
      </c>
      <c r="AG346" s="75">
        <f t="shared" ref="AG346" si="1812">AF346-AF334</f>
        <v>46.400000000000091</v>
      </c>
      <c r="AI346" s="303">
        <f t="shared" ref="AI346" si="1813">(H346/I346*1000)/G346</f>
        <v>0.28804555163088108</v>
      </c>
      <c r="AK346" s="418">
        <f>AVERAGE(AI346,AI334,AI322,AI310,AI298,AI286)</f>
        <v>0.26532172777007884</v>
      </c>
      <c r="AU346" s="4">
        <f t="shared" si="494"/>
        <v>2011</v>
      </c>
      <c r="AV346" s="4">
        <f t="shared" si="495"/>
        <v>6</v>
      </c>
      <c r="AW346" s="230">
        <f>'[8]RES 62 &amp; 67'!$S431</f>
        <v>466.1</v>
      </c>
      <c r="AX346" s="200">
        <f t="shared" si="306"/>
        <v>425.2</v>
      </c>
      <c r="AY346" s="203">
        <f t="shared" ref="AY346" si="1814">AX346-AW346</f>
        <v>-40.900000000000034</v>
      </c>
      <c r="AZ346" s="230">
        <f>'[8]RES 62 &amp; 67'!$J431</f>
        <v>0.2</v>
      </c>
      <c r="BA346" s="183">
        <f t="shared" si="307"/>
        <v>0</v>
      </c>
      <c r="BB346" s="429">
        <f t="shared" ref="BB346" si="1815">BA346-AZ346</f>
        <v>-0.2</v>
      </c>
      <c r="BC346" s="206">
        <f t="shared" ref="BC346" si="1816">AY346*$G$10</f>
        <v>-91.08430000000007</v>
      </c>
      <c r="BD346" s="206">
        <f t="shared" ref="BD346" si="1817">IF($B346=4,($G$11*0.5*AY346),IF($B346=11,($G$11*0.5*AY346),IF($B346=12,AY346*$G$11,IF($B346&lt;5,AY346*$G$11,0))))</f>
        <v>0</v>
      </c>
      <c r="BE346" s="206">
        <f t="shared" ref="BE346" si="1818">BC346+BD346</f>
        <v>-91.08430000000007</v>
      </c>
      <c r="BF346" s="207">
        <f t="shared" ref="BF346" si="1819">BB346*$G$9</f>
        <v>-0.61980000000000013</v>
      </c>
      <c r="BG346" s="219">
        <f t="shared" ref="BG346" si="1820">ROUND(BF346+BE346,1)</f>
        <v>-91.7</v>
      </c>
      <c r="BH346" s="4">
        <f t="shared" si="569"/>
        <v>2011</v>
      </c>
      <c r="BI346" s="4">
        <f t="shared" si="570"/>
        <v>6</v>
      </c>
      <c r="BJ346" s="108">
        <f>C346+[4]MWh!$AJ180</f>
        <v>1976664.1657970001</v>
      </c>
      <c r="BK346" s="108">
        <f t="shared" ref="BK346" si="1821">(H346/C346)*BJ346</f>
        <v>24999.717429402459</v>
      </c>
      <c r="BL346" s="108">
        <f t="shared" ref="BL346" si="1822">BJ346-BK346</f>
        <v>1951664.4483675975</v>
      </c>
      <c r="BM346" s="189">
        <f t="shared" ref="BM346" si="1823">(BL346/F346*1000)+BG346</f>
        <v>1310.4514715908444</v>
      </c>
      <c r="BN346" s="6">
        <f t="shared" ref="BN346" si="1824">ROUND(BM346*F346/1000,0)</f>
        <v>1824027</v>
      </c>
      <c r="BO346" s="175">
        <f t="shared" ref="BO346" si="1825">ROUND(BN346/BL346*BK346,0)</f>
        <v>23365</v>
      </c>
      <c r="BP346" s="108">
        <f t="shared" ref="BP346" si="1826">(BN346-BL346)+(BO346-BK346)</f>
        <v>-129272.16579699999</v>
      </c>
      <c r="BQ346" s="76">
        <f t="shared" ref="BQ346" si="1827">BJ346/D346*1000</f>
        <v>1359.6478249484455</v>
      </c>
      <c r="BR346" s="76">
        <f t="shared" ref="BR346" si="1828">(BN346+BO346)/D346*1000</f>
        <v>1270.7280063502283</v>
      </c>
      <c r="BS346" s="76">
        <f t="shared" ref="BS346" si="1829">BR346-BR334</f>
        <v>23.923061014578934</v>
      </c>
      <c r="BT346" s="175">
        <f t="shared" ref="BT346" si="1830">(BN346+BO346)</f>
        <v>1847392</v>
      </c>
      <c r="BU346" s="108">
        <f t="shared" ref="BU346" si="1831">BT346-BT334</f>
        <v>17020</v>
      </c>
      <c r="BW346" s="529">
        <f>BT346/[9]RMWh!$L226</f>
        <v>1.0423098145905951</v>
      </c>
      <c r="CK346" s="406">
        <v>40695</v>
      </c>
      <c r="CL346" s="50">
        <f>BP346+COML!BV346+SPA!BV346</f>
        <v>-166400.16579699999</v>
      </c>
      <c r="CM346" s="181">
        <f>'[14]2011'!$D37</f>
        <v>-123373</v>
      </c>
      <c r="CN346" s="407">
        <f t="shared" ref="CN346" si="1832">CL346-CM346</f>
        <v>-43027.165796999994</v>
      </c>
      <c r="CO346" s="50">
        <f>'[2]FPC wSEB'!$R443</f>
        <v>4252572</v>
      </c>
      <c r="CP346" s="50">
        <f>'[2]FPC wSEB'!$C443-SUM('[2]FPC wSEB'!$K443:$L443)</f>
        <v>3507715</v>
      </c>
      <c r="CQ346" s="50">
        <f>'[2]FPC wSEB'!$T443-'[2]FPC wSEB'!$T442</f>
        <v>175266</v>
      </c>
      <c r="CR346" s="50">
        <f>SUM('[2]FPC wSEB'!$K443:$L443)</f>
        <v>246182</v>
      </c>
      <c r="CS346" s="50">
        <f>('[2]FPC wSEB'!$N443)-CQ346</f>
        <v>32612</v>
      </c>
      <c r="CT346" s="50">
        <f>'[2]FPC wSEB'!$P443</f>
        <v>12329</v>
      </c>
      <c r="CU346" s="50">
        <f>'[2]FPC wSEB'!$Q443</f>
        <v>278468</v>
      </c>
      <c r="CV346" s="115">
        <f t="shared" ref="CV346" si="1833">CO346-SUM(CP346:CU346)</f>
        <v>0</v>
      </c>
      <c r="CW346" s="50">
        <f t="shared" ref="CW346" si="1834">CO346-CT346-CU346+CM346</f>
        <v>3838402</v>
      </c>
      <c r="CX346" s="50">
        <f t="shared" ref="CX346" si="1835">SUM(CP346:CS346)+CL346</f>
        <v>3795374.8342030002</v>
      </c>
      <c r="CY346" s="50">
        <f t="shared" ref="CY346" si="1836">CW346-CX346</f>
        <v>43027.16579699982</v>
      </c>
      <c r="CZ346" s="23"/>
      <c r="DA346" s="23"/>
      <c r="DB346" s="50">
        <f t="shared" si="1181"/>
        <v>-18.471599999999977</v>
      </c>
      <c r="DC346" s="108">
        <f t="shared" si="1182"/>
        <v>1281.8283999999999</v>
      </c>
      <c r="DD346" s="50">
        <f t="shared" si="1183"/>
        <v>1784186</v>
      </c>
      <c r="DE346" s="108">
        <f t="shared" si="1184"/>
        <v>22565</v>
      </c>
      <c r="DF346" s="50">
        <f t="shared" si="1185"/>
        <v>1806751</v>
      </c>
      <c r="DG346" s="23">
        <f t="shared" si="1186"/>
        <v>-18</v>
      </c>
      <c r="DH346" s="500">
        <f>ROUND((([13]RUPC!$E226+DG346)*[5]RC!$E$209)/1000,0)</f>
        <v>1764084</v>
      </c>
      <c r="DI346" s="50">
        <f t="shared" si="1626"/>
        <v>27840</v>
      </c>
      <c r="DJ346" s="23"/>
      <c r="DK346" s="23"/>
      <c r="DL346" s="23"/>
      <c r="DM346" s="23"/>
      <c r="DN346" s="23"/>
    </row>
    <row r="347" spans="1:118" ht="12.75">
      <c r="A347" s="13">
        <f t="shared" si="491"/>
        <v>2011</v>
      </c>
      <c r="B347" s="13">
        <f t="shared" si="492"/>
        <v>7</v>
      </c>
      <c r="C347" s="5">
        <f>'[2]FPC wSEB'!$D444</f>
        <v>1986293</v>
      </c>
      <c r="D347" s="5">
        <f>'[2]FPC wSEB'!$X444</f>
        <v>1448126</v>
      </c>
      <c r="E347" s="5">
        <f t="shared" ref="E347" si="1837">ROUND(C347-H347,0)</f>
        <v>1962219</v>
      </c>
      <c r="F347" s="5">
        <f t="shared" ref="F347" si="1838">ROUND(D347-I347,0)</f>
        <v>1386072</v>
      </c>
      <c r="G347" s="74">
        <f t="shared" ref="G347" si="1839">ROUND((E347)/F347*1000,1)</f>
        <v>1415.7</v>
      </c>
      <c r="H347" s="190">
        <v>24074</v>
      </c>
      <c r="I347" s="190">
        <v>62054</v>
      </c>
      <c r="J347" s="230">
        <f>'[7]RES 62 &amp; 67'!$S432</f>
        <v>481.9</v>
      </c>
      <c r="K347" s="183">
        <f t="shared" si="301"/>
        <v>454.9</v>
      </c>
      <c r="L347" s="233">
        <f t="shared" ref="L347" si="1840">(K347-J347)</f>
        <v>-27</v>
      </c>
      <c r="M347" s="230">
        <f>'[7]RES 62 &amp; 67'!$J432</f>
        <v>0.1</v>
      </c>
      <c r="N347" s="183">
        <f t="shared" si="302"/>
        <v>0</v>
      </c>
      <c r="O347" s="236">
        <f t="shared" ref="O347" si="1841">(N347-M347)</f>
        <v>-0.1</v>
      </c>
      <c r="P347" s="206">
        <f t="shared" ref="P347" si="1842">L347*$G$10</f>
        <v>-60.128999999999998</v>
      </c>
      <c r="Q347" s="208">
        <f t="shared" ref="Q347" si="1843">IF($B347=12,L347*$G$11,IF($B347&lt;5,L347*$G$11,0))</f>
        <v>0</v>
      </c>
      <c r="R347" s="467">
        <f t="shared" ref="R347" si="1844">P347+Q347</f>
        <v>-60.128999999999998</v>
      </c>
      <c r="S347" s="470">
        <f t="shared" ref="S347" si="1845">O347*$G$9</f>
        <v>-0.30990000000000006</v>
      </c>
      <c r="T347" s="425">
        <f t="shared" ref="T347" si="1846">ROUND((R347+S347),1)</f>
        <v>-60.4</v>
      </c>
      <c r="U347" s="579">
        <f>[5]RC!$E227</f>
        <v>1452071</v>
      </c>
      <c r="V347" s="447">
        <v>40725</v>
      </c>
      <c r="W347" s="191">
        <f t="shared" ref="W347" si="1847">(G347+T347)</f>
        <v>1355.3</v>
      </c>
      <c r="X347" s="73">
        <f t="shared" ref="X347" si="1848">ROUND(W347*F347/1000,0)</f>
        <v>1878543</v>
      </c>
      <c r="Y347" s="187">
        <f t="shared" ref="Y347" si="1849">ROUND((X347/C347)*H347,0)</f>
        <v>22768</v>
      </c>
      <c r="Z347" s="175">
        <f t="shared" ref="Z347" si="1850">Y347+X347</f>
        <v>1901311</v>
      </c>
      <c r="AA347" s="40">
        <f t="shared" ref="AA347" si="1851">Z347-C347</f>
        <v>-84982</v>
      </c>
      <c r="AB347" s="519">
        <f>[9]RMWh!$L227</f>
        <v>1914615</v>
      </c>
      <c r="AC347" s="107">
        <f>'[7]Gov 65 &amp; 70'!$B432</f>
        <v>30.55</v>
      </c>
      <c r="AD347" s="4">
        <f t="shared" si="1427"/>
        <v>1906468</v>
      </c>
      <c r="AE347" s="4">
        <f t="shared" ref="AE347" si="1852">AD347-AD335</f>
        <v>3905</v>
      </c>
      <c r="AF347" s="50">
        <f t="shared" ref="AF347" si="1853">ROUND((AD347/(D347)*1000),1)</f>
        <v>1316.5</v>
      </c>
      <c r="AG347" s="75">
        <f t="shared" ref="AG347" si="1854">AF347-AF335</f>
        <v>-20.900000000000091</v>
      </c>
      <c r="AI347" s="303">
        <f t="shared" ref="AI347" si="1855">(H347/I347*1000)/G347</f>
        <v>0.27403576218830966</v>
      </c>
      <c r="AK347" s="418">
        <f>AVERAGE(AI347,AI335,AI323,AI311,AI299,AI287)</f>
        <v>0.25097212540860347</v>
      </c>
      <c r="AU347" s="4">
        <f t="shared" si="494"/>
        <v>2011</v>
      </c>
      <c r="AV347" s="4">
        <f t="shared" si="495"/>
        <v>7</v>
      </c>
      <c r="AW347" s="230">
        <f>'[8]RES 62 &amp; 67'!$S432</f>
        <v>507.9</v>
      </c>
      <c r="AX347" s="200">
        <f t="shared" si="306"/>
        <v>484.1</v>
      </c>
      <c r="AY347" s="203">
        <f t="shared" ref="AY347" si="1856">AX347-AW347</f>
        <v>-23.799999999999955</v>
      </c>
      <c r="AZ347" s="230">
        <f>'[8]RES 62 &amp; 67'!$J432</f>
        <v>0</v>
      </c>
      <c r="BA347" s="183">
        <f t="shared" si="307"/>
        <v>0</v>
      </c>
      <c r="BB347" s="429">
        <f t="shared" ref="BB347" si="1857">BA347-AZ347</f>
        <v>0</v>
      </c>
      <c r="BC347" s="206">
        <f t="shared" ref="BC347" si="1858">AY347*$G$10</f>
        <v>-53.002599999999894</v>
      </c>
      <c r="BD347" s="206">
        <f t="shared" ref="BD347" si="1859">IF($B347=4,($G$11*0.5*AY347),IF($B347=11,($G$11*0.5*AY347),IF($B347=12,AY347*$G$11,IF($B347&lt;5,AY347*$G$11,0))))</f>
        <v>0</v>
      </c>
      <c r="BE347" s="206">
        <f t="shared" ref="BE347" si="1860">BC347+BD347</f>
        <v>-53.002599999999894</v>
      </c>
      <c r="BF347" s="207">
        <f t="shared" ref="BF347" si="1861">BB347*$G$9</f>
        <v>0</v>
      </c>
      <c r="BG347" s="219">
        <f t="shared" ref="BG347" si="1862">ROUND(BF347+BE347,1)</f>
        <v>-53</v>
      </c>
      <c r="BH347" s="4">
        <f t="shared" si="569"/>
        <v>2011</v>
      </c>
      <c r="BI347" s="4">
        <f t="shared" si="570"/>
        <v>7</v>
      </c>
      <c r="BJ347" s="108">
        <f>C347+[4]MWh!$AJ181</f>
        <v>2106967.5851756516</v>
      </c>
      <c r="BK347" s="108">
        <f t="shared" ref="BK347" si="1863">(H347/C347)*BJ347</f>
        <v>25536.583799831464</v>
      </c>
      <c r="BL347" s="108">
        <f t="shared" ref="BL347" si="1864">BJ347-BK347</f>
        <v>2081431.00137582</v>
      </c>
      <c r="BM347" s="189">
        <f t="shared" ref="BM347" si="1865">(BL347/F347*1000)+BG347</f>
        <v>1448.6759601058386</v>
      </c>
      <c r="BN347" s="6">
        <f t="shared" ref="BN347" si="1866">ROUND(BM347*F347/1000,0)</f>
        <v>2007969</v>
      </c>
      <c r="BO347" s="175">
        <f t="shared" ref="BO347" si="1867">ROUND(BN347/BL347*BK347,0)</f>
        <v>24635</v>
      </c>
      <c r="BP347" s="108">
        <f t="shared" ref="BP347" si="1868">(BN347-BL347)+(BO347-BK347)</f>
        <v>-74363.585175651489</v>
      </c>
      <c r="BQ347" s="76">
        <f t="shared" ref="BQ347" si="1869">BJ347/D347*1000</f>
        <v>1454.9615055427853</v>
      </c>
      <c r="BR347" s="76">
        <f t="shared" ref="BR347" si="1870">(BN347+BO347)/D347*1000</f>
        <v>1403.6099068727447</v>
      </c>
      <c r="BS347" s="76">
        <f t="shared" ref="BS347" si="1871">BR347-BR335</f>
        <v>3.2242643589963791</v>
      </c>
      <c r="BT347" s="175">
        <f t="shared" ref="BT347" si="1872">(BN347+BO347)</f>
        <v>2032604</v>
      </c>
      <c r="BU347" s="108">
        <f t="shared" ref="BU347" si="1873">BT347-BT335</f>
        <v>40470</v>
      </c>
      <c r="BW347" s="529">
        <f>BT347/[9]RMWh!$L227</f>
        <v>1.0616254442799204</v>
      </c>
      <c r="CK347" s="406">
        <v>40725</v>
      </c>
      <c r="CL347" s="50">
        <f>BP347+COML!BV347+SPA!BV347</f>
        <v>-96012.585175651489</v>
      </c>
      <c r="CM347" s="181">
        <f>'[14]2011'!$D38</f>
        <v>-90065</v>
      </c>
      <c r="CN347" s="407">
        <f t="shared" ref="CN347" si="1874">CL347-CM347</f>
        <v>-5947.5851756514894</v>
      </c>
      <c r="CO347" s="50">
        <f>'[2]FPC wSEB'!$R444</f>
        <v>4395394</v>
      </c>
      <c r="CP347" s="50">
        <f>'[2]FPC wSEB'!$C444-SUM('[2]FPC wSEB'!$K444:$L444)</f>
        <v>3642152</v>
      </c>
      <c r="CQ347" s="50">
        <f>'[2]FPC wSEB'!$T444-'[2]FPC wSEB'!$T443</f>
        <v>123851</v>
      </c>
      <c r="CR347" s="50">
        <f>SUM('[2]FPC wSEB'!$K444:$L444)</f>
        <v>305495</v>
      </c>
      <c r="CS347" s="50">
        <f>('[2]FPC wSEB'!$N444)-CQ347</f>
        <v>-21885</v>
      </c>
      <c r="CT347" s="50">
        <f>'[2]FPC wSEB'!$P444</f>
        <v>12359</v>
      </c>
      <c r="CU347" s="50">
        <f>'[2]FPC wSEB'!$Q444</f>
        <v>333422</v>
      </c>
      <c r="CV347" s="115">
        <f t="shared" ref="CV347" si="1875">CO347-SUM(CP347:CU347)</f>
        <v>0</v>
      </c>
      <c r="CW347" s="50">
        <f t="shared" ref="CW347" si="1876">CO347-CT347-CU347+CM347</f>
        <v>3959548</v>
      </c>
      <c r="CX347" s="50">
        <f t="shared" ref="CX347" si="1877">SUM(CP347:CS347)+CL347</f>
        <v>3953600.4148243484</v>
      </c>
      <c r="CY347" s="50">
        <f t="shared" ref="CY347" si="1878">CW347-CX347</f>
        <v>5947.5851756515913</v>
      </c>
      <c r="CZ347" s="23"/>
      <c r="DA347" s="23"/>
      <c r="DB347" s="50">
        <f t="shared" si="1181"/>
        <v>-52.287899999999993</v>
      </c>
      <c r="DC347" s="108">
        <f t="shared" si="1182"/>
        <v>1363.4121</v>
      </c>
      <c r="DD347" s="50">
        <f t="shared" si="1183"/>
        <v>1889787</v>
      </c>
      <c r="DE347" s="108">
        <f t="shared" si="1184"/>
        <v>22904</v>
      </c>
      <c r="DF347" s="50">
        <f t="shared" si="1185"/>
        <v>1912691</v>
      </c>
      <c r="DG347" s="23">
        <f t="shared" si="1186"/>
        <v>-51</v>
      </c>
      <c r="DH347" s="500">
        <f>ROUND((([13]RUPC!$E227+DG347)*[5]RC!$E$209)/1000,0)</f>
        <v>1912702</v>
      </c>
      <c r="DI347" s="50">
        <f t="shared" si="1626"/>
        <v>-17679</v>
      </c>
      <c r="DJ347" s="23"/>
      <c r="DK347" s="23"/>
      <c r="DL347" s="23"/>
      <c r="DM347" s="23"/>
      <c r="DN347" s="23"/>
    </row>
    <row r="348" spans="1:118" ht="12.75">
      <c r="A348" s="13">
        <f t="shared" si="491"/>
        <v>2011</v>
      </c>
      <c r="B348" s="13">
        <f t="shared" si="492"/>
        <v>8</v>
      </c>
      <c r="C348" s="5">
        <f>'[2]FPC wSEB'!$D445</f>
        <v>2186530</v>
      </c>
      <c r="D348" s="5">
        <f>'[2]FPC wSEB'!$X445</f>
        <v>1537933</v>
      </c>
      <c r="E348" s="5">
        <f t="shared" ref="E348" si="1879">ROUND(C348-H348,0)</f>
        <v>2159903</v>
      </c>
      <c r="F348" s="5">
        <f t="shared" ref="F348" si="1880">ROUND(D348-I348,0)</f>
        <v>1471967</v>
      </c>
      <c r="G348" s="74">
        <f t="shared" ref="G348" si="1881">ROUND((E348)/F348*1000,1)</f>
        <v>1467.4</v>
      </c>
      <c r="H348" s="190">
        <v>26627</v>
      </c>
      <c r="I348" s="190">
        <v>65966</v>
      </c>
      <c r="J348" s="230">
        <f>'[7]RES 62 &amp; 67'!$S433</f>
        <v>527.9</v>
      </c>
      <c r="K348" s="183">
        <f t="shared" si="301"/>
        <v>481.4</v>
      </c>
      <c r="L348" s="233">
        <f t="shared" ref="L348" si="1882">(K348-J348)</f>
        <v>-46.5</v>
      </c>
      <c r="M348" s="230">
        <f>'[7]RES 62 &amp; 67'!$J433</f>
        <v>0</v>
      </c>
      <c r="N348" s="183">
        <f t="shared" si="302"/>
        <v>0</v>
      </c>
      <c r="O348" s="236">
        <f t="shared" ref="O348" si="1883">(N348-M348)</f>
        <v>0</v>
      </c>
      <c r="P348" s="206">
        <f t="shared" ref="P348" si="1884">L348*$G$10</f>
        <v>-103.55549999999999</v>
      </c>
      <c r="Q348" s="208">
        <f t="shared" ref="Q348" si="1885">IF($B348=12,L348*$G$11,IF($B348&lt;5,L348*$G$11,0))</f>
        <v>0</v>
      </c>
      <c r="R348" s="467">
        <f t="shared" ref="R348" si="1886">P348+Q348</f>
        <v>-103.55549999999999</v>
      </c>
      <c r="S348" s="470">
        <f t="shared" ref="S348" si="1887">O348*$G$9</f>
        <v>0</v>
      </c>
      <c r="T348" s="425">
        <f t="shared" ref="T348" si="1888">ROUND((R348+S348),1)</f>
        <v>-103.6</v>
      </c>
      <c r="U348" s="579">
        <f>[5]RC!$E228</f>
        <v>1451892</v>
      </c>
      <c r="V348" s="447">
        <v>40756</v>
      </c>
      <c r="W348" s="191">
        <f t="shared" ref="W348" si="1889">(G348+T348)</f>
        <v>1363.8000000000002</v>
      </c>
      <c r="X348" s="73">
        <f t="shared" ref="X348" si="1890">ROUND(W348*F348/1000,0)</f>
        <v>2007469</v>
      </c>
      <c r="Y348" s="187">
        <f t="shared" ref="Y348" si="1891">ROUND((X348/C348)*H348,0)</f>
        <v>24446</v>
      </c>
      <c r="Z348" s="175">
        <f t="shared" ref="Z348" si="1892">Y348+X348</f>
        <v>2031915</v>
      </c>
      <c r="AA348" s="40">
        <f t="shared" ref="AA348" si="1893">Z348-C348</f>
        <v>-154615</v>
      </c>
      <c r="AB348" s="519">
        <f>[9]RMWh!$L228</f>
        <v>1921388</v>
      </c>
      <c r="AC348" s="107">
        <f>'[7]Gov 65 &amp; 70'!$B433</f>
        <v>31.3</v>
      </c>
      <c r="AD348" s="4">
        <f t="shared" si="1427"/>
        <v>1867368</v>
      </c>
      <c r="AE348" s="4">
        <f t="shared" ref="AE348" si="1894">AD348-AD336</f>
        <v>-197782</v>
      </c>
      <c r="AF348" s="50">
        <f t="shared" ref="AF348" si="1895">ROUND((AD348/(D348)*1000),1)</f>
        <v>1214.2</v>
      </c>
      <c r="AG348" s="75">
        <f t="shared" ref="AG348" si="1896">AF348-AF336</f>
        <v>-258.29999999999995</v>
      </c>
      <c r="AI348" s="303">
        <f t="shared" ref="AI348" si="1897">(H348/I348*1000)/G348</f>
        <v>0.27507655272919473</v>
      </c>
      <c r="AK348" s="418">
        <f>AVERAGE(AI348,AI336,AI324,AI312,AI300)</f>
        <v>0.25364732417931973</v>
      </c>
      <c r="AU348" s="4">
        <f t="shared" si="494"/>
        <v>2011</v>
      </c>
      <c r="AV348" s="4">
        <f t="shared" si="495"/>
        <v>8</v>
      </c>
      <c r="AW348" s="230">
        <f>'[8]RES 62 &amp; 67'!$S433</f>
        <v>530.4</v>
      </c>
      <c r="AX348" s="200">
        <f t="shared" si="306"/>
        <v>487.3</v>
      </c>
      <c r="AY348" s="203">
        <f t="shared" ref="AY348" si="1898">AX348-AW348</f>
        <v>-43.099999999999966</v>
      </c>
      <c r="AZ348" s="230">
        <f>'[8]RES 62 &amp; 67'!$J433</f>
        <v>0</v>
      </c>
      <c r="BA348" s="183">
        <f t="shared" si="307"/>
        <v>0</v>
      </c>
      <c r="BB348" s="429">
        <f t="shared" ref="BB348" si="1899">BA348-AZ348</f>
        <v>0</v>
      </c>
      <c r="BC348" s="206">
        <f t="shared" ref="BC348" si="1900">AY348*$G$10</f>
        <v>-95.983699999999914</v>
      </c>
      <c r="BD348" s="206">
        <f t="shared" ref="BD348" si="1901">IF($B348=4,($G$11*0.5*AY348),IF($B348=11,($G$11*0.5*AY348),IF($B348=12,AY348*$G$11,IF($B348&lt;5,AY348*$G$11,0))))</f>
        <v>0</v>
      </c>
      <c r="BE348" s="206">
        <f t="shared" ref="BE348" si="1902">BC348+BD348</f>
        <v>-95.983699999999914</v>
      </c>
      <c r="BF348" s="207">
        <f t="shared" ref="BF348" si="1903">BB348*$G$9</f>
        <v>0</v>
      </c>
      <c r="BG348" s="219">
        <f t="shared" ref="BG348" si="1904">ROUND(BF348+BE348,1)</f>
        <v>-96</v>
      </c>
      <c r="BH348" s="4">
        <f t="shared" si="569"/>
        <v>2011</v>
      </c>
      <c r="BI348" s="4">
        <f t="shared" si="570"/>
        <v>8</v>
      </c>
      <c r="BJ348" s="108">
        <f>C348+[4]MWh!$AJ182</f>
        <v>2191547.6299548959</v>
      </c>
      <c r="BK348" s="108">
        <f t="shared" ref="BK348" si="1905">(H348/C348)*BJ348</f>
        <v>26688.103407137802</v>
      </c>
      <c r="BL348" s="108">
        <f t="shared" ref="BL348" si="1906">BJ348-BK348</f>
        <v>2164859.5265477579</v>
      </c>
      <c r="BM348" s="189">
        <f t="shared" ref="BM348" si="1907">(BL348/F348*1000)+BG348</f>
        <v>1374.7255845734026</v>
      </c>
      <c r="BN348" s="6">
        <f t="shared" ref="BN348" si="1908">ROUND(BM348*F348/1000,0)</f>
        <v>2023551</v>
      </c>
      <c r="BO348" s="175">
        <f t="shared" ref="BO348" si="1909">ROUND(BN348/BL348*BK348,0)</f>
        <v>24946</v>
      </c>
      <c r="BP348" s="108">
        <f t="shared" ref="BP348" si="1910">(BN348-BL348)+(BO348-BK348)</f>
        <v>-143050.6299548957</v>
      </c>
      <c r="BQ348" s="76">
        <f t="shared" ref="BQ348" si="1911">BJ348/D348*1000</f>
        <v>1424.995516680438</v>
      </c>
      <c r="BR348" s="76">
        <f t="shared" ref="BR348" si="1912">(BN348+BO348)/D348*1000</f>
        <v>1331.9806519529784</v>
      </c>
      <c r="BS348" s="76">
        <f t="shared" ref="BS348" si="1913">BR348-BR336</f>
        <v>-85.307670240230891</v>
      </c>
      <c r="BT348" s="175">
        <f t="shared" ref="BT348" si="1914">(BN348+BO348)</f>
        <v>2048497</v>
      </c>
      <c r="BU348" s="108">
        <f t="shared" ref="BU348" si="1915">BT348-BT336</f>
        <v>60838</v>
      </c>
      <c r="BW348" s="529">
        <f>BT348/[9]RMWh!$L228</f>
        <v>1.0661547797737885</v>
      </c>
      <c r="CK348" s="406">
        <v>40756</v>
      </c>
      <c r="CL348" s="50">
        <f>BP348+COML!BV348+SPA!BV348</f>
        <v>-182900.6299548957</v>
      </c>
      <c r="CM348" s="181">
        <f>'[14]2011'!$D39</f>
        <v>-224979</v>
      </c>
      <c r="CN348" s="407">
        <f t="shared" ref="CN348" si="1916">CL348-CM348</f>
        <v>42078.370045104297</v>
      </c>
      <c r="CO348" s="50">
        <f>'[2]FPC wSEB'!$R445</f>
        <v>4553060</v>
      </c>
      <c r="CP348" s="50">
        <f>'[2]FPC wSEB'!$C445-SUM('[2]FPC wSEB'!$K445:$L445)</f>
        <v>3983502</v>
      </c>
      <c r="CQ348" s="50">
        <f>'[2]FPC wSEB'!$T445-'[2]FPC wSEB'!$T444</f>
        <v>-6678</v>
      </c>
      <c r="CR348" s="50">
        <f>SUM('[2]FPC wSEB'!$K445:$L445)</f>
        <v>284433</v>
      </c>
      <c r="CS348" s="50">
        <f>('[2]FPC wSEB'!$N445)-CQ348</f>
        <v>25893</v>
      </c>
      <c r="CT348" s="50">
        <f>'[2]FPC wSEB'!$P445</f>
        <v>12160</v>
      </c>
      <c r="CU348" s="50">
        <f>'[2]FPC wSEB'!$Q445</f>
        <v>253750</v>
      </c>
      <c r="CV348" s="115">
        <f t="shared" ref="CV348" si="1917">CO348-SUM(CP348:CU348)</f>
        <v>0</v>
      </c>
      <c r="CW348" s="50">
        <f t="shared" ref="CW348" si="1918">CO348-CT348-CU348+CM348</f>
        <v>4062171</v>
      </c>
      <c r="CX348" s="50">
        <f t="shared" ref="CX348" si="1919">SUM(CP348:CS348)+CL348</f>
        <v>4104249.3700451041</v>
      </c>
      <c r="CY348" s="50">
        <f t="shared" ref="CY348" si="1920">CW348-CX348</f>
        <v>-42078.370045104064</v>
      </c>
      <c r="CZ348" s="23"/>
      <c r="DA348" s="23"/>
      <c r="DB348" s="50">
        <f t="shared" si="1181"/>
        <v>-89.558999999999997</v>
      </c>
      <c r="DC348" s="108">
        <f t="shared" si="1182"/>
        <v>1377.8410000000001</v>
      </c>
      <c r="DD348" s="50">
        <f t="shared" si="1183"/>
        <v>2028136</v>
      </c>
      <c r="DE348" s="108">
        <f t="shared" si="1184"/>
        <v>24698</v>
      </c>
      <c r="DF348" s="50">
        <f t="shared" si="1185"/>
        <v>2052834</v>
      </c>
      <c r="DG348" s="23">
        <f t="shared" si="1186"/>
        <v>-87</v>
      </c>
      <c r="DH348" s="500">
        <f>ROUND((([13]RUPC!$E228+DG348)*[5]RC!$E$209)/1000,0)</f>
        <v>1928101</v>
      </c>
      <c r="DI348" s="50">
        <f t="shared" si="1626"/>
        <v>-120762</v>
      </c>
      <c r="DJ348" s="23"/>
      <c r="DK348" s="23"/>
      <c r="DL348" s="23"/>
      <c r="DM348" s="23"/>
      <c r="DN348" s="23"/>
    </row>
    <row r="349" spans="1:118" ht="12.75">
      <c r="A349" s="13">
        <f t="shared" si="491"/>
        <v>2011</v>
      </c>
      <c r="B349" s="13">
        <f t="shared" si="492"/>
        <v>9</v>
      </c>
      <c r="C349" s="5">
        <f>'[2]FPC wSEB'!$D446</f>
        <v>2008611</v>
      </c>
      <c r="D349" s="5">
        <f>'[2]FPC wSEB'!$X446</f>
        <v>1450147</v>
      </c>
      <c r="E349" s="5">
        <f t="shared" ref="E349" si="1921">ROUND(C349-H349,0)</f>
        <v>1984381</v>
      </c>
      <c r="F349" s="5">
        <f t="shared" ref="F349" si="1922">ROUND(D349-I349,0)</f>
        <v>1387895</v>
      </c>
      <c r="G349" s="74">
        <f t="shared" ref="G349" si="1923">ROUND((E349)/F349*1000,1)</f>
        <v>1429.8</v>
      </c>
      <c r="H349" s="190">
        <v>24230</v>
      </c>
      <c r="I349" s="190">
        <v>62252</v>
      </c>
      <c r="J349" s="230">
        <f>'[7]RES 62 &amp; 67'!$S434</f>
        <v>486.9</v>
      </c>
      <c r="K349" s="183">
        <f t="shared" si="301"/>
        <v>473.7</v>
      </c>
      <c r="L349" s="233">
        <f t="shared" ref="L349" si="1924">(K349-J349)</f>
        <v>-13.199999999999989</v>
      </c>
      <c r="M349" s="230">
        <f>'[7]RES 62 &amp; 67'!$J434</f>
        <v>0.1</v>
      </c>
      <c r="N349" s="183">
        <f t="shared" si="302"/>
        <v>0</v>
      </c>
      <c r="O349" s="236">
        <f t="shared" ref="O349" si="1925">(N349-M349)</f>
        <v>-0.1</v>
      </c>
      <c r="P349" s="206">
        <f t="shared" ref="P349" si="1926">L349*$G$10</f>
        <v>-29.396399999999971</v>
      </c>
      <c r="Q349" s="208">
        <f t="shared" ref="Q349" si="1927">IF($B349=12,L349*$G$11,IF($B349&lt;5,L349*$G$11,0))</f>
        <v>0</v>
      </c>
      <c r="R349" s="467">
        <f t="shared" ref="R349" si="1928">P349+Q349</f>
        <v>-29.396399999999971</v>
      </c>
      <c r="S349" s="470">
        <f t="shared" ref="S349" si="1929">O349*$G$9</f>
        <v>-0.30990000000000006</v>
      </c>
      <c r="T349" s="425">
        <f t="shared" ref="T349" si="1930">ROUND((R349+S349),1)</f>
        <v>-29.7</v>
      </c>
      <c r="U349" s="579">
        <f>[5]RC!$E229</f>
        <v>1452133</v>
      </c>
      <c r="V349" s="447">
        <v>40787</v>
      </c>
      <c r="W349" s="191">
        <f t="shared" ref="W349" si="1931">(G349+T349)</f>
        <v>1400.1</v>
      </c>
      <c r="X349" s="73">
        <f t="shared" ref="X349" si="1932">ROUND(W349*F349/1000,0)</f>
        <v>1943192</v>
      </c>
      <c r="Y349" s="187">
        <f t="shared" ref="Y349" si="1933">ROUND((X349/C349)*H349,0)</f>
        <v>23441</v>
      </c>
      <c r="Z349" s="175">
        <f t="shared" ref="Z349" si="1934">Y349+X349</f>
        <v>1966633</v>
      </c>
      <c r="AA349" s="40">
        <f t="shared" ref="AA349" si="1935">Z349-C349</f>
        <v>-41978</v>
      </c>
      <c r="AB349" s="519">
        <f>[9]RMWh!$L229</f>
        <v>1975306</v>
      </c>
      <c r="AC349" s="107">
        <f>'[7]Gov 65 &amp; 70'!$B434</f>
        <v>30.25</v>
      </c>
      <c r="AD349" s="4">
        <f t="shared" si="1427"/>
        <v>1986407</v>
      </c>
      <c r="AE349" s="4">
        <f t="shared" ref="AE349" si="1936">AD349-AD337</f>
        <v>68240</v>
      </c>
      <c r="AF349" s="50">
        <f t="shared" ref="AF349" si="1937">ROUND((AD349/(D349)*1000),1)</f>
        <v>1369.8</v>
      </c>
      <c r="AG349" s="75">
        <f t="shared" ref="AG349" si="1938">AF349-AF337</f>
        <v>48.399999999999864</v>
      </c>
      <c r="AI349" s="303">
        <f t="shared" ref="AI349" si="1939">(H349/I349*1000)/G349</f>
        <v>0.27222299803342426</v>
      </c>
      <c r="AK349" s="418">
        <f>AVERAGE(AI349,AI337,AI325,AI313,AI301)</f>
        <v>0.25579147255667672</v>
      </c>
      <c r="AU349" s="4">
        <f t="shared" si="494"/>
        <v>2011</v>
      </c>
      <c r="AV349" s="4">
        <f t="shared" si="495"/>
        <v>9</v>
      </c>
      <c r="AW349" s="230">
        <f>'[8]RES 62 &amp; 67'!$S434</f>
        <v>429.4</v>
      </c>
      <c r="AX349" s="200">
        <f t="shared" si="306"/>
        <v>428.3</v>
      </c>
      <c r="AY349" s="203">
        <f t="shared" ref="AY349" si="1940">AX349-AW349</f>
        <v>-1.0999999999999659</v>
      </c>
      <c r="AZ349" s="230">
        <f>'[8]RES 62 &amp; 67'!$J434</f>
        <v>0.1</v>
      </c>
      <c r="BA349" s="183">
        <f t="shared" si="307"/>
        <v>0</v>
      </c>
      <c r="BB349" s="429">
        <f t="shared" ref="BB349" si="1941">BA349-AZ349</f>
        <v>-0.1</v>
      </c>
      <c r="BC349" s="206">
        <f t="shared" ref="BC349" si="1942">AY349*$G$10</f>
        <v>-2.449699999999924</v>
      </c>
      <c r="BD349" s="206">
        <f t="shared" ref="BD349" si="1943">IF($B349=4,($G$11*0.5*AY349),IF($B349=11,($G$11*0.5*AY349),IF($B349=12,AY349*$G$11,IF($B349&lt;5,AY349*$G$11,0))))</f>
        <v>0</v>
      </c>
      <c r="BE349" s="206">
        <f t="shared" ref="BE349" si="1944">BC349+BD349</f>
        <v>-2.449699999999924</v>
      </c>
      <c r="BF349" s="207">
        <f t="shared" ref="BF349" si="1945">BB349*$G$9</f>
        <v>-0.30990000000000006</v>
      </c>
      <c r="BG349" s="219">
        <f t="shared" ref="BG349" si="1946">ROUND(BF349+BE349,1)</f>
        <v>-2.8</v>
      </c>
      <c r="BH349" s="4">
        <f t="shared" si="569"/>
        <v>2011</v>
      </c>
      <c r="BI349" s="4">
        <f t="shared" si="570"/>
        <v>9</v>
      </c>
      <c r="BJ349" s="108">
        <f>C349+[4]MWh!$AJ183</f>
        <v>1818712.3091211629</v>
      </c>
      <c r="BK349" s="108">
        <f t="shared" ref="BK349" si="1947">(H349/C349)*BJ349</f>
        <v>21939.240226208945</v>
      </c>
      <c r="BL349" s="108">
        <f t="shared" ref="BL349" si="1948">BJ349-BK349</f>
        <v>1796773.0688949539</v>
      </c>
      <c r="BM349" s="189">
        <f t="shared" ref="BM349" si="1949">(BL349/F349*1000)+BG349</f>
        <v>1291.8030275308681</v>
      </c>
      <c r="BN349" s="6">
        <f t="shared" ref="BN349" si="1950">ROUND(BM349*F349/1000,0)</f>
        <v>1792887</v>
      </c>
      <c r="BO349" s="175">
        <f t="shared" ref="BO349" si="1951">ROUND(BN349/BL349*BK349,0)</f>
        <v>21892</v>
      </c>
      <c r="BP349" s="108">
        <f t="shared" ref="BP349" si="1952">(BN349-BL349)+(BO349-BK349)</f>
        <v>-3933.309121162878</v>
      </c>
      <c r="BQ349" s="76">
        <f t="shared" ref="BQ349" si="1953">BJ349/D349*1000</f>
        <v>1254.1572055254833</v>
      </c>
      <c r="BR349" s="76">
        <f t="shared" ref="BR349" si="1954">(BN349+BO349)/D349*1000</f>
        <v>1251.4448535217464</v>
      </c>
      <c r="BS349" s="76">
        <f t="shared" ref="BS349" si="1955">BR349-BR337</f>
        <v>24.484815495527528</v>
      </c>
      <c r="BT349" s="175">
        <f t="shared" ref="BT349" si="1956">(BN349+BO349)</f>
        <v>1814779</v>
      </c>
      <c r="BU349" s="108">
        <f t="shared" ref="BU349" si="1957">BT349-BT337</f>
        <v>33687</v>
      </c>
      <c r="BW349" s="529">
        <f>BT349/[9]RMWh!$L229</f>
        <v>0.91873309755551802</v>
      </c>
      <c r="CK349" s="406">
        <v>40787</v>
      </c>
      <c r="CL349" s="50">
        <f>BP349+COML!BV349+SPA!BV349</f>
        <v>-5043.309121162878</v>
      </c>
      <c r="CM349" s="181">
        <f>'[14]2011'!$D40</f>
        <v>6822</v>
      </c>
      <c r="CN349" s="407">
        <f t="shared" ref="CN349" si="1958">CL349-CM349</f>
        <v>-11865.309121162878</v>
      </c>
      <c r="CO349" s="50">
        <f>'[2]FPC wSEB'!$R446</f>
        <v>3991988</v>
      </c>
      <c r="CP349" s="50">
        <f>'[2]FPC wSEB'!$C446-SUM('[2]FPC wSEB'!$K446:$L446)</f>
        <v>3721734</v>
      </c>
      <c r="CQ349" s="50">
        <f>'[2]FPC wSEB'!$T446-'[2]FPC wSEB'!$T445</f>
        <v>-310096</v>
      </c>
      <c r="CR349" s="50">
        <f>SUM('[2]FPC wSEB'!$K446:$L446)</f>
        <v>309446</v>
      </c>
      <c r="CS349" s="50">
        <f>('[2]FPC wSEB'!$N446)-CQ349</f>
        <v>-64213</v>
      </c>
      <c r="CT349" s="50">
        <f>'[2]FPC wSEB'!$P446</f>
        <v>15043</v>
      </c>
      <c r="CU349" s="50">
        <f>'[2]FPC wSEB'!$Q446</f>
        <v>320074</v>
      </c>
      <c r="CV349" s="115">
        <f t="shared" ref="CV349" si="1959">CO349-SUM(CP349:CU349)</f>
        <v>0</v>
      </c>
      <c r="CW349" s="50">
        <f t="shared" ref="CW349" si="1960">CO349-CT349-CU349+CM349</f>
        <v>3663693</v>
      </c>
      <c r="CX349" s="50">
        <f t="shared" ref="CX349" si="1961">SUM(CP349:CS349)+CL349</f>
        <v>3651827.6908788369</v>
      </c>
      <c r="CY349" s="50">
        <f t="shared" ref="CY349" si="1962">CW349-CX349</f>
        <v>11865.309121163096</v>
      </c>
      <c r="CZ349" s="23"/>
      <c r="DA349" s="23"/>
      <c r="DB349" s="50">
        <f t="shared" si="1181"/>
        <v>-25.709099999999978</v>
      </c>
      <c r="DC349" s="108">
        <f t="shared" si="1182"/>
        <v>1404.0908999999999</v>
      </c>
      <c r="DD349" s="50">
        <f t="shared" si="1183"/>
        <v>1948731</v>
      </c>
      <c r="DE349" s="108">
        <f t="shared" si="1184"/>
        <v>23508</v>
      </c>
      <c r="DF349" s="50">
        <f t="shared" si="1185"/>
        <v>1972239</v>
      </c>
      <c r="DG349" s="23">
        <f t="shared" si="1186"/>
        <v>-25</v>
      </c>
      <c r="DH349" s="500">
        <f>ROUND((([13]RUPC!$E229+DG349)*[5]RC!$E$209)/1000,0)</f>
        <v>1967507</v>
      </c>
      <c r="DI349" s="50">
        <f t="shared" si="1626"/>
        <v>55894</v>
      </c>
      <c r="DJ349" s="23"/>
      <c r="DK349" s="23"/>
      <c r="DL349" s="23"/>
      <c r="DM349" s="23"/>
      <c r="DN349" s="23"/>
    </row>
    <row r="350" spans="1:118" ht="12.75">
      <c r="A350" s="13">
        <f t="shared" ref="A350:A377" si="1963">A338+1</f>
        <v>2011</v>
      </c>
      <c r="B350" s="13">
        <f t="shared" ref="B350:B377" si="1964">B338</f>
        <v>10</v>
      </c>
      <c r="C350" s="5">
        <f>'[2]FPC wSEB'!$D447</f>
        <v>1582608</v>
      </c>
      <c r="D350" s="5">
        <f>'[2]FPC wSEB'!$X447</f>
        <v>1365216</v>
      </c>
      <c r="E350" s="5">
        <f t="shared" ref="E350" si="1965">ROUND(C350-H350,0)</f>
        <v>1563221</v>
      </c>
      <c r="F350" s="5">
        <f t="shared" ref="F350" si="1966">ROUND(D350-I350,0)</f>
        <v>1306996</v>
      </c>
      <c r="G350" s="74">
        <f t="shared" ref="G350" si="1967">ROUND((E350)/F350*1000,1)</f>
        <v>1196</v>
      </c>
      <c r="H350" s="190">
        <v>19387</v>
      </c>
      <c r="I350" s="190">
        <v>58220</v>
      </c>
      <c r="J350" s="230">
        <f>'[7]RES 62 &amp; 67'!$S435</f>
        <v>374.6</v>
      </c>
      <c r="K350" s="183">
        <f t="shared" si="301"/>
        <v>373.2</v>
      </c>
      <c r="L350" s="233">
        <f t="shared" ref="L350" si="1968">(K350-J350)</f>
        <v>-1.4000000000000341</v>
      </c>
      <c r="M350" s="230">
        <f>'[7]RES 62 &amp; 67'!$J435</f>
        <v>2</v>
      </c>
      <c r="N350" s="183">
        <f t="shared" si="302"/>
        <v>1.3</v>
      </c>
      <c r="O350" s="236">
        <f t="shared" ref="O350" si="1969">(N350-M350)</f>
        <v>-0.7</v>
      </c>
      <c r="P350" s="206">
        <f t="shared" ref="P350" si="1970">L350*$G$10</f>
        <v>-3.1178000000000758</v>
      </c>
      <c r="Q350" s="208">
        <f t="shared" ref="Q350" si="1971">IF($B350=12,L350*$G$11,IF($B350&lt;5,L350*$G$11,0))</f>
        <v>0</v>
      </c>
      <c r="R350" s="467">
        <f t="shared" ref="R350" si="1972">P350+Q350</f>
        <v>-3.1178000000000758</v>
      </c>
      <c r="S350" s="470">
        <f t="shared" ref="S350" si="1973">O350*$G$9</f>
        <v>-2.1692999999999998</v>
      </c>
      <c r="T350" s="425">
        <f t="shared" ref="T350" si="1974">ROUND((R350+S350),1)</f>
        <v>-5.3</v>
      </c>
      <c r="U350" s="579">
        <f>[5]RC!$E230</f>
        <v>1452347</v>
      </c>
      <c r="V350" s="447">
        <v>40817</v>
      </c>
      <c r="W350" s="191">
        <f t="shared" ref="W350" si="1975">(G350+T350)</f>
        <v>1190.7</v>
      </c>
      <c r="X350" s="73">
        <f t="shared" ref="X350" si="1976">ROUND(W350*F350/1000,0)</f>
        <v>1556240</v>
      </c>
      <c r="Y350" s="187">
        <f t="shared" ref="Y350" si="1977">ROUND((X350/C350)*H350,0)</f>
        <v>19064</v>
      </c>
      <c r="Z350" s="175">
        <f t="shared" ref="Z350" si="1978">Y350+X350</f>
        <v>1575304</v>
      </c>
      <c r="AA350" s="40">
        <f t="shared" ref="AA350" si="1979">Z350-C350</f>
        <v>-7304</v>
      </c>
      <c r="AB350" s="519">
        <f>[9]RMWh!$L230</f>
        <v>1718858</v>
      </c>
      <c r="AC350" s="107">
        <f>'[7]Gov 65 &amp; 70'!$B435</f>
        <v>29.95</v>
      </c>
      <c r="AD350" s="4">
        <f t="shared" si="1427"/>
        <v>1745832</v>
      </c>
      <c r="AE350" s="4">
        <f t="shared" ref="AE350" si="1980">AD350-AD338</f>
        <v>78597</v>
      </c>
      <c r="AF350" s="50">
        <f t="shared" ref="AF350" si="1981">ROUND((AD350/(D350)*1000),1)</f>
        <v>1278.8</v>
      </c>
      <c r="AG350" s="75">
        <f t="shared" ref="AG350" si="1982">AF350-AF338</f>
        <v>54.5</v>
      </c>
      <c r="AI350" s="303">
        <f t="shared" ref="AI350" si="1983">(H350/I350*1000)/G350</f>
        <v>0.27842435968285445</v>
      </c>
      <c r="AK350" s="418">
        <f>AVERAGE(AI350,AI338,AI326,AI314,AI302)</f>
        <v>0.27138731191960702</v>
      </c>
      <c r="AU350" s="4">
        <f t="shared" si="494"/>
        <v>2011</v>
      </c>
      <c r="AV350" s="4">
        <f t="shared" si="495"/>
        <v>10</v>
      </c>
      <c r="AW350" s="230">
        <f>'[8]RES 62 &amp; 67'!$S435</f>
        <v>197.2</v>
      </c>
      <c r="AX350" s="200">
        <f t="shared" si="306"/>
        <v>277.60000000000002</v>
      </c>
      <c r="AY350" s="203">
        <f t="shared" ref="AY350" si="1984">AX350-AW350</f>
        <v>80.400000000000034</v>
      </c>
      <c r="AZ350" s="230">
        <f>'[8]RES 62 &amp; 67'!$J435</f>
        <v>14.4</v>
      </c>
      <c r="BA350" s="183">
        <f t="shared" si="307"/>
        <v>8.5</v>
      </c>
      <c r="BB350" s="429">
        <f t="shared" ref="BB350" si="1985">BA350-AZ350</f>
        <v>-5.9</v>
      </c>
      <c r="BC350" s="206">
        <f t="shared" ref="BC350" si="1986">AY350*$G$10</f>
        <v>179.05080000000007</v>
      </c>
      <c r="BD350" s="206">
        <f t="shared" ref="BD350" si="1987">IF($B350=4,($G$11*0.5*AY350),IF($B350=11,($G$11*0.5*AY350),IF($B350=12,AY350*$G$11,IF($B350&lt;5,AY350*$G$11,0))))</f>
        <v>0</v>
      </c>
      <c r="BE350" s="206">
        <f t="shared" ref="BE350" si="1988">BC350+BD350</f>
        <v>179.05080000000007</v>
      </c>
      <c r="BF350" s="207">
        <f t="shared" ref="BF350" si="1989">BB350*$G$9</f>
        <v>-18.284100000000002</v>
      </c>
      <c r="BG350" s="219">
        <f t="shared" ref="BG350" si="1990">ROUND(BF350+BE350,1)</f>
        <v>160.80000000000001</v>
      </c>
      <c r="BH350" s="4">
        <f t="shared" si="569"/>
        <v>2011</v>
      </c>
      <c r="BI350" s="4">
        <f t="shared" si="570"/>
        <v>10</v>
      </c>
      <c r="BJ350" s="108">
        <f>C350+[4]MWh!$AJ184</f>
        <v>1279670.1951111495</v>
      </c>
      <c r="BK350" s="108">
        <f t="shared" ref="BK350" si="1991">(H350/C350)*BJ350</f>
        <v>15676.001936436473</v>
      </c>
      <c r="BL350" s="108">
        <f t="shared" ref="BL350" si="1992">BJ350-BK350</f>
        <v>1263994.1931747131</v>
      </c>
      <c r="BM350" s="189">
        <f t="shared" ref="BM350" si="1993">(BL350/F350*1000)+BG350</f>
        <v>1127.8987464190502</v>
      </c>
      <c r="BN350" s="6">
        <f t="shared" ref="BN350" si="1994">ROUND(BM350*F350/1000,0)</f>
        <v>1474159</v>
      </c>
      <c r="BO350" s="175">
        <f t="shared" ref="BO350" si="1995">ROUND(BN350/BL350*BK350,0)</f>
        <v>18282</v>
      </c>
      <c r="BP350" s="108">
        <f t="shared" ref="BP350" si="1996">(BN350-BL350)+(BO350-BK350)</f>
        <v>212770.80488885046</v>
      </c>
      <c r="BQ350" s="76">
        <f t="shared" ref="BQ350" si="1997">BJ350/D350*1000</f>
        <v>937.3389962549146</v>
      </c>
      <c r="BR350" s="76">
        <f t="shared" ref="BR350" si="1998">(BN350+BO350)/D350*1000</f>
        <v>1093.1903815952933</v>
      </c>
      <c r="BS350" s="76">
        <f t="shared" ref="BS350" si="1999">BR350-BR338</f>
        <v>32.67044119581692</v>
      </c>
      <c r="BT350" s="175">
        <f t="shared" ref="BT350" si="2000">(BN350+BO350)</f>
        <v>1492441</v>
      </c>
      <c r="BU350" s="108">
        <f t="shared" ref="BU350" si="2001">BT350-BT338</f>
        <v>48296</v>
      </c>
      <c r="BW350" s="529">
        <f>BT350/[9]RMWh!$L230</f>
        <v>0.86827474986299047</v>
      </c>
      <c r="CK350" s="406">
        <v>40817</v>
      </c>
      <c r="CL350" s="50">
        <f>BP350+COML!BV350+SPA!BV350</f>
        <v>285578.80488885043</v>
      </c>
      <c r="CM350" s="181">
        <f>'[14]2011'!$D41</f>
        <v>254348</v>
      </c>
      <c r="CN350" s="407">
        <f t="shared" ref="CN350" si="2002">CL350-CM350</f>
        <v>31230.804888850427</v>
      </c>
      <c r="CO350" s="50">
        <f>'[2]FPC wSEB'!$R447</f>
        <v>3187190</v>
      </c>
      <c r="CP350" s="50">
        <f>'[2]FPC wSEB'!$C447-SUM('[2]FPC wSEB'!$K447:$L447)</f>
        <v>3189128</v>
      </c>
      <c r="CQ350" s="50">
        <f>'[2]FPC wSEB'!$T447-'[2]FPC wSEB'!$T446</f>
        <v>-423071</v>
      </c>
      <c r="CR350" s="50">
        <f>SUM('[2]FPC wSEB'!$K447:$L447)</f>
        <v>235513</v>
      </c>
      <c r="CS350" s="50">
        <f>('[2]FPC wSEB'!$N447)-CQ350</f>
        <v>-53379</v>
      </c>
      <c r="CT350" s="50">
        <f>'[2]FPC wSEB'!$P447</f>
        <v>12921</v>
      </c>
      <c r="CU350" s="50">
        <f>'[2]FPC wSEB'!$Q447</f>
        <v>226078</v>
      </c>
      <c r="CV350" s="115">
        <f t="shared" ref="CV350" si="2003">CO350-SUM(CP350:CU350)</f>
        <v>0</v>
      </c>
      <c r="CW350" s="50">
        <f t="shared" ref="CW350" si="2004">CO350-CT350-CU350+CM350</f>
        <v>3202539</v>
      </c>
      <c r="CX350" s="50">
        <f t="shared" ref="CX350" si="2005">SUM(CP350:CS350)+CL350</f>
        <v>3233769.8048888505</v>
      </c>
      <c r="CY350" s="50">
        <f t="shared" ref="CY350" si="2006">CW350-CX350</f>
        <v>-31230.804888850544</v>
      </c>
      <c r="CZ350" s="23"/>
      <c r="DA350" s="23"/>
      <c r="DB350" s="50">
        <f t="shared" si="1181"/>
        <v>-4.697700000000065</v>
      </c>
      <c r="DC350" s="108">
        <f t="shared" si="1182"/>
        <v>1191.3022999999998</v>
      </c>
      <c r="DD350" s="50">
        <f t="shared" si="1183"/>
        <v>1557027</v>
      </c>
      <c r="DE350" s="108">
        <f t="shared" si="1184"/>
        <v>19074</v>
      </c>
      <c r="DF350" s="50">
        <f t="shared" si="1185"/>
        <v>1576101</v>
      </c>
      <c r="DG350" s="23">
        <f t="shared" si="1186"/>
        <v>-5</v>
      </c>
      <c r="DH350" s="500">
        <f>ROUND((([13]RUPC!$E230+DG350)*[5]RC!$E$209)/1000,0)</f>
        <v>1707371</v>
      </c>
      <c r="DI350" s="50">
        <f t="shared" si="1626"/>
        <v>58099</v>
      </c>
      <c r="DJ350" s="23"/>
      <c r="DK350" s="23"/>
      <c r="DL350" s="23"/>
      <c r="DM350" s="23"/>
      <c r="DN350" s="23"/>
    </row>
    <row r="351" spans="1:118" ht="12.75">
      <c r="A351" s="13">
        <f t="shared" si="1963"/>
        <v>2011</v>
      </c>
      <c r="B351" s="13">
        <f t="shared" si="1964"/>
        <v>11</v>
      </c>
      <c r="C351" s="5">
        <f>'[2]FPC wSEB'!$D448</f>
        <v>1316925</v>
      </c>
      <c r="D351" s="5">
        <f>'[2]FPC wSEB'!$X448</f>
        <v>1597874</v>
      </c>
      <c r="E351" s="5">
        <f t="shared" ref="E351" si="2007">ROUND(C351-H351,0)</f>
        <v>1296072</v>
      </c>
      <c r="F351" s="5">
        <f t="shared" ref="F351" si="2008">ROUND(D351-I351,0)</f>
        <v>1529325</v>
      </c>
      <c r="G351" s="74">
        <f t="shared" ref="G351" si="2009">ROUND((E351)/F351*1000,1)</f>
        <v>847.5</v>
      </c>
      <c r="H351" s="190">
        <v>20853</v>
      </c>
      <c r="I351" s="190">
        <v>68549</v>
      </c>
      <c r="J351" s="230">
        <f>'[7]RES 62 &amp; 67'!$S436</f>
        <v>156.80000000000001</v>
      </c>
      <c r="K351" s="183">
        <f t="shared" si="301"/>
        <v>204.3</v>
      </c>
      <c r="L351" s="233">
        <f t="shared" ref="L351" si="2010">(K351-J351)</f>
        <v>47.5</v>
      </c>
      <c r="M351" s="230">
        <f>'[7]RES 62 &amp; 67'!$J436</f>
        <v>20.3</v>
      </c>
      <c r="N351" s="183">
        <f t="shared" si="302"/>
        <v>24.1</v>
      </c>
      <c r="O351" s="236">
        <f t="shared" ref="O351" si="2011">(N351-M351)</f>
        <v>3.8000000000000007</v>
      </c>
      <c r="P351" s="206">
        <f t="shared" ref="P351" si="2012">L351*$G$10</f>
        <v>105.7825</v>
      </c>
      <c r="Q351" s="208">
        <f t="shared" ref="Q351" si="2013">IF($B351=12,L351*$G$11,IF($B351&lt;5,L351*$G$11,0))</f>
        <v>0</v>
      </c>
      <c r="R351" s="467">
        <f t="shared" ref="R351" si="2014">P351+Q351</f>
        <v>105.7825</v>
      </c>
      <c r="S351" s="470">
        <f t="shared" ref="S351" si="2015">O351*$G$9</f>
        <v>11.776200000000003</v>
      </c>
      <c r="T351" s="425">
        <f t="shared" ref="T351" si="2016">ROUND((R351+S351),1)</f>
        <v>117.6</v>
      </c>
      <c r="U351" s="579">
        <f>[5]RC!$E231</f>
        <v>1453846</v>
      </c>
      <c r="V351" s="447">
        <v>40848</v>
      </c>
      <c r="W351" s="191">
        <f t="shared" ref="W351" si="2017">(G351+T351)</f>
        <v>965.1</v>
      </c>
      <c r="X351" s="73">
        <f t="shared" ref="X351" si="2018">ROUND(W351*F351/1000,0)</f>
        <v>1475952</v>
      </c>
      <c r="Y351" s="187">
        <f t="shared" ref="Y351" si="2019">ROUND((X351/C351)*H351,0)</f>
        <v>23371</v>
      </c>
      <c r="Z351" s="175">
        <f t="shared" ref="Z351" si="2020">Y351+X351</f>
        <v>1499323</v>
      </c>
      <c r="AA351" s="40">
        <f t="shared" ref="AA351" si="2021">Z351-C351</f>
        <v>182398</v>
      </c>
      <c r="AB351" s="519">
        <f>[9]RMWh!$L231</f>
        <v>1378575</v>
      </c>
      <c r="AC351" s="107">
        <f>'[7]Gov 65 &amp; 70'!$B436</f>
        <v>29.95</v>
      </c>
      <c r="AD351" s="4">
        <f t="shared" si="1427"/>
        <v>1400209</v>
      </c>
      <c r="AE351" s="4">
        <f t="shared" ref="AE351" si="2022">AD351-AD339</f>
        <v>95403</v>
      </c>
      <c r="AF351" s="50">
        <f t="shared" ref="AF351" si="2023">ROUND((AD351/(D351)*1000),1)</f>
        <v>876.3</v>
      </c>
      <c r="AG351" s="75">
        <f t="shared" ref="AG351" si="2024">AF351-AF339</f>
        <v>65.5</v>
      </c>
      <c r="AI351" s="303">
        <f t="shared" ref="AI351" si="2025">(H351/I351*1000)/G351</f>
        <v>0.3589448385025788</v>
      </c>
      <c r="AK351" s="418">
        <f>AVERAGE(AI351,AI339,AI327,AI315,AI303)</f>
        <v>0.35720467236535991</v>
      </c>
      <c r="AU351" s="4">
        <f t="shared" si="494"/>
        <v>2011</v>
      </c>
      <c r="AV351" s="4">
        <f t="shared" si="495"/>
        <v>11</v>
      </c>
      <c r="AW351" s="230">
        <f>'[8]RES 62 &amp; 67'!$S436</f>
        <v>110.1</v>
      </c>
      <c r="AX351" s="200">
        <f t="shared" si="306"/>
        <v>110.2</v>
      </c>
      <c r="AY351" s="203">
        <f t="shared" ref="AY351" si="2026">AX351-AW351</f>
        <v>0.10000000000000853</v>
      </c>
      <c r="AZ351" s="230">
        <f>'[8]RES 62 &amp; 67'!$J436</f>
        <v>30.8</v>
      </c>
      <c r="BA351" s="183">
        <f t="shared" si="307"/>
        <v>45.3</v>
      </c>
      <c r="BB351" s="429">
        <f t="shared" ref="BB351" si="2027">BA351-AZ351</f>
        <v>14.499999999999996</v>
      </c>
      <c r="BC351" s="206">
        <f t="shared" ref="BC351" si="2028">AY351*$G$10</f>
        <v>0.22270000000001897</v>
      </c>
      <c r="BD351" s="206">
        <f t="shared" ref="BD351" si="2029">IF($B351=4,($G$11*0.5*AY351),IF($B351=11,($G$11*0.5*AY351),IF($B351=12,AY351*$G$11,IF($B351&lt;5,AY351*$G$11,0))))</f>
        <v>-8.4500000000007208E-3</v>
      </c>
      <c r="BE351" s="206">
        <f t="shared" ref="BE351" si="2030">BC351+BD351</f>
        <v>0.21425000000001826</v>
      </c>
      <c r="BF351" s="207">
        <f t="shared" ref="BF351" si="2031">BB351*$G$9</f>
        <v>44.93549999999999</v>
      </c>
      <c r="BG351" s="219">
        <f t="shared" ref="BG351" si="2032">ROUND(BF351+BE351,1)</f>
        <v>45.1</v>
      </c>
      <c r="BH351" s="4">
        <f t="shared" si="569"/>
        <v>2011</v>
      </c>
      <c r="BI351" s="4">
        <f t="shared" si="570"/>
        <v>11</v>
      </c>
      <c r="BJ351" s="108">
        <f>C351+[4]MWh!$AJ185</f>
        <v>1175610.0497501041</v>
      </c>
      <c r="BK351" s="108">
        <f t="shared" ref="BK351" si="2033">(H351/C351)*BJ351</f>
        <v>18615.332207558458</v>
      </c>
      <c r="BL351" s="108">
        <f t="shared" ref="BL351" si="2034">BJ351-BK351</f>
        <v>1156994.7175425456</v>
      </c>
      <c r="BM351" s="189">
        <f t="shared" ref="BM351" si="2035">(BL351/F351*1000)+BG351</f>
        <v>801.63946515132216</v>
      </c>
      <c r="BN351" s="6">
        <f t="shared" ref="BN351" si="2036">ROUND(BM351*F351/1000,0)</f>
        <v>1225967</v>
      </c>
      <c r="BO351" s="175">
        <f t="shared" ref="BO351" si="2037">ROUND(BN351/BL351*BK351,0)</f>
        <v>19725</v>
      </c>
      <c r="BP351" s="108">
        <f t="shared" ref="BP351" si="2038">(BN351-BL351)+(BO351-BK351)</f>
        <v>70081.950249895905</v>
      </c>
      <c r="BQ351" s="76">
        <f t="shared" ref="BQ351" si="2039">BJ351/D351*1000</f>
        <v>735.73388749682647</v>
      </c>
      <c r="BR351" s="76">
        <f t="shared" ref="BR351" si="2040">(BN351+BO351)/D351*1000</f>
        <v>779.59338470993339</v>
      </c>
      <c r="BS351" s="76">
        <f t="shared" ref="BS351" si="2041">BR351-BR339</f>
        <v>9.4209168126996019</v>
      </c>
      <c r="BT351" s="175">
        <f t="shared" ref="BT351" si="2042">(BN351+BO351)</f>
        <v>1245692</v>
      </c>
      <c r="BU351" s="108">
        <f t="shared" ref="BU351" si="2043">BT351-BT339</f>
        <v>6265</v>
      </c>
      <c r="BW351" s="529">
        <f>BT351/[9]RMWh!$L231</f>
        <v>0.90360843624757448</v>
      </c>
      <c r="CK351" s="406">
        <v>40848</v>
      </c>
      <c r="CL351" s="50">
        <f>BP351+COML!BV351+SPA!BV351</f>
        <v>73201.950249895905</v>
      </c>
      <c r="CM351" s="181">
        <f>'[14]2011'!$D42</f>
        <v>83885</v>
      </c>
      <c r="CN351" s="407">
        <f t="shared" ref="CN351" si="2044">CL351-CM351</f>
        <v>-10683.049750104095</v>
      </c>
      <c r="CO351" s="50">
        <f>'[2]FPC wSEB'!$R448</f>
        <v>2789251</v>
      </c>
      <c r="CP351" s="50">
        <f>'[2]FPC wSEB'!$C448-SUM('[2]FPC wSEB'!$K448:$L448)</f>
        <v>2781028</v>
      </c>
      <c r="CQ351" s="50">
        <f>'[2]FPC wSEB'!$T448-'[2]FPC wSEB'!$T447</f>
        <v>-216061</v>
      </c>
      <c r="CR351" s="50">
        <f>SUM('[2]FPC wSEB'!$K448:$L448)</f>
        <v>180197</v>
      </c>
      <c r="CS351" s="50">
        <f>('[2]FPC wSEB'!$N448)-CQ351</f>
        <v>-73826</v>
      </c>
      <c r="CT351" s="50">
        <f>'[2]FPC wSEB'!$P448</f>
        <v>11737</v>
      </c>
      <c r="CU351" s="50">
        <f>'[2]FPC wSEB'!$Q448</f>
        <v>106176</v>
      </c>
      <c r="CV351" s="115">
        <f t="shared" ref="CV351" si="2045">CO351-SUM(CP351:CU351)</f>
        <v>0</v>
      </c>
      <c r="CW351" s="50">
        <f t="shared" ref="CW351" si="2046">CO351-CT351-CU351+CM351</f>
        <v>2755223</v>
      </c>
      <c r="CX351" s="50">
        <f t="shared" ref="CX351" si="2047">SUM(CP351:CS351)+CL351</f>
        <v>2744539.9502498959</v>
      </c>
      <c r="CY351" s="50">
        <f t="shared" ref="CY351" si="2048">CW351-CX351</f>
        <v>10683.049750104081</v>
      </c>
      <c r="CZ351" s="23"/>
      <c r="DA351" s="23"/>
      <c r="DB351" s="50">
        <f t="shared" si="1181"/>
        <v>102.3492</v>
      </c>
      <c r="DC351" s="108">
        <f t="shared" si="1182"/>
        <v>949.8492</v>
      </c>
      <c r="DD351" s="50">
        <f t="shared" si="1183"/>
        <v>1452628</v>
      </c>
      <c r="DE351" s="108">
        <f t="shared" si="1184"/>
        <v>23002</v>
      </c>
      <c r="DF351" s="50">
        <f t="shared" si="1185"/>
        <v>1475630</v>
      </c>
      <c r="DG351" s="23">
        <f t="shared" si="1186"/>
        <v>99</v>
      </c>
      <c r="DH351" s="500">
        <f>ROUND((([13]RUPC!$E231+DG351)*[5]RC!$E$209)/1000,0)</f>
        <v>1345696</v>
      </c>
      <c r="DI351" s="50">
        <f t="shared" si="1626"/>
        <v>50578</v>
      </c>
      <c r="DJ351" s="23"/>
      <c r="DK351" s="23"/>
      <c r="DL351" s="23"/>
      <c r="DM351" s="23"/>
      <c r="DN351" s="23"/>
    </row>
    <row r="352" spans="1:118" s="89" customFormat="1" ht="12.75">
      <c r="A352" s="90">
        <f t="shared" si="1963"/>
        <v>2011</v>
      </c>
      <c r="B352" s="90">
        <f t="shared" si="1964"/>
        <v>12</v>
      </c>
      <c r="C352" s="103">
        <f>'[2]FPC wSEB'!$D449</f>
        <v>1194416</v>
      </c>
      <c r="D352" s="103">
        <f>'[2]FPC wSEB'!$X449</f>
        <v>1473580</v>
      </c>
      <c r="E352" s="103">
        <f t="shared" ref="E352" si="2049">ROUND(C352-H352,0)</f>
        <v>1170307</v>
      </c>
      <c r="F352" s="103">
        <f t="shared" ref="F352" si="2050">ROUND(D352-I352,0)</f>
        <v>1411480</v>
      </c>
      <c r="G352" s="109">
        <f t="shared" ref="G352" si="2051">ROUND((E352)/F352*1000,1)</f>
        <v>829.1</v>
      </c>
      <c r="H352" s="196">
        <v>24109</v>
      </c>
      <c r="I352" s="196">
        <v>62100</v>
      </c>
      <c r="J352" s="300">
        <f>'[7]RES 62 &amp; 67'!$S437</f>
        <v>106</v>
      </c>
      <c r="K352" s="210">
        <f t="shared" si="301"/>
        <v>88</v>
      </c>
      <c r="L352" s="234">
        <f t="shared" ref="L352" si="2052">(K352-J352)</f>
        <v>-18</v>
      </c>
      <c r="M352" s="300">
        <f>'[7]RES 62 &amp; 67'!$J437</f>
        <v>41.7</v>
      </c>
      <c r="N352" s="210">
        <f t="shared" si="302"/>
        <v>83.9</v>
      </c>
      <c r="O352" s="237">
        <f t="shared" ref="O352" si="2053">(N352-M352)</f>
        <v>42.2</v>
      </c>
      <c r="P352" s="211">
        <f t="shared" ref="P352" si="2054">L352*$G$10</f>
        <v>-40.085999999999999</v>
      </c>
      <c r="Q352" s="211">
        <f t="shared" ref="Q352" si="2055">IF($B352=12,L352*$G$11,IF($B352&lt;5,L352*$G$11,0))</f>
        <v>3.0420000000000003</v>
      </c>
      <c r="R352" s="468">
        <f t="shared" ref="R352" si="2056">P352+Q352</f>
        <v>-37.043999999999997</v>
      </c>
      <c r="S352" s="471">
        <f t="shared" ref="S352" si="2057">O352*$G$9</f>
        <v>130.77780000000001</v>
      </c>
      <c r="T352" s="426">
        <f t="shared" ref="T352" si="2058">ROUND((R352+S352),1)</f>
        <v>93.7</v>
      </c>
      <c r="U352" s="579">
        <f>[5]RC!$E232</f>
        <v>1455752</v>
      </c>
      <c r="V352" s="447">
        <v>40878</v>
      </c>
      <c r="W352" s="95">
        <f t="shared" ref="W352" si="2059">(G352+T352)</f>
        <v>922.80000000000007</v>
      </c>
      <c r="X352" s="104">
        <f t="shared" ref="X352" si="2060">ROUND(W352*F352/1000,0)</f>
        <v>1302514</v>
      </c>
      <c r="Y352" s="198">
        <f t="shared" ref="Y352" si="2061">ROUND((X352/C352)*H352,0)</f>
        <v>26291</v>
      </c>
      <c r="Z352" s="176">
        <f t="shared" ref="Z352" si="2062">Y352+X352</f>
        <v>1328805</v>
      </c>
      <c r="AA352" s="116">
        <f t="shared" ref="AA352" si="2063">Z352-C352</f>
        <v>134389</v>
      </c>
      <c r="AB352" s="520">
        <f>[9]RMWh!$L232</f>
        <v>1310052</v>
      </c>
      <c r="AC352" s="110">
        <f>'[7]Gov 65 &amp; 70'!$B437</f>
        <v>31.55</v>
      </c>
      <c r="AD352" s="89">
        <f t="shared" si="1427"/>
        <v>1263131</v>
      </c>
      <c r="AE352" s="89">
        <f t="shared" ref="AE352" si="2064">AD352-AD340</f>
        <v>99246</v>
      </c>
      <c r="AF352" s="117">
        <f t="shared" ref="AF352" si="2065">ROUND((AD352/(D352)*1000),1)</f>
        <v>857.2</v>
      </c>
      <c r="AG352" s="91">
        <f t="shared" ref="AG352" si="2066">AF352-AF340</f>
        <v>88.700000000000045</v>
      </c>
      <c r="AH352" s="252"/>
      <c r="AI352" s="304">
        <f t="shared" ref="AI352" si="2067">(H352/I352*1000)/G352</f>
        <v>0.46825312199500035</v>
      </c>
      <c r="AK352" s="419">
        <f>AVERAGE(AI352,AI328,AI316,AI304,AI292,AI280,AI268,AI256)</f>
        <v>0.45966571688370095</v>
      </c>
      <c r="AU352" s="89">
        <f t="shared" si="494"/>
        <v>2011</v>
      </c>
      <c r="AV352" s="89">
        <f t="shared" si="495"/>
        <v>12</v>
      </c>
      <c r="AW352" s="300">
        <f>'[8]RES 62 &amp; 67'!$S437</f>
        <v>69.400000000000006</v>
      </c>
      <c r="AX352" s="210">
        <f t="shared" si="306"/>
        <v>53.2</v>
      </c>
      <c r="AY352" s="204">
        <f t="shared" ref="AY352" si="2068">AX352-AW352</f>
        <v>-16.200000000000003</v>
      </c>
      <c r="AZ352" s="300">
        <f>'[8]RES 62 &amp; 67'!$J437</f>
        <v>61.1</v>
      </c>
      <c r="BA352" s="210">
        <f t="shared" si="307"/>
        <v>114.1</v>
      </c>
      <c r="BB352" s="430">
        <f t="shared" ref="BB352" si="2069">BA352-AZ352</f>
        <v>52.999999999999993</v>
      </c>
      <c r="BC352" s="211">
        <f t="shared" ref="BC352" si="2070">AY352*$G$10</f>
        <v>-36.077400000000004</v>
      </c>
      <c r="BD352" s="211">
        <f t="shared" ref="BD352" si="2071">IF($B352=4,($G$11*0.5*AY352),IF($B352=11,($G$11*0.5*AY352),IF($B352=12,AY352*$G$11,IF($B352&lt;5,AY352*$G$11,0))))</f>
        <v>2.7378000000000005</v>
      </c>
      <c r="BE352" s="211">
        <f t="shared" ref="BE352" si="2072">BC352+BD352</f>
        <v>-33.339600000000004</v>
      </c>
      <c r="BF352" s="212">
        <f t="shared" ref="BF352" si="2073">BB352*$G$9</f>
        <v>164.24699999999999</v>
      </c>
      <c r="BG352" s="220">
        <f t="shared" ref="BG352" si="2074">ROUND(BF352+BE352,1)</f>
        <v>130.9</v>
      </c>
      <c r="BH352" s="89">
        <f t="shared" si="569"/>
        <v>2011</v>
      </c>
      <c r="BI352" s="89">
        <f t="shared" si="570"/>
        <v>12</v>
      </c>
      <c r="BJ352" s="117">
        <f>C352+[4]MWh!$AJ186</f>
        <v>1132732.6837201312</v>
      </c>
      <c r="BK352" s="117">
        <f t="shared" ref="BK352" si="2075">(H352/C352)*BJ352</f>
        <v>22863.937080387939</v>
      </c>
      <c r="BL352" s="117">
        <f t="shared" ref="BL352" si="2076">BJ352-BK352</f>
        <v>1109868.7466397432</v>
      </c>
      <c r="BM352" s="199">
        <f t="shared" ref="BM352" si="2077">(BL352/F352*1000)+BG352</f>
        <v>917.21560251632559</v>
      </c>
      <c r="BN352" s="96">
        <f t="shared" ref="BN352" si="2078">ROUND(BM352*F352/1000,0)</f>
        <v>1294631</v>
      </c>
      <c r="BO352" s="176">
        <f t="shared" ref="BO352" si="2079">ROUND(BN352/BL352*BK352,0)</f>
        <v>26670</v>
      </c>
      <c r="BP352" s="117">
        <f t="shared" ref="BP352" si="2080">(BN352-BL352)+(BO352-BK352)</f>
        <v>188568.31627986886</v>
      </c>
      <c r="BQ352" s="92">
        <f t="shared" ref="BQ352" si="2081">BJ352/D352*1000</f>
        <v>768.69439305645517</v>
      </c>
      <c r="BR352" s="92">
        <f t="shared" ref="BR352" si="2082">(BN352+BO352)/D352*1000</f>
        <v>896.66051385062224</v>
      </c>
      <c r="BS352" s="92">
        <f t="shared" ref="BS352" si="2083">BR352-BR340</f>
        <v>199.56612202765928</v>
      </c>
      <c r="BT352" s="176">
        <f t="shared" ref="BT352" si="2084">(BN352+BO352)</f>
        <v>1321301</v>
      </c>
      <c r="BU352" s="117">
        <f t="shared" ref="BU352" si="2085">BT352-BT340</f>
        <v>265562</v>
      </c>
      <c r="BW352" s="529">
        <f>BT352/[9]RMWh!$L232</f>
        <v>1.0085866820553688</v>
      </c>
      <c r="BX352" s="531" t="s">
        <v>312</v>
      </c>
      <c r="CK352" s="166">
        <v>40878</v>
      </c>
      <c r="CL352" s="117">
        <f>BP352+COML!BV352+SPA!BV352</f>
        <v>186383.31627986886</v>
      </c>
      <c r="CM352" s="359">
        <f>'[14]2011'!$D43</f>
        <v>228639</v>
      </c>
      <c r="CN352" s="1">
        <f t="shared" ref="CN352" si="2086">CL352-CM352</f>
        <v>-42255.683720131143</v>
      </c>
      <c r="CO352" s="117">
        <f>'[2]FPC wSEB'!$R449</f>
        <v>2865233</v>
      </c>
      <c r="CP352" s="117">
        <f>'[2]FPC wSEB'!$C449-SUM('[2]FPC wSEB'!$K449:$L449)</f>
        <v>2568381</v>
      </c>
      <c r="CQ352" s="117">
        <f>'[2]FPC wSEB'!$T449-'[2]FPC wSEB'!$T448</f>
        <v>-105225</v>
      </c>
      <c r="CR352" s="117">
        <f>SUM('[2]FPC wSEB'!$K449:$L449)</f>
        <v>107247</v>
      </c>
      <c r="CS352" s="117">
        <f>('[2]FPC wSEB'!$N449)-CQ352</f>
        <v>73123</v>
      </c>
      <c r="CT352" s="117">
        <f>'[2]FPC wSEB'!$P449</f>
        <v>15181</v>
      </c>
      <c r="CU352" s="117">
        <f>'[2]FPC wSEB'!$Q449</f>
        <v>206526</v>
      </c>
      <c r="CV352" s="118">
        <f t="shared" ref="CV352" si="2087">CO352-SUM(CP352:CU352)</f>
        <v>0</v>
      </c>
      <c r="CW352" s="117">
        <f t="shared" ref="CW352" si="2088">CO352-CT352-CU352+CM352</f>
        <v>2872165</v>
      </c>
      <c r="CX352" s="117">
        <f t="shared" ref="CX352" si="2089">SUM(CP352:CS352)+CL352</f>
        <v>2829909.3162798691</v>
      </c>
      <c r="CY352" s="117">
        <f t="shared" ref="CY352" si="2090">CW352-CX352</f>
        <v>42255.683720130939</v>
      </c>
      <c r="DB352" s="117">
        <f t="shared" si="1181"/>
        <v>85.981800000000021</v>
      </c>
      <c r="DC352" s="117">
        <f t="shared" si="1182"/>
        <v>915.08180000000004</v>
      </c>
      <c r="DD352" s="117">
        <f t="shared" si="1183"/>
        <v>1291620</v>
      </c>
      <c r="DE352" s="117">
        <f t="shared" si="1184"/>
        <v>26071</v>
      </c>
      <c r="DF352" s="117">
        <f t="shared" si="1185"/>
        <v>1317691</v>
      </c>
      <c r="DG352" s="89">
        <f t="shared" si="1186"/>
        <v>84</v>
      </c>
      <c r="DH352" s="501">
        <f>ROUND((([13]RUPC!$E232+DG352)*[5]RC!$E$209)/1000,0)</f>
        <v>1287487</v>
      </c>
      <c r="DI352" s="117">
        <f t="shared" si="1626"/>
        <v>77984</v>
      </c>
    </row>
    <row r="353" spans="1:118" ht="12.75">
      <c r="A353" s="13">
        <f t="shared" si="1963"/>
        <v>2012</v>
      </c>
      <c r="B353" s="13">
        <f t="shared" si="1964"/>
        <v>1</v>
      </c>
      <c r="C353" s="5">
        <f>'[2]FPC wSEB'!$D450</f>
        <v>1305112</v>
      </c>
      <c r="D353" s="5">
        <f>'[2]FPC wSEB'!$X450</f>
        <v>1387413</v>
      </c>
      <c r="E353" s="5">
        <f t="shared" ref="E353" si="2091">ROUND(C353-H353,0)</f>
        <v>1272845</v>
      </c>
      <c r="F353" s="5">
        <f t="shared" ref="F353" si="2092">ROUND(D353-I353,0)</f>
        <v>1328578</v>
      </c>
      <c r="G353" s="74">
        <f t="shared" ref="G353" si="2093">ROUND((E353)/F353*1000,1)</f>
        <v>958.1</v>
      </c>
      <c r="H353" s="190">
        <f>[15]ssr!C172</f>
        <v>32267</v>
      </c>
      <c r="I353" s="190">
        <f>[15]ssr!D172</f>
        <v>58835</v>
      </c>
      <c r="J353" s="230">
        <f>'[7]RES 62 &amp; 67'!$S438</f>
        <v>58.5</v>
      </c>
      <c r="K353" s="183">
        <f t="shared" si="301"/>
        <v>49.5</v>
      </c>
      <c r="L353" s="233">
        <f t="shared" ref="L353" si="2094">(K353-J353)</f>
        <v>-9</v>
      </c>
      <c r="M353" s="230">
        <f>'[7]RES 62 &amp; 67'!$J438</f>
        <v>103.1</v>
      </c>
      <c r="N353" s="183">
        <f t="shared" si="302"/>
        <v>131.6</v>
      </c>
      <c r="O353" s="236">
        <f t="shared" ref="O353" si="2095">(N353-M353)</f>
        <v>28.5</v>
      </c>
      <c r="P353" s="206">
        <f t="shared" ref="P353:P358" si="2096">L353*$H$10</f>
        <v>-18.792000000000002</v>
      </c>
      <c r="Q353" s="208">
        <f t="shared" ref="Q353:Q358" si="2097">IF($B353=12,L353*$H$11,IF($B353&lt;5,L353*$H$11,0))</f>
        <v>3.1679999999999997</v>
      </c>
      <c r="R353" s="467">
        <f t="shared" ref="R353" si="2098">P353+Q353</f>
        <v>-15.624000000000002</v>
      </c>
      <c r="S353" s="470">
        <f t="shared" ref="S353:S358" si="2099">O353*$H$9</f>
        <v>76.38000000000001</v>
      </c>
      <c r="T353" s="425">
        <f t="shared" ref="T353" si="2100">ROUND((R353+S353),1)</f>
        <v>60.8</v>
      </c>
      <c r="U353" s="579">
        <f>[5]RC!$E233</f>
        <v>1458136</v>
      </c>
      <c r="V353" s="447">
        <v>40909</v>
      </c>
      <c r="W353" s="191">
        <f t="shared" ref="W353" si="2101">(G353+T353)</f>
        <v>1018.9</v>
      </c>
      <c r="X353" s="73">
        <f t="shared" ref="X353" si="2102">ROUND(W353*F353/1000,0)</f>
        <v>1353688</v>
      </c>
      <c r="Y353" s="187">
        <f t="shared" ref="Y353" si="2103">ROUND((X353/C353)*H353,0)</f>
        <v>33468</v>
      </c>
      <c r="Z353" s="175">
        <f t="shared" ref="Z353" si="2104">Y353+X353</f>
        <v>1387156</v>
      </c>
      <c r="AA353" s="40">
        <f t="shared" ref="AA353" si="2105">Z353-C353</f>
        <v>82044</v>
      </c>
      <c r="AB353" s="519">
        <f>[9]RMWh!$L233</f>
        <v>1426857</v>
      </c>
      <c r="AC353" s="107">
        <f>'[7]Gov 65 &amp; 70'!$B438</f>
        <v>31.7</v>
      </c>
      <c r="AD353" s="4">
        <f t="shared" si="1427"/>
        <v>1369243</v>
      </c>
      <c r="AE353" s="4">
        <f t="shared" ref="AE353" si="2106">AD353-AD341</f>
        <v>95847</v>
      </c>
      <c r="AF353" s="50">
        <f t="shared" ref="AF353" si="2107">ROUND((AD353/(D353)*1000),1)</f>
        <v>986.9</v>
      </c>
      <c r="AG353" s="75">
        <f t="shared" ref="AG353" si="2108">AF353-AF341</f>
        <v>61</v>
      </c>
      <c r="AI353" s="303">
        <f t="shared" ref="AI353" si="2109">(H353/I353*1000)/G353</f>
        <v>0.57241629866311339</v>
      </c>
      <c r="AK353" s="442">
        <f>AVERAGE(AI353,AI341,AI329,AI317,AI305,AI293,AI281,AI269,AI257,AI245)</f>
        <v>0.55751998808037817</v>
      </c>
      <c r="AU353" s="4">
        <f t="shared" si="494"/>
        <v>2012</v>
      </c>
      <c r="AV353" s="4">
        <f t="shared" si="495"/>
        <v>1</v>
      </c>
      <c r="AW353" s="230">
        <f>'[8]RES 62 &amp; 67'!$S438</f>
        <v>42.5</v>
      </c>
      <c r="AX353" s="200">
        <f t="shared" si="306"/>
        <v>50.5</v>
      </c>
      <c r="AY353" s="203">
        <f t="shared" ref="AY353" si="2110">AX353-AW353</f>
        <v>8</v>
      </c>
      <c r="AZ353" s="230">
        <f>'[8]RES 62 &amp; 67'!$J438</f>
        <v>132.5</v>
      </c>
      <c r="BA353" s="183">
        <f t="shared" si="307"/>
        <v>127.9</v>
      </c>
      <c r="BB353" s="429">
        <f t="shared" ref="BB353" si="2111">BA353-AZ353</f>
        <v>-4.5999999999999943</v>
      </c>
      <c r="BC353" s="206">
        <f t="shared" ref="BC353:BC358" si="2112">AY353*$H$10</f>
        <v>16.704000000000001</v>
      </c>
      <c r="BD353" s="206">
        <f t="shared" ref="BD353:BD358" si="2113">IF($B353=4,($H$11*0.5*AY353),IF($B353=11,($H$11*0.5*AY353),IF($B353=12,AY353*$H$11,IF($B353&lt;5,AY353*$H$11,0))))</f>
        <v>-2.8159999999999998</v>
      </c>
      <c r="BE353" s="206">
        <f t="shared" ref="BE353" si="2114">BC353+BD353</f>
        <v>13.888000000000002</v>
      </c>
      <c r="BF353" s="207">
        <f t="shared" ref="BF353:BF358" si="2115">BB353*$H$9</f>
        <v>-12.327999999999985</v>
      </c>
      <c r="BG353" s="219">
        <f t="shared" ref="BG353" si="2116">ROUND(BF353+BE353,1)</f>
        <v>1.6</v>
      </c>
      <c r="BH353" s="4">
        <f t="shared" si="569"/>
        <v>2012</v>
      </c>
      <c r="BI353" s="4">
        <f t="shared" si="570"/>
        <v>1</v>
      </c>
      <c r="BJ353" s="108">
        <f>C353+[4]MWh!$AJ187</f>
        <v>1418143.0581613006</v>
      </c>
      <c r="BK353" s="108">
        <f t="shared" ref="BK353" si="2117">(H353/C353)*BJ353</f>
        <v>35061.528863186213</v>
      </c>
      <c r="BL353" s="108">
        <f t="shared" ref="BL353" si="2118">BJ353-BK353</f>
        <v>1383081.5292981144</v>
      </c>
      <c r="BM353" s="189">
        <f t="shared" ref="BM353" si="2119">(BL353/F353*1000)+BG353</f>
        <v>1042.623958923085</v>
      </c>
      <c r="BN353" s="6">
        <f t="shared" ref="BN353" si="2120">ROUND(BM353*F353/1000,0)</f>
        <v>1385207</v>
      </c>
      <c r="BO353" s="175">
        <f t="shared" ref="BO353" si="2121">ROUND(BN353/BL353*BK353,0)</f>
        <v>35115</v>
      </c>
      <c r="BP353" s="108">
        <f t="shared" ref="BP353" si="2122">(BN353-BL353)+(BO353-BK353)</f>
        <v>2178.9418386994294</v>
      </c>
      <c r="BQ353" s="76">
        <f t="shared" ref="BQ353" si="2123">BJ353/D353*1000</f>
        <v>1022.1491784791555</v>
      </c>
      <c r="BR353" s="76">
        <f t="shared" ref="BR353" si="2124">(BN353+BO353)/D353*1000</f>
        <v>1023.7196854865855</v>
      </c>
      <c r="BS353" s="76">
        <f t="shared" ref="BS353" si="2125">BR353-BR341</f>
        <v>-37.596291323229821</v>
      </c>
      <c r="BT353" s="175">
        <f t="shared" ref="BT353" si="2126">(BN353+BO353)</f>
        <v>1420322</v>
      </c>
      <c r="BU353" s="108">
        <f t="shared" ref="BU353" si="2127">BT353-BT341</f>
        <v>-39239</v>
      </c>
      <c r="BW353" s="529">
        <f>BT353/[9]RMWh!$L233</f>
        <v>0.99542000354625582</v>
      </c>
      <c r="BX353" s="537">
        <f>AVERAGE(BW353,BW341,BW329,BW317,BW305,BW293,BW281,BW269,BW257,BW245)</f>
        <v>1.0077967818792799</v>
      </c>
      <c r="CK353" s="406">
        <v>40909</v>
      </c>
      <c r="CL353" s="50">
        <f>BP353+COML!BV353+SPA!BV353</f>
        <v>6300.9418386994294</v>
      </c>
      <c r="CM353" s="181">
        <f>'[14]2012'!$D32</f>
        <v>61453</v>
      </c>
      <c r="CN353" s="407">
        <f t="shared" ref="CN353" si="2128">CL353-CM353</f>
        <v>-55152.058161300571</v>
      </c>
      <c r="CO353" s="50">
        <f>'[2]FPC wSEB'!$R450</f>
        <v>3097014</v>
      </c>
      <c r="CP353" s="50">
        <f>'[2]FPC wSEB'!$C450-SUM('[2]FPC wSEB'!$K450:$L450)</f>
        <v>2673803</v>
      </c>
      <c r="CQ353" s="50">
        <f>'[2]FPC wSEB'!$T450-'[2]FPC wSEB'!$T449</f>
        <v>165607</v>
      </c>
      <c r="CR353" s="50">
        <f>SUM('[2]FPC wSEB'!$K450:$L450)</f>
        <v>94054</v>
      </c>
      <c r="CS353" s="50">
        <f>('[2]FPC wSEB'!$N450)-CQ353</f>
        <v>-62299</v>
      </c>
      <c r="CT353" s="50">
        <f>'[2]FPC wSEB'!$P450</f>
        <v>17713</v>
      </c>
      <c r="CU353" s="50">
        <f>'[2]FPC wSEB'!$Q450</f>
        <v>208136</v>
      </c>
      <c r="CV353" s="115">
        <f t="shared" ref="CV353" si="2129">CO353-SUM(CP353:CU353)</f>
        <v>0</v>
      </c>
      <c r="CW353" s="50">
        <f t="shared" ref="CW353" si="2130">CO353-CT353-CU353+CM353</f>
        <v>2932618</v>
      </c>
      <c r="CX353" s="50">
        <f t="shared" ref="CX353" si="2131">SUM(CP353:CS353)+CL353</f>
        <v>2877465.9418386994</v>
      </c>
      <c r="CY353" s="50">
        <f t="shared" ref="CY353" si="2132">CW353-CX353</f>
        <v>55152.058161300607</v>
      </c>
      <c r="CZ353" s="23"/>
      <c r="DA353" s="23"/>
      <c r="DB353" s="50">
        <f t="shared" si="1181"/>
        <v>64.147499999999994</v>
      </c>
      <c r="DC353" s="108">
        <f t="shared" si="1182"/>
        <v>1022.2475000000001</v>
      </c>
      <c r="DD353" s="50">
        <f t="shared" si="1183"/>
        <v>1358136</v>
      </c>
      <c r="DE353" s="108">
        <f t="shared" si="1184"/>
        <v>33578</v>
      </c>
      <c r="DF353" s="50">
        <f t="shared" si="1185"/>
        <v>1391714</v>
      </c>
      <c r="DG353" s="23">
        <f t="shared" si="1186"/>
        <v>62</v>
      </c>
      <c r="DH353" s="500">
        <f>ROUND((([13]RUPC!$E233+DG353)*[5]RC!$E$209)/1000,0)</f>
        <v>1415410</v>
      </c>
      <c r="DI353" s="50">
        <f t="shared" si="1626"/>
        <v>47994</v>
      </c>
      <c r="DJ353" s="23"/>
      <c r="DK353" s="23"/>
      <c r="DL353" s="23"/>
      <c r="DM353" s="23"/>
      <c r="DN353" s="23"/>
    </row>
    <row r="354" spans="1:118" ht="12.75">
      <c r="A354" s="13">
        <f t="shared" si="1963"/>
        <v>2012</v>
      </c>
      <c r="B354" s="13">
        <f t="shared" si="1964"/>
        <v>2</v>
      </c>
      <c r="C354" s="5">
        <f>'[2]FPC wSEB'!$D451</f>
        <v>1161110</v>
      </c>
      <c r="D354" s="5">
        <f>'[2]FPC wSEB'!$X451</f>
        <v>1376771</v>
      </c>
      <c r="E354" s="5">
        <f t="shared" ref="E354" si="2133">ROUND(C354-H354,0)</f>
        <v>1130212</v>
      </c>
      <c r="F354" s="5">
        <f t="shared" ref="F354" si="2134">ROUND(D354-I354,0)</f>
        <v>1318884</v>
      </c>
      <c r="G354" s="74">
        <f t="shared" ref="G354" si="2135">ROUND((E354)/F354*1000,1)</f>
        <v>856.9</v>
      </c>
      <c r="H354" s="190">
        <f>[15]ssr!C173</f>
        <v>30898</v>
      </c>
      <c r="I354" s="190">
        <f>[15]ssr!D173</f>
        <v>57887</v>
      </c>
      <c r="J354" s="230">
        <f>'[7]RES 62 &amp; 67'!$S439</f>
        <v>58</v>
      </c>
      <c r="K354" s="183">
        <f t="shared" si="301"/>
        <v>43.3</v>
      </c>
      <c r="L354" s="233">
        <f t="shared" ref="L354" si="2136">(K354-J354)</f>
        <v>-14.700000000000003</v>
      </c>
      <c r="M354" s="230">
        <f>'[7]RES 62 &amp; 67'!$J439</f>
        <v>90.5</v>
      </c>
      <c r="N354" s="183">
        <f t="shared" si="302"/>
        <v>127.9</v>
      </c>
      <c r="O354" s="236">
        <f t="shared" ref="O354" si="2137">(N354-M354)</f>
        <v>37.400000000000006</v>
      </c>
      <c r="P354" s="206">
        <f t="shared" si="2096"/>
        <v>-30.693600000000007</v>
      </c>
      <c r="Q354" s="208">
        <f t="shared" si="2097"/>
        <v>5.1744000000000003</v>
      </c>
      <c r="R354" s="467">
        <f t="shared" ref="R354" si="2138">P354+Q354</f>
        <v>-25.519200000000005</v>
      </c>
      <c r="S354" s="470">
        <f t="shared" si="2099"/>
        <v>100.23200000000003</v>
      </c>
      <c r="T354" s="425">
        <f t="shared" ref="T354" si="2139">ROUND((R354+S354),1)</f>
        <v>74.7</v>
      </c>
      <c r="U354" s="579">
        <f>[5]RC!$E234</f>
        <v>1460996</v>
      </c>
      <c r="V354" s="447">
        <v>40940</v>
      </c>
      <c r="W354" s="191">
        <f t="shared" ref="W354" si="2140">(G354+T354)</f>
        <v>931.6</v>
      </c>
      <c r="X354" s="73">
        <f t="shared" ref="X354" si="2141">ROUND(W354*F354/1000,0)</f>
        <v>1228672</v>
      </c>
      <c r="Y354" s="187">
        <f t="shared" ref="Y354" si="2142">ROUND((X354/C354)*H354,0)</f>
        <v>32696</v>
      </c>
      <c r="Z354" s="175">
        <f t="shared" ref="Z354" si="2143">Y354+X354</f>
        <v>1261368</v>
      </c>
      <c r="AA354" s="40">
        <f t="shared" ref="AA354" si="2144">Z354-C354</f>
        <v>100258</v>
      </c>
      <c r="AB354" s="519">
        <f>[9]RMWh!$L234</f>
        <v>1351214</v>
      </c>
      <c r="AC354" s="107">
        <f>'[7]Gov 65 &amp; 70'!$B439</f>
        <v>30</v>
      </c>
      <c r="AD354" s="4">
        <f t="shared" si="1427"/>
        <v>1370131</v>
      </c>
      <c r="AE354" s="4">
        <f t="shared" ref="AE354" si="2145">AD354-AD342</f>
        <v>3565</v>
      </c>
      <c r="AF354" s="50">
        <f t="shared" ref="AF354" si="2146">ROUND((AD354/(D354)*1000),1)</f>
        <v>995.2</v>
      </c>
      <c r="AG354" s="75">
        <f t="shared" ref="AG354" si="2147">AF354-AF342</f>
        <v>55</v>
      </c>
      <c r="AI354" s="303">
        <f t="shared" ref="AI354" si="2148">(H354/I354*1000)/G354</f>
        <v>0.62290122250019775</v>
      </c>
      <c r="AK354" s="442">
        <f t="shared" ref="AK354:AK359" si="2149">AVERAGE(AI354,AI342,AI330,AI318,AI306,AI294,AI282,AI270,AI258,AI246)</f>
        <v>0.63835327793467445</v>
      </c>
      <c r="AL354" s="417" t="s">
        <v>333</v>
      </c>
      <c r="AU354" s="4">
        <f t="shared" ref="AU354:AU376" si="2150">AU342+1</f>
        <v>2012</v>
      </c>
      <c r="AV354" s="4">
        <f t="shared" ref="AV354:AV376" si="2151">AV342</f>
        <v>2</v>
      </c>
      <c r="AW354" s="230">
        <f>'[8]RES 62 &amp; 67'!$S439</f>
        <v>87.7</v>
      </c>
      <c r="AX354" s="200">
        <f t="shared" si="306"/>
        <v>59.2</v>
      </c>
      <c r="AY354" s="203">
        <f t="shared" ref="AY354" si="2152">AX354-AW354</f>
        <v>-28.5</v>
      </c>
      <c r="AZ354" s="230">
        <f>'[8]RES 62 &amp; 67'!$J439</f>
        <v>57.4</v>
      </c>
      <c r="BA354" s="183">
        <f t="shared" si="307"/>
        <v>97.8</v>
      </c>
      <c r="BB354" s="429">
        <f t="shared" ref="BB354" si="2153">BA354-AZ354</f>
        <v>40.4</v>
      </c>
      <c r="BC354" s="206">
        <f t="shared" si="2112"/>
        <v>-59.508000000000003</v>
      </c>
      <c r="BD354" s="206">
        <f t="shared" si="2113"/>
        <v>10.032</v>
      </c>
      <c r="BE354" s="206">
        <f t="shared" ref="BE354" si="2154">BC354+BD354</f>
        <v>-49.475999999999999</v>
      </c>
      <c r="BF354" s="207">
        <f t="shared" si="2115"/>
        <v>108.27200000000001</v>
      </c>
      <c r="BG354" s="219">
        <f t="shared" ref="BG354" si="2155">ROUND(BF354+BE354,1)</f>
        <v>58.8</v>
      </c>
      <c r="BH354" s="4">
        <f t="shared" si="569"/>
        <v>2012</v>
      </c>
      <c r="BI354" s="4">
        <f t="shared" si="570"/>
        <v>2</v>
      </c>
      <c r="BJ354" s="108">
        <f>C354+[4]MWh!$AJ188</f>
        <v>1114977.3420307909</v>
      </c>
      <c r="BK354" s="108">
        <f t="shared" ref="BK354" si="2156">(H354/C354)*BJ354</f>
        <v>29670.375687116102</v>
      </c>
      <c r="BL354" s="108">
        <f t="shared" ref="BL354" si="2157">BJ354-BK354</f>
        <v>1085306.9663436748</v>
      </c>
      <c r="BM354" s="189">
        <f t="shared" ref="BM354" si="2158">(BL354/F354*1000)+BG354</f>
        <v>881.69797005928865</v>
      </c>
      <c r="BN354" s="6">
        <f t="shared" ref="BN354" si="2159">ROUND(BM354*F354/1000,0)</f>
        <v>1162857</v>
      </c>
      <c r="BO354" s="175">
        <f t="shared" ref="BO354" si="2160">ROUND(BN354/BL354*BK354,0)</f>
        <v>31790</v>
      </c>
      <c r="BP354" s="108">
        <f t="shared" ref="BP354" si="2161">(BN354-BL354)+(BO354-BK354)</f>
        <v>79669.657969209089</v>
      </c>
      <c r="BQ354" s="76">
        <f t="shared" ref="BQ354" si="2162">BJ354/D354*1000</f>
        <v>809.84952619628893</v>
      </c>
      <c r="BR354" s="76">
        <f t="shared" ref="BR354" si="2163">(BN354+BO354)/D354*1000</f>
        <v>867.71656288518568</v>
      </c>
      <c r="BS354" s="76">
        <f t="shared" ref="BS354" si="2164">BR354-BR342</f>
        <v>-17.374068489886099</v>
      </c>
      <c r="BT354" s="175">
        <f t="shared" ref="BT354" si="2165">(BN354+BO354)</f>
        <v>1194647</v>
      </c>
      <c r="BU354" s="108">
        <f t="shared" ref="BU354" si="2166">BT354-BT342</f>
        <v>-91757</v>
      </c>
      <c r="BV354" s="108">
        <f t="shared" ref="BV354:BV362" si="2167">BT354-BJ354-BK354</f>
        <v>49999.282282093031</v>
      </c>
      <c r="BW354" s="529">
        <f>BT354/[9]RMWh!$L234</f>
        <v>0.88412864283525783</v>
      </c>
      <c r="BX354" s="537">
        <f t="shared" ref="BX354:BX363" si="2168">AVERAGE(BW354,BW342,BW330,BW318,BW306,BW294,BW282,BW270,BW246)</f>
        <v>0.92614995317640114</v>
      </c>
      <c r="CK354" s="406">
        <v>40940</v>
      </c>
      <c r="CL354" s="50">
        <f>BP354+COML!BV354+SPA!BV354</f>
        <v>59918.657969209089</v>
      </c>
      <c r="CM354" s="181">
        <f>'[14]2012'!$D33</f>
        <v>137557</v>
      </c>
      <c r="CN354" s="407">
        <f t="shared" ref="CN354" si="2169">CL354-CM354</f>
        <v>-77638.342030790911</v>
      </c>
      <c r="CO354" s="50">
        <f>'[2]FPC wSEB'!$R451</f>
        <v>2798820</v>
      </c>
      <c r="CP354" s="50">
        <f>'[2]FPC wSEB'!$C451-SUM('[2]FPC wSEB'!$K451:$L451)</f>
        <v>2498544</v>
      </c>
      <c r="CQ354" s="50">
        <f>'[2]FPC wSEB'!$T451-'[2]FPC wSEB'!$T450</f>
        <v>-20655</v>
      </c>
      <c r="CR354" s="50">
        <f>SUM('[2]FPC wSEB'!$K451:$L451)</f>
        <v>118856</v>
      </c>
      <c r="CS354" s="50">
        <f>('[2]FPC wSEB'!$N451)-CQ354</f>
        <v>11897</v>
      </c>
      <c r="CT354" s="50">
        <f>'[2]FPC wSEB'!$P451</f>
        <v>10781</v>
      </c>
      <c r="CU354" s="50">
        <f>'[2]FPC wSEB'!$Q451</f>
        <v>179397</v>
      </c>
      <c r="CV354" s="115">
        <f t="shared" ref="CV354" si="2170">CO354-SUM(CP354:CU354)</f>
        <v>0</v>
      </c>
      <c r="CW354" s="50">
        <f t="shared" ref="CW354" si="2171">CO354-CT354-CU354+CM354</f>
        <v>2746199</v>
      </c>
      <c r="CX354" s="50">
        <f t="shared" ref="CX354" si="2172">SUM(CP354:CS354)+CL354</f>
        <v>2668560.6579692089</v>
      </c>
      <c r="CY354" s="50">
        <f t="shared" ref="CY354" si="2173">CW354-CX354</f>
        <v>77638.3420307911</v>
      </c>
      <c r="CZ354" s="23"/>
      <c r="DA354" s="23"/>
      <c r="DB354" s="50">
        <f t="shared" si="1181"/>
        <v>78.614400000000018</v>
      </c>
      <c r="DC354" s="108">
        <f t="shared" si="1182"/>
        <v>935.51440000000002</v>
      </c>
      <c r="DD354" s="50">
        <f t="shared" si="1183"/>
        <v>1233835</v>
      </c>
      <c r="DE354" s="108">
        <f t="shared" si="1184"/>
        <v>32833</v>
      </c>
      <c r="DF354" s="50">
        <f t="shared" si="1185"/>
        <v>1266668</v>
      </c>
      <c r="DG354" s="23">
        <f t="shared" si="1186"/>
        <v>77</v>
      </c>
      <c r="DH354" s="500">
        <f>ROUND((([13]RUPC!$E234+DG354)*[5]RC!$E$209)/1000,0)</f>
        <v>1339871</v>
      </c>
      <c r="DI354" s="50">
        <f t="shared" si="1626"/>
        <v>-6237</v>
      </c>
      <c r="DJ354" s="23"/>
      <c r="DK354" s="23"/>
      <c r="DL354" s="23"/>
      <c r="DM354" s="23"/>
      <c r="DN354" s="23"/>
    </row>
    <row r="355" spans="1:118" ht="12.75">
      <c r="A355" s="13">
        <f t="shared" si="1963"/>
        <v>2012</v>
      </c>
      <c r="B355" s="13">
        <f t="shared" si="1964"/>
        <v>3</v>
      </c>
      <c r="C355" s="5">
        <f>'[2]FPC wSEB'!$D452</f>
        <v>1238504</v>
      </c>
      <c r="D355" s="5">
        <f>'[2]FPC wSEB'!$X452</f>
        <v>1470844</v>
      </c>
      <c r="E355" s="5">
        <f t="shared" ref="E355" si="2174">ROUND(C355-H355,0)</f>
        <v>1205907</v>
      </c>
      <c r="F355" s="5">
        <f t="shared" ref="F355" si="2175">ROUND(D355-I355,0)</f>
        <v>1409182</v>
      </c>
      <c r="G355" s="74">
        <f t="shared" ref="G355" si="2176">ROUND((E355)/F355*1000,1)</f>
        <v>855.7</v>
      </c>
      <c r="H355" s="190">
        <f>[15]ssr!C174</f>
        <v>32597</v>
      </c>
      <c r="I355" s="190">
        <f>[15]ssr!D174</f>
        <v>61662</v>
      </c>
      <c r="J355" s="230">
        <f>'[7]RES 62 &amp; 67'!$S440</f>
        <v>112.8</v>
      </c>
      <c r="K355" s="183">
        <f t="shared" si="301"/>
        <v>77.2</v>
      </c>
      <c r="L355" s="233">
        <f t="shared" ref="L355" si="2177">(K355-J355)</f>
        <v>-35.599999999999994</v>
      </c>
      <c r="M355" s="230">
        <f>'[7]RES 62 &amp; 67'!$J440</f>
        <v>45.2</v>
      </c>
      <c r="N355" s="183">
        <f t="shared" si="302"/>
        <v>82.3</v>
      </c>
      <c r="O355" s="236">
        <f t="shared" ref="O355" si="2178">(N355-M355)</f>
        <v>37.099999999999994</v>
      </c>
      <c r="P355" s="206">
        <f t="shared" si="2096"/>
        <v>-74.332799999999992</v>
      </c>
      <c r="Q355" s="208">
        <f t="shared" si="2097"/>
        <v>12.531199999999997</v>
      </c>
      <c r="R355" s="467">
        <f t="shared" ref="R355" si="2179">P355+Q355</f>
        <v>-61.801599999999993</v>
      </c>
      <c r="S355" s="470">
        <f t="shared" si="2099"/>
        <v>99.427999999999997</v>
      </c>
      <c r="T355" s="425">
        <f t="shared" ref="T355" si="2180">ROUND((R355+S355),1)</f>
        <v>37.6</v>
      </c>
      <c r="U355" s="579">
        <f>[5]RC!$E235</f>
        <v>1463879</v>
      </c>
      <c r="V355" s="447">
        <v>40969</v>
      </c>
      <c r="W355" s="191">
        <f t="shared" ref="W355" si="2181">(G355+T355)</f>
        <v>893.30000000000007</v>
      </c>
      <c r="X355" s="73">
        <f t="shared" ref="X355" si="2182">ROUND(W355*F355/1000,0)</f>
        <v>1258822</v>
      </c>
      <c r="Y355" s="187">
        <f t="shared" ref="Y355" si="2183">ROUND((X355/C355)*H355,0)</f>
        <v>33132</v>
      </c>
      <c r="Z355" s="175">
        <f t="shared" ref="Z355" si="2184">Y355+X355</f>
        <v>1291954</v>
      </c>
      <c r="AA355" s="40">
        <f t="shared" ref="AA355" si="2185">Z355-C355</f>
        <v>53450</v>
      </c>
      <c r="AB355" s="519">
        <f>[9]RMWh!$L235</f>
        <v>1287572</v>
      </c>
      <c r="AC355" s="107">
        <f>'[7]Gov 65 &amp; 70'!$B440</f>
        <v>29.4</v>
      </c>
      <c r="AD355" s="4">
        <f t="shared" si="1427"/>
        <v>1332243</v>
      </c>
      <c r="AE355" s="4">
        <f t="shared" ref="AE355" si="2186">AD355-AD343</f>
        <v>27854</v>
      </c>
      <c r="AF355" s="50">
        <f t="shared" ref="AF355" si="2187">ROUND((AD355/(D355)*1000),1)</f>
        <v>905.8</v>
      </c>
      <c r="AG355" s="75">
        <f t="shared" ref="AG355" si="2188">AF355-AF343</f>
        <v>-42.300000000000068</v>
      </c>
      <c r="AI355" s="303">
        <f t="shared" ref="AI355" si="2189">(H355/I355*1000)/G355</f>
        <v>0.61778661352060515</v>
      </c>
      <c r="AK355" s="442">
        <f t="shared" si="2149"/>
        <v>0.62485525246600426</v>
      </c>
      <c r="AU355" s="4">
        <f t="shared" si="2150"/>
        <v>2012</v>
      </c>
      <c r="AV355" s="4">
        <f t="shared" si="2151"/>
        <v>3</v>
      </c>
      <c r="AW355" s="230">
        <f>'[8]RES 62 &amp; 67'!$S440</f>
        <v>194.7</v>
      </c>
      <c r="AX355" s="200">
        <f t="shared" si="306"/>
        <v>105.8</v>
      </c>
      <c r="AY355" s="203">
        <f t="shared" ref="AY355" si="2190">AX355-AW355</f>
        <v>-88.899999999999991</v>
      </c>
      <c r="AZ355" s="230">
        <f>'[8]RES 62 &amp; 67'!$J440</f>
        <v>12.1</v>
      </c>
      <c r="BA355" s="183">
        <f t="shared" si="307"/>
        <v>49.9</v>
      </c>
      <c r="BB355" s="429">
        <f t="shared" ref="BB355" si="2191">BA355-AZ355</f>
        <v>37.799999999999997</v>
      </c>
      <c r="BC355" s="206">
        <f t="shared" si="2112"/>
        <v>-185.6232</v>
      </c>
      <c r="BD355" s="206">
        <f t="shared" si="2113"/>
        <v>31.292799999999996</v>
      </c>
      <c r="BE355" s="206">
        <f t="shared" ref="BE355" si="2192">BC355+BD355</f>
        <v>-154.3304</v>
      </c>
      <c r="BF355" s="207">
        <f t="shared" si="2115"/>
        <v>101.304</v>
      </c>
      <c r="BG355" s="219">
        <f t="shared" ref="BG355" si="2193">ROUND(BF355+BE355,1)</f>
        <v>-53</v>
      </c>
      <c r="BH355" s="4">
        <f t="shared" si="569"/>
        <v>2012</v>
      </c>
      <c r="BI355" s="4">
        <f t="shared" si="570"/>
        <v>3</v>
      </c>
      <c r="BJ355" s="108">
        <f>C355+[4]MWh!$AJ189</f>
        <v>1344283.891856466</v>
      </c>
      <c r="BK355" s="108">
        <f t="shared" ref="BK355" si="2194">(H355/C355)*BJ355</f>
        <v>35381.090430749697</v>
      </c>
      <c r="BL355" s="108">
        <f t="shared" ref="BL355" si="2195">BJ355-BK355</f>
        <v>1308902.8014257164</v>
      </c>
      <c r="BM355" s="189">
        <f t="shared" ref="BM355" si="2196">(BL355/F355*1000)+BG355</f>
        <v>875.83871737342406</v>
      </c>
      <c r="BN355" s="6">
        <f t="shared" ref="BN355" si="2197">ROUND(BM355*F355/1000,0)</f>
        <v>1234216</v>
      </c>
      <c r="BO355" s="175">
        <f t="shared" ref="BO355" si="2198">ROUND(BN355/BL355*BK355,0)</f>
        <v>33362</v>
      </c>
      <c r="BP355" s="108">
        <f t="shared" ref="BP355" si="2199">(BN355-BL355)+(BO355-BK355)</f>
        <v>-76705.891856466071</v>
      </c>
      <c r="BQ355" s="76">
        <f t="shared" ref="BQ355" si="2200">BJ355/D355*1000</f>
        <v>913.95409156679148</v>
      </c>
      <c r="BR355" s="76">
        <f t="shared" ref="BR355" si="2201">(BN355+BO355)/D355*1000</f>
        <v>861.80315519524845</v>
      </c>
      <c r="BS355" s="76">
        <f t="shared" ref="BS355" si="2202">BR355-BR343</f>
        <v>23.61134354711146</v>
      </c>
      <c r="BT355" s="175">
        <f t="shared" ref="BT355" si="2203">(BN355+BO355)</f>
        <v>1267578</v>
      </c>
      <c r="BU355" s="108">
        <f t="shared" ref="BU355" si="2204">BT355-BT343</f>
        <v>114387</v>
      </c>
      <c r="BV355" s="108">
        <f t="shared" si="2167"/>
        <v>-112086.98228721565</v>
      </c>
      <c r="BW355" s="529">
        <f>BT355/[9]RMWh!$L235</f>
        <v>0.98447154799886916</v>
      </c>
      <c r="BX355" s="537">
        <f t="shared" si="2168"/>
        <v>0.99816483237880882</v>
      </c>
      <c r="CK355" s="406">
        <v>40969</v>
      </c>
      <c r="CL355" s="50">
        <f>BP355+COML!BV355+SPA!BV355</f>
        <v>-155201.89185646607</v>
      </c>
      <c r="CM355" s="181">
        <f>'[14]2012'!$D34</f>
        <v>-54202</v>
      </c>
      <c r="CN355" s="407">
        <f t="shared" ref="CN355" si="2205">CL355-CM355</f>
        <v>-100999.89185646607</v>
      </c>
      <c r="CO355" s="50">
        <f>'[2]FPC wSEB'!$R452</f>
        <v>3127997</v>
      </c>
      <c r="CP355" s="50">
        <f>'[2]FPC wSEB'!$C452-SUM('[2]FPC wSEB'!$K452:$L452)</f>
        <v>2606590</v>
      </c>
      <c r="CQ355" s="50">
        <f>'[2]FPC wSEB'!$T452-'[2]FPC wSEB'!$T451</f>
        <v>188807</v>
      </c>
      <c r="CR355" s="50">
        <f>SUM('[2]FPC wSEB'!$K452:$L452)</f>
        <v>123187</v>
      </c>
      <c r="CS355" s="50">
        <f>('[2]FPC wSEB'!$N452)-CQ355</f>
        <v>2802</v>
      </c>
      <c r="CT355" s="50">
        <f>'[2]FPC wSEB'!$P452</f>
        <v>11856</v>
      </c>
      <c r="CU355" s="50">
        <f>'[2]FPC wSEB'!$Q452</f>
        <v>194755</v>
      </c>
      <c r="CV355" s="115">
        <f t="shared" ref="CV355" si="2206">CO355-SUM(CP355:CU355)</f>
        <v>0</v>
      </c>
      <c r="CW355" s="50">
        <f t="shared" ref="CW355" si="2207">CO355-CT355-CU355+CM355</f>
        <v>2867184</v>
      </c>
      <c r="CX355" s="50">
        <f t="shared" ref="CX355" si="2208">SUM(CP355:CS355)+CL355</f>
        <v>2766184.108143534</v>
      </c>
      <c r="CY355" s="50">
        <f t="shared" ref="CY355" si="2209">CW355-CX355</f>
        <v>100999.89185646595</v>
      </c>
      <c r="CZ355" s="23"/>
      <c r="DA355" s="23"/>
      <c r="DB355" s="50">
        <f t="shared" si="1181"/>
        <v>37.503299999999996</v>
      </c>
      <c r="DC355" s="108">
        <f t="shared" si="1182"/>
        <v>893.20330000000001</v>
      </c>
      <c r="DD355" s="50">
        <f t="shared" si="1183"/>
        <v>1258686</v>
      </c>
      <c r="DE355" s="108">
        <f t="shared" si="1184"/>
        <v>33128</v>
      </c>
      <c r="DF355" s="50">
        <f t="shared" si="1185"/>
        <v>1291814</v>
      </c>
      <c r="DG355" s="23">
        <f t="shared" si="1186"/>
        <v>36</v>
      </c>
      <c r="DH355" s="500">
        <f>ROUND((([13]RUPC!$E235+DG355)*[5]RC!$E$209)/1000,0)</f>
        <v>1268027</v>
      </c>
      <c r="DI355" s="50">
        <f t="shared" si="1626"/>
        <v>21431</v>
      </c>
      <c r="DJ355" s="23"/>
      <c r="DK355" s="23"/>
      <c r="DL355" s="23"/>
      <c r="DM355" s="23"/>
      <c r="DN355" s="23"/>
    </row>
    <row r="356" spans="1:118" ht="12.75">
      <c r="A356" s="13">
        <f t="shared" si="1963"/>
        <v>2012</v>
      </c>
      <c r="B356" s="13">
        <f t="shared" si="1964"/>
        <v>4</v>
      </c>
      <c r="C356" s="5">
        <f>'[2]FPC wSEB'!$D453</f>
        <v>1331543</v>
      </c>
      <c r="D356" s="5">
        <f>'[2]FPC wSEB'!$X453</f>
        <v>1449157</v>
      </c>
      <c r="E356" s="5">
        <f t="shared" ref="E356" si="2210">ROUND(C356-H356,0)</f>
        <v>1300617</v>
      </c>
      <c r="F356" s="5">
        <f t="shared" ref="F356" si="2211">ROUND(D356-I356,0)</f>
        <v>1388827</v>
      </c>
      <c r="G356" s="74">
        <f t="shared" ref="G356" si="2212">ROUND((E356)/F356*1000,1)</f>
        <v>936.5</v>
      </c>
      <c r="H356" s="190">
        <f>[15]ssr!C175</f>
        <v>30926</v>
      </c>
      <c r="I356" s="190">
        <f>[15]ssr!D175</f>
        <v>60330</v>
      </c>
      <c r="J356" s="230">
        <f>'[7]RES 62 &amp; 67'!$S441</f>
        <v>208.7</v>
      </c>
      <c r="K356" s="183">
        <f t="shared" si="301"/>
        <v>138.1</v>
      </c>
      <c r="L356" s="233">
        <f t="shared" ref="L356" si="2213">(K356-J356)</f>
        <v>-70.599999999999994</v>
      </c>
      <c r="M356" s="230">
        <f>'[7]RES 62 &amp; 67'!$J441</f>
        <v>6.7</v>
      </c>
      <c r="N356" s="183">
        <f t="shared" si="302"/>
        <v>37.299999999999997</v>
      </c>
      <c r="O356" s="236">
        <f t="shared" ref="O356" si="2214">(N356-M356)</f>
        <v>30.599999999999998</v>
      </c>
      <c r="P356" s="206">
        <f t="shared" si="2096"/>
        <v>-147.4128</v>
      </c>
      <c r="Q356" s="208">
        <f t="shared" si="2097"/>
        <v>24.851199999999995</v>
      </c>
      <c r="R356" s="467">
        <f t="shared" ref="R356" si="2215">P356+Q356</f>
        <v>-122.56160000000001</v>
      </c>
      <c r="S356" s="470">
        <f t="shared" si="2099"/>
        <v>82.007999999999996</v>
      </c>
      <c r="T356" s="425">
        <f t="shared" ref="T356" si="2216">ROUND((R356+S356),1)</f>
        <v>-40.6</v>
      </c>
      <c r="U356" s="579">
        <f>[5]RC!$E236</f>
        <v>1464002</v>
      </c>
      <c r="V356" s="447">
        <v>41000</v>
      </c>
      <c r="W356" s="191">
        <f t="shared" ref="W356" si="2217">(G356+T356)</f>
        <v>895.9</v>
      </c>
      <c r="X356" s="73">
        <f t="shared" ref="X356" si="2218">ROUND(W356*F356/1000,0)</f>
        <v>1244250</v>
      </c>
      <c r="Y356" s="187">
        <f t="shared" ref="Y356" si="2219">ROUND((X356/C356)*H356,0)</f>
        <v>28899</v>
      </c>
      <c r="Z356" s="175">
        <f t="shared" ref="Z356" si="2220">Y356+X356</f>
        <v>1273149</v>
      </c>
      <c r="AA356" s="40">
        <f t="shared" ref="AA356" si="2221">Z356-C356</f>
        <v>-58394</v>
      </c>
      <c r="AB356" s="519">
        <f>[9]RMWh!$L236</f>
        <v>1278805</v>
      </c>
      <c r="AC356" s="107">
        <f>'[7]Gov 65 &amp; 70'!$B441</f>
        <v>30.25</v>
      </c>
      <c r="AD356" s="4">
        <f t="shared" si="1427"/>
        <v>1285992</v>
      </c>
      <c r="AE356" s="4">
        <f t="shared" ref="AE356" si="2222">AD356-AD344</f>
        <v>-22741</v>
      </c>
      <c r="AF356" s="50">
        <f t="shared" ref="AF356" si="2223">ROUND((AD356/(D356)*1000),1)</f>
        <v>887.4</v>
      </c>
      <c r="AG356" s="75">
        <f t="shared" ref="AG356" si="2224">AF356-AF344</f>
        <v>-18.700000000000045</v>
      </c>
      <c r="AI356" s="303">
        <f t="shared" ref="AI356" si="2225">(H356/I356*1000)/G356</f>
        <v>0.54737208389982528</v>
      </c>
      <c r="AK356" s="442">
        <f t="shared" si="2149"/>
        <v>0.53442379914879401</v>
      </c>
      <c r="AU356" s="4">
        <f t="shared" si="2150"/>
        <v>2012</v>
      </c>
      <c r="AV356" s="4">
        <f t="shared" si="2151"/>
        <v>4</v>
      </c>
      <c r="AW356" s="230">
        <f>'[8]RES 62 &amp; 67'!$S441</f>
        <v>210.1</v>
      </c>
      <c r="AX356" s="200">
        <f t="shared" si="306"/>
        <v>181.7</v>
      </c>
      <c r="AY356" s="203">
        <f t="shared" ref="AY356" si="2226">AX356-AW356</f>
        <v>-28.400000000000006</v>
      </c>
      <c r="AZ356" s="230">
        <f>'[8]RES 62 &amp; 67'!$J441</f>
        <v>8.6</v>
      </c>
      <c r="BA356" s="183">
        <f t="shared" si="307"/>
        <v>21.5</v>
      </c>
      <c r="BB356" s="429">
        <f t="shared" ref="BB356" si="2227">BA356-AZ356</f>
        <v>12.9</v>
      </c>
      <c r="BC356" s="206">
        <f t="shared" si="2112"/>
        <v>-59.299200000000013</v>
      </c>
      <c r="BD356" s="206">
        <f t="shared" si="2113"/>
        <v>4.9984000000000011</v>
      </c>
      <c r="BE356" s="206">
        <f t="shared" ref="BE356" si="2228">BC356+BD356</f>
        <v>-54.30080000000001</v>
      </c>
      <c r="BF356" s="207">
        <f t="shared" si="2115"/>
        <v>34.572000000000003</v>
      </c>
      <c r="BG356" s="219">
        <f t="shared" ref="BG356" si="2229">ROUND(BF356+BE356,1)</f>
        <v>-19.7</v>
      </c>
      <c r="BH356" s="4">
        <f t="shared" si="569"/>
        <v>2012</v>
      </c>
      <c r="BI356" s="4">
        <f t="shared" si="570"/>
        <v>4</v>
      </c>
      <c r="BJ356" s="108">
        <f>C356+[4]MWh!$AJ190</f>
        <v>1355668.9338453051</v>
      </c>
      <c r="BK356" s="108">
        <f t="shared" ref="BK356" si="2230">(H356/C356)*BJ356</f>
        <v>31486.341370950773</v>
      </c>
      <c r="BL356" s="108">
        <f t="shared" ref="BL356" si="2231">BJ356-BK356</f>
        <v>1324182.5924743544</v>
      </c>
      <c r="BM356" s="189">
        <f t="shared" ref="BM356" si="2232">(BL356/F356*1000)+BG356</f>
        <v>933.7539524896581</v>
      </c>
      <c r="BN356" s="6">
        <f t="shared" ref="BN356" si="2233">ROUND(BM356*F356/1000,0)</f>
        <v>1296823</v>
      </c>
      <c r="BO356" s="175">
        <f t="shared" ref="BO356" si="2234">ROUND(BN356/BL356*BK356,0)</f>
        <v>30836</v>
      </c>
      <c r="BP356" s="108">
        <f t="shared" ref="BP356" si="2235">(BN356-BL356)+(BO356-BK356)</f>
        <v>-28009.933845305204</v>
      </c>
      <c r="BQ356" s="76">
        <f t="shared" ref="BQ356" si="2236">BJ356/D356*1000</f>
        <v>935.48796565541556</v>
      </c>
      <c r="BR356" s="76">
        <f t="shared" ref="BR356" si="2237">(BN356+BO356)/D356*1000</f>
        <v>916.15953274903961</v>
      </c>
      <c r="BS356" s="76">
        <f t="shared" ref="BS356" si="2238">BR356-BR344</f>
        <v>76.117687921071479</v>
      </c>
      <c r="BT356" s="175">
        <f t="shared" ref="BT356" si="2239">(BN356+BO356)</f>
        <v>1327659</v>
      </c>
      <c r="BU356" s="108">
        <f t="shared" ref="BU356" si="2240">BT356-BT344</f>
        <v>114316</v>
      </c>
      <c r="BV356" s="108">
        <f t="shared" si="2167"/>
        <v>-59496.27521625589</v>
      </c>
      <c r="BW356" s="529">
        <f>BT356/[9]RMWh!$L236</f>
        <v>1.0382028534452086</v>
      </c>
      <c r="BX356" s="537">
        <f t="shared" si="2168"/>
        <v>1.0076557688368073</v>
      </c>
      <c r="CK356" s="406">
        <v>41000</v>
      </c>
      <c r="CL356" s="50">
        <f>BP356+COML!BV356+SPA!BV356</f>
        <v>-53342.933845305204</v>
      </c>
      <c r="CM356" s="181">
        <f>'[14]2012'!$D35</f>
        <v>-43116</v>
      </c>
      <c r="CN356" s="407">
        <f t="shared" ref="CN356" si="2241">CL356-CM356</f>
        <v>-10226.933845305204</v>
      </c>
      <c r="CO356" s="50">
        <f>'[2]FPC wSEB'!$R453</f>
        <v>3164047</v>
      </c>
      <c r="CP356" s="50">
        <f>'[2]FPC wSEB'!$C453-SUM('[2]FPC wSEB'!$K453:$L453)</f>
        <v>2796555</v>
      </c>
      <c r="CQ356" s="50">
        <f>'[2]FPC wSEB'!$T453-'[2]FPC wSEB'!$T452</f>
        <v>47061</v>
      </c>
      <c r="CR356" s="50">
        <f>SUM('[2]FPC wSEB'!$K453:$L453)</f>
        <v>130110</v>
      </c>
      <c r="CS356" s="50">
        <f>('[2]FPC wSEB'!$N453)-CQ356</f>
        <v>-13128</v>
      </c>
      <c r="CT356" s="50">
        <f>'[2]FPC wSEB'!$P453</f>
        <v>15061</v>
      </c>
      <c r="CU356" s="50">
        <f>'[2]FPC wSEB'!$Q453</f>
        <v>188388</v>
      </c>
      <c r="CV356" s="115">
        <f t="shared" ref="CV356" si="2242">CO356-SUM(CP356:CU356)</f>
        <v>0</v>
      </c>
      <c r="CW356" s="50">
        <f t="shared" ref="CW356" si="2243">CO356-CT356-CU356+CM356</f>
        <v>2917482</v>
      </c>
      <c r="CX356" s="50">
        <f t="shared" ref="CX356" si="2244">SUM(CP356:CS356)+CL356</f>
        <v>2907255.0661546947</v>
      </c>
      <c r="CY356" s="50">
        <f t="shared" ref="CY356" si="2245">CW356-CX356</f>
        <v>10226.93384530535</v>
      </c>
      <c r="CZ356" s="23"/>
      <c r="DA356" s="23"/>
      <c r="DB356" s="50">
        <f t="shared" si="1181"/>
        <v>-48.490199999999987</v>
      </c>
      <c r="DC356" s="108">
        <f t="shared" si="1182"/>
        <v>888.00980000000004</v>
      </c>
      <c r="DD356" s="50">
        <f t="shared" si="1183"/>
        <v>1233292</v>
      </c>
      <c r="DE356" s="108">
        <f t="shared" si="1184"/>
        <v>28644</v>
      </c>
      <c r="DF356" s="50">
        <f t="shared" si="1185"/>
        <v>1261936</v>
      </c>
      <c r="DG356" s="23">
        <f t="shared" si="1186"/>
        <v>-48</v>
      </c>
      <c r="DH356" s="500">
        <f>ROUND((([13]RUPC!$E236+DG356)*[5]RC!$E$209)/1000,0)</f>
        <v>1248662</v>
      </c>
      <c r="DI356" s="50">
        <f t="shared" si="1626"/>
        <v>-5051</v>
      </c>
      <c r="DJ356" s="23"/>
      <c r="DK356" s="23"/>
      <c r="DL356" s="23"/>
      <c r="DM356" s="23"/>
      <c r="DN356" s="23"/>
    </row>
    <row r="357" spans="1:118" ht="12.75">
      <c r="A357" s="13">
        <f t="shared" si="1963"/>
        <v>2012</v>
      </c>
      <c r="B357" s="13">
        <f t="shared" si="1964"/>
        <v>5</v>
      </c>
      <c r="C357" s="5">
        <f>'[2]FPC wSEB'!$D454</f>
        <v>1441848</v>
      </c>
      <c r="D357" s="5">
        <f>'[2]FPC wSEB'!$X454</f>
        <v>1470737</v>
      </c>
      <c r="E357" s="5">
        <f t="shared" ref="E357" si="2246">ROUND(C357-H357,0)</f>
        <v>1417334</v>
      </c>
      <c r="F357" s="5">
        <f t="shared" ref="F357" si="2247">ROUND(D357-I357,0)</f>
        <v>1408611</v>
      </c>
      <c r="G357" s="74">
        <f t="shared" ref="G357" si="2248">ROUND((E357)/F357*1000,1)</f>
        <v>1006.2</v>
      </c>
      <c r="H357" s="190">
        <f>[15]ssr!C176</f>
        <v>24514</v>
      </c>
      <c r="I357" s="190">
        <f>[15]ssr!D176</f>
        <v>62126</v>
      </c>
      <c r="J357" s="230">
        <f>'[7]RES 62 &amp; 67'!$S442</f>
        <v>242.3</v>
      </c>
      <c r="K357" s="183">
        <f t="shared" si="301"/>
        <v>224.4</v>
      </c>
      <c r="L357" s="233">
        <f t="shared" ref="L357" si="2249">(K357-J357)</f>
        <v>-17.900000000000006</v>
      </c>
      <c r="M357" s="230">
        <f>'[7]RES 62 &amp; 67'!$J442</f>
        <v>7.3</v>
      </c>
      <c r="N357" s="183">
        <f t="shared" si="302"/>
        <v>11.2</v>
      </c>
      <c r="O357" s="236">
        <f t="shared" ref="O357" si="2250">(N357-M357)</f>
        <v>3.8999999999999995</v>
      </c>
      <c r="P357" s="206">
        <f t="shared" si="2096"/>
        <v>-37.375200000000014</v>
      </c>
      <c r="Q357" s="208">
        <f t="shared" si="2097"/>
        <v>0</v>
      </c>
      <c r="R357" s="467">
        <f t="shared" ref="R357" si="2251">P357+Q357</f>
        <v>-37.375200000000014</v>
      </c>
      <c r="S357" s="470">
        <f t="shared" si="2099"/>
        <v>10.452</v>
      </c>
      <c r="T357" s="425">
        <f t="shared" ref="T357" si="2252">ROUND((R357+S357),1)</f>
        <v>-26.9</v>
      </c>
      <c r="U357" s="579">
        <f>[5]RC!$E237</f>
        <v>1463086</v>
      </c>
      <c r="V357" s="447">
        <v>41030</v>
      </c>
      <c r="W357" s="191">
        <f t="shared" ref="W357" si="2253">(G357+T357)</f>
        <v>979.30000000000007</v>
      </c>
      <c r="X357" s="73">
        <f t="shared" ref="X357" si="2254">ROUND(W357*F357/1000,0)</f>
        <v>1379453</v>
      </c>
      <c r="Y357" s="187">
        <f t="shared" ref="Y357" si="2255">ROUND((X357/C357)*H357,0)</f>
        <v>23453</v>
      </c>
      <c r="Z357" s="175">
        <f t="shared" ref="Z357" si="2256">Y357+X357</f>
        <v>1402906</v>
      </c>
      <c r="AA357" s="40">
        <f t="shared" ref="AA357" si="2257">Z357-C357</f>
        <v>-38942</v>
      </c>
      <c r="AB357" s="519">
        <f>[9]RMWh!$L237</f>
        <v>1386218</v>
      </c>
      <c r="AC357" s="107">
        <f>'[7]Gov 65 &amp; 70'!$B442</f>
        <v>29.95</v>
      </c>
      <c r="AD357" s="4">
        <f t="shared" si="1427"/>
        <v>1407972</v>
      </c>
      <c r="AE357" s="4">
        <f t="shared" ref="AE357" si="2258">AD357-AD345</f>
        <v>64248</v>
      </c>
      <c r="AF357" s="50">
        <f t="shared" ref="AF357" si="2259">ROUND((AD357/(D357)*1000),1)</f>
        <v>957.3</v>
      </c>
      <c r="AG357" s="75">
        <f t="shared" ref="AG357" si="2260">AF357-AF345</f>
        <v>33.099999999999909</v>
      </c>
      <c r="AI357" s="303">
        <f t="shared" ref="AI357" si="2261">(H357/I357*1000)/G357</f>
        <v>0.39215384399103309</v>
      </c>
      <c r="AK357" s="442">
        <f t="shared" si="2149"/>
        <v>0.35517028435765152</v>
      </c>
      <c r="AU357" s="4">
        <f t="shared" si="2150"/>
        <v>2012</v>
      </c>
      <c r="AV357" s="4">
        <f t="shared" si="2151"/>
        <v>5</v>
      </c>
      <c r="AW357" s="230">
        <f>'[8]RES 62 &amp; 67'!$S442</f>
        <v>373.4</v>
      </c>
      <c r="AX357" s="200">
        <f t="shared" si="306"/>
        <v>336.7</v>
      </c>
      <c r="AY357" s="203">
        <f t="shared" ref="AY357" si="2262">AX357-AW357</f>
        <v>-36.699999999999989</v>
      </c>
      <c r="AZ357" s="230">
        <f>'[8]RES 62 &amp; 67'!$J442</f>
        <v>0.3</v>
      </c>
      <c r="BA357" s="183">
        <f t="shared" si="307"/>
        <v>2.1</v>
      </c>
      <c r="BB357" s="429">
        <f t="shared" ref="BB357" si="2263">BA357-AZ357</f>
        <v>1.8</v>
      </c>
      <c r="BC357" s="206">
        <f t="shared" si="2112"/>
        <v>-76.629599999999982</v>
      </c>
      <c r="BD357" s="206">
        <f t="shared" si="2113"/>
        <v>0</v>
      </c>
      <c r="BE357" s="206">
        <f t="shared" ref="BE357" si="2264">BC357+BD357</f>
        <v>-76.629599999999982</v>
      </c>
      <c r="BF357" s="207">
        <f t="shared" si="2115"/>
        <v>4.8240000000000007</v>
      </c>
      <c r="BG357" s="219">
        <f t="shared" ref="BG357" si="2265">ROUND(BF357+BE357,1)</f>
        <v>-71.8</v>
      </c>
      <c r="BH357" s="4">
        <f t="shared" si="569"/>
        <v>2012</v>
      </c>
      <c r="BI357" s="4">
        <f t="shared" si="570"/>
        <v>5</v>
      </c>
      <c r="BJ357" s="108">
        <f>C357+[4]MWh!$AJ191</f>
        <v>1684671.6552341436</v>
      </c>
      <c r="BK357" s="108">
        <f t="shared" ref="BK357" si="2266">(H357/C357)*BJ357</f>
        <v>28642.437314064864</v>
      </c>
      <c r="BL357" s="108">
        <f t="shared" ref="BL357" si="2267">BJ357-BK357</f>
        <v>1656029.2179200787</v>
      </c>
      <c r="BM357" s="189">
        <f t="shared" ref="BM357" si="2268">(BL357/F357*1000)+BG357</f>
        <v>1103.8469443445201</v>
      </c>
      <c r="BN357" s="6">
        <f t="shared" ref="BN357" si="2269">ROUND(BM357*F357/1000,0)</f>
        <v>1554891</v>
      </c>
      <c r="BO357" s="175">
        <f t="shared" ref="BO357" si="2270">ROUND(BN357/BL357*BK357,0)</f>
        <v>26893</v>
      </c>
      <c r="BP357" s="108">
        <f t="shared" ref="BP357" si="2271">(BN357-BL357)+(BO357-BK357)</f>
        <v>-102887.65523414353</v>
      </c>
      <c r="BQ357" s="76">
        <f t="shared" ref="BQ357" si="2272">BJ357/D357*1000</f>
        <v>1145.4608507395569</v>
      </c>
      <c r="BR357" s="76">
        <f t="shared" ref="BR357" si="2273">(BN357+BO357)/D357*1000</f>
        <v>1075.5043219827883</v>
      </c>
      <c r="BS357" s="76">
        <f t="shared" ref="BS357" si="2274">BR357-BR345</f>
        <v>-74.750333518699108</v>
      </c>
      <c r="BT357" s="175">
        <f t="shared" ref="BT357" si="2275">(BN357+BO357)</f>
        <v>1581784</v>
      </c>
      <c r="BU357" s="108">
        <f t="shared" ref="BU357" si="2276">BT357-BT345</f>
        <v>-90600</v>
      </c>
      <c r="BV357" s="108">
        <f t="shared" si="2167"/>
        <v>-131530.09254820846</v>
      </c>
      <c r="BW357" s="529">
        <f>BT357/[9]RMWh!$L237</f>
        <v>1.1410788202144251</v>
      </c>
      <c r="BX357" s="537">
        <f t="shared" si="2168"/>
        <v>1.1848597422665386</v>
      </c>
      <c r="CK357" s="406">
        <v>41030</v>
      </c>
      <c r="CL357" s="50">
        <f>BP357+COML!BV357+SPA!BV357</f>
        <v>-138352.65523414355</v>
      </c>
      <c r="CM357" s="181">
        <f>'[14]2012'!$D36</f>
        <v>-78388</v>
      </c>
      <c r="CN357" s="407">
        <f t="shared" ref="CN357" si="2277">CL357-CM357</f>
        <v>-59964.655234143545</v>
      </c>
      <c r="CO357" s="50">
        <f>'[2]FPC wSEB'!$R454</f>
        <v>3780221</v>
      </c>
      <c r="CP357" s="50">
        <f>'[2]FPC wSEB'!$C454-SUM('[2]FPC wSEB'!$K454:$L454)</f>
        <v>2936035</v>
      </c>
      <c r="CQ357" s="50">
        <f>'[2]FPC wSEB'!$T454-'[2]FPC wSEB'!$T453</f>
        <v>440373</v>
      </c>
      <c r="CR357" s="50">
        <f>SUM('[2]FPC wSEB'!$K454:$L454)</f>
        <v>118790</v>
      </c>
      <c r="CS357" s="50">
        <f>('[2]FPC wSEB'!$N454)-CQ357</f>
        <v>28566</v>
      </c>
      <c r="CT357" s="50">
        <f>'[2]FPC wSEB'!$P454</f>
        <v>8688</v>
      </c>
      <c r="CU357" s="50">
        <f>'[2]FPC wSEB'!$Q454</f>
        <v>247769</v>
      </c>
      <c r="CV357" s="115">
        <f t="shared" ref="CV357" si="2278">CO357-SUM(CP357:CU357)</f>
        <v>0</v>
      </c>
      <c r="CW357" s="50">
        <f t="shared" ref="CW357" si="2279">CO357-CT357-CU357+CM357</f>
        <v>3445376</v>
      </c>
      <c r="CX357" s="50">
        <f t="shared" ref="CX357" si="2280">SUM(CP357:CS357)+CL357</f>
        <v>3385411.3447658564</v>
      </c>
      <c r="CY357" s="50">
        <f t="shared" ref="CY357" si="2281">CW357-CX357</f>
        <v>59964.655234143604</v>
      </c>
      <c r="CZ357" s="23"/>
      <c r="DA357" s="23"/>
      <c r="DB357" s="50">
        <f t="shared" si="1181"/>
        <v>-23.325300000000009</v>
      </c>
      <c r="DC357" s="108">
        <f t="shared" si="1182"/>
        <v>982.87470000000008</v>
      </c>
      <c r="DD357" s="50">
        <f t="shared" si="1183"/>
        <v>1384488</v>
      </c>
      <c r="DE357" s="108">
        <f t="shared" si="1184"/>
        <v>23539</v>
      </c>
      <c r="DF357" s="50">
        <f t="shared" si="1185"/>
        <v>1408027</v>
      </c>
      <c r="DG357" s="23">
        <f t="shared" si="1186"/>
        <v>-23</v>
      </c>
      <c r="DH357" s="500">
        <f>ROUND((([13]RUPC!$E237+DG357)*[5]RC!$E$209)/1000,0)</f>
        <v>1371459</v>
      </c>
      <c r="DI357" s="50">
        <f t="shared" si="1626"/>
        <v>-11405</v>
      </c>
      <c r="DJ357" s="23"/>
      <c r="DK357" s="23"/>
      <c r="DL357" s="23"/>
      <c r="DM357" s="23"/>
      <c r="DN357" s="23"/>
    </row>
    <row r="358" spans="1:118" ht="12.75">
      <c r="A358" s="13">
        <f t="shared" si="1963"/>
        <v>2012</v>
      </c>
      <c r="B358" s="13">
        <f t="shared" si="1964"/>
        <v>6</v>
      </c>
      <c r="C358" s="5">
        <f>'[2]FPC wSEB'!$D455</f>
        <v>1751800</v>
      </c>
      <c r="D358" s="5">
        <f>'[2]FPC wSEB'!$X455</f>
        <v>1464139</v>
      </c>
      <c r="E358" s="5">
        <f t="shared" ref="E358" si="2282">ROUND(C358-H358,0)</f>
        <v>1729519</v>
      </c>
      <c r="F358" s="5">
        <f t="shared" ref="F358" si="2283">ROUND(D358-I358,0)</f>
        <v>1402794</v>
      </c>
      <c r="G358" s="74">
        <f t="shared" ref="G358" si="2284">ROUND((E358)/F358*1000,1)</f>
        <v>1232.9000000000001</v>
      </c>
      <c r="H358" s="190">
        <f>[15]ssr!C177</f>
        <v>22281</v>
      </c>
      <c r="I358" s="190">
        <f>[15]ssr!D177</f>
        <v>61345</v>
      </c>
      <c r="J358" s="230">
        <f>'[7]RES 62 &amp; 67'!$S443</f>
        <v>380.4</v>
      </c>
      <c r="K358" s="183">
        <f t="shared" si="301"/>
        <v>382.8</v>
      </c>
      <c r="L358" s="233">
        <f t="shared" ref="L358" si="2285">(K358-J358)</f>
        <v>2.4000000000000341</v>
      </c>
      <c r="M358" s="230">
        <f>'[7]RES 62 &amp; 67'!$J443</f>
        <v>0.3</v>
      </c>
      <c r="N358" s="183">
        <f t="shared" si="302"/>
        <v>0.9</v>
      </c>
      <c r="O358" s="236">
        <f t="shared" ref="O358" si="2286">(N358-M358)</f>
        <v>0.60000000000000009</v>
      </c>
      <c r="P358" s="206">
        <f t="shared" si="2096"/>
        <v>5.0112000000000716</v>
      </c>
      <c r="Q358" s="208">
        <f t="shared" si="2097"/>
        <v>0</v>
      </c>
      <c r="R358" s="467">
        <f t="shared" ref="R358" si="2287">P358+Q358</f>
        <v>5.0112000000000716</v>
      </c>
      <c r="S358" s="470">
        <f t="shared" si="2099"/>
        <v>1.6080000000000003</v>
      </c>
      <c r="T358" s="425">
        <f t="shared" ref="T358" si="2288">ROUND((R358+S358),1)</f>
        <v>6.6</v>
      </c>
      <c r="U358" s="579">
        <f>[5]RC!$E238</f>
        <v>1463062</v>
      </c>
      <c r="V358" s="447">
        <v>41061</v>
      </c>
      <c r="W358" s="191">
        <f t="shared" ref="W358" si="2289">(G358+T358)</f>
        <v>1239.5</v>
      </c>
      <c r="X358" s="73">
        <f t="shared" ref="X358" si="2290">ROUND(W358*F358/1000,0)</f>
        <v>1738763</v>
      </c>
      <c r="Y358" s="187">
        <f t="shared" ref="Y358" si="2291">ROUND((X358/C358)*H358,0)</f>
        <v>22115</v>
      </c>
      <c r="Z358" s="175">
        <f t="shared" ref="Z358" si="2292">Y358+X358</f>
        <v>1760878</v>
      </c>
      <c r="AA358" s="40">
        <f t="shared" ref="AA358" si="2293">Z358-C358</f>
        <v>9078</v>
      </c>
      <c r="AB358" s="519">
        <f>[9]RMWh!$L238</f>
        <v>1742494</v>
      </c>
      <c r="AC358" s="107">
        <f>'[7]Gov 65 &amp; 70'!$B443</f>
        <v>30.6</v>
      </c>
      <c r="AD358" s="4">
        <f t="shared" si="1427"/>
        <v>1732244</v>
      </c>
      <c r="AE358" s="4">
        <f t="shared" ref="AE358" si="2294">AD358-AD346</f>
        <v>-32616</v>
      </c>
      <c r="AF358" s="50">
        <f t="shared" ref="AF358" si="2295">ROUND((AD358/(D358)*1000),1)</f>
        <v>1183.0999999999999</v>
      </c>
      <c r="AG358" s="75">
        <f t="shared" ref="AG358" si="2296">AF358-AF346</f>
        <v>-30.900000000000091</v>
      </c>
      <c r="AI358" s="303">
        <f t="shared" ref="AI358" si="2297">(H358/I358*1000)/G358</f>
        <v>0.29459654912688332</v>
      </c>
      <c r="AK358" s="442">
        <f t="shared" si="2149"/>
        <v>0.25275986053332639</v>
      </c>
      <c r="AU358" s="4">
        <f t="shared" si="2150"/>
        <v>2012</v>
      </c>
      <c r="AV358" s="4">
        <f t="shared" si="2151"/>
        <v>6</v>
      </c>
      <c r="AW358" s="230">
        <f>'[8]RES 62 &amp; 67'!$S443</f>
        <v>389.8</v>
      </c>
      <c r="AX358" s="200">
        <f t="shared" si="306"/>
        <v>425.2</v>
      </c>
      <c r="AY358" s="203">
        <f t="shared" ref="AY358" si="2298">AX358-AW358</f>
        <v>35.399999999999977</v>
      </c>
      <c r="AZ358" s="230">
        <f>'[8]RES 62 &amp; 67'!$J443</f>
        <v>0</v>
      </c>
      <c r="BA358" s="183">
        <f t="shared" si="307"/>
        <v>0</v>
      </c>
      <c r="BB358" s="429">
        <f t="shared" ref="BB358" si="2299">BA358-AZ358</f>
        <v>0</v>
      </c>
      <c r="BC358" s="206">
        <f t="shared" si="2112"/>
        <v>73.915199999999956</v>
      </c>
      <c r="BD358" s="206">
        <f t="shared" si="2113"/>
        <v>0</v>
      </c>
      <c r="BE358" s="206">
        <f t="shared" ref="BE358" si="2300">BC358+BD358</f>
        <v>73.915199999999956</v>
      </c>
      <c r="BF358" s="207">
        <f t="shared" si="2115"/>
        <v>0</v>
      </c>
      <c r="BG358" s="219">
        <f t="shared" ref="BG358" si="2301">ROUND(BF358+BE358,1)</f>
        <v>73.900000000000006</v>
      </c>
      <c r="BH358" s="4">
        <f t="shared" si="569"/>
        <v>2012</v>
      </c>
      <c r="BI358" s="4">
        <f t="shared" si="570"/>
        <v>6</v>
      </c>
      <c r="BJ358" s="108">
        <f>C358+[4]MWh!$AJ192</f>
        <v>1766989.2364476151</v>
      </c>
      <c r="BK358" s="108">
        <f t="shared" ref="BK358" si="2302">(H358/C358)*BJ358</f>
        <v>22474.190648070162</v>
      </c>
      <c r="BL358" s="108">
        <f t="shared" ref="BL358" si="2303">BJ358-BK358</f>
        <v>1744515.045799545</v>
      </c>
      <c r="BM358" s="189">
        <f t="shared" ref="BM358" si="2304">(BL358/F358*1000)+BG358</f>
        <v>1317.5003046773404</v>
      </c>
      <c r="BN358" s="6">
        <f t="shared" ref="BN358" si="2305">ROUND(BM358*F358/1000,0)</f>
        <v>1848182</v>
      </c>
      <c r="BO358" s="175">
        <f t="shared" ref="BO358" si="2306">ROUND(BN358/BL358*BK358,0)</f>
        <v>23810</v>
      </c>
      <c r="BP358" s="108">
        <f t="shared" ref="BP358" si="2307">(BN358-BL358)+(BO358-BK358)</f>
        <v>105002.76355238483</v>
      </c>
      <c r="BQ358" s="76">
        <f t="shared" ref="BQ358" si="2308">BJ358/D358*1000</f>
        <v>1206.8452766080372</v>
      </c>
      <c r="BR358" s="76">
        <f t="shared" ref="BR358" si="2309">(BN358+BO358)/D358*1000</f>
        <v>1278.5616666177186</v>
      </c>
      <c r="BS358" s="76">
        <f t="shared" ref="BS358" si="2310">BR358-BR346</f>
        <v>7.8336602674903588</v>
      </c>
      <c r="BT358" s="175">
        <f t="shared" ref="BT358" si="2311">(BN358+BO358)</f>
        <v>1871992</v>
      </c>
      <c r="BU358" s="108">
        <f t="shared" ref="BU358" si="2312">BT358-BT346</f>
        <v>24600</v>
      </c>
      <c r="BV358" s="108">
        <f t="shared" si="2167"/>
        <v>82528.572904314758</v>
      </c>
      <c r="BW358" s="529">
        <f>BT358/[9]RMWh!$L238</f>
        <v>1.0743176160147467</v>
      </c>
      <c r="BX358" s="537">
        <f t="shared" si="2168"/>
        <v>1.0619073158626777</v>
      </c>
      <c r="CK358" s="406">
        <v>41061</v>
      </c>
      <c r="CL358" s="50">
        <f>BP358+COML!BV358+SPA!BV358</f>
        <v>139139.7635523848</v>
      </c>
      <c r="CM358" s="181">
        <f>'[14]2012'!$D37</f>
        <v>221216</v>
      </c>
      <c r="CN358" s="407">
        <f t="shared" ref="CN358" si="2313">CL358-CM358</f>
        <v>-82076.2364476152</v>
      </c>
      <c r="CO358" s="50">
        <f>'[2]FPC wSEB'!$R455</f>
        <v>3698921</v>
      </c>
      <c r="CP358" s="50">
        <f>'[2]FPC wSEB'!$C455-SUM('[2]FPC wSEB'!$K455:$L455)</f>
        <v>3374794</v>
      </c>
      <c r="CQ358" s="50">
        <f>'[2]FPC wSEB'!$T455-'[2]FPC wSEB'!$T454</f>
        <v>-90319</v>
      </c>
      <c r="CR358" s="50">
        <f>SUM('[2]FPC wSEB'!$K455:$L455)</f>
        <v>159314</v>
      </c>
      <c r="CS358" s="50">
        <f>('[2]FPC wSEB'!$N455)-CQ358</f>
        <v>-6384</v>
      </c>
      <c r="CT358" s="50">
        <f>'[2]FPC wSEB'!$P455</f>
        <v>8470</v>
      </c>
      <c r="CU358" s="50">
        <f>'[2]FPC wSEB'!$Q455</f>
        <v>253046</v>
      </c>
      <c r="CV358" s="115">
        <f t="shared" ref="CV358" si="2314">CO358-SUM(CP358:CU358)</f>
        <v>0</v>
      </c>
      <c r="CW358" s="50">
        <f t="shared" ref="CW358" si="2315">CO358-CT358-CU358+CM358</f>
        <v>3658621</v>
      </c>
      <c r="CX358" s="50">
        <f t="shared" ref="CX358" si="2316">SUM(CP358:CS358)+CL358</f>
        <v>3576544.7635523849</v>
      </c>
      <c r="CY358" s="50">
        <f t="shared" ref="CY358" si="2317">CW358-CX358</f>
        <v>82076.236447615083</v>
      </c>
      <c r="CZ358" s="23"/>
      <c r="DA358" s="23"/>
      <c r="DB358" s="50">
        <f t="shared" si="1181"/>
        <v>6.3378000000000654</v>
      </c>
      <c r="DC358" s="108">
        <f t="shared" si="1182"/>
        <v>1239.2378000000001</v>
      </c>
      <c r="DD358" s="50">
        <f t="shared" si="1183"/>
        <v>1738395</v>
      </c>
      <c r="DE358" s="108">
        <f t="shared" si="1184"/>
        <v>22111</v>
      </c>
      <c r="DF358" s="50">
        <f t="shared" si="1185"/>
        <v>1760506</v>
      </c>
      <c r="DG358" s="23">
        <f t="shared" si="1186"/>
        <v>6</v>
      </c>
      <c r="DH358" s="500">
        <f>ROUND((([13]RUPC!$E238+DG358)*[5]RC!$E$209)/1000,0)</f>
        <v>1717377</v>
      </c>
      <c r="DI358" s="50">
        <f t="shared" si="1626"/>
        <v>-46707</v>
      </c>
      <c r="DJ358" s="23"/>
      <c r="DK358" s="23"/>
      <c r="DL358" s="23"/>
      <c r="DM358" s="23"/>
      <c r="DN358" s="23"/>
    </row>
    <row r="359" spans="1:118" ht="12.75">
      <c r="A359" s="13">
        <f t="shared" si="1963"/>
        <v>2012</v>
      </c>
      <c r="B359" s="13">
        <f t="shared" si="1964"/>
        <v>7</v>
      </c>
      <c r="C359" s="5">
        <f>'[2]FPC wSEB'!$D456</f>
        <v>1742529</v>
      </c>
      <c r="D359" s="5">
        <f>'[2]FPC wSEB'!$X456</f>
        <v>1387578</v>
      </c>
      <c r="E359" s="5">
        <f t="shared" ref="E359" si="2318">ROUND(C359-H359,0)</f>
        <v>1721545</v>
      </c>
      <c r="F359" s="5">
        <f t="shared" ref="F359" si="2319">ROUND(D359-I359,0)</f>
        <v>1327807</v>
      </c>
      <c r="G359" s="74">
        <f t="shared" ref="G359" si="2320">ROUND((E359)/F359*1000,1)</f>
        <v>1296.5</v>
      </c>
      <c r="H359" s="190">
        <f>[15]ssr!C178</f>
        <v>20984</v>
      </c>
      <c r="I359" s="190">
        <f>[15]ssr!D178</f>
        <v>59771</v>
      </c>
      <c r="J359" s="230">
        <f>'[7]RES 62 &amp; 67'!$S444</f>
        <v>425.7</v>
      </c>
      <c r="K359" s="183">
        <f t="shared" si="301"/>
        <v>454.9</v>
      </c>
      <c r="L359" s="233">
        <f t="shared" ref="L359" si="2321">(K359-J359)</f>
        <v>29.199999999999989</v>
      </c>
      <c r="M359" s="230">
        <f>'[7]RES 62 &amp; 67'!$J444</f>
        <v>0</v>
      </c>
      <c r="N359" s="183">
        <f t="shared" si="302"/>
        <v>0</v>
      </c>
      <c r="O359" s="236">
        <f t="shared" ref="O359" si="2322">(N359-M359)</f>
        <v>0</v>
      </c>
      <c r="P359" s="206">
        <f t="shared" ref="P359" si="2323">L359*$H$10</f>
        <v>60.969599999999978</v>
      </c>
      <c r="Q359" s="208">
        <f t="shared" ref="Q359" si="2324">IF($B359=12,L359*$H$11,IF($B359&lt;5,L359*$H$11,0))</f>
        <v>0</v>
      </c>
      <c r="R359" s="467">
        <f t="shared" ref="R359" si="2325">P359+Q359</f>
        <v>60.969599999999978</v>
      </c>
      <c r="S359" s="470">
        <f t="shared" ref="S359" si="2326">O359*$H$9</f>
        <v>0</v>
      </c>
      <c r="T359" s="425">
        <f t="shared" ref="T359" si="2327">ROUND((R359+S359),1)</f>
        <v>61</v>
      </c>
      <c r="U359" s="579">
        <f>[5]RC!$E239</f>
        <v>1464991</v>
      </c>
      <c r="V359" s="447">
        <v>41091</v>
      </c>
      <c r="W359" s="191">
        <f t="shared" ref="W359" si="2328">(G359+T359)</f>
        <v>1357.5</v>
      </c>
      <c r="X359" s="73">
        <f t="shared" ref="X359" si="2329">ROUND(W359*F359/1000,0)</f>
        <v>1802498</v>
      </c>
      <c r="Y359" s="187">
        <f t="shared" ref="Y359" si="2330">ROUND((X359/C359)*H359,0)</f>
        <v>21706</v>
      </c>
      <c r="Z359" s="175">
        <f t="shared" ref="Z359" si="2331">Y359+X359</f>
        <v>1824204</v>
      </c>
      <c r="AA359" s="40">
        <f t="shared" ref="AA359" si="2332">Z359-C359</f>
        <v>81675</v>
      </c>
      <c r="AB359" s="519">
        <f>[9]RMWh!$L239</f>
        <v>1925949</v>
      </c>
      <c r="AC359" s="107">
        <f>'[7]Gov 65 &amp; 70'!$B444</f>
        <v>30.55</v>
      </c>
      <c r="AD359" s="4">
        <f t="shared" si="1427"/>
        <v>1917753</v>
      </c>
      <c r="AE359" s="4">
        <f t="shared" ref="AE359" si="2333">AD359-AD347</f>
        <v>11285</v>
      </c>
      <c r="AF359" s="50">
        <f t="shared" ref="AF359" si="2334">ROUND((AD359/(D359)*1000),1)</f>
        <v>1382.1</v>
      </c>
      <c r="AG359" s="75">
        <f t="shared" ref="AG359" si="2335">AF359-AF347</f>
        <v>65.599999999999909</v>
      </c>
      <c r="AI359" s="303">
        <f>(H359/I359*1000)/G359</f>
        <v>0.27078539371662652</v>
      </c>
      <c r="AK359" s="442">
        <f t="shared" si="2149"/>
        <v>0.23540461725212367</v>
      </c>
      <c r="AU359" s="4">
        <f t="shared" si="2150"/>
        <v>2012</v>
      </c>
      <c r="AV359" s="4">
        <f t="shared" si="2151"/>
        <v>7</v>
      </c>
      <c r="AW359" s="230">
        <f>'[8]RES 62 &amp; 67'!$S444</f>
        <v>494.8</v>
      </c>
      <c r="AX359" s="200">
        <f t="shared" si="306"/>
        <v>484.1</v>
      </c>
      <c r="AY359" s="203">
        <f t="shared" ref="AY359" si="2336">AX359-AW359</f>
        <v>-10.699999999999989</v>
      </c>
      <c r="AZ359" s="230">
        <f>'[8]RES 62 &amp; 67'!$J444</f>
        <v>0</v>
      </c>
      <c r="BA359" s="183">
        <f t="shared" si="307"/>
        <v>0</v>
      </c>
      <c r="BB359" s="429">
        <f t="shared" ref="BB359" si="2337">BA359-AZ359</f>
        <v>0</v>
      </c>
      <c r="BC359" s="206">
        <f t="shared" ref="BC359" si="2338">AY359*$H$10</f>
        <v>-22.341599999999978</v>
      </c>
      <c r="BD359" s="206">
        <f t="shared" ref="BD359" si="2339">IF($B359=4,($H$11*0.5*AY359),IF($B359=11,($H$11*0.5*AY359),IF($B359=12,AY359*$H$11,IF($B359&lt;5,AY359*$H$11,0))))</f>
        <v>0</v>
      </c>
      <c r="BE359" s="206">
        <f t="shared" ref="BE359" si="2340">BC359+BD359</f>
        <v>-22.341599999999978</v>
      </c>
      <c r="BF359" s="207">
        <f t="shared" ref="BF359" si="2341">BB359*$H$9</f>
        <v>0</v>
      </c>
      <c r="BG359" s="219">
        <f t="shared" ref="BG359" si="2342">ROUND(BF359+BE359,1)</f>
        <v>-22.3</v>
      </c>
      <c r="BH359" s="4">
        <f t="shared" si="569"/>
        <v>2012</v>
      </c>
      <c r="BI359" s="4">
        <f t="shared" si="570"/>
        <v>7</v>
      </c>
      <c r="BJ359" s="108">
        <f>C359+[4]MWh!$AJ193</f>
        <v>1947867.7075849611</v>
      </c>
      <c r="BK359" s="108">
        <f t="shared" ref="BK359" si="2343">(H359/C359)*BJ359</f>
        <v>23456.743604245796</v>
      </c>
      <c r="BL359" s="108">
        <f t="shared" ref="BL359" si="2344">BJ359-BK359</f>
        <v>1924410.9639807153</v>
      </c>
      <c r="BM359" s="189">
        <f t="shared" ref="BM359" si="2345">(BL359/F359*1000)+BG359</f>
        <v>1427.0152724610693</v>
      </c>
      <c r="BN359" s="6">
        <f t="shared" ref="BN359" si="2346">ROUND(BM359*F359/1000,0)</f>
        <v>1894801</v>
      </c>
      <c r="BO359" s="175">
        <f t="shared" ref="BO359" si="2347">ROUND(BN359/BL359*BK359,0)</f>
        <v>23096</v>
      </c>
      <c r="BP359" s="108">
        <f t="shared" ref="BP359" si="2348">(BN359-BL359)+(BO359-BK359)</f>
        <v>-29970.707584961052</v>
      </c>
      <c r="BQ359" s="76">
        <f t="shared" ref="BQ359" si="2349">BJ359/D359*1000</f>
        <v>1403.7897023338228</v>
      </c>
      <c r="BR359" s="76">
        <f t="shared" ref="BR359" si="2350">(BN359+BO359)/D359*1000</f>
        <v>1382.1904065933591</v>
      </c>
      <c r="BS359" s="76">
        <f t="shared" ref="BS359" si="2351">BR359-BR347</f>
        <v>-21.419500279385602</v>
      </c>
      <c r="BT359" s="175">
        <f t="shared" ref="BT359" si="2352">(BN359+BO359)</f>
        <v>1917897</v>
      </c>
      <c r="BU359" s="108">
        <f t="shared" ref="BU359" si="2353">BT359-BT347</f>
        <v>-114707</v>
      </c>
      <c r="BV359" s="108">
        <f t="shared" si="2167"/>
        <v>-53427.451189206884</v>
      </c>
      <c r="BW359" s="529">
        <f>BT359/[9]RMWh!$L239</f>
        <v>0.99581920393530665</v>
      </c>
      <c r="BX359" s="537">
        <f t="shared" si="2168"/>
        <v>1.0409757858611122</v>
      </c>
      <c r="CK359" s="406">
        <v>41091</v>
      </c>
      <c r="CL359" s="50">
        <f>BP359+COML!BV359+SPA!BV359</f>
        <v>-40186.707584961056</v>
      </c>
      <c r="CM359" s="181">
        <f>'[14]2012'!$D38</f>
        <v>2943</v>
      </c>
      <c r="CN359" s="407">
        <f t="shared" ref="CN359" si="2354">CL359-CM359</f>
        <v>-43129.707584961056</v>
      </c>
      <c r="CO359" s="50">
        <f>'[2]FPC wSEB'!$R456</f>
        <v>4277724</v>
      </c>
      <c r="CP359" s="50">
        <f>'[2]FPC wSEB'!$C456-SUM('[2]FPC wSEB'!$K456:$L456)</f>
        <v>3354925</v>
      </c>
      <c r="CQ359" s="50">
        <f>'[2]FPC wSEB'!$T456-'[2]FPC wSEB'!$T455</f>
        <v>394070</v>
      </c>
      <c r="CR359" s="50">
        <f>SUM('[2]FPC wSEB'!$K456:$L456)</f>
        <v>143907</v>
      </c>
      <c r="CS359" s="50">
        <f>('[2]FPC wSEB'!$N456)-CQ359</f>
        <v>104984</v>
      </c>
      <c r="CT359" s="50">
        <f>'[2]FPC wSEB'!$P456</f>
        <v>9991</v>
      </c>
      <c r="CU359" s="50">
        <f>'[2]FPC wSEB'!$Q456</f>
        <v>269847</v>
      </c>
      <c r="CV359" s="115">
        <f t="shared" ref="CV359" si="2355">CO359-SUM(CP359:CU359)</f>
        <v>0</v>
      </c>
      <c r="CW359" s="50">
        <f t="shared" ref="CW359" si="2356">CO359-CT359-CU359+CM359</f>
        <v>4000829</v>
      </c>
      <c r="CX359" s="50">
        <f t="shared" ref="CX359" si="2357">SUM(CP359:CS359)+CL359</f>
        <v>3957699.2924150391</v>
      </c>
      <c r="CY359" s="50">
        <f t="shared" ref="CY359" si="2358">CW359-CX359</f>
        <v>43129.707584960852</v>
      </c>
      <c r="CZ359" s="23"/>
      <c r="DA359" s="23"/>
      <c r="DB359" s="50">
        <f t="shared" si="1181"/>
        <v>56.239199999999975</v>
      </c>
      <c r="DC359" s="108">
        <f t="shared" si="1182"/>
        <v>1352.7392</v>
      </c>
      <c r="DD359" s="50">
        <f t="shared" si="1183"/>
        <v>1796177</v>
      </c>
      <c r="DE359" s="108">
        <f t="shared" si="1184"/>
        <v>21630</v>
      </c>
      <c r="DF359" s="50">
        <f t="shared" si="1185"/>
        <v>1817807</v>
      </c>
      <c r="DG359" s="23">
        <f t="shared" si="1186"/>
        <v>54</v>
      </c>
      <c r="DH359" s="500">
        <f>ROUND((([13]RUPC!$E239+DG359)*[5]RC!$E$209)/1000,0)</f>
        <v>1888995</v>
      </c>
      <c r="DI359" s="50">
        <f t="shared" si="1626"/>
        <v>-23707</v>
      </c>
      <c r="DJ359" s="23"/>
      <c r="DK359" s="23"/>
      <c r="DL359" s="23"/>
      <c r="DM359" s="23"/>
      <c r="DN359" s="23"/>
    </row>
    <row r="360" spans="1:118" ht="12.75">
      <c r="A360" s="13">
        <f t="shared" si="1963"/>
        <v>2012</v>
      </c>
      <c r="B360" s="13">
        <f t="shared" si="1964"/>
        <v>8</v>
      </c>
      <c r="C360" s="5">
        <f>'[2]FPC wSEB'!$D457</f>
        <v>2149845</v>
      </c>
      <c r="D360" s="5">
        <f>'[2]FPC wSEB'!$X457</f>
        <v>1542995</v>
      </c>
      <c r="E360" s="5">
        <f t="shared" ref="E360" si="2359">ROUND(C360-H360,0)</f>
        <v>2123456</v>
      </c>
      <c r="F360" s="5">
        <f t="shared" ref="F360" si="2360">ROUND(D360-I360,0)</f>
        <v>1476139</v>
      </c>
      <c r="G360" s="74">
        <f t="shared" ref="G360" si="2361">ROUND((E360)/F360*1000,1)</f>
        <v>1438.5</v>
      </c>
      <c r="H360" s="190">
        <f>[15]ssr!C179</f>
        <v>26389</v>
      </c>
      <c r="I360" s="190">
        <f>[15]ssr!D179</f>
        <v>66856</v>
      </c>
      <c r="J360" s="230">
        <f>'[7]RES 62 &amp; 67'!$S445</f>
        <v>495.5</v>
      </c>
      <c r="K360" s="183">
        <f t="shared" si="301"/>
        <v>481.4</v>
      </c>
      <c r="L360" s="233">
        <f t="shared" ref="L360" si="2362">(K360-J360)</f>
        <v>-14.100000000000023</v>
      </c>
      <c r="M360" s="230">
        <f>'[7]RES 62 &amp; 67'!$J445</f>
        <v>0</v>
      </c>
      <c r="N360" s="183">
        <f t="shared" si="302"/>
        <v>0</v>
      </c>
      <c r="O360" s="236">
        <f t="shared" ref="O360" si="2363">(N360-M360)</f>
        <v>0</v>
      </c>
      <c r="P360" s="206">
        <f t="shared" ref="P360" si="2364">L360*$H$10</f>
        <v>-29.440800000000049</v>
      </c>
      <c r="Q360" s="208">
        <f t="shared" ref="Q360" si="2365">IF($B360=12,L360*$H$11,IF($B360&lt;5,L360*$H$11,0))</f>
        <v>0</v>
      </c>
      <c r="R360" s="467">
        <f t="shared" ref="R360" si="2366">P360+Q360</f>
        <v>-29.440800000000049</v>
      </c>
      <c r="S360" s="470">
        <f t="shared" ref="S360" si="2367">O360*$H$9</f>
        <v>0</v>
      </c>
      <c r="T360" s="425">
        <f t="shared" ref="T360" si="2368">ROUND((R360+S360),1)</f>
        <v>-29.4</v>
      </c>
      <c r="U360" s="579">
        <f>[5]RC!$E240</f>
        <v>1464825</v>
      </c>
      <c r="V360" s="447">
        <v>41122</v>
      </c>
      <c r="W360" s="191">
        <f t="shared" ref="W360" si="2369">(G360+T360)</f>
        <v>1409.1</v>
      </c>
      <c r="X360" s="73">
        <f t="shared" ref="X360" si="2370">ROUND(W360*F360/1000,0)</f>
        <v>2080027</v>
      </c>
      <c r="Y360" s="187">
        <f t="shared" ref="Y360" si="2371">ROUND((X360/C360)*H360,0)</f>
        <v>25532</v>
      </c>
      <c r="Z360" s="175">
        <f t="shared" ref="Z360" si="2372">Y360+X360</f>
        <v>2105559</v>
      </c>
      <c r="AA360" s="40">
        <f t="shared" ref="AA360" si="2373">Z360-C360</f>
        <v>-44286</v>
      </c>
      <c r="AB360" s="519">
        <f>[9]RMWh!$L240</f>
        <v>2002714</v>
      </c>
      <c r="AC360" s="107">
        <f>'[7]Gov 65 &amp; 70'!$B445</f>
        <v>31.25</v>
      </c>
      <c r="AD360" s="4">
        <f t="shared" si="1427"/>
        <v>1949522</v>
      </c>
      <c r="AE360" s="4">
        <f t="shared" ref="AE360" si="2374">AD360-AD348</f>
        <v>82154</v>
      </c>
      <c r="AF360" s="50">
        <f t="shared" ref="AF360" si="2375">ROUND((AD360/(D360)*1000),1)</f>
        <v>1263.5</v>
      </c>
      <c r="AG360" s="75">
        <f t="shared" ref="AG360" si="2376">AF360-AF348</f>
        <v>49.299999999999955</v>
      </c>
      <c r="AI360" s="303">
        <f t="shared" ref="AI360" si="2377">(H360/I360*1000)/G360</f>
        <v>0.27439277873155155</v>
      </c>
      <c r="AK360" s="442">
        <f t="shared" ref="AK360:AK364" si="2378">AVERAGE(AI360,AI348,AI336,AI324,AI312,AI300,AI288,AI276,AI264,AI252)</f>
        <v>0.23491953518685663</v>
      </c>
      <c r="AU360" s="4">
        <f t="shared" si="2150"/>
        <v>2012</v>
      </c>
      <c r="AV360" s="4">
        <f t="shared" si="2151"/>
        <v>8</v>
      </c>
      <c r="AW360" s="230">
        <f>'[8]RES 62 &amp; 67'!$S445</f>
        <v>478.4</v>
      </c>
      <c r="AX360" s="200">
        <f t="shared" si="306"/>
        <v>487.3</v>
      </c>
      <c r="AY360" s="203">
        <f t="shared" ref="AY360" si="2379">AX360-AW360</f>
        <v>8.9000000000000341</v>
      </c>
      <c r="AZ360" s="230">
        <f>'[8]RES 62 &amp; 67'!$J445</f>
        <v>0</v>
      </c>
      <c r="BA360" s="183">
        <f t="shared" si="307"/>
        <v>0</v>
      </c>
      <c r="BB360" s="429">
        <f t="shared" ref="BB360" si="2380">BA360-AZ360</f>
        <v>0</v>
      </c>
      <c r="BC360" s="206">
        <f t="shared" ref="BC360" si="2381">AY360*$H$10</f>
        <v>18.583200000000073</v>
      </c>
      <c r="BD360" s="206">
        <f t="shared" ref="BD360" si="2382">IF($B360=4,($H$11*0.5*AY360),IF($B360=11,($H$11*0.5*AY360),IF($B360=12,AY360*$H$11,IF($B360&lt;5,AY360*$H$11,0))))</f>
        <v>0</v>
      </c>
      <c r="BE360" s="206">
        <f t="shared" ref="BE360" si="2383">BC360+BD360</f>
        <v>18.583200000000073</v>
      </c>
      <c r="BF360" s="207">
        <f t="shared" ref="BF360" si="2384">BB360*$H$9</f>
        <v>0</v>
      </c>
      <c r="BG360" s="219">
        <f t="shared" ref="BG360" si="2385">ROUND(BF360+BE360,1)</f>
        <v>18.600000000000001</v>
      </c>
      <c r="BH360" s="4">
        <f t="shared" si="569"/>
        <v>2012</v>
      </c>
      <c r="BI360" s="4">
        <f t="shared" si="570"/>
        <v>8</v>
      </c>
      <c r="BJ360" s="108">
        <f>C360+[4]MWh!$AJ194</f>
        <v>2163407.8775838995</v>
      </c>
      <c r="BK360" s="108">
        <f t="shared" ref="BK360" si="2386">(H360/C360)*BJ360</f>
        <v>26555.482130833399</v>
      </c>
      <c r="BL360" s="108">
        <f t="shared" ref="BL360" si="2387">BJ360-BK360</f>
        <v>2136852.3954530661</v>
      </c>
      <c r="BM360" s="189">
        <f t="shared" ref="BM360" si="2388">(BL360/F360*1000)+BG360</f>
        <v>1466.1956501745879</v>
      </c>
      <c r="BN360" s="6">
        <f t="shared" ref="BN360" si="2389">ROUND(BM360*F360/1000,0)</f>
        <v>2164309</v>
      </c>
      <c r="BO360" s="175">
        <f t="shared" ref="BO360" si="2390">ROUND(BN360/BL360*BK360,0)</f>
        <v>26897</v>
      </c>
      <c r="BP360" s="108">
        <f t="shared" ref="BP360" si="2391">(BN360-BL360)+(BO360-BK360)</f>
        <v>27798.122416100501</v>
      </c>
      <c r="BQ360" s="76">
        <f t="shared" ref="BQ360" si="2392">BJ360/D360*1000</f>
        <v>1402.0835307851933</v>
      </c>
      <c r="BR360" s="76">
        <f t="shared" ref="BR360" si="2393">(BN360+BO360)/D360*1000</f>
        <v>1420.0992226157568</v>
      </c>
      <c r="BS360" s="76">
        <f t="shared" ref="BS360" si="2394">BR360-BR348</f>
        <v>88.118570662778438</v>
      </c>
      <c r="BT360" s="175">
        <f t="shared" ref="BT360" si="2395">(BN360+BO360)</f>
        <v>2191206</v>
      </c>
      <c r="BU360" s="108">
        <f t="shared" ref="BU360" si="2396">BT360-BT348</f>
        <v>142709</v>
      </c>
      <c r="BV360" s="108">
        <f t="shared" si="2167"/>
        <v>1242.6402852670653</v>
      </c>
      <c r="BW360" s="529">
        <f>BT360/[9]RMWh!$L240</f>
        <v>1.0941182814920154</v>
      </c>
      <c r="BX360" s="537">
        <f t="shared" si="2168"/>
        <v>1.0321943398064499</v>
      </c>
      <c r="CK360" s="406">
        <v>41122</v>
      </c>
      <c r="CL360" s="50">
        <f>BP360+COML!BV360+SPA!BV360</f>
        <v>36275.122416100501</v>
      </c>
      <c r="CM360" s="181">
        <f>'[14]2012'!$D39</f>
        <v>64413</v>
      </c>
      <c r="CN360" s="407">
        <f t="shared" ref="CN360" si="2397">CL360-CM360</f>
        <v>-28137.877583899499</v>
      </c>
      <c r="CO360" s="50">
        <f>'[2]FPC wSEB'!$R457</f>
        <v>4218290</v>
      </c>
      <c r="CP360" s="50">
        <f>'[2]FPC wSEB'!$C457-SUM('[2]FPC wSEB'!$K457:$L457)</f>
        <v>3875021</v>
      </c>
      <c r="CQ360" s="50">
        <f>'[2]FPC wSEB'!$T457-'[2]FPC wSEB'!$T456</f>
        <v>-136410</v>
      </c>
      <c r="CR360" s="50">
        <f>SUM('[2]FPC wSEB'!$K457:$L457)</f>
        <v>249589</v>
      </c>
      <c r="CS360" s="50">
        <f>('[2]FPC wSEB'!$N457)-CQ360</f>
        <v>-41124</v>
      </c>
      <c r="CT360" s="50">
        <f>'[2]FPC wSEB'!$P457</f>
        <v>13491</v>
      </c>
      <c r="CU360" s="50">
        <f>'[2]FPC wSEB'!$Q457</f>
        <v>257723</v>
      </c>
      <c r="CV360" s="115">
        <f t="shared" ref="CV360" si="2398">CO360-SUM(CP360:CU360)</f>
        <v>0</v>
      </c>
      <c r="CW360" s="50">
        <f t="shared" ref="CW360" si="2399">CO360-CT360-CU360+CM360</f>
        <v>4011489</v>
      </c>
      <c r="CX360" s="50">
        <f t="shared" ref="CX360" si="2400">SUM(CP360:CS360)+CL360</f>
        <v>3983351.1224161005</v>
      </c>
      <c r="CY360" s="50">
        <f t="shared" ref="CY360" si="2401">CW360-CX360</f>
        <v>28137.877583899535</v>
      </c>
      <c r="CZ360" s="23"/>
      <c r="DA360" s="23"/>
      <c r="DB360" s="50">
        <f t="shared" si="1181"/>
        <v>-27.156600000000044</v>
      </c>
      <c r="DC360" s="108">
        <f t="shared" si="1182"/>
        <v>1411.3434</v>
      </c>
      <c r="DD360" s="50">
        <f t="shared" si="1183"/>
        <v>2083339</v>
      </c>
      <c r="DE360" s="108">
        <f t="shared" si="1184"/>
        <v>25573</v>
      </c>
      <c r="DF360" s="50">
        <f t="shared" si="1185"/>
        <v>2108912</v>
      </c>
      <c r="DG360" s="23">
        <f t="shared" si="1186"/>
        <v>-27</v>
      </c>
      <c r="DH360" s="500">
        <f>ROUND((([13]RUPC!$E240+DG360)*[5]RC!$E$209)/1000,0)</f>
        <v>1974255</v>
      </c>
      <c r="DI360" s="50">
        <f t="shared" si="1626"/>
        <v>46154</v>
      </c>
      <c r="DJ360" s="23"/>
      <c r="DK360" s="23"/>
      <c r="DL360" s="23"/>
      <c r="DM360" s="23"/>
      <c r="DN360" s="23"/>
    </row>
    <row r="361" spans="1:118" ht="12.75">
      <c r="A361" s="13">
        <f t="shared" si="1963"/>
        <v>2012</v>
      </c>
      <c r="B361" s="13">
        <f t="shared" si="1964"/>
        <v>9</v>
      </c>
      <c r="C361" s="5">
        <f>'[2]FPC wSEB'!$D458</f>
        <v>1820003</v>
      </c>
      <c r="D361" s="5">
        <f>'[2]FPC wSEB'!$X458</f>
        <v>1404111</v>
      </c>
      <c r="E361" s="5">
        <f t="shared" ref="E361" si="2402">ROUND(C361-H361,0)</f>
        <v>1797686</v>
      </c>
      <c r="F361" s="5">
        <f t="shared" ref="F361" si="2403">ROUND(D361-I361,0)</f>
        <v>1344671</v>
      </c>
      <c r="G361" s="74">
        <f t="shared" ref="G361" si="2404">ROUND((E361)/F361*1000,1)</f>
        <v>1336.9</v>
      </c>
      <c r="H361" s="190">
        <f>[15]ssr!C180</f>
        <v>22317</v>
      </c>
      <c r="I361" s="190">
        <f>[15]ssr!D180</f>
        <v>59440</v>
      </c>
      <c r="J361" s="230">
        <f>'[7]RES 62 &amp; 67'!$S446</f>
        <v>456.6</v>
      </c>
      <c r="K361" s="183">
        <f t="shared" si="301"/>
        <v>473.7</v>
      </c>
      <c r="L361" s="233">
        <f t="shared" ref="L361" si="2405">(K361-J361)</f>
        <v>17.099999999999966</v>
      </c>
      <c r="M361" s="230">
        <f>'[7]RES 62 &amp; 67'!$J446</f>
        <v>0</v>
      </c>
      <c r="N361" s="183">
        <f t="shared" si="302"/>
        <v>0</v>
      </c>
      <c r="O361" s="236">
        <f t="shared" ref="O361" si="2406">(N361-M361)</f>
        <v>0</v>
      </c>
      <c r="P361" s="206">
        <f t="shared" ref="P361" si="2407">L361*$H$10</f>
        <v>35.704799999999928</v>
      </c>
      <c r="Q361" s="208">
        <f t="shared" ref="Q361" si="2408">IF($B361=12,L361*$H$11,IF($B361&lt;5,L361*$H$11,0))</f>
        <v>0</v>
      </c>
      <c r="R361" s="467">
        <f t="shared" ref="R361" si="2409">P361+Q361</f>
        <v>35.704799999999928</v>
      </c>
      <c r="S361" s="470">
        <f t="shared" ref="S361" si="2410">O361*$H$9</f>
        <v>0</v>
      </c>
      <c r="T361" s="425">
        <f t="shared" ref="T361" si="2411">ROUND((R361+S361),1)</f>
        <v>35.700000000000003</v>
      </c>
      <c r="U361" s="579">
        <f>[5]RC!$E241</f>
        <v>1465160</v>
      </c>
      <c r="V361" s="447">
        <v>41153</v>
      </c>
      <c r="W361" s="191">
        <f t="shared" ref="W361" si="2412">(G361+T361)</f>
        <v>1372.6000000000001</v>
      </c>
      <c r="X361" s="73">
        <f t="shared" ref="X361" si="2413">ROUND(W361*F361/1000,0)</f>
        <v>1845695</v>
      </c>
      <c r="Y361" s="187">
        <f t="shared" ref="Y361" si="2414">ROUND((X361/C361)*H361,0)</f>
        <v>22632</v>
      </c>
      <c r="Z361" s="175">
        <f t="shared" ref="Z361" si="2415">Y361+X361</f>
        <v>1868327</v>
      </c>
      <c r="AA361" s="40">
        <f t="shared" ref="AA361" si="2416">Z361-C361</f>
        <v>48324</v>
      </c>
      <c r="AB361" s="519">
        <f>[9]RMWh!$L241</f>
        <v>1957611</v>
      </c>
      <c r="AC361" s="107">
        <f>'[7]Gov 65 &amp; 70'!$B446</f>
        <v>30.3</v>
      </c>
      <c r="AD361" s="4">
        <f t="shared" si="1427"/>
        <v>1965364</v>
      </c>
      <c r="AE361" s="4">
        <f t="shared" ref="AE361" si="2417">AD361-AD349</f>
        <v>-21043</v>
      </c>
      <c r="AF361" s="50">
        <f t="shared" ref="AF361" si="2418">ROUND((AD361/(D361)*1000),1)</f>
        <v>1399.7</v>
      </c>
      <c r="AG361" s="75">
        <f t="shared" ref="AG361" si="2419">AF361-AF349</f>
        <v>29.900000000000091</v>
      </c>
      <c r="AI361" s="303">
        <f t="shared" ref="AI361" si="2420">(H361/I361*1000)/G361</f>
        <v>0.28083943419052554</v>
      </c>
      <c r="AK361" s="442">
        <f t="shared" si="2378"/>
        <v>0.23675824630596484</v>
      </c>
      <c r="AU361" s="4">
        <f t="shared" si="2150"/>
        <v>2012</v>
      </c>
      <c r="AV361" s="4">
        <f t="shared" si="2151"/>
        <v>9</v>
      </c>
      <c r="AW361" s="230">
        <f>'[8]RES 62 &amp; 67'!$S446</f>
        <v>419.1</v>
      </c>
      <c r="AX361" s="200">
        <f t="shared" si="306"/>
        <v>428.3</v>
      </c>
      <c r="AY361" s="203">
        <f t="shared" ref="AY361" si="2421">AX361-AW361</f>
        <v>9.1999999999999886</v>
      </c>
      <c r="AZ361" s="230">
        <f>'[8]RES 62 &amp; 67'!$J446</f>
        <v>0</v>
      </c>
      <c r="BA361" s="183">
        <f t="shared" si="307"/>
        <v>0</v>
      </c>
      <c r="BB361" s="429">
        <f t="shared" ref="BB361" si="2422">BA361-AZ361</f>
        <v>0</v>
      </c>
      <c r="BC361" s="206">
        <f t="shared" ref="BC361" si="2423">AY361*$H$10</f>
        <v>19.209599999999977</v>
      </c>
      <c r="BD361" s="206">
        <f t="shared" ref="BD361" si="2424">IF($B361=4,($H$11*0.5*AY361),IF($B361=11,($H$11*0.5*AY361),IF($B361=12,AY361*$H$11,IF($B361&lt;5,AY361*$H$11,0))))</f>
        <v>0</v>
      </c>
      <c r="BE361" s="206">
        <f t="shared" ref="BE361" si="2425">BC361+BD361</f>
        <v>19.209599999999977</v>
      </c>
      <c r="BF361" s="207">
        <f t="shared" ref="BF361" si="2426">BB361*$H$9</f>
        <v>0</v>
      </c>
      <c r="BG361" s="219">
        <f t="shared" ref="BG361" si="2427">ROUND(BF361+BE361,1)</f>
        <v>19.2</v>
      </c>
      <c r="BH361" s="4">
        <f t="shared" si="569"/>
        <v>2012</v>
      </c>
      <c r="BI361" s="4">
        <f t="shared" si="570"/>
        <v>9</v>
      </c>
      <c r="BJ361" s="108">
        <f>C361+[4]MWh!$AJ195</f>
        <v>1637957.3396669012</v>
      </c>
      <c r="BK361" s="108">
        <f t="shared" ref="BK361" si="2428">(H361/C361)*BJ361</f>
        <v>20084.743788524655</v>
      </c>
      <c r="BL361" s="108">
        <f t="shared" ref="BL361" si="2429">BJ361-BK361</f>
        <v>1617872.5958783764</v>
      </c>
      <c r="BM361" s="189">
        <f t="shared" ref="BM361" si="2430">(BL361/F361*1000)+BG361</f>
        <v>1222.3735613234587</v>
      </c>
      <c r="BN361" s="6">
        <f t="shared" ref="BN361" si="2431">ROUND(BM361*F361/1000,0)</f>
        <v>1643690</v>
      </c>
      <c r="BO361" s="175">
        <f t="shared" ref="BO361" si="2432">ROUND(BN361/BL361*BK361,0)</f>
        <v>20405</v>
      </c>
      <c r="BP361" s="108">
        <f t="shared" ref="BP361" si="2433">(BN361-BL361)+(BO361-BK361)</f>
        <v>26137.660333098953</v>
      </c>
      <c r="BQ361" s="76">
        <f t="shared" ref="BQ361" si="2434">BJ361/D361*1000</f>
        <v>1166.5440550404501</v>
      </c>
      <c r="BR361" s="76">
        <f t="shared" ref="BR361" si="2435">(BN361+BO361)/D361*1000</f>
        <v>1185.1591505229999</v>
      </c>
      <c r="BS361" s="76">
        <f t="shared" ref="BS361" si="2436">BR361-BR349</f>
        <v>-66.285702998746501</v>
      </c>
      <c r="BT361" s="175">
        <f t="shared" ref="BT361" si="2437">(BN361+BO361)</f>
        <v>1664095</v>
      </c>
      <c r="BU361" s="108">
        <f t="shared" ref="BU361" si="2438">BT361-BT349</f>
        <v>-150684</v>
      </c>
      <c r="BV361" s="108">
        <f t="shared" si="2167"/>
        <v>6052.9165445741892</v>
      </c>
      <c r="BW361" s="529">
        <f>BT361/[9]RMWh!$L241</f>
        <v>0.85006418537697226</v>
      </c>
      <c r="BX361" s="537">
        <f t="shared" si="2168"/>
        <v>0.91479901810876285</v>
      </c>
      <c r="CK361" s="406">
        <v>41153</v>
      </c>
      <c r="CL361" s="50">
        <f>BP361+COML!BV361+SPA!BV361</f>
        <v>34852.660333098953</v>
      </c>
      <c r="CM361" s="181">
        <f>'[14]2012'!$D40</f>
        <v>55145</v>
      </c>
      <c r="CN361" s="407">
        <f t="shared" ref="CN361" si="2439">CL361-CM361</f>
        <v>-20292.339666901047</v>
      </c>
      <c r="CO361" s="50">
        <f>'[2]FPC wSEB'!$R458</f>
        <v>3796750</v>
      </c>
      <c r="CP361" s="50">
        <f>'[2]FPC wSEB'!$C458-SUM('[2]FPC wSEB'!$K458:$L458)</f>
        <v>3512415</v>
      </c>
      <c r="CQ361" s="50">
        <f>'[2]FPC wSEB'!$T458-'[2]FPC wSEB'!$T457</f>
        <v>-182753</v>
      </c>
      <c r="CR361" s="50">
        <f>SUM('[2]FPC wSEB'!$K458:$L458)</f>
        <v>210658</v>
      </c>
      <c r="CS361" s="50">
        <f>('[2]FPC wSEB'!$N458)-CQ361</f>
        <v>-35334</v>
      </c>
      <c r="CT361" s="50">
        <f>'[2]FPC wSEB'!$P458</f>
        <v>10450</v>
      </c>
      <c r="CU361" s="50">
        <f>'[2]FPC wSEB'!$Q458</f>
        <v>281314</v>
      </c>
      <c r="CV361" s="115">
        <f t="shared" ref="CV361" si="2440">CO361-SUM(CP361:CU361)</f>
        <v>0</v>
      </c>
      <c r="CW361" s="50">
        <f t="shared" ref="CW361" si="2441">CO361-CT361-CU361+CM361</f>
        <v>3560131</v>
      </c>
      <c r="CX361" s="50">
        <f t="shared" ref="CX361" si="2442">SUM(CP361:CS361)+CL361</f>
        <v>3539838.6603330988</v>
      </c>
      <c r="CY361" s="50">
        <f t="shared" ref="CY361" si="2443">CW361-CX361</f>
        <v>20292.339666901156</v>
      </c>
      <c r="CZ361" s="23"/>
      <c r="DA361" s="23"/>
      <c r="DB361" s="50">
        <f t="shared" si="1181"/>
        <v>32.934599999999932</v>
      </c>
      <c r="DC361" s="108">
        <f t="shared" si="1182"/>
        <v>1369.8346000000001</v>
      </c>
      <c r="DD361" s="50">
        <f t="shared" si="1183"/>
        <v>1841977</v>
      </c>
      <c r="DE361" s="108">
        <f t="shared" si="1184"/>
        <v>22586</v>
      </c>
      <c r="DF361" s="50">
        <f t="shared" si="1185"/>
        <v>1864563</v>
      </c>
      <c r="DG361" s="23">
        <f t="shared" si="1186"/>
        <v>32</v>
      </c>
      <c r="DH361" s="500">
        <f>ROUND((([13]RUPC!$E241+DG361)*[5]RC!$E$209)/1000,0)</f>
        <v>1923470</v>
      </c>
      <c r="DI361" s="50">
        <f t="shared" si="1626"/>
        <v>-44037</v>
      </c>
      <c r="DJ361" s="23"/>
      <c r="DK361" s="23"/>
      <c r="DL361" s="23"/>
      <c r="DM361" s="23"/>
      <c r="DN361" s="23"/>
    </row>
    <row r="362" spans="1:118" ht="12.75">
      <c r="A362" s="13">
        <f t="shared" si="1963"/>
        <v>2012</v>
      </c>
      <c r="B362" s="13">
        <f t="shared" si="1964"/>
        <v>10</v>
      </c>
      <c r="C362" s="5">
        <f>'[2]FPC wSEB'!$D459</f>
        <v>1724920</v>
      </c>
      <c r="D362" s="5">
        <f>'[2]FPC wSEB'!$X459</f>
        <v>1451243</v>
      </c>
      <c r="E362" s="5">
        <f t="shared" ref="E362" si="2444">ROUND(C362-H362,0)</f>
        <v>1703131</v>
      </c>
      <c r="F362" s="5">
        <f t="shared" ref="F362" si="2445">ROUND(D362-I362,0)</f>
        <v>1389587</v>
      </c>
      <c r="G362" s="74">
        <f t="shared" ref="G362" si="2446">ROUND((E362)/F362*1000,1)</f>
        <v>1225.5999999999999</v>
      </c>
      <c r="H362" s="190">
        <f>[15]ssr!C181</f>
        <v>21789</v>
      </c>
      <c r="I362" s="190">
        <f>[15]ssr!D181</f>
        <v>61656</v>
      </c>
      <c r="J362" s="230">
        <f>'[7]RES 62 &amp; 67'!$S447</f>
        <v>396.8</v>
      </c>
      <c r="K362" s="183">
        <f t="shared" si="301"/>
        <v>373.2</v>
      </c>
      <c r="L362" s="233">
        <f t="shared" ref="L362" si="2447">(K362-J362)</f>
        <v>-23.600000000000023</v>
      </c>
      <c r="M362" s="230">
        <f>'[7]RES 62 &amp; 67'!$J447</f>
        <v>0.2</v>
      </c>
      <c r="N362" s="183">
        <f t="shared" si="302"/>
        <v>1.3</v>
      </c>
      <c r="O362" s="236">
        <f t="shared" ref="O362" si="2448">(N362-M362)</f>
        <v>1.1000000000000001</v>
      </c>
      <c r="P362" s="206">
        <f t="shared" ref="P362" si="2449">L362*$H$10</f>
        <v>-49.276800000000051</v>
      </c>
      <c r="Q362" s="208">
        <f t="shared" ref="Q362" si="2450">IF($B362=12,L362*$H$11,IF($B362&lt;5,L362*$H$11,0))</f>
        <v>0</v>
      </c>
      <c r="R362" s="467">
        <f t="shared" ref="R362" si="2451">P362+Q362</f>
        <v>-49.276800000000051</v>
      </c>
      <c r="S362" s="470">
        <f t="shared" ref="S362" si="2452">O362*$H$9</f>
        <v>2.9480000000000004</v>
      </c>
      <c r="T362" s="425">
        <f t="shared" ref="T362" si="2453">ROUND((R362+S362),1)</f>
        <v>-46.3</v>
      </c>
      <c r="U362" s="579">
        <f>[5]RC!$E242</f>
        <v>1465281</v>
      </c>
      <c r="V362" s="447">
        <v>41183</v>
      </c>
      <c r="W362" s="191">
        <f t="shared" ref="W362" si="2454">(G362+T362)</f>
        <v>1179.3</v>
      </c>
      <c r="X362" s="73">
        <f t="shared" ref="X362" si="2455">ROUND(W362*F362/1000,0)</f>
        <v>1638740</v>
      </c>
      <c r="Y362" s="187">
        <f t="shared" ref="Y362" si="2456">ROUND((X362/C362)*H362,0)</f>
        <v>20700</v>
      </c>
      <c r="Z362" s="175">
        <f t="shared" ref="Z362" si="2457">Y362+X362</f>
        <v>1659440</v>
      </c>
      <c r="AA362" s="40">
        <f t="shared" ref="AA362" si="2458">Z362-C362</f>
        <v>-65480</v>
      </c>
      <c r="AB362" s="519">
        <f>[9]RMWh!$L242</f>
        <v>1674231</v>
      </c>
      <c r="AC362" s="107">
        <f>'[7]Gov 65 &amp; 70'!$B447</f>
        <v>29.9</v>
      </c>
      <c r="AD362" s="4">
        <f t="shared" si="1427"/>
        <v>1703348</v>
      </c>
      <c r="AE362" s="4">
        <f t="shared" ref="AE362" si="2459">AD362-AD350</f>
        <v>-42484</v>
      </c>
      <c r="AF362" s="50">
        <f t="shared" ref="AF362" si="2460">ROUND((AD362/(D362)*1000),1)</f>
        <v>1173.7</v>
      </c>
      <c r="AG362" s="75">
        <f t="shared" ref="AG362" si="2461">AF362-AF350</f>
        <v>-105.09999999999991</v>
      </c>
      <c r="AI362" s="303">
        <f t="shared" ref="AI362" si="2462">(H362/I362*1000)/G362</f>
        <v>0.28834551496198402</v>
      </c>
      <c r="AK362" s="442">
        <f t="shared" si="2378"/>
        <v>0.25544453159122188</v>
      </c>
      <c r="AU362" s="4">
        <f t="shared" si="2150"/>
        <v>2012</v>
      </c>
      <c r="AV362" s="4">
        <f t="shared" si="2151"/>
        <v>10</v>
      </c>
      <c r="AW362" s="230">
        <f>'[8]RES 62 &amp; 67'!$S447</f>
        <v>287.5</v>
      </c>
      <c r="AX362" s="200">
        <f t="shared" si="306"/>
        <v>277.60000000000002</v>
      </c>
      <c r="AY362" s="203">
        <f t="shared" ref="AY362" si="2463">AX362-AW362</f>
        <v>-9.8999999999999773</v>
      </c>
      <c r="AZ362" s="230">
        <f>'[8]RES 62 &amp; 67'!$J447</f>
        <v>11.9</v>
      </c>
      <c r="BA362" s="183">
        <f t="shared" si="307"/>
        <v>8.5</v>
      </c>
      <c r="BB362" s="429">
        <f t="shared" ref="BB362" si="2464">BA362-AZ362</f>
        <v>-3.4000000000000004</v>
      </c>
      <c r="BC362" s="206">
        <f t="shared" ref="BC362" si="2465">AY362*$H$10</f>
        <v>-20.671199999999953</v>
      </c>
      <c r="BD362" s="206">
        <f t="shared" ref="BD362" si="2466">IF($B362=4,($H$11*0.5*AY362),IF($B362=11,($H$11*0.5*AY362),IF($B362=12,AY362*$H$11,IF($B362&lt;5,AY362*$H$11,0))))</f>
        <v>0</v>
      </c>
      <c r="BE362" s="206">
        <f t="shared" ref="BE362" si="2467">BC362+BD362</f>
        <v>-20.671199999999953</v>
      </c>
      <c r="BF362" s="207">
        <f t="shared" ref="BF362" si="2468">BB362*$H$9</f>
        <v>-9.1120000000000019</v>
      </c>
      <c r="BG362" s="219">
        <f t="shared" ref="BG362" si="2469">ROUND(BF362+BE362,1)</f>
        <v>-29.8</v>
      </c>
      <c r="BH362" s="4">
        <f t="shared" si="569"/>
        <v>2012</v>
      </c>
      <c r="BI362" s="4">
        <f t="shared" si="570"/>
        <v>10</v>
      </c>
      <c r="BJ362" s="108">
        <f>C362+[4]MWh!$AJ196</f>
        <v>1585329.5014407812</v>
      </c>
      <c r="BK362" s="108">
        <f t="shared" ref="BK362" si="2470">(H362/C362)*BJ362</f>
        <v>20025.708152779942</v>
      </c>
      <c r="BL362" s="108">
        <f t="shared" ref="BL362" si="2471">BJ362-BK362</f>
        <v>1565303.7932880013</v>
      </c>
      <c r="BM362" s="189">
        <f t="shared" ref="BM362" si="2472">(BL362/F362*1000)+BG362</f>
        <v>1096.6525310671454</v>
      </c>
      <c r="BN362" s="6">
        <f t="shared" ref="BN362" si="2473">ROUND(BM362*F362/1000,0)</f>
        <v>1523894</v>
      </c>
      <c r="BO362" s="175">
        <f t="shared" ref="BO362" si="2474">ROUND(BN362/BL362*BK362,0)</f>
        <v>19496</v>
      </c>
      <c r="BP362" s="108">
        <f t="shared" ref="BP362" si="2475">(BN362-BL362)+(BO362-BK362)</f>
        <v>-41939.501440781271</v>
      </c>
      <c r="BQ362" s="76">
        <f t="shared" ref="BQ362" si="2476">BJ362/D362*1000</f>
        <v>1092.3942450993948</v>
      </c>
      <c r="BR362" s="76">
        <f t="shared" ref="BR362" si="2477">(BN362+BO362)/D362*1000</f>
        <v>1063.4952244386363</v>
      </c>
      <c r="BS362" s="76">
        <f t="shared" ref="BS362" si="2478">BR362-BR350</f>
        <v>-29.695157156656933</v>
      </c>
      <c r="BT362" s="175">
        <f t="shared" ref="BT362" si="2479">(BN362+BO362)</f>
        <v>1543390</v>
      </c>
      <c r="BU362" s="108">
        <f t="shared" ref="BU362" si="2480">BT362-BT350</f>
        <v>50949</v>
      </c>
      <c r="BV362" s="108">
        <f t="shared" si="2167"/>
        <v>-61965.209593561114</v>
      </c>
      <c r="BW362" s="529">
        <f>BT362/[9]RMWh!$L242</f>
        <v>0.92185009117618777</v>
      </c>
      <c r="BX362" s="537">
        <f t="shared" si="2168"/>
        <v>0.88711186274822151</v>
      </c>
      <c r="CK362" s="406">
        <v>41183</v>
      </c>
      <c r="CL362" s="50">
        <f>BP362+COML!BV362+SPA!BV362</f>
        <v>-52231.501440781271</v>
      </c>
      <c r="CM362" s="181">
        <f>'[14]2012'!$D41</f>
        <v>-11928</v>
      </c>
      <c r="CN362" s="407">
        <f t="shared" ref="CN362" si="2481">CL362-CM362</f>
        <v>-40303.501440781271</v>
      </c>
      <c r="CO362" s="50">
        <f>'[2]FPC wSEB'!$R459</f>
        <v>3478188</v>
      </c>
      <c r="CP362" s="50">
        <f>'[2]FPC wSEB'!$C459-SUM('[2]FPC wSEB'!$K459:$L459)</f>
        <v>3318344</v>
      </c>
      <c r="CQ362" s="50">
        <f>'[2]FPC wSEB'!$T459-'[2]FPC wSEB'!$T458</f>
        <v>-275531</v>
      </c>
      <c r="CR362" s="50">
        <f>SUM('[2]FPC wSEB'!$K459:$L459)</f>
        <v>172782</v>
      </c>
      <c r="CS362" s="50">
        <f>('[2]FPC wSEB'!$N459)-CQ362</f>
        <v>-12112</v>
      </c>
      <c r="CT362" s="50">
        <f>'[2]FPC wSEB'!$P459</f>
        <v>17198</v>
      </c>
      <c r="CU362" s="50">
        <f>'[2]FPC wSEB'!$Q459</f>
        <v>257507</v>
      </c>
      <c r="CV362" s="115">
        <f t="shared" ref="CV362" si="2482">CO362-SUM(CP362:CU362)</f>
        <v>0</v>
      </c>
      <c r="CW362" s="50">
        <f t="shared" ref="CW362" si="2483">CO362-CT362-CU362+CM362</f>
        <v>3191555</v>
      </c>
      <c r="CX362" s="50">
        <f t="shared" ref="CX362" si="2484">SUM(CP362:CS362)+CL362</f>
        <v>3151251.4985592188</v>
      </c>
      <c r="CY362" s="50">
        <f t="shared" ref="CY362" si="2485">CW362-CX362</f>
        <v>40303.501440781169</v>
      </c>
      <c r="CZ362" s="23"/>
      <c r="DA362" s="23"/>
      <c r="DB362" s="50">
        <f t="shared" si="1181"/>
        <v>-42.308700000000044</v>
      </c>
      <c r="DC362" s="108">
        <f t="shared" si="1182"/>
        <v>1183.2912999999999</v>
      </c>
      <c r="DD362" s="50">
        <f t="shared" si="1183"/>
        <v>1644286</v>
      </c>
      <c r="DE362" s="108">
        <f t="shared" si="1184"/>
        <v>20770</v>
      </c>
      <c r="DF362" s="50">
        <f t="shared" si="1185"/>
        <v>1665056</v>
      </c>
      <c r="DG362" s="23">
        <f t="shared" si="1186"/>
        <v>-41</v>
      </c>
      <c r="DH362" s="500">
        <f>ROUND((([13]RUPC!$E242+DG362)*[5]RC!$E$209)/1000,0)</f>
        <v>1653817</v>
      </c>
      <c r="DI362" s="50">
        <f t="shared" si="1626"/>
        <v>-53554</v>
      </c>
      <c r="DJ362" s="23"/>
      <c r="DK362" s="23"/>
      <c r="DL362" s="23"/>
      <c r="DM362" s="23"/>
      <c r="DN362" s="23"/>
    </row>
    <row r="363" spans="1:118" ht="12.75">
      <c r="A363" s="13">
        <f t="shared" si="1963"/>
        <v>2012</v>
      </c>
      <c r="B363" s="13">
        <f t="shared" si="1964"/>
        <v>11</v>
      </c>
      <c r="C363" s="5">
        <f>'[2]FPC wSEB'!$D460</f>
        <v>1427308</v>
      </c>
      <c r="D363" s="5">
        <f>'[2]FPC wSEB'!$X460</f>
        <v>1629469</v>
      </c>
      <c r="E363" s="5">
        <f t="shared" ref="E363" si="2486">ROUND(C363-H363,0)</f>
        <v>1404049</v>
      </c>
      <c r="F363" s="5">
        <f t="shared" ref="F363" si="2487">ROUND(D363-I363,0)</f>
        <v>1559211</v>
      </c>
      <c r="G363" s="74">
        <f t="shared" ref="G363" si="2488">ROUND((E363)/F363*1000,1)</f>
        <v>900.5</v>
      </c>
      <c r="H363" s="190">
        <f>[15]ssr!C182</f>
        <v>23259</v>
      </c>
      <c r="I363" s="190">
        <f>[15]ssr!D182</f>
        <v>70258</v>
      </c>
      <c r="J363" s="230">
        <f>'[7]RES 62 &amp; 67'!$S448</f>
        <v>209.7</v>
      </c>
      <c r="K363" s="183">
        <f t="shared" si="301"/>
        <v>204.3</v>
      </c>
      <c r="L363" s="233">
        <f t="shared" ref="L363" si="2489">(K363-J363)</f>
        <v>-5.3999999999999773</v>
      </c>
      <c r="M363" s="230">
        <f>'[7]RES 62 &amp; 67'!$J448</f>
        <v>20.3</v>
      </c>
      <c r="N363" s="183">
        <f t="shared" si="302"/>
        <v>24.1</v>
      </c>
      <c r="O363" s="236">
        <f t="shared" ref="O363" si="2490">(N363-M363)</f>
        <v>3.8000000000000007</v>
      </c>
      <c r="P363" s="206">
        <f t="shared" ref="P363" si="2491">L363*$H$10</f>
        <v>-11.275199999999954</v>
      </c>
      <c r="Q363" s="208">
        <f t="shared" ref="Q363" si="2492">IF($B363=12,L363*$H$11,IF($B363&lt;5,L363*$H$11,0))</f>
        <v>0</v>
      </c>
      <c r="R363" s="467">
        <f t="shared" ref="R363" si="2493">P363+Q363</f>
        <v>-11.275199999999954</v>
      </c>
      <c r="S363" s="470">
        <f t="shared" ref="S363" si="2494">O363*$H$9</f>
        <v>10.184000000000003</v>
      </c>
      <c r="T363" s="425">
        <f t="shared" ref="T363" si="2495">ROUND((R363+S363),1)</f>
        <v>-1.1000000000000001</v>
      </c>
      <c r="U363" s="579">
        <f>[5]RC!$E243</f>
        <v>1467018</v>
      </c>
      <c r="V363" s="447">
        <v>41214</v>
      </c>
      <c r="W363" s="191">
        <f t="shared" ref="W363" si="2496">(G363+T363)</f>
        <v>899.4</v>
      </c>
      <c r="X363" s="73">
        <f t="shared" ref="X363" si="2497">ROUND(W363*F363/1000,0)</f>
        <v>1402354</v>
      </c>
      <c r="Y363" s="187">
        <f t="shared" ref="Y363" si="2498">ROUND((X363/C363)*H363,0)</f>
        <v>22852</v>
      </c>
      <c r="Z363" s="175">
        <f t="shared" ref="Z363" si="2499">Y363+X363</f>
        <v>1425206</v>
      </c>
      <c r="AA363" s="40">
        <f t="shared" ref="AA363" si="2500">Z363-C363</f>
        <v>-2102</v>
      </c>
      <c r="AB363" s="519">
        <f>[9]RMWh!$L243</f>
        <v>1301251</v>
      </c>
      <c r="AC363" s="107">
        <f>'[7]Gov 65 &amp; 70'!$B448</f>
        <v>29.85</v>
      </c>
      <c r="AD363" s="4">
        <f t="shared" si="1427"/>
        <v>1326099</v>
      </c>
      <c r="AE363" s="4">
        <f t="shared" ref="AE363" si="2501">AD363-AD351</f>
        <v>-74110</v>
      </c>
      <c r="AF363" s="50">
        <f t="shared" ref="AF363" si="2502">ROUND((AD363/(D363)*1000),1)</f>
        <v>813.8</v>
      </c>
      <c r="AG363" s="75">
        <f t="shared" ref="AG363" si="2503">AF363-AF351</f>
        <v>-62.5</v>
      </c>
      <c r="AI363" s="303">
        <f t="shared" ref="AI363" si="2504">(H363/I363*1000)/G363</f>
        <v>0.3676305032570602</v>
      </c>
      <c r="AK363" s="442">
        <f t="shared" si="2378"/>
        <v>0.34388341163246744</v>
      </c>
      <c r="AU363" s="4">
        <f t="shared" si="2150"/>
        <v>2012</v>
      </c>
      <c r="AV363" s="4">
        <f t="shared" si="2151"/>
        <v>11</v>
      </c>
      <c r="AW363" s="230">
        <f>'[8]RES 62 &amp; 67'!$S448</f>
        <v>55.8</v>
      </c>
      <c r="AX363" s="200">
        <f t="shared" si="306"/>
        <v>110.2</v>
      </c>
      <c r="AY363" s="203">
        <f t="shared" ref="AY363" si="2505">AX363-AW363</f>
        <v>54.400000000000006</v>
      </c>
      <c r="AZ363" s="230">
        <f>'[8]RES 62 &amp; 67'!$J448</f>
        <v>57.6</v>
      </c>
      <c r="BA363" s="183">
        <f t="shared" si="307"/>
        <v>45.3</v>
      </c>
      <c r="BB363" s="429">
        <f t="shared" ref="BB363" si="2506">BA363-AZ363</f>
        <v>-12.300000000000004</v>
      </c>
      <c r="BC363" s="206">
        <f t="shared" ref="BC363" si="2507">AY363*$H$10</f>
        <v>113.58720000000001</v>
      </c>
      <c r="BD363" s="206">
        <f t="shared" ref="BD363" si="2508">IF($B363=4,($H$11*0.5*AY363),IF($B363=11,($H$11*0.5*AY363),IF($B363=12,AY363*$H$11,IF($B363&lt;5,AY363*$H$11,0))))</f>
        <v>-9.5744000000000007</v>
      </c>
      <c r="BE363" s="206">
        <f t="shared" ref="BE363" si="2509">BC363+BD363</f>
        <v>104.01280000000001</v>
      </c>
      <c r="BF363" s="207">
        <f t="shared" ref="BF363" si="2510">BB363*$H$9</f>
        <v>-32.964000000000013</v>
      </c>
      <c r="BG363" s="219">
        <f t="shared" ref="BG363" si="2511">ROUND(BF363+BE363,1)</f>
        <v>71</v>
      </c>
      <c r="BH363" s="4">
        <f t="shared" si="569"/>
        <v>2012</v>
      </c>
      <c r="BI363" s="4">
        <f t="shared" si="570"/>
        <v>11</v>
      </c>
      <c r="BJ363" s="108">
        <f>C363+[4]MWh!$AJ197</f>
        <v>1147201.4588655459</v>
      </c>
      <c r="BK363" s="108">
        <f t="shared" ref="BK363" si="2512">(H363/C363)*BJ363</f>
        <v>18694.464496628429</v>
      </c>
      <c r="BL363" s="108">
        <f t="shared" ref="BL363" si="2513">BJ363-BK363</f>
        <v>1128506.9943689175</v>
      </c>
      <c r="BM363" s="189">
        <f t="shared" ref="BM363" si="2514">(BL363/F363*1000)+BG363</f>
        <v>794.76797904127</v>
      </c>
      <c r="BN363" s="6">
        <f t="shared" ref="BN363" si="2515">ROUND(BM363*F363/1000,0)</f>
        <v>1239211</v>
      </c>
      <c r="BO363" s="175">
        <f t="shared" ref="BO363" si="2516">ROUND(BN363/BL363*BK363,0)</f>
        <v>20528</v>
      </c>
      <c r="BP363" s="108">
        <f t="shared" ref="BP363" si="2517">(BN363-BL363)+(BO363-BK363)</f>
        <v>112537.54113445403</v>
      </c>
      <c r="BQ363" s="76">
        <f t="shared" ref="BQ363" si="2518">BJ363/D363*1000</f>
        <v>704.03392692069986</v>
      </c>
      <c r="BR363" s="76">
        <f t="shared" ref="BR363" si="2519">(BN363+BO363)/D363*1000</f>
        <v>773.09786194152821</v>
      </c>
      <c r="BS363" s="76">
        <f t="shared" ref="BS363" si="2520">BR363-BR351</f>
        <v>-6.4955227684051806</v>
      </c>
      <c r="BT363" s="175">
        <f t="shared" ref="BT363" si="2521">(BN363+BO363)</f>
        <v>1259739</v>
      </c>
      <c r="BU363" s="108">
        <f t="shared" ref="BU363" si="2522">BT363-BT351</f>
        <v>14047</v>
      </c>
      <c r="BV363" s="108">
        <f t="shared" ref="BV363:BV368" si="2523">BT363-BJ363-BK363</f>
        <v>93843.076637825652</v>
      </c>
      <c r="BW363" s="529">
        <f>BT363/[9]RMWh!$L243</f>
        <v>0.96809839147097676</v>
      </c>
      <c r="BX363" s="537">
        <f t="shared" si="2168"/>
        <v>0.87620444507708573</v>
      </c>
      <c r="CK363" s="406">
        <v>41214</v>
      </c>
      <c r="CL363" s="50">
        <f>BP363+COML!BV363+SPA!BV363</f>
        <v>166659.54113445402</v>
      </c>
      <c r="CM363" s="181">
        <f>'[14]2012'!$D42</f>
        <v>156139</v>
      </c>
      <c r="CN363" s="407">
        <f t="shared" ref="CN363" si="2524">CL363-CM363</f>
        <v>10520.541134454019</v>
      </c>
      <c r="CO363" s="50">
        <f>'[2]FPC wSEB'!$R460</f>
        <v>2739254</v>
      </c>
      <c r="CP363" s="50">
        <f>'[2]FPC wSEB'!$C460-SUM('[2]FPC wSEB'!$K460:$L460)</f>
        <v>2920346</v>
      </c>
      <c r="CQ363" s="50">
        <f>'[2]FPC wSEB'!$T460-'[2]FPC wSEB'!$T459</f>
        <v>-450674</v>
      </c>
      <c r="CR363" s="50">
        <f>SUM('[2]FPC wSEB'!$K460:$L460)</f>
        <v>157991</v>
      </c>
      <c r="CS363" s="50">
        <f>('[2]FPC wSEB'!$N460)-CQ363</f>
        <v>-72479</v>
      </c>
      <c r="CT363" s="50">
        <f>'[2]FPC wSEB'!$P460</f>
        <v>11024</v>
      </c>
      <c r="CU363" s="50">
        <f>'[2]FPC wSEB'!$Q460</f>
        <v>173046</v>
      </c>
      <c r="CV363" s="115">
        <f t="shared" ref="CV363" si="2525">CO363-SUM(CP363:CU363)</f>
        <v>0</v>
      </c>
      <c r="CW363" s="50">
        <f t="shared" ref="CW363" si="2526">CO363-CT363-CU363+CM363</f>
        <v>2711323</v>
      </c>
      <c r="CX363" s="50">
        <f t="shared" ref="CX363" si="2527">SUM(CP363:CS363)+CL363</f>
        <v>2721843.5411344538</v>
      </c>
      <c r="CY363" s="50">
        <f t="shared" ref="CY363" si="2528">CW363-CX363</f>
        <v>-10520.541134453844</v>
      </c>
      <c r="CZ363" s="23"/>
      <c r="DA363" s="23"/>
      <c r="DB363" s="50">
        <f t="shared" si="1181"/>
        <v>0.46380000000004706</v>
      </c>
      <c r="DC363" s="108">
        <f t="shared" si="1182"/>
        <v>900.96379999999999</v>
      </c>
      <c r="DD363" s="50">
        <f t="shared" si="1183"/>
        <v>1404793</v>
      </c>
      <c r="DE363" s="108">
        <f t="shared" si="1184"/>
        <v>22892</v>
      </c>
      <c r="DF363" s="50">
        <f t="shared" si="1185"/>
        <v>1427685</v>
      </c>
      <c r="DG363" s="23">
        <f t="shared" si="1186"/>
        <v>0</v>
      </c>
      <c r="DH363" s="500">
        <f>ROUND((([13]RUPC!$E243+DG363)*[5]RC!$E$209)/1000,0)</f>
        <v>1281111</v>
      </c>
      <c r="DI363" s="50">
        <f t="shared" si="1626"/>
        <v>-64585</v>
      </c>
      <c r="DJ363" s="23"/>
      <c r="DK363" s="23"/>
      <c r="DL363" s="23"/>
      <c r="DM363" s="23"/>
      <c r="DN363" s="23"/>
    </row>
    <row r="364" spans="1:118" s="89" customFormat="1" ht="12.75">
      <c r="A364" s="90">
        <f t="shared" si="1963"/>
        <v>2012</v>
      </c>
      <c r="B364" s="90">
        <f t="shared" si="1964"/>
        <v>12</v>
      </c>
      <c r="C364" s="103">
        <f>'[2]FPC wSEB'!$D461</f>
        <v>1156813</v>
      </c>
      <c r="D364" s="103">
        <f>'[2]FPC wSEB'!$X461</f>
        <v>1469818</v>
      </c>
      <c r="E364" s="103">
        <f t="shared" ref="E364" si="2529">ROUND(C364-H364,0)</f>
        <v>1132707</v>
      </c>
      <c r="F364" s="103">
        <f t="shared" ref="F364" si="2530">ROUND(D364-I364,0)</f>
        <v>1407686</v>
      </c>
      <c r="G364" s="109">
        <f t="shared" ref="G364" si="2531">ROUND((E364)/F364*1000,1)</f>
        <v>804.7</v>
      </c>
      <c r="H364" s="196">
        <f>[15]ssr!C183</f>
        <v>24106</v>
      </c>
      <c r="I364" s="196">
        <f>[15]ssr!D183</f>
        <v>62132</v>
      </c>
      <c r="J364" s="300">
        <f>'[7]RES 62 &amp; 67'!$S449</f>
        <v>70.599999999999994</v>
      </c>
      <c r="K364" s="210">
        <f t="shared" si="301"/>
        <v>88</v>
      </c>
      <c r="L364" s="234">
        <f t="shared" ref="L364" si="2532">(K364-J364)</f>
        <v>17.400000000000006</v>
      </c>
      <c r="M364" s="300">
        <f>'[7]RES 62 &amp; 67'!$J449</f>
        <v>54</v>
      </c>
      <c r="N364" s="210">
        <f t="shared" si="302"/>
        <v>83.9</v>
      </c>
      <c r="O364" s="237">
        <f t="shared" ref="O364" si="2533">(N364-M364)</f>
        <v>29.900000000000006</v>
      </c>
      <c r="P364" s="211">
        <f t="shared" ref="P364" si="2534">L364*$H$10</f>
        <v>36.33120000000001</v>
      </c>
      <c r="Q364" s="211">
        <f t="shared" ref="Q364" si="2535">IF($B364=12,L364*$H$11,IF($B364&lt;5,L364*$H$11,0))</f>
        <v>-6.1248000000000014</v>
      </c>
      <c r="R364" s="468">
        <f t="shared" ref="R364" si="2536">P364+Q364</f>
        <v>30.206400000000009</v>
      </c>
      <c r="S364" s="471">
        <f t="shared" ref="S364" si="2537">O364*$H$9</f>
        <v>80.132000000000019</v>
      </c>
      <c r="T364" s="426">
        <f t="shared" ref="T364" si="2538">ROUND((R364+S364),1)</f>
        <v>110.3</v>
      </c>
      <c r="U364" s="579">
        <f>[5]RC!$E244</f>
        <v>1469407</v>
      </c>
      <c r="V364" s="447">
        <v>41244</v>
      </c>
      <c r="W364" s="95">
        <f t="shared" ref="W364" si="2539">(G364+T364)</f>
        <v>915</v>
      </c>
      <c r="X364" s="104">
        <f t="shared" ref="X364" si="2540">ROUND(W364*F364/1000,0)</f>
        <v>1288033</v>
      </c>
      <c r="Y364" s="198">
        <f t="shared" ref="Y364" si="2541">ROUND((X364/C364)*H364,0)</f>
        <v>26840</v>
      </c>
      <c r="Z364" s="176">
        <f t="shared" ref="Z364" si="2542">Y364+X364</f>
        <v>1314873</v>
      </c>
      <c r="AA364" s="116">
        <f t="shared" ref="AA364" si="2543">Z364-C364</f>
        <v>158060</v>
      </c>
      <c r="AB364" s="520">
        <f>[9]RMWh!$L244</f>
        <v>1307591</v>
      </c>
      <c r="AC364" s="110">
        <f>'[7]Gov 65 &amp; 70'!$B449</f>
        <v>31.75</v>
      </c>
      <c r="AD364" s="89">
        <f t="shared" si="1427"/>
        <v>1252816</v>
      </c>
      <c r="AE364" s="89">
        <f t="shared" ref="AE364" si="2544">AD364-AD352</f>
        <v>-10315</v>
      </c>
      <c r="AF364" s="117">
        <f t="shared" ref="AF364" si="2545">ROUND((AD364/(D364)*1000),1)</f>
        <v>852.4</v>
      </c>
      <c r="AG364" s="91">
        <f t="shared" ref="AG364" si="2546">AF364-AF352</f>
        <v>-4.8000000000000682</v>
      </c>
      <c r="AH364" s="252"/>
      <c r="AI364" s="304">
        <f t="shared" ref="AI364" si="2547">(H364/I364*1000)/G364</f>
        <v>0.48214294614709302</v>
      </c>
      <c r="AK364" s="443">
        <f t="shared" si="2378"/>
        <v>0.46872621458853259</v>
      </c>
      <c r="AU364" s="89">
        <f t="shared" si="2150"/>
        <v>2012</v>
      </c>
      <c r="AV364" s="89">
        <f t="shared" si="2151"/>
        <v>12</v>
      </c>
      <c r="AW364" s="300">
        <f>'[8]RES 62 &amp; 67'!$S449</f>
        <v>76.5</v>
      </c>
      <c r="AX364" s="210">
        <f t="shared" si="306"/>
        <v>53.2</v>
      </c>
      <c r="AY364" s="204">
        <f t="shared" ref="AY364" si="2548">AX364-AW364</f>
        <v>-23.299999999999997</v>
      </c>
      <c r="AZ364" s="300">
        <f>'[8]RES 62 &amp; 67'!$J449</f>
        <v>86.1</v>
      </c>
      <c r="BA364" s="210">
        <f t="shared" si="307"/>
        <v>114.1</v>
      </c>
      <c r="BB364" s="430">
        <f t="shared" ref="BB364" si="2549">BA364-AZ364</f>
        <v>28</v>
      </c>
      <c r="BC364" s="211">
        <f t="shared" ref="BC364" si="2550">AY364*$H$10</f>
        <v>-48.650399999999998</v>
      </c>
      <c r="BD364" s="211">
        <f t="shared" ref="BD364" si="2551">IF($B364=4,($H$11*0.5*AY364),IF($B364=11,($H$11*0.5*AY364),IF($B364=12,AY364*$H$11,IF($B364&lt;5,AY364*$H$11,0))))</f>
        <v>8.2015999999999991</v>
      </c>
      <c r="BE364" s="211">
        <f t="shared" ref="BE364" si="2552">BC364+BD364</f>
        <v>-40.448799999999999</v>
      </c>
      <c r="BF364" s="212">
        <f t="shared" ref="BF364" si="2553">BB364*$H$9</f>
        <v>75.040000000000006</v>
      </c>
      <c r="BG364" s="220">
        <f t="shared" ref="BG364" si="2554">ROUND(BF364+BE364,1)</f>
        <v>34.6</v>
      </c>
      <c r="BH364" s="89">
        <f t="shared" si="569"/>
        <v>2012</v>
      </c>
      <c r="BI364" s="89">
        <f t="shared" si="570"/>
        <v>12</v>
      </c>
      <c r="BJ364" s="117">
        <f>C364+[4]MWh!$AJ198</f>
        <v>1215564.4384949312</v>
      </c>
      <c r="BK364" s="117">
        <f t="shared" ref="BK364" si="2555">(H364/C364)*BJ364</f>
        <v>25330.279271030679</v>
      </c>
      <c r="BL364" s="117">
        <f t="shared" ref="BL364" si="2556">BJ364-BK364</f>
        <v>1190234.1592239006</v>
      </c>
      <c r="BM364" s="199">
        <f t="shared" ref="BM364" si="2557">(BL364/F364*1000)+BG364</f>
        <v>880.12532256760426</v>
      </c>
      <c r="BN364" s="96">
        <f t="shared" ref="BN364" si="2558">ROUND(BM364*F364/1000,0)</f>
        <v>1238940</v>
      </c>
      <c r="BO364" s="176">
        <f t="shared" ref="BO364" si="2559">ROUND(BN364/BL364*BK364,0)</f>
        <v>26367</v>
      </c>
      <c r="BP364" s="117">
        <f t="shared" ref="BP364" si="2560">(BN364-BL364)+(BO364-BK364)</f>
        <v>49742.561505068676</v>
      </c>
      <c r="BQ364" s="92">
        <f t="shared" ref="BQ364" si="2561">BJ364/D364*1000</f>
        <v>827.01697658821104</v>
      </c>
      <c r="BR364" s="92">
        <f t="shared" ref="BR364" si="2562">(BN364+BO364)/D364*1000</f>
        <v>860.85964384706142</v>
      </c>
      <c r="BS364" s="92">
        <f t="shared" ref="BS364" si="2563">BR364-BR352</f>
        <v>-35.800870003560817</v>
      </c>
      <c r="BT364" s="176">
        <f t="shared" ref="BT364" si="2564">(BN364+BO364)</f>
        <v>1265307</v>
      </c>
      <c r="BU364" s="117">
        <f t="shared" ref="BU364" si="2565">BT364-BT352</f>
        <v>-55994</v>
      </c>
      <c r="BV364" s="117">
        <f t="shared" si="2523"/>
        <v>24412.282234038114</v>
      </c>
      <c r="BW364" s="529">
        <f>BT364/[9]RMWh!$L244</f>
        <v>0.9676626712787102</v>
      </c>
      <c r="BX364" s="443">
        <f>AVERAGE(BW364,BW352,BW340,BW328,BW316,BW304,BW292,BW280,BW256)+0.054</f>
        <v>1.0616069351479693</v>
      </c>
      <c r="CK364" s="166">
        <v>41244</v>
      </c>
      <c r="CL364" s="117">
        <f>BP364+COML!BV364+SPA!BV364</f>
        <v>35139.561505068676</v>
      </c>
      <c r="CM364" s="359">
        <f>'[14]2012'!$D43</f>
        <v>74813</v>
      </c>
      <c r="CN364" s="1">
        <f t="shared" ref="CN364" si="2566">CL364-CM364</f>
        <v>-39673.438494931324</v>
      </c>
      <c r="CO364" s="117">
        <f>'[2]FPC wSEB'!$R461</f>
        <v>3036362</v>
      </c>
      <c r="CP364" s="117">
        <f>'[2]FPC wSEB'!$C461-SUM('[2]FPC wSEB'!$K461:$L461)</f>
        <v>2514086</v>
      </c>
      <c r="CQ364" s="117">
        <f>'[2]FPC wSEB'!$T461-'[2]FPC wSEB'!$T460</f>
        <v>219439</v>
      </c>
      <c r="CR364" s="117">
        <f>SUM('[2]FPC wSEB'!$K461:$L461)</f>
        <v>88314</v>
      </c>
      <c r="CS364" s="117">
        <f>('[2]FPC wSEB'!$N461)-CQ364</f>
        <v>39788</v>
      </c>
      <c r="CT364" s="117">
        <f>'[2]FPC wSEB'!$P461</f>
        <v>14632</v>
      </c>
      <c r="CU364" s="117">
        <f>'[2]FPC wSEB'!$Q461</f>
        <v>160103</v>
      </c>
      <c r="CV364" s="118">
        <f t="shared" ref="CV364" si="2567">CO364-SUM(CP364:CU364)</f>
        <v>0</v>
      </c>
      <c r="CW364" s="117">
        <f t="shared" ref="CW364" si="2568">CO364-CT364-CU364+CM364</f>
        <v>2936440</v>
      </c>
      <c r="CX364" s="117">
        <f t="shared" ref="CX364" si="2569">SUM(CP364:CS364)+CL364</f>
        <v>2896766.5615050686</v>
      </c>
      <c r="CY364" s="117">
        <f t="shared" ref="CY364" si="2570">CW364-CX364</f>
        <v>39673.438494931441</v>
      </c>
      <c r="DB364" s="117">
        <f t="shared" si="1181"/>
        <v>118.99650000000003</v>
      </c>
      <c r="DC364" s="117">
        <f t="shared" si="1182"/>
        <v>923.69650000000001</v>
      </c>
      <c r="DD364" s="117">
        <f t="shared" si="1183"/>
        <v>1300275</v>
      </c>
      <c r="DE364" s="117">
        <f t="shared" si="1184"/>
        <v>27096</v>
      </c>
      <c r="DF364" s="117">
        <f t="shared" si="1185"/>
        <v>1327371</v>
      </c>
      <c r="DG364" s="89">
        <f t="shared" si="1186"/>
        <v>116</v>
      </c>
      <c r="DH364" s="501">
        <f>ROUND((([13]RUPC!$E244+DG364)*[5]RC!$E$209)/1000,0)</f>
        <v>1295599</v>
      </c>
      <c r="DI364" s="117">
        <f t="shared" si="1626"/>
        <v>8112</v>
      </c>
    </row>
    <row r="365" spans="1:118" ht="12.75">
      <c r="A365" s="13">
        <f t="shared" si="1963"/>
        <v>2013</v>
      </c>
      <c r="B365" s="13">
        <f t="shared" si="1964"/>
        <v>1</v>
      </c>
      <c r="C365" s="5">
        <f>'[2]FPC wSEB'!$D462</f>
        <v>1254612</v>
      </c>
      <c r="D365" s="5">
        <f>'[2]FPC wSEB'!$X462</f>
        <v>1385210</v>
      </c>
      <c r="E365" s="5">
        <f t="shared" ref="E365" si="2571">ROUND(C365-H365,0)</f>
        <v>1224961</v>
      </c>
      <c r="F365" s="5">
        <f t="shared" ref="F365" si="2572">ROUND(D365-I365,0)</f>
        <v>1326973</v>
      </c>
      <c r="G365" s="74">
        <f t="shared" ref="G365" si="2573">ROUND((E365)/F365*1000,1)</f>
        <v>923.1</v>
      </c>
      <c r="H365" s="190">
        <f>[16]ssr!C184</f>
        <v>29651</v>
      </c>
      <c r="I365" s="190">
        <f>[16]ssr!D184</f>
        <v>58237</v>
      </c>
      <c r="J365" s="230">
        <f>'[7]RES 62 &amp; 67'!$S450</f>
        <v>75</v>
      </c>
      <c r="K365" s="183">
        <f t="shared" si="301"/>
        <v>49.5</v>
      </c>
      <c r="L365" s="233">
        <f t="shared" ref="L365" si="2574">(K365-J365)</f>
        <v>-25.5</v>
      </c>
      <c r="M365" s="230">
        <f>'[7]RES 62 &amp; 67'!$J450</f>
        <v>89.3</v>
      </c>
      <c r="N365" s="183">
        <f t="shared" si="302"/>
        <v>131.6</v>
      </c>
      <c r="O365" s="236">
        <f t="shared" ref="O365" si="2575">(N365-M365)</f>
        <v>42.3</v>
      </c>
      <c r="P365" s="206">
        <f t="shared" ref="P365:P370" si="2576">L365*$I$10</f>
        <v>-55.794000000000004</v>
      </c>
      <c r="Q365" s="208">
        <f t="shared" ref="Q365:Q370" si="2577">IF($B365=12,L365*$I$11,IF($B365&lt;5,L365*$I$11,0))</f>
        <v>6.1964999999999995</v>
      </c>
      <c r="R365" s="467">
        <f t="shared" ref="R365" si="2578">P365+Q365</f>
        <v>-49.597500000000004</v>
      </c>
      <c r="S365" s="470">
        <f>O365*$I$9</f>
        <v>120.63959999999999</v>
      </c>
      <c r="T365" s="425">
        <f t="shared" ref="T365" si="2579">ROUND((R365+S365),1)</f>
        <v>71</v>
      </c>
      <c r="U365" s="579">
        <f>[5]RC!$E245</f>
        <v>1471228</v>
      </c>
      <c r="V365" s="447">
        <v>41275</v>
      </c>
      <c r="W365" s="191">
        <f t="shared" ref="W365" si="2580">(G365+T365)</f>
        <v>994.1</v>
      </c>
      <c r="X365" s="73">
        <f t="shared" ref="X365" si="2581">ROUND(W365*F365/1000,0)</f>
        <v>1319144</v>
      </c>
      <c r="Y365" s="187">
        <f t="shared" ref="Y365" si="2582">ROUND((X365/C365)*H365,0)</f>
        <v>31176</v>
      </c>
      <c r="Z365" s="175">
        <f t="shared" ref="Z365" si="2583">Y365+X365</f>
        <v>1350320</v>
      </c>
      <c r="AA365" s="40">
        <f t="shared" ref="AA365" si="2584">Z365-C365</f>
        <v>95708</v>
      </c>
      <c r="AB365" s="519">
        <f>[9]RMWh!$L245</f>
        <v>1419742</v>
      </c>
      <c r="AC365" s="107">
        <f>'[7]Gov 65 &amp; 70'!$B450</f>
        <v>31.9</v>
      </c>
      <c r="AD365" s="4">
        <f t="shared" si="1427"/>
        <v>1353873</v>
      </c>
      <c r="AE365" s="4">
        <f t="shared" ref="AE365" si="2585">AD365-AD353</f>
        <v>-15370</v>
      </c>
      <c r="AF365" s="50">
        <f t="shared" ref="AF365" si="2586">ROUND((AD365/(D365)*1000),1)</f>
        <v>977.4</v>
      </c>
      <c r="AG365" s="75">
        <f t="shared" ref="AG365" si="2587">AF365-AF353</f>
        <v>-9.5</v>
      </c>
      <c r="AI365" s="303">
        <f t="shared" ref="AI365" si="2588">(H365/I365*1000)/G365</f>
        <v>0.55155852188171939</v>
      </c>
      <c r="AK365" s="422">
        <f t="shared" ref="AK365" si="2589">AVERAGE(AI365,AI353,AI341,AI329,AI317,AI305,AI293,AI281,AI257,AI245)</f>
        <v>0.55935566914130364</v>
      </c>
      <c r="AU365" s="4">
        <f t="shared" si="2150"/>
        <v>2013</v>
      </c>
      <c r="AV365" s="4">
        <f t="shared" si="2151"/>
        <v>1</v>
      </c>
      <c r="AW365" s="230">
        <f>'[8]RES 62 &amp; 67'!$S450</f>
        <v>87.2</v>
      </c>
      <c r="AX365" s="200">
        <f t="shared" si="306"/>
        <v>50.5</v>
      </c>
      <c r="AY365" s="203">
        <f t="shared" ref="AY365" si="2590">AX365-AW365</f>
        <v>-36.700000000000003</v>
      </c>
      <c r="AZ365" s="230">
        <f>'[8]RES 62 &amp; 67'!$J450</f>
        <v>54.3</v>
      </c>
      <c r="BA365" s="183">
        <f t="shared" si="307"/>
        <v>127.9</v>
      </c>
      <c r="BB365" s="429">
        <f t="shared" ref="BB365" si="2591">BA365-AZ365</f>
        <v>73.600000000000009</v>
      </c>
      <c r="BC365" s="206">
        <f t="shared" ref="BC365:BC370" si="2592">AY365*$I$10</f>
        <v>-80.299600000000012</v>
      </c>
      <c r="BD365" s="206">
        <f t="shared" ref="BD365:BD370" si="2593">IF($B365=4,($I$11*0.5*AY365),IF($B365=11,($I$11*0.5*AY365),IF($B365=12,AY365*$I$11,IF($B365&lt;5,AY365*$I$11,0))))</f>
        <v>8.9181000000000008</v>
      </c>
      <c r="BE365" s="206">
        <f t="shared" ref="BE365" si="2594">BC365+BD365</f>
        <v>-71.381500000000017</v>
      </c>
      <c r="BF365" s="207">
        <f>BB365*$I$9</f>
        <v>209.90720000000002</v>
      </c>
      <c r="BG365" s="219">
        <f t="shared" ref="BG365" si="2595">ROUND(BF365+BE365,1)</f>
        <v>138.5</v>
      </c>
      <c r="BH365" s="4">
        <f t="shared" ref="BH365:BH376" si="2596">BH353+1</f>
        <v>2013</v>
      </c>
      <c r="BI365" s="4">
        <f t="shared" ref="BI365:BI376" si="2597">BI353</f>
        <v>1</v>
      </c>
      <c r="BJ365" s="108">
        <f>C365+[4]MWh!$AJ199</f>
        <v>1273612.2432745481</v>
      </c>
      <c r="BK365" s="108">
        <f t="shared" ref="BK365" si="2598">(H365/C365)*BJ365</f>
        <v>30100.044177270443</v>
      </c>
      <c r="BL365" s="108">
        <f t="shared" ref="BL365" si="2599">BJ365-BK365</f>
        <v>1243512.1990972776</v>
      </c>
      <c r="BM365" s="189">
        <f t="shared" ref="BM365" si="2600">(BL365/F365*1000)+BG365</f>
        <v>1075.6043714508717</v>
      </c>
      <c r="BN365" s="6">
        <f t="shared" ref="BN365" si="2601">ROUND(BM365*F365/1000,0)</f>
        <v>1427298</v>
      </c>
      <c r="BO365" s="175">
        <f t="shared" ref="BO365" si="2602">ROUND(BN365/BL365*BK365,0)</f>
        <v>34549</v>
      </c>
      <c r="BP365" s="108">
        <f t="shared" ref="BP365" si="2603">(BN365-BL365)+(BO365-BK365)</f>
        <v>188234.75672545197</v>
      </c>
      <c r="BQ365" s="76">
        <f t="shared" ref="BQ365" si="2604">BJ365/D365*1000</f>
        <v>919.43621781141348</v>
      </c>
      <c r="BR365" s="76">
        <f t="shared" ref="BR365" si="2605">(BN365+BO365)/D365*1000</f>
        <v>1055.3251853509576</v>
      </c>
      <c r="BS365" s="76">
        <f t="shared" ref="BS365" si="2606">BR365-BR353</f>
        <v>31.605499864372064</v>
      </c>
      <c r="BT365" s="175">
        <f t="shared" ref="BT365" si="2607">(BN365+BO365)</f>
        <v>1461847</v>
      </c>
      <c r="BU365" s="108">
        <f t="shared" ref="BU365" si="2608">BT365-BT353</f>
        <v>41525</v>
      </c>
      <c r="BV365" s="108">
        <f t="shared" si="2523"/>
        <v>158134.71254818147</v>
      </c>
      <c r="BW365" s="529">
        <f>BT365/[9]RMWh!$L245</f>
        <v>1.0296567967982915</v>
      </c>
      <c r="BX365" s="528">
        <f>SUM(BX353:BX364)</f>
        <v>11.999426781150115</v>
      </c>
      <c r="CK365" s="406">
        <v>41275</v>
      </c>
      <c r="CL365" s="50">
        <f>BP365+COML!BV365+SPA!BV365</f>
        <v>184560.75672545197</v>
      </c>
      <c r="CM365" s="181">
        <f>'[14]2013'!$D32</f>
        <v>204023</v>
      </c>
      <c r="CN365" s="407">
        <f t="shared" ref="CN365" si="2609">CL365-CM365</f>
        <v>-19462.243274548033</v>
      </c>
      <c r="CO365" s="50">
        <f>'[2]FPC wSEB'!$R462</f>
        <v>2881523</v>
      </c>
      <c r="CP365" s="50">
        <f>'[2]FPC wSEB'!$C462-SUM('[2]FPC wSEB'!$K462:$L462)</f>
        <v>2608841</v>
      </c>
      <c r="CQ365" s="50">
        <f>'[2]FPC wSEB'!$T462-'[2]FPC wSEB'!$T461</f>
        <v>-33712</v>
      </c>
      <c r="CR365" s="50">
        <f>SUM('[2]FPC wSEB'!$K462:$L462)</f>
        <v>121879</v>
      </c>
      <c r="CS365" s="50">
        <f>('[2]FPC wSEB'!$N462)-CQ365</f>
        <v>-46484</v>
      </c>
      <c r="CT365" s="50">
        <f>'[2]FPC wSEB'!$P462</f>
        <v>14362</v>
      </c>
      <c r="CU365" s="50">
        <f>'[2]FPC wSEB'!$Q462</f>
        <v>216637</v>
      </c>
      <c r="CV365" s="115">
        <f t="shared" ref="CV365" si="2610">CO365-SUM(CP365:CU365)</f>
        <v>0</v>
      </c>
      <c r="CW365" s="50">
        <f t="shared" ref="CW365" si="2611">CO365-CT365-CU365+CM365</f>
        <v>2854547</v>
      </c>
      <c r="CX365" s="50">
        <f t="shared" ref="CX365" si="2612">SUM(CP365:CS365)+CL365</f>
        <v>2835084.7567254519</v>
      </c>
      <c r="CY365" s="50">
        <f t="shared" ref="CY365" si="2613">CW365-CX365</f>
        <v>19462.243274548091</v>
      </c>
      <c r="CZ365" s="23"/>
      <c r="DA365" s="23"/>
      <c r="DB365" s="50">
        <f t="shared" ref="DB365" si="2614">(1.926*L365)+(2.859*O365)</f>
        <v>71.822699999999998</v>
      </c>
      <c r="DC365" s="108">
        <f t="shared" ref="DC365" si="2615">G365+DB365</f>
        <v>994.92270000000008</v>
      </c>
      <c r="DD365" s="50">
        <f t="shared" ref="DD365" si="2616">ROUND(DC365*F365/1000,0)</f>
        <v>1320236</v>
      </c>
      <c r="DE365" s="108">
        <f t="shared" ref="DE365" si="2617">ROUND((DD365/C365)*H365,0)</f>
        <v>31202</v>
      </c>
      <c r="DF365" s="50">
        <f t="shared" ref="DF365" si="2618">DE365+DD365</f>
        <v>1351438</v>
      </c>
      <c r="DG365" s="23">
        <f t="shared" ref="DG365" si="2619">ROUND((DF365-C365)/D365*1000,0)</f>
        <v>70</v>
      </c>
      <c r="DH365" s="500">
        <f>ROUND((([13]RUPC!$E245+DG365)*[5]RC!$E$209)/1000,0)</f>
        <v>1393053</v>
      </c>
      <c r="DI365" s="50">
        <f t="shared" si="1626"/>
        <v>-22357</v>
      </c>
      <c r="DJ365" s="23"/>
      <c r="DK365" s="23"/>
      <c r="DL365" s="23"/>
      <c r="DM365" s="23"/>
      <c r="DN365" s="23"/>
    </row>
    <row r="366" spans="1:118" ht="12.75">
      <c r="A366" s="13">
        <f t="shared" si="1963"/>
        <v>2013</v>
      </c>
      <c r="B366" s="13">
        <f t="shared" si="1964"/>
        <v>2</v>
      </c>
      <c r="C366" s="5">
        <f>'[2]FPC wSEB'!$D463</f>
        <v>1262882</v>
      </c>
      <c r="D366" s="5">
        <f>'[2]FPC wSEB'!$X463</f>
        <v>1468867</v>
      </c>
      <c r="E366" s="5">
        <f t="shared" ref="E366" si="2620">ROUND(C366-H366,0)</f>
        <v>1228766</v>
      </c>
      <c r="F366" s="5">
        <f t="shared" ref="F366" si="2621">ROUND(D366-I366,0)</f>
        <v>1407362</v>
      </c>
      <c r="G366" s="74">
        <f t="shared" ref="G366" si="2622">ROUND((E366)/F366*1000,1)</f>
        <v>873.1</v>
      </c>
      <c r="H366" s="190">
        <f>[16]ssr!C185</f>
        <v>34116</v>
      </c>
      <c r="I366" s="190">
        <f>[16]ssr!D185</f>
        <v>61505</v>
      </c>
      <c r="J366" s="230">
        <f>'[7]RES 62 &amp; 67'!$S451</f>
        <v>70.599999999999994</v>
      </c>
      <c r="K366" s="183">
        <f t="shared" si="301"/>
        <v>43.3</v>
      </c>
      <c r="L366" s="233">
        <f t="shared" ref="L366" si="2623">(K366-J366)</f>
        <v>-27.299999999999997</v>
      </c>
      <c r="M366" s="230">
        <f>'[7]RES 62 &amp; 67'!$J451</f>
        <v>76.099999999999994</v>
      </c>
      <c r="N366" s="183">
        <f t="shared" si="302"/>
        <v>127.9</v>
      </c>
      <c r="O366" s="236">
        <f t="shared" ref="O366" si="2624">(N366-M366)</f>
        <v>51.800000000000011</v>
      </c>
      <c r="P366" s="206">
        <f t="shared" si="2576"/>
        <v>-59.732399999999998</v>
      </c>
      <c r="Q366" s="208">
        <f t="shared" si="2577"/>
        <v>6.6338999999999988</v>
      </c>
      <c r="R366" s="467">
        <f t="shared" ref="R366" si="2625">P366+Q366</f>
        <v>-53.098500000000001</v>
      </c>
      <c r="S366" s="470">
        <f>O366*$I$9</f>
        <v>147.73360000000002</v>
      </c>
      <c r="T366" s="425">
        <f t="shared" ref="T366" si="2626">ROUND((R366+S366),1)</f>
        <v>94.6</v>
      </c>
      <c r="U366" s="579">
        <f>[5]RC!$E246</f>
        <v>1473524</v>
      </c>
      <c r="V366" s="447">
        <v>41306</v>
      </c>
      <c r="W366" s="191">
        <f t="shared" ref="W366" si="2627">(G366+T366)</f>
        <v>967.7</v>
      </c>
      <c r="X366" s="73">
        <f t="shared" ref="X366" si="2628">ROUND(W366*F366/1000,0)</f>
        <v>1361904</v>
      </c>
      <c r="Y366" s="187">
        <f t="shared" ref="Y366" si="2629">ROUND((X366/C366)*H366,0)</f>
        <v>36791</v>
      </c>
      <c r="Z366" s="175">
        <f t="shared" ref="Z366" si="2630">Y366+X366</f>
        <v>1398695</v>
      </c>
      <c r="AA366" s="40">
        <f t="shared" ref="AA366" si="2631">Z366-C366</f>
        <v>135813</v>
      </c>
      <c r="AB366" s="519">
        <f>[9]RMWh!$L246</f>
        <v>1407920</v>
      </c>
      <c r="AC366" s="107">
        <f>'[7]Gov 65 &amp; 70'!$B451</f>
        <v>29.7</v>
      </c>
      <c r="AD366" s="4">
        <f t="shared" si="1427"/>
        <v>1442051</v>
      </c>
      <c r="AE366" s="4">
        <f t="shared" ref="AE366" si="2632">AD366-AD354</f>
        <v>71920</v>
      </c>
      <c r="AF366" s="50">
        <f t="shared" ref="AF366" si="2633">ROUND((AD366/(D366)*1000),1)</f>
        <v>981.7</v>
      </c>
      <c r="AG366" s="75">
        <f t="shared" ref="AG366" si="2634">AF366-AF354</f>
        <v>-13.5</v>
      </c>
      <c r="AI366" s="303">
        <f t="shared" ref="AI366" si="2635">(H366/I366*1000)/G366</f>
        <v>0.63530707919441853</v>
      </c>
      <c r="AK366" s="422">
        <f t="shared" ref="AK366" si="2636">AVERAGE(AI366,AI354,AI342,AI330,AI318,AI306,AI294,AI282,AI258,AI246)</f>
        <v>0.64064883683295815</v>
      </c>
      <c r="AU366" s="4">
        <f t="shared" si="2150"/>
        <v>2013</v>
      </c>
      <c r="AV366" s="4">
        <f t="shared" si="2151"/>
        <v>2</v>
      </c>
      <c r="AW366" s="230">
        <f>'[8]RES 62 &amp; 67'!$S451</f>
        <v>69.900000000000006</v>
      </c>
      <c r="AX366" s="200">
        <f t="shared" si="306"/>
        <v>59.2</v>
      </c>
      <c r="AY366" s="203">
        <f t="shared" ref="AY366" si="2637">AX366-AW366</f>
        <v>-10.700000000000003</v>
      </c>
      <c r="AZ366" s="230">
        <f>'[8]RES 62 &amp; 67'!$J451</f>
        <v>80.5</v>
      </c>
      <c r="BA366" s="183">
        <f t="shared" si="307"/>
        <v>97.8</v>
      </c>
      <c r="BB366" s="429">
        <f t="shared" ref="BB366" si="2638">BA366-AZ366</f>
        <v>17.299999999999997</v>
      </c>
      <c r="BC366" s="206">
        <f t="shared" si="2592"/>
        <v>-23.411600000000007</v>
      </c>
      <c r="BD366" s="206">
        <f t="shared" si="2593"/>
        <v>2.6001000000000007</v>
      </c>
      <c r="BE366" s="206">
        <f t="shared" ref="BE366" si="2639">BC366+BD366</f>
        <v>-20.811500000000006</v>
      </c>
      <c r="BF366" s="207">
        <f>BB366*$I$9</f>
        <v>49.33959999999999</v>
      </c>
      <c r="BG366" s="219">
        <f t="shared" ref="BG366" si="2640">ROUND(BF366+BE366,1)</f>
        <v>28.5</v>
      </c>
      <c r="BH366" s="4">
        <f t="shared" si="2596"/>
        <v>2013</v>
      </c>
      <c r="BI366" s="4">
        <f t="shared" si="2597"/>
        <v>2</v>
      </c>
      <c r="BJ366" s="108">
        <f>C366+[4]MWh!$AJ200</f>
        <v>1215721.1413141768</v>
      </c>
      <c r="BK366" s="108">
        <f t="shared" ref="BK366" si="2641">(H366/C366)*BJ366</f>
        <v>32841.977680475655</v>
      </c>
      <c r="BL366" s="108">
        <f t="shared" ref="BL366" si="2642">BJ366-BK366</f>
        <v>1182879.1636337012</v>
      </c>
      <c r="BM366" s="189">
        <f t="shared" ref="BM366" si="2643">(BL366/F366*1000)+BG366</f>
        <v>868.99389114790733</v>
      </c>
      <c r="BN366" s="6">
        <f t="shared" ref="BN366" si="2644">ROUND(BM366*F366/1000,0)</f>
        <v>1222989</v>
      </c>
      <c r="BO366" s="175">
        <f t="shared" ref="BO366" si="2645">ROUND(BN366/BL366*BK366,0)</f>
        <v>33956</v>
      </c>
      <c r="BP366" s="108">
        <f t="shared" ref="BP366" si="2646">(BN366-BL366)+(BO366-BK366)</f>
        <v>41223.858685823187</v>
      </c>
      <c r="BQ366" s="76">
        <f t="shared" ref="BQ366" si="2647">BJ366/D366*1000</f>
        <v>827.65910141229722</v>
      </c>
      <c r="BR366" s="76">
        <f t="shared" ref="BR366" si="2648">(BN366+BO366)/D366*1000</f>
        <v>855.72417380198488</v>
      </c>
      <c r="BS366" s="76">
        <f t="shared" ref="BS366" si="2649">BR366-BR354</f>
        <v>-11.992389083200806</v>
      </c>
      <c r="BT366" s="175">
        <f t="shared" ref="BT366" si="2650">(BN366+BO366)</f>
        <v>1256945</v>
      </c>
      <c r="BU366" s="108">
        <f t="shared" ref="BU366" si="2651">BT366-BT354</f>
        <v>62298</v>
      </c>
      <c r="BV366" s="108">
        <f t="shared" si="2523"/>
        <v>8381.8810053475027</v>
      </c>
      <c r="BW366" s="529">
        <f>BT366/[9]RMWh!$L246</f>
        <v>0.89276734473549635</v>
      </c>
      <c r="CK366" s="406">
        <v>41306</v>
      </c>
      <c r="CL366" s="50">
        <f>BP366+COML!BV366+SPA!BV366</f>
        <v>33710.858685823187</v>
      </c>
      <c r="CM366" s="181">
        <f>'[14]2013'!$D33</f>
        <v>58155</v>
      </c>
      <c r="CN366" s="407">
        <f t="shared" ref="CN366" si="2652">CL366-CM366</f>
        <v>-24444.141314176813</v>
      </c>
      <c r="CO366" s="50">
        <f>'[2]FPC wSEB'!$R463</f>
        <v>2746328</v>
      </c>
      <c r="CP366" s="50">
        <f>'[2]FPC wSEB'!$C463-SUM('[2]FPC wSEB'!$K463:$L463)</f>
        <v>2578190</v>
      </c>
      <c r="CQ366" s="50">
        <f>'[2]FPC wSEB'!$T463-'[2]FPC wSEB'!$T462</f>
        <v>-126548</v>
      </c>
      <c r="CR366" s="50">
        <f>SUM('[2]FPC wSEB'!$K463:$L463)</f>
        <v>68935</v>
      </c>
      <c r="CS366" s="50">
        <f>('[2]FPC wSEB'!$N463)-CQ366</f>
        <v>2426</v>
      </c>
      <c r="CT366" s="50">
        <f>'[2]FPC wSEB'!$P463</f>
        <v>9292</v>
      </c>
      <c r="CU366" s="50">
        <f>'[2]FPC wSEB'!$Q463</f>
        <v>214033</v>
      </c>
      <c r="CV366" s="115">
        <f t="shared" ref="CV366" si="2653">CO366-SUM(CP366:CU366)</f>
        <v>0</v>
      </c>
      <c r="CW366" s="50">
        <f t="shared" ref="CW366" si="2654">CO366-CT366-CU366+CM366</f>
        <v>2581158</v>
      </c>
      <c r="CX366" s="50">
        <f t="shared" ref="CX366" si="2655">SUM(CP366:CS366)+CL366</f>
        <v>2556713.8586858232</v>
      </c>
      <c r="CY366" s="50">
        <f t="shared" ref="CY366" si="2656">CW366-CX366</f>
        <v>24444.141314176843</v>
      </c>
      <c r="CZ366" s="23"/>
      <c r="DA366" s="23"/>
      <c r="DB366" s="50">
        <f t="shared" ref="DB366" si="2657">(1.926*L366)+(2.859*O366)</f>
        <v>95.516400000000047</v>
      </c>
      <c r="DC366" s="108">
        <f t="shared" ref="DC366" si="2658">G366+DB366</f>
        <v>968.61640000000011</v>
      </c>
      <c r="DD366" s="50">
        <f t="shared" ref="DD366" si="2659">ROUND(DC366*F366/1000,0)</f>
        <v>1363194</v>
      </c>
      <c r="DE366" s="108">
        <f t="shared" ref="DE366" si="2660">ROUND((DD366/C366)*H366,0)</f>
        <v>36826</v>
      </c>
      <c r="DF366" s="50">
        <f t="shared" ref="DF366" si="2661">DE366+DD366</f>
        <v>1400020</v>
      </c>
      <c r="DG366" s="23">
        <f t="shared" ref="DG366" si="2662">ROUND((DF366-C366)/D366*1000,0)</f>
        <v>93</v>
      </c>
      <c r="DH366" s="500">
        <f>ROUND((([13]RUPC!$E246+DG366)*[5]RC!$E$209)/1000,0)</f>
        <v>1378782</v>
      </c>
      <c r="DI366" s="50">
        <f t="shared" si="1626"/>
        <v>38911</v>
      </c>
      <c r="DJ366" s="23"/>
      <c r="DK366" s="23"/>
      <c r="DL366" s="23"/>
      <c r="DM366" s="23"/>
      <c r="DN366" s="23"/>
    </row>
    <row r="367" spans="1:118" ht="12.75">
      <c r="A367" s="13">
        <f t="shared" si="1963"/>
        <v>2013</v>
      </c>
      <c r="B367" s="13">
        <f t="shared" si="1964"/>
        <v>3</v>
      </c>
      <c r="C367" s="5">
        <f>'[2]FPC wSEB'!$D464</f>
        <v>1226993</v>
      </c>
      <c r="D367" s="5">
        <f>'[2]FPC wSEB'!$X464</f>
        <v>1399956</v>
      </c>
      <c r="E367" s="5">
        <f t="shared" ref="E367" si="2663">ROUND(C367-H367,0)</f>
        <v>1192442</v>
      </c>
      <c r="F367" s="5">
        <f t="shared" ref="F367" si="2664">ROUND(D367-I367,0)</f>
        <v>1342740</v>
      </c>
      <c r="G367" s="74">
        <f t="shared" ref="G367" si="2665">ROUND((E367)/F367*1000,1)</f>
        <v>888.1</v>
      </c>
      <c r="H367" s="190">
        <f>[16]ssr!C186</f>
        <v>34551</v>
      </c>
      <c r="I367" s="190">
        <f>[16]ssr!D186</f>
        <v>57216</v>
      </c>
      <c r="J367" s="230">
        <f>'[7]RES 62 &amp; 67'!$S452</f>
        <v>63.9</v>
      </c>
      <c r="K367" s="183">
        <f t="shared" si="301"/>
        <v>77.2</v>
      </c>
      <c r="L367" s="233">
        <f t="shared" ref="L367" si="2666">(K367-J367)</f>
        <v>13.300000000000004</v>
      </c>
      <c r="M367" s="230">
        <f>'[7]RES 62 &amp; 67'!$J452</f>
        <v>107</v>
      </c>
      <c r="N367" s="183">
        <f t="shared" si="302"/>
        <v>82.3</v>
      </c>
      <c r="O367" s="236">
        <f t="shared" ref="O367" si="2667">(N367-M367)</f>
        <v>-24.700000000000003</v>
      </c>
      <c r="P367" s="206">
        <f t="shared" si="2576"/>
        <v>29.100400000000011</v>
      </c>
      <c r="Q367" s="208">
        <f t="shared" si="2577"/>
        <v>-3.2319000000000009</v>
      </c>
      <c r="R367" s="467">
        <f t="shared" ref="R367" si="2668">P367+Q367</f>
        <v>25.868500000000012</v>
      </c>
      <c r="S367" s="560">
        <f>O367*$I$9*0.75</f>
        <v>-52.833300000000001</v>
      </c>
      <c r="T367" s="425">
        <f t="shared" ref="T367" si="2669">ROUND((R367+S367),1)</f>
        <v>-27</v>
      </c>
      <c r="U367" s="579">
        <f>[5]RC!$E247</f>
        <v>1476494</v>
      </c>
      <c r="V367" s="447">
        <v>41334</v>
      </c>
      <c r="W367" s="191">
        <f t="shared" ref="W367" si="2670">(G367+T367)</f>
        <v>861.1</v>
      </c>
      <c r="X367" s="73">
        <f t="shared" ref="X367" si="2671">ROUND(W367*F367/1000,0)</f>
        <v>1156233</v>
      </c>
      <c r="Y367" s="187">
        <f t="shared" ref="Y367" si="2672">ROUND((X367/C367)*H367,0)</f>
        <v>32558</v>
      </c>
      <c r="Z367" s="175">
        <f t="shared" ref="Z367" si="2673">Y367+X367</f>
        <v>1188791</v>
      </c>
      <c r="AA367" s="40">
        <f t="shared" ref="AA367" si="2674">Z367-C367</f>
        <v>-38202</v>
      </c>
      <c r="AB367" s="519">
        <f>[9]RMWh!$L247</f>
        <v>1249973</v>
      </c>
      <c r="AC367" s="107">
        <f>'[7]Gov 65 &amp; 70'!$B452</f>
        <v>29.4</v>
      </c>
      <c r="AD367" s="4">
        <f t="shared" si="1427"/>
        <v>1293339</v>
      </c>
      <c r="AE367" s="4">
        <f t="shared" ref="AE367" si="2675">AD367-AD355</f>
        <v>-38904</v>
      </c>
      <c r="AF367" s="50">
        <f t="shared" ref="AF367" si="2676">ROUND((AD367/(D367)*1000),1)</f>
        <v>923.8</v>
      </c>
      <c r="AG367" s="75">
        <f t="shared" ref="AG367" si="2677">AF367-AF355</f>
        <v>18</v>
      </c>
      <c r="AI367" s="303">
        <f t="shared" ref="AI367" si="2678">(H367/I367*1000)/G367</f>
        <v>0.67995670192530766</v>
      </c>
      <c r="AK367" s="422">
        <f t="shared" ref="AK367" si="2679">AVERAGE(AI367,AI355,AI343,AI331,AI319,AI307,AI295,AI283,AI259,AI247)</f>
        <v>0.63134961906705556</v>
      </c>
      <c r="AU367" s="4">
        <f t="shared" si="2150"/>
        <v>2013</v>
      </c>
      <c r="AV367" s="4">
        <f t="shared" si="2151"/>
        <v>3</v>
      </c>
      <c r="AW367" s="230">
        <f>'[8]RES 62 &amp; 67'!$S452</f>
        <v>43.4</v>
      </c>
      <c r="AX367" s="200">
        <f t="shared" si="306"/>
        <v>105.8</v>
      </c>
      <c r="AY367" s="203">
        <f t="shared" ref="AY367" si="2680">AX367-AW367</f>
        <v>62.4</v>
      </c>
      <c r="AZ367" s="230">
        <f>'[8]RES 62 &amp; 67'!$J452</f>
        <v>139.19999999999999</v>
      </c>
      <c r="BA367" s="183">
        <f t="shared" si="307"/>
        <v>49.9</v>
      </c>
      <c r="BB367" s="429">
        <f t="shared" ref="BB367" si="2681">BA367-AZ367</f>
        <v>-89.299999999999983</v>
      </c>
      <c r="BC367" s="206">
        <f t="shared" si="2592"/>
        <v>136.53120000000001</v>
      </c>
      <c r="BD367" s="206">
        <f t="shared" si="2593"/>
        <v>-15.1632</v>
      </c>
      <c r="BE367" s="206">
        <f t="shared" ref="BE367" si="2682">BC367+BD367</f>
        <v>121.36800000000001</v>
      </c>
      <c r="BF367" s="561">
        <f>BB367*$I$9*0.75</f>
        <v>-191.01269999999994</v>
      </c>
      <c r="BG367" s="219">
        <f t="shared" ref="BG367" si="2683">ROUND(BF367+BE367,1)</f>
        <v>-69.599999999999994</v>
      </c>
      <c r="BH367" s="4">
        <f t="shared" si="2596"/>
        <v>2013</v>
      </c>
      <c r="BI367" s="4">
        <f t="shared" si="2597"/>
        <v>3</v>
      </c>
      <c r="BJ367" s="108">
        <f>C367+[4]MWh!$AJ201</f>
        <v>1309566.825877788</v>
      </c>
      <c r="BK367" s="108">
        <f t="shared" ref="BK367" si="2684">(H367/C367)*BJ367</f>
        <v>36876.20336945969</v>
      </c>
      <c r="BL367" s="108">
        <f t="shared" ref="BL367" si="2685">BJ367-BK367</f>
        <v>1272690.6225083284</v>
      </c>
      <c r="BM367" s="189">
        <f t="shared" ref="BM367" si="2686">(BL367/F367*1000)+BG367</f>
        <v>878.23101904190571</v>
      </c>
      <c r="BN367" s="6">
        <f t="shared" ref="BN367" si="2687">ROUND(BM367*F367/1000,0)</f>
        <v>1179236</v>
      </c>
      <c r="BO367" s="175">
        <f t="shared" ref="BO367" si="2688">ROUND(BN367/BL367*BK367,0)</f>
        <v>34168</v>
      </c>
      <c r="BP367" s="108">
        <f t="shared" ref="BP367" si="2689">(BN367-BL367)+(BO367-BK367)</f>
        <v>-96162.825877788098</v>
      </c>
      <c r="BQ367" s="76">
        <f t="shared" ref="BQ367" si="2690">BJ367/D367*1000</f>
        <v>935.43427498991969</v>
      </c>
      <c r="BR367" s="76">
        <f t="shared" ref="BR367" si="2691">(BN367+BO367)/D367*1000</f>
        <v>866.74438339490666</v>
      </c>
      <c r="BS367" s="76">
        <f t="shared" ref="BS367" si="2692">BR367-BR355</f>
        <v>4.9412281996582124</v>
      </c>
      <c r="BT367" s="175">
        <f t="shared" ref="BT367" si="2693">(BN367+BO367)</f>
        <v>1213404</v>
      </c>
      <c r="BU367" s="108">
        <f t="shared" ref="BU367" si="2694">BT367-BT355</f>
        <v>-54174</v>
      </c>
      <c r="BV367" s="108">
        <f t="shared" si="2523"/>
        <v>-133039.0292472477</v>
      </c>
      <c r="BW367" s="529">
        <f>BT367/[9]RMWh!$L247</f>
        <v>0.97074416807403041</v>
      </c>
      <c r="CK367" s="406">
        <v>41334</v>
      </c>
      <c r="CL367" s="50">
        <f>BP367+COML!BV367+SPA!BV367</f>
        <v>-80723.825877788098</v>
      </c>
      <c r="CM367" s="181">
        <f>'[14]2013'!$D34</f>
        <v>-94669</v>
      </c>
      <c r="CN367" s="407">
        <f t="shared" ref="CN367:CN368" si="2695">CL367-CM367</f>
        <v>13945.174122211902</v>
      </c>
      <c r="CO367" s="50">
        <f>'[2]FPC wSEB'!$R464</f>
        <v>3031257</v>
      </c>
      <c r="CP367" s="50">
        <f>'[2]FPC wSEB'!$C464-SUM('[2]FPC wSEB'!$K464:$L464)</f>
        <v>2542536</v>
      </c>
      <c r="CQ367" s="50">
        <f>'[2]FPC wSEB'!$T464-'[2]FPC wSEB'!$T463</f>
        <v>194151</v>
      </c>
      <c r="CR367" s="50">
        <f>SUM('[2]FPC wSEB'!$K464:$L464)</f>
        <v>78972</v>
      </c>
      <c r="CS367" s="50">
        <f>('[2]FPC wSEB'!$N464)-CQ367</f>
        <v>11605</v>
      </c>
      <c r="CT367" s="50">
        <f>'[2]FPC wSEB'!$P464</f>
        <v>13980</v>
      </c>
      <c r="CU367" s="50">
        <f>'[2]FPC wSEB'!$Q464</f>
        <v>190013</v>
      </c>
      <c r="CV367" s="115">
        <f t="shared" ref="CV367:CV368" si="2696">CO367-SUM(CP367:CU367)</f>
        <v>0</v>
      </c>
      <c r="CW367" s="50">
        <f t="shared" ref="CW367:CW368" si="2697">CO367-CT367-CU367+CM367</f>
        <v>2732595</v>
      </c>
      <c r="CX367" s="50">
        <f t="shared" ref="CX367:CX368" si="2698">SUM(CP367:CS367)+CL367</f>
        <v>2746540.174122212</v>
      </c>
      <c r="CY367" s="50">
        <f t="shared" ref="CY367:CY368" si="2699">CW367-CX367</f>
        <v>-13945.174122211989</v>
      </c>
      <c r="CZ367" s="23"/>
      <c r="DA367" s="23"/>
      <c r="DB367" s="50">
        <f t="shared" ref="DB367:DB368" si="2700">(1.926*L367)+(2.859*O367)</f>
        <v>-45.001500000000007</v>
      </c>
      <c r="DC367" s="108">
        <f t="shared" ref="DC367:DC368" si="2701">G367+DB367</f>
        <v>843.09850000000006</v>
      </c>
      <c r="DD367" s="50">
        <f t="shared" ref="DD367:DD368" si="2702">ROUND(DC367*F367/1000,0)</f>
        <v>1132062</v>
      </c>
      <c r="DE367" s="108">
        <f t="shared" ref="DE367:DE368" si="2703">ROUND((DD367/C367)*H367,0)</f>
        <v>31878</v>
      </c>
      <c r="DF367" s="50">
        <f t="shared" ref="DF367:DF368" si="2704">DE367+DD367</f>
        <v>1163940</v>
      </c>
      <c r="DG367" s="23">
        <f t="shared" ref="DG367:DG368" si="2705">ROUND((DF367-C367)/D367*1000,0)</f>
        <v>-45</v>
      </c>
      <c r="DH367" s="500">
        <f>ROUND((([13]RUPC!$E247+DG367)*[5]RC!$E$209)/1000,0)</f>
        <v>1195409</v>
      </c>
      <c r="DI367" s="50">
        <f t="shared" si="1626"/>
        <v>-72618</v>
      </c>
      <c r="DJ367" s="23"/>
      <c r="DK367" s="23"/>
      <c r="DL367" s="23"/>
      <c r="DM367" s="23"/>
      <c r="DN367" s="23"/>
    </row>
    <row r="368" spans="1:118" ht="12.75">
      <c r="A368" s="13">
        <f t="shared" si="1963"/>
        <v>2013</v>
      </c>
      <c r="B368" s="13">
        <f t="shared" si="1964"/>
        <v>4</v>
      </c>
      <c r="C368" s="5">
        <f>'[2]FPC wSEB'!$D465</f>
        <v>1313510</v>
      </c>
      <c r="D368" s="5">
        <f>'[2]FPC wSEB'!$X465</f>
        <v>1476489</v>
      </c>
      <c r="E368" s="5">
        <f t="shared" ref="E368" si="2706">ROUND(C368-H368,0)</f>
        <v>1278920</v>
      </c>
      <c r="F368" s="5">
        <f t="shared" ref="F368" si="2707">ROUND(D368-I368,0)</f>
        <v>1415125</v>
      </c>
      <c r="G368" s="74">
        <f t="shared" ref="G368" si="2708">ROUND((E368)/F368*1000,1)</f>
        <v>903.8</v>
      </c>
      <c r="H368" s="190">
        <f>[16]ssr!C187</f>
        <v>34590</v>
      </c>
      <c r="I368" s="190">
        <f>[16]ssr!D187</f>
        <v>61364</v>
      </c>
      <c r="J368" s="230">
        <f>'[7]RES 62 &amp; 67'!$S453</f>
        <v>100</v>
      </c>
      <c r="K368" s="183">
        <f t="shared" si="301"/>
        <v>138.1</v>
      </c>
      <c r="L368" s="233">
        <f t="shared" ref="L368" si="2709">(K368-J368)</f>
        <v>38.099999999999994</v>
      </c>
      <c r="M368" s="230">
        <f>'[7]RES 62 &amp; 67'!$J453</f>
        <v>82.9</v>
      </c>
      <c r="N368" s="183">
        <f t="shared" si="302"/>
        <v>37.299999999999997</v>
      </c>
      <c r="O368" s="236">
        <f t="shared" ref="O368" si="2710">(N368-M368)</f>
        <v>-45.600000000000009</v>
      </c>
      <c r="P368" s="206">
        <f t="shared" si="2576"/>
        <v>83.362799999999993</v>
      </c>
      <c r="Q368" s="208">
        <f t="shared" si="2577"/>
        <v>-9.2582999999999984</v>
      </c>
      <c r="R368" s="467">
        <f t="shared" ref="R368" si="2711">P368+Q368</f>
        <v>74.104500000000002</v>
      </c>
      <c r="S368" s="470">
        <f t="shared" ref="S368:S373" si="2712">O368*$I$9</f>
        <v>-130.05120000000002</v>
      </c>
      <c r="T368" s="425">
        <f t="shared" ref="T368" si="2713">ROUND((R368+S368),1)</f>
        <v>-55.9</v>
      </c>
      <c r="U368" s="579">
        <f>[5]RC!$E248</f>
        <v>1476983</v>
      </c>
      <c r="V368" s="447">
        <v>41365</v>
      </c>
      <c r="W368" s="191">
        <f t="shared" ref="W368" si="2714">(G368+T368)</f>
        <v>847.9</v>
      </c>
      <c r="X368" s="73">
        <f t="shared" ref="X368" si="2715">ROUND(W368*F368/1000,0)</f>
        <v>1199884</v>
      </c>
      <c r="Y368" s="187">
        <f t="shared" ref="Y368" si="2716">ROUND((X368/C368)*H368,0)</f>
        <v>31598</v>
      </c>
      <c r="Z368" s="175">
        <f t="shared" ref="Z368" si="2717">Y368+X368</f>
        <v>1231482</v>
      </c>
      <c r="AA368" s="40">
        <f t="shared" ref="AA368" si="2718">Z368-C368</f>
        <v>-82028</v>
      </c>
      <c r="AB368" s="519">
        <f>[9]RMWh!$L248</f>
        <v>1231978</v>
      </c>
      <c r="AC368" s="107">
        <f>'[7]Gov 65 &amp; 70'!$B453</f>
        <v>30.65</v>
      </c>
      <c r="AD368" s="4">
        <f t="shared" si="1427"/>
        <v>1222733</v>
      </c>
      <c r="AE368" s="4">
        <f t="shared" ref="AE368" si="2719">AD368-AD356</f>
        <v>-63259</v>
      </c>
      <c r="AF368" s="50">
        <f t="shared" ref="AF368" si="2720">ROUND((AD368/(D368)*1000),1)</f>
        <v>828.1</v>
      </c>
      <c r="AG368" s="75">
        <f t="shared" ref="AG368" si="2721">AF368-AF356</f>
        <v>-59.299999999999955</v>
      </c>
      <c r="AI368" s="303">
        <f t="shared" ref="AI368" si="2722">(H368/I368*1000)/G368</f>
        <v>0.62368394393680326</v>
      </c>
      <c r="AK368" s="422">
        <f t="shared" ref="AK368" si="2723">AVERAGE(AI368,AI356,AI344,AI332,AI320,AI308,AI296,AI284,AI260,AI248)</f>
        <v>0.5435800827674846</v>
      </c>
      <c r="AU368" s="4">
        <f t="shared" si="2150"/>
        <v>2013</v>
      </c>
      <c r="AV368" s="4">
        <f t="shared" si="2151"/>
        <v>4</v>
      </c>
      <c r="AW368" s="230">
        <f>'[8]RES 62 &amp; 67'!$S453</f>
        <v>228.5</v>
      </c>
      <c r="AX368" s="200">
        <f t="shared" si="306"/>
        <v>181.7</v>
      </c>
      <c r="AY368" s="203">
        <f t="shared" ref="AY368" si="2724">AX368-AW368</f>
        <v>-46.800000000000011</v>
      </c>
      <c r="AZ368" s="230">
        <f>'[8]RES 62 &amp; 67'!$J453</f>
        <v>5.8</v>
      </c>
      <c r="BA368" s="183">
        <f t="shared" si="307"/>
        <v>21.5</v>
      </c>
      <c r="BB368" s="429">
        <f t="shared" ref="BB368" si="2725">BA368-AZ368</f>
        <v>15.7</v>
      </c>
      <c r="BC368" s="206">
        <f t="shared" si="2592"/>
        <v>-102.39840000000004</v>
      </c>
      <c r="BD368" s="206">
        <f t="shared" si="2593"/>
        <v>5.6862000000000013</v>
      </c>
      <c r="BE368" s="206">
        <f t="shared" ref="BE368" si="2726">BC368+BD368</f>
        <v>-96.712200000000038</v>
      </c>
      <c r="BF368" s="207">
        <f t="shared" ref="BF368:BF373" si="2727">BB368*$I$9</f>
        <v>44.776399999999995</v>
      </c>
      <c r="BG368" s="219">
        <f t="shared" ref="BG368" si="2728">ROUND(BF368+BE368,1)</f>
        <v>-51.9</v>
      </c>
      <c r="BH368" s="4">
        <f t="shared" si="2596"/>
        <v>2013</v>
      </c>
      <c r="BI368" s="4">
        <f t="shared" si="2597"/>
        <v>4</v>
      </c>
      <c r="BJ368" s="108">
        <f>C368+[4]MWh!$AJ202</f>
        <v>1384865.4178907324</v>
      </c>
      <c r="BK368" s="108">
        <f t="shared" ref="BK368" si="2729">(H368/C368)*BJ368</f>
        <v>36469.075077342713</v>
      </c>
      <c r="BL368" s="108">
        <f t="shared" ref="BL368" si="2730">BJ368-BK368</f>
        <v>1348396.3428133896</v>
      </c>
      <c r="BM368" s="189">
        <f t="shared" ref="BM368" si="2731">(BL368/F368*1000)+BG368</f>
        <v>900.94610392254367</v>
      </c>
      <c r="BN368" s="6">
        <f t="shared" ref="BN368" si="2732">ROUND(BM368*F368/1000,0)</f>
        <v>1274951</v>
      </c>
      <c r="BO368" s="175">
        <f t="shared" ref="BO368" si="2733">ROUND(BN368/BL368*BK368,0)</f>
        <v>34483</v>
      </c>
      <c r="BP368" s="108">
        <f t="shared" ref="BP368" si="2734">(BN368-BL368)+(BO368-BK368)</f>
        <v>-75431.417890732322</v>
      </c>
      <c r="BQ368" s="76">
        <f t="shared" ref="BQ368" si="2735">BJ368/D368*1000</f>
        <v>937.94496124978411</v>
      </c>
      <c r="BR368" s="76">
        <f t="shared" ref="BR368" si="2736">(BN368+BO368)/D368*1000</f>
        <v>886.856590194712</v>
      </c>
      <c r="BS368" s="76">
        <f t="shared" ref="BS368" si="2737">BR368-BR356</f>
        <v>-29.302942554327615</v>
      </c>
      <c r="BT368" s="175">
        <f t="shared" ref="BT368" si="2738">(BN368+BO368)</f>
        <v>1309434</v>
      </c>
      <c r="BU368" s="108">
        <f t="shared" ref="BU368" si="2739">BT368-BT356</f>
        <v>-18225</v>
      </c>
      <c r="BV368" s="108">
        <f t="shared" si="2523"/>
        <v>-111900.49296807512</v>
      </c>
      <c r="BW368" s="529">
        <f>BT368/[9]RMWh!$L248</f>
        <v>1.0628712525710686</v>
      </c>
      <c r="CK368" s="406">
        <v>41365</v>
      </c>
      <c r="CL368" s="50">
        <f>BP368+COML!BV368+SPA!BV368</f>
        <v>-117736.41789073232</v>
      </c>
      <c r="CM368" s="181">
        <f>'[14]2013'!$D35</f>
        <v>-70286</v>
      </c>
      <c r="CN368" s="407">
        <f t="shared" si="2695"/>
        <v>-47450.417890732322</v>
      </c>
      <c r="CO368" s="50">
        <f>'[2]FPC wSEB'!$R465</f>
        <v>3165626</v>
      </c>
      <c r="CP368" s="50">
        <f>'[2]FPC wSEB'!$C465-SUM('[2]FPC wSEB'!$K465:$L465)</f>
        <v>2678410</v>
      </c>
      <c r="CQ368" s="50">
        <f>'[2]FPC wSEB'!$T465-'[2]FPC wSEB'!$T464</f>
        <v>117934</v>
      </c>
      <c r="CR368" s="50">
        <f>SUM('[2]FPC wSEB'!$K465:$L465)</f>
        <v>94859</v>
      </c>
      <c r="CS368" s="50">
        <f>('[2]FPC wSEB'!$N465)-CQ368</f>
        <v>44720</v>
      </c>
      <c r="CT368" s="50">
        <f>'[2]FPC wSEB'!$P465</f>
        <v>11205</v>
      </c>
      <c r="CU368" s="50">
        <f>'[2]FPC wSEB'!$Q465</f>
        <v>218498</v>
      </c>
      <c r="CV368" s="115">
        <f t="shared" si="2696"/>
        <v>0</v>
      </c>
      <c r="CW368" s="50">
        <f t="shared" si="2697"/>
        <v>2865637</v>
      </c>
      <c r="CX368" s="50">
        <f t="shared" si="2698"/>
        <v>2818186.5821092678</v>
      </c>
      <c r="CY368" s="50">
        <f t="shared" si="2699"/>
        <v>47450.417890732177</v>
      </c>
      <c r="CZ368" s="23"/>
      <c r="DA368" s="23"/>
      <c r="DB368" s="50">
        <f t="shared" si="2700"/>
        <v>-56.989800000000031</v>
      </c>
      <c r="DC368" s="108">
        <f t="shared" si="2701"/>
        <v>846.8101999999999</v>
      </c>
      <c r="DD368" s="50">
        <f t="shared" si="2702"/>
        <v>1198342</v>
      </c>
      <c r="DE368" s="108">
        <f t="shared" si="2703"/>
        <v>31557</v>
      </c>
      <c r="DF368" s="50">
        <f t="shared" si="2704"/>
        <v>1229899</v>
      </c>
      <c r="DG368" s="23">
        <f t="shared" si="2705"/>
        <v>-57</v>
      </c>
      <c r="DH368" s="500">
        <f>ROUND((([13]RUPC!$E248+DG368)*[5]RC!$E$209)/1000,0)</f>
        <v>1200895</v>
      </c>
      <c r="DI368" s="50">
        <f t="shared" si="1626"/>
        <v>-47767</v>
      </c>
      <c r="DJ368" s="23"/>
      <c r="DK368" s="23"/>
      <c r="DL368" s="23"/>
      <c r="DM368" s="23"/>
      <c r="DN368" s="23"/>
    </row>
    <row r="369" spans="1:118" ht="12.75">
      <c r="A369" s="13">
        <f t="shared" si="1963"/>
        <v>2013</v>
      </c>
      <c r="B369" s="13">
        <f t="shared" si="1964"/>
        <v>5</v>
      </c>
      <c r="C369" s="5">
        <f>'[2]FPC wSEB'!$D466</f>
        <v>1470830</v>
      </c>
      <c r="D369" s="5">
        <f>'[2]FPC wSEB'!$X466</f>
        <v>1552943</v>
      </c>
      <c r="E369" s="5">
        <f t="shared" ref="E369" si="2740">ROUND(C369-H369,0)</f>
        <v>1445207</v>
      </c>
      <c r="F369" s="5">
        <f t="shared" ref="F369" si="2741">ROUND(D369-I369,0)</f>
        <v>1487977</v>
      </c>
      <c r="G369" s="74">
        <f t="shared" ref="G369" si="2742">ROUND((E369)/F369*1000,1)</f>
        <v>971.3</v>
      </c>
      <c r="H369" s="190">
        <f>[16]ssr!C188</f>
        <v>25623</v>
      </c>
      <c r="I369" s="190">
        <f>[16]ssr!D188</f>
        <v>64966</v>
      </c>
      <c r="J369" s="230">
        <f>'[7]RES 62 &amp; 67'!$S454</f>
        <v>235.2</v>
      </c>
      <c r="K369" s="183">
        <f t="shared" si="301"/>
        <v>224.4</v>
      </c>
      <c r="L369" s="233">
        <f t="shared" ref="L369" si="2743">(K369-J369)</f>
        <v>-10.799999999999983</v>
      </c>
      <c r="M369" s="230">
        <f>'[7]RES 62 &amp; 67'!$J454</f>
        <v>7.3</v>
      </c>
      <c r="N369" s="183">
        <f t="shared" si="302"/>
        <v>11.2</v>
      </c>
      <c r="O369" s="236">
        <f t="shared" ref="O369" si="2744">(N369-M369)</f>
        <v>3.8999999999999995</v>
      </c>
      <c r="P369" s="206">
        <f t="shared" si="2576"/>
        <v>-23.630399999999966</v>
      </c>
      <c r="Q369" s="208">
        <f t="shared" si="2577"/>
        <v>0</v>
      </c>
      <c r="R369" s="467">
        <f t="shared" ref="R369" si="2745">P369+Q369</f>
        <v>-23.630399999999966</v>
      </c>
      <c r="S369" s="470">
        <f t="shared" si="2712"/>
        <v>11.122799999999998</v>
      </c>
      <c r="T369" s="425">
        <f t="shared" ref="T369" si="2746">ROUND((R369+S369),1)</f>
        <v>-12.5</v>
      </c>
      <c r="U369" s="579">
        <f>[5]RC!$E249</f>
        <v>1485472</v>
      </c>
      <c r="V369" s="447">
        <v>41395</v>
      </c>
      <c r="W369" s="191">
        <f t="shared" ref="W369" si="2747">(G369+T369)</f>
        <v>958.8</v>
      </c>
      <c r="X369" s="73">
        <f t="shared" ref="X369" si="2748">ROUND(W369*F369/1000,0)</f>
        <v>1426672</v>
      </c>
      <c r="Y369" s="187">
        <f t="shared" ref="Y369" si="2749">ROUND((X369/C369)*H369,0)</f>
        <v>24854</v>
      </c>
      <c r="Z369" s="175">
        <f t="shared" ref="Z369" si="2750">Y369+X369</f>
        <v>1451526</v>
      </c>
      <c r="AA369" s="40">
        <f t="shared" ref="AA369" si="2751">Z369-C369</f>
        <v>-19304</v>
      </c>
      <c r="AB369" s="519">
        <f>[9]RMWh!$L249</f>
        <v>1390101</v>
      </c>
      <c r="AC369" s="107">
        <f>'[7]Gov 65 &amp; 70'!$B454</f>
        <v>30.95</v>
      </c>
      <c r="AD369" s="4">
        <f t="shared" si="1427"/>
        <v>1366296</v>
      </c>
      <c r="AE369" s="4">
        <f t="shared" ref="AE369" si="2752">AD369-AD357</f>
        <v>-41676</v>
      </c>
      <c r="AF369" s="50">
        <f t="shared" ref="AF369" si="2753">ROUND((AD369/(D369)*1000),1)</f>
        <v>879.8</v>
      </c>
      <c r="AG369" s="75">
        <f t="shared" ref="AG369" si="2754">AF369-AF357</f>
        <v>-77.5</v>
      </c>
      <c r="AI369" s="303">
        <f t="shared" ref="AI369" si="2755">(H369/I369*1000)/G369</f>
        <v>0.40606023353894366</v>
      </c>
      <c r="AK369" s="422">
        <f t="shared" ref="AK369" si="2756">AVERAGE(AI369,AI357,AI345,AI333,AI321,AI309,AI297,AI285,AI261,AI249)</f>
        <v>0.36289736046038407</v>
      </c>
      <c r="AU369" s="4">
        <f t="shared" si="2150"/>
        <v>2013</v>
      </c>
      <c r="AV369" s="4">
        <f t="shared" si="2151"/>
        <v>5</v>
      </c>
      <c r="AW369" s="230">
        <f>'[8]RES 62 &amp; 67'!$S454</f>
        <v>291</v>
      </c>
      <c r="AX369" s="200">
        <f t="shared" si="306"/>
        <v>336.7</v>
      </c>
      <c r="AY369" s="203">
        <f t="shared" ref="AY369" si="2757">AX369-AW369</f>
        <v>45.699999999999989</v>
      </c>
      <c r="AZ369" s="230">
        <f>'[8]RES 62 &amp; 67'!$J454</f>
        <v>3.2</v>
      </c>
      <c r="BA369" s="183">
        <f t="shared" si="307"/>
        <v>2.1</v>
      </c>
      <c r="BB369" s="429">
        <f t="shared" ref="BB369" si="2758">BA369-AZ369</f>
        <v>-1.1000000000000001</v>
      </c>
      <c r="BC369" s="206">
        <f t="shared" si="2592"/>
        <v>99.991599999999977</v>
      </c>
      <c r="BD369" s="206">
        <f t="shared" si="2593"/>
        <v>0</v>
      </c>
      <c r="BE369" s="206">
        <f t="shared" ref="BE369" si="2759">BC369+BD369</f>
        <v>99.991599999999977</v>
      </c>
      <c r="BF369" s="207">
        <f t="shared" si="2727"/>
        <v>-3.1372</v>
      </c>
      <c r="BG369" s="219">
        <f t="shared" ref="BG369" si="2760">ROUND(BF369+BE369,1)</f>
        <v>96.9</v>
      </c>
      <c r="BH369" s="4">
        <f t="shared" si="2596"/>
        <v>2013</v>
      </c>
      <c r="BI369" s="4">
        <f t="shared" si="2597"/>
        <v>5</v>
      </c>
      <c r="BJ369" s="108">
        <f>C369+[4]MWh!$AJ203</f>
        <v>1521613.9093211147</v>
      </c>
      <c r="BK369" s="108">
        <f t="shared" ref="BK369" si="2761">(H369/C369)*BJ369</f>
        <v>26507.695109927674</v>
      </c>
      <c r="BL369" s="108">
        <f t="shared" ref="BL369" si="2762">BJ369-BK369</f>
        <v>1495106.2142111871</v>
      </c>
      <c r="BM369" s="189">
        <f t="shared" ref="BM369" si="2763">(BL369/F369*1000)+BG369</f>
        <v>1101.6912126405093</v>
      </c>
      <c r="BN369" s="6">
        <f t="shared" ref="BN369" si="2764">ROUND(BM369*F369/1000,0)</f>
        <v>1639291</v>
      </c>
      <c r="BO369" s="175">
        <f t="shared" ref="BO369" si="2765">ROUND(BN369/BL369*BK369,0)</f>
        <v>29064</v>
      </c>
      <c r="BP369" s="108">
        <f t="shared" ref="BP369" si="2766">(BN369-BL369)+(BO369-BK369)</f>
        <v>146741.09067888523</v>
      </c>
      <c r="BQ369" s="76">
        <f t="shared" ref="BQ369" si="2767">BJ369/D369*1000</f>
        <v>979.82598802474695</v>
      </c>
      <c r="BR369" s="76">
        <f t="shared" ref="BR369" si="2768">(BN369+BO369)/D369*1000</f>
        <v>1074.318246065696</v>
      </c>
      <c r="BS369" s="76">
        <f t="shared" ref="BS369" si="2769">BR369-BR357</f>
        <v>-1.1860759170922393</v>
      </c>
      <c r="BT369" s="175">
        <f t="shared" ref="BT369" si="2770">(BN369+BO369)</f>
        <v>1668355</v>
      </c>
      <c r="BU369" s="108">
        <f t="shared" ref="BU369" si="2771">BT369-BT357</f>
        <v>86571</v>
      </c>
      <c r="BV369" s="108">
        <f t="shared" ref="BV369" si="2772">BT369-BJ369-BK369</f>
        <v>120233.39556895767</v>
      </c>
      <c r="BW369" s="529">
        <f>BT369/[9]RMWh!$L249</f>
        <v>1.2001681892179057</v>
      </c>
      <c r="CK369" s="406">
        <v>41395</v>
      </c>
      <c r="CL369" s="50">
        <f>BP369+COML!BV369+SPA!BV369</f>
        <v>190314.09067888523</v>
      </c>
      <c r="CM369" s="181">
        <f>'[14]2013'!$D36</f>
        <v>188978</v>
      </c>
      <c r="CN369" s="407">
        <f t="shared" ref="CN369:CN370" si="2773">CL369-CM369</f>
        <v>1336.0906788852299</v>
      </c>
      <c r="CO369" s="50">
        <f>'[2]FPC wSEB'!$R466</f>
        <v>3459598</v>
      </c>
      <c r="CP369" s="50">
        <f>'[2]FPC wSEB'!$C466-SUM('[2]FPC wSEB'!$K466:$L466)</f>
        <v>3007039</v>
      </c>
      <c r="CQ369" s="50">
        <f>'[2]FPC wSEB'!$T466-'[2]FPC wSEB'!$T465</f>
        <v>108649</v>
      </c>
      <c r="CR369" s="50">
        <f>SUM('[2]FPC wSEB'!$K466:$L466)</f>
        <v>135656</v>
      </c>
      <c r="CS369" s="50">
        <f>('[2]FPC wSEB'!$N466)-CQ369</f>
        <v>-15792</v>
      </c>
      <c r="CT369" s="50">
        <f>'[2]FPC wSEB'!$P466</f>
        <v>13896</v>
      </c>
      <c r="CU369" s="50">
        <f>'[2]FPC wSEB'!$Q466</f>
        <v>210150</v>
      </c>
      <c r="CV369" s="115">
        <f t="shared" ref="CV369:CV370" si="2774">CO369-SUM(CP369:CU369)</f>
        <v>0</v>
      </c>
      <c r="CW369" s="50">
        <f t="shared" ref="CW369:CW370" si="2775">CO369-CT369-CU369+CM369</f>
        <v>3424530</v>
      </c>
      <c r="CX369" s="50">
        <f t="shared" ref="CX369:CX370" si="2776">SUM(CP369:CS369)+CL369</f>
        <v>3425866.0906788851</v>
      </c>
      <c r="CY369" s="50">
        <f t="shared" ref="CY369:CY370" si="2777">CW369-CX369</f>
        <v>-1336.0906788851134</v>
      </c>
      <c r="CZ369" s="23"/>
      <c r="DA369" s="23"/>
      <c r="DB369" s="50">
        <f t="shared" ref="DB369:DB371" si="2778">(1.926*L369)+(2.859*O369)</f>
        <v>-9.6506999999999685</v>
      </c>
      <c r="DC369" s="108">
        <f t="shared" ref="DC369:DC371" si="2779">G369+DB369</f>
        <v>961.64930000000004</v>
      </c>
      <c r="DD369" s="50">
        <f t="shared" ref="DD369:DD371" si="2780">ROUND(DC369*F369/1000,0)</f>
        <v>1430912</v>
      </c>
      <c r="DE369" s="108">
        <f t="shared" ref="DE369:DE371" si="2781">ROUND((DD369/C369)*H369,0)</f>
        <v>24928</v>
      </c>
      <c r="DF369" s="50">
        <f t="shared" ref="DF369:DF371" si="2782">DE369+DD369</f>
        <v>1455840</v>
      </c>
      <c r="DG369" s="23">
        <f t="shared" ref="DG369:DG371" si="2783">ROUND((DF369-C369)/D369*1000,0)</f>
        <v>-10</v>
      </c>
      <c r="DH369" s="500">
        <f>ROUND((([13]RUPC!$E249+DG369)*[5]RC!$E$209)/1000,0)</f>
        <v>1353126</v>
      </c>
      <c r="DI369" s="50">
        <f t="shared" si="1626"/>
        <v>-18333</v>
      </c>
      <c r="DJ369" s="23"/>
      <c r="DK369" s="23"/>
      <c r="DL369" s="23"/>
      <c r="DM369" s="23"/>
      <c r="DN369" s="23"/>
    </row>
    <row r="370" spans="1:118" ht="12.75">
      <c r="A370" s="13">
        <f t="shared" si="1963"/>
        <v>2013</v>
      </c>
      <c r="B370" s="13">
        <f t="shared" si="1964"/>
        <v>6</v>
      </c>
      <c r="C370" s="5">
        <f>'[2]FPC wSEB'!$D467</f>
        <v>1706527</v>
      </c>
      <c r="D370" s="5">
        <f>'[2]FPC wSEB'!$X467</f>
        <v>1484817</v>
      </c>
      <c r="E370" s="5">
        <f t="shared" ref="E370" si="2784">ROUND(C370-H370,0)</f>
        <v>1684711</v>
      </c>
      <c r="F370" s="5">
        <f t="shared" ref="F370" si="2785">ROUND(D370-I370,0)</f>
        <v>1421645</v>
      </c>
      <c r="G370" s="74">
        <f t="shared" ref="G370" si="2786">ROUND((E370)/F370*1000,1)</f>
        <v>1185</v>
      </c>
      <c r="H370" s="190">
        <f>[16]ssr!C189</f>
        <v>21816</v>
      </c>
      <c r="I370" s="190">
        <f>[16]ssr!D189</f>
        <v>63172</v>
      </c>
      <c r="J370" s="230">
        <f>'[7]RES 62 &amp; 67'!$S455</f>
        <v>360.8</v>
      </c>
      <c r="K370" s="183">
        <f t="shared" si="301"/>
        <v>382.8</v>
      </c>
      <c r="L370" s="233">
        <f t="shared" ref="L370" si="2787">(K370-J370)</f>
        <v>22</v>
      </c>
      <c r="M370" s="230">
        <f>'[7]RES 62 &amp; 67'!$J455</f>
        <v>1.5</v>
      </c>
      <c r="N370" s="183">
        <f t="shared" si="302"/>
        <v>0.9</v>
      </c>
      <c r="O370" s="236">
        <f t="shared" ref="O370" si="2788">(N370-M370)</f>
        <v>-0.6</v>
      </c>
      <c r="P370" s="206">
        <f t="shared" si="2576"/>
        <v>48.136000000000003</v>
      </c>
      <c r="Q370" s="208">
        <f t="shared" si="2577"/>
        <v>0</v>
      </c>
      <c r="R370" s="467">
        <f t="shared" ref="R370" si="2789">P370+Q370</f>
        <v>48.136000000000003</v>
      </c>
      <c r="S370" s="470">
        <f t="shared" si="2712"/>
        <v>-1.7111999999999998</v>
      </c>
      <c r="T370" s="425">
        <f t="shared" ref="T370" si="2790">ROUND((R370+S370),1)</f>
        <v>46.4</v>
      </c>
      <c r="U370" s="579">
        <f>[5]RC!$E250</f>
        <v>1478777</v>
      </c>
      <c r="V370" s="447">
        <v>41426</v>
      </c>
      <c r="W370" s="191">
        <f t="shared" ref="W370" si="2791">(G370+T370)</f>
        <v>1231.4000000000001</v>
      </c>
      <c r="X370" s="73">
        <f t="shared" ref="X370" si="2792">ROUND(W370*F370/1000,0)</f>
        <v>1750614</v>
      </c>
      <c r="Y370" s="187">
        <f t="shared" ref="Y370" si="2793">ROUND((X370/C370)*H370,0)</f>
        <v>22380</v>
      </c>
      <c r="Z370" s="175">
        <f t="shared" ref="Z370" si="2794">Y370+X370</f>
        <v>1772994</v>
      </c>
      <c r="AA370" s="40">
        <f t="shared" ref="AA370" si="2795">Z370-C370</f>
        <v>66467</v>
      </c>
      <c r="AB370" s="519">
        <f>[9]RMWh!$L250</f>
        <v>1754096</v>
      </c>
      <c r="AC370" s="107">
        <f>'[7]Gov 65 &amp; 70'!$B455</f>
        <v>30.8</v>
      </c>
      <c r="AD370" s="4">
        <f t="shared" si="1427"/>
        <v>1732455</v>
      </c>
      <c r="AE370" s="4">
        <f t="shared" ref="AE370" si="2796">AD370-AD358</f>
        <v>211</v>
      </c>
      <c r="AF370" s="50">
        <f t="shared" ref="AF370" si="2797">ROUND((AD370/(D370)*1000),1)</f>
        <v>1166.8</v>
      </c>
      <c r="AG370" s="75">
        <f t="shared" ref="AG370" si="2798">AF370-AF358</f>
        <v>-16.299999999999955</v>
      </c>
      <c r="AI370" s="303">
        <f t="shared" ref="AI370" si="2799">(H370/I370*1000)/G370</f>
        <v>0.29142858516872161</v>
      </c>
      <c r="AK370" s="422">
        <f t="shared" ref="AK370" si="2800">AVERAGE(AI370,AI358,AI346,AI334,AI322,AI310,AI298,AI286,AI262,AI250)</f>
        <v>0.25963585316636062</v>
      </c>
      <c r="AU370" s="4">
        <f t="shared" si="2150"/>
        <v>2013</v>
      </c>
      <c r="AV370" s="4">
        <f t="shared" si="2151"/>
        <v>6</v>
      </c>
      <c r="AW370" s="230">
        <f>'[8]RES 62 &amp; 67'!$S455</f>
        <v>447.9</v>
      </c>
      <c r="AX370" s="200">
        <f t="shared" si="306"/>
        <v>425.2</v>
      </c>
      <c r="AY370" s="203">
        <f t="shared" ref="AY370" si="2801">AX370-AW370</f>
        <v>-22.699999999999989</v>
      </c>
      <c r="AZ370" s="230">
        <f>'[8]RES 62 &amp; 67'!$J455</f>
        <v>0</v>
      </c>
      <c r="BA370" s="183">
        <f t="shared" si="307"/>
        <v>0</v>
      </c>
      <c r="BB370" s="429">
        <f t="shared" ref="BB370" si="2802">BA370-AZ370</f>
        <v>0</v>
      </c>
      <c r="BC370" s="206">
        <f t="shared" si="2592"/>
        <v>-49.667599999999979</v>
      </c>
      <c r="BD370" s="206">
        <f t="shared" si="2593"/>
        <v>0</v>
      </c>
      <c r="BE370" s="206">
        <f t="shared" ref="BE370" si="2803">BC370+BD370</f>
        <v>-49.667599999999979</v>
      </c>
      <c r="BF370" s="207">
        <f t="shared" si="2727"/>
        <v>0</v>
      </c>
      <c r="BG370" s="219">
        <f t="shared" ref="BG370" si="2804">ROUND(BF370+BE370,1)</f>
        <v>-49.7</v>
      </c>
      <c r="BH370" s="4">
        <f t="shared" si="2596"/>
        <v>2013</v>
      </c>
      <c r="BI370" s="4">
        <f t="shared" si="2597"/>
        <v>6</v>
      </c>
      <c r="BJ370" s="108">
        <f>C370+[4]MWh!$AJ204</f>
        <v>1829480.3159517939</v>
      </c>
      <c r="BK370" s="108">
        <f t="shared" ref="BK370" si="2805">(H370/C370)*BJ370</f>
        <v>23387.817815249531</v>
      </c>
      <c r="BL370" s="108">
        <f t="shared" ref="BL370" si="2806">BJ370-BK370</f>
        <v>1806092.4981365444</v>
      </c>
      <c r="BM370" s="189">
        <f t="shared" ref="BM370" si="2807">(BL370/F370*1000)+BG370</f>
        <v>1220.7244014057969</v>
      </c>
      <c r="BN370" s="6">
        <f t="shared" ref="BN370" si="2808">ROUND(BM370*F370/1000,0)</f>
        <v>1735437</v>
      </c>
      <c r="BO370" s="175">
        <f t="shared" ref="BO370" si="2809">ROUND(BN370/BL370*BK370,0)</f>
        <v>22473</v>
      </c>
      <c r="BP370" s="108">
        <f t="shared" ref="BP370" si="2810">(BN370-BL370)+(BO370-BK370)</f>
        <v>-71570.315951793891</v>
      </c>
      <c r="BQ370" s="76">
        <f t="shared" ref="BQ370" si="2811">BJ370/D370*1000</f>
        <v>1232.1251143755724</v>
      </c>
      <c r="BR370" s="76">
        <f t="shared" ref="BR370" si="2812">(BN370+BO370)/D370*1000</f>
        <v>1183.9236754428323</v>
      </c>
      <c r="BS370" s="76">
        <f t="shared" ref="BS370" si="2813">BR370-BR358</f>
        <v>-94.637991174886338</v>
      </c>
      <c r="BT370" s="175">
        <f t="shared" ref="BT370" si="2814">(BN370+BO370)</f>
        <v>1757910</v>
      </c>
      <c r="BU370" s="108">
        <f t="shared" ref="BU370" si="2815">BT370-BT358</f>
        <v>-114082</v>
      </c>
      <c r="BV370" s="108">
        <f t="shared" ref="BV370" si="2816">BT370-BJ370-BK370</f>
        <v>-94958.133767043444</v>
      </c>
      <c r="BW370" s="529">
        <f>BT370/[9]RMWh!$L250</f>
        <v>1.0021743393748119</v>
      </c>
      <c r="CK370" s="406">
        <v>41426</v>
      </c>
      <c r="CL370" s="50">
        <f>BP370+COML!BV370+SPA!BV370</f>
        <v>-93180.315951793891</v>
      </c>
      <c r="CM370" s="181">
        <f>'[14]2013'!$D37</f>
        <v>24132</v>
      </c>
      <c r="CN370" s="407">
        <f t="shared" si="2773"/>
        <v>-117312.31595179389</v>
      </c>
      <c r="CO370" s="50">
        <f>'[2]FPC wSEB'!$R467</f>
        <v>3964611</v>
      </c>
      <c r="CP370" s="50">
        <f>'[2]FPC wSEB'!$C467-SUM('[2]FPC wSEB'!$K467:$L467)</f>
        <v>3332395</v>
      </c>
      <c r="CQ370" s="50">
        <f>'[2]FPC wSEB'!$T467-'[2]FPC wSEB'!$T466</f>
        <v>152374</v>
      </c>
      <c r="CR370" s="50">
        <f>SUM('[2]FPC wSEB'!$K467:$L467)</f>
        <v>121662</v>
      </c>
      <c r="CS370" s="50">
        <f>('[2]FPC wSEB'!$N467)-CQ370</f>
        <v>54656</v>
      </c>
      <c r="CT370" s="50">
        <f>'[2]FPC wSEB'!$P467</f>
        <v>13023</v>
      </c>
      <c r="CU370" s="50">
        <f>'[2]FPC wSEB'!$Q467</f>
        <v>290501</v>
      </c>
      <c r="CV370" s="115">
        <f t="shared" si="2774"/>
        <v>0</v>
      </c>
      <c r="CW370" s="50">
        <f t="shared" si="2775"/>
        <v>3685219</v>
      </c>
      <c r="CX370" s="50">
        <f t="shared" si="2776"/>
        <v>3567906.6840482061</v>
      </c>
      <c r="CY370" s="50">
        <f t="shared" si="2777"/>
        <v>117312.31595179392</v>
      </c>
      <c r="CZ370" s="23"/>
      <c r="DA370" s="23"/>
      <c r="DB370" s="50">
        <f t="shared" si="2778"/>
        <v>40.656599999999997</v>
      </c>
      <c r="DC370" s="108">
        <f t="shared" si="2779"/>
        <v>1225.6566</v>
      </c>
      <c r="DD370" s="50">
        <f t="shared" si="2780"/>
        <v>1742449</v>
      </c>
      <c r="DE370" s="108">
        <f t="shared" si="2781"/>
        <v>22275</v>
      </c>
      <c r="DF370" s="50">
        <f t="shared" si="2782"/>
        <v>1764724</v>
      </c>
      <c r="DG370" s="23">
        <f t="shared" si="2783"/>
        <v>39</v>
      </c>
      <c r="DH370" s="500">
        <f>ROUND((([13]RUPC!$E250+DG370)*[5]RC!$E$209)/1000,0)</f>
        <v>1702413</v>
      </c>
      <c r="DI370" s="50">
        <f t="shared" si="1626"/>
        <v>-14964</v>
      </c>
      <c r="DJ370" s="23"/>
      <c r="DK370" s="23"/>
      <c r="DL370" s="23"/>
      <c r="DM370" s="23"/>
      <c r="DN370" s="23"/>
    </row>
    <row r="371" spans="1:118" ht="12.75">
      <c r="A371" s="13">
        <f t="shared" si="1963"/>
        <v>2013</v>
      </c>
      <c r="B371" s="13">
        <f t="shared" si="1964"/>
        <v>7</v>
      </c>
      <c r="C371" s="5">
        <f>'[2]FPC wSEB'!$D468</f>
        <v>1908035</v>
      </c>
      <c r="D371" s="5">
        <f>'[2]FPC wSEB'!$X468</f>
        <v>1484608</v>
      </c>
      <c r="E371" s="5">
        <f t="shared" ref="E371" si="2817">ROUND(C371-H371,0)</f>
        <v>1884457</v>
      </c>
      <c r="F371" s="5">
        <f t="shared" ref="F371" si="2818">ROUND(D371-I371,0)</f>
        <v>1422738</v>
      </c>
      <c r="G371" s="74">
        <f t="shared" ref="G371" si="2819">ROUND((E371)/F371*1000,1)</f>
        <v>1324.5</v>
      </c>
      <c r="H371" s="190">
        <f>[16]ssr!C190</f>
        <v>23578</v>
      </c>
      <c r="I371" s="190">
        <f>[16]ssr!D190</f>
        <v>61870</v>
      </c>
      <c r="J371" s="230">
        <f>'[7]RES 62 &amp; 67'!$S456</f>
        <v>454.6</v>
      </c>
      <c r="K371" s="183">
        <f t="shared" si="301"/>
        <v>454.9</v>
      </c>
      <c r="L371" s="233">
        <f t="shared" ref="L371" si="2820">(K371-J371)</f>
        <v>0.29999999999995453</v>
      </c>
      <c r="M371" s="230">
        <f>'[7]RES 62 &amp; 67'!$J456</f>
        <v>0</v>
      </c>
      <c r="N371" s="183">
        <f t="shared" si="302"/>
        <v>0</v>
      </c>
      <c r="O371" s="236">
        <f t="shared" ref="O371" si="2821">(N371-M371)</f>
        <v>0</v>
      </c>
      <c r="P371" s="206">
        <f t="shared" ref="P371" si="2822">L371*$I$10</f>
        <v>0.65639999999990051</v>
      </c>
      <c r="Q371" s="208">
        <f t="shared" ref="Q371" si="2823">IF($B371=12,L371*$I$11,IF($B371&lt;5,L371*$I$11,0))</f>
        <v>0</v>
      </c>
      <c r="R371" s="467">
        <f t="shared" ref="R371" si="2824">P371+Q371</f>
        <v>0.65639999999990051</v>
      </c>
      <c r="S371" s="470">
        <f t="shared" si="2712"/>
        <v>0</v>
      </c>
      <c r="T371" s="425">
        <f t="shared" ref="T371" si="2825">ROUND((R371+S371),1)</f>
        <v>0.7</v>
      </c>
      <c r="U371" s="579">
        <f>[5]RC!$E251</f>
        <v>1478112</v>
      </c>
      <c r="V371" s="447">
        <v>41456</v>
      </c>
      <c r="W371" s="191">
        <f t="shared" ref="W371" si="2826">(G371+T371)</f>
        <v>1325.2</v>
      </c>
      <c r="X371" s="73">
        <f t="shared" ref="X371" si="2827">ROUND(W371*F371/1000,0)</f>
        <v>1885412</v>
      </c>
      <c r="Y371" s="187">
        <f t="shared" ref="Y371" si="2828">ROUND((X371/C371)*H371,0)</f>
        <v>23298</v>
      </c>
      <c r="Z371" s="175">
        <f t="shared" ref="Z371" si="2829">Y371+X371</f>
        <v>1908710</v>
      </c>
      <c r="AA371" s="40">
        <f t="shared" ref="AA371" si="2830">Z371-C371</f>
        <v>675</v>
      </c>
      <c r="AB371" s="519">
        <f>[9]RMWh!$L251</f>
        <v>1894832</v>
      </c>
      <c r="AC371" s="107">
        <f>'[7]Gov 65 &amp; 70'!$B456</f>
        <v>30.4</v>
      </c>
      <c r="AD371" s="4">
        <f t="shared" si="1427"/>
        <v>1896079</v>
      </c>
      <c r="AE371" s="4">
        <f t="shared" ref="AE371" si="2831">AD371-AD359</f>
        <v>-21674</v>
      </c>
      <c r="AF371" s="50">
        <f t="shared" ref="AF371" si="2832">ROUND((AD371/(D371)*1000),1)</f>
        <v>1277.2</v>
      </c>
      <c r="AG371" s="75">
        <f t="shared" ref="AG371" si="2833">AF371-AF359</f>
        <v>-104.89999999999986</v>
      </c>
      <c r="AI371" s="303">
        <f t="shared" ref="AI371" si="2834">(H371/I371*1000)/G371</f>
        <v>0.28772320193286344</v>
      </c>
      <c r="AK371" s="422">
        <f t="shared" ref="AK371" si="2835">AVERAGE(AI371,AI359,AI347,AI335,AI323,AI311,AI299,AI287,AI263,AI251)</f>
        <v>0.24344126407433656</v>
      </c>
      <c r="AU371" s="4">
        <f t="shared" si="2150"/>
        <v>2013</v>
      </c>
      <c r="AV371" s="4">
        <f t="shared" si="2151"/>
        <v>7</v>
      </c>
      <c r="AW371" s="230">
        <f>'[8]RES 62 &amp; 67'!$S456</f>
        <v>463.5</v>
      </c>
      <c r="AX371" s="200">
        <f t="shared" si="306"/>
        <v>484.1</v>
      </c>
      <c r="AY371" s="203">
        <f t="shared" ref="AY371" si="2836">AX371-AW371</f>
        <v>20.600000000000023</v>
      </c>
      <c r="AZ371" s="230">
        <f>'[8]RES 62 &amp; 67'!$J456</f>
        <v>0</v>
      </c>
      <c r="BA371" s="183">
        <f t="shared" si="307"/>
        <v>0</v>
      </c>
      <c r="BB371" s="429">
        <f t="shared" ref="BB371" si="2837">BA371-AZ371</f>
        <v>0</v>
      </c>
      <c r="BC371" s="206">
        <f t="shared" ref="BC371" si="2838">AY371*$I$10</f>
        <v>45.072800000000051</v>
      </c>
      <c r="BD371" s="206">
        <f t="shared" ref="BD371" si="2839">IF($B371=4,($I$11*0.5*AY371),IF($B371=11,($I$11*0.5*AY371),IF($B371=12,AY371*$I$11,IF($B371&lt;5,AY371*$I$11,0))))</f>
        <v>0</v>
      </c>
      <c r="BE371" s="206">
        <f t="shared" ref="BE371" si="2840">BC371+BD371</f>
        <v>45.072800000000051</v>
      </c>
      <c r="BF371" s="207">
        <f t="shared" si="2727"/>
        <v>0</v>
      </c>
      <c r="BG371" s="219">
        <f t="shared" ref="BG371" si="2841">ROUND(BF371+BE371,1)</f>
        <v>45.1</v>
      </c>
      <c r="BH371" s="4">
        <f t="shared" si="2596"/>
        <v>2013</v>
      </c>
      <c r="BI371" s="4">
        <f t="shared" si="2597"/>
        <v>7</v>
      </c>
      <c r="BJ371" s="108">
        <f>C371+[4]MWh!$AJ205</f>
        <v>1969862.2932199272</v>
      </c>
      <c r="BK371" s="108">
        <f t="shared" ref="BK371" si="2842">(H371/C371)*BJ371</f>
        <v>24342.013196581534</v>
      </c>
      <c r="BL371" s="108">
        <f t="shared" ref="BL371" si="2843">BJ371-BK371</f>
        <v>1945520.2800233457</v>
      </c>
      <c r="BM371" s="189">
        <f t="shared" ref="BM371" si="2844">(BL371/F371*1000)+BG371</f>
        <v>1412.5480333155829</v>
      </c>
      <c r="BN371" s="6">
        <f t="shared" ref="BN371" si="2845">ROUND(BM371*F371/1000,0)</f>
        <v>2009686</v>
      </c>
      <c r="BO371" s="175">
        <f t="shared" ref="BO371" si="2846">ROUND(BN371/BL371*BK371,0)</f>
        <v>25145</v>
      </c>
      <c r="BP371" s="108">
        <f t="shared" ref="BP371" si="2847">(BN371-BL371)+(BO371-BK371)</f>
        <v>64968.706780072738</v>
      </c>
      <c r="BQ371" s="76">
        <f t="shared" ref="BQ371" si="2848">BJ371/D371*1000</f>
        <v>1326.8568492288384</v>
      </c>
      <c r="BR371" s="76">
        <f t="shared" ref="BR371" si="2849">(BN371+BO371)/D371*1000</f>
        <v>1370.618371987757</v>
      </c>
      <c r="BS371" s="76">
        <f t="shared" ref="BS371" si="2850">BR371-BR359</f>
        <v>-11.572034605602084</v>
      </c>
      <c r="BT371" s="175">
        <f t="shared" ref="BT371" si="2851">(BN371+BO371)</f>
        <v>2034831</v>
      </c>
      <c r="BU371" s="108">
        <f t="shared" ref="BU371" si="2852">BT371-BT359</f>
        <v>116934</v>
      </c>
      <c r="BV371" s="108">
        <f t="shared" ref="BV371" si="2853">BT371-BJ371-BK371</f>
        <v>40626.693583491229</v>
      </c>
      <c r="BW371" s="529">
        <f>BT371/[9]RMWh!$L251</f>
        <v>1.073884650459777</v>
      </c>
      <c r="CK371" s="406">
        <v>41456</v>
      </c>
      <c r="CL371" s="50">
        <f>BP371+COML!BV371+SPA!BV371</f>
        <v>84724.706780072738</v>
      </c>
      <c r="CM371" s="181">
        <f>'[14]2013'!$D38</f>
        <v>211596</v>
      </c>
      <c r="CN371" s="407">
        <f t="shared" ref="CN371" si="2854">CL371-CM371</f>
        <v>-126871.29321992726</v>
      </c>
      <c r="CO371" s="50">
        <f>'[2]FPC wSEB'!$R468</f>
        <v>3983286</v>
      </c>
      <c r="CP371" s="50">
        <f>'[2]FPC wSEB'!$C468-SUM('[2]FPC wSEB'!$K468:$L468)</f>
        <v>3558687</v>
      </c>
      <c r="CQ371" s="50">
        <f>'[2]FPC wSEB'!$T468-'[2]FPC wSEB'!$T467</f>
        <v>20726</v>
      </c>
      <c r="CR371" s="50">
        <f>SUM('[2]FPC wSEB'!$K468:$L468)</f>
        <v>173856</v>
      </c>
      <c r="CS371" s="50">
        <f>('[2]FPC wSEB'!$N468)-CQ371</f>
        <v>-48112</v>
      </c>
      <c r="CT371" s="50">
        <f>'[2]FPC wSEB'!$P468</f>
        <v>12223</v>
      </c>
      <c r="CU371" s="50">
        <f>'[2]FPC wSEB'!$Q468</f>
        <v>265906</v>
      </c>
      <c r="CV371" s="115">
        <f t="shared" ref="CV371" si="2855">CO371-SUM(CP371:CU371)</f>
        <v>0</v>
      </c>
      <c r="CW371" s="50">
        <f t="shared" ref="CW371" si="2856">CO371-CT371-CU371+CM371</f>
        <v>3916753</v>
      </c>
      <c r="CX371" s="50">
        <f t="shared" ref="CX371" si="2857">SUM(CP371:CS371)+CL371</f>
        <v>3789881.7067800728</v>
      </c>
      <c r="CY371" s="50">
        <f t="shared" ref="CY371" si="2858">CW371-CX371</f>
        <v>126871.29321992723</v>
      </c>
      <c r="CZ371" s="23"/>
      <c r="DA371" s="23"/>
      <c r="DB371" s="50">
        <f t="shared" si="2778"/>
        <v>0.57779999999991238</v>
      </c>
      <c r="DC371" s="108">
        <f t="shared" si="2779"/>
        <v>1325.0778</v>
      </c>
      <c r="DD371" s="50">
        <f t="shared" si="2780"/>
        <v>1885239</v>
      </c>
      <c r="DE371" s="108">
        <f t="shared" si="2781"/>
        <v>23296</v>
      </c>
      <c r="DF371" s="50">
        <f t="shared" si="2782"/>
        <v>1908535</v>
      </c>
      <c r="DG371" s="23">
        <f t="shared" si="2783"/>
        <v>0</v>
      </c>
      <c r="DH371" s="500">
        <f>ROUND((([13]RUPC!$E251+DG371)*[5]RC!$E$209)/1000,0)</f>
        <v>1848159</v>
      </c>
      <c r="DI371" s="50">
        <f>DH371-DH359</f>
        <v>-40836</v>
      </c>
      <c r="DJ371" s="23"/>
      <c r="DK371" s="23"/>
      <c r="DL371" s="23"/>
      <c r="DM371" s="23"/>
      <c r="DN371" s="23"/>
    </row>
    <row r="372" spans="1:118" ht="12.75">
      <c r="A372" s="13">
        <f t="shared" si="1963"/>
        <v>2013</v>
      </c>
      <c r="B372" s="13">
        <f t="shared" si="1964"/>
        <v>8</v>
      </c>
      <c r="C372" s="5">
        <f>'[2]FPC wSEB'!$D469</f>
        <v>1820620</v>
      </c>
      <c r="D372" s="5">
        <f>'[2]FPC wSEB'!$X469</f>
        <v>1402771</v>
      </c>
      <c r="E372" s="5">
        <f t="shared" ref="E372" si="2859">ROUND(C372-H372,0)</f>
        <v>1798172</v>
      </c>
      <c r="F372" s="5">
        <f t="shared" ref="F372" si="2860">ROUND(D372-I372,0)</f>
        <v>1345784</v>
      </c>
      <c r="G372" s="74">
        <f t="shared" ref="G372" si="2861">ROUND((E372)/F372*1000,1)</f>
        <v>1336.2</v>
      </c>
      <c r="H372" s="190">
        <f>[16]ssr!C191</f>
        <v>22448</v>
      </c>
      <c r="I372" s="190">
        <f>[16]ssr!D191</f>
        <v>56987</v>
      </c>
      <c r="J372" s="230">
        <f>'[7]RES 62 &amp; 67'!$S457</f>
        <v>473.2</v>
      </c>
      <c r="K372" s="183">
        <f t="shared" si="301"/>
        <v>481.4</v>
      </c>
      <c r="L372" s="233">
        <f t="shared" ref="L372" si="2862">(K372-J372)</f>
        <v>8.1999999999999886</v>
      </c>
      <c r="M372" s="230">
        <f>'[7]RES 62 &amp; 67'!$J457</f>
        <v>0</v>
      </c>
      <c r="N372" s="183">
        <f t="shared" si="302"/>
        <v>0</v>
      </c>
      <c r="O372" s="236">
        <f t="shared" ref="O372" si="2863">(N372-M372)</f>
        <v>0</v>
      </c>
      <c r="P372" s="206">
        <f t="shared" ref="P372" si="2864">L372*$I$10</f>
        <v>17.941599999999976</v>
      </c>
      <c r="Q372" s="208">
        <f t="shared" ref="Q372" si="2865">IF($B372=12,L372*$I$11,IF($B372&lt;5,L372*$I$11,0))</f>
        <v>0</v>
      </c>
      <c r="R372" s="467">
        <f t="shared" ref="R372" si="2866">P372+Q372</f>
        <v>17.941599999999976</v>
      </c>
      <c r="S372" s="470">
        <f t="shared" si="2712"/>
        <v>0</v>
      </c>
      <c r="T372" s="425">
        <f t="shared" ref="T372" si="2867">ROUND((R372+S372),1)</f>
        <v>17.899999999999999</v>
      </c>
      <c r="U372" s="579">
        <f>[5]RC!$E252</f>
        <v>1479289</v>
      </c>
      <c r="V372" s="447">
        <v>41487</v>
      </c>
      <c r="W372" s="191">
        <f t="shared" ref="W372" si="2868">(G372+T372)</f>
        <v>1354.1000000000001</v>
      </c>
      <c r="X372" s="73">
        <f t="shared" ref="X372" si="2869">ROUND(W372*F372/1000,0)</f>
        <v>1822326</v>
      </c>
      <c r="Y372" s="187">
        <f t="shared" ref="Y372" si="2870">ROUND((X372/C372)*H372,0)</f>
        <v>22469</v>
      </c>
      <c r="Z372" s="175">
        <f t="shared" ref="Z372" si="2871">Y372+X372</f>
        <v>1844795</v>
      </c>
      <c r="AA372" s="40">
        <f t="shared" ref="AA372" si="2872">Z372-C372</f>
        <v>24175</v>
      </c>
      <c r="AB372" s="519">
        <f>[9]RMWh!$L252</f>
        <v>1936532</v>
      </c>
      <c r="AC372" s="107">
        <f>'[7]Gov 65 &amp; 70'!$B457</f>
        <v>29.8</v>
      </c>
      <c r="AD372" s="4">
        <f>ROUND(AB372/(AC372/30.42),0)</f>
        <v>1976822</v>
      </c>
      <c r="AE372" s="4">
        <f t="shared" ref="AE372" si="2873">AD372-AD360</f>
        <v>27300</v>
      </c>
      <c r="AF372" s="50">
        <f t="shared" ref="AF372" si="2874">ROUND((AD372/(D372)*1000),1)</f>
        <v>1409.2</v>
      </c>
      <c r="AG372" s="75">
        <f t="shared" ref="AG372" si="2875">AF372-AF360</f>
        <v>145.70000000000005</v>
      </c>
      <c r="AI372" s="303">
        <f t="shared" ref="AI372" si="2876">(H372/I372*1000)/G372</f>
        <v>0.29480197689730098</v>
      </c>
      <c r="AK372" s="422">
        <f t="shared" ref="AK372" si="2877">AVERAGE(AI372,AI360,AI348,AI336,AI324,AI312,AI300,AI288,AI264,AI252)</f>
        <v>0.24263722022282569</v>
      </c>
      <c r="AU372" s="4">
        <f t="shared" si="2150"/>
        <v>2013</v>
      </c>
      <c r="AV372" s="4">
        <f t="shared" si="2151"/>
        <v>8</v>
      </c>
      <c r="AW372" s="230">
        <f>'[8]RES 62 &amp; 67'!$S457</f>
        <v>518.5</v>
      </c>
      <c r="AX372" s="200">
        <f t="shared" si="306"/>
        <v>487.3</v>
      </c>
      <c r="AY372" s="203">
        <f t="shared" ref="AY372" si="2878">AX372-AW372</f>
        <v>-31.199999999999989</v>
      </c>
      <c r="AZ372" s="230">
        <f>'[8]RES 62 &amp; 67'!$J457</f>
        <v>0</v>
      </c>
      <c r="BA372" s="183">
        <f t="shared" si="307"/>
        <v>0</v>
      </c>
      <c r="BB372" s="429">
        <f t="shared" ref="BB372" si="2879">BA372-AZ372</f>
        <v>0</v>
      </c>
      <c r="BC372" s="206">
        <f t="shared" ref="BC372" si="2880">AY372*$I$10</f>
        <v>-68.265599999999978</v>
      </c>
      <c r="BD372" s="206">
        <f t="shared" ref="BD372" si="2881">IF($B372=4,($I$11*0.5*AY372),IF($B372=11,($I$11*0.5*AY372),IF($B372=12,AY372*$I$11,IF($B372&lt;5,AY372*$I$11,0))))</f>
        <v>0</v>
      </c>
      <c r="BE372" s="206">
        <f t="shared" ref="BE372" si="2882">BC372+BD372</f>
        <v>-68.265599999999978</v>
      </c>
      <c r="BF372" s="207">
        <f t="shared" si="2727"/>
        <v>0</v>
      </c>
      <c r="BG372" s="219">
        <f t="shared" ref="BG372" si="2883">ROUND(BF372+BE372,1)</f>
        <v>-68.3</v>
      </c>
      <c r="BH372" s="4">
        <f t="shared" si="2596"/>
        <v>2013</v>
      </c>
      <c r="BI372" s="4">
        <f t="shared" si="2597"/>
        <v>8</v>
      </c>
      <c r="BJ372" s="108">
        <f>C372+[4]MWh!$AJ206</f>
        <v>1960737.442465388</v>
      </c>
      <c r="BK372" s="108">
        <f t="shared" ref="BK372" si="2884">(H372/C372)*BJ372</f>
        <v>24175.629240842696</v>
      </c>
      <c r="BL372" s="108">
        <f t="shared" ref="BL372" si="2885">BJ372-BK372</f>
        <v>1936561.8132245452</v>
      </c>
      <c r="BM372" s="189">
        <f t="shared" ref="BM372" si="2886">(BL372/F372*1000)+BG372</f>
        <v>1370.6841261484349</v>
      </c>
      <c r="BN372" s="6">
        <f t="shared" ref="BN372" si="2887">ROUND(BM372*F372/1000,0)</f>
        <v>1844645</v>
      </c>
      <c r="BO372" s="175">
        <f t="shared" ref="BO372" si="2888">ROUND(BN372/BL372*BK372,0)</f>
        <v>23028</v>
      </c>
      <c r="BP372" s="108">
        <f t="shared" ref="BP372" si="2889">(BN372-BL372)+(BO372-BK372)</f>
        <v>-93064.44246538791</v>
      </c>
      <c r="BQ372" s="76">
        <f t="shared" ref="BQ372" si="2890">BJ372/D372*1000</f>
        <v>1397.7601778660865</v>
      </c>
      <c r="BR372" s="76">
        <f t="shared" ref="BR372" si="2891">(BN372+BO372)/D372*1000</f>
        <v>1331.4168884301143</v>
      </c>
      <c r="BS372" s="76">
        <f t="shared" ref="BS372" si="2892">BR372-BR360</f>
        <v>-88.682334185642503</v>
      </c>
      <c r="BT372" s="175">
        <f t="shared" ref="BT372" si="2893">(BN372+BO372)</f>
        <v>1867673</v>
      </c>
      <c r="BU372" s="108">
        <f t="shared" ref="BU372" si="2894">BT372-BT360</f>
        <v>-323533</v>
      </c>
      <c r="BV372" s="108">
        <f t="shared" ref="BV372" si="2895">BT372-BJ372-BK372</f>
        <v>-117240.07170623068</v>
      </c>
      <c r="BW372" s="529">
        <f>BT372/[9]RMWh!$L252</f>
        <v>0.96444210578498057</v>
      </c>
      <c r="CK372" s="406">
        <v>41487</v>
      </c>
      <c r="CL372" s="50">
        <f>BP372+COML!BV372+SPA!BV372</f>
        <v>-123145.44246538791</v>
      </c>
      <c r="CM372" s="181">
        <f>'[14]2013'!$D39</f>
        <v>-111749</v>
      </c>
      <c r="CN372" s="407">
        <f t="shared" ref="CN372" si="2896">CL372-CM372</f>
        <v>-11396.44246538791</v>
      </c>
      <c r="CO372" s="50">
        <f>'[2]FPC wSEB'!$R469</f>
        <v>4283085</v>
      </c>
      <c r="CP372" s="50">
        <f>'[2]FPC wSEB'!$C469-SUM('[2]FPC wSEB'!$K469:$L469)</f>
        <v>3478835</v>
      </c>
      <c r="CQ372" s="50">
        <f>'[2]FPC wSEB'!$T469-'[2]FPC wSEB'!$T468</f>
        <v>319880</v>
      </c>
      <c r="CR372" s="50">
        <f>SUM('[2]FPC wSEB'!$K469:$L469)</f>
        <v>129262</v>
      </c>
      <c r="CS372" s="50">
        <f>('[2]FPC wSEB'!$N469)-CQ372</f>
        <v>38677</v>
      </c>
      <c r="CT372" s="50">
        <f>'[2]FPC wSEB'!$P469</f>
        <v>9628</v>
      </c>
      <c r="CU372" s="50">
        <f>'[2]FPC wSEB'!$Q469</f>
        <v>306803</v>
      </c>
      <c r="CV372" s="115">
        <f t="shared" ref="CV372" si="2897">CO372-SUM(CP372:CU372)</f>
        <v>0</v>
      </c>
      <c r="CW372" s="50">
        <f t="shared" ref="CW372" si="2898">CO372-CT372-CU372+CM372</f>
        <v>3854905</v>
      </c>
      <c r="CX372" s="50">
        <f t="shared" ref="CX372" si="2899">SUM(CP372:CS372)+CL372</f>
        <v>3843508.5575346122</v>
      </c>
      <c r="CY372" s="50">
        <f t="shared" ref="CY372" si="2900">CW372-CX372</f>
        <v>11396.44246538775</v>
      </c>
      <c r="CZ372" s="23"/>
      <c r="DA372" s="23"/>
      <c r="DB372" s="50">
        <f t="shared" ref="DB372:DB376" si="2901">(1.926*L372)+(2.859*O372)</f>
        <v>15.793199999999977</v>
      </c>
      <c r="DC372" s="108">
        <f t="shared" ref="DC372:DC376" si="2902">G372+DB372</f>
        <v>1351.9932000000001</v>
      </c>
      <c r="DD372" s="50">
        <f t="shared" ref="DD372:DD376" si="2903">ROUND(DC372*F372/1000,0)</f>
        <v>1819491</v>
      </c>
      <c r="DE372" s="108">
        <f t="shared" ref="DE372:DE376" si="2904">ROUND((DD372/C372)*H372,0)</f>
        <v>22434</v>
      </c>
      <c r="DF372" s="50">
        <f t="shared" ref="DF372:DF376" si="2905">DE372+DD372</f>
        <v>1841925</v>
      </c>
      <c r="DG372" s="23">
        <f t="shared" ref="DG372:DG376" si="2906">ROUND((DF372-C372)/D372*1000,0)</f>
        <v>15</v>
      </c>
      <c r="DH372" s="500">
        <f>ROUND((([13]RUPC!$E252+DG372)*[5]RC!$E$209)/1000,0)</f>
        <v>1884777</v>
      </c>
      <c r="DI372" s="50">
        <f t="shared" ref="DI372:DI376" si="2907">DH372-DH360</f>
        <v>-89478</v>
      </c>
      <c r="DJ372" s="23"/>
      <c r="DK372" s="23"/>
      <c r="DL372" s="23"/>
      <c r="DM372" s="23"/>
      <c r="DN372" s="23"/>
    </row>
    <row r="373" spans="1:118" ht="12.75">
      <c r="A373" s="13">
        <f t="shared" si="1963"/>
        <v>2013</v>
      </c>
      <c r="B373" s="13">
        <f t="shared" si="1964"/>
        <v>9</v>
      </c>
      <c r="C373" s="5">
        <f>'[2]FPC wSEB'!$D470</f>
        <v>1983817</v>
      </c>
      <c r="D373" s="5">
        <f>'[2]FPC wSEB'!$X470</f>
        <v>1477554</v>
      </c>
      <c r="E373" s="5">
        <f t="shared" ref="E373" si="2908">ROUND(C373-H373,0)</f>
        <v>1958670</v>
      </c>
      <c r="F373" s="5">
        <f t="shared" ref="F373" si="2909">ROUND(D373-I373,0)</f>
        <v>1416099</v>
      </c>
      <c r="G373" s="74">
        <f t="shared" ref="G373" si="2910">ROUND((E373)/F373*1000,1)</f>
        <v>1383.1</v>
      </c>
      <c r="H373" s="190">
        <f>[16]ssr!C192</f>
        <v>25147</v>
      </c>
      <c r="I373" s="190">
        <f>[16]ssr!D192</f>
        <v>61455</v>
      </c>
      <c r="J373" s="230">
        <f>'[7]RES 62 &amp; 67'!$S458</f>
        <v>493.2</v>
      </c>
      <c r="K373" s="183">
        <f t="shared" si="301"/>
        <v>473.7</v>
      </c>
      <c r="L373" s="233">
        <f t="shared" ref="L373" si="2911">(K373-J373)</f>
        <v>-19.5</v>
      </c>
      <c r="M373" s="230">
        <f>'[7]RES 62 &amp; 67'!$J458</f>
        <v>0</v>
      </c>
      <c r="N373" s="183">
        <f t="shared" si="302"/>
        <v>0</v>
      </c>
      <c r="O373" s="236">
        <f t="shared" ref="O373" si="2912">(N373-M373)</f>
        <v>0</v>
      </c>
      <c r="P373" s="206">
        <f t="shared" ref="P373" si="2913">L373*$I$10</f>
        <v>-42.666000000000004</v>
      </c>
      <c r="Q373" s="208">
        <f t="shared" ref="Q373" si="2914">IF($B373=12,L373*$I$11,IF($B373&lt;5,L373*$I$11,0))</f>
        <v>0</v>
      </c>
      <c r="R373" s="467">
        <f t="shared" ref="R373" si="2915">P373+Q373</f>
        <v>-42.666000000000004</v>
      </c>
      <c r="S373" s="470">
        <f t="shared" si="2712"/>
        <v>0</v>
      </c>
      <c r="T373" s="425">
        <f t="shared" ref="T373" si="2916">ROUND((R373+S373),1)</f>
        <v>-42.7</v>
      </c>
      <c r="U373" s="579">
        <f>[5]RC!$E253</f>
        <v>1477554</v>
      </c>
      <c r="V373" s="447">
        <v>41518</v>
      </c>
      <c r="W373" s="191">
        <f t="shared" ref="W373" si="2917">(G373+T373)</f>
        <v>1340.3999999999999</v>
      </c>
      <c r="X373" s="73">
        <f t="shared" ref="X373" si="2918">ROUND(W373*F373/1000,0)</f>
        <v>1898139</v>
      </c>
      <c r="Y373" s="187">
        <f t="shared" ref="Y373" si="2919">ROUND((X373/C373)*H373,0)</f>
        <v>24061</v>
      </c>
      <c r="Z373" s="175">
        <f t="shared" ref="Z373" si="2920">Y373+X373</f>
        <v>1922200</v>
      </c>
      <c r="AA373" s="40">
        <f t="shared" ref="AA373" si="2921">Z373-C373</f>
        <v>-61617</v>
      </c>
      <c r="AB373" s="519">
        <f>[9]RMWh!$L253</f>
        <v>1922405</v>
      </c>
      <c r="AC373" s="107">
        <f>'[7]Gov 65 &amp; 70'!$B458</f>
        <v>30.45</v>
      </c>
      <c r="AD373" s="4">
        <f>ROUND(AB373/(AC373/30.42),0)</f>
        <v>1920511</v>
      </c>
      <c r="AE373" s="4">
        <f t="shared" ref="AE373" si="2922">AD373-AD361</f>
        <v>-44853</v>
      </c>
      <c r="AF373" s="50">
        <f t="shared" ref="AF373" si="2923">ROUND((AD373/(D373)*1000),1)</f>
        <v>1299.8</v>
      </c>
      <c r="AG373" s="75">
        <f t="shared" ref="AG373" si="2924">AF373-AF361</f>
        <v>-99.900000000000091</v>
      </c>
      <c r="AI373" s="303">
        <f t="shared" ref="AI373" si="2925">(H373/I373*1000)/G373</f>
        <v>0.2958525912669861</v>
      </c>
      <c r="AK373" s="422">
        <f t="shared" ref="AK373" si="2926">AVERAGE(AI373,AI361,AI349,AI337,AI325,AI313,AI301,AI289,AI265,AI253)</f>
        <v>0.244735274194602</v>
      </c>
      <c r="AU373" s="4">
        <f t="shared" si="2150"/>
        <v>2013</v>
      </c>
      <c r="AV373" s="4">
        <f t="shared" si="2151"/>
        <v>9</v>
      </c>
      <c r="AW373" s="230">
        <f>'[8]RES 62 &amp; 67'!$S458</f>
        <v>426.8</v>
      </c>
      <c r="AX373" s="200">
        <f t="shared" si="306"/>
        <v>428.3</v>
      </c>
      <c r="AY373" s="203">
        <f t="shared" ref="AY373" si="2927">AX373-AW373</f>
        <v>1.5</v>
      </c>
      <c r="AZ373" s="230">
        <f>'[8]RES 62 &amp; 67'!$J458</f>
        <v>0</v>
      </c>
      <c r="BA373" s="183">
        <f t="shared" si="307"/>
        <v>0</v>
      </c>
      <c r="BB373" s="429">
        <f t="shared" ref="BB373" si="2928">BA373-AZ373</f>
        <v>0</v>
      </c>
      <c r="BC373" s="206">
        <f t="shared" ref="BC373" si="2929">AY373*$I$10</f>
        <v>3.282</v>
      </c>
      <c r="BD373" s="206">
        <f t="shared" ref="BD373" si="2930">IF($B373=4,($I$11*0.5*AY373),IF($B373=11,($I$11*0.5*AY373),IF($B373=12,AY373*$I$11,IF($B373&lt;5,AY373*$I$11,0))))</f>
        <v>0</v>
      </c>
      <c r="BE373" s="206">
        <f t="shared" ref="BE373" si="2931">BC373+BD373</f>
        <v>3.282</v>
      </c>
      <c r="BF373" s="207">
        <f t="shared" si="2727"/>
        <v>0</v>
      </c>
      <c r="BG373" s="219">
        <f t="shared" ref="BG373" si="2932">ROUND(BF373+BE373,1)</f>
        <v>3.3</v>
      </c>
      <c r="BH373" s="4">
        <f t="shared" si="2596"/>
        <v>2013</v>
      </c>
      <c r="BI373" s="4">
        <f t="shared" si="2597"/>
        <v>9</v>
      </c>
      <c r="BJ373" s="108">
        <f>C373+[4]MWh!$AJ207</f>
        <v>1869835.0744312177</v>
      </c>
      <c r="BK373" s="108">
        <f t="shared" ref="BK373" si="2933">(H373/C373)*BJ373</f>
        <v>23702.157314269327</v>
      </c>
      <c r="BL373" s="108">
        <f t="shared" ref="BL373" si="2934">BJ373-BK373</f>
        <v>1846132.9171169484</v>
      </c>
      <c r="BM373" s="189">
        <f t="shared" ref="BM373" si="2935">(BL373/F373*1000)+BG373</f>
        <v>1306.9750376329255</v>
      </c>
      <c r="BN373" s="6">
        <f t="shared" ref="BN373" si="2936">ROUND(BM373*F373/1000,0)</f>
        <v>1850806</v>
      </c>
      <c r="BO373" s="175">
        <f t="shared" ref="BO373" si="2937">ROUND(BN373/BL373*BK373,0)</f>
        <v>23762</v>
      </c>
      <c r="BP373" s="108">
        <f t="shared" ref="BP373" si="2938">(BN373-BL373)+(BO373-BK373)</f>
        <v>4732.9255687822697</v>
      </c>
      <c r="BQ373" s="76">
        <f t="shared" ref="BQ373" si="2939">BJ373/D373*1000</f>
        <v>1265.4935619484754</v>
      </c>
      <c r="BR373" s="76">
        <f t="shared" ref="BR373" si="2940">(BN373+BO373)/D373*1000</f>
        <v>1268.6967785948939</v>
      </c>
      <c r="BS373" s="76">
        <f t="shared" ref="BS373" si="2941">BR373-BR361</f>
        <v>83.537628071894005</v>
      </c>
      <c r="BT373" s="175">
        <f t="shared" ref="BT373" si="2942">(BN373+BO373)</f>
        <v>1874568</v>
      </c>
      <c r="BU373" s="108">
        <f t="shared" ref="BU373" si="2943">BT373-BT361</f>
        <v>210473</v>
      </c>
      <c r="BV373" s="108">
        <f t="shared" ref="BV373" si="2944">BT373-BJ373-BK373</f>
        <v>-18969.231745487068</v>
      </c>
      <c r="BW373" s="529">
        <f>BT373/[9]RMWh!$L253</f>
        <v>0.97511606555330432</v>
      </c>
      <c r="CK373" s="406">
        <v>41518</v>
      </c>
      <c r="CL373" s="50">
        <f>BP373+COML!BV373+SPA!BV373</f>
        <v>6016.9255687822697</v>
      </c>
      <c r="CM373" s="181">
        <f>'[14]2013'!$D40</f>
        <v>31665</v>
      </c>
      <c r="CN373" s="407">
        <f t="shared" ref="CN373:CN374" si="2945">CL373-CM373</f>
        <v>-25648.07443121773</v>
      </c>
      <c r="CO373" s="50">
        <f>'[2]FPC wSEB'!$R470</f>
        <v>3860786</v>
      </c>
      <c r="CP373" s="50">
        <f>'[2]FPC wSEB'!$C470-SUM('[2]FPC wSEB'!$K470:$L470)</f>
        <v>3700720</v>
      </c>
      <c r="CQ373" s="50">
        <f>'[2]FPC wSEB'!$T470-'[2]FPC wSEB'!$T469</f>
        <v>-270728</v>
      </c>
      <c r="CR373" s="50">
        <f>SUM('[2]FPC wSEB'!$K470:$L470)</f>
        <v>166510</v>
      </c>
      <c r="CS373" s="50">
        <f>('[2]FPC wSEB'!$N470)-CQ373</f>
        <v>-9992</v>
      </c>
      <c r="CT373" s="50">
        <f>'[2]FPC wSEB'!$P470</f>
        <v>14904</v>
      </c>
      <c r="CU373" s="50">
        <f>'[2]FPC wSEB'!$Q470</f>
        <v>259372</v>
      </c>
      <c r="CV373" s="115">
        <f t="shared" ref="CV373:CV374" si="2946">CO373-SUM(CP373:CU373)</f>
        <v>0</v>
      </c>
      <c r="CW373" s="50">
        <f t="shared" ref="CW373:CW374" si="2947">CO373-CT373-CU373+CM373</f>
        <v>3618175</v>
      </c>
      <c r="CX373" s="50">
        <f t="shared" ref="CX373:CX374" si="2948">SUM(CP373:CS373)+CL373</f>
        <v>3592526.9255687823</v>
      </c>
      <c r="CY373" s="50">
        <f t="shared" ref="CY373:CY374" si="2949">CW373-CX373</f>
        <v>25648.074431217741</v>
      </c>
      <c r="CZ373" s="23"/>
      <c r="DA373" s="23"/>
      <c r="DB373" s="50">
        <f t="shared" si="2901"/>
        <v>-37.557000000000002</v>
      </c>
      <c r="DC373" s="108">
        <f t="shared" si="2902"/>
        <v>1345.5429999999999</v>
      </c>
      <c r="DD373" s="50">
        <f t="shared" si="2903"/>
        <v>1905422</v>
      </c>
      <c r="DE373" s="108">
        <f t="shared" si="2904"/>
        <v>24153</v>
      </c>
      <c r="DF373" s="50">
        <f t="shared" si="2905"/>
        <v>1929575</v>
      </c>
      <c r="DG373" s="23">
        <f t="shared" si="2906"/>
        <v>-37</v>
      </c>
      <c r="DH373" s="500">
        <f>ROUND((([13]RUPC!$E253+DG373)*[5]RC!$E$209)/1000,0)</f>
        <v>1883208</v>
      </c>
      <c r="DI373" s="50">
        <f t="shared" si="2907"/>
        <v>-40262</v>
      </c>
      <c r="DJ373" s="23"/>
      <c r="DK373" s="23"/>
      <c r="DL373" s="23"/>
      <c r="DM373" s="23"/>
      <c r="DN373" s="23"/>
    </row>
    <row r="374" spans="1:118" ht="12.75">
      <c r="A374" s="13">
        <f t="shared" si="1963"/>
        <v>2013</v>
      </c>
      <c r="B374" s="13">
        <f t="shared" si="1964"/>
        <v>10</v>
      </c>
      <c r="C374" s="5">
        <f>'[2]FPC wSEB'!$D471</f>
        <v>1774337</v>
      </c>
      <c r="D374" s="5">
        <f>'[2]FPC wSEB'!$X471</f>
        <v>1491852</v>
      </c>
      <c r="E374" s="5">
        <f t="shared" ref="E374" si="2950">ROUND(C374-H374,0)</f>
        <v>1751249</v>
      </c>
      <c r="F374" s="5">
        <f t="shared" ref="F374" si="2951">ROUND(D374-I374,0)</f>
        <v>1430531</v>
      </c>
      <c r="G374" s="74">
        <f t="shared" ref="G374" si="2952">ROUND((E374)/F374*1000,1)</f>
        <v>1224.2</v>
      </c>
      <c r="H374" s="190">
        <f>[16]ssr!C193</f>
        <v>23088</v>
      </c>
      <c r="I374" s="190">
        <f>[16]ssr!D193</f>
        <v>61321</v>
      </c>
      <c r="J374" s="230">
        <f>'[7]RES 62 &amp; 67'!$S459</f>
        <v>394.5</v>
      </c>
      <c r="K374" s="183">
        <f t="shared" si="301"/>
        <v>373.2</v>
      </c>
      <c r="L374" s="233">
        <f t="shared" ref="L374" si="2953">(K374-J374)</f>
        <v>-21.300000000000011</v>
      </c>
      <c r="M374" s="230">
        <f>'[7]RES 62 &amp; 67'!$J459</f>
        <v>0.1</v>
      </c>
      <c r="N374" s="183">
        <f t="shared" si="302"/>
        <v>1.3</v>
      </c>
      <c r="O374" s="236">
        <f t="shared" ref="O374" si="2954">(N374-M374)</f>
        <v>1.2</v>
      </c>
      <c r="P374" s="206">
        <f t="shared" ref="P374" si="2955">L374*$I$10</f>
        <v>-46.604400000000027</v>
      </c>
      <c r="Q374" s="208">
        <f t="shared" ref="Q374" si="2956">IF($B374=12,L374*$I$11,IF($B374&lt;5,L374*$I$11,0))</f>
        <v>0</v>
      </c>
      <c r="R374" s="467">
        <f t="shared" ref="R374" si="2957">P374+Q374</f>
        <v>-46.604400000000027</v>
      </c>
      <c r="S374" s="470">
        <f t="shared" ref="S374" si="2958">O374*$I$9</f>
        <v>3.4223999999999997</v>
      </c>
      <c r="T374" s="425">
        <f t="shared" ref="T374" si="2959">ROUND((R374+S374),1)</f>
        <v>-43.2</v>
      </c>
      <c r="U374" s="579">
        <f>[5]RC!$E254</f>
        <v>1483562</v>
      </c>
      <c r="V374" s="447">
        <v>41548</v>
      </c>
      <c r="W374" s="191">
        <f t="shared" ref="W374" si="2960">(G374+T374)</f>
        <v>1181</v>
      </c>
      <c r="X374" s="73">
        <f t="shared" ref="X374" si="2961">ROUND(W374*F374/1000,0)</f>
        <v>1689457</v>
      </c>
      <c r="Y374" s="187">
        <f t="shared" ref="Y374" si="2962">ROUND((X374/C374)*H374,0)</f>
        <v>21984</v>
      </c>
      <c r="Z374" s="175">
        <f t="shared" ref="Z374" si="2963">Y374+X374</f>
        <v>1711441</v>
      </c>
      <c r="AA374" s="40">
        <f t="shared" ref="AA374" si="2964">Z374-C374</f>
        <v>-62896</v>
      </c>
      <c r="AB374" s="519">
        <f>[9]RMWh!$L254</f>
        <v>1703245</v>
      </c>
      <c r="AC374" s="107">
        <f>'[7]Gov 65 &amp; 70'!$B459</f>
        <v>29.75</v>
      </c>
      <c r="AD374" s="4">
        <f>ROUND(AB374/(AC374/30.42),0)</f>
        <v>1741604</v>
      </c>
      <c r="AE374" s="4">
        <f t="shared" ref="AE374" si="2965">AD374-AD362</f>
        <v>38256</v>
      </c>
      <c r="AF374" s="50">
        <f t="shared" ref="AF374" si="2966">ROUND((AD374/(D374)*1000),1)</f>
        <v>1167.4000000000001</v>
      </c>
      <c r="AG374" s="75">
        <f t="shared" ref="AG374" si="2967">AF374-AF362</f>
        <v>-6.2999999999999545</v>
      </c>
      <c r="AI374" s="303">
        <f t="shared" ref="AI374" si="2968">(H374/I374*1000)/G374</f>
        <v>0.3075563584038753</v>
      </c>
      <c r="AK374" s="422">
        <f t="shared" ref="AK374" si="2969">AVERAGE(AI374,AI362,AI350,AI338,AI326,AI314,AI302,AI290,AI266,AI254)</f>
        <v>0.26247153954932928</v>
      </c>
      <c r="AU374" s="4">
        <f t="shared" si="2150"/>
        <v>2013</v>
      </c>
      <c r="AV374" s="4">
        <f t="shared" si="2151"/>
        <v>10</v>
      </c>
      <c r="AW374" s="230">
        <f>'[8]RES 62 &amp; 67'!$S459</f>
        <v>310</v>
      </c>
      <c r="AX374" s="200">
        <f t="shared" si="306"/>
        <v>277.60000000000002</v>
      </c>
      <c r="AY374" s="203">
        <f t="shared" ref="AY374" si="2970">AX374-AW374</f>
        <v>-32.399999999999977</v>
      </c>
      <c r="AZ374" s="230">
        <f>'[8]RES 62 &amp; 67'!$J459</f>
        <v>4.9000000000000004</v>
      </c>
      <c r="BA374" s="183">
        <f t="shared" si="307"/>
        <v>8.5</v>
      </c>
      <c r="BB374" s="429">
        <f t="shared" ref="BB374" si="2971">BA374-AZ374</f>
        <v>3.5999999999999996</v>
      </c>
      <c r="BC374" s="206">
        <f t="shared" ref="BC374" si="2972">AY374*$I$10</f>
        <v>-70.891199999999955</v>
      </c>
      <c r="BD374" s="206">
        <f t="shared" ref="BD374" si="2973">IF($B374=4,($I$11*0.5*AY374),IF($B374=11,($I$11*0.5*AY374),IF($B374=12,AY374*$I$11,IF($B374&lt;5,AY374*$I$11,0))))</f>
        <v>0</v>
      </c>
      <c r="BE374" s="206">
        <f t="shared" ref="BE374" si="2974">BC374+BD374</f>
        <v>-70.891199999999955</v>
      </c>
      <c r="BF374" s="207">
        <f t="shared" ref="BF374" si="2975">BB374*$I$9</f>
        <v>10.267199999999999</v>
      </c>
      <c r="BG374" s="219">
        <f t="shared" ref="BG374" si="2976">ROUND(BF374+BE374,1)</f>
        <v>-60.6</v>
      </c>
      <c r="BH374" s="4">
        <f t="shared" si="2596"/>
        <v>2013</v>
      </c>
      <c r="BI374" s="4">
        <f t="shared" si="2597"/>
        <v>10</v>
      </c>
      <c r="BJ374" s="108">
        <f>C374+[4]MWh!$AJ208</f>
        <v>1622940.4044295498</v>
      </c>
      <c r="BK374" s="108">
        <f t="shared" ref="BK374" si="2977">(H374/C374)*BJ374</f>
        <v>21117.999600678704</v>
      </c>
      <c r="BL374" s="108">
        <f t="shared" ref="BL374" si="2978">BJ374-BK374</f>
        <v>1601822.4048288711</v>
      </c>
      <c r="BM374" s="189">
        <f t="shared" ref="BM374" si="2979">(BL374/F374*1000)+BG374</f>
        <v>1059.1397363838123</v>
      </c>
      <c r="BN374" s="6">
        <f t="shared" ref="BN374" si="2980">ROUND(BM374*F374/1000,0)</f>
        <v>1515132</v>
      </c>
      <c r="BO374" s="175">
        <f t="shared" ref="BO374" si="2981">ROUND(BN374/BL374*BK374,0)</f>
        <v>19975</v>
      </c>
      <c r="BP374" s="108">
        <f t="shared" ref="BP374" si="2982">(BN374-BL374)+(BO374-BK374)</f>
        <v>-87833.404429549846</v>
      </c>
      <c r="BQ374" s="76">
        <f t="shared" ref="BQ374" si="2983">BJ374/D374*1000</f>
        <v>1087.8695771628484</v>
      </c>
      <c r="BR374" s="76">
        <f t="shared" ref="BR374" si="2984">(BN374+BO374)/D374*1000</f>
        <v>1028.9941629598648</v>
      </c>
      <c r="BS374" s="76">
        <f t="shared" ref="BS374" si="2985">BR374-BR362</f>
        <v>-34.501061478771589</v>
      </c>
      <c r="BT374" s="175">
        <f t="shared" ref="BT374" si="2986">(BN374+BO374)</f>
        <v>1535107</v>
      </c>
      <c r="BU374" s="108">
        <f t="shared" ref="BU374" si="2987">BT374-BT362</f>
        <v>-8283</v>
      </c>
      <c r="BV374" s="108">
        <f t="shared" ref="BV374" si="2988">BT374-BJ374-BK374</f>
        <v>-108951.40403022853</v>
      </c>
      <c r="BW374" s="529">
        <f>BT374/[9]RMWh!$L254</f>
        <v>0.90128372606407181</v>
      </c>
      <c r="CK374" s="406">
        <v>41548</v>
      </c>
      <c r="CL374" s="50">
        <f>BP374+COML!BV374+SPA!BV374</f>
        <v>-118565.40442954985</v>
      </c>
      <c r="CM374" s="181">
        <f>'[14]2013'!$D41</f>
        <v>-132622</v>
      </c>
      <c r="CN374" s="407">
        <f t="shared" si="2945"/>
        <v>14056.595570450154</v>
      </c>
      <c r="CO374" s="50">
        <f>'[2]FPC wSEB'!$R471</f>
        <v>3516927</v>
      </c>
      <c r="CP374" s="50">
        <f>'[2]FPC wSEB'!$C471-SUM('[2]FPC wSEB'!$K471:$L471)</f>
        <v>3384393</v>
      </c>
      <c r="CQ374" s="50">
        <f>'[2]FPC wSEB'!$T471-'[2]FPC wSEB'!$T470</f>
        <v>-239794</v>
      </c>
      <c r="CR374" s="50">
        <f>SUM('[2]FPC wSEB'!$K471:$L471)</f>
        <v>154086</v>
      </c>
      <c r="CS374" s="50">
        <f>('[2]FPC wSEB'!$N471)-CQ374</f>
        <v>-13464</v>
      </c>
      <c r="CT374" s="50">
        <f>'[2]FPC wSEB'!$P471</f>
        <v>8321</v>
      </c>
      <c r="CU374" s="50">
        <f>'[2]FPC wSEB'!$Q471</f>
        <v>223385</v>
      </c>
      <c r="CV374" s="115">
        <f t="shared" si="2946"/>
        <v>0</v>
      </c>
      <c r="CW374" s="50">
        <f t="shared" si="2947"/>
        <v>3152599</v>
      </c>
      <c r="CX374" s="50">
        <f t="shared" si="2948"/>
        <v>3166655.5955704502</v>
      </c>
      <c r="CY374" s="50">
        <f t="shared" si="2949"/>
        <v>-14056.595570450183</v>
      </c>
      <c r="CZ374" s="23"/>
      <c r="DA374" s="23"/>
      <c r="DB374" s="50">
        <f t="shared" si="2901"/>
        <v>-37.593000000000025</v>
      </c>
      <c r="DC374" s="108">
        <f t="shared" si="2902"/>
        <v>1186.607</v>
      </c>
      <c r="DD374" s="50">
        <f t="shared" si="2903"/>
        <v>1697478</v>
      </c>
      <c r="DE374" s="108">
        <f t="shared" si="2904"/>
        <v>22088</v>
      </c>
      <c r="DF374" s="50">
        <f t="shared" si="2905"/>
        <v>1719566</v>
      </c>
      <c r="DG374" s="23">
        <f t="shared" si="2906"/>
        <v>-37</v>
      </c>
      <c r="DH374" s="500">
        <f>ROUND((([13]RUPC!$E254+DG374)*[5]RC!$E$209)/1000,0)</f>
        <v>1663216</v>
      </c>
      <c r="DI374" s="50">
        <f t="shared" si="2907"/>
        <v>9399</v>
      </c>
      <c r="DJ374" s="23"/>
      <c r="DK374" s="23"/>
      <c r="DL374" s="23"/>
      <c r="DM374" s="23"/>
      <c r="DN374" s="23"/>
    </row>
    <row r="375" spans="1:118" ht="12.75">
      <c r="A375" s="13">
        <f t="shared" si="1963"/>
        <v>2013</v>
      </c>
      <c r="B375" s="13">
        <f t="shared" si="1964"/>
        <v>11</v>
      </c>
      <c r="C375" s="5">
        <f>'[2]FPC wSEB'!$D472</f>
        <v>1419737</v>
      </c>
      <c r="D375" s="5">
        <f>'[2]FPC wSEB'!$X472</f>
        <v>1575906</v>
      </c>
      <c r="E375" s="5">
        <f t="shared" ref="E375" si="2989">ROUND(C375-H375,0)</f>
        <v>1396842</v>
      </c>
      <c r="F375" s="5">
        <f t="shared" ref="F375" si="2990">ROUND(D375-I375,0)</f>
        <v>1510059</v>
      </c>
      <c r="G375" s="74">
        <f t="shared" ref="G375" si="2991">ROUND((E375)/F375*1000,1)</f>
        <v>925</v>
      </c>
      <c r="H375" s="190">
        <f>[16]ssr!C194</f>
        <v>22895</v>
      </c>
      <c r="I375" s="190">
        <f>[16]ssr!D194</f>
        <v>65847</v>
      </c>
      <c r="J375" s="230">
        <f>'[7]RES 62 &amp; 67'!$S460</f>
        <v>251.8</v>
      </c>
      <c r="K375" s="183">
        <f t="shared" si="301"/>
        <v>204.3</v>
      </c>
      <c r="L375" s="233">
        <f t="shared" ref="L375" si="2992">(K375-J375)</f>
        <v>-47.5</v>
      </c>
      <c r="M375" s="230">
        <f>'[7]RES 62 &amp; 67'!$J460</f>
        <v>7.6</v>
      </c>
      <c r="N375" s="183">
        <f t="shared" si="302"/>
        <v>24.1</v>
      </c>
      <c r="O375" s="236">
        <f t="shared" ref="O375" si="2993">(N375-M375)</f>
        <v>16.5</v>
      </c>
      <c r="P375" s="206">
        <f t="shared" ref="P375" si="2994">L375*$I$10</f>
        <v>-103.93</v>
      </c>
      <c r="Q375" s="208">
        <f t="shared" ref="Q375" si="2995">IF($B375=12,L375*$I$11,IF($B375&lt;5,L375*$I$11,0))</f>
        <v>0</v>
      </c>
      <c r="R375" s="467">
        <f t="shared" ref="R375" si="2996">P375+Q375</f>
        <v>-103.93</v>
      </c>
      <c r="S375" s="470">
        <f t="shared" ref="S375" si="2997">O375*$I$9</f>
        <v>47.058</v>
      </c>
      <c r="T375" s="425">
        <f t="shared" ref="T375" si="2998">ROUND((R375+S375),1)</f>
        <v>-56.9</v>
      </c>
      <c r="U375" s="579">
        <f>[5]RC!$E255</f>
        <v>1502565</v>
      </c>
      <c r="V375" s="447">
        <v>41579</v>
      </c>
      <c r="W375" s="191">
        <f t="shared" ref="W375" si="2999">(G375+T375)</f>
        <v>868.1</v>
      </c>
      <c r="X375" s="73">
        <f t="shared" ref="X375" si="3000">ROUND(W375*F375/1000,0)</f>
        <v>1310882</v>
      </c>
      <c r="Y375" s="187">
        <f t="shared" ref="Y375" si="3001">ROUND((X375/C375)*H375,0)</f>
        <v>21140</v>
      </c>
      <c r="Z375" s="175">
        <f t="shared" ref="Z375" si="3002">Y375+X375</f>
        <v>1332022</v>
      </c>
      <c r="AA375" s="40">
        <f t="shared" ref="AA375" si="3003">Z375-C375</f>
        <v>-87715</v>
      </c>
      <c r="AB375" s="519">
        <f>[9]RMWh!$L255</f>
        <v>1286296</v>
      </c>
      <c r="AC375" s="107">
        <f>'[7]Gov 65 &amp; 70'!$B460</f>
        <v>30.05</v>
      </c>
      <c r="AD375" s="4">
        <f>ROUND(AB375/(AC375/30.42),0)</f>
        <v>1302134</v>
      </c>
      <c r="AE375" s="4">
        <f t="shared" ref="AE375" si="3004">AD375-AD363</f>
        <v>-23965</v>
      </c>
      <c r="AF375" s="50">
        <f t="shared" ref="AF375" si="3005">ROUND((AD375/(D375)*1000),1)</f>
        <v>826.3</v>
      </c>
      <c r="AG375" s="75">
        <f t="shared" ref="AG375" si="3006">AF375-AF363</f>
        <v>12.5</v>
      </c>
      <c r="AI375" s="303">
        <f t="shared" ref="AI375" si="3007">(H375/I375*1000)/G375</f>
        <v>0.3758918606975466</v>
      </c>
      <c r="AK375" s="422">
        <f t="shared" ref="AK375" si="3008">AVERAGE(AI375,AI363,AI351,AI339,AI327,AI315,AI303,AI291,AI267,AI255)</f>
        <v>0.35020490926373443</v>
      </c>
      <c r="AU375" s="4">
        <f t="shared" si="2150"/>
        <v>2013</v>
      </c>
      <c r="AV375" s="4">
        <f t="shared" si="2151"/>
        <v>11</v>
      </c>
      <c r="AW375" s="230">
        <f>'[8]RES 62 &amp; 67'!$S460</f>
        <v>147.80000000000001</v>
      </c>
      <c r="AX375" s="200">
        <f t="shared" si="306"/>
        <v>110.2</v>
      </c>
      <c r="AY375" s="203">
        <f t="shared" ref="AY375" si="3009">AX375-AW375</f>
        <v>-37.600000000000009</v>
      </c>
      <c r="AZ375" s="230">
        <f>'[8]RES 62 &amp; 67'!$J460</f>
        <v>32</v>
      </c>
      <c r="BA375" s="183">
        <f t="shared" si="307"/>
        <v>45.3</v>
      </c>
      <c r="BB375" s="429">
        <f t="shared" ref="BB375" si="3010">BA375-AZ375</f>
        <v>13.299999999999997</v>
      </c>
      <c r="BC375" s="206">
        <f t="shared" ref="BC375" si="3011">AY375*$I$10</f>
        <v>-82.268800000000027</v>
      </c>
      <c r="BD375" s="206">
        <f t="shared" ref="BD375" si="3012">IF($B375=4,($I$11*0.5*AY375),IF($B375=11,($I$11*0.5*AY375),IF($B375=12,AY375*$I$11,IF($B375&lt;5,AY375*$I$11,0))))</f>
        <v>4.5684000000000013</v>
      </c>
      <c r="BE375" s="206">
        <f t="shared" ref="BE375" si="3013">BC375+BD375</f>
        <v>-77.70040000000003</v>
      </c>
      <c r="BF375" s="207">
        <f t="shared" ref="BF375" si="3014">BB375*$I$9</f>
        <v>37.931599999999989</v>
      </c>
      <c r="BG375" s="219">
        <f t="shared" ref="BG375" si="3015">ROUND(BF375+BE375,1)</f>
        <v>-39.799999999999997</v>
      </c>
      <c r="BH375" s="4">
        <f t="shared" si="2596"/>
        <v>2013</v>
      </c>
      <c r="BI375" s="4">
        <f t="shared" si="2597"/>
        <v>11</v>
      </c>
      <c r="BJ375" s="108">
        <f>C375+[4]MWh!$AJ209</f>
        <v>1208373.6244461867</v>
      </c>
      <c r="BK375" s="108">
        <f t="shared" ref="BK375" si="3016">(H375/C375)*BJ375</f>
        <v>19486.506396392742</v>
      </c>
      <c r="BL375" s="108">
        <f t="shared" ref="BL375" si="3017">BJ375-BK375</f>
        <v>1188887.1180497939</v>
      </c>
      <c r="BM375" s="189">
        <f t="shared" ref="BM375" si="3018">(BL375/F375*1000)+BG375</f>
        <v>747.5116997745082</v>
      </c>
      <c r="BN375" s="6">
        <f t="shared" ref="BN375" si="3019">ROUND(BM375*F375/1000,0)</f>
        <v>1128787</v>
      </c>
      <c r="BO375" s="175">
        <f t="shared" ref="BO375" si="3020">ROUND(BN375/BL375*BK375,0)</f>
        <v>18501</v>
      </c>
      <c r="BP375" s="108">
        <f t="shared" ref="BP375" si="3021">(BN375-BL375)+(BO375-BK375)</f>
        <v>-61085.624446186615</v>
      </c>
      <c r="BQ375" s="76">
        <f t="shared" ref="BQ375" si="3022">BJ375/D375*1000</f>
        <v>766.78026763410162</v>
      </c>
      <c r="BR375" s="76">
        <f t="shared" ref="BR375" si="3023">(BN375+BO375)/D375*1000</f>
        <v>728.01804168522744</v>
      </c>
      <c r="BS375" s="76">
        <f t="shared" ref="BS375" si="3024">BR375-BR363</f>
        <v>-45.079820256300764</v>
      </c>
      <c r="BT375" s="175">
        <f t="shared" ref="BT375" si="3025">(BN375+BO375)</f>
        <v>1147288</v>
      </c>
      <c r="BU375" s="108">
        <f t="shared" ref="BU375" si="3026">BT375-BT363</f>
        <v>-112451</v>
      </c>
      <c r="BV375" s="108">
        <f t="shared" ref="BV375" si="3027">BT375-BJ375-BK375</f>
        <v>-80572.130842579441</v>
      </c>
      <c r="BW375" s="529">
        <f>BT375/[9]RMWh!$L255</f>
        <v>0.89193156163122644</v>
      </c>
      <c r="CK375" s="406">
        <v>41579</v>
      </c>
      <c r="CL375" s="50">
        <f>BP375+COML!BV375+SPA!BV375</f>
        <v>-96690.624446186615</v>
      </c>
      <c r="CM375" s="181">
        <f>'[14]2013'!$D42</f>
        <v>22864</v>
      </c>
      <c r="CN375" s="407">
        <f t="shared" ref="CN375" si="3028">CL375-CM375</f>
        <v>-119554.62444618662</v>
      </c>
      <c r="CO375" s="50">
        <f>'[2]FPC wSEB'!$R472</f>
        <v>2911724</v>
      </c>
      <c r="CP375" s="50">
        <f>'[2]FPC wSEB'!$C472-SUM('[2]FPC wSEB'!$K472:$L472)</f>
        <v>2942773</v>
      </c>
      <c r="CQ375" s="50">
        <f>'[2]FPC wSEB'!$T472-'[2]FPC wSEB'!$T471</f>
        <v>-270118</v>
      </c>
      <c r="CR375" s="50">
        <f>SUM('[2]FPC wSEB'!$K472:$L472)</f>
        <v>140648</v>
      </c>
      <c r="CS375" s="50">
        <f>('[2]FPC wSEB'!$N472)-CQ375</f>
        <v>-42528</v>
      </c>
      <c r="CT375" s="50">
        <f>'[2]FPC wSEB'!$P472</f>
        <v>13310</v>
      </c>
      <c r="CU375" s="50">
        <f>'[2]FPC wSEB'!$Q472</f>
        <v>127639</v>
      </c>
      <c r="CV375" s="115">
        <f t="shared" ref="CV375" si="3029">CO375-SUM(CP375:CU375)</f>
        <v>0</v>
      </c>
      <c r="CW375" s="50">
        <f t="shared" ref="CW375" si="3030">CO375-CT375-CU375+CM375</f>
        <v>2793639</v>
      </c>
      <c r="CX375" s="50">
        <f t="shared" ref="CX375" si="3031">SUM(CP375:CS375)+CL375</f>
        <v>2674084.3755538133</v>
      </c>
      <c r="CY375" s="50">
        <f t="shared" ref="CY375" si="3032">CW375-CX375</f>
        <v>119554.6244461867</v>
      </c>
      <c r="CZ375" s="23"/>
      <c r="DA375" s="23"/>
      <c r="DB375" s="50">
        <f t="shared" si="2901"/>
        <v>-44.311500000000002</v>
      </c>
      <c r="DC375" s="108">
        <f t="shared" si="2902"/>
        <v>880.68849999999998</v>
      </c>
      <c r="DD375" s="50">
        <f t="shared" si="2903"/>
        <v>1329892</v>
      </c>
      <c r="DE375" s="108">
        <f t="shared" si="2904"/>
        <v>21446</v>
      </c>
      <c r="DF375" s="50">
        <f t="shared" si="2905"/>
        <v>1351338</v>
      </c>
      <c r="DG375" s="23">
        <f t="shared" si="2906"/>
        <v>-43</v>
      </c>
      <c r="DH375" s="500">
        <f>ROUND((([13]RUPC!$E255+DG375)*[5]RC!$E$209)/1000,0)</f>
        <v>1252891</v>
      </c>
      <c r="DI375" s="50">
        <f t="shared" si="2907"/>
        <v>-28220</v>
      </c>
      <c r="DJ375" s="23"/>
      <c r="DK375" s="23"/>
      <c r="DL375" s="23"/>
      <c r="DM375" s="23"/>
      <c r="DN375" s="23"/>
    </row>
    <row r="376" spans="1:118" ht="12.75">
      <c r="A376" s="13">
        <f t="shared" si="1963"/>
        <v>2013</v>
      </c>
      <c r="B376" s="13">
        <f t="shared" si="1964"/>
        <v>12</v>
      </c>
      <c r="C376" s="5">
        <f>'[2]FPC wSEB'!$D473</f>
        <v>1366063</v>
      </c>
      <c r="D376" s="5">
        <f>'[2]FPC wSEB'!$X473</f>
        <v>1656929</v>
      </c>
      <c r="E376" s="5">
        <f t="shared" ref="E376" si="3033">ROUND(C376-H376,0)</f>
        <v>1338514</v>
      </c>
      <c r="F376" s="5">
        <f t="shared" ref="F376" si="3034">ROUND(D376-I376,0)</f>
        <v>1588553</v>
      </c>
      <c r="G376" s="74">
        <f t="shared" ref="G376" si="3035">ROUND((E376)/F376*1000,1)</f>
        <v>842.6</v>
      </c>
      <c r="H376" s="190">
        <f>[16]ssr!C195</f>
        <v>27549</v>
      </c>
      <c r="I376" s="190">
        <f>[16]ssr!D195</f>
        <v>68376</v>
      </c>
      <c r="J376" s="230">
        <f>'[7]RES 62 &amp; 67'!$S461</f>
        <v>144.1</v>
      </c>
      <c r="K376" s="183">
        <f t="shared" si="301"/>
        <v>88</v>
      </c>
      <c r="L376" s="233">
        <f t="shared" ref="L376" si="3036">(K376-J376)</f>
        <v>-56.099999999999994</v>
      </c>
      <c r="M376" s="230">
        <f>'[7]RES 62 &amp; 67'!$J461</f>
        <v>35.5</v>
      </c>
      <c r="N376" s="183">
        <f t="shared" si="302"/>
        <v>83.9</v>
      </c>
      <c r="O376" s="236">
        <f t="shared" ref="O376" si="3037">(N376-M376)</f>
        <v>48.400000000000006</v>
      </c>
      <c r="P376" s="206">
        <f t="shared" ref="P376" si="3038">L376*$I$10</f>
        <v>-122.74679999999999</v>
      </c>
      <c r="Q376" s="208">
        <f t="shared" ref="Q376" si="3039">IF($B376=12,L376*$I$11,IF($B376&lt;5,L376*$I$11,0))</f>
        <v>13.632299999999999</v>
      </c>
      <c r="R376" s="467">
        <f t="shared" ref="R376" si="3040">P376+Q376</f>
        <v>-109.11449999999999</v>
      </c>
      <c r="S376" s="470">
        <f t="shared" ref="S376" si="3041">O376*$I$9</f>
        <v>138.0368</v>
      </c>
      <c r="T376" s="425">
        <f t="shared" ref="T376" si="3042">ROUND((R376+S376),1)</f>
        <v>28.9</v>
      </c>
      <c r="U376" s="579">
        <f>[5]RC!$E256</f>
        <v>1488356</v>
      </c>
      <c r="V376" s="447">
        <v>41609</v>
      </c>
      <c r="W376" s="191">
        <f t="shared" ref="W376" si="3043">(G376+T376)</f>
        <v>871.5</v>
      </c>
      <c r="X376" s="73">
        <f t="shared" ref="X376" si="3044">ROUND(W376*F376/1000,0)</f>
        <v>1384424</v>
      </c>
      <c r="Y376" s="187">
        <f t="shared" ref="Y376" si="3045">ROUND((X376/C376)*H376,0)</f>
        <v>27919</v>
      </c>
      <c r="Z376" s="175">
        <f t="shared" ref="Z376" si="3046">Y376+X376</f>
        <v>1412343</v>
      </c>
      <c r="AA376" s="40">
        <f t="shared" ref="AA376" si="3047">Z376-C376</f>
        <v>46280</v>
      </c>
      <c r="AB376" s="519">
        <f>[9]RMWh!$L256</f>
        <v>1255003</v>
      </c>
      <c r="AC376" s="107">
        <f>'[7]Gov 65 &amp; 70'!$B461</f>
        <v>31.05</v>
      </c>
      <c r="AD376" s="4">
        <f>ROUND(AB376/(AC376/30.42),0)</f>
        <v>1229539</v>
      </c>
      <c r="AE376" s="4">
        <f t="shared" ref="AE376" si="3048">AD376-AD364</f>
        <v>-23277</v>
      </c>
      <c r="AF376" s="50">
        <f t="shared" ref="AF376" si="3049">ROUND((AD376/(D376)*1000),1)</f>
        <v>742.1</v>
      </c>
      <c r="AG376" s="75">
        <f t="shared" ref="AG376" si="3050">AF376-AF364</f>
        <v>-110.29999999999995</v>
      </c>
      <c r="AI376" s="303">
        <f t="shared" ref="AI376" si="3051">(H376/I376*1000)/G376</f>
        <v>0.47816820306732483</v>
      </c>
      <c r="AK376" s="422">
        <f t="shared" ref="AK376" si="3052">AVERAGE(AI376,AI364,AI352,AI340,AI328,AI316,AI304,AI292,AI268,AI256)</f>
        <v>0.47233325722530017</v>
      </c>
      <c r="AU376" s="4">
        <f t="shared" si="2150"/>
        <v>2013</v>
      </c>
      <c r="AV376" s="4">
        <f t="shared" si="2151"/>
        <v>12</v>
      </c>
      <c r="AW376" s="230">
        <f>'[8]RES 62 &amp; 67'!$S461</f>
        <v>106.3</v>
      </c>
      <c r="AX376" s="200">
        <f t="shared" si="306"/>
        <v>53.2</v>
      </c>
      <c r="AY376" s="203">
        <f t="shared" ref="AY376" si="3053">AX376-AW376</f>
        <v>-53.099999999999994</v>
      </c>
      <c r="AZ376" s="230">
        <f>'[8]RES 62 &amp; 67'!$J461</f>
        <v>47.6</v>
      </c>
      <c r="BA376" s="183">
        <f t="shared" si="307"/>
        <v>114.1</v>
      </c>
      <c r="BB376" s="429">
        <f t="shared" ref="BB376" si="3054">BA376-AZ376</f>
        <v>66.5</v>
      </c>
      <c r="BC376" s="206">
        <f t="shared" ref="BC376" si="3055">AY376*$I$10</f>
        <v>-116.1828</v>
      </c>
      <c r="BD376" s="206">
        <f t="shared" ref="BD376" si="3056">IF($B376=4,($I$11*0.5*AY376),IF($B376=11,($I$11*0.5*AY376),IF($B376=12,AY376*$I$11,IF($B376&lt;5,AY376*$I$11,0))))</f>
        <v>12.903299999999998</v>
      </c>
      <c r="BE376" s="206">
        <f t="shared" ref="BE376" si="3057">BC376+BD376</f>
        <v>-103.2795</v>
      </c>
      <c r="BF376" s="207">
        <f t="shared" ref="BF376" si="3058">BB376*$I$9</f>
        <v>189.65799999999999</v>
      </c>
      <c r="BG376" s="219">
        <f t="shared" ref="BG376" si="3059">ROUND(BF376+BE376,1)</f>
        <v>86.4</v>
      </c>
      <c r="BH376" s="4">
        <f t="shared" si="2596"/>
        <v>2013</v>
      </c>
      <c r="BI376" s="4">
        <f t="shared" si="2597"/>
        <v>12</v>
      </c>
      <c r="BJ376" s="108">
        <f>C376+[4]MWh!$AJ210</f>
        <v>1308925.3647603758</v>
      </c>
      <c r="BK376" s="108">
        <f t="shared" ref="BK376" si="3060">(H376/C376)*BJ376</f>
        <v>26396.721727902444</v>
      </c>
      <c r="BL376" s="108">
        <f t="shared" ref="BL376" si="3061">BJ376-BK376</f>
        <v>1282528.6430324733</v>
      </c>
      <c r="BM376" s="189">
        <f t="shared" ref="BM376" si="3062">(BL376/F376*1000)+BG376</f>
        <v>893.75653329317515</v>
      </c>
      <c r="BN376" s="6">
        <f t="shared" ref="BN376" si="3063">ROUND(BM376*F376/1000,0)</f>
        <v>1419780</v>
      </c>
      <c r="BO376" s="175">
        <f t="shared" ref="BO376" si="3064">ROUND(BN376/BL376*BK376,0)</f>
        <v>29222</v>
      </c>
      <c r="BP376" s="108">
        <f t="shared" ref="BP376" si="3065">(BN376-BL376)+(BO376-BK376)</f>
        <v>140076.63523962427</v>
      </c>
      <c r="BQ376" s="76">
        <f t="shared" ref="BQ376" si="3066">BJ376/D376*1000</f>
        <v>789.97070167784841</v>
      </c>
      <c r="BR376" s="76">
        <f t="shared" ref="BR376" si="3067">(BN376+BO376)/D376*1000</f>
        <v>874.51061572342564</v>
      </c>
      <c r="BS376" s="76">
        <f t="shared" ref="BS376" si="3068">BR376-BR364</f>
        <v>13.650971876364224</v>
      </c>
      <c r="BT376" s="175">
        <f t="shared" ref="BT376" si="3069">(BN376+BO376)</f>
        <v>1449002</v>
      </c>
      <c r="BU376" s="108">
        <f t="shared" ref="BU376" si="3070">BT376-BT364</f>
        <v>183695</v>
      </c>
      <c r="BV376" s="108">
        <f t="shared" ref="BV376" si="3071">BT376-BJ376-BK376</f>
        <v>113679.91351172174</v>
      </c>
      <c r="BW376" s="529">
        <f>BT376/[9]RMWh!$L256</f>
        <v>1.1545805069788677</v>
      </c>
      <c r="CK376" s="406">
        <v>41609</v>
      </c>
      <c r="CL376" s="50">
        <f>BP376+COML!BV376+SPA!BV376</f>
        <v>114081.63523962427</v>
      </c>
      <c r="CM376" s="181">
        <f>'[14]2013'!$D43</f>
        <v>9834</v>
      </c>
      <c r="CN376" s="407">
        <f t="shared" ref="CN376" si="3072">CL376-CM376</f>
        <v>104247.63523962427</v>
      </c>
      <c r="CO376" s="50">
        <f>'[2]FPC wSEB'!$R473</f>
        <v>2967426</v>
      </c>
      <c r="CP376" s="50">
        <f>'[2]FPC wSEB'!$C473-SUM('[2]FPC wSEB'!$K473:$L473)</f>
        <v>2803169</v>
      </c>
      <c r="CQ376" s="50">
        <f>'[2]FPC wSEB'!$T473-'[2]FPC wSEB'!$T472</f>
        <v>-133946</v>
      </c>
      <c r="CR376" s="50">
        <f>SUM('[2]FPC wSEB'!$K473:$L473)</f>
        <v>102171</v>
      </c>
      <c r="CS376" s="50">
        <f>('[2]FPC wSEB'!$N473)-CQ376</f>
        <v>-4733</v>
      </c>
      <c r="CT376" s="50">
        <f>'[2]FPC wSEB'!$P473</f>
        <v>21529</v>
      </c>
      <c r="CU376" s="50">
        <f>'[2]FPC wSEB'!$Q473</f>
        <v>179236</v>
      </c>
      <c r="CV376" s="115">
        <f t="shared" ref="CV376" si="3073">CO376-SUM(CP376:CU376)</f>
        <v>0</v>
      </c>
      <c r="CW376" s="50">
        <f t="shared" ref="CW376" si="3074">CO376-CT376-CU376+CM376</f>
        <v>2776495</v>
      </c>
      <c r="CX376" s="50">
        <f t="shared" ref="CX376" si="3075">SUM(CP376:CS376)+CL376</f>
        <v>2880742.6352396244</v>
      </c>
      <c r="CY376" s="50">
        <f t="shared" ref="CY376" si="3076">CW376-CX376</f>
        <v>-104247.63523962442</v>
      </c>
      <c r="CZ376" s="23"/>
      <c r="DA376" s="23"/>
      <c r="DB376" s="50">
        <f t="shared" si="2901"/>
        <v>30.327000000000041</v>
      </c>
      <c r="DC376" s="108">
        <f t="shared" si="2902"/>
        <v>872.92700000000002</v>
      </c>
      <c r="DD376" s="50">
        <f t="shared" si="2903"/>
        <v>1386691</v>
      </c>
      <c r="DE376" s="108">
        <f t="shared" si="2904"/>
        <v>27965</v>
      </c>
      <c r="DF376" s="50">
        <f t="shared" si="2905"/>
        <v>1414656</v>
      </c>
      <c r="DG376" s="23">
        <f t="shared" si="2906"/>
        <v>29</v>
      </c>
      <c r="DH376" s="500">
        <f>ROUND((([13]RUPC!$E256+DG376)*[5]RC!$E$209)/1000,0)</f>
        <v>1217637</v>
      </c>
      <c r="DI376" s="50">
        <f t="shared" si="2907"/>
        <v>-77962</v>
      </c>
      <c r="DJ376" s="23"/>
      <c r="DK376" s="23"/>
      <c r="DL376" s="23"/>
      <c r="DM376" s="23"/>
      <c r="DN376" s="23"/>
    </row>
    <row r="377" spans="1:118">
      <c r="A377" s="13">
        <f t="shared" si="1963"/>
        <v>2014</v>
      </c>
      <c r="B377" s="13">
        <f t="shared" si="1964"/>
        <v>1</v>
      </c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</row>
    <row r="378" spans="1:118">
      <c r="A378" s="13"/>
      <c r="B378" s="13"/>
    </row>
    <row r="387" spans="50:57">
      <c r="AX387" s="397"/>
      <c r="AY387" s="143"/>
      <c r="AZ387" s="143"/>
      <c r="BA387" s="143"/>
      <c r="BB387" s="143"/>
      <c r="BC387" s="398" t="s">
        <v>208</v>
      </c>
      <c r="BD387" s="399"/>
      <c r="BE387" s="400"/>
    </row>
    <row r="388" spans="50:57">
      <c r="AX388" s="401" t="s">
        <v>241</v>
      </c>
      <c r="AY388" s="296" t="s">
        <v>242</v>
      </c>
      <c r="AZ388" s="23"/>
      <c r="BA388" s="402" t="s">
        <v>237</v>
      </c>
      <c r="BB388" s="402"/>
      <c r="BC388" s="402" t="s">
        <v>236</v>
      </c>
      <c r="BD388" s="403"/>
      <c r="BE388" s="404" t="s">
        <v>238</v>
      </c>
    </row>
    <row r="389" spans="50:57">
      <c r="AX389" s="245">
        <v>2007</v>
      </c>
      <c r="AY389" s="23">
        <v>1</v>
      </c>
      <c r="AZ389" s="23"/>
      <c r="BA389" s="50">
        <f>[12]M!$AF127-6000000</f>
        <v>2355561.8708142918</v>
      </c>
      <c r="BB389" s="23"/>
      <c r="BC389" s="23">
        <f t="shared" ref="BC389:BC400" si="3077">AY293+BB293</f>
        <v>10.70000000000001</v>
      </c>
      <c r="BD389" s="389"/>
      <c r="BE389" s="390">
        <f t="shared" ref="BE389:BE400" si="3078">BA389/BC389</f>
        <v>220145.96923498032</v>
      </c>
    </row>
    <row r="390" spans="50:57">
      <c r="AX390" s="245">
        <v>2007</v>
      </c>
      <c r="AY390" s="23">
        <v>2</v>
      </c>
      <c r="AZ390" s="23"/>
      <c r="BA390" s="50">
        <f>[12]M!$AF128</f>
        <v>-4566865.2098275833</v>
      </c>
      <c r="BB390" s="23"/>
      <c r="BC390" s="23">
        <f t="shared" si="3077"/>
        <v>-19.000000000000014</v>
      </c>
      <c r="BD390" s="389"/>
      <c r="BE390" s="390">
        <f t="shared" si="3078"/>
        <v>240361.32683303053</v>
      </c>
    </row>
    <row r="391" spans="50:57">
      <c r="AX391" s="245">
        <v>2007</v>
      </c>
      <c r="AY391" s="23">
        <v>3</v>
      </c>
      <c r="AZ391" s="23"/>
      <c r="BA391" s="50">
        <f>[12]M!$AF129</f>
        <v>-276326.89162029338</v>
      </c>
      <c r="BB391" s="23"/>
      <c r="BC391" s="23">
        <f t="shared" si="3077"/>
        <v>-6.1000000000000014</v>
      </c>
      <c r="BD391" s="389"/>
      <c r="BE391" s="390">
        <f t="shared" si="3078"/>
        <v>45299.490429556281</v>
      </c>
    </row>
    <row r="392" spans="50:57">
      <c r="AX392" s="245">
        <v>2007</v>
      </c>
      <c r="AY392" s="23">
        <v>4</v>
      </c>
      <c r="AZ392" s="23"/>
      <c r="BA392" s="50">
        <f>[12]M!$AF130</f>
        <v>2139684.8181244857</v>
      </c>
      <c r="BB392" s="23"/>
      <c r="BC392" s="23">
        <f t="shared" si="3077"/>
        <v>23.299999999999976</v>
      </c>
      <c r="BD392" s="389"/>
      <c r="BE392" s="390">
        <f t="shared" si="3078"/>
        <v>91831.966443111072</v>
      </c>
    </row>
    <row r="393" spans="50:57">
      <c r="AX393" s="245">
        <v>2007</v>
      </c>
      <c r="AY393" s="23">
        <v>5</v>
      </c>
      <c r="AZ393" s="23"/>
      <c r="BA393" s="50">
        <f>[12]M!$AF131</f>
        <v>5200680.196376645</v>
      </c>
      <c r="BB393" s="23"/>
      <c r="BC393" s="23">
        <f t="shared" si="3077"/>
        <v>46.6</v>
      </c>
      <c r="BD393" s="389"/>
      <c r="BE393" s="390">
        <f t="shared" si="3078"/>
        <v>111602.57932138722</v>
      </c>
    </row>
    <row r="394" spans="50:57">
      <c r="AX394" s="245">
        <v>2007</v>
      </c>
      <c r="AY394" s="23">
        <v>6</v>
      </c>
      <c r="AZ394" s="23"/>
      <c r="BA394" s="50">
        <f>[12]M!$AF132</f>
        <v>1544299.6893432857</v>
      </c>
      <c r="BB394" s="23"/>
      <c r="BC394" s="23">
        <f t="shared" si="3077"/>
        <v>13.800000000000011</v>
      </c>
      <c r="BD394" s="389"/>
      <c r="BE394" s="390">
        <f t="shared" si="3078"/>
        <v>111905.77459009307</v>
      </c>
    </row>
    <row r="395" spans="50:57">
      <c r="AX395" s="245">
        <v>2007</v>
      </c>
      <c r="AY395" s="23">
        <v>7</v>
      </c>
      <c r="AZ395" s="23"/>
      <c r="BA395" s="50">
        <f>[12]M!$AF133</f>
        <v>-892024.71964932233</v>
      </c>
      <c r="BB395" s="23"/>
      <c r="BC395" s="23">
        <f t="shared" si="3077"/>
        <v>-8.1999999999999886</v>
      </c>
      <c r="BD395" s="389"/>
      <c r="BE395" s="390">
        <f t="shared" si="3078"/>
        <v>108783.50239625898</v>
      </c>
    </row>
    <row r="396" spans="50:57">
      <c r="AX396" s="245">
        <v>2007</v>
      </c>
      <c r="AY396" s="23">
        <v>8</v>
      </c>
      <c r="AZ396" s="23"/>
      <c r="BA396" s="50">
        <f>[12]M!$AF134</f>
        <v>-6133151.5750751244</v>
      </c>
      <c r="BB396" s="23"/>
      <c r="BC396" s="23">
        <f t="shared" si="3077"/>
        <v>-49.699999999999989</v>
      </c>
      <c r="BD396" s="389"/>
      <c r="BE396" s="390">
        <f t="shared" si="3078"/>
        <v>123403.45221479126</v>
      </c>
    </row>
    <row r="397" spans="50:57">
      <c r="AX397" s="245">
        <v>2007</v>
      </c>
      <c r="AY397" s="23">
        <v>9</v>
      </c>
      <c r="AZ397" s="23"/>
      <c r="BA397" s="50">
        <f>[12]M!$AF135</f>
        <v>-1131092.0736811573</v>
      </c>
      <c r="BB397" s="23"/>
      <c r="BC397" s="23">
        <f t="shared" si="3077"/>
        <v>-10.300000000000011</v>
      </c>
      <c r="BD397" s="389"/>
      <c r="BE397" s="390">
        <f t="shared" si="3078"/>
        <v>109814.7644350637</v>
      </c>
    </row>
    <row r="398" spans="50:57">
      <c r="AX398" s="245">
        <v>2007</v>
      </c>
      <c r="AY398" s="23">
        <v>10</v>
      </c>
      <c r="AZ398" s="23"/>
      <c r="BA398" s="50">
        <f>[12]M!$AF136</f>
        <v>-6785228.1987434477</v>
      </c>
      <c r="BB398" s="23"/>
      <c r="BC398" s="23">
        <f t="shared" si="3077"/>
        <v>-62.799999999999955</v>
      </c>
      <c r="BD398" s="389"/>
      <c r="BE398" s="390">
        <f t="shared" si="3078"/>
        <v>108045.03501183842</v>
      </c>
    </row>
    <row r="399" spans="50:57">
      <c r="AX399" s="245">
        <v>2007</v>
      </c>
      <c r="AY399" s="23">
        <v>11</v>
      </c>
      <c r="AZ399" s="23"/>
      <c r="BA399" s="50">
        <f>[12]M!$AF137</f>
        <v>1256530.5951916557</v>
      </c>
      <c r="BB399" s="23"/>
      <c r="BC399" s="23">
        <f t="shared" si="3077"/>
        <v>11.799999999999997</v>
      </c>
      <c r="BD399" s="389"/>
      <c r="BE399" s="390">
        <f t="shared" si="3078"/>
        <v>106485.64366030983</v>
      </c>
    </row>
    <row r="400" spans="50:57">
      <c r="AX400" s="252">
        <v>2007</v>
      </c>
      <c r="AY400" s="89">
        <v>12</v>
      </c>
      <c r="AZ400" s="89"/>
      <c r="BA400" s="117">
        <f>[12]M!$AF138</f>
        <v>3911124.9782781629</v>
      </c>
      <c r="BB400" s="89"/>
      <c r="BC400" s="89">
        <f t="shared" si="3077"/>
        <v>4.4999999999999929</v>
      </c>
      <c r="BD400" s="394"/>
      <c r="BE400" s="405">
        <f t="shared" si="3078"/>
        <v>869138.88406181533</v>
      </c>
    </row>
    <row r="401" spans="56:57">
      <c r="BE401" s="382"/>
    </row>
    <row r="402" spans="56:57">
      <c r="BD402" s="126" t="s">
        <v>240</v>
      </c>
      <c r="BE402" s="383">
        <f>AVERAGE(BE389:BE400)</f>
        <v>187234.86571935299</v>
      </c>
    </row>
    <row r="403" spans="56:57">
      <c r="BD403" s="126" t="s">
        <v>239</v>
      </c>
      <c r="BE403" s="383">
        <f>BE402*(1-0.38575)</f>
        <v>115009.01626811257</v>
      </c>
    </row>
  </sheetData>
  <mergeCells count="8">
    <mergeCell ref="DB319:DH319"/>
    <mergeCell ref="DB320:DH320"/>
    <mergeCell ref="J14:L14"/>
    <mergeCell ref="M14:O14"/>
    <mergeCell ref="AH1:AS1"/>
    <mergeCell ref="AH2:AS2"/>
    <mergeCell ref="DB8:DH8"/>
    <mergeCell ref="DB9:DH9"/>
  </mergeCells>
  <phoneticPr fontId="4" type="noConversion"/>
  <pageMargins left="0.75" right="0.75" top="1" bottom="1" header="0.5" footer="0.5"/>
  <pageSetup orientation="portrait" r:id="rId1"/>
  <headerFooter alignWithMargins="0">
    <oddFooter>&amp;R14LGBRA-NRGPOD1-6-DOC 33
14BGBRA-STAFFROG1-19A-DOC 33</oddFooter>
  </headerFooter>
  <ignoredErrors>
    <ignoredError sqref="E1:E4 E12:E13 E377:E65536" unlockedFormula="1"/>
  </ignoredError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E34FDCAAF3C6C4093AF7B5BE145937F" ma:contentTypeVersion="4" ma:contentTypeDescription="Create a new document." ma:contentTypeScope="" ma:versionID="b37e17a5556e68f93be950844e56a798">
  <xsd:schema xmlns:xsd="http://www.w3.org/2001/XMLSchema" xmlns:xs="http://www.w3.org/2001/XMLSchema" xmlns:p="http://schemas.microsoft.com/office/2006/metadata/properties" xmlns:ns2="31653589-be70-4e86-8387-5ccaacc3bd25" targetNamespace="http://schemas.microsoft.com/office/2006/metadata/properties" ma:root="true" ma:fieldsID="daf52d9a87d62ed8bb552b8e35d07bf4" ns2:_="">
    <xsd:import namespace="31653589-be70-4e86-8387-5ccaacc3bd25"/>
    <xsd:element name="properties">
      <xsd:complexType>
        <xsd:sequence>
          <xsd:element name="documentManagement">
            <xsd:complexType>
              <xsd:all>
                <xsd:element ref="ns2:Check_x002d_In_x0020_Comment" minOccurs="0"/>
                <xsd:element ref="ns2:Filed" minOccurs="0"/>
                <xsd:element ref="ns2:Witnes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653589-be70-4e86-8387-5ccaacc3bd25" elementFormDefault="qualified">
    <xsd:import namespace="http://schemas.microsoft.com/office/2006/documentManagement/types"/>
    <xsd:import namespace="http://schemas.microsoft.com/office/infopath/2007/PartnerControls"/>
    <xsd:element name="Check_x002d_In_x0020_Comment" ma:index="8" nillable="true" ma:displayName="Check-In Comment" ma:description="Revised 9.9.13" ma:internalName="Check_x002d_In_x0020_Comment">
      <xsd:simpleType>
        <xsd:restriction base="dms:Text">
          <xsd:maxLength value="255"/>
        </xsd:restriction>
      </xsd:simpleType>
    </xsd:element>
    <xsd:element name="Filed" ma:index="10" nillable="true" ma:displayName="Filed" ma:internalName="Filed">
      <xsd:simpleType>
        <xsd:restriction base="dms:Text">
          <xsd:maxLength value="255"/>
        </xsd:restriction>
      </xsd:simpleType>
    </xsd:element>
    <xsd:element name="Witness" ma:index="11" nillable="true" ma:displayName="Witness" ma:internalName="Witness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9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heck_x002d_In_x0020_Comment xmlns="31653589-be70-4e86-8387-5ccaacc3bd25" xsi:nil="true"/>
    <Witness xmlns="31653589-be70-4e86-8387-5ccaacc3bd25" xsi:nil="true"/>
    <Filed xmlns="31653589-be70-4e86-8387-5ccaacc3bd25" xsi:nil="true"/>
  </documentManagement>
</p:properties>
</file>

<file path=customXml/itemProps1.xml><?xml version="1.0" encoding="utf-8"?>
<ds:datastoreItem xmlns:ds="http://schemas.openxmlformats.org/officeDocument/2006/customXml" ds:itemID="{31D103EA-88F2-49C1-89CE-1C8195399B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1FA4A56-00B2-49CA-A113-039768028A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653589-be70-4e86-8387-5ccaacc3bd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324720F-A722-4ECB-AAB7-EC07F76ABBED}">
  <ds:schemaRefs>
    <ds:schemaRef ds:uri="http://www.w3.org/XML/1998/namespace"/>
    <ds:schemaRef ds:uri="http://schemas.microsoft.com/office/2006/documentManagement/types"/>
    <ds:schemaRef ds:uri="http://purl.org/dc/elements/1.1/"/>
    <ds:schemaRef ds:uri="http://purl.org/dc/terms/"/>
    <ds:schemaRef ds:uri="31653589-be70-4e86-8387-5ccaacc3bd25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Gov</vt:lpstr>
      <vt:lpstr>System</vt:lpstr>
      <vt:lpstr>Whole</vt:lpstr>
      <vt:lpstr>Tot Retail</vt:lpstr>
      <vt:lpstr>SPA</vt:lpstr>
      <vt:lpstr>SHL</vt:lpstr>
      <vt:lpstr>IND</vt:lpstr>
      <vt:lpstr>COML</vt:lpstr>
      <vt:lpstr>RESID</vt:lpstr>
      <vt:lpstr>Sheet1</vt:lpstr>
      <vt:lpstr>COML!Print_Area</vt:lpstr>
      <vt:lpstr>RESID!Print_Area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Florida Power Corp.</dc:creator>
  <cp:lastModifiedBy>Shelly Schrand</cp:lastModifiedBy>
  <cp:lastPrinted>1999-07-09T18:04:10Z</cp:lastPrinted>
  <dcterms:created xsi:type="dcterms:W3CDTF">1998-10-08T20:42:34Z</dcterms:created>
  <dcterms:modified xsi:type="dcterms:W3CDTF">2014-07-11T19:02:40Z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0x0101002E34FDCAAF3C6C4093AF7B5BE145937F</vt:lpwstr>
  </property>
</Properties>
</file>